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116"/>
  <workbookPr showInkAnnotation="0" defaultThemeVersion="124226"/>
  <mc:AlternateContent xmlns:mc="http://schemas.openxmlformats.org/markup-compatibility/2006">
    <mc:Choice Requires="x15">
      <x15ac:absPath xmlns:x15ac="http://schemas.microsoft.com/office/spreadsheetml/2010/11/ac" url="/Users/angelaodermatt/Dropbox/CPDS/Bearbeitung CPDS/Bearbeitung CPDS/CPDS Update 2022 (1960-2020)/Upload 2022/"/>
    </mc:Choice>
  </mc:AlternateContent>
  <xr:revisionPtr revIDLastSave="0" documentId="13_ncr:1_{BA9D59E5-1DA1-C54C-81BD-A4E4D0EA88B2}" xr6:coauthVersionLast="47" xr6:coauthVersionMax="47" xr10:uidLastSave="{00000000-0000-0000-0000-000000000000}"/>
  <bookViews>
    <workbookView xWindow="0" yWindow="0" windowWidth="28800" windowHeight="18000" tabRatio="842" xr2:uid="{00000000-000D-0000-FFFF-FFFF00000000}"/>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200" i="17" l="1"/>
  <c r="S204" i="1"/>
  <c r="U203" i="11" l="1"/>
  <c r="T203" i="11"/>
  <c r="S203" i="11"/>
  <c r="U135" i="36"/>
  <c r="T135" i="36"/>
  <c r="S135" i="36"/>
  <c r="R133" i="11"/>
  <c r="M133" i="11"/>
  <c r="L133" i="11"/>
  <c r="K133" i="11"/>
  <c r="T212" i="22"/>
  <c r="S212" i="22"/>
  <c r="U212" i="22"/>
  <c r="L212" i="22"/>
  <c r="J212" i="22"/>
  <c r="H212" i="22"/>
  <c r="K143" i="22"/>
  <c r="L143" i="22"/>
  <c r="M143" i="22"/>
  <c r="N143" i="22"/>
  <c r="K142" i="22"/>
  <c r="L142" i="22"/>
  <c r="M142" i="22"/>
  <c r="U202" i="23"/>
  <c r="T202" i="23"/>
  <c r="S202" i="23"/>
  <c r="R133" i="23"/>
  <c r="R132" i="23"/>
  <c r="R131" i="23"/>
  <c r="R130" i="23"/>
  <c r="K133" i="23"/>
  <c r="L133" i="23"/>
  <c r="M133" i="23"/>
  <c r="K132" i="23"/>
  <c r="L132" i="23"/>
  <c r="M132" i="23"/>
  <c r="K131" i="23"/>
  <c r="L131" i="23"/>
  <c r="M131" i="23"/>
  <c r="K130" i="23"/>
  <c r="L130" i="23"/>
  <c r="M130" i="23"/>
  <c r="U198" i="25"/>
  <c r="T198" i="25"/>
  <c r="S198" i="25"/>
  <c r="W198" i="25" s="1"/>
  <c r="R129" i="25"/>
  <c r="R128" i="25"/>
  <c r="L198" i="25" s="1"/>
  <c r="K129" i="25"/>
  <c r="L129" i="25"/>
  <c r="M129" i="25"/>
  <c r="K128" i="25"/>
  <c r="L128" i="25"/>
  <c r="C198" i="25" s="1"/>
  <c r="M128" i="25"/>
  <c r="D198" i="25" s="1"/>
  <c r="N128" i="25"/>
  <c r="T198" i="24"/>
  <c r="U198" i="24"/>
  <c r="S198" i="24"/>
  <c r="S197" i="24"/>
  <c r="R129" i="24"/>
  <c r="R128" i="24"/>
  <c r="H198" i="24" s="1"/>
  <c r="K129" i="24"/>
  <c r="L129" i="24"/>
  <c r="M129" i="24"/>
  <c r="K128" i="24"/>
  <c r="N128" i="24" s="1"/>
  <c r="L128" i="24"/>
  <c r="M128" i="24"/>
  <c r="U162" i="26"/>
  <c r="T162" i="26"/>
  <c r="S162" i="26"/>
  <c r="W162" i="26" s="1"/>
  <c r="R94" i="26"/>
  <c r="K94" i="26"/>
  <c r="L94" i="26"/>
  <c r="M94" i="26"/>
  <c r="R93" i="26"/>
  <c r="J162" i="26" s="1"/>
  <c r="K93" i="26"/>
  <c r="L93" i="26"/>
  <c r="M93" i="26"/>
  <c r="U110" i="38"/>
  <c r="T110" i="38"/>
  <c r="S110" i="38"/>
  <c r="W212" i="22" l="1"/>
  <c r="N212" i="22"/>
  <c r="J202" i="23"/>
  <c r="N94" i="26"/>
  <c r="D198" i="24"/>
  <c r="D202" i="23"/>
  <c r="N132" i="23"/>
  <c r="W202" i="23"/>
  <c r="W110" i="38"/>
  <c r="B212" i="22"/>
  <c r="N133" i="11"/>
  <c r="N129" i="24"/>
  <c r="C202" i="23"/>
  <c r="H198" i="25"/>
  <c r="B202" i="23"/>
  <c r="E202" i="23" s="1"/>
  <c r="J198" i="25"/>
  <c r="B162" i="26"/>
  <c r="J198" i="24"/>
  <c r="L162" i="26"/>
  <c r="C198" i="24"/>
  <c r="N131" i="23"/>
  <c r="H202" i="23"/>
  <c r="D212" i="22"/>
  <c r="D162" i="26"/>
  <c r="H162" i="26"/>
  <c r="W198" i="24"/>
  <c r="C212" i="22"/>
  <c r="C162" i="26"/>
  <c r="N129" i="25"/>
  <c r="N130" i="23"/>
  <c r="W135" i="36"/>
  <c r="E212" i="22"/>
  <c r="N142" i="22"/>
  <c r="L202" i="23"/>
  <c r="N133" i="23"/>
  <c r="B198" i="25"/>
  <c r="E198" i="25" s="1"/>
  <c r="B198" i="24"/>
  <c r="E198" i="24" s="1"/>
  <c r="L198" i="24"/>
  <c r="N198" i="24" s="1"/>
  <c r="N162" i="26"/>
  <c r="N93" i="26"/>
  <c r="R71" i="38"/>
  <c r="K71" i="38"/>
  <c r="L71" i="38"/>
  <c r="M71" i="38"/>
  <c r="R70" i="38"/>
  <c r="K70" i="38"/>
  <c r="B110" i="38" s="1"/>
  <c r="L70" i="38"/>
  <c r="C110" i="38" s="1"/>
  <c r="M70" i="38"/>
  <c r="U114" i="37"/>
  <c r="T114" i="37"/>
  <c r="S114" i="37"/>
  <c r="R75" i="37"/>
  <c r="R74" i="37"/>
  <c r="M75" i="37"/>
  <c r="K75" i="37"/>
  <c r="L75" i="37"/>
  <c r="U142" i="35"/>
  <c r="T142" i="35"/>
  <c r="S142" i="35"/>
  <c r="W142" i="35" s="1"/>
  <c r="K104" i="35"/>
  <c r="L104" i="35"/>
  <c r="M104" i="35"/>
  <c r="K103" i="35"/>
  <c r="L103" i="35"/>
  <c r="M103" i="35"/>
  <c r="N104" i="35" l="1"/>
  <c r="N75" i="37"/>
  <c r="N198" i="25"/>
  <c r="E162" i="26"/>
  <c r="N103" i="35"/>
  <c r="N202" i="23"/>
  <c r="J114" i="37"/>
  <c r="H114" i="37"/>
  <c r="W114" i="37"/>
  <c r="L114" i="37"/>
  <c r="J110" i="38"/>
  <c r="H110" i="38"/>
  <c r="L110" i="38"/>
  <c r="D110" i="38"/>
  <c r="E110" i="38" s="1"/>
  <c r="N71" i="38"/>
  <c r="U204" i="18"/>
  <c r="T204" i="18"/>
  <c r="S204" i="18"/>
  <c r="R134" i="18"/>
  <c r="R133" i="18"/>
  <c r="K133" i="18"/>
  <c r="L133" i="18"/>
  <c r="M133" i="18"/>
  <c r="B178" i="20"/>
  <c r="K74" i="37"/>
  <c r="B114" i="37" s="1"/>
  <c r="L74" i="37"/>
  <c r="C114" i="37" s="1"/>
  <c r="M74" i="37"/>
  <c r="D114" i="37" s="1"/>
  <c r="R97" i="36"/>
  <c r="K97" i="36"/>
  <c r="L97" i="36"/>
  <c r="M97" i="36"/>
  <c r="K96" i="36"/>
  <c r="L96" i="36"/>
  <c r="M96" i="36"/>
  <c r="R95" i="36"/>
  <c r="R96" i="36"/>
  <c r="K95" i="36"/>
  <c r="L95" i="36"/>
  <c r="M95" i="36"/>
  <c r="T169" i="16"/>
  <c r="U169" i="16"/>
  <c r="S169" i="16"/>
  <c r="R101" i="16"/>
  <c r="R100" i="16"/>
  <c r="L101" i="16"/>
  <c r="M101" i="16"/>
  <c r="K101" i="16"/>
  <c r="K100" i="16"/>
  <c r="L100" i="16"/>
  <c r="M100" i="16"/>
  <c r="R102" i="35"/>
  <c r="K102" i="35"/>
  <c r="B142" i="35" s="1"/>
  <c r="L102" i="35"/>
  <c r="C142" i="35" s="1"/>
  <c r="M102" i="35"/>
  <c r="D142" i="35" s="1"/>
  <c r="U200" i="17"/>
  <c r="T200" i="17"/>
  <c r="S200" i="17"/>
  <c r="K131" i="17"/>
  <c r="L131" i="17"/>
  <c r="M131" i="17"/>
  <c r="R130" i="17"/>
  <c r="R131" i="17"/>
  <c r="L200" i="17" s="1"/>
  <c r="K130" i="17"/>
  <c r="L130" i="17"/>
  <c r="M130" i="17"/>
  <c r="K134" i="18"/>
  <c r="M134" i="18"/>
  <c r="M135" i="18"/>
  <c r="L134" i="18"/>
  <c r="L135" i="18"/>
  <c r="K135" i="18"/>
  <c r="R132" i="18"/>
  <c r="L204" i="18" s="1"/>
  <c r="K132" i="18"/>
  <c r="L132" i="18"/>
  <c r="M132" i="18"/>
  <c r="U206" i="19"/>
  <c r="T206" i="19"/>
  <c r="S206" i="19"/>
  <c r="M137" i="19"/>
  <c r="K137" i="19"/>
  <c r="L137" i="19"/>
  <c r="R136" i="19"/>
  <c r="R137" i="19"/>
  <c r="K136" i="19"/>
  <c r="L136" i="19"/>
  <c r="M136" i="19"/>
  <c r="R135" i="19"/>
  <c r="M135" i="19"/>
  <c r="K135" i="19"/>
  <c r="L135" i="19"/>
  <c r="R134" i="19"/>
  <c r="K134" i="19"/>
  <c r="L134" i="19"/>
  <c r="M134" i="19"/>
  <c r="U178" i="20"/>
  <c r="T178" i="20"/>
  <c r="S178" i="20"/>
  <c r="K116" i="20"/>
  <c r="L116" i="20"/>
  <c r="M116" i="20"/>
  <c r="K115" i="20"/>
  <c r="L115" i="20"/>
  <c r="M115" i="20"/>
  <c r="R114" i="20"/>
  <c r="L178" i="20" s="1"/>
  <c r="K114" i="20"/>
  <c r="L114" i="20"/>
  <c r="M114" i="20"/>
  <c r="U198" i="21"/>
  <c r="T198" i="21"/>
  <c r="S198" i="21"/>
  <c r="R129" i="21"/>
  <c r="L198" i="21" s="1"/>
  <c r="K129" i="21"/>
  <c r="L129" i="21"/>
  <c r="M129" i="21"/>
  <c r="R128" i="21"/>
  <c r="K128" i="21"/>
  <c r="L128" i="21"/>
  <c r="M128" i="21"/>
  <c r="U106" i="34"/>
  <c r="T106" i="34"/>
  <c r="S106" i="34"/>
  <c r="R69" i="34"/>
  <c r="K69" i="34"/>
  <c r="L69" i="34"/>
  <c r="M69" i="34"/>
  <c r="R68" i="34"/>
  <c r="K68" i="34"/>
  <c r="B106" i="34" s="1"/>
  <c r="L68" i="34"/>
  <c r="M68" i="34"/>
  <c r="U214" i="9"/>
  <c r="T214" i="9"/>
  <c r="S214" i="9"/>
  <c r="R145" i="9"/>
  <c r="K145" i="9"/>
  <c r="L145" i="9"/>
  <c r="M145" i="9"/>
  <c r="R144" i="9"/>
  <c r="K144" i="9"/>
  <c r="L144" i="9"/>
  <c r="M144" i="9"/>
  <c r="U107" i="33"/>
  <c r="T107" i="33"/>
  <c r="S107" i="33"/>
  <c r="R68" i="33"/>
  <c r="R69" i="33"/>
  <c r="K69" i="33"/>
  <c r="L69" i="33"/>
  <c r="M69" i="33"/>
  <c r="K68" i="33"/>
  <c r="L68" i="33"/>
  <c r="C107" i="33" s="1"/>
  <c r="M68" i="33"/>
  <c r="U222" i="10"/>
  <c r="T222" i="10"/>
  <c r="S222" i="10"/>
  <c r="S220" i="10"/>
  <c r="J222" i="10"/>
  <c r="L222" i="10"/>
  <c r="H222" i="10"/>
  <c r="M153" i="10"/>
  <c r="K153" i="10"/>
  <c r="L153" i="10"/>
  <c r="K152" i="10"/>
  <c r="L152" i="10"/>
  <c r="M152" i="10"/>
  <c r="H200" i="17" l="1"/>
  <c r="W204" i="18"/>
  <c r="N114" i="37"/>
  <c r="C106" i="34"/>
  <c r="D222" i="10"/>
  <c r="D204" i="18"/>
  <c r="N97" i="36"/>
  <c r="N133" i="18"/>
  <c r="H204" i="18"/>
  <c r="B107" i="33"/>
  <c r="C178" i="20"/>
  <c r="C204" i="18"/>
  <c r="H107" i="33"/>
  <c r="L214" i="9"/>
  <c r="D106" i="34"/>
  <c r="E106" i="34" s="1"/>
  <c r="W178" i="20"/>
  <c r="B204" i="18"/>
  <c r="E204" i="18" s="1"/>
  <c r="D200" i="17"/>
  <c r="N95" i="36"/>
  <c r="B135" i="36"/>
  <c r="H135" i="36"/>
  <c r="J135" i="36"/>
  <c r="L135" i="36"/>
  <c r="D135" i="36"/>
  <c r="C135" i="36"/>
  <c r="N96" i="36"/>
  <c r="N110" i="38"/>
  <c r="E114" i="37"/>
  <c r="E142" i="35"/>
  <c r="L142" i="35"/>
  <c r="J142" i="35"/>
  <c r="H142" i="35"/>
  <c r="N142" i="35" s="1"/>
  <c r="J204" i="18"/>
  <c r="N204" i="18" s="1"/>
  <c r="N134" i="18"/>
  <c r="N74" i="37"/>
  <c r="N102" i="35"/>
  <c r="L107" i="33"/>
  <c r="J169" i="16"/>
  <c r="N68" i="33"/>
  <c r="N135" i="18"/>
  <c r="W169" i="16"/>
  <c r="D206" i="19"/>
  <c r="W200" i="17"/>
  <c r="C222" i="10"/>
  <c r="N134" i="19"/>
  <c r="N136" i="19"/>
  <c r="W222" i="10"/>
  <c r="B222" i="10"/>
  <c r="E222" i="10" s="1"/>
  <c r="J200" i="17"/>
  <c r="N200" i="17" s="1"/>
  <c r="B169" i="16"/>
  <c r="J206" i="19"/>
  <c r="N153" i="10"/>
  <c r="L106" i="34"/>
  <c r="H198" i="21"/>
  <c r="D169" i="16"/>
  <c r="C198" i="21"/>
  <c r="J198" i="21"/>
  <c r="C169" i="16"/>
  <c r="N152" i="10"/>
  <c r="D214" i="9"/>
  <c r="W214" i="9"/>
  <c r="N69" i="34"/>
  <c r="N115" i="20"/>
  <c r="N222" i="10"/>
  <c r="D107" i="33"/>
  <c r="E107" i="33" s="1"/>
  <c r="C214" i="9"/>
  <c r="N137" i="19"/>
  <c r="N101" i="16"/>
  <c r="J107" i="33"/>
  <c r="N107" i="33" s="1"/>
  <c r="C206" i="19"/>
  <c r="L206" i="19"/>
  <c r="N131" i="17"/>
  <c r="N69" i="33"/>
  <c r="N129" i="21"/>
  <c r="D178" i="20"/>
  <c r="B206" i="19"/>
  <c r="W206" i="19"/>
  <c r="L169" i="16"/>
  <c r="N145" i="9"/>
  <c r="D198" i="21"/>
  <c r="H169" i="16"/>
  <c r="N100" i="16"/>
  <c r="N130" i="17"/>
  <c r="B200" i="17"/>
  <c r="N132" i="18"/>
  <c r="N135" i="19"/>
  <c r="H206" i="19"/>
  <c r="N116" i="20"/>
  <c r="H178" i="20"/>
  <c r="J178" i="20"/>
  <c r="N114" i="20"/>
  <c r="N128" i="21"/>
  <c r="B198" i="21"/>
  <c r="W198" i="21"/>
  <c r="N68" i="34"/>
  <c r="H106" i="34"/>
  <c r="J106" i="34"/>
  <c r="W106" i="34"/>
  <c r="N144" i="9"/>
  <c r="H214" i="9"/>
  <c r="B214" i="9"/>
  <c r="J214" i="9"/>
  <c r="W107" i="33"/>
  <c r="M134" i="11"/>
  <c r="K134" i="11"/>
  <c r="L134" i="11"/>
  <c r="R132" i="11"/>
  <c r="K132" i="11"/>
  <c r="B203" i="11" s="1"/>
  <c r="L132" i="11"/>
  <c r="C203" i="11" s="1"/>
  <c r="M132" i="11"/>
  <c r="D203" i="11" s="1"/>
  <c r="U200" i="12"/>
  <c r="T200" i="12"/>
  <c r="S200" i="12"/>
  <c r="L200" i="12"/>
  <c r="J200" i="12"/>
  <c r="H200" i="12"/>
  <c r="H199" i="12"/>
  <c r="R128" i="12"/>
  <c r="R129" i="12"/>
  <c r="R130" i="12"/>
  <c r="R131" i="12"/>
  <c r="K131" i="12"/>
  <c r="L131" i="12"/>
  <c r="M131" i="12"/>
  <c r="N131" i="12"/>
  <c r="K130" i="12"/>
  <c r="L130" i="12"/>
  <c r="M130" i="12"/>
  <c r="C200" i="12" l="1"/>
  <c r="E198" i="21"/>
  <c r="L203" i="11"/>
  <c r="J203" i="11"/>
  <c r="H203" i="11"/>
  <c r="E169" i="16"/>
  <c r="E214" i="9"/>
  <c r="D200" i="12"/>
  <c r="N135" i="36"/>
  <c r="E135" i="36"/>
  <c r="W203" i="11"/>
  <c r="N106" i="34"/>
  <c r="E200" i="17"/>
  <c r="E206" i="19"/>
  <c r="N198" i="21"/>
  <c r="E178" i="20"/>
  <c r="N169" i="16"/>
  <c r="N206" i="19"/>
  <c r="N134" i="11"/>
  <c r="N178" i="20"/>
  <c r="N214" i="9"/>
  <c r="N132" i="11"/>
  <c r="N203" i="11"/>
  <c r="N130" i="12"/>
  <c r="B200" i="12"/>
  <c r="W200" i="12"/>
  <c r="N200" i="12"/>
  <c r="U217" i="15"/>
  <c r="T217" i="15"/>
  <c r="S217" i="15"/>
  <c r="S214" i="15"/>
  <c r="R146" i="15"/>
  <c r="K146" i="15"/>
  <c r="L146" i="15"/>
  <c r="M146" i="15"/>
  <c r="E200" i="12" l="1"/>
  <c r="E203" i="11"/>
  <c r="W217" i="15"/>
  <c r="N146" i="15"/>
  <c r="R145" i="15"/>
  <c r="M145" i="15"/>
  <c r="K145" i="15"/>
  <c r="L145" i="15"/>
  <c r="N145" i="15" l="1"/>
  <c r="T103" i="31"/>
  <c r="S109" i="32" l="1"/>
  <c r="W109" i="32" s="1"/>
  <c r="U109" i="32"/>
  <c r="T109" i="32"/>
  <c r="R71" i="32"/>
  <c r="K71" i="32"/>
  <c r="L71" i="32"/>
  <c r="M71" i="32"/>
  <c r="R70" i="32"/>
  <c r="K70" i="32"/>
  <c r="L70" i="32"/>
  <c r="M70" i="32"/>
  <c r="S216" i="13"/>
  <c r="U216" i="13"/>
  <c r="T216" i="13"/>
  <c r="S202" i="14"/>
  <c r="B202" i="14"/>
  <c r="R146" i="13"/>
  <c r="R147" i="13"/>
  <c r="K147" i="13"/>
  <c r="L147" i="13"/>
  <c r="M147" i="13"/>
  <c r="K146" i="13"/>
  <c r="L146" i="13"/>
  <c r="C216" i="13" s="1"/>
  <c r="M146" i="13"/>
  <c r="U202" i="14"/>
  <c r="T202" i="14"/>
  <c r="R134" i="14"/>
  <c r="R133" i="14"/>
  <c r="M133" i="14"/>
  <c r="M134" i="14"/>
  <c r="L134" i="14"/>
  <c r="N134" i="14" s="1"/>
  <c r="L133" i="14"/>
  <c r="R144" i="15"/>
  <c r="K144" i="15"/>
  <c r="B217" i="15" s="1"/>
  <c r="K143" i="15"/>
  <c r="L144" i="15"/>
  <c r="C217" i="15" s="1"/>
  <c r="M144" i="15"/>
  <c r="D217" i="15" s="1"/>
  <c r="U210" i="8"/>
  <c r="T210" i="8"/>
  <c r="T209" i="8"/>
  <c r="S210" i="8"/>
  <c r="R141" i="8"/>
  <c r="R142" i="8"/>
  <c r="M142" i="8"/>
  <c r="L142" i="8"/>
  <c r="K142" i="8"/>
  <c r="N142" i="8" s="1"/>
  <c r="K141" i="8"/>
  <c r="L141" i="8"/>
  <c r="M141" i="8"/>
  <c r="U103" i="31"/>
  <c r="S103" i="31"/>
  <c r="W103" i="31" s="1"/>
  <c r="R65" i="31"/>
  <c r="R66" i="31"/>
  <c r="K66" i="31"/>
  <c r="L66" i="31"/>
  <c r="M66" i="31"/>
  <c r="K65" i="31"/>
  <c r="L65" i="31"/>
  <c r="M65" i="31"/>
  <c r="D103" i="31" s="1"/>
  <c r="U199" i="7"/>
  <c r="T199" i="7"/>
  <c r="S199" i="7"/>
  <c r="R130" i="7"/>
  <c r="R131" i="7"/>
  <c r="M131" i="7"/>
  <c r="K131" i="7"/>
  <c r="L131" i="7"/>
  <c r="K130" i="7"/>
  <c r="L130" i="7"/>
  <c r="M130" i="7"/>
  <c r="U112" i="29"/>
  <c r="T112" i="29"/>
  <c r="S112" i="29"/>
  <c r="R73" i="29"/>
  <c r="R74" i="29"/>
  <c r="K74" i="29"/>
  <c r="L74" i="29"/>
  <c r="M74" i="29"/>
  <c r="K73" i="29"/>
  <c r="L73" i="29"/>
  <c r="M73" i="29"/>
  <c r="U153" i="6"/>
  <c r="T153" i="6"/>
  <c r="S153" i="6"/>
  <c r="R104" i="6"/>
  <c r="K104" i="6"/>
  <c r="L104" i="6"/>
  <c r="M104" i="6"/>
  <c r="R103" i="6"/>
  <c r="K103" i="6"/>
  <c r="L103" i="6"/>
  <c r="M103" i="6"/>
  <c r="U94" i="30"/>
  <c r="T94" i="30"/>
  <c r="S94" i="30"/>
  <c r="R54" i="30"/>
  <c r="K54" i="30"/>
  <c r="L54" i="30"/>
  <c r="M54" i="30"/>
  <c r="R53" i="30"/>
  <c r="M53" i="30"/>
  <c r="K53" i="30"/>
  <c r="L53" i="30"/>
  <c r="U200" i="5"/>
  <c r="T200" i="5"/>
  <c r="S200" i="5"/>
  <c r="R130" i="5"/>
  <c r="R131" i="5"/>
  <c r="K131" i="5"/>
  <c r="L131" i="5"/>
  <c r="M131" i="5"/>
  <c r="K130" i="5"/>
  <c r="L130" i="5"/>
  <c r="M130" i="5"/>
  <c r="U115" i="28"/>
  <c r="T115" i="28"/>
  <c r="S115" i="28"/>
  <c r="R77" i="28"/>
  <c r="K77" i="28"/>
  <c r="L77" i="28"/>
  <c r="M77" i="28"/>
  <c r="R76" i="28"/>
  <c r="K76" i="28"/>
  <c r="L76" i="28"/>
  <c r="M76" i="28"/>
  <c r="U206" i="3"/>
  <c r="S206" i="3"/>
  <c r="T206" i="3"/>
  <c r="L109" i="32" l="1"/>
  <c r="N130" i="7"/>
  <c r="L103" i="31"/>
  <c r="L200" i="5"/>
  <c r="J202" i="14"/>
  <c r="N147" i="13"/>
  <c r="D109" i="32"/>
  <c r="H115" i="28"/>
  <c r="B153" i="6"/>
  <c r="E153" i="6" s="1"/>
  <c r="C103" i="31"/>
  <c r="C109" i="32"/>
  <c r="D202" i="14"/>
  <c r="W216" i="13"/>
  <c r="B115" i="28"/>
  <c r="H153" i="6"/>
  <c r="J94" i="30"/>
  <c r="C202" i="14"/>
  <c r="E202" i="14" s="1"/>
  <c r="D216" i="13"/>
  <c r="H199" i="7"/>
  <c r="N141" i="8"/>
  <c r="H109" i="32"/>
  <c r="L115" i="28"/>
  <c r="C94" i="30"/>
  <c r="D94" i="30"/>
  <c r="J109" i="32"/>
  <c r="H200" i="5"/>
  <c r="D153" i="6"/>
  <c r="L202" i="14"/>
  <c r="W153" i="6"/>
  <c r="J103" i="31"/>
  <c r="L94" i="30"/>
  <c r="C210" i="8"/>
  <c r="E210" i="8" s="1"/>
  <c r="W210" i="8"/>
  <c r="H103" i="31"/>
  <c r="B94" i="30"/>
  <c r="C153" i="6"/>
  <c r="W202" i="14"/>
  <c r="L216" i="13"/>
  <c r="N77" i="28"/>
  <c r="H94" i="30"/>
  <c r="N94" i="30" s="1"/>
  <c r="B112" i="29"/>
  <c r="H210" i="8"/>
  <c r="D210" i="8"/>
  <c r="B210" i="8"/>
  <c r="N131" i="7"/>
  <c r="L153" i="6"/>
  <c r="B200" i="5"/>
  <c r="L210" i="8"/>
  <c r="N131" i="5"/>
  <c r="N146" i="13"/>
  <c r="N130" i="5"/>
  <c r="W200" i="5"/>
  <c r="J153" i="6"/>
  <c r="D199" i="7"/>
  <c r="N104" i="6"/>
  <c r="W199" i="7"/>
  <c r="D200" i="5"/>
  <c r="N103" i="6"/>
  <c r="C199" i="7"/>
  <c r="N66" i="31"/>
  <c r="W112" i="29"/>
  <c r="J210" i="8"/>
  <c r="N133" i="14"/>
  <c r="C200" i="5"/>
  <c r="J200" i="5"/>
  <c r="N200" i="5" s="1"/>
  <c r="B199" i="7"/>
  <c r="N71" i="32"/>
  <c r="E217" i="15"/>
  <c r="L217" i="15"/>
  <c r="J217" i="15"/>
  <c r="H217" i="15"/>
  <c r="B109" i="32"/>
  <c r="E109" i="32" s="1"/>
  <c r="N70" i="32"/>
  <c r="H216" i="13"/>
  <c r="B216" i="13"/>
  <c r="E216" i="13" s="1"/>
  <c r="J216" i="13"/>
  <c r="H202" i="14"/>
  <c r="N202" i="14"/>
  <c r="N153" i="6"/>
  <c r="W115" i="28"/>
  <c r="N144" i="15"/>
  <c r="N65" i="31"/>
  <c r="B103" i="31"/>
  <c r="E103" i="31" s="1"/>
  <c r="J199" i="7"/>
  <c r="L199" i="7"/>
  <c r="L112" i="29"/>
  <c r="N73" i="29"/>
  <c r="D112" i="29"/>
  <c r="H112" i="29"/>
  <c r="N74" i="29"/>
  <c r="C112" i="29"/>
  <c r="J112" i="29"/>
  <c r="W94" i="30"/>
  <c r="N53" i="30"/>
  <c r="E94" i="30"/>
  <c r="N54" i="30"/>
  <c r="D115" i="28"/>
  <c r="C115" i="28"/>
  <c r="J115" i="28"/>
  <c r="N76" i="28"/>
  <c r="R138" i="3"/>
  <c r="M138" i="3"/>
  <c r="L138" i="3"/>
  <c r="K138" i="3"/>
  <c r="R137" i="3"/>
  <c r="M137" i="3"/>
  <c r="L137" i="3"/>
  <c r="K137" i="3"/>
  <c r="R136" i="3"/>
  <c r="K136" i="3"/>
  <c r="L136" i="3"/>
  <c r="M136" i="3"/>
  <c r="U199" i="2"/>
  <c r="T199" i="2"/>
  <c r="S199" i="2"/>
  <c r="H198" i="2"/>
  <c r="N109" i="32" l="1"/>
  <c r="N210" i="8"/>
  <c r="N137" i="3"/>
  <c r="N138" i="3"/>
  <c r="N103" i="31"/>
  <c r="E199" i="7"/>
  <c r="E200" i="5"/>
  <c r="D206" i="3"/>
  <c r="N115" i="28"/>
  <c r="E112" i="29"/>
  <c r="N112" i="29"/>
  <c r="E115" i="28"/>
  <c r="N217" i="15"/>
  <c r="N216" i="13"/>
  <c r="N199" i="7"/>
  <c r="B206" i="3"/>
  <c r="J206" i="3"/>
  <c r="C206" i="3"/>
  <c r="H206" i="3"/>
  <c r="W206" i="3"/>
  <c r="N136" i="3"/>
  <c r="R131" i="2"/>
  <c r="M131" i="2"/>
  <c r="L131" i="2"/>
  <c r="K131" i="2"/>
  <c r="R130" i="2"/>
  <c r="K130" i="2"/>
  <c r="B199" i="2" s="1"/>
  <c r="L130" i="2"/>
  <c r="M130" i="2"/>
  <c r="U204" i="1"/>
  <c r="T204" i="1"/>
  <c r="R136" i="1"/>
  <c r="R135" i="1"/>
  <c r="K136" i="1"/>
  <c r="L136" i="1"/>
  <c r="M136" i="1"/>
  <c r="K135" i="1"/>
  <c r="L135" i="1"/>
  <c r="M135" i="1"/>
  <c r="B204" i="1" l="1"/>
  <c r="N136" i="1"/>
  <c r="W199" i="2"/>
  <c r="E206" i="3"/>
  <c r="D204" i="1"/>
  <c r="C204" i="1"/>
  <c r="J199" i="2"/>
  <c r="N199" i="2" s="1"/>
  <c r="L199" i="2"/>
  <c r="H199" i="2"/>
  <c r="N135" i="1"/>
  <c r="L204" i="1"/>
  <c r="J204" i="1"/>
  <c r="H204" i="1"/>
  <c r="W204" i="1"/>
  <c r="D199" i="2"/>
  <c r="C199" i="2"/>
  <c r="N131" i="2"/>
  <c r="N130" i="2"/>
  <c r="S83" i="38"/>
  <c r="E199" i="2" l="1"/>
  <c r="E204" i="1"/>
  <c r="N204" i="1"/>
  <c r="K7" i="38"/>
  <c r="B83" i="38" s="1"/>
  <c r="M7" i="38"/>
  <c r="K8" i="38"/>
  <c r="M8" i="38"/>
  <c r="K21" i="38"/>
  <c r="M21" i="38"/>
  <c r="U184" i="2" l="1"/>
  <c r="T184" i="2"/>
  <c r="S184" i="2"/>
  <c r="S182" i="2"/>
  <c r="H182" i="2"/>
  <c r="R99" i="2"/>
  <c r="M99" i="2"/>
  <c r="L99" i="2"/>
  <c r="K99" i="2"/>
  <c r="N99" i="2" l="1"/>
  <c r="U149" i="6"/>
  <c r="T149" i="6"/>
  <c r="T150" i="6"/>
  <c r="U150" i="6"/>
  <c r="S149" i="6"/>
  <c r="R94" i="6"/>
  <c r="M94" i="6"/>
  <c r="L94" i="6"/>
  <c r="K94" i="6"/>
  <c r="N94" i="6" l="1"/>
  <c r="S210" i="22"/>
  <c r="T161" i="26"/>
  <c r="U161" i="26"/>
  <c r="S161" i="26"/>
  <c r="U160" i="26"/>
  <c r="T160" i="26"/>
  <c r="S160" i="26"/>
  <c r="R90" i="26"/>
  <c r="R91" i="26"/>
  <c r="R92" i="26"/>
  <c r="R89" i="26"/>
  <c r="T108" i="38"/>
  <c r="S141" i="35"/>
  <c r="S152" i="6"/>
  <c r="U152" i="6"/>
  <c r="T152" i="6"/>
  <c r="R102" i="6"/>
  <c r="M102" i="6"/>
  <c r="L102" i="6"/>
  <c r="K102" i="6"/>
  <c r="N102" i="6" s="1"/>
  <c r="K100" i="6"/>
  <c r="L100" i="6"/>
  <c r="M100" i="6"/>
  <c r="R100" i="6"/>
  <c r="T203" i="1"/>
  <c r="U203" i="1"/>
  <c r="S203" i="1"/>
  <c r="R140" i="22"/>
  <c r="R141" i="22"/>
  <c r="R139" i="22"/>
  <c r="S211" i="22"/>
  <c r="T211" i="22"/>
  <c r="U211" i="22"/>
  <c r="M141" i="22"/>
  <c r="L141" i="22"/>
  <c r="K141" i="22"/>
  <c r="M140" i="22"/>
  <c r="L140" i="22"/>
  <c r="K140" i="22"/>
  <c r="U201" i="23"/>
  <c r="T201" i="23"/>
  <c r="S201" i="23"/>
  <c r="R129" i="23"/>
  <c r="M129" i="23"/>
  <c r="L129" i="23"/>
  <c r="K129" i="23"/>
  <c r="R128" i="23"/>
  <c r="K128" i="23"/>
  <c r="L128" i="23"/>
  <c r="M128" i="23"/>
  <c r="R127" i="23"/>
  <c r="M127" i="23"/>
  <c r="L127" i="23"/>
  <c r="K127" i="23"/>
  <c r="T197" i="24"/>
  <c r="U197" i="24"/>
  <c r="R127" i="24"/>
  <c r="M127" i="24"/>
  <c r="L127" i="24"/>
  <c r="K127" i="24"/>
  <c r="B197" i="24" s="1"/>
  <c r="R126" i="24"/>
  <c r="M126" i="24"/>
  <c r="L126" i="24"/>
  <c r="K126" i="24"/>
  <c r="U197" i="25"/>
  <c r="S197" i="25"/>
  <c r="T197" i="25"/>
  <c r="R127" i="25"/>
  <c r="K127" i="25"/>
  <c r="L127" i="25"/>
  <c r="M127" i="25"/>
  <c r="R126" i="25"/>
  <c r="M126" i="25"/>
  <c r="L126" i="25"/>
  <c r="K126" i="25"/>
  <c r="M91" i="26"/>
  <c r="L91" i="26"/>
  <c r="K91" i="26"/>
  <c r="M92" i="26"/>
  <c r="L92" i="26"/>
  <c r="K92" i="26"/>
  <c r="M90" i="26"/>
  <c r="L90" i="26"/>
  <c r="K90" i="26"/>
  <c r="U109" i="38"/>
  <c r="S109" i="38"/>
  <c r="T109" i="38"/>
  <c r="R69" i="38"/>
  <c r="M69" i="38"/>
  <c r="L69" i="38"/>
  <c r="K69" i="38"/>
  <c r="N70" i="38" s="1"/>
  <c r="R68" i="38"/>
  <c r="J109" i="38" s="1"/>
  <c r="M68" i="38"/>
  <c r="L68" i="38"/>
  <c r="K68" i="38"/>
  <c r="U113" i="37"/>
  <c r="S113" i="37"/>
  <c r="T113" i="37"/>
  <c r="R73" i="37"/>
  <c r="M73" i="37"/>
  <c r="L73" i="37"/>
  <c r="K73" i="37"/>
  <c r="R72" i="37"/>
  <c r="M72" i="37"/>
  <c r="L72" i="37"/>
  <c r="K72" i="37"/>
  <c r="U134" i="36"/>
  <c r="T134" i="36"/>
  <c r="S134" i="36"/>
  <c r="R93" i="36"/>
  <c r="R94" i="36"/>
  <c r="K94" i="36"/>
  <c r="L94" i="36"/>
  <c r="M94" i="36"/>
  <c r="M93" i="36"/>
  <c r="L93" i="36"/>
  <c r="K93" i="36"/>
  <c r="M92" i="36"/>
  <c r="L92" i="36"/>
  <c r="K92" i="36"/>
  <c r="M91" i="36"/>
  <c r="L91" i="36"/>
  <c r="K91" i="36"/>
  <c r="M90" i="36"/>
  <c r="L90" i="36"/>
  <c r="K90" i="36"/>
  <c r="U168" i="16"/>
  <c r="T168" i="16"/>
  <c r="S168" i="16"/>
  <c r="K99" i="16"/>
  <c r="L99" i="16"/>
  <c r="M99" i="16"/>
  <c r="R99" i="16"/>
  <c r="R98" i="16"/>
  <c r="M98" i="16"/>
  <c r="L98" i="16"/>
  <c r="K98" i="16"/>
  <c r="R97" i="16"/>
  <c r="M97" i="16"/>
  <c r="L97" i="16"/>
  <c r="K97" i="16"/>
  <c r="U141" i="35"/>
  <c r="T141" i="35"/>
  <c r="R101" i="35"/>
  <c r="H141" i="35" s="1"/>
  <c r="K101" i="35"/>
  <c r="L101" i="35"/>
  <c r="M101" i="35"/>
  <c r="M99" i="35"/>
  <c r="L99" i="35"/>
  <c r="K99" i="35"/>
  <c r="M100" i="35"/>
  <c r="L100" i="35"/>
  <c r="K100" i="35"/>
  <c r="M98" i="35"/>
  <c r="L98" i="35"/>
  <c r="K98" i="35"/>
  <c r="U199" i="17"/>
  <c r="S199" i="17"/>
  <c r="T199" i="17"/>
  <c r="R128" i="17"/>
  <c r="M128" i="17"/>
  <c r="L128" i="17"/>
  <c r="K128" i="17"/>
  <c r="R129" i="17"/>
  <c r="M129" i="17"/>
  <c r="L129" i="17"/>
  <c r="K129" i="17"/>
  <c r="U203" i="18"/>
  <c r="S203" i="18"/>
  <c r="T203" i="18"/>
  <c r="R131" i="18"/>
  <c r="M131" i="18"/>
  <c r="L131" i="18"/>
  <c r="K131" i="18"/>
  <c r="R130" i="18"/>
  <c r="M130" i="18"/>
  <c r="L130" i="18"/>
  <c r="K130" i="18"/>
  <c r="U215" i="13"/>
  <c r="T215" i="13"/>
  <c r="S215" i="13"/>
  <c r="R143" i="13"/>
  <c r="K143" i="13"/>
  <c r="L143" i="13"/>
  <c r="M143" i="13"/>
  <c r="T205" i="19"/>
  <c r="U205" i="19"/>
  <c r="S205" i="19"/>
  <c r="R133" i="19"/>
  <c r="R132" i="19"/>
  <c r="K133" i="19"/>
  <c r="L133" i="19"/>
  <c r="M133" i="19"/>
  <c r="K132" i="19"/>
  <c r="L132" i="19"/>
  <c r="M132" i="19"/>
  <c r="S177" i="20"/>
  <c r="T177" i="20"/>
  <c r="U177" i="20"/>
  <c r="R113" i="20"/>
  <c r="M113" i="20"/>
  <c r="L113" i="20"/>
  <c r="K113" i="20"/>
  <c r="R112" i="20"/>
  <c r="M112" i="20"/>
  <c r="L112" i="20"/>
  <c r="K112" i="20"/>
  <c r="T197" i="21"/>
  <c r="S197" i="21"/>
  <c r="U197" i="21"/>
  <c r="R127" i="21"/>
  <c r="M127" i="21"/>
  <c r="L127" i="21"/>
  <c r="K127" i="21"/>
  <c r="R126" i="21"/>
  <c r="M126" i="21"/>
  <c r="L126" i="21"/>
  <c r="K126" i="21"/>
  <c r="U105" i="34"/>
  <c r="S105" i="34"/>
  <c r="T105" i="34"/>
  <c r="R66" i="34"/>
  <c r="M66" i="34"/>
  <c r="L66" i="34"/>
  <c r="K66" i="34"/>
  <c r="R65" i="34"/>
  <c r="M65" i="34"/>
  <c r="L65" i="34"/>
  <c r="K65" i="34"/>
  <c r="R67" i="34"/>
  <c r="M67" i="34"/>
  <c r="L67" i="34"/>
  <c r="K67" i="34"/>
  <c r="S106" i="33"/>
  <c r="T106" i="33"/>
  <c r="U106" i="33"/>
  <c r="R67" i="33"/>
  <c r="K67" i="33"/>
  <c r="L67" i="33"/>
  <c r="M67" i="33"/>
  <c r="R66" i="33"/>
  <c r="M66" i="33"/>
  <c r="L66" i="33"/>
  <c r="K66" i="33"/>
  <c r="S213" i="9"/>
  <c r="T213" i="9"/>
  <c r="U213" i="9"/>
  <c r="R143" i="9"/>
  <c r="M143" i="9"/>
  <c r="L143" i="9"/>
  <c r="K143" i="9"/>
  <c r="R142" i="9"/>
  <c r="M142" i="9"/>
  <c r="L142" i="9"/>
  <c r="K142" i="9"/>
  <c r="U221" i="10"/>
  <c r="T221" i="10"/>
  <c r="S221" i="10"/>
  <c r="R151" i="10"/>
  <c r="M151" i="10"/>
  <c r="L151" i="10"/>
  <c r="K151" i="10"/>
  <c r="R150" i="10"/>
  <c r="M150" i="10"/>
  <c r="L150" i="10"/>
  <c r="K150" i="10"/>
  <c r="K149" i="10"/>
  <c r="R148" i="10"/>
  <c r="M148" i="10"/>
  <c r="L148" i="10"/>
  <c r="K148" i="10"/>
  <c r="R149" i="10"/>
  <c r="M149" i="10"/>
  <c r="L149" i="10"/>
  <c r="T202" i="11"/>
  <c r="S202" i="11"/>
  <c r="U202" i="11"/>
  <c r="R131" i="11"/>
  <c r="M131" i="11"/>
  <c r="L131" i="11"/>
  <c r="K131" i="11"/>
  <c r="R130" i="11"/>
  <c r="M130" i="11"/>
  <c r="L130" i="11"/>
  <c r="K130" i="11"/>
  <c r="J199" i="12"/>
  <c r="L199" i="12"/>
  <c r="S199" i="12"/>
  <c r="T199" i="12"/>
  <c r="U199" i="12"/>
  <c r="M129" i="12"/>
  <c r="L129" i="12"/>
  <c r="K129" i="12"/>
  <c r="M128" i="12"/>
  <c r="L128" i="12"/>
  <c r="K128" i="12"/>
  <c r="S108" i="32"/>
  <c r="T108" i="32"/>
  <c r="U108" i="32"/>
  <c r="R69" i="32"/>
  <c r="M69" i="32"/>
  <c r="L69" i="32"/>
  <c r="K69" i="32"/>
  <c r="R68" i="32"/>
  <c r="M68" i="32"/>
  <c r="L68" i="32"/>
  <c r="K68" i="32"/>
  <c r="R145" i="13"/>
  <c r="M145" i="13"/>
  <c r="L145" i="13"/>
  <c r="K145" i="13"/>
  <c r="R144" i="13"/>
  <c r="M144" i="13"/>
  <c r="L144" i="13"/>
  <c r="K144" i="13"/>
  <c r="R142" i="13"/>
  <c r="M142" i="13"/>
  <c r="L142" i="13"/>
  <c r="K142" i="13"/>
  <c r="U201" i="14"/>
  <c r="S201" i="14"/>
  <c r="T201" i="14"/>
  <c r="R132" i="14"/>
  <c r="M132" i="14"/>
  <c r="L132" i="14"/>
  <c r="R131" i="14"/>
  <c r="M131" i="14"/>
  <c r="L131" i="14"/>
  <c r="B201" i="14"/>
  <c r="S216" i="15"/>
  <c r="T216" i="15"/>
  <c r="U216" i="15"/>
  <c r="K142" i="15"/>
  <c r="L142" i="15"/>
  <c r="M142" i="15"/>
  <c r="R142" i="15"/>
  <c r="L143" i="15"/>
  <c r="M143" i="15"/>
  <c r="R143" i="15"/>
  <c r="U209" i="8"/>
  <c r="S209" i="8"/>
  <c r="R140" i="8"/>
  <c r="R139" i="8"/>
  <c r="K140" i="8"/>
  <c r="L140" i="8"/>
  <c r="M140" i="8"/>
  <c r="M139" i="8"/>
  <c r="K139" i="8"/>
  <c r="L139" i="8"/>
  <c r="R138" i="8"/>
  <c r="M138" i="8"/>
  <c r="L138" i="8"/>
  <c r="K138" i="8"/>
  <c r="R137" i="8"/>
  <c r="M137" i="8"/>
  <c r="L137" i="8"/>
  <c r="K137" i="8"/>
  <c r="C161" i="26" l="1"/>
  <c r="C108" i="32"/>
  <c r="B205" i="19"/>
  <c r="C201" i="23"/>
  <c r="C197" i="25"/>
  <c r="J161" i="26"/>
  <c r="H113" i="37"/>
  <c r="J205" i="19"/>
  <c r="B197" i="25"/>
  <c r="C197" i="21"/>
  <c r="C203" i="18"/>
  <c r="D203" i="18"/>
  <c r="D105" i="34"/>
  <c r="J199" i="17"/>
  <c r="B203" i="18"/>
  <c r="J177" i="20"/>
  <c r="W197" i="21"/>
  <c r="D213" i="9"/>
  <c r="B202" i="11"/>
  <c r="D199" i="12"/>
  <c r="D141" i="35"/>
  <c r="W213" i="9"/>
  <c r="D108" i="32"/>
  <c r="B106" i="33"/>
  <c r="C177" i="20"/>
  <c r="D113" i="37"/>
  <c r="J201" i="23"/>
  <c r="B211" i="22"/>
  <c r="C201" i="14"/>
  <c r="D201" i="14"/>
  <c r="H197" i="25"/>
  <c r="H213" i="9"/>
  <c r="D202" i="11"/>
  <c r="L197" i="21"/>
  <c r="D177" i="20"/>
  <c r="H201" i="14"/>
  <c r="B215" i="13"/>
  <c r="J202" i="11"/>
  <c r="B113" i="37"/>
  <c r="N127" i="25"/>
  <c r="N132" i="14"/>
  <c r="N126" i="21"/>
  <c r="B168" i="16"/>
  <c r="W201" i="14"/>
  <c r="H205" i="19"/>
  <c r="B141" i="35"/>
  <c r="D161" i="26"/>
  <c r="W197" i="25"/>
  <c r="C202" i="11"/>
  <c r="L221" i="10"/>
  <c r="W177" i="20"/>
  <c r="C141" i="35"/>
  <c r="D201" i="23"/>
  <c r="N143" i="13"/>
  <c r="W109" i="38"/>
  <c r="J211" i="22"/>
  <c r="C215" i="13"/>
  <c r="H203" i="18"/>
  <c r="N99" i="16"/>
  <c r="C134" i="36"/>
  <c r="D215" i="13"/>
  <c r="H221" i="10"/>
  <c r="D221" i="10"/>
  <c r="W221" i="10"/>
  <c r="J141" i="35"/>
  <c r="H109" i="38"/>
  <c r="N128" i="23"/>
  <c r="J197" i="25"/>
  <c r="B105" i="34"/>
  <c r="L205" i="19"/>
  <c r="L168" i="16"/>
  <c r="D134" i="36"/>
  <c r="L201" i="23"/>
  <c r="B221" i="10"/>
  <c r="L141" i="35"/>
  <c r="H168" i="16"/>
  <c r="B109" i="38"/>
  <c r="B161" i="26"/>
  <c r="H201" i="23"/>
  <c r="B134" i="36"/>
  <c r="H106" i="33"/>
  <c r="C221" i="10"/>
  <c r="C213" i="9"/>
  <c r="C113" i="37"/>
  <c r="H197" i="24"/>
  <c r="B201" i="23"/>
  <c r="L161" i="26"/>
  <c r="W106" i="33"/>
  <c r="D205" i="19"/>
  <c r="D168" i="16"/>
  <c r="D109" i="38"/>
  <c r="D197" i="24"/>
  <c r="N150" i="10"/>
  <c r="N144" i="13"/>
  <c r="N142" i="9"/>
  <c r="C205" i="19"/>
  <c r="L134" i="36"/>
  <c r="N112" i="20"/>
  <c r="N91" i="26"/>
  <c r="H161" i="26"/>
  <c r="B213" i="9"/>
  <c r="J203" i="18"/>
  <c r="J113" i="37"/>
  <c r="J215" i="13"/>
  <c r="J221" i="10"/>
  <c r="C199" i="12"/>
  <c r="H177" i="20"/>
  <c r="J168" i="16"/>
  <c r="J201" i="14"/>
  <c r="B209" i="8"/>
  <c r="D197" i="21"/>
  <c r="B199" i="17"/>
  <c r="C209" i="8"/>
  <c r="H197" i="21"/>
  <c r="B197" i="21"/>
  <c r="W199" i="17"/>
  <c r="C168" i="16"/>
  <c r="C109" i="38"/>
  <c r="C197" i="24"/>
  <c r="D209" i="8"/>
  <c r="H209" i="8"/>
  <c r="L211" i="22"/>
  <c r="H211" i="22"/>
  <c r="N100" i="6"/>
  <c r="H216" i="15"/>
  <c r="W216" i="15"/>
  <c r="N142" i="15"/>
  <c r="H134" i="36"/>
  <c r="J134" i="36"/>
  <c r="H215" i="13"/>
  <c r="L215" i="13"/>
  <c r="C211" i="22"/>
  <c r="W211" i="22"/>
  <c r="N140" i="22"/>
  <c r="N141" i="22"/>
  <c r="D211" i="22"/>
  <c r="W201" i="23"/>
  <c r="N127" i="23"/>
  <c r="N129" i="23"/>
  <c r="W197" i="24"/>
  <c r="J197" i="24"/>
  <c r="L197" i="24"/>
  <c r="N127" i="24"/>
  <c r="N126" i="24"/>
  <c r="D197" i="25"/>
  <c r="L197" i="25"/>
  <c r="N126" i="25"/>
  <c r="W161" i="26"/>
  <c r="N90" i="26"/>
  <c r="N92" i="26"/>
  <c r="L109" i="38"/>
  <c r="N69" i="38"/>
  <c r="N73" i="37"/>
  <c r="W113" i="37"/>
  <c r="N72" i="37"/>
  <c r="L113" i="37"/>
  <c r="W134" i="36"/>
  <c r="N94" i="36"/>
  <c r="N91" i="36"/>
  <c r="N90" i="36"/>
  <c r="N93" i="36"/>
  <c r="N92" i="36"/>
  <c r="W168" i="16"/>
  <c r="N97" i="16"/>
  <c r="N98" i="16"/>
  <c r="N101" i="35"/>
  <c r="W141" i="35"/>
  <c r="N99" i="35"/>
  <c r="N100" i="35"/>
  <c r="N98" i="35"/>
  <c r="C199" i="17"/>
  <c r="D199" i="17"/>
  <c r="H199" i="17"/>
  <c r="L199" i="17"/>
  <c r="N129" i="17"/>
  <c r="N128" i="17"/>
  <c r="W203" i="18"/>
  <c r="N130" i="18"/>
  <c r="L203" i="18"/>
  <c r="N131" i="18"/>
  <c r="J105" i="34"/>
  <c r="W105" i="34"/>
  <c r="J209" i="8"/>
  <c r="L209" i="8"/>
  <c r="W205" i="19"/>
  <c r="N133" i="19"/>
  <c r="N132" i="19"/>
  <c r="N113" i="20"/>
  <c r="L177" i="20"/>
  <c r="B177" i="20"/>
  <c r="N127" i="21"/>
  <c r="J197" i="21"/>
  <c r="H105" i="34"/>
  <c r="N65" i="34"/>
  <c r="N66" i="34"/>
  <c r="L105" i="34"/>
  <c r="C105" i="34"/>
  <c r="N67" i="34"/>
  <c r="D106" i="33"/>
  <c r="N66" i="33"/>
  <c r="N67" i="33"/>
  <c r="L106" i="33"/>
  <c r="J106" i="33"/>
  <c r="C106" i="33"/>
  <c r="N143" i="9"/>
  <c r="L213" i="9"/>
  <c r="J213" i="9"/>
  <c r="N148" i="10"/>
  <c r="N151" i="10"/>
  <c r="N149" i="10"/>
  <c r="W202" i="11"/>
  <c r="N130" i="11"/>
  <c r="H202" i="11"/>
  <c r="N131" i="11"/>
  <c r="L202" i="11"/>
  <c r="J108" i="32"/>
  <c r="H108" i="32"/>
  <c r="B108" i="32"/>
  <c r="N199" i="12"/>
  <c r="N128" i="12"/>
  <c r="N129" i="12"/>
  <c r="W199" i="12"/>
  <c r="B199" i="12"/>
  <c r="W108" i="32"/>
  <c r="N69" i="32"/>
  <c r="L108" i="32"/>
  <c r="N68" i="32"/>
  <c r="W215" i="13"/>
  <c r="N142" i="13"/>
  <c r="N145" i="13"/>
  <c r="L201" i="14"/>
  <c r="N131" i="14"/>
  <c r="B216" i="15"/>
  <c r="D216" i="15"/>
  <c r="N143" i="15"/>
  <c r="L216" i="15"/>
  <c r="J216" i="15"/>
  <c r="C216" i="15"/>
  <c r="W209" i="8"/>
  <c r="N137" i="8"/>
  <c r="N138" i="8"/>
  <c r="N139" i="8"/>
  <c r="N140" i="8"/>
  <c r="S102" i="31"/>
  <c r="U102" i="31"/>
  <c r="T102" i="31"/>
  <c r="R64" i="31"/>
  <c r="R59" i="31"/>
  <c r="R60" i="31"/>
  <c r="R61" i="31"/>
  <c r="R62" i="31"/>
  <c r="R63" i="31"/>
  <c r="R58" i="31"/>
  <c r="K64" i="31"/>
  <c r="L64" i="31"/>
  <c r="M64" i="31"/>
  <c r="M63" i="31"/>
  <c r="L63" i="31"/>
  <c r="K63" i="31"/>
  <c r="S198" i="7"/>
  <c r="U198" i="7"/>
  <c r="T198" i="7"/>
  <c r="R129" i="7"/>
  <c r="K129" i="7"/>
  <c r="L129" i="7"/>
  <c r="M129" i="7"/>
  <c r="R128" i="7"/>
  <c r="M128" i="7"/>
  <c r="L128" i="7"/>
  <c r="K128" i="7"/>
  <c r="S111" i="29"/>
  <c r="U111" i="29"/>
  <c r="T111" i="29"/>
  <c r="R72" i="29"/>
  <c r="M72" i="29"/>
  <c r="L72" i="29"/>
  <c r="K72" i="29"/>
  <c r="R71" i="29"/>
  <c r="M71" i="29"/>
  <c r="L71" i="29"/>
  <c r="K71" i="29"/>
  <c r="R101" i="6"/>
  <c r="L152" i="6" s="1"/>
  <c r="K101" i="6"/>
  <c r="B152" i="6" s="1"/>
  <c r="L101" i="6"/>
  <c r="C152" i="6" s="1"/>
  <c r="M101" i="6"/>
  <c r="D152" i="6" s="1"/>
  <c r="T93" i="30"/>
  <c r="S93" i="30"/>
  <c r="U93" i="30"/>
  <c r="R52" i="30"/>
  <c r="M52" i="30"/>
  <c r="L52" i="30"/>
  <c r="K52" i="30"/>
  <c r="R51" i="30"/>
  <c r="M51" i="30"/>
  <c r="L51" i="30"/>
  <c r="K51" i="30"/>
  <c r="T199" i="5"/>
  <c r="U199" i="5"/>
  <c r="S199" i="5"/>
  <c r="R129" i="5"/>
  <c r="K129" i="5"/>
  <c r="L129" i="5"/>
  <c r="M129" i="5"/>
  <c r="N129" i="5" s="1"/>
  <c r="R128" i="5"/>
  <c r="M128" i="5"/>
  <c r="L128" i="5"/>
  <c r="K128" i="5"/>
  <c r="S114" i="28"/>
  <c r="U114" i="28"/>
  <c r="T114" i="28"/>
  <c r="R75" i="28"/>
  <c r="M75" i="28"/>
  <c r="L75" i="28"/>
  <c r="K75" i="28"/>
  <c r="R74" i="28"/>
  <c r="M74" i="28"/>
  <c r="L74" i="28"/>
  <c r="K74" i="28"/>
  <c r="U205" i="3"/>
  <c r="T205" i="3"/>
  <c r="S205" i="3"/>
  <c r="R135" i="3"/>
  <c r="L206" i="3" s="1"/>
  <c r="N206" i="3" s="1"/>
  <c r="R134" i="3"/>
  <c r="K135" i="3"/>
  <c r="L135" i="3"/>
  <c r="M135" i="3"/>
  <c r="K134" i="3"/>
  <c r="L134" i="3"/>
  <c r="M134" i="3"/>
  <c r="U198" i="2"/>
  <c r="T198" i="2"/>
  <c r="S198" i="2"/>
  <c r="K127" i="2"/>
  <c r="L127" i="2"/>
  <c r="M127" i="2"/>
  <c r="R127" i="2"/>
  <c r="K128" i="2"/>
  <c r="L128" i="2"/>
  <c r="M128" i="2"/>
  <c r="R128" i="2"/>
  <c r="L198" i="2" s="1"/>
  <c r="K129" i="2"/>
  <c r="L129" i="2"/>
  <c r="M129" i="2"/>
  <c r="R129" i="2"/>
  <c r="K126" i="2"/>
  <c r="L126" i="2"/>
  <c r="M126" i="2"/>
  <c r="R126" i="2"/>
  <c r="R134" i="1"/>
  <c r="R133" i="1"/>
  <c r="K133" i="1"/>
  <c r="L133" i="1"/>
  <c r="C203" i="1" s="1"/>
  <c r="M133" i="1"/>
  <c r="K134" i="1"/>
  <c r="L134" i="1"/>
  <c r="M134" i="1"/>
  <c r="E201" i="14" l="1"/>
  <c r="N205" i="19"/>
  <c r="E108" i="32"/>
  <c r="E197" i="25"/>
  <c r="E215" i="13"/>
  <c r="E197" i="24"/>
  <c r="B203" i="1"/>
  <c r="J152" i="6"/>
  <c r="N152" i="6" s="1"/>
  <c r="E201" i="23"/>
  <c r="E199" i="12"/>
  <c r="N141" i="35"/>
  <c r="N197" i="24"/>
  <c r="H102" i="31"/>
  <c r="E161" i="26"/>
  <c r="E113" i="37"/>
  <c r="E141" i="35"/>
  <c r="E203" i="18"/>
  <c r="E134" i="36"/>
  <c r="E168" i="16"/>
  <c r="N168" i="16"/>
  <c r="N177" i="20"/>
  <c r="E202" i="11"/>
  <c r="N201" i="14"/>
  <c r="D198" i="7"/>
  <c r="B93" i="30"/>
  <c r="C93" i="30"/>
  <c r="E205" i="19"/>
  <c r="E209" i="8"/>
  <c r="J111" i="29"/>
  <c r="C102" i="31"/>
  <c r="N197" i="25"/>
  <c r="D205" i="3"/>
  <c r="D199" i="5"/>
  <c r="N134" i="36"/>
  <c r="N109" i="38"/>
  <c r="W198" i="2"/>
  <c r="W102" i="31"/>
  <c r="E177" i="20"/>
  <c r="W114" i="28"/>
  <c r="B102" i="31"/>
  <c r="C199" i="5"/>
  <c r="N75" i="28"/>
  <c r="B111" i="29"/>
  <c r="D114" i="28"/>
  <c r="D93" i="30"/>
  <c r="N213" i="9"/>
  <c r="E213" i="9"/>
  <c r="L203" i="1"/>
  <c r="J203" i="1"/>
  <c r="L114" i="28"/>
  <c r="L93" i="30"/>
  <c r="W93" i="30"/>
  <c r="N211" i="22"/>
  <c r="E197" i="21"/>
  <c r="C114" i="28"/>
  <c r="C198" i="2"/>
  <c r="H114" i="28"/>
  <c r="B198" i="7"/>
  <c r="E109" i="38"/>
  <c r="D198" i="2"/>
  <c r="B198" i="2"/>
  <c r="H199" i="5"/>
  <c r="D111" i="29"/>
  <c r="W198" i="7"/>
  <c r="H93" i="30"/>
  <c r="L111" i="29"/>
  <c r="C205" i="3"/>
  <c r="J114" i="28"/>
  <c r="J199" i="5"/>
  <c r="H198" i="7"/>
  <c r="D203" i="1"/>
  <c r="L102" i="31"/>
  <c r="D102" i="31"/>
  <c r="J93" i="30"/>
  <c r="N74" i="28"/>
  <c r="B114" i="28"/>
  <c r="H111" i="29"/>
  <c r="N129" i="7"/>
  <c r="B205" i="3"/>
  <c r="J205" i="3"/>
  <c r="H205" i="3"/>
  <c r="J198" i="2"/>
  <c r="N198" i="2" s="1"/>
  <c r="H152" i="6"/>
  <c r="N106" i="33"/>
  <c r="N161" i="26"/>
  <c r="N101" i="6"/>
  <c r="E152" i="6"/>
  <c r="W152" i="6"/>
  <c r="W203" i="1"/>
  <c r="H203" i="1"/>
  <c r="E211" i="22"/>
  <c r="N201" i="23"/>
  <c r="N113" i="37"/>
  <c r="E199" i="17"/>
  <c r="N199" i="17"/>
  <c r="N203" i="18"/>
  <c r="N197" i="21"/>
  <c r="N105" i="34"/>
  <c r="E105" i="34"/>
  <c r="E106" i="33"/>
  <c r="N221" i="10"/>
  <c r="E221" i="10"/>
  <c r="N202" i="11"/>
  <c r="N108" i="32"/>
  <c r="N215" i="13"/>
  <c r="E216" i="15"/>
  <c r="N216" i="15"/>
  <c r="N209" i="8"/>
  <c r="J102" i="31"/>
  <c r="N63" i="31"/>
  <c r="N64" i="31"/>
  <c r="N128" i="7"/>
  <c r="J198" i="7"/>
  <c r="C198" i="7"/>
  <c r="L198" i="7"/>
  <c r="N72" i="29"/>
  <c r="W111" i="29"/>
  <c r="N71" i="29"/>
  <c r="C111" i="29"/>
  <c r="N52" i="30"/>
  <c r="N51" i="30"/>
  <c r="L199" i="5"/>
  <c r="W199" i="5"/>
  <c r="N128" i="5"/>
  <c r="B199" i="5"/>
  <c r="N135" i="3"/>
  <c r="N134" i="3"/>
  <c r="N128" i="2"/>
  <c r="N127" i="2"/>
  <c r="N126" i="2"/>
  <c r="N129" i="2"/>
  <c r="N133" i="1"/>
  <c r="N134" i="1"/>
  <c r="E93" i="30" l="1"/>
  <c r="E102" i="31"/>
  <c r="N102" i="31"/>
  <c r="E198" i="7"/>
  <c r="N111" i="29"/>
  <c r="E199" i="5"/>
  <c r="N199" i="5"/>
  <c r="E111" i="29"/>
  <c r="E114" i="28"/>
  <c r="N203" i="1"/>
  <c r="N198" i="7"/>
  <c r="E198" i="2"/>
  <c r="E203" i="1"/>
  <c r="N93" i="30"/>
  <c r="N114" i="28"/>
  <c r="R147" i="10" l="1"/>
  <c r="H101" i="31" l="1"/>
  <c r="S196" i="21" l="1"/>
  <c r="T196" i="21"/>
  <c r="U196" i="21"/>
  <c r="S202" i="18"/>
  <c r="T202" i="18"/>
  <c r="U202" i="18"/>
  <c r="U210" i="22"/>
  <c r="T210" i="22"/>
  <c r="R138" i="22"/>
  <c r="L210" i="22" s="1"/>
  <c r="K139" i="22"/>
  <c r="L139" i="22"/>
  <c r="M139" i="22"/>
  <c r="K138" i="22"/>
  <c r="B210" i="22" s="1"/>
  <c r="L138" i="22"/>
  <c r="M138" i="22"/>
  <c r="S200" i="23"/>
  <c r="T200" i="23"/>
  <c r="U200" i="23"/>
  <c r="R126" i="23"/>
  <c r="M126" i="23"/>
  <c r="L126" i="23"/>
  <c r="K126" i="23"/>
  <c r="R125" i="23"/>
  <c r="H200" i="23" s="1"/>
  <c r="M125" i="23"/>
  <c r="L125" i="23"/>
  <c r="K125" i="23"/>
  <c r="S196" i="24"/>
  <c r="T196" i="24"/>
  <c r="U196" i="24"/>
  <c r="R125" i="24"/>
  <c r="M125" i="24"/>
  <c r="L125" i="24"/>
  <c r="K125" i="24"/>
  <c r="R124" i="24"/>
  <c r="M124" i="24"/>
  <c r="L124" i="24"/>
  <c r="K124" i="24"/>
  <c r="B196" i="24" s="1"/>
  <c r="U196" i="25"/>
  <c r="S196" i="25"/>
  <c r="T196" i="25"/>
  <c r="R125" i="25"/>
  <c r="R124" i="25"/>
  <c r="R123" i="25"/>
  <c r="K125" i="25"/>
  <c r="L125" i="25"/>
  <c r="M125" i="25"/>
  <c r="K124" i="25"/>
  <c r="L124" i="25"/>
  <c r="M124" i="25"/>
  <c r="L89" i="26"/>
  <c r="M89" i="26"/>
  <c r="K89" i="26"/>
  <c r="R88" i="26"/>
  <c r="M88" i="26"/>
  <c r="L88" i="26"/>
  <c r="K88" i="26"/>
  <c r="U108" i="38"/>
  <c r="S108" i="38"/>
  <c r="R67" i="38"/>
  <c r="K67" i="38"/>
  <c r="L67" i="38"/>
  <c r="M67" i="38"/>
  <c r="R66" i="38"/>
  <c r="M66" i="38"/>
  <c r="L66" i="38"/>
  <c r="K66" i="38"/>
  <c r="U112" i="37"/>
  <c r="S112" i="37"/>
  <c r="T112" i="37"/>
  <c r="R71" i="37"/>
  <c r="R70" i="37"/>
  <c r="K71" i="37"/>
  <c r="L71" i="37"/>
  <c r="M71" i="37"/>
  <c r="K70" i="37"/>
  <c r="L70" i="37"/>
  <c r="C112" i="37" s="1"/>
  <c r="M70" i="37"/>
  <c r="T133" i="36"/>
  <c r="U133" i="36"/>
  <c r="S133" i="36"/>
  <c r="J133" i="36"/>
  <c r="L133" i="36"/>
  <c r="H133" i="36"/>
  <c r="L89" i="36"/>
  <c r="K89" i="36"/>
  <c r="M89" i="36"/>
  <c r="K88" i="36"/>
  <c r="L88" i="36"/>
  <c r="M88" i="36"/>
  <c r="M87" i="36"/>
  <c r="L87" i="36"/>
  <c r="K87" i="36"/>
  <c r="S167" i="16"/>
  <c r="T167" i="16"/>
  <c r="U167" i="16"/>
  <c r="R96" i="16"/>
  <c r="M96" i="16"/>
  <c r="L96" i="16"/>
  <c r="K96" i="16"/>
  <c r="R95" i="16"/>
  <c r="M95" i="16"/>
  <c r="L95" i="16"/>
  <c r="K95" i="16"/>
  <c r="S140" i="35"/>
  <c r="H140" i="35"/>
  <c r="J140" i="35"/>
  <c r="L140" i="35"/>
  <c r="T140" i="35"/>
  <c r="U140" i="35"/>
  <c r="K97" i="35"/>
  <c r="L97" i="35"/>
  <c r="M97" i="35"/>
  <c r="K96" i="35"/>
  <c r="L96" i="35"/>
  <c r="M96" i="35"/>
  <c r="T198" i="17"/>
  <c r="S198" i="17"/>
  <c r="U198" i="17"/>
  <c r="R127" i="17"/>
  <c r="R126" i="17"/>
  <c r="K127" i="17"/>
  <c r="L127" i="17"/>
  <c r="M127" i="17"/>
  <c r="K126" i="17"/>
  <c r="L126" i="17"/>
  <c r="M126" i="17"/>
  <c r="R129" i="18"/>
  <c r="R128" i="18"/>
  <c r="K128" i="18"/>
  <c r="L128" i="18"/>
  <c r="M128" i="18"/>
  <c r="K129" i="18"/>
  <c r="L129" i="18"/>
  <c r="M129" i="18"/>
  <c r="U204" i="19"/>
  <c r="T204" i="19"/>
  <c r="S204" i="19"/>
  <c r="R131" i="19"/>
  <c r="R130" i="19"/>
  <c r="K130" i="19"/>
  <c r="L130" i="19"/>
  <c r="M130" i="19"/>
  <c r="K131" i="19"/>
  <c r="L131" i="19"/>
  <c r="M131" i="19"/>
  <c r="S176" i="20"/>
  <c r="T176" i="20"/>
  <c r="U176" i="20"/>
  <c r="R111" i="20"/>
  <c r="M111" i="20"/>
  <c r="L111" i="20"/>
  <c r="K111" i="20"/>
  <c r="R110" i="20"/>
  <c r="M110" i="20"/>
  <c r="L110" i="20"/>
  <c r="K110" i="20"/>
  <c r="R125" i="21"/>
  <c r="K125" i="21"/>
  <c r="L125" i="21"/>
  <c r="M125" i="21"/>
  <c r="R124" i="21"/>
  <c r="M124" i="21"/>
  <c r="L124" i="21"/>
  <c r="K124" i="21"/>
  <c r="T104" i="34"/>
  <c r="S104" i="34"/>
  <c r="U104" i="34"/>
  <c r="R64" i="34"/>
  <c r="K64" i="34"/>
  <c r="L64" i="34"/>
  <c r="M64" i="34"/>
  <c r="T105" i="33"/>
  <c r="S105" i="33"/>
  <c r="U105" i="33"/>
  <c r="R65" i="33"/>
  <c r="K65" i="33"/>
  <c r="L65" i="33"/>
  <c r="M65" i="33"/>
  <c r="R64" i="33"/>
  <c r="M64" i="33"/>
  <c r="L64" i="33"/>
  <c r="C105" i="33" s="1"/>
  <c r="K64" i="33"/>
  <c r="S212" i="9"/>
  <c r="T212" i="9"/>
  <c r="U212" i="9"/>
  <c r="R141" i="9"/>
  <c r="R140" i="9"/>
  <c r="H212" i="9" s="1"/>
  <c r="K141" i="9"/>
  <c r="L141" i="9"/>
  <c r="M141" i="9"/>
  <c r="K140" i="9"/>
  <c r="L140" i="9"/>
  <c r="M140" i="9"/>
  <c r="B167" i="16" l="1"/>
  <c r="H202" i="18"/>
  <c r="H198" i="17"/>
  <c r="B160" i="26"/>
  <c r="D200" i="23"/>
  <c r="J112" i="37"/>
  <c r="H108" i="38"/>
  <c r="J108" i="38"/>
  <c r="B204" i="19"/>
  <c r="L160" i="26"/>
  <c r="J160" i="26"/>
  <c r="H160" i="26"/>
  <c r="H167" i="16"/>
  <c r="C196" i="21"/>
  <c r="C176" i="20"/>
  <c r="D196" i="24"/>
  <c r="D176" i="20"/>
  <c r="H196" i="21"/>
  <c r="H176" i="20"/>
  <c r="B140" i="35"/>
  <c r="C200" i="23"/>
  <c r="H105" i="33"/>
  <c r="N138" i="22"/>
  <c r="N139" i="22"/>
  <c r="H210" i="22"/>
  <c r="W210" i="22"/>
  <c r="C210" i="22"/>
  <c r="W200" i="23"/>
  <c r="J196" i="24"/>
  <c r="W196" i="25"/>
  <c r="D196" i="25"/>
  <c r="C196" i="25"/>
  <c r="N125" i="25"/>
  <c r="L196" i="25"/>
  <c r="H196" i="25"/>
  <c r="C160" i="26"/>
  <c r="N68" i="38"/>
  <c r="B108" i="38"/>
  <c r="B112" i="37"/>
  <c r="W112" i="37"/>
  <c r="D112" i="37"/>
  <c r="N88" i="36"/>
  <c r="W133" i="36"/>
  <c r="N87" i="36"/>
  <c r="D167" i="16"/>
  <c r="L167" i="16"/>
  <c r="W167" i="16"/>
  <c r="D140" i="35"/>
  <c r="N140" i="35"/>
  <c r="D198" i="17"/>
  <c r="W198" i="17"/>
  <c r="B198" i="17"/>
  <c r="B202" i="18"/>
  <c r="W202" i="18"/>
  <c r="W204" i="19"/>
  <c r="W176" i="20"/>
  <c r="L176" i="20"/>
  <c r="B196" i="21"/>
  <c r="W104" i="34"/>
  <c r="W105" i="33"/>
  <c r="B105" i="33"/>
  <c r="W212" i="9"/>
  <c r="B212" i="9"/>
  <c r="D212" i="9"/>
  <c r="N141" i="9"/>
  <c r="C212" i="9"/>
  <c r="D105" i="33"/>
  <c r="N110" i="20"/>
  <c r="N111" i="20"/>
  <c r="L204" i="19"/>
  <c r="N129" i="18"/>
  <c r="H112" i="37"/>
  <c r="N97" i="35"/>
  <c r="L108" i="38"/>
  <c r="N89" i="26"/>
  <c r="H196" i="24"/>
  <c r="D210" i="22"/>
  <c r="J210" i="22"/>
  <c r="D204" i="19"/>
  <c r="N130" i="19"/>
  <c r="D202" i="18"/>
  <c r="C140" i="35"/>
  <c r="N67" i="38"/>
  <c r="D108" i="38"/>
  <c r="N65" i="33"/>
  <c r="N128" i="18"/>
  <c r="N127" i="17"/>
  <c r="L198" i="17"/>
  <c r="D133" i="36"/>
  <c r="N133" i="36"/>
  <c r="L112" i="37"/>
  <c r="N88" i="26"/>
  <c r="N124" i="24"/>
  <c r="N125" i="23"/>
  <c r="N126" i="23"/>
  <c r="B200" i="23"/>
  <c r="W108" i="38"/>
  <c r="C108" i="38"/>
  <c r="C133" i="36"/>
  <c r="N89" i="36"/>
  <c r="B104" i="34"/>
  <c r="C104" i="34"/>
  <c r="D104" i="34"/>
  <c r="H104" i="34"/>
  <c r="J104" i="34"/>
  <c r="W196" i="21"/>
  <c r="L196" i="21"/>
  <c r="N125" i="21"/>
  <c r="D196" i="21"/>
  <c r="J196" i="21"/>
  <c r="L202" i="18"/>
  <c r="J202" i="18"/>
  <c r="C202" i="18"/>
  <c r="L200" i="23"/>
  <c r="J200" i="23"/>
  <c r="N125" i="24"/>
  <c r="W196" i="24"/>
  <c r="L196" i="24"/>
  <c r="C196" i="24"/>
  <c r="B196" i="25"/>
  <c r="J196" i="25"/>
  <c r="N124" i="25"/>
  <c r="D160" i="26"/>
  <c r="W160" i="26"/>
  <c r="N70" i="37"/>
  <c r="N71" i="37"/>
  <c r="B133" i="36"/>
  <c r="N95" i="16"/>
  <c r="J167" i="16"/>
  <c r="C167" i="16"/>
  <c r="N96" i="16"/>
  <c r="W140" i="35"/>
  <c r="N96" i="35"/>
  <c r="N126" i="17"/>
  <c r="J198" i="17"/>
  <c r="C198" i="17"/>
  <c r="H204" i="19"/>
  <c r="J204" i="19"/>
  <c r="N131" i="19"/>
  <c r="C204" i="19"/>
  <c r="J176" i="20"/>
  <c r="B176" i="20"/>
  <c r="N124" i="21"/>
  <c r="N64" i="34"/>
  <c r="L104" i="34"/>
  <c r="L105" i="33"/>
  <c r="J105" i="33"/>
  <c r="N64" i="33"/>
  <c r="L212" i="9"/>
  <c r="J212" i="9"/>
  <c r="N140" i="9"/>
  <c r="T220" i="10"/>
  <c r="U220" i="10"/>
  <c r="K147" i="10"/>
  <c r="L147" i="10"/>
  <c r="M147" i="10"/>
  <c r="R146" i="10"/>
  <c r="K146" i="10"/>
  <c r="B220" i="10" s="1"/>
  <c r="L146" i="10"/>
  <c r="M146" i="10"/>
  <c r="S201" i="11"/>
  <c r="T201" i="11"/>
  <c r="U201" i="11"/>
  <c r="R129" i="11"/>
  <c r="R128" i="11"/>
  <c r="K129" i="11"/>
  <c r="L129" i="11"/>
  <c r="M129" i="11"/>
  <c r="K128" i="11"/>
  <c r="L128" i="11"/>
  <c r="M128" i="11"/>
  <c r="T198" i="12"/>
  <c r="U198" i="12"/>
  <c r="S198" i="12"/>
  <c r="L198" i="12"/>
  <c r="J198" i="12"/>
  <c r="H198" i="12"/>
  <c r="R127" i="12"/>
  <c r="R126" i="12"/>
  <c r="K126" i="12"/>
  <c r="L126" i="12"/>
  <c r="M126" i="12"/>
  <c r="K127" i="12"/>
  <c r="L127" i="12"/>
  <c r="M127" i="12"/>
  <c r="T107" i="32"/>
  <c r="U107" i="32"/>
  <c r="S107" i="32"/>
  <c r="R67" i="32"/>
  <c r="R66" i="32"/>
  <c r="K67" i="32"/>
  <c r="L67" i="32"/>
  <c r="M67" i="32"/>
  <c r="K66" i="32"/>
  <c r="L66" i="32"/>
  <c r="M66" i="32"/>
  <c r="S214" i="13"/>
  <c r="T214" i="13"/>
  <c r="U214" i="13"/>
  <c r="R141" i="13"/>
  <c r="R140" i="13"/>
  <c r="K140" i="13"/>
  <c r="L140" i="13"/>
  <c r="M140" i="13"/>
  <c r="K141" i="13"/>
  <c r="L141" i="13"/>
  <c r="M141" i="13"/>
  <c r="T200" i="14"/>
  <c r="U200" i="14"/>
  <c r="S200" i="14"/>
  <c r="R130" i="14"/>
  <c r="L130" i="14"/>
  <c r="M130" i="14"/>
  <c r="R129" i="14"/>
  <c r="M129" i="14"/>
  <c r="L129" i="14"/>
  <c r="K129" i="14"/>
  <c r="U215" i="15"/>
  <c r="T215" i="15"/>
  <c r="S215" i="15"/>
  <c r="R141" i="15"/>
  <c r="R140" i="15"/>
  <c r="K141" i="15"/>
  <c r="L141" i="15"/>
  <c r="M141" i="15"/>
  <c r="K140" i="15"/>
  <c r="L140" i="15"/>
  <c r="M140" i="15"/>
  <c r="U208" i="8"/>
  <c r="T208" i="8"/>
  <c r="S208" i="8"/>
  <c r="R136" i="8"/>
  <c r="R135" i="8"/>
  <c r="M136" i="8"/>
  <c r="L136" i="8"/>
  <c r="K136" i="8"/>
  <c r="K135" i="8"/>
  <c r="L135" i="8"/>
  <c r="M135" i="8"/>
  <c r="U101" i="31"/>
  <c r="J101" i="31"/>
  <c r="L101" i="31"/>
  <c r="S101" i="31"/>
  <c r="T101" i="31"/>
  <c r="M62" i="31"/>
  <c r="L62" i="31"/>
  <c r="K62" i="31"/>
  <c r="M61" i="31"/>
  <c r="L61" i="31"/>
  <c r="K61" i="31"/>
  <c r="S197" i="7"/>
  <c r="T197" i="7"/>
  <c r="U197" i="7"/>
  <c r="R126" i="7"/>
  <c r="R127" i="7"/>
  <c r="K127" i="7"/>
  <c r="L127" i="7"/>
  <c r="M127" i="7"/>
  <c r="K126" i="7"/>
  <c r="L126" i="7"/>
  <c r="M126" i="7"/>
  <c r="S110" i="29"/>
  <c r="T110" i="29"/>
  <c r="U110" i="29"/>
  <c r="R70" i="29"/>
  <c r="R69" i="29"/>
  <c r="K70" i="29"/>
  <c r="L70" i="29"/>
  <c r="M70" i="29"/>
  <c r="K69" i="29"/>
  <c r="L69" i="29"/>
  <c r="M69" i="29"/>
  <c r="U151" i="6"/>
  <c r="S151" i="6"/>
  <c r="T151" i="6"/>
  <c r="R99" i="6"/>
  <c r="R98" i="6"/>
  <c r="K98" i="6"/>
  <c r="L98" i="6"/>
  <c r="M98" i="6"/>
  <c r="K99" i="6"/>
  <c r="L99" i="6"/>
  <c r="M99" i="6"/>
  <c r="S92" i="30"/>
  <c r="T92" i="30"/>
  <c r="U92" i="30"/>
  <c r="R50" i="30"/>
  <c r="R49" i="30"/>
  <c r="K49" i="30"/>
  <c r="L49" i="30"/>
  <c r="M49" i="30"/>
  <c r="K50" i="30"/>
  <c r="L50" i="30"/>
  <c r="M50" i="30"/>
  <c r="T198" i="5"/>
  <c r="S198" i="5"/>
  <c r="U198" i="5"/>
  <c r="R127" i="5"/>
  <c r="R126" i="5"/>
  <c r="K127" i="5"/>
  <c r="L127" i="5"/>
  <c r="M127" i="5"/>
  <c r="K126" i="5"/>
  <c r="L126" i="5"/>
  <c r="M126" i="5"/>
  <c r="U113" i="28"/>
  <c r="T113" i="28"/>
  <c r="S113" i="28"/>
  <c r="R73" i="28"/>
  <c r="R72" i="28"/>
  <c r="K73" i="28"/>
  <c r="L73" i="28"/>
  <c r="M73" i="28"/>
  <c r="K72" i="28"/>
  <c r="L72" i="28"/>
  <c r="M72" i="28"/>
  <c r="U204" i="3"/>
  <c r="T204" i="3"/>
  <c r="S204" i="3"/>
  <c r="R133" i="3"/>
  <c r="W205" i="3" s="1"/>
  <c r="M133" i="3"/>
  <c r="L133" i="3"/>
  <c r="K133" i="3"/>
  <c r="R132" i="3"/>
  <c r="R131" i="3"/>
  <c r="K132" i="3"/>
  <c r="L132" i="3"/>
  <c r="M132" i="3"/>
  <c r="K131" i="3"/>
  <c r="L131" i="3"/>
  <c r="M131" i="3"/>
  <c r="H197" i="2"/>
  <c r="S197" i="2"/>
  <c r="J197" i="2"/>
  <c r="L197" i="2"/>
  <c r="T197" i="2"/>
  <c r="U197" i="2"/>
  <c r="R125" i="2"/>
  <c r="R124" i="2"/>
  <c r="W197" i="2" s="1"/>
  <c r="K124" i="2"/>
  <c r="L124" i="2"/>
  <c r="M124" i="2"/>
  <c r="K125" i="2"/>
  <c r="L125" i="2"/>
  <c r="M125" i="2"/>
  <c r="U202" i="1"/>
  <c r="T202" i="1"/>
  <c r="S202" i="1"/>
  <c r="R132" i="1"/>
  <c r="K132" i="1"/>
  <c r="L132" i="1"/>
  <c r="M132" i="1"/>
  <c r="R131" i="1"/>
  <c r="K131" i="1"/>
  <c r="L131" i="1"/>
  <c r="M131" i="1"/>
  <c r="J220" i="10" l="1"/>
  <c r="H220" i="10"/>
  <c r="B214" i="13"/>
  <c r="H214" i="13"/>
  <c r="E196" i="24"/>
  <c r="N198" i="17"/>
  <c r="C202" i="1"/>
  <c r="J202" i="1"/>
  <c r="E105" i="33"/>
  <c r="L92" i="30"/>
  <c r="D113" i="28"/>
  <c r="N126" i="7"/>
  <c r="H201" i="11"/>
  <c r="E176" i="20"/>
  <c r="D202" i="1"/>
  <c r="C151" i="6"/>
  <c r="C110" i="29"/>
  <c r="D220" i="10"/>
  <c r="N196" i="25"/>
  <c r="B151" i="6"/>
  <c r="W110" i="29"/>
  <c r="C208" i="8"/>
  <c r="J200" i="14"/>
  <c r="E200" i="23"/>
  <c r="C200" i="14"/>
  <c r="D197" i="2"/>
  <c r="E112" i="37"/>
  <c r="N197" i="2"/>
  <c r="W151" i="6"/>
  <c r="L215" i="15"/>
  <c r="W215" i="15"/>
  <c r="N210" i="22"/>
  <c r="E210" i="22"/>
  <c r="N200" i="23"/>
  <c r="N196" i="24"/>
  <c r="E196" i="25"/>
  <c r="E160" i="26"/>
  <c r="N160" i="26"/>
  <c r="E108" i="38"/>
  <c r="N112" i="37"/>
  <c r="E133" i="36"/>
  <c r="E167" i="16"/>
  <c r="N167" i="16"/>
  <c r="E140" i="35"/>
  <c r="E198" i="17"/>
  <c r="N202" i="18"/>
  <c r="E204" i="19"/>
  <c r="N176" i="20"/>
  <c r="E196" i="21"/>
  <c r="E104" i="34"/>
  <c r="N104" i="34"/>
  <c r="E212" i="9"/>
  <c r="D201" i="11"/>
  <c r="W198" i="12"/>
  <c r="C198" i="12"/>
  <c r="N126" i="12"/>
  <c r="N127" i="12"/>
  <c r="D198" i="12"/>
  <c r="C107" i="32"/>
  <c r="B107" i="32"/>
  <c r="J107" i="32"/>
  <c r="D107" i="32"/>
  <c r="D214" i="13"/>
  <c r="J214" i="13"/>
  <c r="C214" i="13"/>
  <c r="W200" i="14"/>
  <c r="D200" i="14"/>
  <c r="D215" i="15"/>
  <c r="H215" i="15"/>
  <c r="J215" i="15"/>
  <c r="N140" i="15"/>
  <c r="C215" i="15"/>
  <c r="N141" i="15"/>
  <c r="B208" i="8"/>
  <c r="H208" i="8"/>
  <c r="N101" i="31"/>
  <c r="W101" i="31"/>
  <c r="B197" i="7"/>
  <c r="H197" i="7"/>
  <c r="N70" i="29"/>
  <c r="J110" i="29"/>
  <c r="H110" i="29"/>
  <c r="D110" i="29"/>
  <c r="D151" i="6"/>
  <c r="L151" i="6"/>
  <c r="H151" i="6"/>
  <c r="W92" i="30"/>
  <c r="N50" i="30"/>
  <c r="C92" i="30"/>
  <c r="D92" i="30"/>
  <c r="D198" i="5"/>
  <c r="H198" i="5"/>
  <c r="J198" i="5"/>
  <c r="B198" i="5"/>
  <c r="N127" i="5"/>
  <c r="W198" i="5"/>
  <c r="C113" i="28"/>
  <c r="B113" i="28"/>
  <c r="E113" i="28" s="1"/>
  <c r="N73" i="28"/>
  <c r="J113" i="28"/>
  <c r="L113" i="28"/>
  <c r="L205" i="3"/>
  <c r="E205" i="3"/>
  <c r="N131" i="3"/>
  <c r="N132" i="3"/>
  <c r="J204" i="3"/>
  <c r="C204" i="3"/>
  <c r="D204" i="3"/>
  <c r="N124" i="2"/>
  <c r="N131" i="1"/>
  <c r="B202" i="1"/>
  <c r="N132" i="1"/>
  <c r="H204" i="3"/>
  <c r="L204" i="3"/>
  <c r="N72" i="28"/>
  <c r="H92" i="30"/>
  <c r="N98" i="6"/>
  <c r="J151" i="6"/>
  <c r="B110" i="29"/>
  <c r="N62" i="31"/>
  <c r="L200" i="14"/>
  <c r="L107" i="32"/>
  <c r="B197" i="2"/>
  <c r="W204" i="3"/>
  <c r="L202" i="1"/>
  <c r="N133" i="3"/>
  <c r="W202" i="1"/>
  <c r="C197" i="2"/>
  <c r="H113" i="28"/>
  <c r="N49" i="30"/>
  <c r="J92" i="30"/>
  <c r="N99" i="6"/>
  <c r="D197" i="7"/>
  <c r="N61" i="31"/>
  <c r="C101" i="31"/>
  <c r="N135" i="8"/>
  <c r="W208" i="8"/>
  <c r="B215" i="15"/>
  <c r="N66" i="32"/>
  <c r="C201" i="11"/>
  <c r="J208" i="8"/>
  <c r="N129" i="14"/>
  <c r="H200" i="14"/>
  <c r="H107" i="32"/>
  <c r="W107" i="32"/>
  <c r="B198" i="12"/>
  <c r="B201" i="11"/>
  <c r="W201" i="11"/>
  <c r="H202" i="1"/>
  <c r="B92" i="30"/>
  <c r="N125" i="2"/>
  <c r="B204" i="3"/>
  <c r="C198" i="5"/>
  <c r="N69" i="29"/>
  <c r="L110" i="29"/>
  <c r="D101" i="31"/>
  <c r="B101" i="31"/>
  <c r="B200" i="14"/>
  <c r="N128" i="11"/>
  <c r="J201" i="11"/>
  <c r="N212" i="9"/>
  <c r="N105" i="33"/>
  <c r="E202" i="18"/>
  <c r="N108" i="38"/>
  <c r="L208" i="8"/>
  <c r="D208" i="8"/>
  <c r="N136" i="8"/>
  <c r="W220" i="10"/>
  <c r="L220" i="10"/>
  <c r="C220" i="10"/>
  <c r="N196" i="21"/>
  <c r="N146" i="10"/>
  <c r="N147" i="10"/>
  <c r="N129" i="11"/>
  <c r="L201" i="11"/>
  <c r="N198" i="12"/>
  <c r="N67" i="32"/>
  <c r="W214" i="13"/>
  <c r="L214" i="13"/>
  <c r="N141" i="13"/>
  <c r="N140" i="13"/>
  <c r="N130" i="14"/>
  <c r="W197" i="7"/>
  <c r="N127" i="7"/>
  <c r="L197" i="7"/>
  <c r="J197" i="7"/>
  <c r="C197" i="7"/>
  <c r="L198" i="5"/>
  <c r="N126" i="5"/>
  <c r="W113" i="28"/>
  <c r="S203" i="19"/>
  <c r="U214" i="15"/>
  <c r="T214" i="15"/>
  <c r="E151" i="6" l="1"/>
  <c r="N202" i="1"/>
  <c r="N110" i="29"/>
  <c r="E201" i="11"/>
  <c r="E197" i="7"/>
  <c r="E220" i="10"/>
  <c r="N201" i="11"/>
  <c r="N107" i="32"/>
  <c r="E214" i="13"/>
  <c r="E101" i="31"/>
  <c r="E110" i="29"/>
  <c r="N151" i="6"/>
  <c r="E92" i="30"/>
  <c r="N198" i="5"/>
  <c r="E198" i="5"/>
  <c r="N113" i="28"/>
  <c r="N205" i="3"/>
  <c r="E204" i="3"/>
  <c r="N204" i="3"/>
  <c r="E197" i="2"/>
  <c r="E202" i="1"/>
  <c r="N92" i="30"/>
  <c r="N197" i="7"/>
  <c r="N220" i="10"/>
  <c r="N214" i="13"/>
  <c r="U166" i="16"/>
  <c r="S166" i="16"/>
  <c r="U165" i="16"/>
  <c r="S165" i="16"/>
  <c r="U164" i="16"/>
  <c r="S164" i="16"/>
  <c r="R90" i="16"/>
  <c r="R91" i="16"/>
  <c r="R92" i="16"/>
  <c r="R93" i="16"/>
  <c r="R94" i="16"/>
  <c r="L166" i="16" l="1"/>
  <c r="L165" i="16"/>
  <c r="H166" i="16"/>
  <c r="H165" i="16"/>
  <c r="T209" i="22"/>
  <c r="U209" i="22"/>
  <c r="S209" i="22"/>
  <c r="U199" i="23"/>
  <c r="T199" i="23"/>
  <c r="S199" i="23"/>
  <c r="T195" i="24"/>
  <c r="U195" i="24"/>
  <c r="S195" i="24"/>
  <c r="T195" i="25"/>
  <c r="U195" i="25"/>
  <c r="S195" i="25"/>
  <c r="S159" i="26"/>
  <c r="T159" i="26"/>
  <c r="U159" i="26"/>
  <c r="S107" i="38"/>
  <c r="T107" i="38"/>
  <c r="U107" i="38"/>
  <c r="T111" i="37"/>
  <c r="U111" i="37"/>
  <c r="S111" i="37"/>
  <c r="T132" i="36"/>
  <c r="U132" i="36"/>
  <c r="S132" i="36"/>
  <c r="J132" i="36"/>
  <c r="L132" i="36"/>
  <c r="H132" i="36"/>
  <c r="T166" i="16"/>
  <c r="T139" i="35"/>
  <c r="U139" i="35"/>
  <c r="S139" i="35"/>
  <c r="J139" i="35"/>
  <c r="L139" i="35"/>
  <c r="H139" i="35"/>
  <c r="H138" i="35"/>
  <c r="T197" i="17"/>
  <c r="U197" i="17"/>
  <c r="S197" i="17"/>
  <c r="T201" i="18"/>
  <c r="U201" i="18"/>
  <c r="S201" i="18"/>
  <c r="T203" i="19"/>
  <c r="U203" i="19"/>
  <c r="T175" i="20"/>
  <c r="U175" i="20"/>
  <c r="S175" i="20"/>
  <c r="S195" i="21"/>
  <c r="T195" i="21"/>
  <c r="U195" i="21"/>
  <c r="T104" i="33"/>
  <c r="U104" i="33"/>
  <c r="S104" i="33"/>
  <c r="T211" i="9"/>
  <c r="U211" i="9"/>
  <c r="S211" i="9"/>
  <c r="T219" i="10"/>
  <c r="U219" i="10"/>
  <c r="S219" i="10"/>
  <c r="T200" i="11"/>
  <c r="U200" i="11"/>
  <c r="S200" i="11"/>
  <c r="T197" i="12"/>
  <c r="U197" i="12"/>
  <c r="S197" i="12"/>
  <c r="J197" i="12"/>
  <c r="L197" i="12"/>
  <c r="H197" i="12"/>
  <c r="T106" i="32"/>
  <c r="U106" i="32"/>
  <c r="S106" i="32"/>
  <c r="U213" i="13"/>
  <c r="T213" i="13"/>
  <c r="S213" i="13"/>
  <c r="U199" i="14"/>
  <c r="T199" i="14"/>
  <c r="S199" i="14"/>
  <c r="W214" i="15"/>
  <c r="T103" i="34"/>
  <c r="U103" i="34"/>
  <c r="S103" i="34"/>
  <c r="T207" i="8"/>
  <c r="U207" i="8"/>
  <c r="S207" i="8"/>
  <c r="T100" i="31"/>
  <c r="U100" i="31"/>
  <c r="S100" i="31"/>
  <c r="J100" i="31"/>
  <c r="L100" i="31"/>
  <c r="H100" i="31"/>
  <c r="K55" i="31"/>
  <c r="L55" i="31"/>
  <c r="M55" i="31"/>
  <c r="K56" i="31"/>
  <c r="L56" i="31"/>
  <c r="M56" i="31"/>
  <c r="K54" i="31"/>
  <c r="T196" i="7"/>
  <c r="U196" i="7"/>
  <c r="S196" i="7"/>
  <c r="T109" i="29"/>
  <c r="U109" i="29"/>
  <c r="S109" i="29"/>
  <c r="W219" i="10" l="1"/>
  <c r="W109" i="29"/>
  <c r="W209" i="22"/>
  <c r="W199" i="23"/>
  <c r="W195" i="24"/>
  <c r="W195" i="25"/>
  <c r="W159" i="26"/>
  <c r="W107" i="38"/>
  <c r="W111" i="37"/>
  <c r="W132" i="36"/>
  <c r="N132" i="36"/>
  <c r="W166" i="16"/>
  <c r="W139" i="35"/>
  <c r="N139" i="35"/>
  <c r="W197" i="17"/>
  <c r="W201" i="18"/>
  <c r="W203" i="19"/>
  <c r="W175" i="20"/>
  <c r="W195" i="21"/>
  <c r="W104" i="33"/>
  <c r="W211" i="9"/>
  <c r="W200" i="11"/>
  <c r="W197" i="12"/>
  <c r="N197" i="12"/>
  <c r="W106" i="32"/>
  <c r="W213" i="13"/>
  <c r="W199" i="14"/>
  <c r="W103" i="34"/>
  <c r="W207" i="8"/>
  <c r="W100" i="31"/>
  <c r="N100" i="31"/>
  <c r="N56" i="31"/>
  <c r="N55" i="31"/>
  <c r="S150" i="6"/>
  <c r="T91" i="30"/>
  <c r="U91" i="30"/>
  <c r="S91" i="30"/>
  <c r="T197" i="5"/>
  <c r="U197" i="5"/>
  <c r="S197" i="5"/>
  <c r="T112" i="28"/>
  <c r="U112" i="28"/>
  <c r="S112" i="28"/>
  <c r="R70" i="28"/>
  <c r="R71" i="28"/>
  <c r="T203" i="3"/>
  <c r="U203" i="3"/>
  <c r="S203" i="3"/>
  <c r="T196" i="2"/>
  <c r="U196" i="2"/>
  <c r="S195" i="2"/>
  <c r="S196" i="2"/>
  <c r="L196" i="2"/>
  <c r="J196" i="2"/>
  <c r="H196" i="2"/>
  <c r="T201" i="1"/>
  <c r="U201" i="1"/>
  <c r="S201" i="1"/>
  <c r="W150" i="6" l="1"/>
  <c r="W91" i="30"/>
  <c r="W112" i="28"/>
  <c r="N196" i="2"/>
  <c r="K116" i="17"/>
  <c r="L116" i="17"/>
  <c r="M116" i="17"/>
  <c r="K117" i="17"/>
  <c r="L117" i="17"/>
  <c r="M117" i="17"/>
  <c r="K118" i="17"/>
  <c r="L118" i="17"/>
  <c r="M118" i="17"/>
  <c r="K119" i="17"/>
  <c r="L119" i="17"/>
  <c r="M119" i="17"/>
  <c r="K120" i="17"/>
  <c r="L120" i="17"/>
  <c r="M120" i="17"/>
  <c r="K121" i="17"/>
  <c r="L121" i="17"/>
  <c r="M121" i="17"/>
  <c r="K122" i="17"/>
  <c r="L122" i="17"/>
  <c r="M122" i="17"/>
  <c r="K123" i="17"/>
  <c r="L123" i="17"/>
  <c r="M123" i="17"/>
  <c r="K124" i="17"/>
  <c r="L124" i="17"/>
  <c r="M124" i="17"/>
  <c r="K125" i="17"/>
  <c r="L125" i="17"/>
  <c r="M125" i="17"/>
  <c r="K113" i="24"/>
  <c r="L113" i="24"/>
  <c r="M113" i="24"/>
  <c r="K114" i="24"/>
  <c r="L114" i="24"/>
  <c r="M114" i="24"/>
  <c r="K115" i="24"/>
  <c r="L115" i="24"/>
  <c r="M115" i="24"/>
  <c r="K116" i="24"/>
  <c r="L116" i="24"/>
  <c r="M116" i="24"/>
  <c r="K117" i="24"/>
  <c r="L117" i="24"/>
  <c r="M117" i="24"/>
  <c r="K118" i="24"/>
  <c r="L118" i="24"/>
  <c r="M118" i="24"/>
  <c r="K119" i="24"/>
  <c r="L119" i="24"/>
  <c r="M119" i="24"/>
  <c r="K120" i="24"/>
  <c r="L120" i="24"/>
  <c r="M120" i="24"/>
  <c r="K121" i="24"/>
  <c r="L121" i="24"/>
  <c r="M121" i="24"/>
  <c r="K122" i="24"/>
  <c r="L122" i="24"/>
  <c r="M122" i="24"/>
  <c r="K123" i="24"/>
  <c r="L123" i="24"/>
  <c r="M123" i="24"/>
  <c r="R109" i="23"/>
  <c r="R110" i="23"/>
  <c r="R111" i="23"/>
  <c r="R112" i="23"/>
  <c r="R113" i="23"/>
  <c r="R114" i="23"/>
  <c r="R115" i="23"/>
  <c r="R116" i="23"/>
  <c r="R117" i="23"/>
  <c r="R118" i="23"/>
  <c r="R119" i="23"/>
  <c r="R120" i="23"/>
  <c r="R121" i="23"/>
  <c r="R122" i="23"/>
  <c r="R123" i="23"/>
  <c r="R124" i="23"/>
  <c r="R125" i="22"/>
  <c r="R126" i="22"/>
  <c r="R127" i="22"/>
  <c r="R128" i="22"/>
  <c r="R129" i="22"/>
  <c r="R130" i="22"/>
  <c r="R131" i="22"/>
  <c r="R132" i="22"/>
  <c r="R133" i="22"/>
  <c r="R134" i="22"/>
  <c r="R135" i="22"/>
  <c r="R136" i="22"/>
  <c r="R137" i="22"/>
  <c r="K126" i="22"/>
  <c r="L126" i="22"/>
  <c r="M126" i="22"/>
  <c r="K127" i="22"/>
  <c r="L127" i="22"/>
  <c r="M127" i="22"/>
  <c r="K128" i="22"/>
  <c r="L128" i="22"/>
  <c r="M128" i="22"/>
  <c r="K129" i="22"/>
  <c r="L129" i="22"/>
  <c r="M129" i="22"/>
  <c r="K130" i="22"/>
  <c r="L130" i="22"/>
  <c r="M130" i="22"/>
  <c r="K131" i="22"/>
  <c r="L131" i="22"/>
  <c r="M131" i="22"/>
  <c r="K132" i="22"/>
  <c r="L132" i="22"/>
  <c r="M132" i="22"/>
  <c r="K133" i="22"/>
  <c r="L133" i="22"/>
  <c r="M133" i="22"/>
  <c r="K134" i="22"/>
  <c r="L134" i="22"/>
  <c r="M134" i="22"/>
  <c r="K135" i="22"/>
  <c r="L135" i="22"/>
  <c r="M135" i="22"/>
  <c r="K136" i="22"/>
  <c r="L136" i="22"/>
  <c r="M136" i="22"/>
  <c r="K137" i="22"/>
  <c r="L137" i="22"/>
  <c r="M137" i="22"/>
  <c r="K124" i="23"/>
  <c r="L124" i="23"/>
  <c r="M124" i="23"/>
  <c r="K123" i="23"/>
  <c r="L123" i="23"/>
  <c r="M123" i="23"/>
  <c r="R123" i="24"/>
  <c r="R122" i="24"/>
  <c r="K123" i="25"/>
  <c r="L123" i="25"/>
  <c r="M123" i="25"/>
  <c r="R122" i="25"/>
  <c r="M122" i="25"/>
  <c r="L122" i="25"/>
  <c r="K122" i="25"/>
  <c r="R87" i="26"/>
  <c r="M87" i="26"/>
  <c r="L87" i="26"/>
  <c r="K87" i="26"/>
  <c r="R86" i="26"/>
  <c r="M86" i="26"/>
  <c r="L86" i="26"/>
  <c r="K86" i="26"/>
  <c r="R65" i="38"/>
  <c r="M65" i="38"/>
  <c r="L65" i="38"/>
  <c r="K65" i="38"/>
  <c r="R64" i="38"/>
  <c r="M64" i="38"/>
  <c r="L64" i="38"/>
  <c r="K64" i="38"/>
  <c r="R69" i="37"/>
  <c r="M69" i="37"/>
  <c r="L69" i="37"/>
  <c r="K69" i="37"/>
  <c r="R68" i="37"/>
  <c r="M68" i="37"/>
  <c r="L68" i="37"/>
  <c r="K68" i="37"/>
  <c r="B207" i="22" l="1"/>
  <c r="B111" i="37"/>
  <c r="C195" i="25"/>
  <c r="C209" i="22"/>
  <c r="C111" i="37"/>
  <c r="B199" i="23"/>
  <c r="C159" i="26"/>
  <c r="B159" i="26"/>
  <c r="D159" i="26"/>
  <c r="C107" i="38"/>
  <c r="B107" i="38"/>
  <c r="C199" i="23"/>
  <c r="D199" i="23"/>
  <c r="N124" i="23"/>
  <c r="N118" i="24"/>
  <c r="N114" i="24"/>
  <c r="N113" i="24"/>
  <c r="N116" i="24"/>
  <c r="D195" i="24"/>
  <c r="N120" i="24"/>
  <c r="B195" i="25"/>
  <c r="N87" i="26"/>
  <c r="D107" i="38"/>
  <c r="N66" i="38"/>
  <c r="D111" i="37"/>
  <c r="D197" i="17"/>
  <c r="L111" i="37"/>
  <c r="J111" i="37"/>
  <c r="H111" i="37"/>
  <c r="J107" i="38"/>
  <c r="H107" i="38"/>
  <c r="L107" i="38"/>
  <c r="L159" i="26"/>
  <c r="J159" i="26"/>
  <c r="H159" i="26"/>
  <c r="J195" i="25"/>
  <c r="H195" i="25"/>
  <c r="L195" i="25"/>
  <c r="B209" i="22"/>
  <c r="J209" i="22"/>
  <c r="H209" i="22"/>
  <c r="L209" i="22"/>
  <c r="H195" i="24"/>
  <c r="L195" i="24"/>
  <c r="J195" i="24"/>
  <c r="N136" i="22"/>
  <c r="D209" i="22"/>
  <c r="N128" i="22"/>
  <c r="C195" i="24"/>
  <c r="C197" i="17"/>
  <c r="D195" i="25"/>
  <c r="N123" i="25"/>
  <c r="L199" i="23"/>
  <c r="J199" i="23"/>
  <c r="H199" i="23"/>
  <c r="B195" i="24"/>
  <c r="N117" i="24"/>
  <c r="B197" i="17"/>
  <c r="N130" i="22"/>
  <c r="N127" i="22"/>
  <c r="N132" i="22"/>
  <c r="N134" i="22"/>
  <c r="N126" i="22"/>
  <c r="N133" i="22"/>
  <c r="N135" i="22"/>
  <c r="N137" i="22"/>
  <c r="N129" i="22"/>
  <c r="N131" i="22"/>
  <c r="N123" i="23"/>
  <c r="N119" i="24"/>
  <c r="N123" i="24"/>
  <c r="N122" i="24"/>
  <c r="N121" i="24"/>
  <c r="N115" i="24"/>
  <c r="N122" i="25"/>
  <c r="N86" i="26"/>
  <c r="N65" i="38"/>
  <c r="N69" i="37"/>
  <c r="N68" i="37"/>
  <c r="N120" i="17"/>
  <c r="N124" i="17"/>
  <c r="N116" i="17"/>
  <c r="N118" i="17"/>
  <c r="N122" i="17"/>
  <c r="N117" i="17"/>
  <c r="N119" i="17"/>
  <c r="N121" i="17"/>
  <c r="N125" i="17"/>
  <c r="N123" i="17"/>
  <c r="M86" i="36"/>
  <c r="L86" i="36"/>
  <c r="K86" i="36"/>
  <c r="K85" i="36"/>
  <c r="L85" i="36"/>
  <c r="M85" i="36"/>
  <c r="K84" i="36"/>
  <c r="L84" i="36"/>
  <c r="M84" i="36"/>
  <c r="K83" i="36"/>
  <c r="L83" i="36"/>
  <c r="M83" i="36"/>
  <c r="K82" i="36"/>
  <c r="L82" i="36"/>
  <c r="M82" i="36"/>
  <c r="K81" i="36"/>
  <c r="L81" i="36"/>
  <c r="M81" i="36"/>
  <c r="K93" i="16"/>
  <c r="L93" i="16"/>
  <c r="M93" i="16"/>
  <c r="K94" i="16"/>
  <c r="L94" i="16"/>
  <c r="M94" i="16"/>
  <c r="K95" i="35"/>
  <c r="L95" i="35"/>
  <c r="M95" i="35"/>
  <c r="M94" i="35"/>
  <c r="L94" i="35"/>
  <c r="K94" i="35"/>
  <c r="R125" i="17"/>
  <c r="R124" i="17"/>
  <c r="R127" i="18"/>
  <c r="K127" i="18"/>
  <c r="L127" i="18"/>
  <c r="M127" i="18"/>
  <c r="R126" i="18"/>
  <c r="M126" i="18"/>
  <c r="L126" i="18"/>
  <c r="K126" i="18"/>
  <c r="R129" i="19"/>
  <c r="K129" i="19"/>
  <c r="L129" i="19"/>
  <c r="M129" i="19"/>
  <c r="R128" i="19"/>
  <c r="K128" i="19"/>
  <c r="L128" i="19"/>
  <c r="M128" i="19"/>
  <c r="R127" i="19"/>
  <c r="M127" i="19"/>
  <c r="L127" i="19"/>
  <c r="K127" i="19"/>
  <c r="R109" i="20"/>
  <c r="K109" i="20"/>
  <c r="L109" i="20"/>
  <c r="M109" i="20"/>
  <c r="R108" i="20"/>
  <c r="M108" i="20"/>
  <c r="L108" i="20"/>
  <c r="K108" i="20"/>
  <c r="R123" i="21"/>
  <c r="R122" i="21"/>
  <c r="K123" i="21"/>
  <c r="L123" i="21"/>
  <c r="M123" i="21"/>
  <c r="K122" i="21"/>
  <c r="L122" i="21"/>
  <c r="M122" i="21"/>
  <c r="R63" i="34"/>
  <c r="R62" i="34"/>
  <c r="K62" i="34"/>
  <c r="L62" i="34"/>
  <c r="M62" i="34"/>
  <c r="K63" i="34"/>
  <c r="L63" i="34"/>
  <c r="M63" i="34"/>
  <c r="R63" i="33"/>
  <c r="R62" i="33"/>
  <c r="K63" i="33"/>
  <c r="L63" i="33"/>
  <c r="M63" i="33"/>
  <c r="K62" i="33"/>
  <c r="L62" i="33"/>
  <c r="M62" i="33"/>
  <c r="R139" i="9"/>
  <c r="R138" i="9"/>
  <c r="K139" i="9"/>
  <c r="L139" i="9"/>
  <c r="M139" i="9"/>
  <c r="K138" i="9"/>
  <c r="L138" i="9"/>
  <c r="M138" i="9"/>
  <c r="R145" i="10"/>
  <c r="R144" i="10"/>
  <c r="K144" i="10"/>
  <c r="L144" i="10"/>
  <c r="M144" i="10"/>
  <c r="K145" i="10"/>
  <c r="L145" i="10"/>
  <c r="M145" i="10"/>
  <c r="R127" i="11"/>
  <c r="K127" i="11"/>
  <c r="L127" i="11"/>
  <c r="M127" i="11"/>
  <c r="R126" i="11"/>
  <c r="K126" i="11"/>
  <c r="L126" i="11"/>
  <c r="M126" i="11"/>
  <c r="D200" i="11" s="1"/>
  <c r="R125" i="12"/>
  <c r="M125" i="12"/>
  <c r="K125" i="12"/>
  <c r="L125" i="12"/>
  <c r="R124" i="12"/>
  <c r="K124" i="12"/>
  <c r="L124" i="12"/>
  <c r="M124" i="12"/>
  <c r="R123" i="12"/>
  <c r="K123" i="12"/>
  <c r="L123" i="12"/>
  <c r="M123" i="12"/>
  <c r="R65" i="32"/>
  <c r="R64" i="32"/>
  <c r="R63" i="32"/>
  <c r="K65" i="32"/>
  <c r="L65" i="32"/>
  <c r="M65" i="32"/>
  <c r="K64" i="32"/>
  <c r="L64" i="32"/>
  <c r="M64" i="32"/>
  <c r="K63" i="32"/>
  <c r="L63" i="32"/>
  <c r="M63" i="32"/>
  <c r="R139" i="13"/>
  <c r="R138" i="13"/>
  <c r="K139" i="13"/>
  <c r="L139" i="13"/>
  <c r="M139" i="13"/>
  <c r="K138" i="13"/>
  <c r="L138" i="13"/>
  <c r="M138" i="13"/>
  <c r="R128" i="14"/>
  <c r="M128" i="14"/>
  <c r="L128" i="14"/>
  <c r="K128" i="14"/>
  <c r="R127" i="14"/>
  <c r="R126" i="14"/>
  <c r="M127" i="14"/>
  <c r="L127" i="14"/>
  <c r="K127" i="14"/>
  <c r="M126" i="14"/>
  <c r="L126" i="14"/>
  <c r="K126" i="14"/>
  <c r="R139" i="15"/>
  <c r="K139" i="15"/>
  <c r="E215" i="15" s="1"/>
  <c r="L139" i="15"/>
  <c r="M139" i="15"/>
  <c r="R138" i="15"/>
  <c r="K138" i="15"/>
  <c r="L138" i="15"/>
  <c r="M138" i="15"/>
  <c r="R137" i="15"/>
  <c r="K137" i="15"/>
  <c r="L137" i="15"/>
  <c r="M137" i="15"/>
  <c r="R132" i="8"/>
  <c r="K132" i="8"/>
  <c r="L132" i="8"/>
  <c r="M132" i="8"/>
  <c r="R134" i="8"/>
  <c r="R133" i="8"/>
  <c r="K134" i="8"/>
  <c r="L134" i="8"/>
  <c r="M134" i="8"/>
  <c r="K133" i="8"/>
  <c r="L133" i="8"/>
  <c r="M133" i="8"/>
  <c r="K59" i="31"/>
  <c r="L59" i="31"/>
  <c r="M59" i="31"/>
  <c r="K60" i="31"/>
  <c r="L60" i="31"/>
  <c r="M60" i="31"/>
  <c r="R125" i="7"/>
  <c r="R124" i="7"/>
  <c r="K124" i="7"/>
  <c r="L124" i="7"/>
  <c r="M124" i="7"/>
  <c r="K125" i="7"/>
  <c r="L125" i="7"/>
  <c r="M125" i="7"/>
  <c r="R68" i="29"/>
  <c r="K68" i="29"/>
  <c r="L68" i="29"/>
  <c r="M68" i="29"/>
  <c r="R67" i="29"/>
  <c r="M67" i="29"/>
  <c r="L67" i="29"/>
  <c r="C109" i="29" s="1"/>
  <c r="K67" i="29"/>
  <c r="R95" i="6"/>
  <c r="K95" i="6"/>
  <c r="L95" i="6"/>
  <c r="M95" i="6"/>
  <c r="R97" i="6"/>
  <c r="R96" i="6"/>
  <c r="H150" i="6" s="1"/>
  <c r="K97" i="6"/>
  <c r="L97" i="6"/>
  <c r="M97" i="6"/>
  <c r="K96" i="6"/>
  <c r="L96" i="6"/>
  <c r="M96" i="6"/>
  <c r="R47" i="30"/>
  <c r="R48" i="30"/>
  <c r="K47" i="30"/>
  <c r="L47" i="30"/>
  <c r="M47" i="30"/>
  <c r="K48" i="30"/>
  <c r="L48" i="30"/>
  <c r="M48" i="30"/>
  <c r="R124" i="5"/>
  <c r="R125" i="5"/>
  <c r="K125" i="5"/>
  <c r="L125" i="5"/>
  <c r="M125" i="5"/>
  <c r="K124" i="5"/>
  <c r="L124" i="5"/>
  <c r="M124" i="5"/>
  <c r="B203" i="19" l="1"/>
  <c r="C201" i="18"/>
  <c r="B214" i="15"/>
  <c r="H214" i="15"/>
  <c r="C200" i="11"/>
  <c r="B200" i="11"/>
  <c r="C203" i="19"/>
  <c r="C150" i="6"/>
  <c r="N209" i="22"/>
  <c r="E159" i="26"/>
  <c r="E107" i="38"/>
  <c r="C175" i="20"/>
  <c r="B104" i="33"/>
  <c r="C214" i="15"/>
  <c r="N68" i="29"/>
  <c r="C91" i="30"/>
  <c r="C197" i="5"/>
  <c r="D109" i="29"/>
  <c r="B100" i="31"/>
  <c r="C139" i="35"/>
  <c r="D197" i="12"/>
  <c r="B175" i="20"/>
  <c r="B109" i="29"/>
  <c r="L106" i="32"/>
  <c r="J106" i="32"/>
  <c r="H106" i="32"/>
  <c r="C211" i="9"/>
  <c r="B201" i="18"/>
  <c r="E195" i="24"/>
  <c r="E195" i="25"/>
  <c r="N159" i="26"/>
  <c r="N107" i="38"/>
  <c r="B132" i="36"/>
  <c r="N85" i="36"/>
  <c r="B166" i="16"/>
  <c r="C166" i="16"/>
  <c r="D139" i="35"/>
  <c r="B139" i="35"/>
  <c r="E197" i="17"/>
  <c r="D195" i="21"/>
  <c r="C195" i="21"/>
  <c r="B103" i="34"/>
  <c r="C104" i="33"/>
  <c r="D104" i="33"/>
  <c r="N139" i="9"/>
  <c r="D211" i="9"/>
  <c r="N125" i="12"/>
  <c r="E198" i="12"/>
  <c r="E107" i="32"/>
  <c r="C106" i="32"/>
  <c r="D106" i="32"/>
  <c r="C213" i="13"/>
  <c r="D213" i="13"/>
  <c r="N128" i="14"/>
  <c r="E200" i="14"/>
  <c r="C199" i="14"/>
  <c r="B199" i="14"/>
  <c r="N215" i="15"/>
  <c r="E208" i="8"/>
  <c r="N134" i="8"/>
  <c r="N133" i="8"/>
  <c r="C100" i="31"/>
  <c r="B196" i="7"/>
  <c r="D196" i="7"/>
  <c r="C196" i="7"/>
  <c r="N97" i="6"/>
  <c r="D150" i="6"/>
  <c r="D91" i="30"/>
  <c r="D197" i="5"/>
  <c r="N125" i="5"/>
  <c r="D100" i="31"/>
  <c r="D207" i="8"/>
  <c r="D214" i="15"/>
  <c r="C219" i="10"/>
  <c r="C103" i="34"/>
  <c r="L197" i="17"/>
  <c r="J197" i="17"/>
  <c r="H197" i="17"/>
  <c r="C207" i="8"/>
  <c r="C197" i="12"/>
  <c r="N144" i="10"/>
  <c r="B219" i="10"/>
  <c r="N123" i="21"/>
  <c r="B197" i="5"/>
  <c r="B150" i="6"/>
  <c r="L150" i="6"/>
  <c r="J150" i="6"/>
  <c r="N124" i="5"/>
  <c r="J197" i="5"/>
  <c r="H197" i="5"/>
  <c r="W197" i="5"/>
  <c r="L197" i="5"/>
  <c r="N67" i="29"/>
  <c r="N132" i="8"/>
  <c r="B207" i="8"/>
  <c r="N137" i="15"/>
  <c r="N138" i="15"/>
  <c r="D199" i="14"/>
  <c r="L199" i="14"/>
  <c r="H199" i="14"/>
  <c r="J199" i="14"/>
  <c r="B213" i="13"/>
  <c r="E213" i="13" s="1"/>
  <c r="H213" i="13"/>
  <c r="L213" i="13"/>
  <c r="J213" i="13"/>
  <c r="B106" i="32"/>
  <c r="B197" i="12"/>
  <c r="N145" i="10"/>
  <c r="J219" i="10"/>
  <c r="L219" i="10"/>
  <c r="H219" i="10"/>
  <c r="B211" i="9"/>
  <c r="H211" i="9"/>
  <c r="L211" i="9"/>
  <c r="J211" i="9"/>
  <c r="J104" i="33"/>
  <c r="H104" i="33"/>
  <c r="L104" i="33"/>
  <c r="L103" i="34"/>
  <c r="H103" i="34"/>
  <c r="J103" i="34"/>
  <c r="B195" i="21"/>
  <c r="H195" i="21"/>
  <c r="L195" i="21"/>
  <c r="J195" i="21"/>
  <c r="D175" i="20"/>
  <c r="D203" i="19"/>
  <c r="D201" i="18"/>
  <c r="N94" i="35"/>
  <c r="N94" i="16"/>
  <c r="D132" i="36"/>
  <c r="B91" i="30"/>
  <c r="L109" i="29"/>
  <c r="H109" i="29"/>
  <c r="J109" i="29"/>
  <c r="W196" i="7"/>
  <c r="J196" i="7"/>
  <c r="H196" i="7"/>
  <c r="L196" i="7"/>
  <c r="N60" i="31"/>
  <c r="J207" i="8"/>
  <c r="L207" i="8"/>
  <c r="H207" i="8"/>
  <c r="L214" i="15"/>
  <c r="J214" i="15"/>
  <c r="L200" i="11"/>
  <c r="J200" i="11"/>
  <c r="H200" i="11"/>
  <c r="D219" i="10"/>
  <c r="D103" i="34"/>
  <c r="H175" i="20"/>
  <c r="L175" i="20"/>
  <c r="J175" i="20"/>
  <c r="H203" i="19"/>
  <c r="L203" i="19"/>
  <c r="J203" i="19"/>
  <c r="H201" i="18"/>
  <c r="L201" i="18"/>
  <c r="J201" i="18"/>
  <c r="N95" i="35"/>
  <c r="D166" i="16"/>
  <c r="C132" i="36"/>
  <c r="N139" i="15"/>
  <c r="L91" i="30"/>
  <c r="H91" i="30"/>
  <c r="J91" i="30"/>
  <c r="J166" i="16"/>
  <c r="E209" i="22"/>
  <c r="E199" i="23"/>
  <c r="N199" i="23"/>
  <c r="N195" i="24"/>
  <c r="N195" i="25"/>
  <c r="N82" i="36"/>
  <c r="N83" i="36"/>
  <c r="N84" i="36"/>
  <c r="N93" i="16"/>
  <c r="N127" i="18"/>
  <c r="N126" i="18"/>
  <c r="N127" i="19"/>
  <c r="N128" i="19"/>
  <c r="N129" i="19"/>
  <c r="N109" i="20"/>
  <c r="N108" i="20"/>
  <c r="N122" i="21"/>
  <c r="N62" i="33"/>
  <c r="N138" i="9"/>
  <c r="N126" i="11"/>
  <c r="N127" i="11"/>
  <c r="N123" i="12"/>
  <c r="N124" i="12"/>
  <c r="N65" i="32"/>
  <c r="N63" i="32"/>
  <c r="N64" i="32"/>
  <c r="N138" i="13"/>
  <c r="N139" i="13"/>
  <c r="N126" i="14"/>
  <c r="N127" i="14"/>
  <c r="N63" i="34"/>
  <c r="N47" i="30"/>
  <c r="N59" i="31"/>
  <c r="N86" i="36"/>
  <c r="N81" i="36"/>
  <c r="N62" i="34"/>
  <c r="N63" i="33"/>
  <c r="N125" i="7"/>
  <c r="N124" i="7"/>
  <c r="N96" i="6"/>
  <c r="N95" i="6"/>
  <c r="N48" i="30"/>
  <c r="K71" i="28"/>
  <c r="L71" i="28"/>
  <c r="M71" i="28"/>
  <c r="K70" i="28"/>
  <c r="L70" i="28"/>
  <c r="M70" i="28"/>
  <c r="R69" i="28"/>
  <c r="K69" i="28"/>
  <c r="L69" i="28"/>
  <c r="M69" i="28"/>
  <c r="E109" i="29" l="1"/>
  <c r="E211" i="9"/>
  <c r="E207" i="8"/>
  <c r="E166" i="16"/>
  <c r="E201" i="18"/>
  <c r="E195" i="21"/>
  <c r="E214" i="15"/>
  <c r="E196" i="7"/>
  <c r="E197" i="5"/>
  <c r="D112" i="28"/>
  <c r="B112" i="28"/>
  <c r="N70" i="28"/>
  <c r="N213" i="13"/>
  <c r="E91" i="30"/>
  <c r="N214" i="15"/>
  <c r="N109" i="29"/>
  <c r="E132" i="36"/>
  <c r="E203" i="19"/>
  <c r="N204" i="19"/>
  <c r="N203" i="19"/>
  <c r="N175" i="20"/>
  <c r="N104" i="33"/>
  <c r="E104" i="33"/>
  <c r="N200" i="11"/>
  <c r="E197" i="12"/>
  <c r="N200" i="14"/>
  <c r="N208" i="8"/>
  <c r="E100" i="31"/>
  <c r="N196" i="7"/>
  <c r="E150" i="6"/>
  <c r="N150" i="6"/>
  <c r="N71" i="28"/>
  <c r="N207" i="8"/>
  <c r="N69" i="28"/>
  <c r="N197" i="5"/>
  <c r="L112" i="28"/>
  <c r="J112" i="28"/>
  <c r="H112" i="28"/>
  <c r="C112" i="28"/>
  <c r="N91" i="30"/>
  <c r="N166" i="16"/>
  <c r="N197" i="17"/>
  <c r="N201" i="18"/>
  <c r="E175" i="20"/>
  <c r="N195" i="21"/>
  <c r="N211" i="9"/>
  <c r="E200" i="11"/>
  <c r="E106" i="32"/>
  <c r="N106" i="32"/>
  <c r="E199" i="14"/>
  <c r="N199" i="14"/>
  <c r="R130" i="3"/>
  <c r="R129" i="3"/>
  <c r="W203" i="3" s="1"/>
  <c r="K130" i="3"/>
  <c r="L130" i="3"/>
  <c r="M130" i="3"/>
  <c r="K129" i="3"/>
  <c r="L129" i="3"/>
  <c r="M129" i="3"/>
  <c r="R123" i="2"/>
  <c r="K123" i="2"/>
  <c r="L123" i="2"/>
  <c r="M123" i="2"/>
  <c r="R122" i="2"/>
  <c r="M122" i="2"/>
  <c r="L122" i="2"/>
  <c r="K122" i="2"/>
  <c r="K129" i="1"/>
  <c r="L129" i="1"/>
  <c r="M129" i="1"/>
  <c r="K130" i="1"/>
  <c r="L130" i="1"/>
  <c r="M130" i="1"/>
  <c r="R130" i="1"/>
  <c r="R129" i="1"/>
  <c r="S200" i="1"/>
  <c r="C196" i="2" l="1"/>
  <c r="B196" i="2"/>
  <c r="N130" i="1"/>
  <c r="D196" i="2"/>
  <c r="E112" i="28"/>
  <c r="B201" i="1"/>
  <c r="C203" i="3"/>
  <c r="N130" i="3"/>
  <c r="B203" i="3"/>
  <c r="W196" i="2"/>
  <c r="D201" i="1"/>
  <c r="C201" i="1"/>
  <c r="J201" i="1"/>
  <c r="H201" i="1"/>
  <c r="W201" i="1"/>
  <c r="L201" i="1"/>
  <c r="N129" i="3"/>
  <c r="D203" i="3"/>
  <c r="N112" i="28"/>
  <c r="L203" i="3"/>
  <c r="J203" i="3"/>
  <c r="H203" i="3"/>
  <c r="N129" i="1"/>
  <c r="E201" i="1" s="1"/>
  <c r="N123" i="2"/>
  <c r="N122" i="2"/>
  <c r="J196" i="12"/>
  <c r="H196" i="12"/>
  <c r="H195" i="12"/>
  <c r="S213" i="15"/>
  <c r="T213" i="15"/>
  <c r="U213" i="15"/>
  <c r="U211" i="15"/>
  <c r="T195" i="2"/>
  <c r="E203" i="3" l="1"/>
  <c r="E196" i="2"/>
  <c r="N203" i="3"/>
  <c r="N201" i="1"/>
  <c r="W213" i="15"/>
  <c r="T110" i="37"/>
  <c r="U110" i="37"/>
  <c r="S110" i="37"/>
  <c r="T195" i="7"/>
  <c r="U195" i="7"/>
  <c r="S195" i="7"/>
  <c r="T90" i="30"/>
  <c r="U90" i="30"/>
  <c r="S90" i="30"/>
  <c r="R46" i="30"/>
  <c r="M46" i="30"/>
  <c r="K46" i="30"/>
  <c r="L46" i="30"/>
  <c r="R45" i="30"/>
  <c r="K45" i="30"/>
  <c r="L45" i="30"/>
  <c r="M45" i="30"/>
  <c r="N45" i="30" l="1"/>
  <c r="N46" i="30"/>
  <c r="W110" i="37"/>
  <c r="W90" i="30"/>
  <c r="U103" i="33"/>
  <c r="T103" i="33"/>
  <c r="S103" i="33"/>
  <c r="W103" i="33" l="1"/>
  <c r="U208" i="22"/>
  <c r="T208" i="22"/>
  <c r="S208" i="22"/>
  <c r="L208" i="22"/>
  <c r="J208" i="22"/>
  <c r="H208" i="22"/>
  <c r="D208" i="22"/>
  <c r="C208" i="22"/>
  <c r="B208" i="22"/>
  <c r="U198" i="23"/>
  <c r="T198" i="23"/>
  <c r="S198" i="23"/>
  <c r="L198" i="23"/>
  <c r="J198" i="23"/>
  <c r="H198" i="23"/>
  <c r="K122" i="23"/>
  <c r="L122" i="23"/>
  <c r="M122" i="23"/>
  <c r="K121" i="23"/>
  <c r="L121" i="23"/>
  <c r="M121" i="23"/>
  <c r="S194" i="24"/>
  <c r="U194" i="24"/>
  <c r="T194" i="24"/>
  <c r="D194" i="24"/>
  <c r="C194" i="24"/>
  <c r="B194" i="24"/>
  <c r="R121" i="24"/>
  <c r="R120" i="24"/>
  <c r="U194" i="25"/>
  <c r="T194" i="25"/>
  <c r="S194" i="25"/>
  <c r="R121" i="25"/>
  <c r="R120" i="25"/>
  <c r="K120" i="25"/>
  <c r="L120" i="25"/>
  <c r="M120" i="25"/>
  <c r="K121" i="25"/>
  <c r="L121" i="25"/>
  <c r="M121" i="25"/>
  <c r="U158" i="26"/>
  <c r="T158" i="26"/>
  <c r="S158" i="26"/>
  <c r="R85" i="26"/>
  <c r="K85" i="26"/>
  <c r="L85" i="26"/>
  <c r="M85" i="26"/>
  <c r="R84" i="26"/>
  <c r="K84" i="26"/>
  <c r="L84" i="26"/>
  <c r="M84" i="26"/>
  <c r="U106" i="38"/>
  <c r="T106" i="38"/>
  <c r="S106" i="38"/>
  <c r="R63" i="38"/>
  <c r="R62" i="38"/>
  <c r="K63" i="38"/>
  <c r="L63" i="38"/>
  <c r="M63" i="38"/>
  <c r="K62" i="38"/>
  <c r="L62" i="38"/>
  <c r="M62" i="38"/>
  <c r="D158" i="26" l="1"/>
  <c r="L158" i="26"/>
  <c r="J194" i="24"/>
  <c r="B158" i="26"/>
  <c r="C106" i="38"/>
  <c r="B198" i="23"/>
  <c r="D198" i="23"/>
  <c r="C198" i="23"/>
  <c r="N122" i="23"/>
  <c r="J194" i="25"/>
  <c r="D194" i="25"/>
  <c r="C194" i="25"/>
  <c r="N120" i="25"/>
  <c r="N85" i="26"/>
  <c r="B106" i="38"/>
  <c r="H106" i="38"/>
  <c r="D106" i="38"/>
  <c r="W106" i="38"/>
  <c r="C158" i="26"/>
  <c r="L194" i="24"/>
  <c r="L194" i="25"/>
  <c r="H194" i="24"/>
  <c r="J106" i="38"/>
  <c r="H158" i="26"/>
  <c r="N198" i="23"/>
  <c r="W194" i="24"/>
  <c r="E194" i="24"/>
  <c r="B194" i="25"/>
  <c r="H194" i="25"/>
  <c r="N84" i="26"/>
  <c r="J158" i="26"/>
  <c r="L106" i="38"/>
  <c r="N64" i="38"/>
  <c r="N63" i="38"/>
  <c r="N208" i="22"/>
  <c r="W208" i="22"/>
  <c r="E208" i="22"/>
  <c r="W198" i="23"/>
  <c r="N121" i="23"/>
  <c r="N121" i="25"/>
  <c r="W194" i="25"/>
  <c r="W158" i="26"/>
  <c r="R67" i="37"/>
  <c r="K67" i="37"/>
  <c r="L67" i="37"/>
  <c r="M67" i="37"/>
  <c r="N194" i="25" l="1"/>
  <c r="E158" i="26"/>
  <c r="E106" i="38"/>
  <c r="E198" i="23"/>
  <c r="N194" i="24"/>
  <c r="E194" i="25"/>
  <c r="N158" i="26"/>
  <c r="N106" i="38"/>
  <c r="N67" i="37"/>
  <c r="E111" i="37"/>
  <c r="R66" i="37"/>
  <c r="K66" i="37"/>
  <c r="L66" i="37"/>
  <c r="M66" i="37"/>
  <c r="R65" i="37"/>
  <c r="K65" i="37"/>
  <c r="L65" i="37"/>
  <c r="M65" i="37"/>
  <c r="T131" i="36"/>
  <c r="U131" i="36"/>
  <c r="S131" i="36"/>
  <c r="K79" i="36"/>
  <c r="L79" i="36"/>
  <c r="M79" i="36"/>
  <c r="K80" i="36"/>
  <c r="L80" i="36"/>
  <c r="M80" i="36"/>
  <c r="T165" i="16"/>
  <c r="K91" i="16"/>
  <c r="L91" i="16"/>
  <c r="M91" i="16"/>
  <c r="K92" i="16"/>
  <c r="L92" i="16"/>
  <c r="M92" i="16"/>
  <c r="U138" i="35"/>
  <c r="T138" i="35"/>
  <c r="S138" i="35"/>
  <c r="L138" i="35"/>
  <c r="J138" i="35"/>
  <c r="K93" i="35"/>
  <c r="L93" i="35"/>
  <c r="M93" i="35"/>
  <c r="K92" i="35"/>
  <c r="L92" i="35"/>
  <c r="M92" i="35"/>
  <c r="K91" i="35"/>
  <c r="L91" i="35"/>
  <c r="M91" i="35"/>
  <c r="U196" i="17"/>
  <c r="T196" i="17"/>
  <c r="S196" i="17"/>
  <c r="D196" i="17"/>
  <c r="C196" i="17"/>
  <c r="B196" i="17"/>
  <c r="R123" i="17"/>
  <c r="R122" i="17"/>
  <c r="S200" i="18"/>
  <c r="U200" i="18"/>
  <c r="T200" i="18"/>
  <c r="R125" i="18"/>
  <c r="K125" i="18"/>
  <c r="L125" i="18"/>
  <c r="M125" i="18"/>
  <c r="R124" i="18"/>
  <c r="M124" i="18"/>
  <c r="L124" i="18"/>
  <c r="K124" i="18"/>
  <c r="U202" i="19"/>
  <c r="T202" i="19"/>
  <c r="S202" i="19"/>
  <c r="R126" i="19"/>
  <c r="M126" i="19"/>
  <c r="L126" i="19"/>
  <c r="K126" i="19"/>
  <c r="R125" i="19"/>
  <c r="M125" i="19"/>
  <c r="L125" i="19"/>
  <c r="C202" i="19" s="1"/>
  <c r="K125" i="19"/>
  <c r="R107" i="20"/>
  <c r="R106" i="20"/>
  <c r="U174" i="20"/>
  <c r="T174" i="20"/>
  <c r="S174" i="20"/>
  <c r="K107" i="20"/>
  <c r="L107" i="20"/>
  <c r="M107" i="20"/>
  <c r="K106" i="20"/>
  <c r="L106" i="20"/>
  <c r="M106" i="20"/>
  <c r="U194" i="21"/>
  <c r="T194" i="21"/>
  <c r="S194" i="21"/>
  <c r="R120" i="21"/>
  <c r="R121" i="21"/>
  <c r="K120" i="21"/>
  <c r="L120" i="21"/>
  <c r="M120" i="21"/>
  <c r="K121" i="21"/>
  <c r="L121" i="21"/>
  <c r="M121" i="21"/>
  <c r="J200" i="18" l="1"/>
  <c r="L202" i="19"/>
  <c r="C200" i="18"/>
  <c r="C110" i="37"/>
  <c r="D110" i="37"/>
  <c r="B174" i="20"/>
  <c r="L174" i="20"/>
  <c r="C174" i="20"/>
  <c r="W138" i="35"/>
  <c r="D174" i="20"/>
  <c r="D194" i="21"/>
  <c r="B194" i="21"/>
  <c r="H194" i="21"/>
  <c r="C194" i="21"/>
  <c r="L194" i="21"/>
  <c r="N124" i="18"/>
  <c r="L200" i="18"/>
  <c r="D138" i="35"/>
  <c r="N66" i="37"/>
  <c r="N92" i="35"/>
  <c r="N107" i="20"/>
  <c r="W174" i="20"/>
  <c r="D200" i="18"/>
  <c r="C165" i="16"/>
  <c r="W165" i="16"/>
  <c r="N111" i="37"/>
  <c r="B165" i="16"/>
  <c r="N93" i="35"/>
  <c r="E139" i="35"/>
  <c r="N91" i="35"/>
  <c r="B138" i="35"/>
  <c r="C138" i="35"/>
  <c r="J196" i="17"/>
  <c r="L196" i="17"/>
  <c r="B200" i="18"/>
  <c r="H200" i="18"/>
  <c r="N125" i="19"/>
  <c r="J202" i="19"/>
  <c r="H202" i="19"/>
  <c r="D202" i="19"/>
  <c r="B202" i="19"/>
  <c r="H174" i="20"/>
  <c r="J194" i="21"/>
  <c r="H110" i="37"/>
  <c r="J110" i="37"/>
  <c r="L110" i="37"/>
  <c r="N65" i="37"/>
  <c r="B110" i="37"/>
  <c r="N92" i="16"/>
  <c r="N91" i="16"/>
  <c r="J165" i="16"/>
  <c r="D165" i="16"/>
  <c r="H196" i="17"/>
  <c r="N131" i="36"/>
  <c r="C131" i="36"/>
  <c r="B131" i="36"/>
  <c r="N80" i="36"/>
  <c r="N79" i="36"/>
  <c r="W131" i="36"/>
  <c r="D131" i="36"/>
  <c r="N138" i="35"/>
  <c r="W196" i="17"/>
  <c r="E196" i="17"/>
  <c r="W200" i="18"/>
  <c r="N125" i="18"/>
  <c r="W202" i="19"/>
  <c r="N126" i="19"/>
  <c r="J174" i="20"/>
  <c r="N106" i="20"/>
  <c r="W194" i="21"/>
  <c r="N120" i="21"/>
  <c r="N121" i="21"/>
  <c r="T102" i="34"/>
  <c r="U102" i="34"/>
  <c r="S102" i="34"/>
  <c r="R61" i="34"/>
  <c r="K61" i="34"/>
  <c r="L61" i="34"/>
  <c r="M61" i="34"/>
  <c r="R60" i="34"/>
  <c r="J102" i="34" s="1"/>
  <c r="K60" i="34"/>
  <c r="L60" i="34"/>
  <c r="M60" i="34"/>
  <c r="R61" i="33"/>
  <c r="K61" i="33"/>
  <c r="L61" i="33"/>
  <c r="M61" i="33"/>
  <c r="R60" i="33"/>
  <c r="K60" i="33"/>
  <c r="L60" i="33"/>
  <c r="M60" i="33"/>
  <c r="U210" i="9"/>
  <c r="T210" i="9"/>
  <c r="S210" i="9"/>
  <c r="R137" i="9"/>
  <c r="M137" i="9"/>
  <c r="L137" i="9"/>
  <c r="K137" i="9"/>
  <c r="R136" i="9"/>
  <c r="K136" i="9"/>
  <c r="L136" i="9"/>
  <c r="M136" i="9"/>
  <c r="C210" i="9" l="1"/>
  <c r="D103" i="33"/>
  <c r="E110" i="37"/>
  <c r="E138" i="35"/>
  <c r="E200" i="18"/>
  <c r="N200" i="18"/>
  <c r="E174" i="20"/>
  <c r="C103" i="33"/>
  <c r="N202" i="19"/>
  <c r="W210" i="9"/>
  <c r="E165" i="16"/>
  <c r="N174" i="20"/>
  <c r="E194" i="21"/>
  <c r="N194" i="21"/>
  <c r="B210" i="9"/>
  <c r="W102" i="34"/>
  <c r="E202" i="19"/>
  <c r="N196" i="17"/>
  <c r="L210" i="9"/>
  <c r="E103" i="34"/>
  <c r="N103" i="34"/>
  <c r="D102" i="34"/>
  <c r="N110" i="37"/>
  <c r="E131" i="36"/>
  <c r="N165" i="16"/>
  <c r="C102" i="34"/>
  <c r="L102" i="34"/>
  <c r="N61" i="34"/>
  <c r="N60" i="34"/>
  <c r="H102" i="34"/>
  <c r="B102" i="34"/>
  <c r="B103" i="33"/>
  <c r="E103" i="33" s="1"/>
  <c r="L103" i="33"/>
  <c r="J103" i="33"/>
  <c r="H103" i="33"/>
  <c r="N61" i="33"/>
  <c r="D210" i="9"/>
  <c r="H210" i="9"/>
  <c r="J210" i="9"/>
  <c r="N137" i="9"/>
  <c r="N60" i="33"/>
  <c r="N136" i="9"/>
  <c r="U218" i="10"/>
  <c r="T218" i="10"/>
  <c r="S218" i="10"/>
  <c r="K141" i="10"/>
  <c r="L141" i="10"/>
  <c r="M141" i="10"/>
  <c r="R143" i="10"/>
  <c r="K143" i="10"/>
  <c r="L143" i="10"/>
  <c r="M143" i="10"/>
  <c r="R141" i="10"/>
  <c r="R142" i="10"/>
  <c r="K142" i="10"/>
  <c r="L142" i="10"/>
  <c r="M142" i="10"/>
  <c r="U196" i="12"/>
  <c r="T196" i="12"/>
  <c r="S196" i="12"/>
  <c r="L196" i="12"/>
  <c r="N102" i="34" l="1"/>
  <c r="E102" i="34"/>
  <c r="E210" i="9"/>
  <c r="W218" i="10"/>
  <c r="J218" i="10"/>
  <c r="L218" i="10"/>
  <c r="W196" i="12"/>
  <c r="D218" i="10"/>
  <c r="E219" i="10"/>
  <c r="H218" i="10"/>
  <c r="N219" i="10"/>
  <c r="C218" i="10"/>
  <c r="B218" i="10"/>
  <c r="N103" i="33"/>
  <c r="N210" i="9"/>
  <c r="N141" i="10"/>
  <c r="N143" i="10"/>
  <c r="N142" i="10"/>
  <c r="N196" i="12"/>
  <c r="R122" i="12"/>
  <c r="M122" i="12"/>
  <c r="L122" i="12"/>
  <c r="K122" i="12"/>
  <c r="R134" i="15"/>
  <c r="R135" i="15"/>
  <c r="R136" i="15"/>
  <c r="R132" i="15"/>
  <c r="R133" i="15"/>
  <c r="R131" i="15"/>
  <c r="T81" i="30"/>
  <c r="U199" i="11"/>
  <c r="T199" i="11"/>
  <c r="S199" i="11"/>
  <c r="R125" i="11"/>
  <c r="M125" i="11"/>
  <c r="K125" i="11"/>
  <c r="L125" i="11"/>
  <c r="R124" i="11"/>
  <c r="K124" i="11"/>
  <c r="L124" i="11"/>
  <c r="M124" i="11"/>
  <c r="R121" i="12"/>
  <c r="K121" i="12"/>
  <c r="L121" i="12"/>
  <c r="M121" i="12"/>
  <c r="N218" i="10" l="1"/>
  <c r="W199" i="11"/>
  <c r="J199" i="11"/>
  <c r="D199" i="11"/>
  <c r="C199" i="11"/>
  <c r="C196" i="12"/>
  <c r="B196" i="12"/>
  <c r="L199" i="11"/>
  <c r="N124" i="11"/>
  <c r="H199" i="11"/>
  <c r="B199" i="11"/>
  <c r="D196" i="12"/>
  <c r="E218" i="10"/>
  <c r="J213" i="15"/>
  <c r="H213" i="15"/>
  <c r="L213" i="15"/>
  <c r="N121" i="12"/>
  <c r="N122" i="12"/>
  <c r="N125" i="11"/>
  <c r="U105" i="32"/>
  <c r="T105" i="32"/>
  <c r="S105" i="32"/>
  <c r="R61" i="32"/>
  <c r="M61" i="32"/>
  <c r="L61" i="32"/>
  <c r="K61" i="32"/>
  <c r="R62" i="32"/>
  <c r="M62" i="32"/>
  <c r="L62" i="32"/>
  <c r="K62" i="32"/>
  <c r="U212" i="13"/>
  <c r="T212" i="13"/>
  <c r="S212" i="13"/>
  <c r="K137" i="13"/>
  <c r="L137" i="13"/>
  <c r="M137" i="13"/>
  <c r="R136" i="13"/>
  <c r="R137" i="13"/>
  <c r="K136" i="13"/>
  <c r="L136" i="13"/>
  <c r="M136" i="13"/>
  <c r="U198" i="14"/>
  <c r="T198" i="14"/>
  <c r="S198" i="14"/>
  <c r="R124" i="14"/>
  <c r="M124" i="14"/>
  <c r="L124" i="14"/>
  <c r="K124" i="14"/>
  <c r="R125" i="14"/>
  <c r="M125" i="14"/>
  <c r="L125" i="14"/>
  <c r="K125" i="14"/>
  <c r="K136" i="15"/>
  <c r="L136" i="15"/>
  <c r="M136" i="15"/>
  <c r="K132" i="15"/>
  <c r="L132" i="15"/>
  <c r="M132" i="15"/>
  <c r="K133" i="15"/>
  <c r="L133" i="15"/>
  <c r="M133" i="15"/>
  <c r="K134" i="15"/>
  <c r="L134" i="15"/>
  <c r="M134" i="15"/>
  <c r="K135" i="15"/>
  <c r="L135" i="15"/>
  <c r="M135" i="15"/>
  <c r="U206" i="8"/>
  <c r="T206" i="8"/>
  <c r="S206" i="8"/>
  <c r="K130" i="8"/>
  <c r="L130" i="8"/>
  <c r="M130" i="8"/>
  <c r="R130" i="8"/>
  <c r="K131" i="8"/>
  <c r="L131" i="8"/>
  <c r="M131" i="8"/>
  <c r="D206" i="8" s="1"/>
  <c r="R131" i="8"/>
  <c r="U99" i="31"/>
  <c r="T99" i="31"/>
  <c r="S99" i="31"/>
  <c r="K57" i="31"/>
  <c r="K58" i="31"/>
  <c r="L58" i="31"/>
  <c r="M58" i="31"/>
  <c r="R57" i="31"/>
  <c r="R56" i="31"/>
  <c r="L57" i="31"/>
  <c r="M57" i="31"/>
  <c r="R123" i="7"/>
  <c r="K123" i="7"/>
  <c r="L123" i="7"/>
  <c r="M123" i="7"/>
  <c r="R122" i="7"/>
  <c r="W195" i="7" s="1"/>
  <c r="K122" i="7"/>
  <c r="L122" i="7"/>
  <c r="M122" i="7"/>
  <c r="U108" i="29"/>
  <c r="T108" i="29"/>
  <c r="S108" i="29"/>
  <c r="K66" i="29"/>
  <c r="L66" i="29"/>
  <c r="M66" i="29"/>
  <c r="R66" i="29"/>
  <c r="R65" i="29"/>
  <c r="K65" i="29"/>
  <c r="L65" i="29"/>
  <c r="M65" i="29"/>
  <c r="C198" i="14" l="1"/>
  <c r="D99" i="31"/>
  <c r="D212" i="13"/>
  <c r="D108" i="29"/>
  <c r="W108" i="29"/>
  <c r="N58" i="31"/>
  <c r="N131" i="8"/>
  <c r="L99" i="31"/>
  <c r="E199" i="11"/>
  <c r="N199" i="11"/>
  <c r="E196" i="12"/>
  <c r="D105" i="32"/>
  <c r="C212" i="13"/>
  <c r="B212" i="13"/>
  <c r="L212" i="13"/>
  <c r="B198" i="14"/>
  <c r="N125" i="14"/>
  <c r="W206" i="8"/>
  <c r="C206" i="8"/>
  <c r="B206" i="8"/>
  <c r="L206" i="8"/>
  <c r="H206" i="8"/>
  <c r="C99" i="31"/>
  <c r="B99" i="31"/>
  <c r="L198" i="14"/>
  <c r="C105" i="32"/>
  <c r="J206" i="8"/>
  <c r="B108" i="29"/>
  <c r="N66" i="29"/>
  <c r="J99" i="31"/>
  <c r="L105" i="32"/>
  <c r="N65" i="29"/>
  <c r="J108" i="29"/>
  <c r="W99" i="31"/>
  <c r="N130" i="8"/>
  <c r="N124" i="14"/>
  <c r="J212" i="13"/>
  <c r="N62" i="32"/>
  <c r="B105" i="32"/>
  <c r="W105" i="32"/>
  <c r="H105" i="32"/>
  <c r="J105" i="32"/>
  <c r="N61" i="32"/>
  <c r="H212" i="13"/>
  <c r="W198" i="14"/>
  <c r="D198" i="14"/>
  <c r="H198" i="14"/>
  <c r="J198" i="14"/>
  <c r="H99" i="31"/>
  <c r="N57" i="31"/>
  <c r="N135" i="15"/>
  <c r="N134" i="15"/>
  <c r="D213" i="15"/>
  <c r="C213" i="15"/>
  <c r="N213" i="15"/>
  <c r="N132" i="15"/>
  <c r="B213" i="15"/>
  <c r="C195" i="7"/>
  <c r="B195" i="7"/>
  <c r="N123" i="7"/>
  <c r="D195" i="7"/>
  <c r="J195" i="7"/>
  <c r="H195" i="7"/>
  <c r="L195" i="7"/>
  <c r="N122" i="7"/>
  <c r="L108" i="29"/>
  <c r="C108" i="29"/>
  <c r="H108" i="29"/>
  <c r="N136" i="15"/>
  <c r="N133" i="15"/>
  <c r="W212" i="13"/>
  <c r="N136" i="13"/>
  <c r="N137" i="13"/>
  <c r="W149" i="6"/>
  <c r="R93" i="6"/>
  <c r="K93" i="6"/>
  <c r="B149" i="6" s="1"/>
  <c r="L93" i="6"/>
  <c r="C149" i="6" s="1"/>
  <c r="M93" i="6"/>
  <c r="D149" i="6" s="1"/>
  <c r="L149" i="6" l="1"/>
  <c r="H149" i="6"/>
  <c r="J149" i="6"/>
  <c r="E212" i="13"/>
  <c r="E198" i="14"/>
  <c r="E206" i="8"/>
  <c r="E105" i="32"/>
  <c r="N212" i="13"/>
  <c r="E213" i="15"/>
  <c r="N206" i="8"/>
  <c r="N99" i="31"/>
  <c r="E108" i="29"/>
  <c r="N108" i="29"/>
  <c r="N198" i="14"/>
  <c r="N105" i="32"/>
  <c r="E195" i="7"/>
  <c r="N195" i="7"/>
  <c r="N93" i="6"/>
  <c r="E149" i="6"/>
  <c r="R44" i="30"/>
  <c r="K44" i="30"/>
  <c r="L44" i="30"/>
  <c r="C90" i="30" s="1"/>
  <c r="M44" i="30"/>
  <c r="D90" i="30" s="1"/>
  <c r="T196" i="5"/>
  <c r="U196" i="5"/>
  <c r="S196" i="5"/>
  <c r="R122" i="5"/>
  <c r="R123" i="5"/>
  <c r="K122" i="5"/>
  <c r="L122" i="5"/>
  <c r="M122" i="5"/>
  <c r="K123" i="5"/>
  <c r="L123" i="5"/>
  <c r="M123" i="5"/>
  <c r="U111" i="28"/>
  <c r="T111" i="28"/>
  <c r="S111" i="28"/>
  <c r="R67" i="28"/>
  <c r="R68" i="28"/>
  <c r="K68" i="28"/>
  <c r="L68" i="28"/>
  <c r="M68" i="28"/>
  <c r="K67" i="28"/>
  <c r="L67" i="28"/>
  <c r="M67" i="28"/>
  <c r="U202" i="3"/>
  <c r="T202" i="3"/>
  <c r="S202" i="3"/>
  <c r="K128" i="3"/>
  <c r="L128" i="3"/>
  <c r="M128" i="3"/>
  <c r="R128" i="3"/>
  <c r="R127" i="3"/>
  <c r="K127" i="3"/>
  <c r="L127" i="3"/>
  <c r="M127" i="3"/>
  <c r="N67" i="28" l="1"/>
  <c r="N149" i="6"/>
  <c r="C202" i="3"/>
  <c r="W202" i="3"/>
  <c r="N128" i="3"/>
  <c r="L196" i="5"/>
  <c r="C196" i="5"/>
  <c r="C111" i="28"/>
  <c r="D111" i="28"/>
  <c r="L111" i="28"/>
  <c r="D202" i="3"/>
  <c r="H202" i="3"/>
  <c r="J202" i="3"/>
  <c r="D196" i="5"/>
  <c r="W196" i="5"/>
  <c r="L202" i="3"/>
  <c r="J196" i="5"/>
  <c r="N122" i="5"/>
  <c r="B196" i="5"/>
  <c r="N44" i="30"/>
  <c r="B90" i="30"/>
  <c r="E90" i="30" s="1"/>
  <c r="L90" i="30"/>
  <c r="J90" i="30"/>
  <c r="H90" i="30"/>
  <c r="B111" i="28"/>
  <c r="N68" i="28"/>
  <c r="H111" i="28"/>
  <c r="J111" i="28"/>
  <c r="H196" i="5"/>
  <c r="N123" i="5"/>
  <c r="W111" i="28"/>
  <c r="N127" i="3"/>
  <c r="U195" i="2"/>
  <c r="L195" i="2"/>
  <c r="J195" i="2"/>
  <c r="H195" i="2"/>
  <c r="H194" i="2"/>
  <c r="R121" i="2"/>
  <c r="K121" i="2"/>
  <c r="L121" i="2"/>
  <c r="M121" i="2"/>
  <c r="R120" i="2"/>
  <c r="K120" i="2"/>
  <c r="L120" i="2"/>
  <c r="M120" i="2"/>
  <c r="U200" i="1"/>
  <c r="T200" i="1"/>
  <c r="R128" i="1"/>
  <c r="L128" i="1"/>
  <c r="M128" i="1"/>
  <c r="K128" i="1"/>
  <c r="N196" i="5" l="1"/>
  <c r="E111" i="28"/>
  <c r="E196" i="5"/>
  <c r="N195" i="2"/>
  <c r="W195" i="2"/>
  <c r="N202" i="3"/>
  <c r="N90" i="30"/>
  <c r="N111" i="28"/>
  <c r="D195" i="2"/>
  <c r="C195" i="2"/>
  <c r="B195" i="2"/>
  <c r="N128" i="1"/>
  <c r="N120" i="2"/>
  <c r="N121" i="2"/>
  <c r="R126" i="1"/>
  <c r="M126" i="1"/>
  <c r="L126" i="1"/>
  <c r="K126" i="1"/>
  <c r="R127" i="1"/>
  <c r="M127" i="1"/>
  <c r="L127" i="1"/>
  <c r="K127" i="1"/>
  <c r="C200" i="1" l="1"/>
  <c r="E195" i="2"/>
  <c r="D200" i="1"/>
  <c r="L200" i="1"/>
  <c r="J200" i="1"/>
  <c r="H200" i="1"/>
  <c r="W200" i="1"/>
  <c r="B200" i="1"/>
  <c r="N126" i="1"/>
  <c r="N127" i="1"/>
  <c r="K115" i="23"/>
  <c r="L115" i="23"/>
  <c r="M115" i="23"/>
  <c r="K116" i="23"/>
  <c r="L116" i="23"/>
  <c r="M116" i="23"/>
  <c r="K117" i="23"/>
  <c r="L117" i="23"/>
  <c r="M117" i="23"/>
  <c r="K118" i="23"/>
  <c r="L118" i="23"/>
  <c r="M118" i="23"/>
  <c r="K119" i="23"/>
  <c r="L119" i="23"/>
  <c r="M119" i="23"/>
  <c r="K120" i="23"/>
  <c r="L120" i="23"/>
  <c r="M120" i="23"/>
  <c r="N117" i="23" l="1"/>
  <c r="B197" i="23"/>
  <c r="E200" i="1"/>
  <c r="N200" i="1"/>
  <c r="N118" i="23"/>
  <c r="N119" i="23"/>
  <c r="N115" i="23"/>
  <c r="D197" i="23"/>
  <c r="N116" i="23"/>
  <c r="C197" i="23"/>
  <c r="N120" i="23"/>
  <c r="E197" i="23" l="1"/>
  <c r="S109" i="37"/>
  <c r="S205" i="8" l="1"/>
  <c r="T205" i="8"/>
  <c r="U110" i="28" l="1"/>
  <c r="T110" i="28"/>
  <c r="S110" i="28"/>
  <c r="U207" i="22" l="1"/>
  <c r="T207" i="22"/>
  <c r="S207" i="22"/>
  <c r="L207" i="22"/>
  <c r="J207" i="22"/>
  <c r="H207" i="22"/>
  <c r="D207" i="22"/>
  <c r="C207" i="22"/>
  <c r="S197" i="23"/>
  <c r="T197" i="23"/>
  <c r="U197" i="23"/>
  <c r="H197" i="23"/>
  <c r="J197" i="23"/>
  <c r="L197" i="23"/>
  <c r="B193" i="24"/>
  <c r="C193" i="24"/>
  <c r="D193" i="24"/>
  <c r="S193" i="24"/>
  <c r="T193" i="24"/>
  <c r="U193" i="24"/>
  <c r="R119" i="24"/>
  <c r="L193" i="24" s="1"/>
  <c r="S193" i="25"/>
  <c r="T193" i="25"/>
  <c r="U193" i="25"/>
  <c r="R119" i="25"/>
  <c r="R118" i="25"/>
  <c r="K118" i="25"/>
  <c r="L118" i="25"/>
  <c r="M118" i="25"/>
  <c r="K119" i="25"/>
  <c r="L119" i="25"/>
  <c r="M119" i="25"/>
  <c r="J193" i="25" l="1"/>
  <c r="W193" i="25"/>
  <c r="J193" i="24"/>
  <c r="H193" i="24"/>
  <c r="D193" i="25"/>
  <c r="C193" i="25"/>
  <c r="E193" i="24"/>
  <c r="W193" i="24"/>
  <c r="H193" i="25"/>
  <c r="N119" i="25"/>
  <c r="B193" i="25"/>
  <c r="N118" i="25"/>
  <c r="L193" i="25"/>
  <c r="N197" i="23"/>
  <c r="W197" i="23"/>
  <c r="W207" i="22"/>
  <c r="N207" i="22"/>
  <c r="E207" i="22"/>
  <c r="S157" i="26"/>
  <c r="T157" i="26"/>
  <c r="U157" i="26"/>
  <c r="R83" i="26"/>
  <c r="R82" i="26"/>
  <c r="K82" i="26"/>
  <c r="L82" i="26"/>
  <c r="M82" i="26"/>
  <c r="K83" i="26"/>
  <c r="L83" i="26"/>
  <c r="M83" i="26"/>
  <c r="U105" i="38"/>
  <c r="T105" i="38"/>
  <c r="S105" i="38"/>
  <c r="R61" i="38"/>
  <c r="R60" i="38"/>
  <c r="K60" i="38"/>
  <c r="L60" i="38"/>
  <c r="M60" i="38"/>
  <c r="K61" i="38"/>
  <c r="L61" i="38"/>
  <c r="M61" i="38"/>
  <c r="T109" i="37"/>
  <c r="U109" i="37"/>
  <c r="R64" i="37"/>
  <c r="R63" i="37"/>
  <c r="K63" i="37"/>
  <c r="L63" i="37"/>
  <c r="M63" i="37"/>
  <c r="K64" i="37"/>
  <c r="L64" i="37"/>
  <c r="M64" i="37"/>
  <c r="U130" i="36"/>
  <c r="T130" i="36"/>
  <c r="S130" i="36"/>
  <c r="U129" i="36"/>
  <c r="T129" i="36"/>
  <c r="S129" i="36"/>
  <c r="R75" i="36"/>
  <c r="H130" i="36" s="1"/>
  <c r="M78" i="36"/>
  <c r="L78" i="36"/>
  <c r="K78" i="36"/>
  <c r="K77" i="36"/>
  <c r="L77" i="36"/>
  <c r="M77" i="36"/>
  <c r="K76" i="36"/>
  <c r="L76" i="36"/>
  <c r="M76" i="36"/>
  <c r="K75" i="36"/>
  <c r="L75" i="36"/>
  <c r="M75" i="36"/>
  <c r="L157" i="26" l="1"/>
  <c r="W109" i="37"/>
  <c r="N193" i="24"/>
  <c r="B157" i="26"/>
  <c r="J109" i="37"/>
  <c r="D109" i="37"/>
  <c r="W105" i="38"/>
  <c r="L109" i="37"/>
  <c r="E193" i="25"/>
  <c r="L105" i="38"/>
  <c r="N193" i="25"/>
  <c r="W157" i="26"/>
  <c r="C157" i="26"/>
  <c r="N83" i="26"/>
  <c r="C105" i="38"/>
  <c r="N64" i="37"/>
  <c r="C109" i="37"/>
  <c r="B109" i="37"/>
  <c r="D157" i="26"/>
  <c r="H105" i="38"/>
  <c r="N62" i="38"/>
  <c r="N61" i="38"/>
  <c r="D105" i="38"/>
  <c r="N75" i="36"/>
  <c r="J130" i="36"/>
  <c r="N78" i="36"/>
  <c r="N77" i="36"/>
  <c r="C130" i="36"/>
  <c r="L130" i="36"/>
  <c r="W130" i="36"/>
  <c r="J157" i="26"/>
  <c r="B130" i="36"/>
  <c r="H109" i="37"/>
  <c r="J105" i="38"/>
  <c r="D130" i="36"/>
  <c r="H157" i="26"/>
  <c r="N76" i="36"/>
  <c r="N63" i="37"/>
  <c r="B105" i="38"/>
  <c r="N82" i="26"/>
  <c r="T164" i="16"/>
  <c r="M90" i="16"/>
  <c r="L90" i="16"/>
  <c r="K90" i="16"/>
  <c r="R89" i="16"/>
  <c r="R88" i="16"/>
  <c r="K89" i="16"/>
  <c r="L89" i="16"/>
  <c r="M89" i="16"/>
  <c r="K88" i="16"/>
  <c r="L88" i="16"/>
  <c r="M88" i="16"/>
  <c r="S137" i="35"/>
  <c r="T137" i="35"/>
  <c r="U137" i="35"/>
  <c r="R88" i="35"/>
  <c r="R89" i="35"/>
  <c r="K88" i="35"/>
  <c r="L88" i="35"/>
  <c r="M88" i="35"/>
  <c r="K89" i="35"/>
  <c r="L89" i="35"/>
  <c r="M89" i="35"/>
  <c r="K90" i="35"/>
  <c r="L90" i="35"/>
  <c r="M90" i="35"/>
  <c r="S195" i="17"/>
  <c r="T195" i="17"/>
  <c r="U195" i="17"/>
  <c r="B195" i="17"/>
  <c r="C195" i="17"/>
  <c r="D195" i="17"/>
  <c r="R121" i="17"/>
  <c r="R120" i="17"/>
  <c r="U199" i="18"/>
  <c r="T199" i="18"/>
  <c r="S199" i="18"/>
  <c r="R123" i="18"/>
  <c r="R122" i="18"/>
  <c r="K122" i="18"/>
  <c r="L122" i="18"/>
  <c r="M122" i="18"/>
  <c r="K123" i="18"/>
  <c r="L123" i="18"/>
  <c r="M123" i="18"/>
  <c r="S201" i="19"/>
  <c r="T201" i="19"/>
  <c r="U201" i="19"/>
  <c r="R124" i="19"/>
  <c r="R123" i="19"/>
  <c r="K123" i="19"/>
  <c r="L123" i="19"/>
  <c r="M123" i="19"/>
  <c r="K124" i="19"/>
  <c r="L124" i="19"/>
  <c r="M124" i="19"/>
  <c r="E105" i="38" l="1"/>
  <c r="N109" i="37"/>
  <c r="L201" i="19"/>
  <c r="E109" i="37"/>
  <c r="W137" i="35"/>
  <c r="H137" i="35"/>
  <c r="D137" i="35"/>
  <c r="L164" i="16"/>
  <c r="H164" i="16"/>
  <c r="L199" i="18"/>
  <c r="C137" i="35"/>
  <c r="W199" i="18"/>
  <c r="E157" i="26"/>
  <c r="N105" i="38"/>
  <c r="J137" i="35"/>
  <c r="B137" i="35"/>
  <c r="E195" i="17"/>
  <c r="L195" i="17"/>
  <c r="W195" i="17"/>
  <c r="J199" i="18"/>
  <c r="C199" i="18"/>
  <c r="D199" i="18"/>
  <c r="B199" i="18"/>
  <c r="N123" i="19"/>
  <c r="B201" i="19"/>
  <c r="D201" i="19"/>
  <c r="N88" i="16"/>
  <c r="D164" i="16"/>
  <c r="C164" i="16"/>
  <c r="H195" i="17"/>
  <c r="N157" i="26"/>
  <c r="N130" i="36"/>
  <c r="H199" i="18"/>
  <c r="N123" i="18"/>
  <c r="J195" i="17"/>
  <c r="B164" i="16"/>
  <c r="W201" i="19"/>
  <c r="N124" i="19"/>
  <c r="C201" i="19"/>
  <c r="N89" i="35"/>
  <c r="E130" i="36"/>
  <c r="N88" i="35"/>
  <c r="H201" i="19"/>
  <c r="N90" i="35"/>
  <c r="N89" i="16"/>
  <c r="L137" i="35"/>
  <c r="N90" i="16"/>
  <c r="J164" i="16"/>
  <c r="J201" i="19"/>
  <c r="N122" i="18"/>
  <c r="W164" i="16"/>
  <c r="S173" i="20"/>
  <c r="T173" i="20"/>
  <c r="U173" i="20"/>
  <c r="M102" i="20"/>
  <c r="M104" i="20"/>
  <c r="R105" i="20"/>
  <c r="M105" i="20"/>
  <c r="L105" i="20"/>
  <c r="K105" i="20"/>
  <c r="R104" i="20"/>
  <c r="L104" i="20"/>
  <c r="K104" i="20"/>
  <c r="S193" i="21"/>
  <c r="T193" i="21"/>
  <c r="U193" i="21"/>
  <c r="R118" i="21"/>
  <c r="R119" i="21"/>
  <c r="K118" i="21"/>
  <c r="L118" i="21"/>
  <c r="M118" i="21"/>
  <c r="K119" i="21"/>
  <c r="L119" i="21"/>
  <c r="M119" i="21"/>
  <c r="S101" i="34"/>
  <c r="T101" i="34"/>
  <c r="U101" i="34"/>
  <c r="K57" i="34"/>
  <c r="L57" i="34"/>
  <c r="M57" i="34"/>
  <c r="K58" i="34"/>
  <c r="L58" i="34"/>
  <c r="M58" i="34"/>
  <c r="K59" i="34"/>
  <c r="L59" i="34"/>
  <c r="M59" i="34"/>
  <c r="L56" i="34"/>
  <c r="R59" i="34"/>
  <c r="R58" i="34"/>
  <c r="U102" i="33"/>
  <c r="T102" i="33"/>
  <c r="S102" i="33"/>
  <c r="R59" i="33"/>
  <c r="R58" i="33"/>
  <c r="K58" i="33"/>
  <c r="L58" i="33"/>
  <c r="M58" i="33"/>
  <c r="K59" i="33"/>
  <c r="L59" i="33"/>
  <c r="M59" i="33"/>
  <c r="S209" i="9"/>
  <c r="T209" i="9"/>
  <c r="U209" i="9"/>
  <c r="R135" i="9"/>
  <c r="R134" i="9"/>
  <c r="K134" i="9"/>
  <c r="L134" i="9"/>
  <c r="M134" i="9"/>
  <c r="K135" i="9"/>
  <c r="L135" i="9"/>
  <c r="M135" i="9"/>
  <c r="U217" i="10"/>
  <c r="T217" i="10"/>
  <c r="S217" i="10"/>
  <c r="R140" i="10"/>
  <c r="R139" i="10"/>
  <c r="R138" i="10"/>
  <c r="R137" i="10"/>
  <c r="K137" i="10"/>
  <c r="L137" i="10"/>
  <c r="M137" i="10"/>
  <c r="K138" i="10"/>
  <c r="L138" i="10"/>
  <c r="M138" i="10"/>
  <c r="K139" i="10"/>
  <c r="L139" i="10"/>
  <c r="M139" i="10"/>
  <c r="K140" i="10"/>
  <c r="L140" i="10"/>
  <c r="M140" i="10"/>
  <c r="E137" i="35" l="1"/>
  <c r="N137" i="35"/>
  <c r="N199" i="18"/>
  <c r="E199" i="18"/>
  <c r="L193" i="21"/>
  <c r="D102" i="33"/>
  <c r="L102" i="33"/>
  <c r="H209" i="9"/>
  <c r="C101" i="34"/>
  <c r="B193" i="21"/>
  <c r="N59" i="33"/>
  <c r="N59" i="34"/>
  <c r="J193" i="21"/>
  <c r="E164" i="16"/>
  <c r="N195" i="17"/>
  <c r="E201" i="19"/>
  <c r="W173" i="20"/>
  <c r="L173" i="20"/>
  <c r="D193" i="21"/>
  <c r="N164" i="16"/>
  <c r="N57" i="34"/>
  <c r="W217" i="10"/>
  <c r="C102" i="33"/>
  <c r="N58" i="33"/>
  <c r="D209" i="9"/>
  <c r="C209" i="9"/>
  <c r="N201" i="19"/>
  <c r="D173" i="20"/>
  <c r="N104" i="20"/>
  <c r="C173" i="20"/>
  <c r="J173" i="20"/>
  <c r="N119" i="21"/>
  <c r="C193" i="21"/>
  <c r="W193" i="21"/>
  <c r="H193" i="21"/>
  <c r="B102" i="33"/>
  <c r="W209" i="9"/>
  <c r="L209" i="9"/>
  <c r="B209" i="9"/>
  <c r="D217" i="10"/>
  <c r="B217" i="10"/>
  <c r="C217" i="10"/>
  <c r="N138" i="10"/>
  <c r="N140" i="10"/>
  <c r="L217" i="10"/>
  <c r="H173" i="20"/>
  <c r="N137" i="10"/>
  <c r="H217" i="10"/>
  <c r="H101" i="34"/>
  <c r="N58" i="34"/>
  <c r="J209" i="9"/>
  <c r="N139" i="10"/>
  <c r="J217" i="10"/>
  <c r="N135" i="9"/>
  <c r="H102" i="33"/>
  <c r="N105" i="20"/>
  <c r="B173" i="20"/>
  <c r="N134" i="9"/>
  <c r="J102" i="33"/>
  <c r="N118" i="21"/>
  <c r="W101" i="34"/>
  <c r="D101" i="34"/>
  <c r="B101" i="34"/>
  <c r="L101" i="34"/>
  <c r="J101" i="34"/>
  <c r="W102" i="33"/>
  <c r="S198" i="11"/>
  <c r="T198" i="11"/>
  <c r="U198" i="11"/>
  <c r="R123" i="11"/>
  <c r="M123" i="11"/>
  <c r="L123" i="11"/>
  <c r="K123" i="11"/>
  <c r="R122" i="11"/>
  <c r="M122" i="11"/>
  <c r="L122" i="11"/>
  <c r="K122" i="11"/>
  <c r="B198" i="11" s="1"/>
  <c r="T195" i="12"/>
  <c r="S195" i="12"/>
  <c r="U195" i="12"/>
  <c r="J195" i="12"/>
  <c r="L195" i="12"/>
  <c r="R120" i="12"/>
  <c r="M120" i="12"/>
  <c r="L120" i="12"/>
  <c r="K120" i="12"/>
  <c r="R119" i="12"/>
  <c r="M119" i="12"/>
  <c r="L119" i="12"/>
  <c r="K119" i="12"/>
  <c r="S104" i="32"/>
  <c r="T104" i="32"/>
  <c r="U104" i="32"/>
  <c r="S211" i="13"/>
  <c r="R60" i="32"/>
  <c r="M60" i="32"/>
  <c r="L60" i="32"/>
  <c r="K60" i="32"/>
  <c r="R59" i="32"/>
  <c r="K59" i="32"/>
  <c r="L59" i="32"/>
  <c r="M59" i="32"/>
  <c r="U211" i="13"/>
  <c r="T211" i="13"/>
  <c r="R135" i="13"/>
  <c r="L135" i="13"/>
  <c r="M135" i="13"/>
  <c r="K135" i="13"/>
  <c r="K134" i="13"/>
  <c r="L134" i="13"/>
  <c r="M134" i="13"/>
  <c r="R134" i="13"/>
  <c r="R133" i="13"/>
  <c r="K133" i="13"/>
  <c r="L133" i="13"/>
  <c r="M133" i="13"/>
  <c r="K132" i="13"/>
  <c r="R132" i="13"/>
  <c r="M132" i="13"/>
  <c r="L132" i="13"/>
  <c r="S197" i="14"/>
  <c r="T197" i="14"/>
  <c r="U197" i="14"/>
  <c r="R123" i="14"/>
  <c r="R122" i="14"/>
  <c r="J197" i="14" s="1"/>
  <c r="K122" i="14"/>
  <c r="L122" i="14"/>
  <c r="M122" i="14"/>
  <c r="K123" i="14"/>
  <c r="L123" i="14"/>
  <c r="M123" i="14"/>
  <c r="L104" i="32" l="1"/>
  <c r="C198" i="11"/>
  <c r="W198" i="11"/>
  <c r="N193" i="21"/>
  <c r="N173" i="20"/>
  <c r="E101" i="34"/>
  <c r="C104" i="32"/>
  <c r="D104" i="32"/>
  <c r="N132" i="13"/>
  <c r="N133" i="13"/>
  <c r="D197" i="14"/>
  <c r="W197" i="14"/>
  <c r="L197" i="14"/>
  <c r="N59" i="32"/>
  <c r="D195" i="12"/>
  <c r="N101" i="34"/>
  <c r="E209" i="9"/>
  <c r="N122" i="14"/>
  <c r="E193" i="21"/>
  <c r="E173" i="20"/>
  <c r="E102" i="33"/>
  <c r="D198" i="11"/>
  <c r="E198" i="11" s="1"/>
  <c r="L198" i="11"/>
  <c r="B195" i="12"/>
  <c r="C195" i="12"/>
  <c r="B104" i="32"/>
  <c r="W104" i="32"/>
  <c r="H104" i="32"/>
  <c r="N135" i="13"/>
  <c r="C197" i="14"/>
  <c r="B197" i="14"/>
  <c r="N102" i="33"/>
  <c r="N209" i="9"/>
  <c r="E217" i="10"/>
  <c r="N217" i="10"/>
  <c r="N120" i="12"/>
  <c r="C211" i="13"/>
  <c r="D211" i="13"/>
  <c r="J104" i="32"/>
  <c r="H197" i="14"/>
  <c r="H211" i="13"/>
  <c r="N123" i="11"/>
  <c r="J198" i="11"/>
  <c r="B211" i="13"/>
  <c r="N134" i="13"/>
  <c r="W195" i="12"/>
  <c r="H198" i="11"/>
  <c r="N195" i="12"/>
  <c r="N123" i="14"/>
  <c r="J211" i="13"/>
  <c r="N122" i="11"/>
  <c r="L211" i="13"/>
  <c r="N60" i="32"/>
  <c r="N119" i="12"/>
  <c r="W211" i="13"/>
  <c r="U212" i="15"/>
  <c r="T212" i="15"/>
  <c r="S212" i="15"/>
  <c r="R130" i="15"/>
  <c r="L212" i="15" s="1"/>
  <c r="L128" i="15"/>
  <c r="M130" i="15"/>
  <c r="M131" i="15"/>
  <c r="K129" i="15"/>
  <c r="K130" i="15"/>
  <c r="K131" i="15"/>
  <c r="L125" i="15"/>
  <c r="L126" i="15"/>
  <c r="L127" i="15"/>
  <c r="L129" i="15"/>
  <c r="L130" i="15"/>
  <c r="L131" i="15"/>
  <c r="M129" i="15"/>
  <c r="K123" i="15"/>
  <c r="U205" i="8"/>
  <c r="R129" i="8"/>
  <c r="K129" i="8"/>
  <c r="L129" i="8"/>
  <c r="M129" i="8"/>
  <c r="R128" i="8"/>
  <c r="H205" i="8" s="1"/>
  <c r="K128" i="8"/>
  <c r="L128" i="8"/>
  <c r="M128" i="8"/>
  <c r="U98" i="31"/>
  <c r="T98" i="31"/>
  <c r="S98" i="31"/>
  <c r="R54" i="31"/>
  <c r="R55" i="31"/>
  <c r="R53" i="31"/>
  <c r="K53" i="31"/>
  <c r="L53" i="31"/>
  <c r="M53" i="31"/>
  <c r="L54" i="31"/>
  <c r="M54" i="31"/>
  <c r="D205" i="8" l="1"/>
  <c r="N104" i="32"/>
  <c r="E104" i="32"/>
  <c r="C205" i="8"/>
  <c r="N197" i="14"/>
  <c r="E197" i="14"/>
  <c r="B212" i="15"/>
  <c r="N128" i="8"/>
  <c r="W98" i="31"/>
  <c r="C98" i="31"/>
  <c r="J205" i="8"/>
  <c r="L205" i="8"/>
  <c r="N53" i="31"/>
  <c r="B98" i="31"/>
  <c r="D98" i="31"/>
  <c r="B205" i="8"/>
  <c r="E195" i="12"/>
  <c r="L98" i="31"/>
  <c r="E99" i="31"/>
  <c r="C212" i="15"/>
  <c r="N130" i="15"/>
  <c r="E211" i="13"/>
  <c r="N211" i="13"/>
  <c r="D212" i="15"/>
  <c r="J212" i="15"/>
  <c r="N198" i="11"/>
  <c r="N129" i="8"/>
  <c r="H98" i="31"/>
  <c r="J98" i="31"/>
  <c r="H212" i="15"/>
  <c r="N54" i="31"/>
  <c r="W212" i="15"/>
  <c r="N131" i="15"/>
  <c r="W205" i="8"/>
  <c r="U194" i="7"/>
  <c r="T194" i="7"/>
  <c r="S194" i="7"/>
  <c r="R121" i="7"/>
  <c r="K120" i="7"/>
  <c r="L120" i="7"/>
  <c r="M120" i="7"/>
  <c r="K121" i="7"/>
  <c r="L121" i="7"/>
  <c r="M121" i="7"/>
  <c r="R120" i="7"/>
  <c r="S106" i="29"/>
  <c r="S107" i="29"/>
  <c r="T107" i="29"/>
  <c r="U107" i="29"/>
  <c r="R64" i="29"/>
  <c r="R63" i="29"/>
  <c r="K63" i="29"/>
  <c r="L63" i="29"/>
  <c r="M63" i="29"/>
  <c r="K64" i="29"/>
  <c r="L64" i="29"/>
  <c r="M64" i="29"/>
  <c r="U89" i="30"/>
  <c r="T89" i="30"/>
  <c r="S89" i="30"/>
  <c r="U148" i="6"/>
  <c r="T148" i="6"/>
  <c r="S148" i="6"/>
  <c r="R92" i="6"/>
  <c r="R91" i="6"/>
  <c r="K92" i="6"/>
  <c r="K91" i="6"/>
  <c r="L91" i="6"/>
  <c r="M91" i="6"/>
  <c r="L92" i="6"/>
  <c r="M92" i="6"/>
  <c r="N205" i="8" l="1"/>
  <c r="E205" i="8"/>
  <c r="E98" i="31"/>
  <c r="N98" i="31"/>
  <c r="H148" i="6"/>
  <c r="N91" i="6"/>
  <c r="L107" i="29"/>
  <c r="W194" i="7"/>
  <c r="B148" i="6"/>
  <c r="C194" i="7"/>
  <c r="E212" i="15"/>
  <c r="H194" i="7"/>
  <c r="B194" i="7"/>
  <c r="N121" i="7"/>
  <c r="C107" i="29"/>
  <c r="B107" i="29"/>
  <c r="D107" i="29"/>
  <c r="L148" i="6"/>
  <c r="N92" i="6"/>
  <c r="D148" i="6"/>
  <c r="N212" i="15"/>
  <c r="H107" i="29"/>
  <c r="C148" i="6"/>
  <c r="J148" i="6"/>
  <c r="J107" i="29"/>
  <c r="W107" i="29"/>
  <c r="N63" i="29"/>
  <c r="N120" i="7"/>
  <c r="W148" i="6"/>
  <c r="N64" i="29"/>
  <c r="J194" i="7"/>
  <c r="D194" i="7"/>
  <c r="L194" i="7"/>
  <c r="W89" i="30"/>
  <c r="R43" i="30"/>
  <c r="R42" i="30"/>
  <c r="R41" i="30"/>
  <c r="K41" i="30"/>
  <c r="L41" i="30"/>
  <c r="M41" i="30"/>
  <c r="K42" i="30"/>
  <c r="L42" i="30"/>
  <c r="M42" i="30"/>
  <c r="K43" i="30"/>
  <c r="L43" i="30"/>
  <c r="M43" i="30"/>
  <c r="S195" i="5"/>
  <c r="T195" i="5"/>
  <c r="U195" i="5"/>
  <c r="R121" i="5"/>
  <c r="R66" i="28"/>
  <c r="K121" i="5"/>
  <c r="L121" i="5"/>
  <c r="M121" i="5"/>
  <c r="R120" i="5"/>
  <c r="K120" i="5"/>
  <c r="L120" i="5"/>
  <c r="M120" i="5"/>
  <c r="N121" i="5" l="1"/>
  <c r="E148" i="6"/>
  <c r="D195" i="5"/>
  <c r="N148" i="6"/>
  <c r="E194" i="7"/>
  <c r="E107" i="29"/>
  <c r="C195" i="5"/>
  <c r="N41" i="30"/>
  <c r="B89" i="30"/>
  <c r="N42" i="30"/>
  <c r="N120" i="5"/>
  <c r="J195" i="5"/>
  <c r="W195" i="5"/>
  <c r="B195" i="5"/>
  <c r="N194" i="7"/>
  <c r="L195" i="5"/>
  <c r="N107" i="29"/>
  <c r="D89" i="30"/>
  <c r="C89" i="30"/>
  <c r="H195" i="5"/>
  <c r="L89" i="30"/>
  <c r="J89" i="30"/>
  <c r="H89" i="30"/>
  <c r="N43" i="30"/>
  <c r="W110" i="28"/>
  <c r="S109" i="28"/>
  <c r="R65" i="28"/>
  <c r="K66" i="28"/>
  <c r="M66" i="28"/>
  <c r="M65" i="28"/>
  <c r="K65" i="28"/>
  <c r="L66" i="28"/>
  <c r="L65" i="28"/>
  <c r="U201" i="3"/>
  <c r="T201" i="3"/>
  <c r="S201" i="3"/>
  <c r="R126" i="3"/>
  <c r="R125" i="3"/>
  <c r="K125" i="3"/>
  <c r="L125" i="3"/>
  <c r="M125" i="3"/>
  <c r="K126" i="3"/>
  <c r="B202" i="3" s="1"/>
  <c r="E202" i="3" s="1"/>
  <c r="L126" i="3"/>
  <c r="M126" i="3"/>
  <c r="T194" i="2"/>
  <c r="S194" i="2"/>
  <c r="U194" i="2"/>
  <c r="J194" i="2"/>
  <c r="L194" i="2"/>
  <c r="R119" i="2"/>
  <c r="R118" i="2"/>
  <c r="K118" i="2"/>
  <c r="L118" i="2"/>
  <c r="M118" i="2"/>
  <c r="K119" i="2"/>
  <c r="L119" i="2"/>
  <c r="M119" i="2"/>
  <c r="S199" i="1"/>
  <c r="T199" i="1"/>
  <c r="U199" i="1"/>
  <c r="R125" i="1"/>
  <c r="K125" i="1"/>
  <c r="L125" i="1"/>
  <c r="M125" i="1"/>
  <c r="R124" i="1"/>
  <c r="K124" i="1"/>
  <c r="L124" i="1"/>
  <c r="M124" i="1"/>
  <c r="N125" i="3" l="1"/>
  <c r="J201" i="3"/>
  <c r="E195" i="5"/>
  <c r="D110" i="28"/>
  <c r="D201" i="3"/>
  <c r="E89" i="30"/>
  <c r="C110" i="28"/>
  <c r="N194" i="2"/>
  <c r="W194" i="2"/>
  <c r="C199" i="1"/>
  <c r="D199" i="1"/>
  <c r="B110" i="28"/>
  <c r="B194" i="2"/>
  <c r="D194" i="2"/>
  <c r="C194" i="2"/>
  <c r="N124" i="1"/>
  <c r="J199" i="1"/>
  <c r="W199" i="1"/>
  <c r="N119" i="2"/>
  <c r="W201" i="3"/>
  <c r="N195" i="5"/>
  <c r="H199" i="1"/>
  <c r="N118" i="2"/>
  <c r="C201" i="3"/>
  <c r="L201" i="3"/>
  <c r="L110" i="28"/>
  <c r="J110" i="28"/>
  <c r="H110" i="28"/>
  <c r="L199" i="1"/>
  <c r="N125" i="1"/>
  <c r="B199" i="1"/>
  <c r="B201" i="3"/>
  <c r="N89" i="30"/>
  <c r="N65" i="28"/>
  <c r="N66" i="28"/>
  <c r="N126" i="3"/>
  <c r="H201" i="3"/>
  <c r="N122" i="6"/>
  <c r="N123" i="6"/>
  <c r="N124" i="6"/>
  <c r="N125" i="6"/>
  <c r="U118" i="6"/>
  <c r="T118" i="6"/>
  <c r="S118" i="6"/>
  <c r="U116" i="6"/>
  <c r="T116" i="6"/>
  <c r="S116" i="6"/>
  <c r="U113" i="6"/>
  <c r="T113" i="6"/>
  <c r="S113" i="6"/>
  <c r="U111" i="6"/>
  <c r="T111" i="6"/>
  <c r="S111" i="6"/>
  <c r="M42" i="6"/>
  <c r="L42" i="6"/>
  <c r="K42" i="6"/>
  <c r="M41" i="6"/>
  <c r="L41" i="6"/>
  <c r="K41" i="6"/>
  <c r="M40" i="6"/>
  <c r="L40" i="6"/>
  <c r="K40" i="6"/>
  <c r="M39" i="6"/>
  <c r="L39" i="6"/>
  <c r="K39" i="6"/>
  <c r="R24" i="6"/>
  <c r="R25" i="6"/>
  <c r="K25" i="6"/>
  <c r="L25" i="6"/>
  <c r="M25" i="6"/>
  <c r="K24" i="6"/>
  <c r="L24" i="6"/>
  <c r="M24" i="6"/>
  <c r="R21" i="6"/>
  <c r="K21" i="6"/>
  <c r="L21" i="6"/>
  <c r="M21" i="6"/>
  <c r="R13" i="6"/>
  <c r="K13" i="6"/>
  <c r="L13" i="6"/>
  <c r="M13" i="6"/>
  <c r="E110" i="28" l="1"/>
  <c r="N110" i="28"/>
  <c r="N199" i="1"/>
  <c r="E199" i="1"/>
  <c r="E194" i="2"/>
  <c r="N21" i="6"/>
  <c r="N25" i="6"/>
  <c r="N13" i="6"/>
  <c r="N24" i="6"/>
  <c r="K59" i="38"/>
  <c r="U104" i="38" l="1"/>
  <c r="T104" i="38"/>
  <c r="S104" i="38"/>
  <c r="R59" i="38"/>
  <c r="M59" i="38"/>
  <c r="L59" i="38"/>
  <c r="R58" i="38"/>
  <c r="K58" i="38"/>
  <c r="L58" i="38"/>
  <c r="M58" i="38"/>
  <c r="R57" i="38"/>
  <c r="K57" i="38"/>
  <c r="L57" i="38"/>
  <c r="M57" i="38"/>
  <c r="U115" i="6"/>
  <c r="T115" i="6"/>
  <c r="S115" i="6"/>
  <c r="U114" i="6"/>
  <c r="T114" i="6"/>
  <c r="S114" i="6"/>
  <c r="U122" i="6"/>
  <c r="T122" i="6"/>
  <c r="S122" i="6"/>
  <c r="U120" i="6"/>
  <c r="T120" i="6"/>
  <c r="S120" i="6"/>
  <c r="U119" i="6"/>
  <c r="T119" i="6"/>
  <c r="S119" i="6"/>
  <c r="U121" i="6"/>
  <c r="T121" i="6"/>
  <c r="S121" i="6"/>
  <c r="S117" i="6"/>
  <c r="T117" i="6"/>
  <c r="U117" i="6"/>
  <c r="S112" i="6"/>
  <c r="T112" i="6"/>
  <c r="U112" i="6"/>
  <c r="T140" i="6"/>
  <c r="U140" i="6"/>
  <c r="S140" i="6"/>
  <c r="U139" i="6"/>
  <c r="T139" i="6"/>
  <c r="S139" i="6"/>
  <c r="U138" i="6"/>
  <c r="T138" i="6"/>
  <c r="S138" i="6"/>
  <c r="M9" i="6"/>
  <c r="D111" i="6" s="1"/>
  <c r="M10" i="6"/>
  <c r="M11" i="6"/>
  <c r="M12" i="6"/>
  <c r="M14" i="6"/>
  <c r="M15" i="6"/>
  <c r="M16" i="6"/>
  <c r="M17" i="6"/>
  <c r="M18" i="6"/>
  <c r="M19" i="6"/>
  <c r="M20" i="6"/>
  <c r="M22" i="6"/>
  <c r="M23" i="6"/>
  <c r="M26" i="6"/>
  <c r="M27" i="6"/>
  <c r="M28" i="6"/>
  <c r="M29" i="6"/>
  <c r="M30" i="6"/>
  <c r="M31" i="6"/>
  <c r="M32" i="6"/>
  <c r="M33" i="6"/>
  <c r="M34" i="6"/>
  <c r="M35" i="6"/>
  <c r="L9" i="6"/>
  <c r="C111" i="6" s="1"/>
  <c r="L10" i="6"/>
  <c r="L11" i="6"/>
  <c r="L12" i="6"/>
  <c r="L14" i="6"/>
  <c r="L15" i="6"/>
  <c r="L16" i="6"/>
  <c r="L17" i="6"/>
  <c r="L18" i="6"/>
  <c r="L19" i="6"/>
  <c r="L20" i="6"/>
  <c r="L22" i="6"/>
  <c r="L23" i="6"/>
  <c r="L26" i="6"/>
  <c r="L27" i="6"/>
  <c r="L28" i="6"/>
  <c r="L29" i="6"/>
  <c r="L30" i="6"/>
  <c r="L31" i="6"/>
  <c r="L32" i="6"/>
  <c r="L33" i="6"/>
  <c r="L34" i="6"/>
  <c r="L35" i="6"/>
  <c r="K9" i="6"/>
  <c r="B111" i="6" s="1"/>
  <c r="K10" i="6"/>
  <c r="K11" i="6"/>
  <c r="K12" i="6"/>
  <c r="K14" i="6"/>
  <c r="K15" i="6"/>
  <c r="K16" i="6"/>
  <c r="K17" i="6"/>
  <c r="K18" i="6"/>
  <c r="K19" i="6"/>
  <c r="K20" i="6"/>
  <c r="K22" i="6"/>
  <c r="K23" i="6"/>
  <c r="K26" i="6"/>
  <c r="K27" i="6"/>
  <c r="K28" i="6"/>
  <c r="K29" i="6"/>
  <c r="K30" i="6"/>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N60" i="38" l="1"/>
  <c r="B116" i="6"/>
  <c r="B120" i="6"/>
  <c r="B113" i="6"/>
  <c r="D104" i="38"/>
  <c r="N58" i="38"/>
  <c r="J104" i="38"/>
  <c r="N59" i="38"/>
  <c r="C104" i="38"/>
  <c r="B104" i="38"/>
  <c r="H120" i="6"/>
  <c r="L120" i="6"/>
  <c r="J120" i="6"/>
  <c r="C118" i="6"/>
  <c r="C113" i="6"/>
  <c r="B117" i="6"/>
  <c r="J121" i="6"/>
  <c r="L121" i="6"/>
  <c r="H121" i="6"/>
  <c r="J113" i="6"/>
  <c r="L113" i="6"/>
  <c r="H113" i="6"/>
  <c r="C116" i="6"/>
  <c r="L116" i="6"/>
  <c r="J116" i="6"/>
  <c r="H116" i="6"/>
  <c r="L111" i="6"/>
  <c r="H111" i="6"/>
  <c r="J111" i="6"/>
  <c r="C114" i="6"/>
  <c r="B118" i="6"/>
  <c r="D113" i="6"/>
  <c r="H118" i="6"/>
  <c r="J118" i="6"/>
  <c r="L118" i="6"/>
  <c r="D116" i="6"/>
  <c r="B112" i="6"/>
  <c r="D118" i="6"/>
  <c r="L117" i="6"/>
  <c r="W121" i="6"/>
  <c r="N19" i="6"/>
  <c r="W116" i="6"/>
  <c r="B121" i="6"/>
  <c r="W113" i="6"/>
  <c r="W120" i="6"/>
  <c r="W122" i="6"/>
  <c r="N29" i="6"/>
  <c r="N18" i="6"/>
  <c r="D119" i="6"/>
  <c r="N17" i="6"/>
  <c r="W118" i="6"/>
  <c r="L114" i="6"/>
  <c r="N27" i="6"/>
  <c r="W115" i="6"/>
  <c r="W112" i="6"/>
  <c r="W117" i="6"/>
  <c r="W119" i="6"/>
  <c r="D115" i="6"/>
  <c r="D121" i="6"/>
  <c r="N22" i="6"/>
  <c r="L112" i="6"/>
  <c r="C115" i="6"/>
  <c r="H117" i="6"/>
  <c r="N16" i="6"/>
  <c r="D122" i="6"/>
  <c r="D114" i="6"/>
  <c r="J112" i="6"/>
  <c r="B122" i="6"/>
  <c r="C122" i="6"/>
  <c r="N23" i="6"/>
  <c r="H112" i="6"/>
  <c r="L119" i="6"/>
  <c r="L115" i="6"/>
  <c r="D120" i="6"/>
  <c r="D112" i="6"/>
  <c r="H114" i="6"/>
  <c r="C120" i="6"/>
  <c r="W111" i="6"/>
  <c r="W114" i="6"/>
  <c r="C117" i="6"/>
  <c r="H115" i="6"/>
  <c r="C119" i="6"/>
  <c r="J115" i="6"/>
  <c r="N15" i="6"/>
  <c r="D117" i="6"/>
  <c r="B115" i="6"/>
  <c r="N30" i="6"/>
  <c r="N28" i="6"/>
  <c r="N26" i="6"/>
  <c r="J117" i="6"/>
  <c r="N14" i="6"/>
  <c r="N33" i="6"/>
  <c r="C121" i="6"/>
  <c r="B119" i="6"/>
  <c r="H119" i="6"/>
  <c r="N32" i="6"/>
  <c r="N12" i="6"/>
  <c r="B114" i="6"/>
  <c r="J119" i="6"/>
  <c r="J114" i="6"/>
  <c r="N10" i="6"/>
  <c r="C112" i="6"/>
  <c r="E111" i="6"/>
  <c r="W104" i="38"/>
  <c r="H104" i="38"/>
  <c r="L104" i="38"/>
  <c r="N35" i="6"/>
  <c r="N34" i="6"/>
  <c r="N9" i="6"/>
  <c r="N31" i="6"/>
  <c r="N20" i="6"/>
  <c r="N11" i="6"/>
  <c r="S192" i="25"/>
  <c r="T192" i="25"/>
  <c r="U192" i="25"/>
  <c r="K117" i="25"/>
  <c r="L117" i="25"/>
  <c r="M117" i="25"/>
  <c r="R117" i="25"/>
  <c r="R116" i="25"/>
  <c r="M116" i="25"/>
  <c r="L116" i="25"/>
  <c r="K116" i="25"/>
  <c r="S156" i="26"/>
  <c r="T156" i="26"/>
  <c r="U156" i="26"/>
  <c r="R81" i="26"/>
  <c r="M81" i="26"/>
  <c r="L81" i="26"/>
  <c r="K81" i="26"/>
  <c r="R80" i="26"/>
  <c r="M80" i="26"/>
  <c r="L80" i="26"/>
  <c r="K80" i="26"/>
  <c r="S108" i="37"/>
  <c r="T108" i="37"/>
  <c r="U108" i="37"/>
  <c r="R62" i="37"/>
  <c r="M62" i="37"/>
  <c r="L62" i="37"/>
  <c r="K62" i="37"/>
  <c r="R61" i="37"/>
  <c r="M61" i="37"/>
  <c r="L61" i="37"/>
  <c r="K61" i="37"/>
  <c r="R74" i="36"/>
  <c r="K74" i="36"/>
  <c r="L74" i="36"/>
  <c r="M74" i="36"/>
  <c r="R73" i="36"/>
  <c r="K73" i="36"/>
  <c r="L73" i="36"/>
  <c r="M73" i="36"/>
  <c r="R72" i="36"/>
  <c r="K72" i="36"/>
  <c r="L72" i="36"/>
  <c r="M72" i="36"/>
  <c r="R71" i="36"/>
  <c r="R70" i="36"/>
  <c r="R69" i="36"/>
  <c r="K71" i="36"/>
  <c r="L71" i="36"/>
  <c r="M71" i="36"/>
  <c r="K70" i="36"/>
  <c r="L70" i="36"/>
  <c r="M70" i="36"/>
  <c r="K69" i="36"/>
  <c r="L69" i="36"/>
  <c r="M69" i="36"/>
  <c r="R68" i="36"/>
  <c r="K68" i="36"/>
  <c r="L68" i="36"/>
  <c r="M68" i="36"/>
  <c r="R67" i="36"/>
  <c r="L67" i="36"/>
  <c r="M67" i="36"/>
  <c r="K67" i="36"/>
  <c r="S163" i="16"/>
  <c r="T163" i="16"/>
  <c r="U163" i="16"/>
  <c r="R87" i="16"/>
  <c r="M87" i="16"/>
  <c r="L87" i="16"/>
  <c r="K87" i="16"/>
  <c r="R86" i="16"/>
  <c r="M86" i="16"/>
  <c r="L86" i="16"/>
  <c r="K86" i="16"/>
  <c r="U136" i="35"/>
  <c r="T136" i="35"/>
  <c r="S136" i="35"/>
  <c r="R87" i="35"/>
  <c r="M87" i="35"/>
  <c r="K87" i="35"/>
  <c r="L87" i="35"/>
  <c r="R86" i="35"/>
  <c r="M86" i="35"/>
  <c r="L86" i="35"/>
  <c r="K86" i="35"/>
  <c r="R85" i="35"/>
  <c r="M85" i="35"/>
  <c r="L85" i="35"/>
  <c r="K85" i="35"/>
  <c r="S194" i="17"/>
  <c r="T194" i="17"/>
  <c r="U194" i="17"/>
  <c r="B194" i="17"/>
  <c r="C194" i="17"/>
  <c r="D194" i="17"/>
  <c r="R119" i="17"/>
  <c r="R118" i="17"/>
  <c r="S198" i="18"/>
  <c r="U198" i="18"/>
  <c r="T198" i="18"/>
  <c r="R121" i="18"/>
  <c r="K121" i="18"/>
  <c r="L121" i="18"/>
  <c r="M121" i="18"/>
  <c r="R120" i="18"/>
  <c r="M120" i="18"/>
  <c r="L120" i="18"/>
  <c r="K120" i="18"/>
  <c r="R119" i="18"/>
  <c r="M119" i="18"/>
  <c r="L119" i="18"/>
  <c r="K119" i="18"/>
  <c r="S200" i="19"/>
  <c r="T200" i="19"/>
  <c r="U200" i="19"/>
  <c r="R122" i="19"/>
  <c r="M122" i="19"/>
  <c r="L122" i="19"/>
  <c r="K122" i="19"/>
  <c r="R121" i="19"/>
  <c r="M121" i="19"/>
  <c r="L121" i="19"/>
  <c r="K121" i="19"/>
  <c r="U172" i="20"/>
  <c r="S172" i="20"/>
  <c r="T172" i="20"/>
  <c r="R103" i="20"/>
  <c r="R102" i="20"/>
  <c r="K102" i="20"/>
  <c r="L102" i="20"/>
  <c r="K103" i="20"/>
  <c r="L103" i="20"/>
  <c r="M103" i="20"/>
  <c r="R36" i="6"/>
  <c r="U96" i="33"/>
  <c r="U101" i="33"/>
  <c r="U98" i="33"/>
  <c r="U97" i="33"/>
  <c r="U87" i="33"/>
  <c r="T101" i="33"/>
  <c r="T98" i="33"/>
  <c r="T97" i="33"/>
  <c r="T96" i="33"/>
  <c r="T95" i="33"/>
  <c r="T106" i="29"/>
  <c r="S216" i="10"/>
  <c r="T216" i="10"/>
  <c r="U216" i="10"/>
  <c r="U215" i="10"/>
  <c r="T215" i="10"/>
  <c r="S215" i="10"/>
  <c r="R136" i="10"/>
  <c r="K134" i="10"/>
  <c r="L134" i="10"/>
  <c r="M134" i="10"/>
  <c r="K135" i="10"/>
  <c r="L135" i="10"/>
  <c r="M135" i="10"/>
  <c r="R133" i="10"/>
  <c r="R134" i="10"/>
  <c r="R135" i="10"/>
  <c r="K133" i="10"/>
  <c r="L133" i="10"/>
  <c r="M133" i="10"/>
  <c r="U109" i="28"/>
  <c r="T109" i="28"/>
  <c r="S192" i="24"/>
  <c r="T192" i="24"/>
  <c r="U192" i="24"/>
  <c r="H192" i="24"/>
  <c r="J192" i="24"/>
  <c r="L192" i="24"/>
  <c r="B192" i="24"/>
  <c r="C192" i="24"/>
  <c r="D192" i="24"/>
  <c r="S196" i="23"/>
  <c r="T196" i="23"/>
  <c r="U196" i="23"/>
  <c r="H196" i="23"/>
  <c r="J196" i="23"/>
  <c r="L196" i="23"/>
  <c r="B196" i="23"/>
  <c r="C196" i="23"/>
  <c r="D196" i="23"/>
  <c r="U206" i="22"/>
  <c r="T206" i="22"/>
  <c r="S206" i="22"/>
  <c r="L206" i="22"/>
  <c r="J206" i="22"/>
  <c r="H206" i="22"/>
  <c r="D206" i="22"/>
  <c r="C206" i="22"/>
  <c r="B206" i="22"/>
  <c r="U192" i="21"/>
  <c r="S192" i="21"/>
  <c r="T192" i="21"/>
  <c r="R117" i="21"/>
  <c r="M117" i="21"/>
  <c r="L117" i="21"/>
  <c r="K117" i="21"/>
  <c r="R116" i="21"/>
  <c r="M116" i="21"/>
  <c r="L116" i="21"/>
  <c r="K116" i="21"/>
  <c r="B192" i="21" s="1"/>
  <c r="S100" i="34"/>
  <c r="T100" i="34"/>
  <c r="U100" i="34"/>
  <c r="R57" i="34"/>
  <c r="R56" i="34"/>
  <c r="K56" i="34"/>
  <c r="B100" i="34" s="1"/>
  <c r="C100" i="34"/>
  <c r="M56" i="34"/>
  <c r="S101" i="33"/>
  <c r="R57" i="33"/>
  <c r="K57" i="33"/>
  <c r="L57" i="33"/>
  <c r="M57" i="33"/>
  <c r="R55" i="33"/>
  <c r="R56" i="33"/>
  <c r="S98" i="33"/>
  <c r="S97" i="33"/>
  <c r="S96" i="33"/>
  <c r="K56" i="33"/>
  <c r="L56" i="33"/>
  <c r="M56" i="33"/>
  <c r="M55" i="33"/>
  <c r="K55" i="33"/>
  <c r="L55" i="33"/>
  <c r="R54" i="33"/>
  <c r="M54" i="33"/>
  <c r="L54" i="33"/>
  <c r="K54" i="33"/>
  <c r="S208" i="9"/>
  <c r="T208" i="9"/>
  <c r="U208" i="9"/>
  <c r="S207" i="9"/>
  <c r="R133" i="9"/>
  <c r="M133" i="9"/>
  <c r="L133" i="9"/>
  <c r="K133" i="9"/>
  <c r="R132" i="9"/>
  <c r="M132" i="9"/>
  <c r="L132" i="9"/>
  <c r="K132" i="9"/>
  <c r="M136" i="10"/>
  <c r="L136" i="10"/>
  <c r="K136" i="10"/>
  <c r="S197" i="11"/>
  <c r="T197" i="11"/>
  <c r="U197" i="11"/>
  <c r="R121" i="11"/>
  <c r="M121" i="11"/>
  <c r="L121" i="11"/>
  <c r="K121" i="11"/>
  <c r="R120" i="11"/>
  <c r="M120" i="11"/>
  <c r="L120" i="11"/>
  <c r="K120" i="11"/>
  <c r="J194" i="12"/>
  <c r="H194" i="12"/>
  <c r="S194" i="12"/>
  <c r="T194" i="12"/>
  <c r="U194" i="12"/>
  <c r="L194" i="12"/>
  <c r="R118" i="12"/>
  <c r="K118" i="12"/>
  <c r="M118" i="12"/>
  <c r="L118" i="12"/>
  <c r="R117" i="12"/>
  <c r="M117" i="12"/>
  <c r="L117" i="12"/>
  <c r="K117" i="12"/>
  <c r="S103" i="32"/>
  <c r="T103" i="32"/>
  <c r="U103" i="32"/>
  <c r="R58" i="32"/>
  <c r="K58" i="32"/>
  <c r="L58" i="32"/>
  <c r="M58" i="32"/>
  <c r="R57" i="32"/>
  <c r="M57" i="32"/>
  <c r="L57" i="32"/>
  <c r="K57" i="32"/>
  <c r="S210" i="13"/>
  <c r="T210" i="13"/>
  <c r="U210" i="13"/>
  <c r="R131" i="13"/>
  <c r="R130" i="13"/>
  <c r="M131" i="13"/>
  <c r="L131" i="13"/>
  <c r="K131" i="13"/>
  <c r="M130" i="13"/>
  <c r="L130" i="13"/>
  <c r="K130" i="13"/>
  <c r="U196" i="14"/>
  <c r="S196" i="14"/>
  <c r="T196" i="14"/>
  <c r="R121" i="14"/>
  <c r="R120" i="14"/>
  <c r="M121" i="14"/>
  <c r="L121" i="14"/>
  <c r="K121" i="14"/>
  <c r="M120" i="14"/>
  <c r="L120" i="14"/>
  <c r="K120" i="14"/>
  <c r="C211" i="15"/>
  <c r="T211" i="15"/>
  <c r="S211" i="15"/>
  <c r="R129" i="15"/>
  <c r="R128" i="15"/>
  <c r="M128" i="15"/>
  <c r="K128" i="15"/>
  <c r="R127" i="15"/>
  <c r="M127" i="15"/>
  <c r="K127" i="15"/>
  <c r="U204" i="8"/>
  <c r="S204" i="8"/>
  <c r="T204" i="8"/>
  <c r="K127" i="8"/>
  <c r="L127" i="8"/>
  <c r="M127" i="8"/>
  <c r="R127" i="8"/>
  <c r="R126" i="8"/>
  <c r="M126" i="8"/>
  <c r="L126" i="8"/>
  <c r="K126" i="8"/>
  <c r="R125" i="8"/>
  <c r="K125" i="8"/>
  <c r="L125" i="8"/>
  <c r="M125" i="8"/>
  <c r="R124" i="8"/>
  <c r="M124" i="8"/>
  <c r="L124" i="8"/>
  <c r="K124" i="8"/>
  <c r="S97" i="31"/>
  <c r="T97" i="31"/>
  <c r="U97" i="31"/>
  <c r="R52" i="31"/>
  <c r="K52" i="31"/>
  <c r="L52" i="31"/>
  <c r="M52" i="31"/>
  <c r="R51" i="31"/>
  <c r="K51" i="31"/>
  <c r="L51" i="31"/>
  <c r="M51" i="31"/>
  <c r="S193" i="7"/>
  <c r="T193" i="7"/>
  <c r="U193" i="7"/>
  <c r="R118" i="7"/>
  <c r="R119" i="7"/>
  <c r="M119" i="7"/>
  <c r="K119" i="7"/>
  <c r="M118" i="7"/>
  <c r="K118" i="7"/>
  <c r="L119" i="7"/>
  <c r="L118" i="7"/>
  <c r="R117" i="7"/>
  <c r="M117" i="7"/>
  <c r="L117" i="7"/>
  <c r="K117" i="7"/>
  <c r="U106" i="29"/>
  <c r="R62" i="29"/>
  <c r="M62" i="29"/>
  <c r="K62" i="29"/>
  <c r="L62" i="29"/>
  <c r="R61" i="29"/>
  <c r="K61" i="29"/>
  <c r="L61" i="29"/>
  <c r="M61" i="29"/>
  <c r="U147" i="6"/>
  <c r="T147" i="6"/>
  <c r="S147" i="6"/>
  <c r="K88" i="6"/>
  <c r="K89" i="6"/>
  <c r="R90" i="6"/>
  <c r="K90" i="6"/>
  <c r="L90" i="6"/>
  <c r="M90" i="6"/>
  <c r="R89" i="6"/>
  <c r="L89" i="6"/>
  <c r="M89" i="6"/>
  <c r="R88" i="6"/>
  <c r="L88" i="6"/>
  <c r="M88" i="6"/>
  <c r="S88" i="30"/>
  <c r="T88" i="30"/>
  <c r="U88" i="30"/>
  <c r="R40" i="30"/>
  <c r="K40" i="30"/>
  <c r="L40" i="30"/>
  <c r="M40" i="30"/>
  <c r="R39" i="30"/>
  <c r="K39" i="30"/>
  <c r="L39" i="30"/>
  <c r="M39" i="30"/>
  <c r="S194" i="5"/>
  <c r="T194" i="5"/>
  <c r="U194" i="5"/>
  <c r="R119" i="5"/>
  <c r="R118" i="5"/>
  <c r="M119" i="5"/>
  <c r="L119" i="5"/>
  <c r="K119" i="5"/>
  <c r="M118" i="5"/>
  <c r="L118" i="5"/>
  <c r="K118" i="5"/>
  <c r="R64" i="28"/>
  <c r="M63" i="28"/>
  <c r="M64" i="28"/>
  <c r="K63" i="28"/>
  <c r="K64" i="28"/>
  <c r="L64" i="28"/>
  <c r="R63" i="28"/>
  <c r="L63" i="28"/>
  <c r="R62" i="28"/>
  <c r="H109" i="28" s="1"/>
  <c r="M62" i="28"/>
  <c r="L62" i="28"/>
  <c r="K62" i="28"/>
  <c r="U200" i="3"/>
  <c r="T200" i="3"/>
  <c r="S200" i="3"/>
  <c r="R124" i="3"/>
  <c r="N201" i="3" s="1"/>
  <c r="L124" i="3"/>
  <c r="K124" i="3"/>
  <c r="M124" i="3"/>
  <c r="E201" i="3" s="1"/>
  <c r="R123" i="3"/>
  <c r="K104" i="3"/>
  <c r="K123" i="3"/>
  <c r="L123" i="3"/>
  <c r="M123" i="3"/>
  <c r="K122" i="3"/>
  <c r="R122" i="3"/>
  <c r="L122" i="3"/>
  <c r="M122" i="3"/>
  <c r="H180" i="2"/>
  <c r="H190" i="2"/>
  <c r="J193" i="2"/>
  <c r="L193" i="2"/>
  <c r="S193" i="2"/>
  <c r="T193" i="2"/>
  <c r="U193" i="2"/>
  <c r="H193" i="2"/>
  <c r="R116" i="2"/>
  <c r="R117" i="2"/>
  <c r="K117" i="2"/>
  <c r="L117" i="2"/>
  <c r="M117" i="2"/>
  <c r="K116" i="2"/>
  <c r="L116" i="2"/>
  <c r="M116" i="2"/>
  <c r="S198" i="1"/>
  <c r="U198" i="1"/>
  <c r="T198" i="1"/>
  <c r="R120" i="1"/>
  <c r="R122" i="1"/>
  <c r="R123" i="1"/>
  <c r="M122" i="1"/>
  <c r="M123" i="1"/>
  <c r="L122" i="1"/>
  <c r="L123" i="1"/>
  <c r="K122" i="1"/>
  <c r="K123" i="1"/>
  <c r="K117" i="1"/>
  <c r="U170" i="20"/>
  <c r="T170" i="20"/>
  <c r="S170" i="20"/>
  <c r="U169" i="20"/>
  <c r="T169" i="20"/>
  <c r="S169" i="20"/>
  <c r="U168" i="20"/>
  <c r="T168" i="20"/>
  <c r="S168" i="20"/>
  <c r="U167" i="20"/>
  <c r="T167" i="20"/>
  <c r="S167" i="20"/>
  <c r="U165" i="20"/>
  <c r="T165" i="20"/>
  <c r="S165" i="20"/>
  <c r="U158" i="20"/>
  <c r="T158" i="20"/>
  <c r="S158" i="20"/>
  <c r="U147" i="20"/>
  <c r="T147" i="20"/>
  <c r="S147" i="20"/>
  <c r="U146" i="20"/>
  <c r="T146" i="20"/>
  <c r="S146" i="20"/>
  <c r="U144" i="20"/>
  <c r="T144" i="20"/>
  <c r="S144" i="20"/>
  <c r="U143" i="20"/>
  <c r="T143" i="20"/>
  <c r="S143" i="20"/>
  <c r="U141" i="20"/>
  <c r="T141" i="20"/>
  <c r="S141" i="20"/>
  <c r="U140" i="20"/>
  <c r="T140" i="20"/>
  <c r="S140" i="20"/>
  <c r="U138" i="20"/>
  <c r="T138" i="20"/>
  <c r="S138" i="20"/>
  <c r="U137" i="20"/>
  <c r="T137" i="20"/>
  <c r="S137" i="20"/>
  <c r="U136" i="20"/>
  <c r="T136" i="20"/>
  <c r="S136" i="20"/>
  <c r="U135" i="20"/>
  <c r="T135" i="20"/>
  <c r="S135" i="20"/>
  <c r="U133" i="20"/>
  <c r="T133" i="20"/>
  <c r="S133" i="20"/>
  <c r="U132" i="20"/>
  <c r="T132" i="20"/>
  <c r="S132" i="20"/>
  <c r="U131" i="20"/>
  <c r="T131" i="20"/>
  <c r="S131" i="20"/>
  <c r="U130" i="20"/>
  <c r="T130" i="20"/>
  <c r="S130" i="20"/>
  <c r="U128" i="20"/>
  <c r="T128" i="20"/>
  <c r="S128" i="20"/>
  <c r="U127" i="20"/>
  <c r="T127" i="20"/>
  <c r="S127" i="20"/>
  <c r="U126" i="20"/>
  <c r="T126" i="20"/>
  <c r="S126" i="20"/>
  <c r="U125" i="20"/>
  <c r="T125" i="20"/>
  <c r="S125" i="20"/>
  <c r="R101" i="20"/>
  <c r="M101" i="20"/>
  <c r="L101" i="20"/>
  <c r="K101" i="20"/>
  <c r="E101" i="20"/>
  <c r="U171" i="20" s="1"/>
  <c r="R100" i="20"/>
  <c r="M100" i="20"/>
  <c r="L100" i="20"/>
  <c r="K100" i="20"/>
  <c r="R99" i="20"/>
  <c r="M99" i="20"/>
  <c r="L99" i="20"/>
  <c r="K99" i="20"/>
  <c r="R98" i="20"/>
  <c r="H170" i="20" s="1"/>
  <c r="M98" i="20"/>
  <c r="D170" i="20" s="1"/>
  <c r="L98" i="20"/>
  <c r="K98" i="20"/>
  <c r="R97" i="20"/>
  <c r="M97" i="20"/>
  <c r="L97" i="20"/>
  <c r="K97" i="20"/>
  <c r="R96" i="20"/>
  <c r="M96" i="20"/>
  <c r="D169" i="20" s="1"/>
  <c r="L96" i="20"/>
  <c r="K96" i="20"/>
  <c r="R95" i="20"/>
  <c r="M95" i="20"/>
  <c r="L95" i="20"/>
  <c r="K95" i="20"/>
  <c r="R94" i="20"/>
  <c r="M94" i="20"/>
  <c r="L94" i="20"/>
  <c r="K94" i="20"/>
  <c r="R93" i="20"/>
  <c r="M93" i="20"/>
  <c r="L93" i="20"/>
  <c r="K93" i="20"/>
  <c r="R92" i="20"/>
  <c r="M92" i="20"/>
  <c r="L92" i="20"/>
  <c r="K92" i="20"/>
  <c r="R91" i="20"/>
  <c r="M91" i="20"/>
  <c r="L91" i="20"/>
  <c r="K91" i="20"/>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E85" i="20"/>
  <c r="S163" i="20" s="1"/>
  <c r="R84" i="20"/>
  <c r="M84" i="20"/>
  <c r="L84" i="20"/>
  <c r="K84" i="20"/>
  <c r="R83" i="20"/>
  <c r="M83" i="20"/>
  <c r="L83" i="20"/>
  <c r="K83" i="20"/>
  <c r="E83" i="20"/>
  <c r="R82" i="20"/>
  <c r="M82" i="20"/>
  <c r="L82" i="20"/>
  <c r="K82" i="20"/>
  <c r="R81" i="20"/>
  <c r="M81" i="20"/>
  <c r="L81" i="20"/>
  <c r="K81" i="20"/>
  <c r="E81" i="20"/>
  <c r="S161" i="20" s="1"/>
  <c r="R80" i="20"/>
  <c r="M80" i="20"/>
  <c r="L80" i="20"/>
  <c r="K80" i="20"/>
  <c r="R79" i="20"/>
  <c r="M79" i="20"/>
  <c r="L79" i="20"/>
  <c r="K79" i="20"/>
  <c r="E79" i="20"/>
  <c r="R78" i="20"/>
  <c r="M78" i="20"/>
  <c r="L78" i="20"/>
  <c r="K78" i="20"/>
  <c r="R77" i="20"/>
  <c r="M77" i="20"/>
  <c r="L77" i="20"/>
  <c r="K77" i="20"/>
  <c r="E77" i="20"/>
  <c r="U159" i="20" s="1"/>
  <c r="R76" i="20"/>
  <c r="M76" i="20"/>
  <c r="L76" i="20"/>
  <c r="K76" i="20"/>
  <c r="R75" i="20"/>
  <c r="M75" i="20"/>
  <c r="L75" i="20"/>
  <c r="K75" i="20"/>
  <c r="R74" i="20"/>
  <c r="H158" i="20" s="1"/>
  <c r="M74" i="20"/>
  <c r="L74" i="20"/>
  <c r="K74" i="20"/>
  <c r="R73" i="20"/>
  <c r="M73" i="20"/>
  <c r="L73" i="20"/>
  <c r="K73" i="20"/>
  <c r="E73" i="20"/>
  <c r="U157" i="20" s="1"/>
  <c r="R72" i="20"/>
  <c r="M72" i="20"/>
  <c r="L72" i="20"/>
  <c r="K72" i="20"/>
  <c r="R71" i="20"/>
  <c r="M71" i="20"/>
  <c r="L71" i="20"/>
  <c r="K71" i="20"/>
  <c r="E71" i="20"/>
  <c r="R70" i="20"/>
  <c r="M70" i="20"/>
  <c r="L70" i="20"/>
  <c r="K70" i="20"/>
  <c r="R69" i="20"/>
  <c r="M69" i="20"/>
  <c r="L69" i="20"/>
  <c r="K69" i="20"/>
  <c r="E69" i="20"/>
  <c r="R68" i="20"/>
  <c r="M68" i="20"/>
  <c r="L68" i="20"/>
  <c r="K68" i="20"/>
  <c r="R67" i="20"/>
  <c r="M67" i="20"/>
  <c r="L67" i="20"/>
  <c r="K67" i="20"/>
  <c r="E67" i="20"/>
  <c r="R66" i="20"/>
  <c r="M66" i="20"/>
  <c r="L66" i="20"/>
  <c r="K66" i="20"/>
  <c r="R65" i="20"/>
  <c r="M65" i="20"/>
  <c r="L65" i="20"/>
  <c r="K65" i="20"/>
  <c r="E65" i="20"/>
  <c r="U153" i="20" s="1"/>
  <c r="R64" i="20"/>
  <c r="M64" i="20"/>
  <c r="L64" i="20"/>
  <c r="K64" i="20"/>
  <c r="R63" i="20"/>
  <c r="M63" i="20"/>
  <c r="L63" i="20"/>
  <c r="K63" i="20"/>
  <c r="E63" i="20"/>
  <c r="R62" i="20"/>
  <c r="M62" i="20"/>
  <c r="L62" i="20"/>
  <c r="K62" i="20"/>
  <c r="R61" i="20"/>
  <c r="M61" i="20"/>
  <c r="L61" i="20"/>
  <c r="K61" i="20"/>
  <c r="E61" i="20"/>
  <c r="S151" i="20" s="1"/>
  <c r="R60" i="20"/>
  <c r="M60" i="20"/>
  <c r="L60" i="20"/>
  <c r="K60" i="20"/>
  <c r="R59" i="20"/>
  <c r="M59" i="20"/>
  <c r="L59" i="20"/>
  <c r="K59" i="20"/>
  <c r="E59" i="20"/>
  <c r="R58" i="20"/>
  <c r="M58" i="20"/>
  <c r="L58" i="20"/>
  <c r="K58" i="20"/>
  <c r="R57" i="20"/>
  <c r="M57" i="20"/>
  <c r="L57" i="20"/>
  <c r="K57" i="20"/>
  <c r="E57" i="20"/>
  <c r="R56" i="20"/>
  <c r="M56" i="20"/>
  <c r="L56" i="20"/>
  <c r="K56" i="20"/>
  <c r="R55" i="20"/>
  <c r="M55" i="20"/>
  <c r="L55" i="20"/>
  <c r="K55" i="20"/>
  <c r="E55" i="20"/>
  <c r="R54" i="20"/>
  <c r="M54" i="20"/>
  <c r="L54" i="20"/>
  <c r="K54" i="20"/>
  <c r="R53" i="20"/>
  <c r="M53" i="20"/>
  <c r="L53" i="20"/>
  <c r="K53" i="20"/>
  <c r="R52" i="20"/>
  <c r="M52" i="20"/>
  <c r="L52" i="20"/>
  <c r="K52" i="20"/>
  <c r="R51" i="20"/>
  <c r="M51" i="20"/>
  <c r="L51" i="20"/>
  <c r="K51" i="20"/>
  <c r="R50" i="20"/>
  <c r="M50" i="20"/>
  <c r="L50" i="20"/>
  <c r="K50" i="20"/>
  <c r="R49" i="20"/>
  <c r="M49" i="20"/>
  <c r="L49" i="20"/>
  <c r="K49" i="20"/>
  <c r="E49" i="20"/>
  <c r="S145" i="20" s="1"/>
  <c r="R48" i="20"/>
  <c r="M48" i="20"/>
  <c r="L48" i="20"/>
  <c r="K48" i="20"/>
  <c r="R47" i="20"/>
  <c r="M47" i="20"/>
  <c r="L47" i="20"/>
  <c r="K47" i="20"/>
  <c r="R46" i="20"/>
  <c r="M46" i="20"/>
  <c r="L46" i="20"/>
  <c r="K46" i="20"/>
  <c r="R45" i="20"/>
  <c r="M45" i="20"/>
  <c r="L45" i="20"/>
  <c r="K45" i="20"/>
  <c r="R44" i="20"/>
  <c r="M44" i="20"/>
  <c r="L44" i="20"/>
  <c r="K44" i="20"/>
  <c r="R43" i="20"/>
  <c r="M43" i="20"/>
  <c r="L43" i="20"/>
  <c r="K43" i="20"/>
  <c r="E43" i="20"/>
  <c r="S142" i="20" s="1"/>
  <c r="R42" i="20"/>
  <c r="M42" i="20"/>
  <c r="L42" i="20"/>
  <c r="K42" i="20"/>
  <c r="R41" i="20"/>
  <c r="M41" i="20"/>
  <c r="L41" i="20"/>
  <c r="K41" i="20"/>
  <c r="R40" i="20"/>
  <c r="M40" i="20"/>
  <c r="L40" i="20"/>
  <c r="K40" i="20"/>
  <c r="R39" i="20"/>
  <c r="M39" i="20"/>
  <c r="L39" i="20"/>
  <c r="K39" i="20"/>
  <c r="R38" i="20"/>
  <c r="M38" i="20"/>
  <c r="L38" i="20"/>
  <c r="K38" i="20"/>
  <c r="R37" i="20"/>
  <c r="M37" i="20"/>
  <c r="L37" i="20"/>
  <c r="K37" i="20"/>
  <c r="E37" i="20"/>
  <c r="R36" i="20"/>
  <c r="M36" i="20"/>
  <c r="L36" i="20"/>
  <c r="K36" i="20"/>
  <c r="R35" i="20"/>
  <c r="M35" i="20"/>
  <c r="L35" i="20"/>
  <c r="K35" i="20"/>
  <c r="R34" i="20"/>
  <c r="M34" i="20"/>
  <c r="L34" i="20"/>
  <c r="K34" i="20"/>
  <c r="R33" i="20"/>
  <c r="M33" i="20"/>
  <c r="L33" i="20"/>
  <c r="K33" i="20"/>
  <c r="R32" i="20"/>
  <c r="M32" i="20"/>
  <c r="L32" i="20"/>
  <c r="K32" i="20"/>
  <c r="R31" i="20"/>
  <c r="M31" i="20"/>
  <c r="L31" i="20"/>
  <c r="K31" i="20"/>
  <c r="R30" i="20"/>
  <c r="M30" i="20"/>
  <c r="L30" i="20"/>
  <c r="K30" i="20"/>
  <c r="R29" i="20"/>
  <c r="M29" i="20"/>
  <c r="L29" i="20"/>
  <c r="K29" i="20"/>
  <c r="R28" i="20"/>
  <c r="M28" i="20"/>
  <c r="L28" i="20"/>
  <c r="K28" i="20"/>
  <c r="R27" i="20"/>
  <c r="M27" i="20"/>
  <c r="L27" i="20"/>
  <c r="K27" i="20"/>
  <c r="E27" i="20"/>
  <c r="R26" i="20"/>
  <c r="M26" i="20"/>
  <c r="L26" i="20"/>
  <c r="K26" i="20"/>
  <c r="R25" i="20"/>
  <c r="M25" i="20"/>
  <c r="L25" i="20"/>
  <c r="K25" i="20"/>
  <c r="R24" i="20"/>
  <c r="M24" i="20"/>
  <c r="L24" i="20"/>
  <c r="K24" i="20"/>
  <c r="R23" i="20"/>
  <c r="M23" i="20"/>
  <c r="L23" i="20"/>
  <c r="K23" i="20"/>
  <c r="R22" i="20"/>
  <c r="M22" i="20"/>
  <c r="L22" i="20"/>
  <c r="K22" i="20"/>
  <c r="R21" i="20"/>
  <c r="M21" i="20"/>
  <c r="L21" i="20"/>
  <c r="K21" i="20"/>
  <c r="R20" i="20"/>
  <c r="M20" i="20"/>
  <c r="L20" i="20"/>
  <c r="K20" i="20"/>
  <c r="R19" i="20"/>
  <c r="M19" i="20"/>
  <c r="L19" i="20"/>
  <c r="K19" i="20"/>
  <c r="R18" i="20"/>
  <c r="M18" i="20"/>
  <c r="L18" i="20"/>
  <c r="K18" i="20"/>
  <c r="R17" i="20"/>
  <c r="M17" i="20"/>
  <c r="L17" i="20"/>
  <c r="K17" i="20"/>
  <c r="E17" i="20"/>
  <c r="R16" i="20"/>
  <c r="M16" i="20"/>
  <c r="L16" i="20"/>
  <c r="K16" i="20"/>
  <c r="R15" i="20"/>
  <c r="M15" i="20"/>
  <c r="L15" i="20"/>
  <c r="K15" i="20"/>
  <c r="R14" i="20"/>
  <c r="M14" i="20"/>
  <c r="L14" i="20"/>
  <c r="K14" i="20"/>
  <c r="R13" i="20"/>
  <c r="M13" i="20"/>
  <c r="L13" i="20"/>
  <c r="K13" i="20"/>
  <c r="R12" i="20"/>
  <c r="M12" i="20"/>
  <c r="L12" i="20"/>
  <c r="K12" i="20"/>
  <c r="R11" i="20"/>
  <c r="M11" i="20"/>
  <c r="L11" i="20"/>
  <c r="K11" i="20"/>
  <c r="R10" i="20"/>
  <c r="M10" i="20"/>
  <c r="L10" i="20"/>
  <c r="K10" i="20"/>
  <c r="R9" i="20"/>
  <c r="M9" i="20"/>
  <c r="L9" i="20"/>
  <c r="K9" i="20"/>
  <c r="R8" i="20"/>
  <c r="M8" i="20"/>
  <c r="L8" i="20"/>
  <c r="K8" i="20"/>
  <c r="R7" i="20"/>
  <c r="M7" i="20"/>
  <c r="L7" i="20"/>
  <c r="K7" i="20"/>
  <c r="E7" i="20"/>
  <c r="U99" i="34"/>
  <c r="T99" i="34"/>
  <c r="S99" i="34"/>
  <c r="E61" i="28"/>
  <c r="T108" i="28" s="1"/>
  <c r="R61" i="28"/>
  <c r="M61" i="28"/>
  <c r="L61" i="28"/>
  <c r="K61" i="28"/>
  <c r="E56" i="38"/>
  <c r="U103" i="38" s="1"/>
  <c r="R56" i="38"/>
  <c r="R55" i="38"/>
  <c r="K56" i="38"/>
  <c r="L56" i="38"/>
  <c r="M56" i="38"/>
  <c r="K55" i="38"/>
  <c r="L55" i="38"/>
  <c r="M55" i="38"/>
  <c r="E84" i="35"/>
  <c r="T135" i="35" s="1"/>
  <c r="R82" i="35"/>
  <c r="K82" i="35"/>
  <c r="L82" i="35"/>
  <c r="M82" i="35"/>
  <c r="R83" i="35"/>
  <c r="R84" i="35"/>
  <c r="K83" i="35"/>
  <c r="L83" i="35"/>
  <c r="M83" i="35"/>
  <c r="E56" i="32"/>
  <c r="U102" i="32" s="1"/>
  <c r="R54" i="32"/>
  <c r="K54" i="32"/>
  <c r="L54" i="32"/>
  <c r="M54" i="32"/>
  <c r="E54" i="32"/>
  <c r="U101" i="32" s="1"/>
  <c r="K52" i="32"/>
  <c r="E51" i="32"/>
  <c r="L60" i="29"/>
  <c r="M60" i="29"/>
  <c r="U145" i="6"/>
  <c r="R86" i="6"/>
  <c r="U209" i="10"/>
  <c r="T209" i="10"/>
  <c r="S209" i="10"/>
  <c r="N214" i="10"/>
  <c r="R132" i="10"/>
  <c r="M132" i="10"/>
  <c r="L132" i="10"/>
  <c r="K132" i="10"/>
  <c r="R54" i="38"/>
  <c r="K53" i="38"/>
  <c r="K54" i="38"/>
  <c r="L54" i="38"/>
  <c r="M54" i="38"/>
  <c r="R53" i="38"/>
  <c r="L53" i="38"/>
  <c r="M53" i="38"/>
  <c r="K52" i="38"/>
  <c r="L52" i="38"/>
  <c r="M52" i="38"/>
  <c r="R52" i="38"/>
  <c r="U107" i="37"/>
  <c r="T107" i="37"/>
  <c r="S107" i="37"/>
  <c r="R59" i="37"/>
  <c r="R60" i="37"/>
  <c r="M60" i="37"/>
  <c r="K60" i="37"/>
  <c r="L60" i="37"/>
  <c r="K59" i="37"/>
  <c r="L59" i="37"/>
  <c r="M59" i="37"/>
  <c r="E66" i="36"/>
  <c r="S128" i="36" s="1"/>
  <c r="R66" i="36"/>
  <c r="R65" i="36"/>
  <c r="L66" i="36"/>
  <c r="K66" i="36"/>
  <c r="M66" i="36"/>
  <c r="K65" i="36"/>
  <c r="L65" i="36"/>
  <c r="M65" i="36"/>
  <c r="K84" i="35"/>
  <c r="L84" i="35"/>
  <c r="M84" i="35"/>
  <c r="R81" i="35"/>
  <c r="M81" i="35"/>
  <c r="L81" i="35"/>
  <c r="K81" i="35"/>
  <c r="R55" i="34"/>
  <c r="M55" i="34"/>
  <c r="L55" i="34"/>
  <c r="K55" i="34"/>
  <c r="R54" i="34"/>
  <c r="L99" i="34" s="1"/>
  <c r="M54" i="34"/>
  <c r="L54" i="34"/>
  <c r="K54" i="34"/>
  <c r="U100" i="33"/>
  <c r="T100" i="33"/>
  <c r="S100" i="33"/>
  <c r="R53" i="33"/>
  <c r="M53" i="33"/>
  <c r="L53" i="33"/>
  <c r="K53" i="33"/>
  <c r="R52" i="33"/>
  <c r="M52" i="33"/>
  <c r="L52" i="33"/>
  <c r="K52" i="33"/>
  <c r="R55" i="32"/>
  <c r="R56" i="32"/>
  <c r="K56" i="32"/>
  <c r="L56" i="32"/>
  <c r="M56" i="32"/>
  <c r="K55" i="32"/>
  <c r="L55" i="32"/>
  <c r="M55" i="32"/>
  <c r="U96" i="31"/>
  <c r="T96" i="31"/>
  <c r="S96" i="31"/>
  <c r="R50" i="31"/>
  <c r="M50" i="31"/>
  <c r="L50" i="31"/>
  <c r="K50" i="31"/>
  <c r="R49" i="31"/>
  <c r="J96" i="31" s="1"/>
  <c r="M49" i="31"/>
  <c r="D96" i="31" s="1"/>
  <c r="L49" i="31"/>
  <c r="K49" i="31"/>
  <c r="E60" i="29"/>
  <c r="S105" i="29" s="1"/>
  <c r="R58" i="29"/>
  <c r="K58" i="29"/>
  <c r="L58" i="29"/>
  <c r="M58" i="29"/>
  <c r="R60" i="29"/>
  <c r="K60" i="29"/>
  <c r="R59" i="29"/>
  <c r="K59" i="29"/>
  <c r="L59" i="29"/>
  <c r="M59" i="29"/>
  <c r="E57" i="29"/>
  <c r="S104" i="29" s="1"/>
  <c r="E87" i="6"/>
  <c r="U146" i="6" s="1"/>
  <c r="R87" i="6"/>
  <c r="K87" i="6"/>
  <c r="L87" i="6"/>
  <c r="M87" i="6"/>
  <c r="K86" i="6"/>
  <c r="L86" i="6"/>
  <c r="M86" i="6"/>
  <c r="K85" i="6"/>
  <c r="L85" i="6"/>
  <c r="R85" i="6"/>
  <c r="M85" i="6"/>
  <c r="E38" i="30"/>
  <c r="R37" i="30"/>
  <c r="R38" i="30"/>
  <c r="K38" i="30"/>
  <c r="L38" i="30"/>
  <c r="M38" i="30"/>
  <c r="K37" i="30"/>
  <c r="L37" i="30"/>
  <c r="M37" i="30"/>
  <c r="R131" i="10"/>
  <c r="K131" i="10"/>
  <c r="L131" i="10"/>
  <c r="M131" i="10"/>
  <c r="E126" i="22"/>
  <c r="K125" i="22"/>
  <c r="L125" i="22"/>
  <c r="M125" i="22"/>
  <c r="U195" i="23"/>
  <c r="T195" i="23"/>
  <c r="S195" i="23"/>
  <c r="B195" i="23"/>
  <c r="C195" i="23"/>
  <c r="D195" i="23"/>
  <c r="U191" i="24"/>
  <c r="T191" i="24"/>
  <c r="S191" i="24"/>
  <c r="R115" i="24"/>
  <c r="R114" i="24"/>
  <c r="D191" i="24"/>
  <c r="U191" i="25"/>
  <c r="T191" i="25"/>
  <c r="S191" i="25"/>
  <c r="R114" i="25"/>
  <c r="R115" i="25"/>
  <c r="K115" i="25"/>
  <c r="L115" i="25"/>
  <c r="M115" i="25"/>
  <c r="K114" i="25"/>
  <c r="L114" i="25"/>
  <c r="M114" i="25"/>
  <c r="U155" i="26"/>
  <c r="T155" i="26"/>
  <c r="S155" i="26"/>
  <c r="R79" i="26"/>
  <c r="R78" i="26"/>
  <c r="K79" i="26"/>
  <c r="L79" i="26"/>
  <c r="M79" i="26"/>
  <c r="K78" i="26"/>
  <c r="L78" i="26"/>
  <c r="M78" i="26"/>
  <c r="E85" i="16"/>
  <c r="R83" i="16"/>
  <c r="R84" i="16"/>
  <c r="R85" i="16"/>
  <c r="K83" i="16"/>
  <c r="L83" i="16"/>
  <c r="M83" i="16"/>
  <c r="K84" i="16"/>
  <c r="L84" i="16"/>
  <c r="M84" i="16"/>
  <c r="K85" i="16"/>
  <c r="L85" i="16"/>
  <c r="M85" i="16"/>
  <c r="E117" i="17"/>
  <c r="U193" i="17" s="1"/>
  <c r="R117" i="17"/>
  <c r="R116" i="17"/>
  <c r="S195" i="18"/>
  <c r="U197" i="18"/>
  <c r="T197" i="18"/>
  <c r="S197" i="18"/>
  <c r="R108" i="18"/>
  <c r="R118" i="18"/>
  <c r="R117" i="18"/>
  <c r="K118" i="18"/>
  <c r="L118" i="18"/>
  <c r="M118" i="18"/>
  <c r="K117" i="18"/>
  <c r="L117" i="18"/>
  <c r="M117" i="18"/>
  <c r="U199" i="19"/>
  <c r="T199" i="19"/>
  <c r="S199" i="19"/>
  <c r="R120" i="19"/>
  <c r="R119" i="19"/>
  <c r="K120" i="19"/>
  <c r="L120" i="19"/>
  <c r="M120" i="19"/>
  <c r="K119" i="19"/>
  <c r="L119" i="19"/>
  <c r="M119" i="19"/>
  <c r="S198" i="19"/>
  <c r="E115" i="21"/>
  <c r="U191" i="21" s="1"/>
  <c r="R115" i="21"/>
  <c r="K115" i="21"/>
  <c r="L115" i="21"/>
  <c r="M115" i="21"/>
  <c r="R114" i="21"/>
  <c r="K114" i="21"/>
  <c r="L114" i="21"/>
  <c r="M114" i="21"/>
  <c r="U207" i="9"/>
  <c r="U203" i="9"/>
  <c r="T207" i="9"/>
  <c r="T203" i="9"/>
  <c r="S203" i="9"/>
  <c r="R130" i="9"/>
  <c r="R131" i="9"/>
  <c r="K131" i="9"/>
  <c r="L131" i="9"/>
  <c r="M131" i="9"/>
  <c r="K130" i="9"/>
  <c r="L130" i="9"/>
  <c r="M130" i="9"/>
  <c r="U196" i="11"/>
  <c r="T196" i="11"/>
  <c r="S196" i="11"/>
  <c r="R119" i="11"/>
  <c r="R118" i="11"/>
  <c r="K119" i="11"/>
  <c r="L119" i="11"/>
  <c r="M119" i="11"/>
  <c r="K118" i="11"/>
  <c r="L118" i="11"/>
  <c r="M118" i="11"/>
  <c r="R116" i="12"/>
  <c r="R115" i="12"/>
  <c r="L116" i="12"/>
  <c r="K116" i="12"/>
  <c r="M116" i="12"/>
  <c r="K115" i="12"/>
  <c r="L115" i="12"/>
  <c r="M115" i="12"/>
  <c r="E112" i="12"/>
  <c r="E116" i="12"/>
  <c r="T193" i="12" s="1"/>
  <c r="M129" i="13"/>
  <c r="R129" i="13"/>
  <c r="K129" i="13"/>
  <c r="L129" i="13"/>
  <c r="R128" i="13"/>
  <c r="K128" i="13"/>
  <c r="L128" i="13"/>
  <c r="M128" i="13"/>
  <c r="E129" i="13"/>
  <c r="U209" i="13" s="1"/>
  <c r="M119" i="14"/>
  <c r="E119" i="14"/>
  <c r="R119" i="14"/>
  <c r="K119" i="14"/>
  <c r="L119" i="14"/>
  <c r="R118" i="14"/>
  <c r="J195" i="14" s="1"/>
  <c r="K118" i="14"/>
  <c r="L118" i="14"/>
  <c r="M118" i="14"/>
  <c r="U210" i="15"/>
  <c r="T210" i="15"/>
  <c r="S210" i="15"/>
  <c r="C210" i="15"/>
  <c r="R125" i="15"/>
  <c r="R126" i="15"/>
  <c r="K126" i="15"/>
  <c r="M126" i="15"/>
  <c r="K125" i="15"/>
  <c r="M125" i="15"/>
  <c r="U203" i="8"/>
  <c r="T203" i="8"/>
  <c r="S203" i="8"/>
  <c r="R123" i="8"/>
  <c r="R122" i="8"/>
  <c r="K123" i="8"/>
  <c r="L123" i="8"/>
  <c r="M123" i="8"/>
  <c r="K122" i="8"/>
  <c r="L122" i="8"/>
  <c r="M122" i="8"/>
  <c r="K116" i="7"/>
  <c r="L116" i="7"/>
  <c r="M116" i="7"/>
  <c r="R115" i="7"/>
  <c r="R116" i="7"/>
  <c r="K115" i="7"/>
  <c r="L115" i="7"/>
  <c r="M115" i="7"/>
  <c r="E116" i="7"/>
  <c r="S192" i="7" s="1"/>
  <c r="H185" i="2"/>
  <c r="L192" i="12"/>
  <c r="E121" i="1"/>
  <c r="U197" i="1" s="1"/>
  <c r="E115" i="1"/>
  <c r="S195" i="1" s="1"/>
  <c r="S199" i="3"/>
  <c r="U199" i="3"/>
  <c r="T199" i="3"/>
  <c r="E117" i="5"/>
  <c r="S193" i="5" s="1"/>
  <c r="R117" i="5"/>
  <c r="R116" i="5"/>
  <c r="K117" i="5"/>
  <c r="L117" i="5"/>
  <c r="M117" i="5"/>
  <c r="K116" i="5"/>
  <c r="L116" i="5"/>
  <c r="M116" i="5"/>
  <c r="S198" i="3"/>
  <c r="R121" i="3"/>
  <c r="R120" i="3"/>
  <c r="K121" i="3"/>
  <c r="L121" i="3"/>
  <c r="M121" i="3"/>
  <c r="M120" i="3"/>
  <c r="L120" i="3"/>
  <c r="K120" i="3"/>
  <c r="S208" i="13"/>
  <c r="R58" i="28"/>
  <c r="R59" i="28"/>
  <c r="R60" i="28"/>
  <c r="M60" i="28"/>
  <c r="L60" i="28"/>
  <c r="K59" i="28"/>
  <c r="K60" i="28"/>
  <c r="L59" i="28"/>
  <c r="M59" i="28"/>
  <c r="R57" i="28"/>
  <c r="M57" i="28"/>
  <c r="M58" i="28"/>
  <c r="L57" i="28"/>
  <c r="L58" i="28"/>
  <c r="K57" i="28"/>
  <c r="K58" i="28"/>
  <c r="E115" i="2"/>
  <c r="L192" i="2" s="1"/>
  <c r="R115" i="2"/>
  <c r="K115" i="2"/>
  <c r="L115" i="2"/>
  <c r="M115" i="2"/>
  <c r="R114" i="2"/>
  <c r="K114" i="2"/>
  <c r="L114" i="2"/>
  <c r="M114" i="2"/>
  <c r="U196" i="1"/>
  <c r="T196" i="1"/>
  <c r="S196" i="1"/>
  <c r="U192" i="1"/>
  <c r="T192" i="1"/>
  <c r="S192" i="1"/>
  <c r="U188" i="1"/>
  <c r="T188" i="1"/>
  <c r="S188" i="1"/>
  <c r="U184" i="1"/>
  <c r="T184" i="1"/>
  <c r="S184" i="1"/>
  <c r="U180" i="1"/>
  <c r="T180" i="1"/>
  <c r="S180" i="1"/>
  <c r="U176" i="1"/>
  <c r="T176" i="1"/>
  <c r="S176" i="1"/>
  <c r="U172" i="1"/>
  <c r="T172" i="1"/>
  <c r="S172" i="1"/>
  <c r="U168" i="1"/>
  <c r="T168" i="1"/>
  <c r="S168" i="1"/>
  <c r="U164" i="1"/>
  <c r="T164" i="1"/>
  <c r="S164" i="1"/>
  <c r="U160" i="1"/>
  <c r="T160" i="1"/>
  <c r="S160" i="1"/>
  <c r="U156" i="1"/>
  <c r="T156" i="1"/>
  <c r="S156" i="1"/>
  <c r="U152" i="1"/>
  <c r="T152" i="1"/>
  <c r="S152" i="1"/>
  <c r="U148" i="1"/>
  <c r="T148" i="1"/>
  <c r="S148" i="1"/>
  <c r="U144" i="1"/>
  <c r="T144" i="1"/>
  <c r="S144" i="1"/>
  <c r="M121" i="1"/>
  <c r="K121" i="1"/>
  <c r="L121" i="1"/>
  <c r="R121" i="1"/>
  <c r="K120" i="1"/>
  <c r="L120" i="1"/>
  <c r="M120" i="1"/>
  <c r="R118" i="1"/>
  <c r="R119" i="1"/>
  <c r="M118" i="1"/>
  <c r="M119" i="1"/>
  <c r="L118" i="1"/>
  <c r="L119" i="1"/>
  <c r="K118" i="1"/>
  <c r="K119" i="1"/>
  <c r="T151" i="22"/>
  <c r="U151" i="22"/>
  <c r="S151" i="22"/>
  <c r="S142" i="23"/>
  <c r="T137" i="25"/>
  <c r="U137" i="25"/>
  <c r="S137" i="25"/>
  <c r="T139" i="17"/>
  <c r="U139" i="17"/>
  <c r="S139" i="17"/>
  <c r="S140" i="17"/>
  <c r="T143" i="18"/>
  <c r="U143" i="18"/>
  <c r="S143" i="18"/>
  <c r="T153" i="9"/>
  <c r="U153" i="9"/>
  <c r="S153" i="9"/>
  <c r="S143" i="11"/>
  <c r="S140" i="12"/>
  <c r="T155" i="13"/>
  <c r="U155" i="13"/>
  <c r="S155" i="13"/>
  <c r="S156" i="13"/>
  <c r="T141" i="14"/>
  <c r="U141" i="14"/>
  <c r="S142" i="14"/>
  <c r="S141" i="14"/>
  <c r="S157" i="15"/>
  <c r="S150" i="8"/>
  <c r="T138" i="7"/>
  <c r="U138" i="7"/>
  <c r="S138" i="7"/>
  <c r="S139" i="7"/>
  <c r="U139" i="5"/>
  <c r="T139" i="5"/>
  <c r="S139" i="5"/>
  <c r="S140" i="5"/>
  <c r="T145" i="3"/>
  <c r="U145" i="3"/>
  <c r="S145" i="3"/>
  <c r="S146" i="3"/>
  <c r="S139" i="2"/>
  <c r="T143" i="1"/>
  <c r="U143" i="1"/>
  <c r="S143" i="1"/>
  <c r="R6" i="22"/>
  <c r="M6" i="22"/>
  <c r="L6" i="22"/>
  <c r="K6" i="22"/>
  <c r="R7" i="22"/>
  <c r="M7" i="22"/>
  <c r="L7" i="22"/>
  <c r="K7" i="22"/>
  <c r="E7" i="23"/>
  <c r="R6" i="23"/>
  <c r="M6" i="23"/>
  <c r="L6" i="23"/>
  <c r="K6" i="23"/>
  <c r="R7" i="23"/>
  <c r="M7" i="23"/>
  <c r="L7" i="23"/>
  <c r="K7" i="23"/>
  <c r="O6" i="24"/>
  <c r="K6" i="24"/>
  <c r="M6" i="24"/>
  <c r="L6" i="24"/>
  <c r="E7" i="24"/>
  <c r="R7" i="24"/>
  <c r="M7" i="24"/>
  <c r="L7" i="24"/>
  <c r="K7" i="24"/>
  <c r="R6" i="25"/>
  <c r="M6" i="25"/>
  <c r="L6" i="25"/>
  <c r="K6" i="25"/>
  <c r="R7" i="25"/>
  <c r="M7" i="25"/>
  <c r="L7" i="25"/>
  <c r="K7" i="25"/>
  <c r="R6" i="17"/>
  <c r="M6" i="17"/>
  <c r="L6" i="17"/>
  <c r="K6" i="17"/>
  <c r="R7" i="17"/>
  <c r="M7" i="17"/>
  <c r="L7" i="17"/>
  <c r="K7" i="17"/>
  <c r="R6" i="18"/>
  <c r="M6" i="18"/>
  <c r="L6" i="18"/>
  <c r="K6" i="18"/>
  <c r="R7" i="18"/>
  <c r="M7" i="18"/>
  <c r="L7" i="18"/>
  <c r="K7" i="18"/>
  <c r="K6" i="19"/>
  <c r="E7" i="19"/>
  <c r="R6" i="19"/>
  <c r="M6" i="19"/>
  <c r="R7" i="19"/>
  <c r="M7" i="19"/>
  <c r="L7" i="19"/>
  <c r="K7" i="19"/>
  <c r="E7" i="21"/>
  <c r="R6" i="21"/>
  <c r="M6" i="21"/>
  <c r="L6" i="21"/>
  <c r="K6" i="21"/>
  <c r="R7" i="21"/>
  <c r="M7" i="21"/>
  <c r="L7" i="21"/>
  <c r="K7" i="21"/>
  <c r="R6" i="9"/>
  <c r="M6" i="9"/>
  <c r="L6" i="9"/>
  <c r="K6" i="9"/>
  <c r="R7" i="9"/>
  <c r="M7" i="9"/>
  <c r="L7" i="9"/>
  <c r="K7" i="9"/>
  <c r="R6" i="2"/>
  <c r="O6" i="8"/>
  <c r="R6" i="8" s="1"/>
  <c r="E7" i="10"/>
  <c r="T161" i="10" s="1"/>
  <c r="R6" i="10"/>
  <c r="M6" i="10"/>
  <c r="L6" i="10"/>
  <c r="K6" i="10"/>
  <c r="R7" i="10"/>
  <c r="M7" i="10"/>
  <c r="L7" i="10"/>
  <c r="K7" i="10"/>
  <c r="E7" i="11"/>
  <c r="R6" i="11"/>
  <c r="M6" i="11"/>
  <c r="L6" i="11"/>
  <c r="K6" i="11"/>
  <c r="R7" i="11"/>
  <c r="M7" i="11"/>
  <c r="L7" i="11"/>
  <c r="K7" i="11"/>
  <c r="E7" i="12"/>
  <c r="R6" i="12"/>
  <c r="M6" i="12"/>
  <c r="L6" i="12"/>
  <c r="K6" i="12"/>
  <c r="R7" i="12"/>
  <c r="M7" i="12"/>
  <c r="L7" i="12"/>
  <c r="K7" i="12"/>
  <c r="R6" i="13"/>
  <c r="M6" i="13"/>
  <c r="L6" i="13"/>
  <c r="K6" i="13"/>
  <c r="R7" i="13"/>
  <c r="M7" i="13"/>
  <c r="L7" i="13"/>
  <c r="K7" i="13"/>
  <c r="R6" i="14"/>
  <c r="M6" i="14"/>
  <c r="L6" i="14"/>
  <c r="K6" i="14"/>
  <c r="R7" i="14"/>
  <c r="J141" i="14" s="1"/>
  <c r="M7" i="14"/>
  <c r="L7" i="14"/>
  <c r="K7" i="14"/>
  <c r="E7" i="15"/>
  <c r="T156" i="15" s="1"/>
  <c r="R6" i="15"/>
  <c r="M6" i="15"/>
  <c r="L6" i="15"/>
  <c r="K6" i="15"/>
  <c r="R7" i="15"/>
  <c r="M7" i="15"/>
  <c r="L7" i="15"/>
  <c r="K7" i="15"/>
  <c r="E7" i="8"/>
  <c r="U149" i="8" s="1"/>
  <c r="M6" i="8"/>
  <c r="L6" i="8"/>
  <c r="K6" i="8"/>
  <c r="R6" i="7"/>
  <c r="M6" i="7"/>
  <c r="L6" i="7"/>
  <c r="K6" i="7"/>
  <c r="R6" i="5"/>
  <c r="M6" i="5"/>
  <c r="L6" i="5"/>
  <c r="K6" i="5"/>
  <c r="R6" i="3"/>
  <c r="M6" i="3"/>
  <c r="L6" i="3"/>
  <c r="K6" i="3"/>
  <c r="R6" i="1"/>
  <c r="M6" i="1"/>
  <c r="L6" i="1"/>
  <c r="K6" i="1"/>
  <c r="M6" i="2"/>
  <c r="L6" i="2"/>
  <c r="K6" i="2"/>
  <c r="K7" i="2"/>
  <c r="E7" i="2"/>
  <c r="T138" i="2" s="1"/>
  <c r="R7" i="8"/>
  <c r="M7" i="8"/>
  <c r="L7" i="8"/>
  <c r="K7" i="8"/>
  <c r="R7" i="7"/>
  <c r="M7" i="7"/>
  <c r="L7" i="7"/>
  <c r="K7" i="7"/>
  <c r="R7" i="5"/>
  <c r="M7" i="5"/>
  <c r="L7" i="5"/>
  <c r="K7" i="5"/>
  <c r="R7" i="3"/>
  <c r="M7" i="3"/>
  <c r="L7" i="3"/>
  <c r="K7" i="3"/>
  <c r="R7" i="2"/>
  <c r="M7" i="2"/>
  <c r="L7" i="2"/>
  <c r="R7" i="1"/>
  <c r="M7" i="1"/>
  <c r="L7" i="1"/>
  <c r="K7" i="1"/>
  <c r="P65" i="7"/>
  <c r="R65" i="7" s="1"/>
  <c r="P64" i="7"/>
  <c r="T163" i="13"/>
  <c r="U163" i="13"/>
  <c r="S163" i="13"/>
  <c r="K11" i="1"/>
  <c r="T170" i="13"/>
  <c r="U170" i="13"/>
  <c r="S170" i="13"/>
  <c r="N128" i="16"/>
  <c r="R25" i="38"/>
  <c r="M25" i="38"/>
  <c r="L25" i="38"/>
  <c r="K25" i="38"/>
  <c r="T85" i="37"/>
  <c r="U85" i="37"/>
  <c r="S85" i="37"/>
  <c r="T84" i="37"/>
  <c r="U84" i="37"/>
  <c r="S84" i="37"/>
  <c r="R44" i="37"/>
  <c r="M44" i="37"/>
  <c r="L44" i="37"/>
  <c r="K44" i="37"/>
  <c r="T92" i="37"/>
  <c r="U92" i="37"/>
  <c r="S92" i="37"/>
  <c r="R25" i="37"/>
  <c r="M25" i="37"/>
  <c r="L25" i="37"/>
  <c r="K25" i="37"/>
  <c r="R26" i="37"/>
  <c r="M26" i="37"/>
  <c r="L26" i="37"/>
  <c r="K26" i="37"/>
  <c r="M8" i="37"/>
  <c r="L8" i="37"/>
  <c r="K8" i="37"/>
  <c r="M7" i="37"/>
  <c r="D84" i="37" s="1"/>
  <c r="L7" i="37"/>
  <c r="C84" i="37" s="1"/>
  <c r="K7" i="37"/>
  <c r="B84" i="37" s="1"/>
  <c r="M10" i="37"/>
  <c r="M9" i="37"/>
  <c r="L10" i="37"/>
  <c r="L9" i="37"/>
  <c r="L11" i="37"/>
  <c r="R7" i="37"/>
  <c r="J84" i="37" s="1"/>
  <c r="R8" i="37"/>
  <c r="T105" i="36"/>
  <c r="U105" i="36"/>
  <c r="S105" i="36"/>
  <c r="T122" i="36"/>
  <c r="U122" i="36"/>
  <c r="S122" i="36"/>
  <c r="R47" i="36"/>
  <c r="M47" i="36"/>
  <c r="L47" i="36"/>
  <c r="K47" i="36"/>
  <c r="R46" i="36"/>
  <c r="M46" i="36"/>
  <c r="L46" i="36"/>
  <c r="K46" i="36"/>
  <c r="R45" i="36"/>
  <c r="M45" i="36"/>
  <c r="L45" i="36"/>
  <c r="K45" i="36"/>
  <c r="T131" i="35"/>
  <c r="U131" i="35"/>
  <c r="S131" i="35"/>
  <c r="T129" i="35"/>
  <c r="U129" i="35"/>
  <c r="S129" i="35"/>
  <c r="T128" i="35"/>
  <c r="U128" i="35"/>
  <c r="S128" i="35"/>
  <c r="T126" i="35"/>
  <c r="U126" i="35"/>
  <c r="S126" i="35"/>
  <c r="T125" i="35"/>
  <c r="U125" i="35"/>
  <c r="S125" i="35"/>
  <c r="T122" i="35"/>
  <c r="U122" i="35"/>
  <c r="S122" i="35"/>
  <c r="T119" i="35"/>
  <c r="U119" i="35"/>
  <c r="S119" i="35"/>
  <c r="T113" i="35"/>
  <c r="U113" i="35"/>
  <c r="S113" i="35"/>
  <c r="R60" i="35"/>
  <c r="M60" i="35"/>
  <c r="L60" i="35"/>
  <c r="K60" i="35"/>
  <c r="R42" i="35"/>
  <c r="M42" i="35"/>
  <c r="L42" i="35"/>
  <c r="K42" i="35"/>
  <c r="R30" i="35"/>
  <c r="M30" i="35"/>
  <c r="L30" i="35"/>
  <c r="K30" i="35"/>
  <c r="U121" i="35"/>
  <c r="T121" i="35"/>
  <c r="S121" i="35"/>
  <c r="U118" i="35"/>
  <c r="T118" i="35"/>
  <c r="S118" i="35"/>
  <c r="R20" i="35"/>
  <c r="M20" i="35"/>
  <c r="L20" i="35"/>
  <c r="K20" i="35"/>
  <c r="L12" i="35"/>
  <c r="M12" i="35"/>
  <c r="T85" i="34"/>
  <c r="U85" i="34"/>
  <c r="S85" i="34"/>
  <c r="R45" i="34"/>
  <c r="R46" i="34"/>
  <c r="R47" i="34"/>
  <c r="R48" i="34"/>
  <c r="R49" i="34"/>
  <c r="R50" i="34"/>
  <c r="K26" i="34"/>
  <c r="L26" i="34"/>
  <c r="M26" i="34"/>
  <c r="K25" i="34"/>
  <c r="L25" i="34"/>
  <c r="M25" i="34"/>
  <c r="K24" i="34"/>
  <c r="L24" i="34"/>
  <c r="M24" i="34"/>
  <c r="K23" i="34"/>
  <c r="L23" i="34"/>
  <c r="M23" i="34"/>
  <c r="L22" i="34"/>
  <c r="K22" i="34"/>
  <c r="M22" i="34"/>
  <c r="T80" i="33"/>
  <c r="U80" i="33"/>
  <c r="T81" i="33"/>
  <c r="U81" i="33"/>
  <c r="T82" i="33"/>
  <c r="U82" i="33"/>
  <c r="T83" i="33"/>
  <c r="U83" i="33"/>
  <c r="T84" i="33"/>
  <c r="U84" i="33"/>
  <c r="T85" i="33"/>
  <c r="U85" i="33"/>
  <c r="T86" i="33"/>
  <c r="U86" i="33"/>
  <c r="T87" i="33"/>
  <c r="T88" i="33"/>
  <c r="U88" i="33"/>
  <c r="T89" i="33"/>
  <c r="U89" i="33"/>
  <c r="T90" i="33"/>
  <c r="U90" i="33"/>
  <c r="T91" i="33"/>
  <c r="U91" i="33"/>
  <c r="T92" i="33"/>
  <c r="U92" i="33"/>
  <c r="T93" i="33"/>
  <c r="U93" i="33"/>
  <c r="T94" i="33"/>
  <c r="U94" i="33"/>
  <c r="U95" i="33"/>
  <c r="T99" i="33"/>
  <c r="U99" i="33"/>
  <c r="S99" i="33"/>
  <c r="S95" i="33"/>
  <c r="S94" i="33"/>
  <c r="S93" i="33"/>
  <c r="S92" i="33"/>
  <c r="S91" i="33"/>
  <c r="S90" i="33"/>
  <c r="S89" i="33"/>
  <c r="S88" i="33"/>
  <c r="S87" i="33"/>
  <c r="S86" i="33"/>
  <c r="S85" i="33"/>
  <c r="S84" i="33"/>
  <c r="S83" i="33"/>
  <c r="S82" i="33"/>
  <c r="S81" i="33"/>
  <c r="S80" i="33"/>
  <c r="M18" i="33"/>
  <c r="M19" i="33"/>
  <c r="M20" i="33"/>
  <c r="M21" i="33"/>
  <c r="M22" i="33"/>
  <c r="M23" i="33"/>
  <c r="M24" i="33"/>
  <c r="M25" i="33"/>
  <c r="M26" i="33"/>
  <c r="M27" i="33"/>
  <c r="K19" i="33"/>
  <c r="L19" i="33"/>
  <c r="K20" i="33"/>
  <c r="L20" i="33"/>
  <c r="K21" i="33"/>
  <c r="L21" i="33"/>
  <c r="K22" i="33"/>
  <c r="L22" i="33"/>
  <c r="K23" i="33"/>
  <c r="L23" i="33"/>
  <c r="K24" i="33"/>
  <c r="L24" i="33"/>
  <c r="K25" i="33"/>
  <c r="L25" i="33"/>
  <c r="K26" i="33"/>
  <c r="L26" i="33"/>
  <c r="K27" i="33"/>
  <c r="L27" i="33"/>
  <c r="R19" i="33"/>
  <c r="R20" i="33"/>
  <c r="R21" i="33"/>
  <c r="R22" i="33"/>
  <c r="L18" i="33"/>
  <c r="K18" i="33"/>
  <c r="K17" i="33"/>
  <c r="K16" i="33"/>
  <c r="L17" i="33"/>
  <c r="L16" i="33"/>
  <c r="M17" i="33"/>
  <c r="M16" i="33"/>
  <c r="R16" i="33"/>
  <c r="T79" i="32"/>
  <c r="U79" i="32"/>
  <c r="S79" i="32"/>
  <c r="T80" i="32"/>
  <c r="U80" i="32"/>
  <c r="T81" i="32"/>
  <c r="U81" i="32"/>
  <c r="T82" i="32"/>
  <c r="U82" i="32"/>
  <c r="T83" i="32"/>
  <c r="U83" i="32"/>
  <c r="T84" i="32"/>
  <c r="U84" i="32"/>
  <c r="T85" i="32"/>
  <c r="U85" i="32"/>
  <c r="T86" i="32"/>
  <c r="U86" i="32"/>
  <c r="T87" i="32"/>
  <c r="U87" i="32"/>
  <c r="T88" i="32"/>
  <c r="U88" i="32"/>
  <c r="T89" i="32"/>
  <c r="U89" i="32"/>
  <c r="T90" i="32"/>
  <c r="U90" i="32"/>
  <c r="T91" i="32"/>
  <c r="U91" i="32"/>
  <c r="T92" i="32"/>
  <c r="U92" i="32"/>
  <c r="T93" i="32"/>
  <c r="U93" i="32"/>
  <c r="T94" i="32"/>
  <c r="U94" i="32"/>
  <c r="T95" i="32"/>
  <c r="U95" i="32"/>
  <c r="T96" i="32"/>
  <c r="U96" i="32"/>
  <c r="T97" i="32"/>
  <c r="U97" i="32"/>
  <c r="T98" i="32"/>
  <c r="U98" i="32"/>
  <c r="T99" i="32"/>
  <c r="U99" i="32"/>
  <c r="S99" i="32"/>
  <c r="S98" i="32"/>
  <c r="S97" i="32"/>
  <c r="S96" i="32"/>
  <c r="S95" i="32"/>
  <c r="S94" i="32"/>
  <c r="S93" i="32"/>
  <c r="S92" i="32"/>
  <c r="S91" i="32"/>
  <c r="S90" i="32"/>
  <c r="S89" i="32"/>
  <c r="S88" i="32"/>
  <c r="S87" i="32"/>
  <c r="S86" i="32"/>
  <c r="S85" i="32"/>
  <c r="S84" i="32"/>
  <c r="S83" i="32"/>
  <c r="S82" i="32"/>
  <c r="S81" i="32"/>
  <c r="S80" i="32"/>
  <c r="L42" i="32"/>
  <c r="R7" i="32"/>
  <c r="M7" i="32"/>
  <c r="L7" i="32"/>
  <c r="K7" i="32"/>
  <c r="T75" i="31"/>
  <c r="U75" i="31"/>
  <c r="T76" i="31"/>
  <c r="U76" i="31"/>
  <c r="T77" i="31"/>
  <c r="U77" i="31"/>
  <c r="T78" i="31"/>
  <c r="U78" i="31"/>
  <c r="T79" i="31"/>
  <c r="U79" i="31"/>
  <c r="T80" i="31"/>
  <c r="U80" i="31"/>
  <c r="T81" i="31"/>
  <c r="U81" i="31"/>
  <c r="T82" i="31"/>
  <c r="U82" i="31"/>
  <c r="T83" i="31"/>
  <c r="U83" i="31"/>
  <c r="T84" i="31"/>
  <c r="U84" i="31"/>
  <c r="T85" i="31"/>
  <c r="U85" i="31"/>
  <c r="T86" i="31"/>
  <c r="U86" i="31"/>
  <c r="T87" i="31"/>
  <c r="U87" i="31"/>
  <c r="T88" i="31"/>
  <c r="U88" i="31"/>
  <c r="T89" i="31"/>
  <c r="U89" i="31"/>
  <c r="T90" i="31"/>
  <c r="U90" i="31"/>
  <c r="T91" i="31"/>
  <c r="U91" i="31"/>
  <c r="T92" i="31"/>
  <c r="U92" i="31"/>
  <c r="T93" i="31"/>
  <c r="U93" i="31"/>
  <c r="T94" i="31"/>
  <c r="U94" i="31"/>
  <c r="T95" i="31"/>
  <c r="U95" i="31"/>
  <c r="S95" i="31"/>
  <c r="S94" i="31"/>
  <c r="S93" i="31"/>
  <c r="S92" i="31"/>
  <c r="S91" i="31"/>
  <c r="S90" i="31"/>
  <c r="S89" i="31"/>
  <c r="S88" i="31"/>
  <c r="S87" i="31"/>
  <c r="S86" i="31"/>
  <c r="S85" i="31"/>
  <c r="S84" i="31"/>
  <c r="S83" i="31"/>
  <c r="S82" i="31"/>
  <c r="S81" i="31"/>
  <c r="S80" i="31"/>
  <c r="S79" i="31"/>
  <c r="S78" i="31"/>
  <c r="S77" i="31"/>
  <c r="S76" i="31"/>
  <c r="S75" i="31"/>
  <c r="R12" i="31"/>
  <c r="R13" i="31"/>
  <c r="R14" i="31"/>
  <c r="R15" i="31"/>
  <c r="R16" i="31"/>
  <c r="R17" i="31"/>
  <c r="R18" i="31"/>
  <c r="R19" i="31"/>
  <c r="R20" i="31"/>
  <c r="R21" i="31"/>
  <c r="R22" i="31"/>
  <c r="R23" i="31"/>
  <c r="R24" i="31"/>
  <c r="R25" i="31"/>
  <c r="R26" i="31"/>
  <c r="R27" i="31"/>
  <c r="R28" i="31"/>
  <c r="R29" i="31"/>
  <c r="R8" i="31"/>
  <c r="R9" i="31"/>
  <c r="H76" i="31" s="1"/>
  <c r="R10" i="31"/>
  <c r="R11" i="31"/>
  <c r="R7" i="31"/>
  <c r="J75" i="31" s="1"/>
  <c r="T85" i="28"/>
  <c r="U85" i="28"/>
  <c r="S85" i="28"/>
  <c r="T82" i="29"/>
  <c r="U82" i="29"/>
  <c r="S82" i="29"/>
  <c r="T83" i="29"/>
  <c r="U83" i="29"/>
  <c r="T84" i="29"/>
  <c r="U84" i="29"/>
  <c r="T85" i="29"/>
  <c r="U85" i="29"/>
  <c r="T86" i="29"/>
  <c r="U86" i="29"/>
  <c r="T87" i="29"/>
  <c r="U87" i="29"/>
  <c r="T88" i="29"/>
  <c r="U88" i="29"/>
  <c r="T89" i="29"/>
  <c r="U89" i="29"/>
  <c r="T90" i="29"/>
  <c r="U90" i="29"/>
  <c r="T91" i="29"/>
  <c r="U91" i="29"/>
  <c r="T92" i="29"/>
  <c r="U92" i="29"/>
  <c r="T93" i="29"/>
  <c r="U93" i="29"/>
  <c r="T94" i="29"/>
  <c r="U94" i="29"/>
  <c r="T95" i="29"/>
  <c r="U95" i="29"/>
  <c r="T96" i="29"/>
  <c r="U96" i="29"/>
  <c r="T97" i="29"/>
  <c r="U97" i="29"/>
  <c r="T98" i="29"/>
  <c r="U98" i="29"/>
  <c r="T99" i="29"/>
  <c r="U99" i="29"/>
  <c r="T100" i="29"/>
  <c r="U100" i="29"/>
  <c r="T101" i="29"/>
  <c r="U101" i="29"/>
  <c r="T102" i="29"/>
  <c r="U102" i="29"/>
  <c r="T103" i="29"/>
  <c r="U103" i="29"/>
  <c r="S103" i="29"/>
  <c r="S102" i="29"/>
  <c r="S101" i="29"/>
  <c r="S100" i="29"/>
  <c r="S99" i="29"/>
  <c r="S98" i="29"/>
  <c r="S97" i="29"/>
  <c r="S96" i="29"/>
  <c r="S95" i="29"/>
  <c r="S94" i="29"/>
  <c r="S93" i="29"/>
  <c r="S92" i="29"/>
  <c r="S91" i="29"/>
  <c r="S90" i="29"/>
  <c r="S89" i="29"/>
  <c r="S88" i="29"/>
  <c r="W88" i="29" s="1"/>
  <c r="S87" i="29"/>
  <c r="S86" i="29"/>
  <c r="S85" i="29"/>
  <c r="S84" i="29"/>
  <c r="S83" i="29"/>
  <c r="R54" i="29"/>
  <c r="M54" i="29"/>
  <c r="L54" i="29"/>
  <c r="K54" i="29"/>
  <c r="R41" i="29"/>
  <c r="M41" i="29"/>
  <c r="L41" i="29"/>
  <c r="K41" i="29"/>
  <c r="R40" i="29"/>
  <c r="M40" i="29"/>
  <c r="L40" i="29"/>
  <c r="K40" i="29"/>
  <c r="R35" i="29"/>
  <c r="M35" i="29"/>
  <c r="L35" i="29"/>
  <c r="K35" i="29"/>
  <c r="R26" i="29"/>
  <c r="M26" i="29"/>
  <c r="L26" i="29"/>
  <c r="K26" i="29"/>
  <c r="K7" i="29"/>
  <c r="B82" i="29" s="1"/>
  <c r="L7" i="29"/>
  <c r="C82" i="29" s="1"/>
  <c r="M7" i="29"/>
  <c r="D82" i="29" s="1"/>
  <c r="K8" i="29"/>
  <c r="L8" i="29"/>
  <c r="C83" i="29" s="1"/>
  <c r="M8" i="29"/>
  <c r="K9" i="29"/>
  <c r="L9" i="29"/>
  <c r="M9" i="29"/>
  <c r="K10" i="29"/>
  <c r="L10" i="29"/>
  <c r="M10" i="29"/>
  <c r="K11" i="29"/>
  <c r="L11" i="29"/>
  <c r="M11" i="29"/>
  <c r="K12" i="29"/>
  <c r="L12" i="29"/>
  <c r="M12" i="29"/>
  <c r="K13" i="29"/>
  <c r="L13" i="29"/>
  <c r="M13" i="29"/>
  <c r="K14" i="29"/>
  <c r="L14" i="29"/>
  <c r="M14" i="29"/>
  <c r="K15" i="29"/>
  <c r="L15" i="29"/>
  <c r="M15" i="29"/>
  <c r="K16" i="29"/>
  <c r="L16" i="29"/>
  <c r="M16" i="29"/>
  <c r="K17" i="29"/>
  <c r="L17" i="29"/>
  <c r="M17" i="29"/>
  <c r="K18" i="29"/>
  <c r="L18" i="29"/>
  <c r="M18" i="29"/>
  <c r="N18" i="29" s="1"/>
  <c r="K19" i="29"/>
  <c r="L19" i="29"/>
  <c r="M19" i="29"/>
  <c r="K20" i="29"/>
  <c r="L20" i="29"/>
  <c r="M20" i="29"/>
  <c r="K21" i="29"/>
  <c r="L21" i="29"/>
  <c r="M21" i="29"/>
  <c r="K22" i="29"/>
  <c r="L22" i="29"/>
  <c r="M22" i="29"/>
  <c r="K23" i="29"/>
  <c r="L23" i="29"/>
  <c r="M23" i="29"/>
  <c r="K24" i="29"/>
  <c r="L24" i="29"/>
  <c r="M24" i="29"/>
  <c r="K25" i="29"/>
  <c r="B91" i="29" s="1"/>
  <c r="L25" i="29"/>
  <c r="M25" i="29"/>
  <c r="K27" i="29"/>
  <c r="L27" i="29"/>
  <c r="M27" i="29"/>
  <c r="K28" i="29"/>
  <c r="L28" i="29"/>
  <c r="M28" i="29"/>
  <c r="D92" i="29" s="1"/>
  <c r="K29" i="29"/>
  <c r="L29" i="29"/>
  <c r="M29" i="29"/>
  <c r="K30" i="29"/>
  <c r="L30" i="29"/>
  <c r="M30" i="29"/>
  <c r="K31" i="29"/>
  <c r="L31" i="29"/>
  <c r="M31" i="29"/>
  <c r="K32" i="29"/>
  <c r="L32" i="29"/>
  <c r="M32" i="29"/>
  <c r="K33" i="29"/>
  <c r="L33" i="29"/>
  <c r="M33" i="29"/>
  <c r="K34" i="29"/>
  <c r="L34" i="29"/>
  <c r="M34" i="29"/>
  <c r="K36" i="29"/>
  <c r="L36" i="29"/>
  <c r="M36" i="29"/>
  <c r="D95" i="29" s="1"/>
  <c r="K37" i="29"/>
  <c r="L37" i="29"/>
  <c r="M37" i="29"/>
  <c r="R23" i="29"/>
  <c r="E12" i="35"/>
  <c r="M25" i="36"/>
  <c r="L20" i="36"/>
  <c r="L21" i="36"/>
  <c r="L22" i="36"/>
  <c r="L23" i="36"/>
  <c r="L24" i="36"/>
  <c r="L25" i="36"/>
  <c r="L26" i="36"/>
  <c r="L27" i="36"/>
  <c r="L28" i="36"/>
  <c r="L29" i="36"/>
  <c r="L30" i="36"/>
  <c r="L31" i="36"/>
  <c r="L32" i="36"/>
  <c r="L33" i="36"/>
  <c r="L34" i="36"/>
  <c r="L35" i="36"/>
  <c r="L36" i="36"/>
  <c r="K19" i="36"/>
  <c r="K20" i="36"/>
  <c r="K21" i="36"/>
  <c r="K22" i="36"/>
  <c r="K23" i="36"/>
  <c r="K24" i="36"/>
  <c r="K25" i="36"/>
  <c r="K26" i="36"/>
  <c r="K27" i="36"/>
  <c r="K28" i="36"/>
  <c r="K29" i="36"/>
  <c r="K30" i="36"/>
  <c r="K31" i="36"/>
  <c r="K32" i="36"/>
  <c r="K33" i="36"/>
  <c r="K34" i="36"/>
  <c r="K35" i="36"/>
  <c r="K36" i="36"/>
  <c r="M20" i="36"/>
  <c r="T86" i="37"/>
  <c r="W86" i="37" s="1"/>
  <c r="U86" i="37"/>
  <c r="S86" i="37"/>
  <c r="K10" i="37"/>
  <c r="K9" i="37"/>
  <c r="R9" i="37"/>
  <c r="T83" i="38"/>
  <c r="U83" i="38"/>
  <c r="R49" i="35"/>
  <c r="R50" i="35"/>
  <c r="R51" i="35"/>
  <c r="R52" i="35"/>
  <c r="R51" i="33"/>
  <c r="M51" i="33"/>
  <c r="L51" i="33"/>
  <c r="K51" i="33"/>
  <c r="R50" i="33"/>
  <c r="M50" i="33"/>
  <c r="L50" i="33"/>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M43" i="33"/>
  <c r="L43" i="33"/>
  <c r="K43" i="33"/>
  <c r="R42" i="33"/>
  <c r="M42" i="33"/>
  <c r="L42" i="33"/>
  <c r="K42" i="33"/>
  <c r="R41" i="33"/>
  <c r="M41" i="33"/>
  <c r="L41" i="33"/>
  <c r="K41" i="33"/>
  <c r="R40" i="33"/>
  <c r="M40" i="33"/>
  <c r="L40" i="33"/>
  <c r="K40" i="33"/>
  <c r="R39" i="33"/>
  <c r="M39" i="33"/>
  <c r="L39" i="33"/>
  <c r="K39" i="33"/>
  <c r="R38" i="33"/>
  <c r="M38" i="33"/>
  <c r="L38" i="33"/>
  <c r="K38" i="33"/>
  <c r="R37" i="33"/>
  <c r="M37" i="33"/>
  <c r="L37" i="33"/>
  <c r="K37" i="33"/>
  <c r="R36" i="33"/>
  <c r="M36" i="33"/>
  <c r="L36" i="33"/>
  <c r="K36" i="33"/>
  <c r="R35" i="33"/>
  <c r="M35" i="33"/>
  <c r="L35" i="33"/>
  <c r="K35" i="33"/>
  <c r="R34" i="33"/>
  <c r="M34" i="33"/>
  <c r="L34" i="33"/>
  <c r="K34" i="33"/>
  <c r="R33" i="33"/>
  <c r="M33" i="33"/>
  <c r="L33" i="33"/>
  <c r="K33" i="33"/>
  <c r="R32" i="33"/>
  <c r="M32" i="33"/>
  <c r="L32" i="33"/>
  <c r="K32" i="33"/>
  <c r="R31" i="33"/>
  <c r="M31" i="33"/>
  <c r="L31" i="33"/>
  <c r="K31" i="33"/>
  <c r="R30" i="33"/>
  <c r="M30" i="33"/>
  <c r="L30" i="33"/>
  <c r="K30" i="33"/>
  <c r="R29" i="33"/>
  <c r="M29" i="33"/>
  <c r="D90" i="33" s="1"/>
  <c r="L29" i="33"/>
  <c r="K29" i="33"/>
  <c r="R28" i="33"/>
  <c r="M28" i="33"/>
  <c r="L28" i="33"/>
  <c r="K28" i="33"/>
  <c r="R27" i="33"/>
  <c r="R26" i="33"/>
  <c r="R25" i="33"/>
  <c r="R24" i="33"/>
  <c r="R23" i="33"/>
  <c r="R18" i="33"/>
  <c r="R17" i="33"/>
  <c r="R15" i="33"/>
  <c r="M15" i="33"/>
  <c r="L15" i="33"/>
  <c r="K15" i="33"/>
  <c r="R14" i="33"/>
  <c r="M14" i="33"/>
  <c r="L14" i="33"/>
  <c r="K14" i="33"/>
  <c r="R13" i="33"/>
  <c r="M13" i="33"/>
  <c r="L13" i="33"/>
  <c r="K13" i="33"/>
  <c r="R12" i="33"/>
  <c r="M12" i="33"/>
  <c r="L12" i="33"/>
  <c r="K12" i="33"/>
  <c r="R11" i="33"/>
  <c r="M11" i="33"/>
  <c r="L11" i="33"/>
  <c r="K11" i="33"/>
  <c r="R10" i="33"/>
  <c r="M10" i="33"/>
  <c r="L10" i="33"/>
  <c r="K10" i="33"/>
  <c r="R9" i="33"/>
  <c r="M9" i="33"/>
  <c r="L9" i="33"/>
  <c r="K9" i="33"/>
  <c r="R8" i="33"/>
  <c r="M8" i="33"/>
  <c r="L8" i="33"/>
  <c r="K8" i="33"/>
  <c r="R7" i="33"/>
  <c r="H80" i="33" s="1"/>
  <c r="M7" i="33"/>
  <c r="D80" i="33" s="1"/>
  <c r="L7" i="33"/>
  <c r="C80" i="33" s="1"/>
  <c r="K7" i="33"/>
  <c r="B80" i="33" s="1"/>
  <c r="T125" i="6"/>
  <c r="U125" i="6"/>
  <c r="T129" i="6"/>
  <c r="U129" i="6"/>
  <c r="T133" i="6"/>
  <c r="U133" i="6"/>
  <c r="T137" i="6"/>
  <c r="U137" i="6"/>
  <c r="T141" i="6"/>
  <c r="U141" i="6"/>
  <c r="T142" i="6"/>
  <c r="U142" i="6"/>
  <c r="T144" i="6"/>
  <c r="U144" i="6"/>
  <c r="T145" i="6"/>
  <c r="S145" i="6"/>
  <c r="S144" i="6"/>
  <c r="S142" i="6"/>
  <c r="S141" i="6"/>
  <c r="W138" i="6"/>
  <c r="S137" i="6"/>
  <c r="S133" i="6"/>
  <c r="S129" i="6"/>
  <c r="S125"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80" i="34"/>
  <c r="U80" i="34"/>
  <c r="T81" i="34"/>
  <c r="U81" i="34"/>
  <c r="T83" i="34"/>
  <c r="U83" i="34"/>
  <c r="T84" i="34"/>
  <c r="U84" i="34"/>
  <c r="T88" i="34"/>
  <c r="U88" i="34"/>
  <c r="T91" i="34"/>
  <c r="U91" i="34"/>
  <c r="T93" i="34"/>
  <c r="U93" i="34"/>
  <c r="T96" i="34"/>
  <c r="U96" i="34"/>
  <c r="S97" i="34"/>
  <c r="S96" i="34"/>
  <c r="S93" i="34"/>
  <c r="S91" i="34"/>
  <c r="S88" i="34"/>
  <c r="S84" i="34"/>
  <c r="S83" i="34"/>
  <c r="S81" i="34"/>
  <c r="S80" i="34"/>
  <c r="E53" i="34"/>
  <c r="T98" i="34" s="1"/>
  <c r="U97" i="34"/>
  <c r="E47" i="34"/>
  <c r="U95" i="34" s="1"/>
  <c r="E45" i="34"/>
  <c r="T94" i="34" s="1"/>
  <c r="E39" i="34"/>
  <c r="E34" i="34"/>
  <c r="U90" i="34" s="1"/>
  <c r="E31" i="34"/>
  <c r="S89" i="34" s="1"/>
  <c r="E27" i="34"/>
  <c r="U87" i="34" s="1"/>
  <c r="E25" i="34"/>
  <c r="T86" i="34" s="1"/>
  <c r="E16" i="34"/>
  <c r="E7" i="34"/>
  <c r="U78" i="34" s="1"/>
  <c r="E9" i="34"/>
  <c r="R16" i="34"/>
  <c r="R17" i="34"/>
  <c r="R18" i="34"/>
  <c r="R19" i="34"/>
  <c r="R20" i="34"/>
  <c r="R21" i="34"/>
  <c r="R22" i="34"/>
  <c r="R23" i="34"/>
  <c r="R24" i="34"/>
  <c r="R25" i="34"/>
  <c r="K16" i="34"/>
  <c r="L16" i="34"/>
  <c r="M16" i="34"/>
  <c r="T78" i="30"/>
  <c r="U78" i="30"/>
  <c r="T80" i="30"/>
  <c r="U80" i="30"/>
  <c r="U81" i="30"/>
  <c r="T86" i="30"/>
  <c r="U86" i="30"/>
  <c r="S86" i="30"/>
  <c r="S81" i="30"/>
  <c r="S80" i="30"/>
  <c r="S78" i="30"/>
  <c r="E34" i="30"/>
  <c r="S85" i="30" s="1"/>
  <c r="E32" i="30"/>
  <c r="S84" i="30" s="1"/>
  <c r="E28" i="30"/>
  <c r="U83" i="30" s="1"/>
  <c r="E26" i="30"/>
  <c r="U82" i="30" s="1"/>
  <c r="E19" i="30"/>
  <c r="S79" i="30" s="1"/>
  <c r="E15" i="30"/>
  <c r="T77" i="30" s="1"/>
  <c r="E12" i="30"/>
  <c r="S76" i="30" s="1"/>
  <c r="E10" i="30"/>
  <c r="T75" i="30" s="1"/>
  <c r="E7" i="30"/>
  <c r="T74" i="30" s="1"/>
  <c r="K8" i="35"/>
  <c r="L8" i="35" s="1"/>
  <c r="K10" i="35"/>
  <c r="L10" i="35" s="1"/>
  <c r="M10" i="35" s="1"/>
  <c r="K11" i="35"/>
  <c r="L11" i="35" s="1"/>
  <c r="M11" i="35" s="1"/>
  <c r="N11" i="35" s="1"/>
  <c r="K12" i="35"/>
  <c r="K7" i="35"/>
  <c r="B113" i="35" s="1"/>
  <c r="T116" i="35"/>
  <c r="U116" i="35"/>
  <c r="T124" i="35"/>
  <c r="U124" i="35"/>
  <c r="T130" i="35"/>
  <c r="U130" i="35"/>
  <c r="T132" i="35"/>
  <c r="U132" i="35"/>
  <c r="T134" i="35"/>
  <c r="U134" i="35"/>
  <c r="S134" i="35"/>
  <c r="S132" i="35"/>
  <c r="W132" i="35" s="1"/>
  <c r="S130" i="35"/>
  <c r="S124" i="35"/>
  <c r="S116" i="35"/>
  <c r="E10" i="35"/>
  <c r="E78" i="35"/>
  <c r="T133" i="35" s="1"/>
  <c r="E53" i="35"/>
  <c r="T127" i="35" s="1"/>
  <c r="E35" i="35"/>
  <c r="E25" i="35"/>
  <c r="S120" i="35" s="1"/>
  <c r="E16" i="35"/>
  <c r="T117" i="35" s="1"/>
  <c r="M50" i="35"/>
  <c r="M51" i="35"/>
  <c r="M52" i="35"/>
  <c r="M53" i="35"/>
  <c r="M54" i="35"/>
  <c r="M55" i="35"/>
  <c r="M56" i="35"/>
  <c r="M57" i="35"/>
  <c r="M58" i="35"/>
  <c r="M59" i="35"/>
  <c r="M61" i="35"/>
  <c r="M62" i="35"/>
  <c r="M63" i="35"/>
  <c r="M64" i="35"/>
  <c r="M65" i="35"/>
  <c r="M66" i="35"/>
  <c r="M67" i="35"/>
  <c r="M68" i="35"/>
  <c r="M69" i="35"/>
  <c r="M70" i="35"/>
  <c r="M71" i="35"/>
  <c r="M72" i="35"/>
  <c r="M73" i="35"/>
  <c r="M74" i="35"/>
  <c r="M75" i="35"/>
  <c r="M76" i="35"/>
  <c r="M77" i="35"/>
  <c r="M78" i="35"/>
  <c r="M79" i="35"/>
  <c r="M80" i="35"/>
  <c r="L48" i="35"/>
  <c r="L49" i="35"/>
  <c r="L50" i="35"/>
  <c r="L51" i="35"/>
  <c r="L52" i="35"/>
  <c r="L53" i="35"/>
  <c r="L54" i="35"/>
  <c r="L55" i="35"/>
  <c r="L56" i="35"/>
  <c r="L57" i="35"/>
  <c r="L58" i="35"/>
  <c r="L59" i="35"/>
  <c r="L61" i="35"/>
  <c r="L62" i="35"/>
  <c r="L63" i="35"/>
  <c r="L64" i="35"/>
  <c r="L65" i="35"/>
  <c r="L66" i="35"/>
  <c r="L67" i="35"/>
  <c r="L68" i="35"/>
  <c r="L69" i="35"/>
  <c r="L70" i="35"/>
  <c r="L71" i="35"/>
  <c r="L72" i="35"/>
  <c r="L73" i="35"/>
  <c r="L74" i="35"/>
  <c r="L75" i="35"/>
  <c r="L76" i="35"/>
  <c r="L77" i="35"/>
  <c r="L78" i="35"/>
  <c r="L79" i="35"/>
  <c r="L80" i="35"/>
  <c r="K47" i="35"/>
  <c r="K48" i="35"/>
  <c r="K49" i="35"/>
  <c r="K50" i="35"/>
  <c r="K51" i="35"/>
  <c r="K52" i="35"/>
  <c r="K53" i="35"/>
  <c r="K54" i="35"/>
  <c r="K55" i="35"/>
  <c r="K56" i="35"/>
  <c r="K57" i="35"/>
  <c r="K58" i="35"/>
  <c r="K59" i="35"/>
  <c r="K61" i="35"/>
  <c r="K62" i="35"/>
  <c r="K63" i="35"/>
  <c r="K64" i="35"/>
  <c r="K65" i="35"/>
  <c r="K66" i="35"/>
  <c r="K67" i="35"/>
  <c r="K68" i="35"/>
  <c r="K69" i="35"/>
  <c r="K70" i="35"/>
  <c r="K71" i="35"/>
  <c r="K72" i="35"/>
  <c r="K73" i="35"/>
  <c r="K74" i="35"/>
  <c r="K75" i="35"/>
  <c r="K76" i="35"/>
  <c r="K77" i="35"/>
  <c r="K78" i="35"/>
  <c r="K79" i="35"/>
  <c r="K80" i="35"/>
  <c r="R63" i="35"/>
  <c r="R64" i="35"/>
  <c r="R65" i="35"/>
  <c r="R66" i="35"/>
  <c r="R67" i="35"/>
  <c r="R68" i="35"/>
  <c r="R69" i="35"/>
  <c r="R70" i="35"/>
  <c r="R71" i="35"/>
  <c r="R72" i="35"/>
  <c r="R73" i="35"/>
  <c r="R74" i="35"/>
  <c r="R75" i="35"/>
  <c r="R76" i="35"/>
  <c r="R77" i="35"/>
  <c r="R78" i="35"/>
  <c r="R79" i="35"/>
  <c r="R80" i="35"/>
  <c r="R47" i="35"/>
  <c r="R48" i="35"/>
  <c r="R53" i="35"/>
  <c r="R54" i="35"/>
  <c r="R55" i="35"/>
  <c r="R56" i="35"/>
  <c r="R57" i="35"/>
  <c r="R58" i="35"/>
  <c r="R59" i="35"/>
  <c r="R61" i="35"/>
  <c r="R62" i="35"/>
  <c r="R12" i="35"/>
  <c r="R13" i="35"/>
  <c r="R14" i="35"/>
  <c r="R15" i="35"/>
  <c r="R16" i="35"/>
  <c r="R17" i="35"/>
  <c r="R18" i="35"/>
  <c r="R19" i="35"/>
  <c r="R21" i="35"/>
  <c r="R22" i="35"/>
  <c r="R23" i="35"/>
  <c r="R24" i="35"/>
  <c r="R25" i="35"/>
  <c r="R26" i="35"/>
  <c r="R27" i="35"/>
  <c r="R28" i="35"/>
  <c r="R29" i="35"/>
  <c r="R31" i="35"/>
  <c r="R32" i="35"/>
  <c r="R33" i="35"/>
  <c r="R34" i="35"/>
  <c r="R35" i="35"/>
  <c r="R36" i="35"/>
  <c r="R37" i="35"/>
  <c r="R38" i="35"/>
  <c r="R39" i="35"/>
  <c r="R40" i="35"/>
  <c r="R41" i="35"/>
  <c r="R43" i="35"/>
  <c r="R44" i="35"/>
  <c r="R45" i="35"/>
  <c r="R46" i="35"/>
  <c r="R10" i="35"/>
  <c r="N89" i="28"/>
  <c r="N88" i="28"/>
  <c r="U103" i="28"/>
  <c r="T103" i="28"/>
  <c r="S103" i="28"/>
  <c r="U99" i="28"/>
  <c r="T99" i="28"/>
  <c r="S99" i="28"/>
  <c r="U95" i="28"/>
  <c r="T95" i="28"/>
  <c r="S95" i="28"/>
  <c r="U91" i="28"/>
  <c r="T91" i="28"/>
  <c r="S91" i="28"/>
  <c r="U87" i="28"/>
  <c r="T87" i="28"/>
  <c r="S87" i="28"/>
  <c r="T86" i="28"/>
  <c r="U86" i="28"/>
  <c r="T88" i="28"/>
  <c r="U88" i="28"/>
  <c r="T89" i="28"/>
  <c r="U89" i="28"/>
  <c r="T90" i="28"/>
  <c r="U90" i="28"/>
  <c r="T92" i="28"/>
  <c r="U92" i="28"/>
  <c r="T93" i="28"/>
  <c r="U93" i="28"/>
  <c r="T94" i="28"/>
  <c r="U94" i="28"/>
  <c r="T96" i="28"/>
  <c r="U96" i="28"/>
  <c r="T98" i="28"/>
  <c r="U98" i="28"/>
  <c r="T101" i="28"/>
  <c r="U101" i="28"/>
  <c r="T102" i="28"/>
  <c r="U102" i="28"/>
  <c r="T105" i="28"/>
  <c r="U105" i="28"/>
  <c r="T106" i="28"/>
  <c r="U106" i="28"/>
  <c r="T107" i="28"/>
  <c r="U107" i="28"/>
  <c r="S107" i="28"/>
  <c r="S106" i="28"/>
  <c r="S105" i="28"/>
  <c r="S102" i="28"/>
  <c r="S101" i="28"/>
  <c r="S98" i="28"/>
  <c r="S96" i="28"/>
  <c r="S94" i="28"/>
  <c r="S93" i="28"/>
  <c r="S92" i="28"/>
  <c r="S90" i="28"/>
  <c r="S89" i="28"/>
  <c r="S88" i="28"/>
  <c r="S86" i="28"/>
  <c r="R7" i="28"/>
  <c r="M7" i="28"/>
  <c r="L7" i="28"/>
  <c r="K7" i="28"/>
  <c r="R22" i="28"/>
  <c r="M22" i="28"/>
  <c r="L22" i="28"/>
  <c r="K22" i="28"/>
  <c r="M49" i="35"/>
  <c r="M48" i="35"/>
  <c r="M46" i="35"/>
  <c r="L46" i="35"/>
  <c r="K46" i="35"/>
  <c r="M40" i="35"/>
  <c r="N40" i="35" s="1"/>
  <c r="M41" i="35"/>
  <c r="M43" i="35"/>
  <c r="M44" i="35"/>
  <c r="M45" i="35"/>
  <c r="M47" i="35"/>
  <c r="L40" i="35"/>
  <c r="L41" i="35"/>
  <c r="L43" i="35"/>
  <c r="L44" i="35"/>
  <c r="L45" i="35"/>
  <c r="L47" i="35"/>
  <c r="K38" i="35"/>
  <c r="K39" i="35"/>
  <c r="K40" i="35"/>
  <c r="K41" i="35"/>
  <c r="K43" i="35"/>
  <c r="K44" i="35"/>
  <c r="K45" i="35"/>
  <c r="K34" i="35"/>
  <c r="L34" i="35"/>
  <c r="M34" i="35"/>
  <c r="K33" i="35"/>
  <c r="L33" i="35"/>
  <c r="M33" i="35"/>
  <c r="K24" i="35"/>
  <c r="L24" i="35"/>
  <c r="M24" i="35"/>
  <c r="M25" i="35"/>
  <c r="M26" i="35"/>
  <c r="M27" i="35"/>
  <c r="M28" i="35"/>
  <c r="M29" i="35"/>
  <c r="M31" i="35"/>
  <c r="M32" i="35"/>
  <c r="M35" i="35"/>
  <c r="M36" i="35"/>
  <c r="M37" i="35"/>
  <c r="M38" i="35"/>
  <c r="M39" i="35"/>
  <c r="L22" i="35"/>
  <c r="L23" i="35"/>
  <c r="L25" i="35"/>
  <c r="L26" i="35"/>
  <c r="L27" i="35"/>
  <c r="L28" i="35"/>
  <c r="L29" i="35"/>
  <c r="L31" i="35"/>
  <c r="L32" i="35"/>
  <c r="L35" i="35"/>
  <c r="L36" i="35"/>
  <c r="L37" i="35"/>
  <c r="L38" i="35"/>
  <c r="L39" i="35"/>
  <c r="K22" i="35"/>
  <c r="K23" i="35"/>
  <c r="K25" i="35"/>
  <c r="K26" i="35"/>
  <c r="K27" i="35"/>
  <c r="K28" i="35"/>
  <c r="K29" i="35"/>
  <c r="K31" i="35"/>
  <c r="K32" i="35"/>
  <c r="K19" i="35"/>
  <c r="L19" i="35"/>
  <c r="M19" i="35"/>
  <c r="T108" i="36"/>
  <c r="U108" i="36"/>
  <c r="T112" i="36"/>
  <c r="U112" i="36"/>
  <c r="T116" i="36"/>
  <c r="U116" i="36"/>
  <c r="T117" i="36"/>
  <c r="U117" i="36"/>
  <c r="T118" i="36"/>
  <c r="U118" i="36"/>
  <c r="S118" i="36"/>
  <c r="S117" i="36"/>
  <c r="S116" i="36"/>
  <c r="S112" i="36"/>
  <c r="S108" i="36"/>
  <c r="E64" i="36"/>
  <c r="U127" i="36" s="1"/>
  <c r="E59" i="36"/>
  <c r="T126" i="36" s="1"/>
  <c r="E55" i="36"/>
  <c r="T125" i="36" s="1"/>
  <c r="E52" i="36"/>
  <c r="S124" i="36" s="1"/>
  <c r="E49" i="36"/>
  <c r="U123" i="36" s="1"/>
  <c r="E43" i="36"/>
  <c r="S121" i="36" s="1"/>
  <c r="E39" i="36"/>
  <c r="T120" i="36" s="1"/>
  <c r="E37" i="36"/>
  <c r="E29" i="36"/>
  <c r="T115" i="36" s="1"/>
  <c r="E27" i="36"/>
  <c r="T114" i="36" s="1"/>
  <c r="E25" i="36"/>
  <c r="U113" i="36" s="1"/>
  <c r="E20" i="36"/>
  <c r="T111" i="36" s="1"/>
  <c r="E17" i="36"/>
  <c r="T110" i="36" s="1"/>
  <c r="E15" i="36"/>
  <c r="U109" i="36" s="1"/>
  <c r="E11" i="36"/>
  <c r="T107" i="36" s="1"/>
  <c r="E9" i="36"/>
  <c r="U106" i="36" s="1"/>
  <c r="K64" i="36"/>
  <c r="R24" i="36"/>
  <c r="R25" i="36"/>
  <c r="R20" i="36"/>
  <c r="R21" i="36"/>
  <c r="R22" i="36"/>
  <c r="M14" i="37"/>
  <c r="M15" i="37"/>
  <c r="L14" i="37"/>
  <c r="L15" i="37"/>
  <c r="M18" i="37"/>
  <c r="L18" i="37"/>
  <c r="K18" i="37"/>
  <c r="K15" i="37"/>
  <c r="K14" i="37"/>
  <c r="T89" i="37"/>
  <c r="U89" i="37"/>
  <c r="T90" i="37"/>
  <c r="U90" i="37"/>
  <c r="T91" i="37"/>
  <c r="U91" i="37"/>
  <c r="T93" i="37"/>
  <c r="U93" i="37"/>
  <c r="T94" i="37"/>
  <c r="U94" i="37"/>
  <c r="T95" i="37"/>
  <c r="U95" i="37"/>
  <c r="T97" i="37"/>
  <c r="U97" i="37"/>
  <c r="T98" i="37"/>
  <c r="U98" i="37"/>
  <c r="T99" i="37"/>
  <c r="U99" i="37"/>
  <c r="T101" i="37"/>
  <c r="U101" i="37"/>
  <c r="T102" i="37"/>
  <c r="U102" i="37"/>
  <c r="S102" i="37"/>
  <c r="S101" i="37"/>
  <c r="S99" i="37"/>
  <c r="S98" i="37"/>
  <c r="S97" i="37"/>
  <c r="S95" i="37"/>
  <c r="S94" i="37"/>
  <c r="S93" i="37"/>
  <c r="S91" i="37"/>
  <c r="S90" i="37"/>
  <c r="S89" i="37"/>
  <c r="E58" i="37"/>
  <c r="T106" i="37" s="1"/>
  <c r="E56" i="37"/>
  <c r="T105" i="37" s="1"/>
  <c r="E54" i="37"/>
  <c r="T104" i="37" s="1"/>
  <c r="E52" i="37"/>
  <c r="U103" i="37" s="1"/>
  <c r="E36" i="37"/>
  <c r="E18" i="37"/>
  <c r="T88" i="37" s="1"/>
  <c r="E15" i="37"/>
  <c r="U87" i="37" s="1"/>
  <c r="R17" i="37"/>
  <c r="R18" i="37"/>
  <c r="R19" i="37"/>
  <c r="R15" i="37"/>
  <c r="R14" i="37"/>
  <c r="M22" i="38"/>
  <c r="L21" i="38"/>
  <c r="L22" i="38"/>
  <c r="K22" i="38"/>
  <c r="E22" i="38"/>
  <c r="T90" i="38" s="1"/>
  <c r="E41" i="38"/>
  <c r="S98" i="38" s="1"/>
  <c r="T85" i="38"/>
  <c r="U85" i="38"/>
  <c r="T88" i="38"/>
  <c r="U88" i="38"/>
  <c r="T89" i="38"/>
  <c r="U89" i="38"/>
  <c r="T91" i="38"/>
  <c r="U91" i="38"/>
  <c r="T93" i="38"/>
  <c r="U93" i="38"/>
  <c r="T97" i="38"/>
  <c r="U97" i="38"/>
  <c r="T99" i="38"/>
  <c r="U99" i="38"/>
  <c r="T100" i="38"/>
  <c r="U100" i="38"/>
  <c r="S100" i="38"/>
  <c r="S99" i="38"/>
  <c r="S97" i="38"/>
  <c r="S93" i="38"/>
  <c r="S91" i="38"/>
  <c r="S89" i="38"/>
  <c r="S88" i="38"/>
  <c r="S85" i="38"/>
  <c r="E51" i="38"/>
  <c r="U102" i="38" s="1"/>
  <c r="E49" i="38"/>
  <c r="U101" i="38" s="1"/>
  <c r="E37" i="38"/>
  <c r="U96" i="38" s="1"/>
  <c r="E32" i="38"/>
  <c r="T94" i="38" s="1"/>
  <c r="E34" i="38"/>
  <c r="S95" i="38" s="1"/>
  <c r="E15" i="38"/>
  <c r="T87" i="38" s="1"/>
  <c r="E13" i="38"/>
  <c r="S86" i="38" s="1"/>
  <c r="E9" i="38"/>
  <c r="S84" i="38" s="1"/>
  <c r="R8" i="38"/>
  <c r="R9" i="38"/>
  <c r="R10" i="38"/>
  <c r="R11" i="38"/>
  <c r="R12" i="38"/>
  <c r="R13" i="38"/>
  <c r="R14" i="38"/>
  <c r="R15" i="38"/>
  <c r="R16" i="38"/>
  <c r="R17" i="38"/>
  <c r="R18" i="38"/>
  <c r="R19" i="38"/>
  <c r="R20" i="38"/>
  <c r="R21" i="38"/>
  <c r="R22" i="38"/>
  <c r="R23" i="38"/>
  <c r="R24" i="38"/>
  <c r="R26" i="38"/>
  <c r="R27" i="38"/>
  <c r="R28" i="38"/>
  <c r="R29" i="38"/>
  <c r="R30" i="38"/>
  <c r="R31" i="38"/>
  <c r="R32" i="38"/>
  <c r="R33" i="38"/>
  <c r="R34" i="38"/>
  <c r="R35" i="38"/>
  <c r="R36" i="38"/>
  <c r="R37" i="38"/>
  <c r="R38" i="38"/>
  <c r="R39" i="38"/>
  <c r="R40" i="38"/>
  <c r="R41" i="38"/>
  <c r="R42" i="38"/>
  <c r="R43" i="38"/>
  <c r="R44" i="38"/>
  <c r="R45" i="38"/>
  <c r="R46" i="38"/>
  <c r="R47" i="38"/>
  <c r="R48" i="38"/>
  <c r="R49" i="38"/>
  <c r="R50" i="38"/>
  <c r="R51" i="38"/>
  <c r="R7" i="38"/>
  <c r="K32" i="38"/>
  <c r="L32" i="38"/>
  <c r="M32" i="38"/>
  <c r="T206" i="9"/>
  <c r="U206" i="9"/>
  <c r="S206" i="9"/>
  <c r="T198" i="22"/>
  <c r="U198" i="22"/>
  <c r="S198" i="22"/>
  <c r="T189" i="22"/>
  <c r="U189" i="22"/>
  <c r="S189" i="22"/>
  <c r="T166" i="22"/>
  <c r="U166" i="22"/>
  <c r="S166" i="22"/>
  <c r="T160" i="22"/>
  <c r="U160" i="22"/>
  <c r="S160" i="22"/>
  <c r="T158" i="22"/>
  <c r="U158" i="22"/>
  <c r="S158" i="22"/>
  <c r="R111" i="22"/>
  <c r="M111" i="22"/>
  <c r="L111" i="22"/>
  <c r="K111" i="22"/>
  <c r="R30" i="22"/>
  <c r="M30" i="22"/>
  <c r="L30" i="22"/>
  <c r="K30" i="22"/>
  <c r="R24" i="22"/>
  <c r="M24" i="22"/>
  <c r="L24" i="22"/>
  <c r="K24" i="22"/>
  <c r="R8" i="22"/>
  <c r="R10" i="22"/>
  <c r="R11" i="22"/>
  <c r="R12" i="22"/>
  <c r="R13" i="22"/>
  <c r="R14" i="22"/>
  <c r="R15" i="22"/>
  <c r="R16" i="22"/>
  <c r="R17" i="22"/>
  <c r="R18" i="22"/>
  <c r="R19" i="22"/>
  <c r="R20" i="22"/>
  <c r="R21" i="22"/>
  <c r="R22" i="22"/>
  <c r="R23" i="22"/>
  <c r="R25" i="22"/>
  <c r="R26" i="22"/>
  <c r="R27" i="22"/>
  <c r="R28" i="22"/>
  <c r="R29" i="22"/>
  <c r="R31" i="22"/>
  <c r="R32" i="22"/>
  <c r="R33" i="22"/>
  <c r="R34" i="22"/>
  <c r="R35" i="22"/>
  <c r="R36" i="22"/>
  <c r="R37" i="22"/>
  <c r="R38" i="22"/>
  <c r="R39" i="22"/>
  <c r="R40" i="22"/>
  <c r="R41" i="22"/>
  <c r="R42" i="22"/>
  <c r="R43" i="22"/>
  <c r="R44" i="22"/>
  <c r="R45" i="22"/>
  <c r="R46" i="22"/>
  <c r="R47" i="22"/>
  <c r="R48" i="22"/>
  <c r="R49" i="22"/>
  <c r="R50" i="22"/>
  <c r="R51" i="22"/>
  <c r="R52" i="22"/>
  <c r="R53" i="22"/>
  <c r="R54" i="22"/>
  <c r="R55" i="22"/>
  <c r="R56" i="22"/>
  <c r="R57" i="22"/>
  <c r="R58" i="22"/>
  <c r="R59" i="22"/>
  <c r="R60" i="22"/>
  <c r="R61" i="22"/>
  <c r="R62" i="22"/>
  <c r="R63" i="22"/>
  <c r="R64" i="22"/>
  <c r="R65" i="22"/>
  <c r="R66" i="22"/>
  <c r="R67" i="22"/>
  <c r="R68" i="22"/>
  <c r="R69" i="22"/>
  <c r="R70" i="22"/>
  <c r="R71" i="22"/>
  <c r="R72" i="22"/>
  <c r="R73" i="22"/>
  <c r="R74" i="22"/>
  <c r="R75" i="22"/>
  <c r="R76" i="22"/>
  <c r="R77" i="22"/>
  <c r="R78" i="22"/>
  <c r="R79" i="22"/>
  <c r="R80" i="22"/>
  <c r="R81" i="22"/>
  <c r="R82" i="22"/>
  <c r="R83" i="22"/>
  <c r="R84" i="22"/>
  <c r="R85" i="22"/>
  <c r="R86" i="22"/>
  <c r="R87" i="22"/>
  <c r="R88" i="22"/>
  <c r="R89" i="22"/>
  <c r="R90" i="22"/>
  <c r="R91" i="22"/>
  <c r="R92" i="22"/>
  <c r="R93" i="22"/>
  <c r="R94" i="22"/>
  <c r="R95" i="22"/>
  <c r="R96" i="22"/>
  <c r="R97" i="22"/>
  <c r="R98" i="22"/>
  <c r="R99" i="22"/>
  <c r="R100" i="22"/>
  <c r="R101" i="22"/>
  <c r="R102" i="22"/>
  <c r="R103" i="22"/>
  <c r="R104" i="22"/>
  <c r="R105" i="22"/>
  <c r="R106" i="22"/>
  <c r="R107" i="22"/>
  <c r="R108" i="22"/>
  <c r="R109" i="22"/>
  <c r="R110" i="22"/>
  <c r="R112" i="22"/>
  <c r="R113" i="22"/>
  <c r="R114" i="22"/>
  <c r="R115" i="22"/>
  <c r="R116" i="22"/>
  <c r="R117" i="22"/>
  <c r="R118" i="22"/>
  <c r="R119" i="22"/>
  <c r="R120" i="22"/>
  <c r="R121" i="22"/>
  <c r="R122" i="22"/>
  <c r="R123" i="22"/>
  <c r="R124" i="22"/>
  <c r="R9" i="22"/>
  <c r="M44" i="22"/>
  <c r="L44" i="22"/>
  <c r="K44" i="22"/>
  <c r="K101" i="5"/>
  <c r="L101" i="5"/>
  <c r="M101" i="5"/>
  <c r="K102" i="5"/>
  <c r="L102" i="5"/>
  <c r="M102" i="5"/>
  <c r="T194" i="9"/>
  <c r="U194" i="9"/>
  <c r="S194" i="9"/>
  <c r="M95" i="9"/>
  <c r="L95" i="9"/>
  <c r="K95" i="9"/>
  <c r="E122" i="10"/>
  <c r="S211" i="10" s="1"/>
  <c r="R58" i="10"/>
  <c r="R78" i="11"/>
  <c r="R97" i="19"/>
  <c r="K97" i="19"/>
  <c r="L97" i="19"/>
  <c r="M97" i="19"/>
  <c r="E97" i="19"/>
  <c r="T163" i="10"/>
  <c r="U163" i="10"/>
  <c r="T167" i="10"/>
  <c r="U167" i="10"/>
  <c r="T169" i="10"/>
  <c r="U169" i="10"/>
  <c r="T173" i="10"/>
  <c r="U173" i="10"/>
  <c r="T175" i="10"/>
  <c r="U175" i="10"/>
  <c r="T177" i="10"/>
  <c r="U177" i="10"/>
  <c r="T179" i="10"/>
  <c r="U179" i="10"/>
  <c r="T186" i="10"/>
  <c r="U186" i="10"/>
  <c r="T187" i="10"/>
  <c r="U187" i="10"/>
  <c r="S187" i="10"/>
  <c r="S186" i="10"/>
  <c r="S179" i="10"/>
  <c r="S177" i="10"/>
  <c r="S175" i="10"/>
  <c r="S173" i="10"/>
  <c r="S169" i="10"/>
  <c r="S167" i="10"/>
  <c r="S163" i="10"/>
  <c r="R29" i="13"/>
  <c r="M29" i="13"/>
  <c r="L29" i="13"/>
  <c r="K29" i="13"/>
  <c r="T156" i="13"/>
  <c r="U156" i="13"/>
  <c r="T157" i="13"/>
  <c r="U157" i="13"/>
  <c r="T158" i="13"/>
  <c r="U158" i="13"/>
  <c r="T159" i="13"/>
  <c r="U159" i="13"/>
  <c r="T160" i="13"/>
  <c r="U160" i="13"/>
  <c r="T161" i="13"/>
  <c r="U161" i="13"/>
  <c r="T162" i="13"/>
  <c r="U162" i="13"/>
  <c r="S162" i="13"/>
  <c r="S161" i="13"/>
  <c r="S160" i="13"/>
  <c r="S159" i="13"/>
  <c r="S158" i="13"/>
  <c r="S157" i="13"/>
  <c r="R28" i="13"/>
  <c r="K28" i="13"/>
  <c r="L28" i="13"/>
  <c r="M28" i="13"/>
  <c r="R11" i="13"/>
  <c r="R12" i="13"/>
  <c r="R13" i="13"/>
  <c r="R14" i="13"/>
  <c r="R15" i="13"/>
  <c r="R16" i="13"/>
  <c r="R17" i="13"/>
  <c r="R18" i="13"/>
  <c r="R19" i="13"/>
  <c r="R20" i="13"/>
  <c r="R21" i="13"/>
  <c r="L160" i="13" s="1"/>
  <c r="R22" i="13"/>
  <c r="R23" i="13"/>
  <c r="R24" i="13"/>
  <c r="R25" i="13"/>
  <c r="R26" i="13"/>
  <c r="R27" i="13"/>
  <c r="R9" i="13"/>
  <c r="R10" i="13"/>
  <c r="R8" i="13"/>
  <c r="K11" i="13"/>
  <c r="L11" i="13"/>
  <c r="M11" i="13"/>
  <c r="K12" i="13"/>
  <c r="L12" i="13"/>
  <c r="M12" i="13"/>
  <c r="K13" i="13"/>
  <c r="L13" i="13"/>
  <c r="M13" i="13"/>
  <c r="K14" i="13"/>
  <c r="L14" i="13"/>
  <c r="M14" i="13"/>
  <c r="K15" i="13"/>
  <c r="L15" i="13"/>
  <c r="M15" i="13"/>
  <c r="K16" i="13"/>
  <c r="L16" i="13"/>
  <c r="M16" i="13"/>
  <c r="K17" i="13"/>
  <c r="L17" i="13"/>
  <c r="M17" i="13"/>
  <c r="K18" i="13"/>
  <c r="L18" i="13"/>
  <c r="M18" i="13"/>
  <c r="K19" i="13"/>
  <c r="L19" i="13"/>
  <c r="M19" i="13"/>
  <c r="K20" i="13"/>
  <c r="L20" i="13"/>
  <c r="M20" i="13"/>
  <c r="K21" i="13"/>
  <c r="L21" i="13"/>
  <c r="M21" i="13"/>
  <c r="K22" i="13"/>
  <c r="L22" i="13"/>
  <c r="M22" i="13"/>
  <c r="K23" i="13"/>
  <c r="L23" i="13"/>
  <c r="M23" i="13"/>
  <c r="K24" i="13"/>
  <c r="L24" i="13"/>
  <c r="M24" i="13"/>
  <c r="K25" i="13"/>
  <c r="L25" i="13"/>
  <c r="M25" i="13"/>
  <c r="K26" i="13"/>
  <c r="L26" i="13"/>
  <c r="M26" i="13"/>
  <c r="K27" i="13"/>
  <c r="L27" i="13"/>
  <c r="M27" i="13"/>
  <c r="K10" i="13"/>
  <c r="L10" i="13"/>
  <c r="M10" i="13"/>
  <c r="M9" i="13"/>
  <c r="L9" i="13"/>
  <c r="K9" i="13"/>
  <c r="M8" i="13"/>
  <c r="L8" i="13"/>
  <c r="K8" i="13"/>
  <c r="S171" i="13"/>
  <c r="R44" i="13"/>
  <c r="R114" i="10"/>
  <c r="R112" i="10"/>
  <c r="K114" i="10"/>
  <c r="L114" i="10"/>
  <c r="M114" i="10"/>
  <c r="K112" i="10"/>
  <c r="L112" i="10"/>
  <c r="M112" i="10"/>
  <c r="E115" i="10"/>
  <c r="U208" i="10" s="1"/>
  <c r="E99" i="18"/>
  <c r="S188" i="18" s="1"/>
  <c r="E83" i="18"/>
  <c r="K44" i="13"/>
  <c r="L44" i="13"/>
  <c r="M44" i="13"/>
  <c r="K45" i="13"/>
  <c r="L45" i="13"/>
  <c r="M45" i="13"/>
  <c r="K46" i="13"/>
  <c r="L46" i="13"/>
  <c r="M46" i="13"/>
  <c r="K47" i="13"/>
  <c r="L47" i="13"/>
  <c r="M47" i="13"/>
  <c r="K48" i="13"/>
  <c r="L48" i="13"/>
  <c r="M48" i="13"/>
  <c r="K49" i="13"/>
  <c r="L49" i="13"/>
  <c r="M49" i="13"/>
  <c r="K50" i="13"/>
  <c r="L50" i="13"/>
  <c r="M50" i="13"/>
  <c r="K51" i="13"/>
  <c r="L51" i="13"/>
  <c r="M51" i="13"/>
  <c r="K52" i="13"/>
  <c r="L52" i="13"/>
  <c r="M52" i="13"/>
  <c r="K53" i="13"/>
  <c r="L53" i="13"/>
  <c r="M53" i="13"/>
  <c r="K54" i="13"/>
  <c r="L54" i="13"/>
  <c r="M54" i="13"/>
  <c r="K55" i="13"/>
  <c r="L55" i="13"/>
  <c r="M55" i="13"/>
  <c r="K56" i="13"/>
  <c r="L56" i="13"/>
  <c r="M56" i="13"/>
  <c r="K57" i="13"/>
  <c r="L57" i="13"/>
  <c r="M57" i="13"/>
  <c r="K58" i="13"/>
  <c r="L58" i="13"/>
  <c r="M58" i="13"/>
  <c r="K59" i="13"/>
  <c r="L59" i="13"/>
  <c r="M59" i="13"/>
  <c r="K60" i="13"/>
  <c r="L60" i="13"/>
  <c r="M60" i="13"/>
  <c r="K61" i="13"/>
  <c r="L61" i="13"/>
  <c r="M61" i="13"/>
  <c r="K62" i="13"/>
  <c r="L62" i="13"/>
  <c r="M62" i="13"/>
  <c r="M124" i="13"/>
  <c r="M125" i="13"/>
  <c r="K124" i="13"/>
  <c r="L124" i="13"/>
  <c r="K125" i="13"/>
  <c r="L125" i="13"/>
  <c r="T171" i="13"/>
  <c r="U171" i="13"/>
  <c r="T172" i="13"/>
  <c r="U172" i="13"/>
  <c r="T173" i="13"/>
  <c r="U173" i="13"/>
  <c r="T174" i="13"/>
  <c r="U174" i="13"/>
  <c r="T175" i="13"/>
  <c r="U175" i="13"/>
  <c r="T176" i="13"/>
  <c r="U176" i="13"/>
  <c r="T177" i="13"/>
  <c r="U177" i="13"/>
  <c r="T178" i="13"/>
  <c r="U178" i="13"/>
  <c r="T179" i="13"/>
  <c r="U179" i="13"/>
  <c r="T180" i="13"/>
  <c r="U180" i="13"/>
  <c r="T181" i="13"/>
  <c r="U181" i="13"/>
  <c r="T182" i="13"/>
  <c r="U182" i="13"/>
  <c r="T183" i="13"/>
  <c r="U183" i="13"/>
  <c r="T184" i="13"/>
  <c r="U184" i="13"/>
  <c r="T185" i="13"/>
  <c r="U185" i="13"/>
  <c r="T186" i="13"/>
  <c r="U186" i="13"/>
  <c r="T188" i="13"/>
  <c r="U188" i="13"/>
  <c r="T192" i="13"/>
  <c r="U192" i="13"/>
  <c r="T196" i="13"/>
  <c r="U196" i="13"/>
  <c r="T200" i="13"/>
  <c r="U200" i="13"/>
  <c r="T201" i="13"/>
  <c r="U201" i="13"/>
  <c r="T202" i="13"/>
  <c r="U202" i="13"/>
  <c r="T204" i="13"/>
  <c r="U204" i="13"/>
  <c r="T205" i="13"/>
  <c r="U205" i="13"/>
  <c r="T207" i="13"/>
  <c r="U207" i="13"/>
  <c r="T208" i="13"/>
  <c r="U208" i="13"/>
  <c r="S207" i="13"/>
  <c r="S205" i="13"/>
  <c r="S204" i="13"/>
  <c r="S202" i="13"/>
  <c r="S201" i="13"/>
  <c r="S200" i="13"/>
  <c r="S196" i="13"/>
  <c r="S192" i="13"/>
  <c r="S188" i="13"/>
  <c r="S186" i="13"/>
  <c r="S185" i="13"/>
  <c r="S184" i="13"/>
  <c r="S183" i="13"/>
  <c r="S182" i="13"/>
  <c r="S181" i="13"/>
  <c r="S180" i="13"/>
  <c r="S179" i="13"/>
  <c r="S178" i="13"/>
  <c r="S177" i="13"/>
  <c r="S176" i="13"/>
  <c r="S175" i="13"/>
  <c r="S174" i="13"/>
  <c r="S173" i="13"/>
  <c r="S172" i="13"/>
  <c r="T142" i="14"/>
  <c r="U142" i="14"/>
  <c r="T143" i="14"/>
  <c r="U143" i="14"/>
  <c r="T144" i="14"/>
  <c r="U144" i="14"/>
  <c r="T145" i="14"/>
  <c r="U145" i="14"/>
  <c r="T146" i="14"/>
  <c r="U146" i="14"/>
  <c r="T147" i="14"/>
  <c r="U147" i="14"/>
  <c r="T148" i="14"/>
  <c r="U148" i="14"/>
  <c r="T149" i="14"/>
  <c r="U149" i="14"/>
  <c r="T150" i="14"/>
  <c r="U150" i="14"/>
  <c r="T151" i="14"/>
  <c r="U151" i="14"/>
  <c r="T152" i="14"/>
  <c r="U152" i="14"/>
  <c r="T153" i="14"/>
  <c r="U153" i="14"/>
  <c r="T154" i="14"/>
  <c r="U154" i="14"/>
  <c r="T155" i="14"/>
  <c r="U155" i="14"/>
  <c r="T156" i="14"/>
  <c r="U156" i="14"/>
  <c r="T157" i="14"/>
  <c r="U157" i="14"/>
  <c r="T158" i="14"/>
  <c r="U158" i="14"/>
  <c r="T159" i="14"/>
  <c r="U159" i="14"/>
  <c r="T160" i="14"/>
  <c r="U160" i="14"/>
  <c r="T161" i="14"/>
  <c r="U161" i="14"/>
  <c r="T162" i="14"/>
  <c r="U162" i="14"/>
  <c r="T163" i="14"/>
  <c r="U163" i="14"/>
  <c r="T164" i="14"/>
  <c r="U164" i="14"/>
  <c r="T165" i="14"/>
  <c r="U165" i="14"/>
  <c r="T166" i="14"/>
  <c r="U166" i="14"/>
  <c r="T167" i="14"/>
  <c r="U167" i="14"/>
  <c r="T168" i="14"/>
  <c r="U168" i="14"/>
  <c r="T169" i="14"/>
  <c r="U169" i="14"/>
  <c r="T170" i="14"/>
  <c r="U170" i="14"/>
  <c r="T174" i="14"/>
  <c r="U174" i="14"/>
  <c r="T178" i="14"/>
  <c r="U178" i="14"/>
  <c r="T182" i="14"/>
  <c r="U182" i="14"/>
  <c r="T186" i="14"/>
  <c r="U186" i="14"/>
  <c r="T187" i="14"/>
  <c r="U187" i="14"/>
  <c r="T188" i="14"/>
  <c r="U188" i="14"/>
  <c r="T189" i="14"/>
  <c r="U189" i="14"/>
  <c r="T190" i="14"/>
  <c r="U190" i="14"/>
  <c r="T191" i="14"/>
  <c r="U191" i="14"/>
  <c r="T192" i="14"/>
  <c r="U192" i="14"/>
  <c r="T193" i="14"/>
  <c r="U193" i="14"/>
  <c r="T194" i="14"/>
  <c r="U194" i="14"/>
  <c r="S194" i="14"/>
  <c r="S193" i="14"/>
  <c r="S192" i="14"/>
  <c r="S191" i="14"/>
  <c r="S190" i="14"/>
  <c r="S189" i="14"/>
  <c r="S188" i="14"/>
  <c r="S187" i="14"/>
  <c r="S186" i="14"/>
  <c r="S182" i="14"/>
  <c r="S178" i="14"/>
  <c r="S174" i="14"/>
  <c r="S170" i="14"/>
  <c r="S169" i="14"/>
  <c r="S168" i="14"/>
  <c r="S167" i="14"/>
  <c r="S166" i="14"/>
  <c r="S165" i="14"/>
  <c r="S164" i="14"/>
  <c r="S163" i="14"/>
  <c r="S162" i="14"/>
  <c r="S161" i="14"/>
  <c r="S160" i="14"/>
  <c r="S159" i="14"/>
  <c r="S158" i="14"/>
  <c r="S157" i="14"/>
  <c r="S156" i="14"/>
  <c r="S155" i="14"/>
  <c r="S154" i="14"/>
  <c r="S153" i="14"/>
  <c r="S152" i="14"/>
  <c r="S151" i="14"/>
  <c r="S150" i="14"/>
  <c r="S149" i="14"/>
  <c r="S148" i="14"/>
  <c r="S147" i="14"/>
  <c r="S146" i="14"/>
  <c r="S145" i="14"/>
  <c r="S144" i="14"/>
  <c r="S143" i="14"/>
  <c r="T157" i="15"/>
  <c r="U157" i="15"/>
  <c r="T158" i="15"/>
  <c r="U158" i="15"/>
  <c r="T159" i="15"/>
  <c r="U159" i="15"/>
  <c r="T160" i="15"/>
  <c r="U160" i="15"/>
  <c r="T161" i="15"/>
  <c r="U161" i="15"/>
  <c r="T162" i="15"/>
  <c r="U162" i="15"/>
  <c r="T163" i="15"/>
  <c r="U163" i="15"/>
  <c r="T164" i="15"/>
  <c r="U164" i="15"/>
  <c r="T165" i="15"/>
  <c r="U165" i="15"/>
  <c r="T166" i="15"/>
  <c r="U166" i="15"/>
  <c r="T167" i="15"/>
  <c r="U167" i="15"/>
  <c r="T168" i="15"/>
  <c r="U168" i="15"/>
  <c r="T169" i="15"/>
  <c r="U169" i="15"/>
  <c r="T170" i="15"/>
  <c r="U170" i="15"/>
  <c r="T171" i="15"/>
  <c r="U171" i="15"/>
  <c r="T172" i="15"/>
  <c r="U172" i="15"/>
  <c r="T173" i="15"/>
  <c r="U173" i="15"/>
  <c r="T174" i="15"/>
  <c r="U174" i="15"/>
  <c r="T175" i="15"/>
  <c r="U175" i="15"/>
  <c r="T176" i="15"/>
  <c r="U176" i="15"/>
  <c r="T177" i="15"/>
  <c r="U177" i="15"/>
  <c r="T178" i="15"/>
  <c r="U178" i="15"/>
  <c r="T179" i="15"/>
  <c r="U179" i="15"/>
  <c r="T180" i="15"/>
  <c r="U180" i="15"/>
  <c r="T181" i="15"/>
  <c r="U181" i="15"/>
  <c r="T182" i="15"/>
  <c r="U182" i="15"/>
  <c r="T183" i="15"/>
  <c r="U183" i="15"/>
  <c r="T184" i="15"/>
  <c r="U184" i="15"/>
  <c r="T185" i="15"/>
  <c r="U185" i="15"/>
  <c r="T189" i="15"/>
  <c r="U189" i="15"/>
  <c r="T192" i="15"/>
  <c r="U192" i="15"/>
  <c r="T193" i="15"/>
  <c r="U193" i="15"/>
  <c r="T197" i="15"/>
  <c r="U197" i="15"/>
  <c r="T199" i="15"/>
  <c r="U199" i="15"/>
  <c r="T201" i="15"/>
  <c r="U201" i="15"/>
  <c r="T203" i="15"/>
  <c r="U203" i="15"/>
  <c r="T204" i="15"/>
  <c r="U204" i="15"/>
  <c r="T205" i="15"/>
  <c r="U205" i="15"/>
  <c r="T206" i="15"/>
  <c r="U206" i="15"/>
  <c r="T208" i="15"/>
  <c r="U208" i="15"/>
  <c r="T209" i="15"/>
  <c r="U209" i="15"/>
  <c r="S209" i="15"/>
  <c r="S208" i="15"/>
  <c r="S206" i="15"/>
  <c r="S205" i="15"/>
  <c r="S204" i="15"/>
  <c r="S203" i="15"/>
  <c r="S201" i="15"/>
  <c r="S199" i="15"/>
  <c r="S197" i="15"/>
  <c r="S193" i="15"/>
  <c r="S192" i="15"/>
  <c r="S189" i="15"/>
  <c r="S185" i="15"/>
  <c r="S184" i="15"/>
  <c r="S183" i="15"/>
  <c r="S182" i="15"/>
  <c r="S181" i="15"/>
  <c r="S180" i="15"/>
  <c r="S179" i="15"/>
  <c r="S178" i="15"/>
  <c r="S177" i="15"/>
  <c r="S176" i="15"/>
  <c r="S175" i="15"/>
  <c r="S174" i="15"/>
  <c r="S173" i="15"/>
  <c r="S172" i="15"/>
  <c r="S171" i="15"/>
  <c r="S170" i="15"/>
  <c r="S169" i="15"/>
  <c r="S168" i="15"/>
  <c r="S167" i="15"/>
  <c r="S166" i="15"/>
  <c r="S165" i="15"/>
  <c r="S164" i="15"/>
  <c r="S163" i="15"/>
  <c r="S162" i="15"/>
  <c r="S161" i="15"/>
  <c r="S160" i="15"/>
  <c r="S159" i="15"/>
  <c r="S158" i="15"/>
  <c r="R111" i="15"/>
  <c r="M111" i="15"/>
  <c r="L111" i="15"/>
  <c r="K111" i="15"/>
  <c r="R85" i="15"/>
  <c r="M85" i="15"/>
  <c r="L85" i="15"/>
  <c r="K85" i="15"/>
  <c r="R123" i="15"/>
  <c r="M123" i="15"/>
  <c r="L123" i="15"/>
  <c r="R100" i="15"/>
  <c r="M100" i="15"/>
  <c r="L100" i="15"/>
  <c r="K100" i="15"/>
  <c r="N74" i="15"/>
  <c r="M104" i="24"/>
  <c r="R82" i="18"/>
  <c r="K82" i="18"/>
  <c r="L82" i="18"/>
  <c r="M82" i="18"/>
  <c r="T150" i="8"/>
  <c r="U150" i="8"/>
  <c r="T151" i="8"/>
  <c r="U151" i="8"/>
  <c r="T152" i="8"/>
  <c r="U152" i="8"/>
  <c r="T153" i="8"/>
  <c r="U153" i="8"/>
  <c r="T154" i="8"/>
  <c r="U154" i="8"/>
  <c r="T155" i="8"/>
  <c r="U155" i="8"/>
  <c r="T156" i="8"/>
  <c r="U156" i="8"/>
  <c r="T157" i="8"/>
  <c r="U157" i="8"/>
  <c r="T158" i="8"/>
  <c r="U158" i="8"/>
  <c r="T159" i="8"/>
  <c r="U159" i="8"/>
  <c r="T160" i="8"/>
  <c r="U160" i="8"/>
  <c r="T161" i="8"/>
  <c r="U161" i="8"/>
  <c r="T162" i="8"/>
  <c r="U162" i="8"/>
  <c r="T163" i="8"/>
  <c r="U163" i="8"/>
  <c r="T164" i="8"/>
  <c r="U164" i="8"/>
  <c r="T165" i="8"/>
  <c r="U165" i="8"/>
  <c r="T166" i="8"/>
  <c r="U166" i="8"/>
  <c r="T167" i="8"/>
  <c r="U167" i="8"/>
  <c r="T168" i="8"/>
  <c r="U168" i="8"/>
  <c r="T169" i="8"/>
  <c r="U169" i="8"/>
  <c r="T170" i="8"/>
  <c r="U170" i="8"/>
  <c r="T171" i="8"/>
  <c r="U171" i="8"/>
  <c r="T172" i="8"/>
  <c r="U172" i="8"/>
  <c r="T173" i="8"/>
  <c r="U173" i="8"/>
  <c r="T174" i="8"/>
  <c r="U174" i="8"/>
  <c r="T175" i="8"/>
  <c r="U175" i="8"/>
  <c r="T176" i="8"/>
  <c r="U176" i="8"/>
  <c r="T177" i="8"/>
  <c r="U177" i="8"/>
  <c r="T178" i="8"/>
  <c r="U178" i="8"/>
  <c r="T182" i="8"/>
  <c r="U182" i="8"/>
  <c r="T186" i="8"/>
  <c r="U186" i="8"/>
  <c r="T190" i="8"/>
  <c r="U190" i="8"/>
  <c r="T192" i="8"/>
  <c r="U192" i="8"/>
  <c r="T193" i="8"/>
  <c r="U193" i="8"/>
  <c r="T194" i="8"/>
  <c r="U194" i="8"/>
  <c r="T196" i="8"/>
  <c r="U196" i="8"/>
  <c r="T198" i="8"/>
  <c r="U198" i="8"/>
  <c r="T199" i="8"/>
  <c r="U199" i="8"/>
  <c r="T201" i="8"/>
  <c r="U201" i="8"/>
  <c r="T202" i="8"/>
  <c r="U202" i="8"/>
  <c r="S202" i="8"/>
  <c r="S201" i="8"/>
  <c r="S199" i="8"/>
  <c r="S198" i="8"/>
  <c r="S196" i="8"/>
  <c r="S194" i="8"/>
  <c r="S193" i="8"/>
  <c r="S192" i="8"/>
  <c r="S190" i="8"/>
  <c r="S186" i="8"/>
  <c r="S182" i="8"/>
  <c r="S178" i="8"/>
  <c r="S177" i="8"/>
  <c r="S176" i="8"/>
  <c r="S175" i="8"/>
  <c r="S174" i="8"/>
  <c r="S173" i="8"/>
  <c r="S172" i="8"/>
  <c r="S171" i="8"/>
  <c r="S170" i="8"/>
  <c r="S169" i="8"/>
  <c r="S168" i="8"/>
  <c r="S167" i="8"/>
  <c r="S166" i="8"/>
  <c r="S165" i="8"/>
  <c r="S164" i="8"/>
  <c r="S163" i="8"/>
  <c r="S162" i="8"/>
  <c r="S161" i="8"/>
  <c r="S160" i="8"/>
  <c r="S159" i="8"/>
  <c r="S158" i="8"/>
  <c r="S157" i="8"/>
  <c r="S156" i="8"/>
  <c r="S155" i="8"/>
  <c r="S154" i="8"/>
  <c r="S153" i="8"/>
  <c r="S152" i="8"/>
  <c r="S151" i="8"/>
  <c r="R102" i="8"/>
  <c r="M102" i="8"/>
  <c r="L102" i="8"/>
  <c r="K102" i="8"/>
  <c r="R99" i="8"/>
  <c r="M99" i="8"/>
  <c r="L99" i="8"/>
  <c r="K99" i="8"/>
  <c r="N74" i="8"/>
  <c r="U204" i="22"/>
  <c r="T204" i="22"/>
  <c r="S204" i="22"/>
  <c r="U203" i="22"/>
  <c r="T203" i="22"/>
  <c r="S203" i="22"/>
  <c r="U202" i="22"/>
  <c r="T202" i="22"/>
  <c r="S202" i="22"/>
  <c r="U200" i="22"/>
  <c r="T200" i="22"/>
  <c r="S200" i="22"/>
  <c r="U199" i="22"/>
  <c r="T199" i="22"/>
  <c r="S199" i="22"/>
  <c r="U196" i="22"/>
  <c r="T196" i="22"/>
  <c r="S196" i="22"/>
  <c r="U192" i="22"/>
  <c r="T192" i="22"/>
  <c r="S192" i="22"/>
  <c r="U188" i="22"/>
  <c r="T188" i="22"/>
  <c r="S188" i="22"/>
  <c r="U184" i="22"/>
  <c r="T184" i="22"/>
  <c r="S184" i="22"/>
  <c r="U180" i="22"/>
  <c r="T180" i="22"/>
  <c r="S180" i="22"/>
  <c r="U178" i="22"/>
  <c r="T178" i="22"/>
  <c r="S178" i="22"/>
  <c r="U176" i="22"/>
  <c r="T176" i="22"/>
  <c r="S176" i="22"/>
  <c r="U175" i="22"/>
  <c r="T175" i="22"/>
  <c r="S175" i="22"/>
  <c r="U174" i="22"/>
  <c r="T174" i="22"/>
  <c r="S174" i="22"/>
  <c r="U172" i="22"/>
  <c r="T172" i="22"/>
  <c r="S172" i="22"/>
  <c r="U170" i="22"/>
  <c r="T170" i="22"/>
  <c r="S170" i="22"/>
  <c r="U168" i="22"/>
  <c r="T168" i="22"/>
  <c r="S168" i="22"/>
  <c r="U164" i="22"/>
  <c r="T164" i="22"/>
  <c r="S164" i="22"/>
  <c r="U163" i="22"/>
  <c r="T163" i="22"/>
  <c r="S163" i="22"/>
  <c r="U162" i="22"/>
  <c r="T162" i="22"/>
  <c r="S162" i="22"/>
  <c r="U159" i="22"/>
  <c r="T159" i="22"/>
  <c r="S159" i="22"/>
  <c r="U156" i="22"/>
  <c r="T156" i="22"/>
  <c r="S156" i="22"/>
  <c r="U154" i="22"/>
  <c r="T154" i="22"/>
  <c r="S154" i="22"/>
  <c r="U152" i="22"/>
  <c r="T152" i="22"/>
  <c r="S152" i="22"/>
  <c r="M124" i="22"/>
  <c r="L124" i="22"/>
  <c r="K124" i="22"/>
  <c r="M123" i="22"/>
  <c r="L123" i="22"/>
  <c r="K123" i="22"/>
  <c r="M122" i="22"/>
  <c r="L122" i="22"/>
  <c r="K122" i="22"/>
  <c r="M121" i="22"/>
  <c r="L121" i="22"/>
  <c r="K121" i="22"/>
  <c r="M120" i="22"/>
  <c r="L120" i="22"/>
  <c r="K120" i="22"/>
  <c r="M119" i="22"/>
  <c r="L119" i="22"/>
  <c r="K119" i="22"/>
  <c r="M118" i="22"/>
  <c r="L118" i="22"/>
  <c r="K118" i="22"/>
  <c r="E118" i="22"/>
  <c r="T201" i="22" s="1"/>
  <c r="M117" i="22"/>
  <c r="L117" i="22"/>
  <c r="K117" i="22"/>
  <c r="M116" i="22"/>
  <c r="L116" i="22"/>
  <c r="K116" i="22"/>
  <c r="M115" i="22"/>
  <c r="L115" i="22"/>
  <c r="K115" i="22"/>
  <c r="M114" i="22"/>
  <c r="L114" i="22"/>
  <c r="K114" i="22"/>
  <c r="M113" i="22"/>
  <c r="L113" i="22"/>
  <c r="K113" i="22"/>
  <c r="M112" i="22"/>
  <c r="L112" i="22"/>
  <c r="K112" i="22"/>
  <c r="M110" i="22"/>
  <c r="L110" i="22"/>
  <c r="K110" i="22"/>
  <c r="M109" i="22"/>
  <c r="L109" i="22"/>
  <c r="K109" i="22"/>
  <c r="E109" i="22"/>
  <c r="M108" i="22"/>
  <c r="L108" i="22"/>
  <c r="K108" i="22"/>
  <c r="M107" i="22"/>
  <c r="L107" i="22"/>
  <c r="K107" i="22"/>
  <c r="M106" i="22"/>
  <c r="L106" i="22"/>
  <c r="K106" i="22"/>
  <c r="M105" i="22"/>
  <c r="L105" i="22"/>
  <c r="K105" i="22"/>
  <c r="E105" i="22"/>
  <c r="U195" i="22" s="1"/>
  <c r="M104" i="22"/>
  <c r="L104" i="22"/>
  <c r="K104" i="22"/>
  <c r="M103" i="22"/>
  <c r="L103" i="22"/>
  <c r="K103" i="22"/>
  <c r="E103" i="22"/>
  <c r="U194" i="22" s="1"/>
  <c r="M102" i="22"/>
  <c r="L102" i="22"/>
  <c r="K102" i="22"/>
  <c r="M101" i="22"/>
  <c r="L101" i="22"/>
  <c r="K101" i="22"/>
  <c r="E101" i="22"/>
  <c r="U193" i="22" s="1"/>
  <c r="M100" i="22"/>
  <c r="L100" i="22"/>
  <c r="K100" i="22"/>
  <c r="M99" i="22"/>
  <c r="L99" i="22"/>
  <c r="K99" i="22"/>
  <c r="M98" i="22"/>
  <c r="L98" i="22"/>
  <c r="K98" i="22"/>
  <c r="M97" i="22"/>
  <c r="L97" i="22"/>
  <c r="K97" i="22"/>
  <c r="E97" i="22"/>
  <c r="T191" i="22" s="1"/>
  <c r="M96" i="22"/>
  <c r="L96" i="22"/>
  <c r="K96" i="22"/>
  <c r="M95" i="22"/>
  <c r="L95" i="22"/>
  <c r="K95" i="22"/>
  <c r="T190" i="22"/>
  <c r="M94" i="22"/>
  <c r="L94" i="22"/>
  <c r="K94" i="22"/>
  <c r="M93" i="22"/>
  <c r="L93" i="22"/>
  <c r="K93" i="22"/>
  <c r="M92" i="22"/>
  <c r="L92" i="22"/>
  <c r="K92" i="22"/>
  <c r="M91" i="22"/>
  <c r="L91" i="22"/>
  <c r="K91" i="22"/>
  <c r="M90" i="22"/>
  <c r="L90" i="22"/>
  <c r="K90" i="22"/>
  <c r="M89" i="22"/>
  <c r="L89" i="22"/>
  <c r="K89" i="22"/>
  <c r="E89" i="22"/>
  <c r="S187" i="22" s="1"/>
  <c r="M88" i="22"/>
  <c r="L88" i="22"/>
  <c r="K88" i="22"/>
  <c r="M87" i="22"/>
  <c r="L87" i="22"/>
  <c r="K87" i="22"/>
  <c r="E87" i="22"/>
  <c r="T186" i="22" s="1"/>
  <c r="M86" i="22"/>
  <c r="L86" i="22"/>
  <c r="K86" i="22"/>
  <c r="M85" i="22"/>
  <c r="L85" i="22"/>
  <c r="K85" i="22"/>
  <c r="E85" i="22"/>
  <c r="M84" i="22"/>
  <c r="L84" i="22"/>
  <c r="K84" i="22"/>
  <c r="M83" i="22"/>
  <c r="L83" i="22"/>
  <c r="K83" i="22"/>
  <c r="M82" i="22"/>
  <c r="L82" i="22"/>
  <c r="K82" i="22"/>
  <c r="M81" i="22"/>
  <c r="L81" i="22"/>
  <c r="K81" i="22"/>
  <c r="E81" i="22"/>
  <c r="T183" i="22" s="1"/>
  <c r="M80" i="22"/>
  <c r="L80" i="22"/>
  <c r="K80" i="22"/>
  <c r="M79" i="22"/>
  <c r="L79" i="22"/>
  <c r="K79" i="22"/>
  <c r="E79" i="22"/>
  <c r="U182" i="22" s="1"/>
  <c r="M78" i="22"/>
  <c r="L78" i="22"/>
  <c r="K78" i="22"/>
  <c r="M77" i="22"/>
  <c r="L77" i="22"/>
  <c r="K77" i="22"/>
  <c r="E77" i="22"/>
  <c r="U181" i="22" s="1"/>
  <c r="M76" i="22"/>
  <c r="L76" i="22"/>
  <c r="K76" i="22"/>
  <c r="M75" i="22"/>
  <c r="L75" i="22"/>
  <c r="K75" i="22"/>
  <c r="M74" i="22"/>
  <c r="L74" i="22"/>
  <c r="K74" i="22"/>
  <c r="M73" i="22"/>
  <c r="L73" i="22"/>
  <c r="K73" i="22"/>
  <c r="E73" i="22"/>
  <c r="S179" i="22" s="1"/>
  <c r="M72" i="22"/>
  <c r="L72" i="22"/>
  <c r="K72" i="22"/>
  <c r="M71" i="22"/>
  <c r="L71" i="22"/>
  <c r="K71" i="22"/>
  <c r="M70" i="22"/>
  <c r="L70" i="22"/>
  <c r="K70" i="22"/>
  <c r="M69" i="22"/>
  <c r="L69" i="22"/>
  <c r="K69" i="22"/>
  <c r="E69" i="22"/>
  <c r="S177" i="22" s="1"/>
  <c r="M68" i="22"/>
  <c r="L68" i="22"/>
  <c r="K68" i="22"/>
  <c r="M67" i="22"/>
  <c r="L67" i="22"/>
  <c r="K67" i="22"/>
  <c r="M66" i="22"/>
  <c r="L66" i="22"/>
  <c r="K66" i="22"/>
  <c r="M65" i="22"/>
  <c r="L65" i="22"/>
  <c r="K65" i="22"/>
  <c r="M64" i="22"/>
  <c r="L64" i="22"/>
  <c r="K64" i="22"/>
  <c r="M63" i="22"/>
  <c r="L63" i="22"/>
  <c r="K63" i="22"/>
  <c r="M62" i="22"/>
  <c r="L62" i="22"/>
  <c r="K62" i="22"/>
  <c r="M61" i="22"/>
  <c r="L61" i="22"/>
  <c r="K61" i="22"/>
  <c r="E61" i="22"/>
  <c r="U173" i="22" s="1"/>
  <c r="M60" i="22"/>
  <c r="L60" i="22"/>
  <c r="K60" i="22"/>
  <c r="M59" i="22"/>
  <c r="L59" i="22"/>
  <c r="K59" i="22"/>
  <c r="M58" i="22"/>
  <c r="L58" i="22"/>
  <c r="K58" i="22"/>
  <c r="M57" i="22"/>
  <c r="L57" i="22"/>
  <c r="K57" i="22"/>
  <c r="E57" i="22"/>
  <c r="T171" i="22" s="1"/>
  <c r="M56" i="22"/>
  <c r="L56" i="22"/>
  <c r="K56" i="22"/>
  <c r="M55" i="22"/>
  <c r="L55" i="22"/>
  <c r="K55" i="22"/>
  <c r="M54" i="22"/>
  <c r="L54" i="22"/>
  <c r="K54" i="22"/>
  <c r="B170" i="22" s="1"/>
  <c r="M53" i="22"/>
  <c r="L53" i="22"/>
  <c r="K53" i="22"/>
  <c r="M52" i="22"/>
  <c r="L52" i="22"/>
  <c r="K52" i="22"/>
  <c r="E52" i="22"/>
  <c r="U169" i="22" s="1"/>
  <c r="M51" i="22"/>
  <c r="L51" i="22"/>
  <c r="K51" i="22"/>
  <c r="M50" i="22"/>
  <c r="L50" i="22"/>
  <c r="K50" i="22"/>
  <c r="M49" i="22"/>
  <c r="L49" i="22"/>
  <c r="K49" i="22"/>
  <c r="M48" i="22"/>
  <c r="L48" i="22"/>
  <c r="K48" i="22"/>
  <c r="E48" i="22"/>
  <c r="S167" i="22" s="1"/>
  <c r="M47" i="22"/>
  <c r="L47" i="22"/>
  <c r="K47" i="22"/>
  <c r="M46" i="22"/>
  <c r="L46" i="22"/>
  <c r="K46" i="22"/>
  <c r="M45" i="22"/>
  <c r="L45" i="22"/>
  <c r="K45" i="22"/>
  <c r="M43" i="22"/>
  <c r="L43" i="22"/>
  <c r="K43" i="22"/>
  <c r="M42" i="22"/>
  <c r="L42" i="22"/>
  <c r="K42" i="22"/>
  <c r="E42" i="22"/>
  <c r="T165" i="22" s="1"/>
  <c r="M41" i="22"/>
  <c r="L41" i="22"/>
  <c r="K41" i="22"/>
  <c r="M40" i="22"/>
  <c r="L40" i="22"/>
  <c r="K40" i="22"/>
  <c r="M39" i="22"/>
  <c r="L39" i="22"/>
  <c r="K39" i="22"/>
  <c r="M38" i="22"/>
  <c r="L38" i="22"/>
  <c r="K38" i="22"/>
  <c r="M37" i="22"/>
  <c r="L37" i="22"/>
  <c r="K37" i="22"/>
  <c r="M36" i="22"/>
  <c r="L36" i="22"/>
  <c r="K36" i="22"/>
  <c r="M35" i="22"/>
  <c r="L35" i="22"/>
  <c r="K35" i="22"/>
  <c r="M34" i="22"/>
  <c r="L34" i="22"/>
  <c r="K34" i="22"/>
  <c r="M33" i="22"/>
  <c r="L33" i="22"/>
  <c r="K33" i="22"/>
  <c r="E33" i="22"/>
  <c r="S161" i="22" s="1"/>
  <c r="M32" i="22"/>
  <c r="L32" i="22"/>
  <c r="K32" i="22"/>
  <c r="M31" i="22"/>
  <c r="L31" i="22"/>
  <c r="K31" i="22"/>
  <c r="M29" i="22"/>
  <c r="L29" i="22"/>
  <c r="K29" i="22"/>
  <c r="M28" i="22"/>
  <c r="L28" i="22"/>
  <c r="K28" i="22"/>
  <c r="M27" i="22"/>
  <c r="L27" i="22"/>
  <c r="K27" i="22"/>
  <c r="M26" i="22"/>
  <c r="L26" i="22"/>
  <c r="K26" i="22"/>
  <c r="M25" i="22"/>
  <c r="L25" i="22"/>
  <c r="K25" i="22"/>
  <c r="M23" i="22"/>
  <c r="L23" i="22"/>
  <c r="K23" i="22"/>
  <c r="M22" i="22"/>
  <c r="L22" i="22"/>
  <c r="K22" i="22"/>
  <c r="E22" i="22"/>
  <c r="U157" i="22" s="1"/>
  <c r="M21" i="22"/>
  <c r="L21" i="22"/>
  <c r="K21" i="22"/>
  <c r="M20" i="22"/>
  <c r="L20" i="22"/>
  <c r="K20" i="22"/>
  <c r="M19" i="22"/>
  <c r="L19" i="22"/>
  <c r="K19" i="22"/>
  <c r="M18" i="22"/>
  <c r="L18" i="22"/>
  <c r="K18" i="22"/>
  <c r="M17" i="22"/>
  <c r="L17" i="22"/>
  <c r="K17" i="22"/>
  <c r="M16" i="22"/>
  <c r="L16" i="22"/>
  <c r="K16" i="22"/>
  <c r="E16" i="22"/>
  <c r="T155" i="22" s="1"/>
  <c r="M15" i="22"/>
  <c r="L15" i="22"/>
  <c r="K15" i="22"/>
  <c r="M14" i="22"/>
  <c r="L14" i="22"/>
  <c r="K14" i="22"/>
  <c r="M13" i="22"/>
  <c r="L13" i="22"/>
  <c r="K13" i="22"/>
  <c r="M12" i="22"/>
  <c r="L12" i="22"/>
  <c r="K12" i="22"/>
  <c r="M11" i="22"/>
  <c r="L11" i="22"/>
  <c r="K11" i="22"/>
  <c r="E11" i="22"/>
  <c r="M10" i="22"/>
  <c r="L10" i="22"/>
  <c r="K10" i="22"/>
  <c r="M9" i="22"/>
  <c r="L9" i="22"/>
  <c r="K9" i="22"/>
  <c r="M8" i="22"/>
  <c r="L8" i="22"/>
  <c r="K8" i="22"/>
  <c r="U194" i="23"/>
  <c r="T194" i="23"/>
  <c r="S194" i="23"/>
  <c r="U193" i="23"/>
  <c r="T193" i="23"/>
  <c r="S193" i="23"/>
  <c r="U191" i="23"/>
  <c r="T191" i="23"/>
  <c r="S191" i="23"/>
  <c r="U190" i="23"/>
  <c r="T190" i="23"/>
  <c r="S190" i="23"/>
  <c r="U188" i="23"/>
  <c r="T188" i="23"/>
  <c r="S188" i="23"/>
  <c r="U170" i="23"/>
  <c r="T170" i="23"/>
  <c r="S170" i="23"/>
  <c r="U168" i="23"/>
  <c r="T168" i="23"/>
  <c r="S168" i="23"/>
  <c r="U167" i="23"/>
  <c r="T167" i="23"/>
  <c r="S167" i="23"/>
  <c r="U166" i="23"/>
  <c r="T166" i="23"/>
  <c r="S166" i="23"/>
  <c r="U164" i="23"/>
  <c r="T164" i="23"/>
  <c r="S164" i="23"/>
  <c r="U163" i="23"/>
  <c r="T163" i="23"/>
  <c r="S163" i="23"/>
  <c r="U162" i="23"/>
  <c r="T162" i="23"/>
  <c r="S162" i="23"/>
  <c r="U160" i="23"/>
  <c r="T160" i="23"/>
  <c r="S160" i="23"/>
  <c r="U159" i="23"/>
  <c r="T159" i="23"/>
  <c r="S159" i="23"/>
  <c r="U157" i="23"/>
  <c r="T157" i="23"/>
  <c r="S157" i="23"/>
  <c r="U155" i="23"/>
  <c r="T155" i="23"/>
  <c r="S155" i="23"/>
  <c r="U154" i="23"/>
  <c r="T154" i="23"/>
  <c r="S154" i="23"/>
  <c r="U153" i="23"/>
  <c r="T153" i="23"/>
  <c r="S153" i="23"/>
  <c r="U151" i="23"/>
  <c r="T151" i="23"/>
  <c r="S151" i="23"/>
  <c r="U150" i="23"/>
  <c r="T150" i="23"/>
  <c r="S150" i="23"/>
  <c r="U149" i="23"/>
  <c r="T149" i="23"/>
  <c r="S149" i="23"/>
  <c r="U147" i="23"/>
  <c r="T147" i="23"/>
  <c r="S147" i="23"/>
  <c r="U144" i="23"/>
  <c r="T144" i="23"/>
  <c r="S144" i="23"/>
  <c r="U143" i="23"/>
  <c r="T143" i="23"/>
  <c r="S143" i="23"/>
  <c r="U142" i="23"/>
  <c r="T142" i="23"/>
  <c r="L194" i="23"/>
  <c r="M114" i="23"/>
  <c r="L114" i="23"/>
  <c r="K114" i="23"/>
  <c r="M113" i="23"/>
  <c r="L113" i="23"/>
  <c r="K113" i="23"/>
  <c r="L193" i="23"/>
  <c r="M112" i="23"/>
  <c r="L112" i="23"/>
  <c r="K112" i="23"/>
  <c r="M111" i="23"/>
  <c r="L111" i="23"/>
  <c r="K111" i="23"/>
  <c r="M110" i="23"/>
  <c r="L110" i="23"/>
  <c r="K110" i="23"/>
  <c r="E110" i="23"/>
  <c r="L192" i="23" s="1"/>
  <c r="M109" i="23"/>
  <c r="L109" i="23"/>
  <c r="K109" i="23"/>
  <c r="R108" i="23"/>
  <c r="M108" i="23"/>
  <c r="L108" i="23"/>
  <c r="K108" i="23"/>
  <c r="R107" i="23"/>
  <c r="M107" i="23"/>
  <c r="L107" i="23"/>
  <c r="K107" i="23"/>
  <c r="R106" i="23"/>
  <c r="M106" i="23"/>
  <c r="L106" i="23"/>
  <c r="K106" i="23"/>
  <c r="R105" i="23"/>
  <c r="M105" i="23"/>
  <c r="L105" i="23"/>
  <c r="K105" i="23"/>
  <c r="R104" i="23"/>
  <c r="M104" i="23"/>
  <c r="L104" i="23"/>
  <c r="K104" i="23"/>
  <c r="E104" i="23"/>
  <c r="R103" i="23"/>
  <c r="M103" i="23"/>
  <c r="L103" i="23"/>
  <c r="K103" i="23"/>
  <c r="R102" i="23"/>
  <c r="M102" i="23"/>
  <c r="L102" i="23"/>
  <c r="K102" i="23"/>
  <c r="R101" i="23"/>
  <c r="M101" i="23"/>
  <c r="L101" i="23"/>
  <c r="K101" i="23"/>
  <c r="R100" i="23"/>
  <c r="M100" i="23"/>
  <c r="L100" i="23"/>
  <c r="K100" i="23"/>
  <c r="E100" i="23"/>
  <c r="T187" i="23" s="1"/>
  <c r="R99" i="23"/>
  <c r="M99" i="23"/>
  <c r="L99" i="23"/>
  <c r="K99" i="23"/>
  <c r="R98" i="23"/>
  <c r="M98" i="23"/>
  <c r="L98" i="23"/>
  <c r="K98" i="23"/>
  <c r="E98" i="23"/>
  <c r="R97" i="23"/>
  <c r="M97" i="23"/>
  <c r="L97" i="23"/>
  <c r="K97" i="23"/>
  <c r="R96" i="23"/>
  <c r="M96" i="23"/>
  <c r="L96" i="23"/>
  <c r="K96" i="23"/>
  <c r="E96" i="23"/>
  <c r="S185" i="23" s="1"/>
  <c r="R95" i="23"/>
  <c r="M95" i="23"/>
  <c r="L95" i="23"/>
  <c r="K95" i="23"/>
  <c r="R94" i="23"/>
  <c r="M94" i="23"/>
  <c r="L94" i="23"/>
  <c r="K94" i="23"/>
  <c r="E94" i="23"/>
  <c r="S184" i="23" s="1"/>
  <c r="R93" i="23"/>
  <c r="M93" i="23"/>
  <c r="L93" i="23"/>
  <c r="K93" i="23"/>
  <c r="R92" i="23"/>
  <c r="M92" i="23"/>
  <c r="L92" i="23"/>
  <c r="K92" i="23"/>
  <c r="E92" i="23"/>
  <c r="R91" i="23"/>
  <c r="M91" i="23"/>
  <c r="L91" i="23"/>
  <c r="K91" i="23"/>
  <c r="R90" i="23"/>
  <c r="M90" i="23"/>
  <c r="L90" i="23"/>
  <c r="K90" i="23"/>
  <c r="E90" i="23"/>
  <c r="T182" i="23" s="1"/>
  <c r="R89" i="23"/>
  <c r="M89" i="23"/>
  <c r="L89" i="23"/>
  <c r="K89" i="23"/>
  <c r="R88" i="23"/>
  <c r="M88" i="23"/>
  <c r="L88" i="23"/>
  <c r="K88" i="23"/>
  <c r="E88" i="23"/>
  <c r="R87" i="23"/>
  <c r="M87" i="23"/>
  <c r="L87" i="23"/>
  <c r="K87" i="23"/>
  <c r="R86" i="23"/>
  <c r="M86" i="23"/>
  <c r="L86" i="23"/>
  <c r="K86" i="23"/>
  <c r="E86" i="23"/>
  <c r="R85" i="23"/>
  <c r="M85" i="23"/>
  <c r="L85" i="23"/>
  <c r="K85" i="23"/>
  <c r="R84" i="23"/>
  <c r="M84" i="23"/>
  <c r="L84" i="23"/>
  <c r="K84" i="23"/>
  <c r="E84" i="23"/>
  <c r="T179" i="23" s="1"/>
  <c r="R83" i="23"/>
  <c r="M83" i="23"/>
  <c r="L83" i="23"/>
  <c r="K83" i="23"/>
  <c r="R82" i="23"/>
  <c r="M82" i="23"/>
  <c r="L82" i="23"/>
  <c r="K82" i="23"/>
  <c r="E82" i="23"/>
  <c r="T178" i="23" s="1"/>
  <c r="R81" i="23"/>
  <c r="M81" i="23"/>
  <c r="L81" i="23"/>
  <c r="K81" i="23"/>
  <c r="R80" i="23"/>
  <c r="M80" i="23"/>
  <c r="L80" i="23"/>
  <c r="K80" i="23"/>
  <c r="E80" i="23"/>
  <c r="R79" i="23"/>
  <c r="M79" i="23"/>
  <c r="L79" i="23"/>
  <c r="K79" i="23"/>
  <c r="R78" i="23"/>
  <c r="M78" i="23"/>
  <c r="L78" i="23"/>
  <c r="K78" i="23"/>
  <c r="E78" i="23"/>
  <c r="U176" i="23" s="1"/>
  <c r="R77" i="23"/>
  <c r="M77" i="23"/>
  <c r="L77" i="23"/>
  <c r="K77" i="23"/>
  <c r="R76" i="23"/>
  <c r="M76" i="23"/>
  <c r="L76" i="23"/>
  <c r="K76" i="23"/>
  <c r="E76" i="23"/>
  <c r="R75" i="23"/>
  <c r="M75" i="23"/>
  <c r="L75" i="23"/>
  <c r="K75" i="23"/>
  <c r="R74" i="23"/>
  <c r="M74" i="23"/>
  <c r="L74" i="23"/>
  <c r="K74" i="23"/>
  <c r="E74" i="23"/>
  <c r="R73" i="23"/>
  <c r="M73" i="23"/>
  <c r="L73" i="23"/>
  <c r="K73" i="23"/>
  <c r="R72" i="23"/>
  <c r="M72" i="23"/>
  <c r="L72" i="23"/>
  <c r="K72" i="23"/>
  <c r="E72" i="23"/>
  <c r="S173" i="23" s="1"/>
  <c r="R71" i="23"/>
  <c r="M71" i="23"/>
  <c r="L71" i="23"/>
  <c r="K71" i="23"/>
  <c r="R70" i="23"/>
  <c r="M70" i="23"/>
  <c r="L70" i="23"/>
  <c r="K70" i="23"/>
  <c r="E70" i="23"/>
  <c r="S172" i="23" s="1"/>
  <c r="R69" i="23"/>
  <c r="M69" i="23"/>
  <c r="L69" i="23"/>
  <c r="K69" i="23"/>
  <c r="R68" i="23"/>
  <c r="M68" i="23"/>
  <c r="L68" i="23"/>
  <c r="K68" i="23"/>
  <c r="E68" i="23"/>
  <c r="R67" i="23"/>
  <c r="M67" i="23"/>
  <c r="L67" i="23"/>
  <c r="K67" i="23"/>
  <c r="R66" i="23"/>
  <c r="M66" i="23"/>
  <c r="L66" i="23"/>
  <c r="K66" i="23"/>
  <c r="R65" i="23"/>
  <c r="M65" i="23"/>
  <c r="L65" i="23"/>
  <c r="K65" i="23"/>
  <c r="R64" i="23"/>
  <c r="M64" i="23"/>
  <c r="L64" i="23"/>
  <c r="K64" i="23"/>
  <c r="E64" i="23"/>
  <c r="U169" i="23" s="1"/>
  <c r="R63" i="23"/>
  <c r="M63" i="23"/>
  <c r="L63" i="23"/>
  <c r="K63" i="23"/>
  <c r="R62" i="23"/>
  <c r="M62" i="23"/>
  <c r="L62" i="23"/>
  <c r="K62" i="23"/>
  <c r="R61" i="23"/>
  <c r="M61" i="23"/>
  <c r="L61" i="23"/>
  <c r="K61" i="23"/>
  <c r="R60" i="23"/>
  <c r="M60" i="23"/>
  <c r="L60" i="23"/>
  <c r="K60" i="23"/>
  <c r="R59" i="23"/>
  <c r="M59" i="23"/>
  <c r="L59" i="23"/>
  <c r="K59" i="23"/>
  <c r="R58" i="23"/>
  <c r="M58" i="23"/>
  <c r="L58" i="23"/>
  <c r="K58" i="23"/>
  <c r="R57" i="23"/>
  <c r="M57" i="23"/>
  <c r="L57" i="23"/>
  <c r="K57" i="23"/>
  <c r="R56" i="23"/>
  <c r="M56" i="23"/>
  <c r="L56" i="23"/>
  <c r="K56" i="23"/>
  <c r="E56" i="23"/>
  <c r="U165" i="23" s="1"/>
  <c r="R55" i="23"/>
  <c r="M55" i="23"/>
  <c r="L55" i="23"/>
  <c r="K55" i="23"/>
  <c r="R54" i="23"/>
  <c r="M54" i="23"/>
  <c r="L54" i="23"/>
  <c r="K54" i="23"/>
  <c r="R53" i="23"/>
  <c r="M53" i="23"/>
  <c r="L53" i="23"/>
  <c r="K53" i="23"/>
  <c r="R52" i="23"/>
  <c r="M52" i="23"/>
  <c r="L52" i="23"/>
  <c r="K52" i="23"/>
  <c r="R51" i="23"/>
  <c r="M51" i="23"/>
  <c r="L51" i="23"/>
  <c r="K51" i="23"/>
  <c r="R50" i="23"/>
  <c r="M50" i="23"/>
  <c r="L50" i="23"/>
  <c r="K50" i="23"/>
  <c r="R49" i="23"/>
  <c r="M49" i="23"/>
  <c r="L49" i="23"/>
  <c r="K49" i="23"/>
  <c r="R48" i="23"/>
  <c r="M48" i="23"/>
  <c r="L48" i="23"/>
  <c r="K48" i="23"/>
  <c r="E48" i="23"/>
  <c r="R47" i="23"/>
  <c r="M47" i="23"/>
  <c r="L47" i="23"/>
  <c r="K47" i="23"/>
  <c r="R46" i="23"/>
  <c r="H160" i="23" s="1"/>
  <c r="M46" i="23"/>
  <c r="L46" i="23"/>
  <c r="K46" i="23"/>
  <c r="R45" i="23"/>
  <c r="M45" i="23"/>
  <c r="L45" i="23"/>
  <c r="K45" i="23"/>
  <c r="R44" i="23"/>
  <c r="M44" i="23"/>
  <c r="L44" i="23"/>
  <c r="K44" i="23"/>
  <c r="R43" i="23"/>
  <c r="M43" i="23"/>
  <c r="L43" i="23"/>
  <c r="K43" i="23"/>
  <c r="R42" i="23"/>
  <c r="M42" i="23"/>
  <c r="L42" i="23"/>
  <c r="K42" i="23"/>
  <c r="E42" i="23"/>
  <c r="S158" i="23" s="1"/>
  <c r="R41" i="23"/>
  <c r="M41" i="23"/>
  <c r="L41" i="23"/>
  <c r="K41" i="23"/>
  <c r="R40" i="23"/>
  <c r="M40" i="23"/>
  <c r="L40" i="23"/>
  <c r="K40" i="23"/>
  <c r="R39" i="23"/>
  <c r="M39" i="23"/>
  <c r="L39" i="23"/>
  <c r="K39" i="23"/>
  <c r="R38" i="23"/>
  <c r="M38" i="23"/>
  <c r="L38" i="23"/>
  <c r="K38" i="23"/>
  <c r="E38" i="23"/>
  <c r="S156" i="23" s="1"/>
  <c r="R37" i="23"/>
  <c r="M37" i="23"/>
  <c r="L37" i="23"/>
  <c r="K37" i="23"/>
  <c r="R36" i="23"/>
  <c r="M36" i="23"/>
  <c r="L36" i="23"/>
  <c r="K36" i="23"/>
  <c r="R35" i="23"/>
  <c r="M35" i="23"/>
  <c r="L35" i="23"/>
  <c r="K35" i="23"/>
  <c r="R34" i="23"/>
  <c r="M34" i="23"/>
  <c r="L34" i="23"/>
  <c r="K34" i="23"/>
  <c r="R33" i="23"/>
  <c r="M33" i="23"/>
  <c r="L33" i="23"/>
  <c r="K33" i="23"/>
  <c r="R32" i="23"/>
  <c r="M32" i="23"/>
  <c r="L32" i="23"/>
  <c r="K32" i="23"/>
  <c r="R31" i="23"/>
  <c r="M31" i="23"/>
  <c r="L31" i="23"/>
  <c r="K31" i="23"/>
  <c r="R30" i="23"/>
  <c r="M30" i="23"/>
  <c r="L30" i="23"/>
  <c r="K30" i="23"/>
  <c r="R29" i="23"/>
  <c r="M29" i="23"/>
  <c r="L29" i="23"/>
  <c r="K29" i="23"/>
  <c r="E29" i="23"/>
  <c r="T152" i="23" s="1"/>
  <c r="R28" i="23"/>
  <c r="M28" i="23"/>
  <c r="L28" i="23"/>
  <c r="K28" i="23"/>
  <c r="R27" i="23"/>
  <c r="M27" i="23"/>
  <c r="L27" i="23"/>
  <c r="K27" i="23"/>
  <c r="R26" i="23"/>
  <c r="M26" i="23"/>
  <c r="L26" i="23"/>
  <c r="K26" i="23"/>
  <c r="R25" i="23"/>
  <c r="M25" i="23"/>
  <c r="L25" i="23"/>
  <c r="K25" i="23"/>
  <c r="R24" i="23"/>
  <c r="M24" i="23"/>
  <c r="L24" i="23"/>
  <c r="K24" i="23"/>
  <c r="R23" i="23"/>
  <c r="M23" i="23"/>
  <c r="L23" i="23"/>
  <c r="K23" i="23"/>
  <c r="R22" i="23"/>
  <c r="M22" i="23"/>
  <c r="L22" i="23"/>
  <c r="K22" i="23"/>
  <c r="R21" i="23"/>
  <c r="M21" i="23"/>
  <c r="L21" i="23"/>
  <c r="K21" i="23"/>
  <c r="E21" i="23"/>
  <c r="R20" i="23"/>
  <c r="M20" i="23"/>
  <c r="L20" i="23"/>
  <c r="K20" i="23"/>
  <c r="R19" i="23"/>
  <c r="M19" i="23"/>
  <c r="L19" i="23"/>
  <c r="K19" i="23"/>
  <c r="R18" i="23"/>
  <c r="M18" i="23"/>
  <c r="L18" i="23"/>
  <c r="K18" i="23"/>
  <c r="R17" i="23"/>
  <c r="M17" i="23"/>
  <c r="L17" i="23"/>
  <c r="K17" i="23"/>
  <c r="E17" i="23"/>
  <c r="T146" i="23" s="1"/>
  <c r="R16" i="23"/>
  <c r="M16" i="23"/>
  <c r="L16" i="23"/>
  <c r="K16" i="23"/>
  <c r="R15" i="23"/>
  <c r="M15" i="23"/>
  <c r="L15" i="23"/>
  <c r="K15" i="23"/>
  <c r="E15" i="23"/>
  <c r="S145" i="23" s="1"/>
  <c r="R14" i="23"/>
  <c r="M14" i="23"/>
  <c r="L14" i="23"/>
  <c r="K14" i="23"/>
  <c r="R13" i="23"/>
  <c r="M13" i="23"/>
  <c r="L13" i="23"/>
  <c r="K13" i="23"/>
  <c r="R12" i="23"/>
  <c r="M12" i="23"/>
  <c r="L12" i="23"/>
  <c r="K12" i="23"/>
  <c r="R11" i="23"/>
  <c r="M11" i="23"/>
  <c r="L11" i="23"/>
  <c r="K11" i="23"/>
  <c r="R10" i="23"/>
  <c r="M10" i="23"/>
  <c r="L10" i="23"/>
  <c r="K10" i="23"/>
  <c r="R9" i="23"/>
  <c r="M9" i="23"/>
  <c r="L9" i="23"/>
  <c r="K9" i="23"/>
  <c r="R8" i="23"/>
  <c r="M8" i="23"/>
  <c r="L8" i="23"/>
  <c r="K8" i="23"/>
  <c r="U190" i="24"/>
  <c r="T190" i="24"/>
  <c r="S190" i="24"/>
  <c r="U188" i="24"/>
  <c r="T188" i="24"/>
  <c r="S188" i="24"/>
  <c r="U187" i="24"/>
  <c r="T187" i="24"/>
  <c r="S187" i="24"/>
  <c r="U186" i="24"/>
  <c r="T186" i="24"/>
  <c r="S186" i="24"/>
  <c r="U182" i="24"/>
  <c r="T182" i="24"/>
  <c r="S182" i="24"/>
  <c r="U178" i="24"/>
  <c r="T178" i="24"/>
  <c r="S178" i="24"/>
  <c r="U174" i="24"/>
  <c r="T174" i="24"/>
  <c r="S174" i="24"/>
  <c r="U170" i="24"/>
  <c r="T170" i="24"/>
  <c r="S170" i="24"/>
  <c r="U166" i="24"/>
  <c r="T166" i="24"/>
  <c r="S166" i="24"/>
  <c r="U164" i="24"/>
  <c r="T164" i="24"/>
  <c r="S164" i="24"/>
  <c r="U163" i="24"/>
  <c r="T163" i="24"/>
  <c r="S163" i="24"/>
  <c r="U162" i="24"/>
  <c r="T162" i="24"/>
  <c r="S162" i="24"/>
  <c r="U160" i="24"/>
  <c r="T160" i="24"/>
  <c r="S160" i="24"/>
  <c r="U159" i="24"/>
  <c r="T159" i="24"/>
  <c r="S159" i="24"/>
  <c r="U158" i="24"/>
  <c r="T158" i="24"/>
  <c r="S158" i="24"/>
  <c r="U156" i="24"/>
  <c r="T156" i="24"/>
  <c r="S156" i="24"/>
  <c r="U155" i="24"/>
  <c r="T155" i="24"/>
  <c r="S155" i="24"/>
  <c r="U154" i="24"/>
  <c r="T154" i="24"/>
  <c r="S154" i="24"/>
  <c r="U152" i="24"/>
  <c r="T152" i="24"/>
  <c r="S152" i="24"/>
  <c r="U151" i="24"/>
  <c r="T151" i="24"/>
  <c r="S151" i="24"/>
  <c r="U150" i="24"/>
  <c r="T150" i="24"/>
  <c r="S150" i="24"/>
  <c r="U148" i="24"/>
  <c r="T148" i="24"/>
  <c r="S148" i="24"/>
  <c r="U147" i="24"/>
  <c r="T147" i="24"/>
  <c r="S147" i="24"/>
  <c r="U146" i="24"/>
  <c r="T146" i="24"/>
  <c r="S146" i="24"/>
  <c r="U144" i="24"/>
  <c r="T144" i="24"/>
  <c r="S144" i="24"/>
  <c r="U143" i="24"/>
  <c r="T143" i="24"/>
  <c r="S143" i="24"/>
  <c r="U142" i="24"/>
  <c r="T142" i="24"/>
  <c r="S142" i="24"/>
  <c r="U140" i="24"/>
  <c r="T140" i="24"/>
  <c r="S140" i="24"/>
  <c r="U139" i="24"/>
  <c r="T139" i="24"/>
  <c r="S139" i="24"/>
  <c r="U138" i="24"/>
  <c r="T138" i="24"/>
  <c r="S138" i="24"/>
  <c r="R113" i="24"/>
  <c r="R112" i="24"/>
  <c r="M112" i="24"/>
  <c r="L112" i="24"/>
  <c r="K112" i="24"/>
  <c r="B190" i="24" s="1"/>
  <c r="R111" i="24"/>
  <c r="M111" i="24"/>
  <c r="L111" i="24"/>
  <c r="K111" i="24"/>
  <c r="E111" i="24"/>
  <c r="U189" i="24" s="1"/>
  <c r="R110" i="24"/>
  <c r="M110" i="24"/>
  <c r="L110" i="24"/>
  <c r="K110" i="24"/>
  <c r="R109" i="24"/>
  <c r="M109" i="24"/>
  <c r="L109" i="24"/>
  <c r="K109" i="24"/>
  <c r="R108" i="24"/>
  <c r="M108" i="24"/>
  <c r="L108" i="24"/>
  <c r="K108" i="24"/>
  <c r="R107" i="24"/>
  <c r="M107" i="24"/>
  <c r="L107" i="24"/>
  <c r="K107" i="24"/>
  <c r="R106" i="24"/>
  <c r="M106" i="24"/>
  <c r="L106" i="24"/>
  <c r="K106" i="24"/>
  <c r="R105" i="24"/>
  <c r="M105" i="24"/>
  <c r="L105" i="24"/>
  <c r="K105" i="24"/>
  <c r="R104" i="24"/>
  <c r="L104" i="24"/>
  <c r="K104" i="24"/>
  <c r="R103" i="24"/>
  <c r="M103" i="24"/>
  <c r="L103" i="24"/>
  <c r="K103" i="24"/>
  <c r="E103" i="24"/>
  <c r="R102" i="24"/>
  <c r="M102" i="24"/>
  <c r="L102" i="24"/>
  <c r="K102" i="24"/>
  <c r="R101" i="24"/>
  <c r="M101" i="24"/>
  <c r="L101" i="24"/>
  <c r="K101" i="24"/>
  <c r="E101" i="24"/>
  <c r="T184" i="24" s="1"/>
  <c r="R100" i="24"/>
  <c r="M100" i="24"/>
  <c r="L100" i="24"/>
  <c r="K100" i="24"/>
  <c r="R99" i="24"/>
  <c r="M99" i="24"/>
  <c r="L99" i="24"/>
  <c r="K99" i="24"/>
  <c r="E99" i="24"/>
  <c r="R98" i="24"/>
  <c r="M98" i="24"/>
  <c r="L98" i="24"/>
  <c r="K98" i="24"/>
  <c r="R97" i="24"/>
  <c r="M97" i="24"/>
  <c r="L97" i="24"/>
  <c r="K97" i="24"/>
  <c r="R96" i="24"/>
  <c r="M96" i="24"/>
  <c r="L96" i="24"/>
  <c r="K96" i="24"/>
  <c r="R95" i="24"/>
  <c r="M95" i="24"/>
  <c r="L95" i="24"/>
  <c r="K95" i="24"/>
  <c r="E95" i="24"/>
  <c r="S181" i="24" s="1"/>
  <c r="R94" i="24"/>
  <c r="M94" i="24"/>
  <c r="L94" i="24"/>
  <c r="K94" i="24"/>
  <c r="R93" i="24"/>
  <c r="M93" i="24"/>
  <c r="L93" i="24"/>
  <c r="K93" i="24"/>
  <c r="E93" i="24"/>
  <c r="R92" i="24"/>
  <c r="M92" i="24"/>
  <c r="L92" i="24"/>
  <c r="K92" i="24"/>
  <c r="R91" i="24"/>
  <c r="M91" i="24"/>
  <c r="L91" i="24"/>
  <c r="K91" i="24"/>
  <c r="E91" i="24"/>
  <c r="R90" i="24"/>
  <c r="M90" i="24"/>
  <c r="L90" i="24"/>
  <c r="K90" i="24"/>
  <c r="R89" i="24"/>
  <c r="M89" i="24"/>
  <c r="L89" i="24"/>
  <c r="K89" i="24"/>
  <c r="R88" i="24"/>
  <c r="M88" i="24"/>
  <c r="L88" i="24"/>
  <c r="K88" i="24"/>
  <c r="R87" i="24"/>
  <c r="M87" i="24"/>
  <c r="L87" i="24"/>
  <c r="K87" i="24"/>
  <c r="E87" i="24"/>
  <c r="R86" i="24"/>
  <c r="M86" i="24"/>
  <c r="L86" i="24"/>
  <c r="K86" i="24"/>
  <c r="R85" i="24"/>
  <c r="M85" i="24"/>
  <c r="L85" i="24"/>
  <c r="K85" i="24"/>
  <c r="E85" i="24"/>
  <c r="R84" i="24"/>
  <c r="M84" i="24"/>
  <c r="L84" i="24"/>
  <c r="K84" i="24"/>
  <c r="R83" i="24"/>
  <c r="M83" i="24"/>
  <c r="L83" i="24"/>
  <c r="K83" i="24"/>
  <c r="E83" i="24"/>
  <c r="R82" i="24"/>
  <c r="M82" i="24"/>
  <c r="L82" i="24"/>
  <c r="K82" i="24"/>
  <c r="R81" i="24"/>
  <c r="M81" i="24"/>
  <c r="L81" i="24"/>
  <c r="K81" i="24"/>
  <c r="R80" i="24"/>
  <c r="M80" i="24"/>
  <c r="L80" i="24"/>
  <c r="K80" i="24"/>
  <c r="R79" i="24"/>
  <c r="M79" i="24"/>
  <c r="L79" i="24"/>
  <c r="K79" i="24"/>
  <c r="E79" i="24"/>
  <c r="U173" i="24" s="1"/>
  <c r="R78" i="24"/>
  <c r="M78" i="24"/>
  <c r="L78" i="24"/>
  <c r="K78" i="24"/>
  <c r="R77" i="24"/>
  <c r="M77" i="24"/>
  <c r="L77" i="24"/>
  <c r="K77" i="24"/>
  <c r="E77" i="24"/>
  <c r="T172" i="24" s="1"/>
  <c r="R76" i="24"/>
  <c r="M76" i="24"/>
  <c r="L76" i="24"/>
  <c r="K76" i="24"/>
  <c r="R75" i="24"/>
  <c r="M75" i="24"/>
  <c r="L75" i="24"/>
  <c r="K75" i="24"/>
  <c r="E75" i="24"/>
  <c r="U171" i="24" s="1"/>
  <c r="R74" i="24"/>
  <c r="M74" i="24"/>
  <c r="L74" i="24"/>
  <c r="K74" i="24"/>
  <c r="R73" i="24"/>
  <c r="M73" i="24"/>
  <c r="L73" i="24"/>
  <c r="K73" i="24"/>
  <c r="R72" i="24"/>
  <c r="M72" i="24"/>
  <c r="L72" i="24"/>
  <c r="K72" i="24"/>
  <c r="R71" i="24"/>
  <c r="M71" i="24"/>
  <c r="L71" i="24"/>
  <c r="K71" i="24"/>
  <c r="E71" i="24"/>
  <c r="R70" i="24"/>
  <c r="M70" i="24"/>
  <c r="L70" i="24"/>
  <c r="K70" i="24"/>
  <c r="R69" i="24"/>
  <c r="M69" i="24"/>
  <c r="L69" i="24"/>
  <c r="K69" i="24"/>
  <c r="E69" i="24"/>
  <c r="S168" i="24" s="1"/>
  <c r="R68" i="24"/>
  <c r="M68" i="24"/>
  <c r="L68" i="24"/>
  <c r="K68" i="24"/>
  <c r="R67" i="24"/>
  <c r="M67" i="24"/>
  <c r="L67" i="24"/>
  <c r="K67" i="24"/>
  <c r="E67" i="24"/>
  <c r="U167" i="24" s="1"/>
  <c r="R66" i="24"/>
  <c r="M66" i="24"/>
  <c r="L66" i="24"/>
  <c r="K66" i="24"/>
  <c r="R65" i="24"/>
  <c r="M65" i="24"/>
  <c r="L65" i="24"/>
  <c r="K65" i="24"/>
  <c r="R64" i="24"/>
  <c r="M64" i="24"/>
  <c r="L64" i="24"/>
  <c r="K64" i="24"/>
  <c r="R63" i="24"/>
  <c r="M63" i="24"/>
  <c r="L63" i="24"/>
  <c r="K63" i="24"/>
  <c r="E63" i="24"/>
  <c r="U165" i="24" s="1"/>
  <c r="R62" i="24"/>
  <c r="M62" i="24"/>
  <c r="L62" i="24"/>
  <c r="K62" i="24"/>
  <c r="R61" i="24"/>
  <c r="M61" i="24"/>
  <c r="L61" i="24"/>
  <c r="K61" i="24"/>
  <c r="R60" i="24"/>
  <c r="M60" i="24"/>
  <c r="L60" i="24"/>
  <c r="K60" i="24"/>
  <c r="R59" i="24"/>
  <c r="M59" i="24"/>
  <c r="L59" i="24"/>
  <c r="K59" i="24"/>
  <c r="R58" i="24"/>
  <c r="M58" i="24"/>
  <c r="L58" i="24"/>
  <c r="K58" i="24"/>
  <c r="R57" i="24"/>
  <c r="M57" i="24"/>
  <c r="L57" i="24"/>
  <c r="K57" i="24"/>
  <c r="R56" i="24"/>
  <c r="M56" i="24"/>
  <c r="L56" i="24"/>
  <c r="K56" i="24"/>
  <c r="R55" i="24"/>
  <c r="M55" i="24"/>
  <c r="L55" i="24"/>
  <c r="K55" i="24"/>
  <c r="E55" i="24"/>
  <c r="S161" i="24" s="1"/>
  <c r="R54" i="24"/>
  <c r="M54" i="24"/>
  <c r="L54" i="24"/>
  <c r="K54" i="24"/>
  <c r="R53" i="24"/>
  <c r="M53" i="24"/>
  <c r="L53" i="24"/>
  <c r="K53" i="24"/>
  <c r="R52" i="24"/>
  <c r="M52" i="24"/>
  <c r="L52" i="24"/>
  <c r="K52" i="24"/>
  <c r="R51" i="24"/>
  <c r="M51" i="24"/>
  <c r="L51" i="24"/>
  <c r="K51" i="24"/>
  <c r="R50" i="24"/>
  <c r="M50" i="24"/>
  <c r="L50" i="24"/>
  <c r="K50" i="24"/>
  <c r="R49" i="24"/>
  <c r="M49" i="24"/>
  <c r="L49" i="24"/>
  <c r="K49" i="24"/>
  <c r="R48" i="24"/>
  <c r="M48" i="24"/>
  <c r="L48" i="24"/>
  <c r="K48" i="24"/>
  <c r="R47" i="24"/>
  <c r="M47" i="24"/>
  <c r="L47" i="24"/>
  <c r="K47" i="24"/>
  <c r="E47" i="24"/>
  <c r="T157" i="24" s="1"/>
  <c r="R46" i="24"/>
  <c r="M46" i="24"/>
  <c r="L46" i="24"/>
  <c r="K46" i="24"/>
  <c r="R45" i="24"/>
  <c r="M45" i="24"/>
  <c r="L45" i="24"/>
  <c r="K45" i="24"/>
  <c r="R44" i="24"/>
  <c r="M44" i="24"/>
  <c r="L44" i="24"/>
  <c r="K44" i="24"/>
  <c r="R43" i="24"/>
  <c r="M43" i="24"/>
  <c r="L43" i="24"/>
  <c r="K43" i="24"/>
  <c r="R42" i="24"/>
  <c r="M42" i="24"/>
  <c r="L42" i="24"/>
  <c r="K42" i="24"/>
  <c r="R41" i="24"/>
  <c r="M41" i="24"/>
  <c r="L41" i="24"/>
  <c r="K41" i="24"/>
  <c r="R40" i="24"/>
  <c r="M40" i="24"/>
  <c r="L40" i="24"/>
  <c r="K40" i="24"/>
  <c r="R39" i="24"/>
  <c r="M39" i="24"/>
  <c r="L39" i="24"/>
  <c r="K39" i="24"/>
  <c r="E39" i="24"/>
  <c r="S153" i="24" s="1"/>
  <c r="R38" i="24"/>
  <c r="M38" i="24"/>
  <c r="L38" i="24"/>
  <c r="K38" i="24"/>
  <c r="R37" i="24"/>
  <c r="M37" i="24"/>
  <c r="L37" i="24"/>
  <c r="K37" i="24"/>
  <c r="R36" i="24"/>
  <c r="M36" i="24"/>
  <c r="L36" i="24"/>
  <c r="K36" i="24"/>
  <c r="R35" i="24"/>
  <c r="M35" i="24"/>
  <c r="L35" i="24"/>
  <c r="K35" i="24"/>
  <c r="R34" i="24"/>
  <c r="M34" i="24"/>
  <c r="L34" i="24"/>
  <c r="K34" i="24"/>
  <c r="R33" i="24"/>
  <c r="M33" i="24"/>
  <c r="L33" i="24"/>
  <c r="K33" i="24"/>
  <c r="R32" i="24"/>
  <c r="M32" i="24"/>
  <c r="L32" i="24"/>
  <c r="K32" i="24"/>
  <c r="N32" i="24" s="1"/>
  <c r="R31" i="24"/>
  <c r="M31" i="24"/>
  <c r="L31" i="24"/>
  <c r="K31" i="24"/>
  <c r="E31" i="24"/>
  <c r="S149" i="24" s="1"/>
  <c r="R30" i="24"/>
  <c r="M30" i="24"/>
  <c r="L30" i="24"/>
  <c r="K30" i="24"/>
  <c r="R29" i="24"/>
  <c r="M29" i="24"/>
  <c r="L29" i="24"/>
  <c r="K29" i="24"/>
  <c r="R28" i="24"/>
  <c r="M28" i="24"/>
  <c r="L28" i="24"/>
  <c r="K28" i="24"/>
  <c r="R27" i="24"/>
  <c r="M27" i="24"/>
  <c r="L27" i="24"/>
  <c r="K27" i="24"/>
  <c r="R26" i="24"/>
  <c r="M26" i="24"/>
  <c r="L26" i="24"/>
  <c r="K26" i="24"/>
  <c r="R25" i="24"/>
  <c r="M25" i="24"/>
  <c r="L25" i="24"/>
  <c r="K25" i="24"/>
  <c r="R24" i="24"/>
  <c r="M24" i="24"/>
  <c r="L24" i="24"/>
  <c r="K24" i="24"/>
  <c r="R23" i="24"/>
  <c r="M23" i="24"/>
  <c r="L23" i="24"/>
  <c r="K23" i="24"/>
  <c r="E23" i="24"/>
  <c r="U145" i="24" s="1"/>
  <c r="R22" i="24"/>
  <c r="M22" i="24"/>
  <c r="L22" i="24"/>
  <c r="K22" i="24"/>
  <c r="R21" i="24"/>
  <c r="M21" i="24"/>
  <c r="L21" i="24"/>
  <c r="K21" i="24"/>
  <c r="R20" i="24"/>
  <c r="M20" i="24"/>
  <c r="L20" i="24"/>
  <c r="K20" i="24"/>
  <c r="R19" i="24"/>
  <c r="M19" i="24"/>
  <c r="L19" i="24"/>
  <c r="K19" i="24"/>
  <c r="R18" i="24"/>
  <c r="M18" i="24"/>
  <c r="L18" i="24"/>
  <c r="K18" i="24"/>
  <c r="R17" i="24"/>
  <c r="M17" i="24"/>
  <c r="L17" i="24"/>
  <c r="K17" i="24"/>
  <c r="R16" i="24"/>
  <c r="M16" i="24"/>
  <c r="L16" i="24"/>
  <c r="K16" i="24"/>
  <c r="R15" i="24"/>
  <c r="M15" i="24"/>
  <c r="L15" i="24"/>
  <c r="K15" i="24"/>
  <c r="E15" i="24"/>
  <c r="R14" i="24"/>
  <c r="M14" i="24"/>
  <c r="L14" i="24"/>
  <c r="K14" i="24"/>
  <c r="R13" i="24"/>
  <c r="M13" i="24"/>
  <c r="L13" i="24"/>
  <c r="K13" i="24"/>
  <c r="R12" i="24"/>
  <c r="M12" i="24"/>
  <c r="L12" i="24"/>
  <c r="K12" i="24"/>
  <c r="R11" i="24"/>
  <c r="M11" i="24"/>
  <c r="L11" i="24"/>
  <c r="K11" i="24"/>
  <c r="R10" i="24"/>
  <c r="M10" i="24"/>
  <c r="L10" i="24"/>
  <c r="K10" i="24"/>
  <c r="R9" i="24"/>
  <c r="M9" i="24"/>
  <c r="L9" i="24"/>
  <c r="K9" i="24"/>
  <c r="R8" i="24"/>
  <c r="M8" i="24"/>
  <c r="L8" i="24"/>
  <c r="K8" i="24"/>
  <c r="U190" i="25"/>
  <c r="T190" i="25"/>
  <c r="S190" i="25"/>
  <c r="U189" i="25"/>
  <c r="T189" i="25"/>
  <c r="S189" i="25"/>
  <c r="U187" i="25"/>
  <c r="T187" i="25"/>
  <c r="S187" i="25"/>
  <c r="U186" i="25"/>
  <c r="T186" i="25"/>
  <c r="S186" i="25"/>
  <c r="U185" i="25"/>
  <c r="T185" i="25"/>
  <c r="S185" i="25"/>
  <c r="U182" i="25"/>
  <c r="T182" i="25"/>
  <c r="S182" i="25"/>
  <c r="U178" i="25"/>
  <c r="T178" i="25"/>
  <c r="S178" i="25"/>
  <c r="U170" i="25"/>
  <c r="T170" i="25"/>
  <c r="S170" i="25"/>
  <c r="U165" i="25"/>
  <c r="T165" i="25"/>
  <c r="S165" i="25"/>
  <c r="U162" i="25"/>
  <c r="T162" i="25"/>
  <c r="S162" i="25"/>
  <c r="U161" i="25"/>
  <c r="T161" i="25"/>
  <c r="S161" i="25"/>
  <c r="U158" i="25"/>
  <c r="T158" i="25"/>
  <c r="U155" i="25"/>
  <c r="T155" i="25"/>
  <c r="U153" i="25"/>
  <c r="T153" i="25"/>
  <c r="S153" i="25"/>
  <c r="U152" i="25"/>
  <c r="T152" i="25"/>
  <c r="S152" i="25"/>
  <c r="U150" i="25"/>
  <c r="T150" i="25"/>
  <c r="S150" i="25"/>
  <c r="U149" i="25"/>
  <c r="T149" i="25"/>
  <c r="S149" i="25"/>
  <c r="U145" i="25"/>
  <c r="T145" i="25"/>
  <c r="S145" i="25"/>
  <c r="U144" i="25"/>
  <c r="T144" i="25"/>
  <c r="S144" i="25"/>
  <c r="U143" i="25"/>
  <c r="T143" i="25"/>
  <c r="S143" i="25"/>
  <c r="U141" i="25"/>
  <c r="T141" i="25"/>
  <c r="S141" i="25"/>
  <c r="U140" i="25"/>
  <c r="T140" i="25"/>
  <c r="S140" i="25"/>
  <c r="U139" i="25"/>
  <c r="T139" i="25"/>
  <c r="S139" i="25"/>
  <c r="R113" i="25"/>
  <c r="M113" i="25"/>
  <c r="L113" i="25"/>
  <c r="K113" i="25"/>
  <c r="R112" i="25"/>
  <c r="M112" i="25"/>
  <c r="L112" i="25"/>
  <c r="K112" i="25"/>
  <c r="R111" i="25"/>
  <c r="M111" i="25"/>
  <c r="L111" i="25"/>
  <c r="K111" i="25"/>
  <c r="R110" i="25"/>
  <c r="M110" i="25"/>
  <c r="L110" i="25"/>
  <c r="K110" i="25"/>
  <c r="R109" i="25"/>
  <c r="M109" i="25"/>
  <c r="L109" i="25"/>
  <c r="K109" i="25"/>
  <c r="E109" i="25"/>
  <c r="T188" i="25" s="1"/>
  <c r="R108" i="25"/>
  <c r="M108" i="25"/>
  <c r="L108" i="25"/>
  <c r="K108" i="25"/>
  <c r="R107" i="25"/>
  <c r="H187" i="25" s="1"/>
  <c r="M107" i="25"/>
  <c r="L107" i="25"/>
  <c r="K107" i="25"/>
  <c r="R106" i="25"/>
  <c r="M106" i="25"/>
  <c r="L106" i="25"/>
  <c r="K106" i="25"/>
  <c r="R105" i="25"/>
  <c r="M105" i="25"/>
  <c r="L105" i="25"/>
  <c r="K105" i="25"/>
  <c r="R104" i="25"/>
  <c r="M104" i="25"/>
  <c r="L104" i="25"/>
  <c r="K104" i="25"/>
  <c r="R103" i="25"/>
  <c r="M103" i="25"/>
  <c r="L103" i="25"/>
  <c r="K103" i="25"/>
  <c r="R102" i="25"/>
  <c r="M102" i="25"/>
  <c r="L102" i="25"/>
  <c r="K102" i="25"/>
  <c r="R101" i="25"/>
  <c r="M101" i="25"/>
  <c r="L101" i="25"/>
  <c r="K101" i="25"/>
  <c r="E101" i="25"/>
  <c r="T184" i="25" s="1"/>
  <c r="R100" i="25"/>
  <c r="M100" i="25"/>
  <c r="L100" i="25"/>
  <c r="K100" i="25"/>
  <c r="R99" i="25"/>
  <c r="M99" i="25"/>
  <c r="L99" i="25"/>
  <c r="K99" i="25"/>
  <c r="E99" i="25"/>
  <c r="R98" i="25"/>
  <c r="M98" i="25"/>
  <c r="L98" i="25"/>
  <c r="K98" i="25"/>
  <c r="R97" i="25"/>
  <c r="M97" i="25"/>
  <c r="L97" i="25"/>
  <c r="K97" i="25"/>
  <c r="R96" i="25"/>
  <c r="M96" i="25"/>
  <c r="L96" i="25"/>
  <c r="K96" i="25"/>
  <c r="R95" i="25"/>
  <c r="M95" i="25"/>
  <c r="L95" i="25"/>
  <c r="K95" i="25"/>
  <c r="E95" i="25"/>
  <c r="S181" i="25" s="1"/>
  <c r="R94" i="25"/>
  <c r="M94" i="25"/>
  <c r="L94" i="25"/>
  <c r="K94" i="25"/>
  <c r="R93" i="25"/>
  <c r="M93" i="25"/>
  <c r="L93" i="25"/>
  <c r="K93" i="25"/>
  <c r="E93" i="25"/>
  <c r="T180" i="25" s="1"/>
  <c r="R92" i="25"/>
  <c r="M92" i="25"/>
  <c r="L92" i="25"/>
  <c r="K92" i="25"/>
  <c r="R91" i="25"/>
  <c r="M91" i="25"/>
  <c r="L91" i="25"/>
  <c r="K91" i="25"/>
  <c r="E91" i="25"/>
  <c r="T179" i="25" s="1"/>
  <c r="R90" i="25"/>
  <c r="M90" i="25"/>
  <c r="L90" i="25"/>
  <c r="K90" i="25"/>
  <c r="R89" i="25"/>
  <c r="M89" i="25"/>
  <c r="L89" i="25"/>
  <c r="K89" i="25"/>
  <c r="R88" i="25"/>
  <c r="M88" i="25"/>
  <c r="L88" i="25"/>
  <c r="K88" i="25"/>
  <c r="R87" i="25"/>
  <c r="M87" i="25"/>
  <c r="L87" i="25"/>
  <c r="K87" i="25"/>
  <c r="E87" i="25"/>
  <c r="R86" i="25"/>
  <c r="M86" i="25"/>
  <c r="L86" i="25"/>
  <c r="K86" i="25"/>
  <c r="R85" i="25"/>
  <c r="M85" i="25"/>
  <c r="L85" i="25"/>
  <c r="K85" i="25"/>
  <c r="E85" i="25"/>
  <c r="R84" i="25"/>
  <c r="M84" i="25"/>
  <c r="L84" i="25"/>
  <c r="K84" i="25"/>
  <c r="R83" i="25"/>
  <c r="M83" i="25"/>
  <c r="L83" i="25"/>
  <c r="K83" i="25"/>
  <c r="E83" i="25"/>
  <c r="T175" i="25" s="1"/>
  <c r="R82" i="25"/>
  <c r="M82" i="25"/>
  <c r="L82" i="25"/>
  <c r="K82" i="25"/>
  <c r="R81" i="25"/>
  <c r="M81" i="25"/>
  <c r="L81" i="25"/>
  <c r="K81" i="25"/>
  <c r="E81" i="25"/>
  <c r="R80" i="25"/>
  <c r="M80" i="25"/>
  <c r="L80" i="25"/>
  <c r="K80" i="25"/>
  <c r="R79" i="25"/>
  <c r="M79" i="25"/>
  <c r="L79" i="25"/>
  <c r="K79" i="25"/>
  <c r="E79" i="25"/>
  <c r="U173" i="25" s="1"/>
  <c r="R78" i="25"/>
  <c r="M78" i="25"/>
  <c r="L78" i="25"/>
  <c r="K78" i="25"/>
  <c r="R77" i="25"/>
  <c r="M77" i="25"/>
  <c r="L77" i="25"/>
  <c r="K77" i="25"/>
  <c r="E77" i="25"/>
  <c r="S172" i="25" s="1"/>
  <c r="R76" i="25"/>
  <c r="M76" i="25"/>
  <c r="L76" i="25"/>
  <c r="K76" i="25"/>
  <c r="R75" i="25"/>
  <c r="M75" i="25"/>
  <c r="L75" i="25"/>
  <c r="K75" i="25"/>
  <c r="E75" i="25"/>
  <c r="U171" i="25" s="1"/>
  <c r="R74" i="25"/>
  <c r="M74" i="25"/>
  <c r="L74" i="25"/>
  <c r="K74" i="25"/>
  <c r="R73" i="25"/>
  <c r="M73" i="25"/>
  <c r="L73" i="25"/>
  <c r="K73" i="25"/>
  <c r="R72" i="25"/>
  <c r="M72" i="25"/>
  <c r="L72" i="25"/>
  <c r="K72" i="25"/>
  <c r="R71" i="25"/>
  <c r="M71" i="25"/>
  <c r="L71" i="25"/>
  <c r="K71" i="25"/>
  <c r="E71" i="25"/>
  <c r="U169" i="25" s="1"/>
  <c r="R70" i="25"/>
  <c r="M70" i="25"/>
  <c r="L70" i="25"/>
  <c r="K70" i="25"/>
  <c r="R69" i="25"/>
  <c r="M69" i="25"/>
  <c r="L69" i="25"/>
  <c r="K69" i="25"/>
  <c r="E69" i="25"/>
  <c r="R68" i="25"/>
  <c r="N68" i="25"/>
  <c r="R67" i="25"/>
  <c r="M67" i="25"/>
  <c r="L67" i="25"/>
  <c r="K67" i="25"/>
  <c r="E67" i="25"/>
  <c r="R66" i="25"/>
  <c r="M66" i="25"/>
  <c r="L66" i="25"/>
  <c r="K66" i="25"/>
  <c r="R65" i="25"/>
  <c r="M65" i="25"/>
  <c r="L65" i="25"/>
  <c r="K65" i="25"/>
  <c r="E65" i="25"/>
  <c r="R64" i="25"/>
  <c r="M64" i="25"/>
  <c r="L64" i="25"/>
  <c r="K64" i="25"/>
  <c r="R63" i="25"/>
  <c r="M63" i="25"/>
  <c r="L63" i="25"/>
  <c r="K63" i="25"/>
  <c r="R62" i="25"/>
  <c r="M62" i="25"/>
  <c r="L62" i="25"/>
  <c r="K62" i="25"/>
  <c r="R61" i="25"/>
  <c r="M61" i="25"/>
  <c r="L61" i="25"/>
  <c r="K61" i="25"/>
  <c r="E61" i="25"/>
  <c r="U164" i="25" s="1"/>
  <c r="R60" i="25"/>
  <c r="M60" i="25"/>
  <c r="L60" i="25"/>
  <c r="K60" i="25"/>
  <c r="R59" i="25"/>
  <c r="M59" i="25"/>
  <c r="L59" i="25"/>
  <c r="K59" i="25"/>
  <c r="E59" i="25"/>
  <c r="S163" i="25" s="1"/>
  <c r="R58" i="25"/>
  <c r="M58" i="25"/>
  <c r="L58" i="25"/>
  <c r="K58" i="25"/>
  <c r="R57" i="25"/>
  <c r="M57" i="25"/>
  <c r="L57" i="25"/>
  <c r="K57" i="25"/>
  <c r="R56" i="25"/>
  <c r="M56" i="25"/>
  <c r="L56" i="25"/>
  <c r="K56" i="25"/>
  <c r="R55" i="25"/>
  <c r="M55" i="25"/>
  <c r="L55" i="25"/>
  <c r="K55" i="25"/>
  <c r="R54" i="25"/>
  <c r="M54" i="25"/>
  <c r="L54" i="25"/>
  <c r="K54" i="25"/>
  <c r="R53" i="25"/>
  <c r="M53" i="25"/>
  <c r="L53" i="25"/>
  <c r="K53" i="25"/>
  <c r="E53" i="25"/>
  <c r="T160" i="25" s="1"/>
  <c r="R52" i="25"/>
  <c r="M52" i="25"/>
  <c r="L52" i="25"/>
  <c r="K52" i="25"/>
  <c r="R51" i="25"/>
  <c r="M51" i="25"/>
  <c r="L51" i="25"/>
  <c r="K51" i="25"/>
  <c r="E51" i="25"/>
  <c r="O50" i="25"/>
  <c r="R50" i="25" s="1"/>
  <c r="M50" i="25"/>
  <c r="L50" i="25"/>
  <c r="K50" i="25"/>
  <c r="O49" i="25"/>
  <c r="R49" i="25" s="1"/>
  <c r="M49" i="25"/>
  <c r="L49" i="25"/>
  <c r="K49" i="25"/>
  <c r="O48" i="25"/>
  <c r="M48" i="25"/>
  <c r="L48" i="25"/>
  <c r="K48" i="25"/>
  <c r="O47" i="25"/>
  <c r="M47" i="25"/>
  <c r="L47" i="25"/>
  <c r="K47" i="25"/>
  <c r="E47" i="25"/>
  <c r="T157" i="25" s="1"/>
  <c r="R46" i="25"/>
  <c r="M46" i="25"/>
  <c r="L46" i="25"/>
  <c r="K46" i="25"/>
  <c r="R45" i="25"/>
  <c r="M45" i="25"/>
  <c r="L45" i="25"/>
  <c r="K45" i="25"/>
  <c r="E45" i="25"/>
  <c r="O44" i="25"/>
  <c r="R44" i="25" s="1"/>
  <c r="M44" i="25"/>
  <c r="L44" i="25"/>
  <c r="K44" i="25"/>
  <c r="O43" i="25"/>
  <c r="R43" i="25" s="1"/>
  <c r="M43" i="25"/>
  <c r="L43" i="25"/>
  <c r="K43" i="25"/>
  <c r="O42" i="25"/>
  <c r="R42" i="25" s="1"/>
  <c r="M42" i="25"/>
  <c r="L42" i="25"/>
  <c r="K42" i="25"/>
  <c r="O41" i="25"/>
  <c r="R41" i="25" s="1"/>
  <c r="M41" i="25"/>
  <c r="L41" i="25"/>
  <c r="K41" i="25"/>
  <c r="E41" i="25"/>
  <c r="T154" i="25" s="1"/>
  <c r="R40" i="25"/>
  <c r="M40" i="25"/>
  <c r="L40" i="25"/>
  <c r="K40" i="25"/>
  <c r="R39" i="25"/>
  <c r="M39" i="25"/>
  <c r="L39" i="25"/>
  <c r="K39" i="25"/>
  <c r="R38" i="25"/>
  <c r="M38" i="25"/>
  <c r="L38" i="25"/>
  <c r="K38" i="25"/>
  <c r="R37" i="25"/>
  <c r="M37" i="25"/>
  <c r="L37" i="25"/>
  <c r="K37" i="25"/>
  <c r="R36" i="25"/>
  <c r="M36" i="25"/>
  <c r="L36" i="25"/>
  <c r="K36" i="25"/>
  <c r="R35" i="25"/>
  <c r="M35" i="25"/>
  <c r="L35" i="25"/>
  <c r="K35" i="25"/>
  <c r="E35" i="25"/>
  <c r="U151" i="25" s="1"/>
  <c r="R34" i="25"/>
  <c r="M34" i="25"/>
  <c r="L34" i="25"/>
  <c r="K34" i="25"/>
  <c r="R33" i="25"/>
  <c r="M33" i="25"/>
  <c r="L33" i="25"/>
  <c r="K33" i="25"/>
  <c r="R32" i="25"/>
  <c r="M32" i="25"/>
  <c r="L32" i="25"/>
  <c r="K32" i="25"/>
  <c r="R31" i="25"/>
  <c r="M31" i="25"/>
  <c r="L31" i="25"/>
  <c r="K31" i="25"/>
  <c r="R30" i="25"/>
  <c r="M30" i="25"/>
  <c r="L30" i="25"/>
  <c r="K30" i="25"/>
  <c r="R29" i="25"/>
  <c r="M29" i="25"/>
  <c r="L29" i="25"/>
  <c r="K29" i="25"/>
  <c r="E29" i="25"/>
  <c r="S148" i="25" s="1"/>
  <c r="R28" i="25"/>
  <c r="M28" i="25"/>
  <c r="L28" i="25"/>
  <c r="K28" i="25"/>
  <c r="R27" i="25"/>
  <c r="M27" i="25"/>
  <c r="L27" i="25"/>
  <c r="K27" i="25"/>
  <c r="E27" i="25"/>
  <c r="R26" i="25"/>
  <c r="M26" i="25"/>
  <c r="L26" i="25"/>
  <c r="K26" i="25"/>
  <c r="R25" i="25"/>
  <c r="M25" i="25"/>
  <c r="L25" i="25"/>
  <c r="K25" i="25"/>
  <c r="E25" i="25"/>
  <c r="R24" i="25"/>
  <c r="M24" i="25"/>
  <c r="L24" i="25"/>
  <c r="K24" i="25"/>
  <c r="R23" i="25"/>
  <c r="M23" i="25"/>
  <c r="L23" i="25"/>
  <c r="K23" i="25"/>
  <c r="R22" i="25"/>
  <c r="M22" i="25"/>
  <c r="L22" i="25"/>
  <c r="K22" i="25"/>
  <c r="R21" i="25"/>
  <c r="M21" i="25"/>
  <c r="L21" i="25"/>
  <c r="K21" i="25"/>
  <c r="R20" i="25"/>
  <c r="M20" i="25"/>
  <c r="L20" i="25"/>
  <c r="K20" i="25"/>
  <c r="R19" i="25"/>
  <c r="M19" i="25"/>
  <c r="L19" i="25"/>
  <c r="K19" i="25"/>
  <c r="R18" i="25"/>
  <c r="M18" i="25"/>
  <c r="L18" i="25"/>
  <c r="K18" i="25"/>
  <c r="R17" i="25"/>
  <c r="M17" i="25"/>
  <c r="L17" i="25"/>
  <c r="K17" i="25"/>
  <c r="E17" i="25"/>
  <c r="T142" i="25" s="1"/>
  <c r="R16" i="25"/>
  <c r="M16" i="25"/>
  <c r="L16" i="25"/>
  <c r="K16" i="25"/>
  <c r="R15" i="25"/>
  <c r="M15" i="25"/>
  <c r="L15" i="25"/>
  <c r="K15" i="25"/>
  <c r="R14" i="25"/>
  <c r="M14" i="25"/>
  <c r="L14" i="25"/>
  <c r="K14" i="25"/>
  <c r="R13" i="25"/>
  <c r="M13" i="25"/>
  <c r="L13" i="25"/>
  <c r="K13" i="25"/>
  <c r="R12" i="25"/>
  <c r="M12" i="25"/>
  <c r="L12" i="25"/>
  <c r="K12" i="25"/>
  <c r="R11" i="25"/>
  <c r="M11" i="25"/>
  <c r="L11" i="25"/>
  <c r="K11" i="25"/>
  <c r="R10" i="25"/>
  <c r="M10" i="25"/>
  <c r="L10" i="25"/>
  <c r="K10" i="25"/>
  <c r="R9" i="25"/>
  <c r="M9" i="25"/>
  <c r="L9" i="25"/>
  <c r="K9" i="25"/>
  <c r="E9" i="25"/>
  <c r="R8" i="25"/>
  <c r="M8" i="25"/>
  <c r="L8" i="25"/>
  <c r="K8" i="25"/>
  <c r="U154" i="26"/>
  <c r="T154" i="26"/>
  <c r="S154" i="26"/>
  <c r="U153" i="26"/>
  <c r="T153" i="26"/>
  <c r="S153" i="26"/>
  <c r="U149" i="26"/>
  <c r="T149" i="26"/>
  <c r="S149" i="26"/>
  <c r="U134" i="26"/>
  <c r="T134" i="26"/>
  <c r="S134" i="26"/>
  <c r="U130" i="26"/>
  <c r="T130" i="26"/>
  <c r="S130" i="26"/>
  <c r="U129" i="26"/>
  <c r="T129" i="26"/>
  <c r="S129" i="26"/>
  <c r="U127" i="26"/>
  <c r="T127" i="26"/>
  <c r="S127" i="26"/>
  <c r="U126" i="26"/>
  <c r="T126" i="26"/>
  <c r="S126" i="26"/>
  <c r="U125" i="26"/>
  <c r="T125" i="26"/>
  <c r="S125" i="26"/>
  <c r="U123" i="26"/>
  <c r="T123" i="26"/>
  <c r="S123" i="26"/>
  <c r="U122" i="26"/>
  <c r="T122" i="26"/>
  <c r="S122" i="26"/>
  <c r="U120" i="26"/>
  <c r="T120" i="26"/>
  <c r="S120" i="26"/>
  <c r="R77" i="26"/>
  <c r="M77" i="26"/>
  <c r="L77" i="26"/>
  <c r="K77" i="26"/>
  <c r="R76" i="26"/>
  <c r="M76" i="26"/>
  <c r="L76" i="26"/>
  <c r="K76" i="26"/>
  <c r="R75" i="26"/>
  <c r="M75" i="26"/>
  <c r="L75" i="26"/>
  <c r="K75" i="26"/>
  <c r="R74" i="26"/>
  <c r="M74" i="26"/>
  <c r="L74" i="26"/>
  <c r="K74" i="26"/>
  <c r="R73" i="26"/>
  <c r="M73" i="26"/>
  <c r="L73" i="26"/>
  <c r="K73" i="26"/>
  <c r="E73" i="26"/>
  <c r="U152" i="26" s="1"/>
  <c r="R72" i="26"/>
  <c r="M72" i="26"/>
  <c r="L72" i="26"/>
  <c r="K72" i="26"/>
  <c r="R71" i="26"/>
  <c r="M71" i="26"/>
  <c r="L71" i="26"/>
  <c r="K71" i="26"/>
  <c r="E71" i="26"/>
  <c r="U151" i="26" s="1"/>
  <c r="R70" i="26"/>
  <c r="M70" i="26"/>
  <c r="L70" i="26"/>
  <c r="K70" i="26"/>
  <c r="R69" i="26"/>
  <c r="M69" i="26"/>
  <c r="L69" i="26"/>
  <c r="K69" i="26"/>
  <c r="E69" i="26"/>
  <c r="S150" i="26" s="1"/>
  <c r="R68" i="26"/>
  <c r="M68" i="26"/>
  <c r="L68" i="26"/>
  <c r="K68" i="26"/>
  <c r="R67" i="26"/>
  <c r="M67" i="26"/>
  <c r="L67" i="26"/>
  <c r="K67" i="26"/>
  <c r="R66" i="26"/>
  <c r="M66" i="26"/>
  <c r="L66" i="26"/>
  <c r="K66" i="26"/>
  <c r="R65" i="26"/>
  <c r="M65" i="26"/>
  <c r="L65" i="26"/>
  <c r="K65" i="26"/>
  <c r="E65" i="26"/>
  <c r="S148" i="26" s="1"/>
  <c r="R64" i="26"/>
  <c r="M64" i="26"/>
  <c r="L64" i="26"/>
  <c r="K64" i="26"/>
  <c r="R63" i="26"/>
  <c r="M63" i="26"/>
  <c r="L63" i="26"/>
  <c r="K63" i="26"/>
  <c r="E63" i="26"/>
  <c r="U147" i="26" s="1"/>
  <c r="R62" i="26"/>
  <c r="M62" i="26"/>
  <c r="L62" i="26"/>
  <c r="K62" i="26"/>
  <c r="R61" i="26"/>
  <c r="M61" i="26"/>
  <c r="L61" i="26"/>
  <c r="K61" i="26"/>
  <c r="E61" i="26"/>
  <c r="S146" i="26" s="1"/>
  <c r="R60" i="26"/>
  <c r="M60" i="26"/>
  <c r="L60" i="26"/>
  <c r="K60" i="26"/>
  <c r="R59" i="26"/>
  <c r="M59" i="26"/>
  <c r="L59" i="26"/>
  <c r="K59" i="26"/>
  <c r="E59" i="26"/>
  <c r="T145" i="26" s="1"/>
  <c r="R58" i="26"/>
  <c r="M58" i="26"/>
  <c r="L58" i="26"/>
  <c r="K58" i="26"/>
  <c r="R57" i="26"/>
  <c r="M57" i="26"/>
  <c r="L57" i="26"/>
  <c r="K57" i="26"/>
  <c r="E57" i="26"/>
  <c r="S144" i="26" s="1"/>
  <c r="R56" i="26"/>
  <c r="M56" i="26"/>
  <c r="L56" i="26"/>
  <c r="K56" i="26"/>
  <c r="R55" i="26"/>
  <c r="M55" i="26"/>
  <c r="L55" i="26"/>
  <c r="K55" i="26"/>
  <c r="E55" i="26"/>
  <c r="S143" i="26" s="1"/>
  <c r="R54" i="26"/>
  <c r="M54" i="26"/>
  <c r="L54" i="26"/>
  <c r="K54" i="26"/>
  <c r="R53" i="26"/>
  <c r="M53" i="26"/>
  <c r="L53" i="26"/>
  <c r="K53" i="26"/>
  <c r="E53" i="26"/>
  <c r="S142" i="26" s="1"/>
  <c r="R52" i="26"/>
  <c r="M52" i="26"/>
  <c r="L52" i="26"/>
  <c r="K52" i="26"/>
  <c r="R51" i="26"/>
  <c r="M51" i="26"/>
  <c r="L51" i="26"/>
  <c r="K51" i="26"/>
  <c r="E51" i="26"/>
  <c r="R50" i="26"/>
  <c r="M50" i="26"/>
  <c r="L50" i="26"/>
  <c r="K50" i="26"/>
  <c r="R49" i="26"/>
  <c r="M49" i="26"/>
  <c r="L49" i="26"/>
  <c r="K49" i="26"/>
  <c r="E49" i="26"/>
  <c r="S140" i="26" s="1"/>
  <c r="R48" i="26"/>
  <c r="M48" i="26"/>
  <c r="L48" i="26"/>
  <c r="K48" i="26"/>
  <c r="R47" i="26"/>
  <c r="M47" i="26"/>
  <c r="L47" i="26"/>
  <c r="K47" i="26"/>
  <c r="E47" i="26"/>
  <c r="U139" i="26" s="1"/>
  <c r="R46" i="26"/>
  <c r="M46" i="26"/>
  <c r="L46" i="26"/>
  <c r="K46" i="26"/>
  <c r="R45" i="26"/>
  <c r="M45" i="26"/>
  <c r="L45" i="26"/>
  <c r="K45" i="26"/>
  <c r="E45" i="26"/>
  <c r="T138" i="26" s="1"/>
  <c r="R44" i="26"/>
  <c r="M44" i="26"/>
  <c r="L44" i="26"/>
  <c r="K44" i="26"/>
  <c r="R43" i="26"/>
  <c r="M43" i="26"/>
  <c r="L43" i="26"/>
  <c r="K43" i="26"/>
  <c r="E43" i="26"/>
  <c r="T137" i="26" s="1"/>
  <c r="R42" i="26"/>
  <c r="M42" i="26"/>
  <c r="L42" i="26"/>
  <c r="K42" i="26"/>
  <c r="R41" i="26"/>
  <c r="M41" i="26"/>
  <c r="L41" i="26"/>
  <c r="K41" i="26"/>
  <c r="E41" i="26"/>
  <c r="S136" i="26" s="1"/>
  <c r="R40" i="26"/>
  <c r="M40" i="26"/>
  <c r="L40" i="26"/>
  <c r="K40" i="26"/>
  <c r="R39" i="26"/>
  <c r="M39" i="26"/>
  <c r="L39" i="26"/>
  <c r="K39" i="26"/>
  <c r="E39" i="26"/>
  <c r="T135" i="26" s="1"/>
  <c r="R38" i="26"/>
  <c r="M38" i="26"/>
  <c r="L38" i="26"/>
  <c r="K38" i="26"/>
  <c r="R37" i="26"/>
  <c r="M37" i="26"/>
  <c r="L37" i="26"/>
  <c r="K37" i="26"/>
  <c r="R36" i="26"/>
  <c r="M36" i="26"/>
  <c r="L36" i="26"/>
  <c r="K36" i="26"/>
  <c r="R35" i="26"/>
  <c r="M35" i="26"/>
  <c r="L35" i="26"/>
  <c r="K35" i="26"/>
  <c r="E35" i="26"/>
  <c r="S133" i="26" s="1"/>
  <c r="R34" i="26"/>
  <c r="M34" i="26"/>
  <c r="L34" i="26"/>
  <c r="K34" i="26"/>
  <c r="R33" i="26"/>
  <c r="M33" i="26"/>
  <c r="L33" i="26"/>
  <c r="K33" i="26"/>
  <c r="E33" i="26"/>
  <c r="T132" i="26" s="1"/>
  <c r="R32" i="26"/>
  <c r="M32" i="26"/>
  <c r="L32" i="26"/>
  <c r="K32" i="26"/>
  <c r="R31" i="26"/>
  <c r="M31" i="26"/>
  <c r="L31" i="26"/>
  <c r="K31" i="26"/>
  <c r="E31" i="26"/>
  <c r="U131" i="26" s="1"/>
  <c r="R30" i="26"/>
  <c r="M30" i="26"/>
  <c r="L30" i="26"/>
  <c r="K30" i="26"/>
  <c r="R29" i="26"/>
  <c r="M29" i="26"/>
  <c r="L29" i="26"/>
  <c r="K29" i="26"/>
  <c r="R28" i="26"/>
  <c r="M28" i="26"/>
  <c r="L28" i="26"/>
  <c r="K28" i="26"/>
  <c r="R27" i="26"/>
  <c r="M27" i="26"/>
  <c r="L27" i="26"/>
  <c r="K27" i="26"/>
  <c r="R26" i="26"/>
  <c r="M26" i="26"/>
  <c r="L26" i="26"/>
  <c r="K26" i="26"/>
  <c r="R25" i="26"/>
  <c r="M25" i="26"/>
  <c r="L25" i="26"/>
  <c r="K25" i="26"/>
  <c r="E25" i="26"/>
  <c r="U128" i="26" s="1"/>
  <c r="R24" i="26"/>
  <c r="M24" i="26"/>
  <c r="L24" i="26"/>
  <c r="K24" i="26"/>
  <c r="R23" i="26"/>
  <c r="M23" i="26"/>
  <c r="L23" i="26"/>
  <c r="K23" i="26"/>
  <c r="R22" i="26"/>
  <c r="M22" i="26"/>
  <c r="L22" i="26"/>
  <c r="K22" i="26"/>
  <c r="R21" i="26"/>
  <c r="M21" i="26"/>
  <c r="L21" i="26"/>
  <c r="K21" i="26"/>
  <c r="R20" i="26"/>
  <c r="M20" i="26"/>
  <c r="L20" i="26"/>
  <c r="K20" i="26"/>
  <c r="R19" i="26"/>
  <c r="M19" i="26"/>
  <c r="L19" i="26"/>
  <c r="K19" i="26"/>
  <c r="R18" i="26"/>
  <c r="M18" i="26"/>
  <c r="L18" i="26"/>
  <c r="K18" i="26"/>
  <c r="R17" i="26"/>
  <c r="M17" i="26"/>
  <c r="L17" i="26"/>
  <c r="K17" i="26"/>
  <c r="E17" i="26"/>
  <c r="R16" i="26"/>
  <c r="M16" i="26"/>
  <c r="L16" i="26"/>
  <c r="K16" i="26"/>
  <c r="R15" i="26"/>
  <c r="M15" i="26"/>
  <c r="L15" i="26"/>
  <c r="K15" i="26"/>
  <c r="R14" i="26"/>
  <c r="M14" i="26"/>
  <c r="L14" i="26"/>
  <c r="K14" i="26"/>
  <c r="R13" i="26"/>
  <c r="M13" i="26"/>
  <c r="L13" i="26"/>
  <c r="K13" i="26"/>
  <c r="R12" i="26"/>
  <c r="M12" i="26"/>
  <c r="L12" i="26"/>
  <c r="K12" i="26"/>
  <c r="R11" i="26"/>
  <c r="M11" i="26"/>
  <c r="L11" i="26"/>
  <c r="K11" i="26"/>
  <c r="E11" i="26"/>
  <c r="R10" i="26"/>
  <c r="M10" i="26"/>
  <c r="L10" i="26"/>
  <c r="K10" i="26"/>
  <c r="R9" i="26"/>
  <c r="M9" i="26"/>
  <c r="L9" i="26"/>
  <c r="K9" i="26"/>
  <c r="R8" i="26"/>
  <c r="M8" i="26"/>
  <c r="L8" i="26"/>
  <c r="K8" i="26"/>
  <c r="R7" i="26"/>
  <c r="M7" i="26"/>
  <c r="L7" i="26"/>
  <c r="K7" i="26"/>
  <c r="E7" i="26"/>
  <c r="U161" i="16"/>
  <c r="T161" i="16"/>
  <c r="S161" i="16"/>
  <c r="U160" i="16"/>
  <c r="T160" i="16"/>
  <c r="S160" i="16"/>
  <c r="U159" i="16"/>
  <c r="T159" i="16"/>
  <c r="S159" i="16"/>
  <c r="U158" i="16"/>
  <c r="T158" i="16"/>
  <c r="S158" i="16"/>
  <c r="U145" i="16"/>
  <c r="T145" i="16"/>
  <c r="S145" i="16"/>
  <c r="U141" i="16"/>
  <c r="T141" i="16"/>
  <c r="S141" i="16"/>
  <c r="U137" i="16"/>
  <c r="T137" i="16"/>
  <c r="S137" i="16"/>
  <c r="U135" i="16"/>
  <c r="T135" i="16"/>
  <c r="S135" i="16"/>
  <c r="U133" i="16"/>
  <c r="T133" i="16"/>
  <c r="S133" i="16"/>
  <c r="U131" i="16"/>
  <c r="T131" i="16"/>
  <c r="S131" i="16"/>
  <c r="U126" i="16"/>
  <c r="T126" i="16"/>
  <c r="S126" i="16"/>
  <c r="R82" i="16"/>
  <c r="M82" i="16"/>
  <c r="L82" i="16"/>
  <c r="K82" i="16"/>
  <c r="R81" i="16"/>
  <c r="M81" i="16"/>
  <c r="L81" i="16"/>
  <c r="K81" i="16"/>
  <c r="R80" i="16"/>
  <c r="M80" i="16"/>
  <c r="L80" i="16"/>
  <c r="K80" i="16"/>
  <c r="R79" i="16"/>
  <c r="M79" i="16"/>
  <c r="L79" i="16"/>
  <c r="K79" i="16"/>
  <c r="R78" i="16"/>
  <c r="M78" i="16"/>
  <c r="L78" i="16"/>
  <c r="K78" i="16"/>
  <c r="R77" i="16"/>
  <c r="M77" i="16"/>
  <c r="L77" i="16"/>
  <c r="K77" i="16"/>
  <c r="R76" i="16"/>
  <c r="M76" i="16"/>
  <c r="L76" i="16"/>
  <c r="K76" i="16"/>
  <c r="R75" i="16"/>
  <c r="M75" i="16"/>
  <c r="L75" i="16"/>
  <c r="K75" i="16"/>
  <c r="R74" i="16"/>
  <c r="M74" i="16"/>
  <c r="L74" i="16"/>
  <c r="K74" i="16"/>
  <c r="E74" i="16"/>
  <c r="R73" i="16"/>
  <c r="M73" i="16"/>
  <c r="L73" i="16"/>
  <c r="K73" i="16"/>
  <c r="R72" i="16"/>
  <c r="M72" i="16"/>
  <c r="L72" i="16"/>
  <c r="K72" i="16"/>
  <c r="E72" i="16"/>
  <c r="R71" i="16"/>
  <c r="M71" i="16"/>
  <c r="L71" i="16"/>
  <c r="K71" i="16"/>
  <c r="R70" i="16"/>
  <c r="M70" i="16"/>
  <c r="L70" i="16"/>
  <c r="K70" i="16"/>
  <c r="E70" i="16"/>
  <c r="T155" i="16" s="1"/>
  <c r="R69" i="16"/>
  <c r="M69" i="16"/>
  <c r="L69" i="16"/>
  <c r="K69" i="16"/>
  <c r="R68" i="16"/>
  <c r="M68" i="16"/>
  <c r="L68" i="16"/>
  <c r="K68" i="16"/>
  <c r="E68" i="16"/>
  <c r="S154" i="16" s="1"/>
  <c r="R67" i="16"/>
  <c r="M67" i="16"/>
  <c r="L67" i="16"/>
  <c r="K67" i="16"/>
  <c r="R66" i="16"/>
  <c r="M66" i="16"/>
  <c r="L66" i="16"/>
  <c r="K66" i="16"/>
  <c r="E66" i="16"/>
  <c r="S153" i="16" s="1"/>
  <c r="R65" i="16"/>
  <c r="M65" i="16"/>
  <c r="L65" i="16"/>
  <c r="K65" i="16"/>
  <c r="R64" i="16"/>
  <c r="M64" i="16"/>
  <c r="L64" i="16"/>
  <c r="K64" i="16"/>
  <c r="E64" i="16"/>
  <c r="U152" i="16" s="1"/>
  <c r="R63" i="16"/>
  <c r="M63" i="16"/>
  <c r="L63" i="16"/>
  <c r="K63" i="16"/>
  <c r="R62" i="16"/>
  <c r="M62" i="16"/>
  <c r="L62" i="16"/>
  <c r="K62" i="16"/>
  <c r="E62" i="16"/>
  <c r="S151" i="16" s="1"/>
  <c r="R61" i="16"/>
  <c r="M61" i="16"/>
  <c r="L61" i="16"/>
  <c r="K61" i="16"/>
  <c r="R60" i="16"/>
  <c r="M60" i="16"/>
  <c r="L60" i="16"/>
  <c r="K60" i="16"/>
  <c r="E60" i="16"/>
  <c r="U150" i="16" s="1"/>
  <c r="R59" i="16"/>
  <c r="M59" i="16"/>
  <c r="L59" i="16"/>
  <c r="K59" i="16"/>
  <c r="R58" i="16"/>
  <c r="M58" i="16"/>
  <c r="L58" i="16"/>
  <c r="K58" i="16"/>
  <c r="E58" i="16"/>
  <c r="R57" i="16"/>
  <c r="M57" i="16"/>
  <c r="L57" i="16"/>
  <c r="K57" i="16"/>
  <c r="R56" i="16"/>
  <c r="M56" i="16"/>
  <c r="L56" i="16"/>
  <c r="K56" i="16"/>
  <c r="E56" i="16"/>
  <c r="S148" i="16" s="1"/>
  <c r="R55" i="16"/>
  <c r="M55" i="16"/>
  <c r="L55" i="16"/>
  <c r="K55" i="16"/>
  <c r="R54" i="16"/>
  <c r="M54" i="16"/>
  <c r="L54" i="16"/>
  <c r="K54" i="16"/>
  <c r="E54" i="16"/>
  <c r="T147" i="16" s="1"/>
  <c r="R53" i="16"/>
  <c r="M53" i="16"/>
  <c r="L53" i="16"/>
  <c r="K53" i="16"/>
  <c r="R52" i="16"/>
  <c r="M52" i="16"/>
  <c r="L52" i="16"/>
  <c r="K52" i="16"/>
  <c r="E52" i="16"/>
  <c r="T146" i="16" s="1"/>
  <c r="R51" i="16"/>
  <c r="M51" i="16"/>
  <c r="L51" i="16"/>
  <c r="K51" i="16"/>
  <c r="R50" i="16"/>
  <c r="M50" i="16"/>
  <c r="L50" i="16"/>
  <c r="K50" i="16"/>
  <c r="R49" i="16"/>
  <c r="M49" i="16"/>
  <c r="L49" i="16"/>
  <c r="K49" i="16"/>
  <c r="R48" i="16"/>
  <c r="M48" i="16"/>
  <c r="L48" i="16"/>
  <c r="K48" i="16"/>
  <c r="E48" i="16"/>
  <c r="S144" i="16" s="1"/>
  <c r="R47" i="16"/>
  <c r="M47" i="16"/>
  <c r="L47" i="16"/>
  <c r="K47" i="16"/>
  <c r="R46" i="16"/>
  <c r="M46" i="16"/>
  <c r="L46" i="16"/>
  <c r="K46" i="16"/>
  <c r="E46" i="16"/>
  <c r="S143" i="16" s="1"/>
  <c r="R45" i="16"/>
  <c r="M45" i="16"/>
  <c r="L45" i="16"/>
  <c r="K45" i="16"/>
  <c r="R44" i="16"/>
  <c r="M44" i="16"/>
  <c r="L44" i="16"/>
  <c r="K44" i="16"/>
  <c r="E44" i="16"/>
  <c r="S142" i="16" s="1"/>
  <c r="R43" i="16"/>
  <c r="M43" i="16"/>
  <c r="L43" i="16"/>
  <c r="K43" i="16"/>
  <c r="R42" i="16"/>
  <c r="M42" i="16"/>
  <c r="L42" i="16"/>
  <c r="K42" i="16"/>
  <c r="R41" i="16"/>
  <c r="L141" i="16" s="1"/>
  <c r="M41" i="16"/>
  <c r="L41" i="16"/>
  <c r="K41" i="16"/>
  <c r="R40" i="16"/>
  <c r="M40" i="16"/>
  <c r="L40" i="16"/>
  <c r="K40" i="16"/>
  <c r="E40" i="16"/>
  <c r="T140" i="16" s="1"/>
  <c r="R39" i="16"/>
  <c r="L140" i="16" s="1"/>
  <c r="M39" i="16"/>
  <c r="L39" i="16"/>
  <c r="K39" i="16"/>
  <c r="R38" i="16"/>
  <c r="M38" i="16"/>
  <c r="L38" i="16"/>
  <c r="K38" i="16"/>
  <c r="E38" i="16"/>
  <c r="U139" i="16" s="1"/>
  <c r="R37" i="16"/>
  <c r="M37" i="16"/>
  <c r="L37" i="16"/>
  <c r="K37" i="16"/>
  <c r="R36" i="16"/>
  <c r="M36" i="16"/>
  <c r="L36" i="16"/>
  <c r="K36" i="16"/>
  <c r="E36" i="16"/>
  <c r="R35" i="16"/>
  <c r="M35" i="16"/>
  <c r="L35" i="16"/>
  <c r="K35" i="16"/>
  <c r="R34" i="16"/>
  <c r="M34" i="16"/>
  <c r="D137" i="16" s="1"/>
  <c r="L34" i="16"/>
  <c r="K34" i="16"/>
  <c r="R33" i="16"/>
  <c r="M33" i="16"/>
  <c r="L33" i="16"/>
  <c r="K33" i="16"/>
  <c r="R32" i="16"/>
  <c r="M32" i="16"/>
  <c r="L32" i="16"/>
  <c r="K32" i="16"/>
  <c r="E32" i="16"/>
  <c r="R31" i="16"/>
  <c r="M31" i="16"/>
  <c r="L31" i="16"/>
  <c r="K31" i="16"/>
  <c r="R30" i="16"/>
  <c r="M30" i="16"/>
  <c r="L30" i="16"/>
  <c r="K30" i="16"/>
  <c r="R29" i="16"/>
  <c r="M29" i="16"/>
  <c r="L29" i="16"/>
  <c r="K29" i="16"/>
  <c r="R28" i="16"/>
  <c r="M28" i="16"/>
  <c r="L28" i="16"/>
  <c r="K28" i="16"/>
  <c r="E28" i="16"/>
  <c r="T134" i="16" s="1"/>
  <c r="R27" i="16"/>
  <c r="M27" i="16"/>
  <c r="L27" i="16"/>
  <c r="K27" i="16"/>
  <c r="R26" i="16"/>
  <c r="M26" i="16"/>
  <c r="L26" i="16"/>
  <c r="K26" i="16"/>
  <c r="R25" i="16"/>
  <c r="M25" i="16"/>
  <c r="L25" i="16"/>
  <c r="K25" i="16"/>
  <c r="R24" i="16"/>
  <c r="M24" i="16"/>
  <c r="L24" i="16"/>
  <c r="K24" i="16"/>
  <c r="E24" i="16"/>
  <c r="U132" i="16" s="1"/>
  <c r="R23" i="16"/>
  <c r="M23" i="16"/>
  <c r="L23" i="16"/>
  <c r="K23" i="16"/>
  <c r="R22" i="16"/>
  <c r="M22" i="16"/>
  <c r="L22" i="16"/>
  <c r="K22" i="16"/>
  <c r="R21" i="16"/>
  <c r="M21" i="16"/>
  <c r="L21" i="16"/>
  <c r="K21" i="16"/>
  <c r="R20" i="16"/>
  <c r="M20" i="16"/>
  <c r="L20" i="16"/>
  <c r="K20" i="16"/>
  <c r="E20" i="16"/>
  <c r="S130" i="16" s="1"/>
  <c r="R19" i="16"/>
  <c r="M19" i="16"/>
  <c r="L19" i="16"/>
  <c r="K19" i="16"/>
  <c r="R18" i="16"/>
  <c r="M18" i="16"/>
  <c r="L18" i="16"/>
  <c r="K18" i="16"/>
  <c r="R17" i="16"/>
  <c r="M17" i="16"/>
  <c r="L17" i="16"/>
  <c r="K17" i="16"/>
  <c r="E17" i="16"/>
  <c r="U129" i="16" s="1"/>
  <c r="R16" i="16"/>
  <c r="M16" i="16"/>
  <c r="L16" i="16"/>
  <c r="K16" i="16"/>
  <c r="R15" i="16"/>
  <c r="M15" i="16"/>
  <c r="L15" i="16"/>
  <c r="K15" i="16"/>
  <c r="E15" i="16"/>
  <c r="S128" i="16" s="1"/>
  <c r="R14" i="16"/>
  <c r="M14" i="16"/>
  <c r="L14" i="16"/>
  <c r="K14" i="16"/>
  <c r="R13" i="16"/>
  <c r="M13" i="16"/>
  <c r="L13" i="16"/>
  <c r="K13" i="16"/>
  <c r="E13" i="16"/>
  <c r="U127" i="16" s="1"/>
  <c r="R12" i="16"/>
  <c r="M12" i="16"/>
  <c r="L12" i="16"/>
  <c r="K12" i="16"/>
  <c r="R11" i="16"/>
  <c r="M11" i="16"/>
  <c r="L11" i="16"/>
  <c r="K11" i="16"/>
  <c r="R10" i="16"/>
  <c r="M10" i="16"/>
  <c r="L10" i="16"/>
  <c r="K10" i="16"/>
  <c r="R9" i="16"/>
  <c r="M9" i="16"/>
  <c r="L9" i="16"/>
  <c r="K9" i="16"/>
  <c r="R8" i="16"/>
  <c r="M8" i="16"/>
  <c r="L8" i="16"/>
  <c r="K8" i="16"/>
  <c r="R7" i="16"/>
  <c r="M7" i="16"/>
  <c r="L7" i="16"/>
  <c r="K7" i="16"/>
  <c r="E7" i="16"/>
  <c r="S125" i="16" s="1"/>
  <c r="U192" i="17"/>
  <c r="T192" i="17"/>
  <c r="S192" i="17"/>
  <c r="U191" i="17"/>
  <c r="T191" i="17"/>
  <c r="S191" i="17"/>
  <c r="U190" i="17"/>
  <c r="T190" i="17"/>
  <c r="S190" i="17"/>
  <c r="U189" i="17"/>
  <c r="T189" i="17"/>
  <c r="S189" i="17"/>
  <c r="U188" i="17"/>
  <c r="T188" i="17"/>
  <c r="S188" i="17"/>
  <c r="U187" i="17"/>
  <c r="T187" i="17"/>
  <c r="S187" i="17"/>
  <c r="U186" i="17"/>
  <c r="T186" i="17"/>
  <c r="S186" i="17"/>
  <c r="U184" i="17"/>
  <c r="T184" i="17"/>
  <c r="S184" i="17"/>
  <c r="U172" i="17"/>
  <c r="T172" i="17"/>
  <c r="S172" i="17"/>
  <c r="U168" i="17"/>
  <c r="T168" i="17"/>
  <c r="S168" i="17"/>
  <c r="U167" i="17"/>
  <c r="T167" i="17"/>
  <c r="S167" i="17"/>
  <c r="U164" i="17"/>
  <c r="S164" i="17"/>
  <c r="U162" i="17"/>
  <c r="T162" i="17"/>
  <c r="S162" i="17"/>
  <c r="U160" i="17"/>
  <c r="T160" i="17"/>
  <c r="S160" i="17"/>
  <c r="U159" i="17"/>
  <c r="T159" i="17"/>
  <c r="S159" i="17"/>
  <c r="U158" i="17"/>
  <c r="T158" i="17"/>
  <c r="S158" i="17"/>
  <c r="U155" i="17"/>
  <c r="T155" i="17"/>
  <c r="S155" i="17"/>
  <c r="U154" i="17"/>
  <c r="T154" i="17"/>
  <c r="S154" i="17"/>
  <c r="U150" i="17"/>
  <c r="U148" i="17"/>
  <c r="U147" i="17"/>
  <c r="U146" i="17"/>
  <c r="U144" i="17"/>
  <c r="T144" i="17"/>
  <c r="S144" i="17"/>
  <c r="U142" i="17"/>
  <c r="T142" i="17"/>
  <c r="S142" i="17"/>
  <c r="U140" i="17"/>
  <c r="T140" i="17"/>
  <c r="R115" i="17"/>
  <c r="M115" i="17"/>
  <c r="L115" i="17"/>
  <c r="K115" i="17"/>
  <c r="R114" i="17"/>
  <c r="M114" i="17"/>
  <c r="L114" i="17"/>
  <c r="K114" i="17"/>
  <c r="R113" i="17"/>
  <c r="M113" i="17"/>
  <c r="L113" i="17"/>
  <c r="K113" i="17"/>
  <c r="R112" i="17"/>
  <c r="M112" i="17"/>
  <c r="L112" i="17"/>
  <c r="K112" i="17"/>
  <c r="R111" i="17"/>
  <c r="M111" i="17"/>
  <c r="L111" i="17"/>
  <c r="K111" i="17"/>
  <c r="R110" i="17"/>
  <c r="M110" i="17"/>
  <c r="L110" i="17"/>
  <c r="K110" i="17"/>
  <c r="R109" i="17"/>
  <c r="M109" i="17"/>
  <c r="L109" i="17"/>
  <c r="K109" i="17"/>
  <c r="R108" i="17"/>
  <c r="M108" i="17"/>
  <c r="L108" i="17"/>
  <c r="K108" i="17"/>
  <c r="R107" i="17"/>
  <c r="M107" i="17"/>
  <c r="L107" i="17"/>
  <c r="K107" i="17"/>
  <c r="R106" i="17"/>
  <c r="M106" i="17"/>
  <c r="L106" i="17"/>
  <c r="K106" i="17"/>
  <c r="R105" i="17"/>
  <c r="M105" i="17"/>
  <c r="L105" i="17"/>
  <c r="K105" i="17"/>
  <c r="R104" i="17"/>
  <c r="M104" i="17"/>
  <c r="L104" i="17"/>
  <c r="K104" i="17"/>
  <c r="R103" i="17"/>
  <c r="M103" i="17"/>
  <c r="L103" i="17"/>
  <c r="K103" i="17"/>
  <c r="R102" i="17"/>
  <c r="M102" i="17"/>
  <c r="L102" i="17"/>
  <c r="K102" i="17"/>
  <c r="R101" i="17"/>
  <c r="M101" i="17"/>
  <c r="L101" i="17"/>
  <c r="K101" i="17"/>
  <c r="R100" i="17"/>
  <c r="M100" i="17"/>
  <c r="L100" i="17"/>
  <c r="K100" i="17"/>
  <c r="E100" i="17"/>
  <c r="R99" i="17"/>
  <c r="M99" i="17"/>
  <c r="L99" i="17"/>
  <c r="K99" i="17"/>
  <c r="R98" i="17"/>
  <c r="M98" i="17"/>
  <c r="L98" i="17"/>
  <c r="K98" i="17"/>
  <c r="R97" i="17"/>
  <c r="M97" i="17"/>
  <c r="L97" i="17"/>
  <c r="K97" i="17"/>
  <c r="E97" i="17"/>
  <c r="S183" i="17" s="1"/>
  <c r="R96" i="17"/>
  <c r="M96" i="17"/>
  <c r="L96" i="17"/>
  <c r="K96" i="17"/>
  <c r="R95" i="17"/>
  <c r="M95" i="17"/>
  <c r="L95" i="17"/>
  <c r="K95" i="17"/>
  <c r="E95" i="17"/>
  <c r="U182" i="17" s="1"/>
  <c r="R94" i="17"/>
  <c r="M94" i="17"/>
  <c r="L94" i="17"/>
  <c r="K94" i="17"/>
  <c r="R93" i="17"/>
  <c r="M93" i="17"/>
  <c r="L93" i="17"/>
  <c r="K93" i="17"/>
  <c r="E93" i="17"/>
  <c r="S181" i="17" s="1"/>
  <c r="R92" i="17"/>
  <c r="M92" i="17"/>
  <c r="L92" i="17"/>
  <c r="K92" i="17"/>
  <c r="R91" i="17"/>
  <c r="M91" i="17"/>
  <c r="L91" i="17"/>
  <c r="K91" i="17"/>
  <c r="E91" i="17"/>
  <c r="R90" i="17"/>
  <c r="M90" i="17"/>
  <c r="L90" i="17"/>
  <c r="K90" i="17"/>
  <c r="R89" i="17"/>
  <c r="M89" i="17"/>
  <c r="L89" i="17"/>
  <c r="K89" i="17"/>
  <c r="E89" i="17"/>
  <c r="S179" i="17" s="1"/>
  <c r="R88" i="17"/>
  <c r="M88" i="17"/>
  <c r="L88" i="17"/>
  <c r="K88" i="17"/>
  <c r="R87" i="17"/>
  <c r="M87" i="17"/>
  <c r="L87" i="17"/>
  <c r="K87" i="17"/>
  <c r="E87" i="17"/>
  <c r="U178" i="17" s="1"/>
  <c r="R86" i="17"/>
  <c r="M86" i="17"/>
  <c r="L86" i="17"/>
  <c r="K86" i="17"/>
  <c r="R85" i="17"/>
  <c r="M85" i="17"/>
  <c r="L85" i="17"/>
  <c r="K85" i="17"/>
  <c r="E85" i="17"/>
  <c r="U177" i="17" s="1"/>
  <c r="R84" i="17"/>
  <c r="M84" i="17"/>
  <c r="L84" i="17"/>
  <c r="K84" i="17"/>
  <c r="R83" i="17"/>
  <c r="M83" i="17"/>
  <c r="L83" i="17"/>
  <c r="K83" i="17"/>
  <c r="E83" i="17"/>
  <c r="S176" i="17" s="1"/>
  <c r="R82" i="17"/>
  <c r="M82" i="17"/>
  <c r="L82" i="17"/>
  <c r="K82" i="17"/>
  <c r="R81" i="17"/>
  <c r="M81" i="17"/>
  <c r="L81" i="17"/>
  <c r="K81" i="17"/>
  <c r="E81" i="17"/>
  <c r="T175" i="17" s="1"/>
  <c r="R80" i="17"/>
  <c r="M80" i="17"/>
  <c r="L80" i="17"/>
  <c r="K80" i="17"/>
  <c r="R79" i="17"/>
  <c r="M79" i="17"/>
  <c r="L79" i="17"/>
  <c r="K79" i="17"/>
  <c r="E79" i="17"/>
  <c r="U174" i="17" s="1"/>
  <c r="R78" i="17"/>
  <c r="M78" i="17"/>
  <c r="L78" i="17"/>
  <c r="K78" i="17"/>
  <c r="R77" i="17"/>
  <c r="M77" i="17"/>
  <c r="L77" i="17"/>
  <c r="K77" i="17"/>
  <c r="E77" i="17"/>
  <c r="U173" i="17" s="1"/>
  <c r="R76" i="17"/>
  <c r="M76" i="17"/>
  <c r="L76" i="17"/>
  <c r="K76" i="17"/>
  <c r="R75" i="17"/>
  <c r="M75" i="17"/>
  <c r="L75" i="17"/>
  <c r="K75" i="17"/>
  <c r="R74" i="17"/>
  <c r="M74" i="17"/>
  <c r="L74" i="17"/>
  <c r="K74" i="17"/>
  <c r="R73" i="17"/>
  <c r="M73" i="17"/>
  <c r="L73" i="17"/>
  <c r="K73" i="17"/>
  <c r="E73" i="17"/>
  <c r="U171" i="17" s="1"/>
  <c r="R72" i="17"/>
  <c r="M72" i="17"/>
  <c r="L72" i="17"/>
  <c r="K72" i="17"/>
  <c r="R71" i="17"/>
  <c r="M71" i="17"/>
  <c r="L71" i="17"/>
  <c r="K71" i="17"/>
  <c r="E71" i="17"/>
  <c r="S170" i="17" s="1"/>
  <c r="R70" i="17"/>
  <c r="M70" i="17"/>
  <c r="L70" i="17"/>
  <c r="K70" i="17"/>
  <c r="R69" i="17"/>
  <c r="M69" i="17"/>
  <c r="L69" i="17"/>
  <c r="K69" i="17"/>
  <c r="E69" i="17"/>
  <c r="U169" i="17" s="1"/>
  <c r="R68" i="17"/>
  <c r="M68" i="17"/>
  <c r="L68" i="17"/>
  <c r="K68" i="17"/>
  <c r="R67" i="17"/>
  <c r="M67" i="17"/>
  <c r="L67" i="17"/>
  <c r="K67" i="17"/>
  <c r="R66" i="17"/>
  <c r="M66" i="17"/>
  <c r="L66" i="17"/>
  <c r="K66" i="17"/>
  <c r="R65" i="17"/>
  <c r="M65" i="17"/>
  <c r="L65" i="17"/>
  <c r="K65" i="17"/>
  <c r="R64" i="17"/>
  <c r="M64" i="17"/>
  <c r="L64" i="17"/>
  <c r="K64" i="17"/>
  <c r="R63" i="17"/>
  <c r="M63" i="17"/>
  <c r="L63" i="17"/>
  <c r="K63" i="17"/>
  <c r="E63" i="17"/>
  <c r="M62" i="17"/>
  <c r="L62" i="17"/>
  <c r="K62" i="17"/>
  <c r="R61" i="17"/>
  <c r="M61" i="17"/>
  <c r="L61" i="17"/>
  <c r="K61" i="17"/>
  <c r="E61" i="17"/>
  <c r="M60" i="17"/>
  <c r="L60" i="17"/>
  <c r="K60" i="17"/>
  <c r="R59" i="17"/>
  <c r="M59" i="17"/>
  <c r="L59" i="17"/>
  <c r="K59" i="17"/>
  <c r="R58" i="17"/>
  <c r="M58" i="17"/>
  <c r="L58" i="17"/>
  <c r="K58" i="17"/>
  <c r="R57" i="17"/>
  <c r="M57" i="17"/>
  <c r="L57" i="17"/>
  <c r="K57" i="17"/>
  <c r="E57" i="17"/>
  <c r="U163" i="17" s="1"/>
  <c r="R56" i="17"/>
  <c r="M56" i="17"/>
  <c r="L56" i="17"/>
  <c r="K56" i="17"/>
  <c r="R55" i="17"/>
  <c r="M55" i="17"/>
  <c r="L55" i="17"/>
  <c r="K55" i="17"/>
  <c r="R54" i="17"/>
  <c r="M54" i="17"/>
  <c r="L54" i="17"/>
  <c r="K54" i="17"/>
  <c r="R53" i="17"/>
  <c r="M53" i="17"/>
  <c r="L53" i="17"/>
  <c r="K53" i="17"/>
  <c r="E53" i="17"/>
  <c r="T161" i="17" s="1"/>
  <c r="R52" i="17"/>
  <c r="M52" i="17"/>
  <c r="L52" i="17"/>
  <c r="K52" i="17"/>
  <c r="R51" i="17"/>
  <c r="M51" i="17"/>
  <c r="L51" i="17"/>
  <c r="K51" i="17"/>
  <c r="R50" i="17"/>
  <c r="M50" i="17"/>
  <c r="L50" i="17"/>
  <c r="K50" i="17"/>
  <c r="R49" i="17"/>
  <c r="M49" i="17"/>
  <c r="L49" i="17"/>
  <c r="K49" i="17"/>
  <c r="R48" i="17"/>
  <c r="M48" i="17"/>
  <c r="L48" i="17"/>
  <c r="K48" i="17"/>
  <c r="R47" i="17"/>
  <c r="M47" i="17"/>
  <c r="L47" i="17"/>
  <c r="K47" i="17"/>
  <c r="R46" i="17"/>
  <c r="M46" i="17"/>
  <c r="L46" i="17"/>
  <c r="K46" i="17"/>
  <c r="R45" i="17"/>
  <c r="M45" i="17"/>
  <c r="L45" i="17"/>
  <c r="K45" i="17"/>
  <c r="R44" i="17"/>
  <c r="M44" i="17"/>
  <c r="L44" i="17"/>
  <c r="K44" i="17"/>
  <c r="E44" i="17"/>
  <c r="U157" i="17" s="1"/>
  <c r="R43" i="17"/>
  <c r="M43" i="17"/>
  <c r="L43" i="17"/>
  <c r="K43" i="17"/>
  <c r="R42" i="17"/>
  <c r="M42" i="17"/>
  <c r="L42" i="17"/>
  <c r="K42" i="17"/>
  <c r="E42" i="17"/>
  <c r="U156" i="17" s="1"/>
  <c r="R41" i="17"/>
  <c r="M41" i="17"/>
  <c r="L41" i="17"/>
  <c r="K41" i="17"/>
  <c r="R40" i="17"/>
  <c r="M40" i="17"/>
  <c r="L40" i="17"/>
  <c r="K40" i="17"/>
  <c r="R39" i="17"/>
  <c r="M39" i="17"/>
  <c r="L39" i="17"/>
  <c r="K39" i="17"/>
  <c r="R38" i="17"/>
  <c r="M38" i="17"/>
  <c r="L38" i="17"/>
  <c r="K38" i="17"/>
  <c r="R37" i="17"/>
  <c r="M37" i="17"/>
  <c r="L37" i="17"/>
  <c r="K37" i="17"/>
  <c r="R36" i="17"/>
  <c r="M36" i="17"/>
  <c r="L36" i="17"/>
  <c r="K36" i="17"/>
  <c r="E36" i="17"/>
  <c r="M35" i="17"/>
  <c r="L35" i="17"/>
  <c r="K35" i="17"/>
  <c r="M34" i="17"/>
  <c r="L34" i="17"/>
  <c r="K34" i="17"/>
  <c r="E34" i="17"/>
  <c r="U152" i="17" s="1"/>
  <c r="R33" i="17"/>
  <c r="M33" i="17"/>
  <c r="L33" i="17"/>
  <c r="K33" i="17"/>
  <c r="R32" i="17"/>
  <c r="M32" i="17"/>
  <c r="L32" i="17"/>
  <c r="K32" i="17"/>
  <c r="E32" i="17"/>
  <c r="U151" i="17" s="1"/>
  <c r="M31" i="17"/>
  <c r="L31" i="17"/>
  <c r="K31" i="17"/>
  <c r="R30" i="17"/>
  <c r="M30" i="17"/>
  <c r="L30" i="17"/>
  <c r="K30" i="17"/>
  <c r="T150" i="17"/>
  <c r="M29" i="17"/>
  <c r="L29" i="17"/>
  <c r="K29" i="17"/>
  <c r="R28" i="17"/>
  <c r="M28" i="17"/>
  <c r="L28" i="17"/>
  <c r="K28" i="17"/>
  <c r="E28" i="17"/>
  <c r="T149" i="17" s="1"/>
  <c r="M27" i="17"/>
  <c r="L27" i="17"/>
  <c r="K27" i="17"/>
  <c r="R26" i="17"/>
  <c r="M26" i="17"/>
  <c r="L26" i="17"/>
  <c r="K26" i="17"/>
  <c r="T148" i="17"/>
  <c r="M25" i="17"/>
  <c r="L25" i="17"/>
  <c r="K25" i="17"/>
  <c r="R24" i="17"/>
  <c r="M24" i="17"/>
  <c r="L24" i="17"/>
  <c r="K24" i="17"/>
  <c r="M23" i="17"/>
  <c r="L23" i="17"/>
  <c r="K23" i="17"/>
  <c r="R22" i="17"/>
  <c r="M22" i="17"/>
  <c r="L22" i="17"/>
  <c r="K22" i="17"/>
  <c r="M21" i="17"/>
  <c r="L21" i="17"/>
  <c r="K21" i="17"/>
  <c r="M20" i="17"/>
  <c r="L20" i="17"/>
  <c r="K20" i="17"/>
  <c r="E20" i="17"/>
  <c r="R19" i="17"/>
  <c r="M19" i="17"/>
  <c r="L19" i="17"/>
  <c r="K19" i="17"/>
  <c r="R18" i="17"/>
  <c r="M18" i="17"/>
  <c r="L18" i="17"/>
  <c r="K18" i="17"/>
  <c r="R17" i="17"/>
  <c r="M17" i="17"/>
  <c r="L17" i="17"/>
  <c r="K17" i="17"/>
  <c r="R16" i="17"/>
  <c r="M16" i="17"/>
  <c r="L16" i="17"/>
  <c r="K16" i="17"/>
  <c r="E16" i="17"/>
  <c r="U143" i="17" s="1"/>
  <c r="M15" i="17"/>
  <c r="L15" i="17"/>
  <c r="K15" i="17"/>
  <c r="R14" i="17"/>
  <c r="M14" i="17"/>
  <c r="L14" i="17"/>
  <c r="K14" i="17"/>
  <c r="R13" i="17"/>
  <c r="M13" i="17"/>
  <c r="L13" i="17"/>
  <c r="K13" i="17"/>
  <c r="R12" i="17"/>
  <c r="M12" i="17"/>
  <c r="L12" i="17"/>
  <c r="K12" i="17"/>
  <c r="R11" i="17"/>
  <c r="M11" i="17"/>
  <c r="L11" i="17"/>
  <c r="K11" i="17"/>
  <c r="E11" i="17"/>
  <c r="R10" i="17"/>
  <c r="M10" i="17"/>
  <c r="L10" i="17"/>
  <c r="K10" i="17"/>
  <c r="R9" i="17"/>
  <c r="M9" i="17"/>
  <c r="L9" i="17"/>
  <c r="K9" i="17"/>
  <c r="R8" i="17"/>
  <c r="M8" i="17"/>
  <c r="L8" i="17"/>
  <c r="K8" i="17"/>
  <c r="U196" i="18"/>
  <c r="T196" i="18"/>
  <c r="S196" i="18"/>
  <c r="U195" i="18"/>
  <c r="T195" i="18"/>
  <c r="U194" i="18"/>
  <c r="T194" i="18"/>
  <c r="S194" i="18"/>
  <c r="U193" i="18"/>
  <c r="T193" i="18"/>
  <c r="S193" i="18"/>
  <c r="U191" i="18"/>
  <c r="T191" i="18"/>
  <c r="S191" i="18"/>
  <c r="U190" i="18"/>
  <c r="T190" i="18"/>
  <c r="S190" i="18"/>
  <c r="U184" i="18"/>
  <c r="T184" i="18"/>
  <c r="S184" i="18"/>
  <c r="U176" i="18"/>
  <c r="T176" i="18"/>
  <c r="S176" i="18"/>
  <c r="U172" i="18"/>
  <c r="T172" i="18"/>
  <c r="S172" i="18"/>
  <c r="U170" i="18"/>
  <c r="T170" i="18"/>
  <c r="S170" i="18"/>
  <c r="U169" i="18"/>
  <c r="T169" i="18"/>
  <c r="S169" i="18"/>
  <c r="U167" i="18"/>
  <c r="T167" i="18"/>
  <c r="S167" i="18"/>
  <c r="U166" i="18"/>
  <c r="T166" i="18"/>
  <c r="S166" i="18"/>
  <c r="U164" i="18"/>
  <c r="T164" i="18"/>
  <c r="S164" i="18"/>
  <c r="U163" i="18"/>
  <c r="T163" i="18"/>
  <c r="S163" i="18"/>
  <c r="U161" i="18"/>
  <c r="T161" i="18"/>
  <c r="S161" i="18"/>
  <c r="U160" i="18"/>
  <c r="T160" i="18"/>
  <c r="S160" i="18"/>
  <c r="U157" i="18"/>
  <c r="T157" i="18"/>
  <c r="S157" i="18"/>
  <c r="U155" i="18"/>
  <c r="T155" i="18"/>
  <c r="S155" i="18"/>
  <c r="U154" i="18"/>
  <c r="T154" i="18"/>
  <c r="S154" i="18"/>
  <c r="U152" i="18"/>
  <c r="T152" i="18"/>
  <c r="S152" i="18"/>
  <c r="U151" i="18"/>
  <c r="T151" i="18"/>
  <c r="S151" i="18"/>
  <c r="U149" i="18"/>
  <c r="T149" i="18"/>
  <c r="S149" i="18"/>
  <c r="U148" i="18"/>
  <c r="T148" i="18"/>
  <c r="S148" i="18"/>
  <c r="U146" i="18"/>
  <c r="T146" i="18"/>
  <c r="S146" i="18"/>
  <c r="U145" i="18"/>
  <c r="T145" i="18"/>
  <c r="S145" i="18"/>
  <c r="R116" i="18"/>
  <c r="M116" i="18"/>
  <c r="L116" i="18"/>
  <c r="K116" i="18"/>
  <c r="R115" i="18"/>
  <c r="M115" i="18"/>
  <c r="L115" i="18"/>
  <c r="K115" i="18"/>
  <c r="R114" i="18"/>
  <c r="M114" i="18"/>
  <c r="L114" i="18"/>
  <c r="K114" i="18"/>
  <c r="R113" i="18"/>
  <c r="M113" i="18"/>
  <c r="L113" i="18"/>
  <c r="K113" i="18"/>
  <c r="R112" i="18"/>
  <c r="M112" i="18"/>
  <c r="L112" i="18"/>
  <c r="K112" i="18"/>
  <c r="R111" i="18"/>
  <c r="M111" i="18"/>
  <c r="L111" i="18"/>
  <c r="K111" i="18"/>
  <c r="R110" i="18"/>
  <c r="M110" i="18"/>
  <c r="L110" i="18"/>
  <c r="K110" i="18"/>
  <c r="R109" i="18"/>
  <c r="M109" i="18"/>
  <c r="L109" i="18"/>
  <c r="K109" i="18"/>
  <c r="M108" i="18"/>
  <c r="L108" i="18"/>
  <c r="K108" i="18"/>
  <c r="E108" i="18"/>
  <c r="R107" i="18"/>
  <c r="M107" i="18"/>
  <c r="L107" i="18"/>
  <c r="K107" i="18"/>
  <c r="R106" i="18"/>
  <c r="M106" i="18"/>
  <c r="L106" i="18"/>
  <c r="K106" i="18"/>
  <c r="R105" i="18"/>
  <c r="M105" i="18"/>
  <c r="L105" i="18"/>
  <c r="K105" i="18"/>
  <c r="R104" i="18"/>
  <c r="M104" i="18"/>
  <c r="L104" i="18"/>
  <c r="K104" i="18"/>
  <c r="R103" i="18"/>
  <c r="M103" i="18"/>
  <c r="L103" i="18"/>
  <c r="K103" i="18"/>
  <c r="R102" i="18"/>
  <c r="M102" i="18"/>
  <c r="L102" i="18"/>
  <c r="K102" i="18"/>
  <c r="E102" i="18"/>
  <c r="U189" i="18" s="1"/>
  <c r="R101" i="18"/>
  <c r="M101" i="18"/>
  <c r="L101" i="18"/>
  <c r="K101" i="18"/>
  <c r="R100" i="18"/>
  <c r="M100" i="18"/>
  <c r="L100" i="18"/>
  <c r="K100" i="18"/>
  <c r="R99" i="18"/>
  <c r="M99" i="18"/>
  <c r="L99" i="18"/>
  <c r="K99" i="18"/>
  <c r="R98" i="18"/>
  <c r="M98" i="18"/>
  <c r="L98" i="18"/>
  <c r="K98" i="18"/>
  <c r="R97" i="18"/>
  <c r="M97" i="18"/>
  <c r="L97" i="18"/>
  <c r="K97" i="18"/>
  <c r="E97" i="18"/>
  <c r="U187" i="18" s="1"/>
  <c r="R96" i="18"/>
  <c r="M96" i="18"/>
  <c r="L96" i="18"/>
  <c r="K96" i="18"/>
  <c r="R95" i="18"/>
  <c r="M95" i="18"/>
  <c r="L95" i="18"/>
  <c r="K95" i="18"/>
  <c r="E95" i="18"/>
  <c r="T186" i="18" s="1"/>
  <c r="R94" i="18"/>
  <c r="M94" i="18"/>
  <c r="L94" i="18"/>
  <c r="K94" i="18"/>
  <c r="R93" i="18"/>
  <c r="M93" i="18"/>
  <c r="L93" i="18"/>
  <c r="K93" i="18"/>
  <c r="E93" i="18"/>
  <c r="U185" i="18" s="1"/>
  <c r="R92" i="18"/>
  <c r="M92" i="18"/>
  <c r="L92" i="18"/>
  <c r="K92" i="18"/>
  <c r="R91" i="18"/>
  <c r="M91" i="18"/>
  <c r="L91" i="18"/>
  <c r="K91" i="18"/>
  <c r="R90" i="18"/>
  <c r="M90" i="18"/>
  <c r="L90" i="18"/>
  <c r="K90" i="18"/>
  <c r="R89" i="18"/>
  <c r="M89" i="18"/>
  <c r="L89" i="18"/>
  <c r="K89" i="18"/>
  <c r="E89" i="18"/>
  <c r="R88" i="18"/>
  <c r="M88" i="18"/>
  <c r="L88" i="18"/>
  <c r="K88" i="18"/>
  <c r="R87" i="18"/>
  <c r="M87" i="18"/>
  <c r="L87" i="18"/>
  <c r="K87" i="18"/>
  <c r="E87" i="18"/>
  <c r="R86" i="18"/>
  <c r="M86" i="18"/>
  <c r="L86" i="18"/>
  <c r="K86" i="18"/>
  <c r="R85" i="18"/>
  <c r="M85" i="18"/>
  <c r="L85" i="18"/>
  <c r="K85" i="18"/>
  <c r="E85" i="18"/>
  <c r="T181" i="18" s="1"/>
  <c r="R84" i="18"/>
  <c r="M84" i="18"/>
  <c r="L84" i="18"/>
  <c r="K84" i="18"/>
  <c r="R83" i="18"/>
  <c r="M83" i="18"/>
  <c r="L83" i="18"/>
  <c r="K83" i="18"/>
  <c r="R81" i="18"/>
  <c r="M81" i="18"/>
  <c r="L81" i="18"/>
  <c r="K81" i="18"/>
  <c r="R80" i="18"/>
  <c r="M80" i="18"/>
  <c r="L80" i="18"/>
  <c r="K80" i="18"/>
  <c r="E80" i="18"/>
  <c r="U179" i="18" s="1"/>
  <c r="R79" i="18"/>
  <c r="M79" i="18"/>
  <c r="L79" i="18"/>
  <c r="K79" i="18"/>
  <c r="R78" i="18"/>
  <c r="M78" i="18"/>
  <c r="L78" i="18"/>
  <c r="K78" i="18"/>
  <c r="E78" i="18"/>
  <c r="T178" i="18" s="1"/>
  <c r="R77" i="18"/>
  <c r="M77" i="18"/>
  <c r="L77" i="18"/>
  <c r="K77" i="18"/>
  <c r="R76" i="18"/>
  <c r="M76" i="18"/>
  <c r="L76" i="18"/>
  <c r="K76" i="18"/>
  <c r="E76" i="18"/>
  <c r="S177" i="18" s="1"/>
  <c r="R75" i="18"/>
  <c r="M75" i="18"/>
  <c r="L75" i="18"/>
  <c r="K75" i="18"/>
  <c r="R74" i="18"/>
  <c r="M74" i="18"/>
  <c r="L74" i="18"/>
  <c r="K74" i="18"/>
  <c r="R73" i="18"/>
  <c r="M73" i="18"/>
  <c r="L73" i="18"/>
  <c r="K73" i="18"/>
  <c r="R72" i="18"/>
  <c r="M72" i="18"/>
  <c r="L72" i="18"/>
  <c r="K72" i="18"/>
  <c r="E72" i="18"/>
  <c r="R71" i="18"/>
  <c r="M71" i="18"/>
  <c r="L71" i="18"/>
  <c r="K71" i="18"/>
  <c r="R70" i="18"/>
  <c r="M70" i="18"/>
  <c r="L70" i="18"/>
  <c r="K70" i="18"/>
  <c r="E70" i="18"/>
  <c r="R69" i="18"/>
  <c r="M69" i="18"/>
  <c r="L69" i="18"/>
  <c r="K69" i="18"/>
  <c r="R68" i="18"/>
  <c r="M68" i="18"/>
  <c r="L68" i="18"/>
  <c r="K68" i="18"/>
  <c r="E68" i="18"/>
  <c r="R67" i="18"/>
  <c r="M67" i="18"/>
  <c r="L67" i="18"/>
  <c r="K67" i="18"/>
  <c r="R66" i="18"/>
  <c r="M66" i="18"/>
  <c r="L66" i="18"/>
  <c r="K66" i="18"/>
  <c r="R65" i="18"/>
  <c r="M65" i="18"/>
  <c r="L65" i="18"/>
  <c r="K65" i="18"/>
  <c r="R64" i="18"/>
  <c r="M64" i="18"/>
  <c r="L64" i="18"/>
  <c r="K64" i="18"/>
  <c r="E64" i="18"/>
  <c r="U171" i="18" s="1"/>
  <c r="R63" i="18"/>
  <c r="M63" i="18"/>
  <c r="L63" i="18"/>
  <c r="K63" i="18"/>
  <c r="R62" i="18"/>
  <c r="M62" i="18"/>
  <c r="L62" i="18"/>
  <c r="K62" i="18"/>
  <c r="R61" i="18"/>
  <c r="M61" i="18"/>
  <c r="L61" i="18"/>
  <c r="K61" i="18"/>
  <c r="R60" i="18"/>
  <c r="M60" i="18"/>
  <c r="L60" i="18"/>
  <c r="K60" i="18"/>
  <c r="R59" i="18"/>
  <c r="M59" i="18"/>
  <c r="L59" i="18"/>
  <c r="K59" i="18"/>
  <c r="R58" i="18"/>
  <c r="M58" i="18"/>
  <c r="L58" i="18"/>
  <c r="K58" i="18"/>
  <c r="E58" i="18"/>
  <c r="R57" i="18"/>
  <c r="M57" i="18"/>
  <c r="L57" i="18"/>
  <c r="K57" i="18"/>
  <c r="R56" i="18"/>
  <c r="M56" i="18"/>
  <c r="L56" i="18"/>
  <c r="K56" i="18"/>
  <c r="R55" i="18"/>
  <c r="M55" i="18"/>
  <c r="L55" i="18"/>
  <c r="K55" i="18"/>
  <c r="R54" i="18"/>
  <c r="M54" i="18"/>
  <c r="L54" i="18"/>
  <c r="K54" i="18"/>
  <c r="R53" i="18"/>
  <c r="M53" i="18"/>
  <c r="L53" i="18"/>
  <c r="K53" i="18"/>
  <c r="R52" i="18"/>
  <c r="M52" i="18"/>
  <c r="L52" i="18"/>
  <c r="K52" i="18"/>
  <c r="E52" i="18"/>
  <c r="R51" i="18"/>
  <c r="M51" i="18"/>
  <c r="L51" i="18"/>
  <c r="K51" i="18"/>
  <c r="R50" i="18"/>
  <c r="M50" i="18"/>
  <c r="L50" i="18"/>
  <c r="K50" i="18"/>
  <c r="R49" i="18"/>
  <c r="M49" i="18"/>
  <c r="L49" i="18"/>
  <c r="K49" i="18"/>
  <c r="R48" i="18"/>
  <c r="M48" i="18"/>
  <c r="L48" i="18"/>
  <c r="K48" i="18"/>
  <c r="R47" i="18"/>
  <c r="M47" i="18"/>
  <c r="L47" i="18"/>
  <c r="K47" i="18"/>
  <c r="R46" i="18"/>
  <c r="M46" i="18"/>
  <c r="L46" i="18"/>
  <c r="K46" i="18"/>
  <c r="E46" i="18"/>
  <c r="S162" i="18" s="1"/>
  <c r="R45" i="18"/>
  <c r="M45" i="18"/>
  <c r="L45" i="18"/>
  <c r="K45" i="18"/>
  <c r="R44" i="18"/>
  <c r="M44" i="18"/>
  <c r="L44" i="18"/>
  <c r="K44" i="18"/>
  <c r="R43" i="18"/>
  <c r="M43" i="18"/>
  <c r="L43" i="18"/>
  <c r="K43" i="18"/>
  <c r="R42" i="18"/>
  <c r="M42" i="18"/>
  <c r="L42" i="18"/>
  <c r="K42" i="18"/>
  <c r="R41" i="18"/>
  <c r="M41" i="18"/>
  <c r="L41" i="18"/>
  <c r="K41" i="18"/>
  <c r="R40" i="18"/>
  <c r="M40" i="18"/>
  <c r="L40" i="18"/>
  <c r="K40" i="18"/>
  <c r="E40" i="18"/>
  <c r="S159" i="18" s="1"/>
  <c r="R39" i="18"/>
  <c r="M39" i="18"/>
  <c r="L39" i="18"/>
  <c r="K39" i="18"/>
  <c r="R38" i="18"/>
  <c r="M38" i="18"/>
  <c r="L38" i="18"/>
  <c r="K38" i="18"/>
  <c r="E38" i="18"/>
  <c r="R37" i="18"/>
  <c r="M37" i="18"/>
  <c r="L37" i="18"/>
  <c r="K37" i="18"/>
  <c r="R36" i="18"/>
  <c r="M36" i="18"/>
  <c r="L36" i="18"/>
  <c r="K36" i="18"/>
  <c r="R35" i="18"/>
  <c r="M35" i="18"/>
  <c r="L35" i="18"/>
  <c r="K35" i="18"/>
  <c r="R34" i="18"/>
  <c r="M34" i="18"/>
  <c r="L34" i="18"/>
  <c r="K34" i="18"/>
  <c r="E34" i="18"/>
  <c r="S156" i="18" s="1"/>
  <c r="R33" i="18"/>
  <c r="M33" i="18"/>
  <c r="L33" i="18"/>
  <c r="K33" i="18"/>
  <c r="R32" i="18"/>
  <c r="M32" i="18"/>
  <c r="L32" i="18"/>
  <c r="K32" i="18"/>
  <c r="R31" i="18"/>
  <c r="M31" i="18"/>
  <c r="L31" i="18"/>
  <c r="K31" i="18"/>
  <c r="R30" i="18"/>
  <c r="M30" i="18"/>
  <c r="L30" i="18"/>
  <c r="K30" i="18"/>
  <c r="R29" i="18"/>
  <c r="M29" i="18"/>
  <c r="L29" i="18"/>
  <c r="K29" i="18"/>
  <c r="R28" i="18"/>
  <c r="M28" i="18"/>
  <c r="L28" i="18"/>
  <c r="K28" i="18"/>
  <c r="R27" i="18"/>
  <c r="M27" i="18"/>
  <c r="L27" i="18"/>
  <c r="K27" i="18"/>
  <c r="E27" i="18"/>
  <c r="R26" i="18"/>
  <c r="M26" i="18"/>
  <c r="L26" i="18"/>
  <c r="K26" i="18"/>
  <c r="R25" i="18"/>
  <c r="M25" i="18"/>
  <c r="L25" i="18"/>
  <c r="K25" i="18"/>
  <c r="R24" i="18"/>
  <c r="L152" i="18" s="1"/>
  <c r="M24" i="18"/>
  <c r="L24" i="18"/>
  <c r="K24" i="18"/>
  <c r="R23" i="18"/>
  <c r="M23" i="18"/>
  <c r="L23" i="18"/>
  <c r="K23" i="18"/>
  <c r="R22" i="18"/>
  <c r="M22" i="18"/>
  <c r="L22" i="18"/>
  <c r="K22" i="18"/>
  <c r="R21" i="18"/>
  <c r="M21" i="18"/>
  <c r="L21" i="18"/>
  <c r="K21" i="18"/>
  <c r="E21" i="18"/>
  <c r="T150" i="18" s="1"/>
  <c r="R20" i="18"/>
  <c r="M20" i="18"/>
  <c r="L20" i="18"/>
  <c r="K20" i="18"/>
  <c r="R19" i="18"/>
  <c r="M19" i="18"/>
  <c r="L19" i="18"/>
  <c r="K19" i="18"/>
  <c r="R18" i="18"/>
  <c r="M18" i="18"/>
  <c r="L18" i="18"/>
  <c r="K18" i="18"/>
  <c r="R17" i="18"/>
  <c r="M17" i="18"/>
  <c r="L17" i="18"/>
  <c r="K17" i="18"/>
  <c r="R16" i="18"/>
  <c r="M16" i="18"/>
  <c r="L16" i="18"/>
  <c r="K16" i="18"/>
  <c r="R15" i="18"/>
  <c r="M15" i="18"/>
  <c r="L15" i="18"/>
  <c r="K15" i="18"/>
  <c r="E15" i="18"/>
  <c r="T147" i="18" s="1"/>
  <c r="R14" i="18"/>
  <c r="M14" i="18"/>
  <c r="L14" i="18"/>
  <c r="K14" i="18"/>
  <c r="R13" i="18"/>
  <c r="M13" i="18"/>
  <c r="L13" i="18"/>
  <c r="K13" i="18"/>
  <c r="R12" i="18"/>
  <c r="M12" i="18"/>
  <c r="L12" i="18"/>
  <c r="K12" i="18"/>
  <c r="R11" i="18"/>
  <c r="M11" i="18"/>
  <c r="L11" i="18"/>
  <c r="K11" i="18"/>
  <c r="R10" i="18"/>
  <c r="M10" i="18"/>
  <c r="L10" i="18"/>
  <c r="K10" i="18"/>
  <c r="R9" i="18"/>
  <c r="M9" i="18"/>
  <c r="L9" i="18"/>
  <c r="K9" i="18"/>
  <c r="E9" i="18"/>
  <c r="R8" i="18"/>
  <c r="M8" i="18"/>
  <c r="L8" i="18"/>
  <c r="K8" i="18"/>
  <c r="U198" i="19"/>
  <c r="T198" i="19"/>
  <c r="U197" i="19"/>
  <c r="T197" i="19"/>
  <c r="S197" i="19"/>
  <c r="U195" i="19"/>
  <c r="T195" i="19"/>
  <c r="S195" i="19"/>
  <c r="U194" i="19"/>
  <c r="T194" i="19"/>
  <c r="S194" i="19"/>
  <c r="U190" i="19"/>
  <c r="T190" i="19"/>
  <c r="S190" i="19"/>
  <c r="U186" i="19"/>
  <c r="T186" i="19"/>
  <c r="S186" i="19"/>
  <c r="U182" i="19"/>
  <c r="T182" i="19"/>
  <c r="S182" i="19"/>
  <c r="U178" i="19"/>
  <c r="T178" i="19"/>
  <c r="S178" i="19"/>
  <c r="U174" i="19"/>
  <c r="T174" i="19"/>
  <c r="S174" i="19"/>
  <c r="U173" i="19"/>
  <c r="T173" i="19"/>
  <c r="S173" i="19"/>
  <c r="U171" i="19"/>
  <c r="U170" i="19"/>
  <c r="U169" i="19"/>
  <c r="T169" i="19"/>
  <c r="U166" i="19"/>
  <c r="T166" i="19"/>
  <c r="U165" i="19"/>
  <c r="T165" i="19"/>
  <c r="S165" i="19"/>
  <c r="U164" i="19"/>
  <c r="T164" i="19"/>
  <c r="U156" i="19"/>
  <c r="U155" i="19"/>
  <c r="S155" i="19"/>
  <c r="U154" i="19"/>
  <c r="U150" i="19"/>
  <c r="U148" i="19"/>
  <c r="U147" i="19"/>
  <c r="U146" i="19"/>
  <c r="R118" i="19"/>
  <c r="M118" i="19"/>
  <c r="L118" i="19"/>
  <c r="K118" i="19"/>
  <c r="R117" i="19"/>
  <c r="M117" i="19"/>
  <c r="L117" i="19"/>
  <c r="K117" i="19"/>
  <c r="R116" i="19"/>
  <c r="M116" i="19"/>
  <c r="L116" i="19"/>
  <c r="K116" i="19"/>
  <c r="R115" i="19"/>
  <c r="M115" i="19"/>
  <c r="L115" i="19"/>
  <c r="K115" i="19"/>
  <c r="R114" i="19"/>
  <c r="M114" i="19"/>
  <c r="L114" i="19"/>
  <c r="K114" i="19"/>
  <c r="R113" i="19"/>
  <c r="M113" i="19"/>
  <c r="L113" i="19"/>
  <c r="K113" i="19"/>
  <c r="E113" i="19"/>
  <c r="U196" i="19" s="1"/>
  <c r="R112" i="19"/>
  <c r="M112" i="19"/>
  <c r="L112" i="19"/>
  <c r="K112" i="19"/>
  <c r="R111" i="19"/>
  <c r="M111" i="19"/>
  <c r="L111" i="19"/>
  <c r="K111" i="19"/>
  <c r="R110" i="19"/>
  <c r="M110" i="19"/>
  <c r="L110" i="19"/>
  <c r="K110" i="19"/>
  <c r="R109" i="19"/>
  <c r="M109" i="19"/>
  <c r="L109" i="19"/>
  <c r="K109" i="19"/>
  <c r="R108" i="19"/>
  <c r="M108" i="19"/>
  <c r="L108" i="19"/>
  <c r="K108" i="19"/>
  <c r="R107" i="19"/>
  <c r="M107" i="19"/>
  <c r="L107" i="19"/>
  <c r="K107" i="19"/>
  <c r="E107" i="19"/>
  <c r="T193" i="19" s="1"/>
  <c r="R106" i="19"/>
  <c r="M106" i="19"/>
  <c r="L106" i="19"/>
  <c r="K106" i="19"/>
  <c r="R105" i="19"/>
  <c r="M105" i="19"/>
  <c r="L105" i="19"/>
  <c r="K105" i="19"/>
  <c r="E105" i="19"/>
  <c r="R104" i="19"/>
  <c r="M104" i="19"/>
  <c r="L104" i="19"/>
  <c r="K104" i="19"/>
  <c r="R103" i="19"/>
  <c r="M103" i="19"/>
  <c r="L103" i="19"/>
  <c r="K103" i="19"/>
  <c r="E103" i="19"/>
  <c r="R102" i="19"/>
  <c r="M102" i="19"/>
  <c r="L102" i="19"/>
  <c r="K102" i="19"/>
  <c r="R101" i="19"/>
  <c r="M101" i="19"/>
  <c r="L101" i="19"/>
  <c r="K101" i="19"/>
  <c r="R100" i="19"/>
  <c r="M100" i="19"/>
  <c r="L100" i="19"/>
  <c r="K100" i="19"/>
  <c r="R99" i="19"/>
  <c r="M99" i="19"/>
  <c r="L99" i="19"/>
  <c r="K99" i="19"/>
  <c r="E99" i="19"/>
  <c r="R98" i="19"/>
  <c r="M98" i="19"/>
  <c r="L98" i="19"/>
  <c r="K98" i="19"/>
  <c r="R96" i="19"/>
  <c r="M96" i="19"/>
  <c r="L96" i="19"/>
  <c r="K96" i="19"/>
  <c r="R95" i="19"/>
  <c r="M95" i="19"/>
  <c r="L95" i="19"/>
  <c r="K95" i="19"/>
  <c r="R94" i="19"/>
  <c r="M94" i="19"/>
  <c r="L94" i="19"/>
  <c r="K94" i="19"/>
  <c r="R93" i="19"/>
  <c r="M93" i="19"/>
  <c r="L93" i="19"/>
  <c r="K93" i="19"/>
  <c r="R92" i="19"/>
  <c r="M92" i="19"/>
  <c r="L92" i="19"/>
  <c r="K92" i="19"/>
  <c r="E92" i="19"/>
  <c r="R91" i="19"/>
  <c r="M91" i="19"/>
  <c r="L91" i="19"/>
  <c r="K91" i="19"/>
  <c r="R90" i="19"/>
  <c r="M90" i="19"/>
  <c r="L90" i="19"/>
  <c r="K90" i="19"/>
  <c r="R89" i="19"/>
  <c r="M89" i="19"/>
  <c r="L89" i="19"/>
  <c r="K89" i="19"/>
  <c r="R88" i="19"/>
  <c r="M88" i="19"/>
  <c r="L88" i="19"/>
  <c r="K88" i="19"/>
  <c r="E88" i="19"/>
  <c r="T185" i="19" s="1"/>
  <c r="R87" i="19"/>
  <c r="M87" i="19"/>
  <c r="L87" i="19"/>
  <c r="K87" i="19"/>
  <c r="R86" i="19"/>
  <c r="M86" i="19"/>
  <c r="L86" i="19"/>
  <c r="K86" i="19"/>
  <c r="E86" i="19"/>
  <c r="S184" i="19" s="1"/>
  <c r="R85" i="19"/>
  <c r="M85" i="19"/>
  <c r="L85" i="19"/>
  <c r="K85" i="19"/>
  <c r="R84" i="19"/>
  <c r="M84" i="19"/>
  <c r="L84" i="19"/>
  <c r="K84" i="19"/>
  <c r="E84" i="19"/>
  <c r="T183" i="19" s="1"/>
  <c r="R83" i="19"/>
  <c r="M83" i="19"/>
  <c r="L83" i="19"/>
  <c r="K83" i="19"/>
  <c r="R82" i="19"/>
  <c r="M82" i="19"/>
  <c r="L82" i="19"/>
  <c r="K82" i="19"/>
  <c r="R81" i="19"/>
  <c r="M81" i="19"/>
  <c r="L81" i="19"/>
  <c r="K81" i="19"/>
  <c r="R80" i="19"/>
  <c r="M80" i="19"/>
  <c r="L80" i="19"/>
  <c r="K80" i="19"/>
  <c r="E80" i="19"/>
  <c r="R79" i="19"/>
  <c r="M79" i="19"/>
  <c r="L79" i="19"/>
  <c r="K79" i="19"/>
  <c r="R78" i="19"/>
  <c r="M78" i="19"/>
  <c r="L78" i="19"/>
  <c r="K78" i="19"/>
  <c r="E78" i="19"/>
  <c r="U180" i="19" s="1"/>
  <c r="R77" i="19"/>
  <c r="M77" i="19"/>
  <c r="L77" i="19"/>
  <c r="K77" i="19"/>
  <c r="R76" i="19"/>
  <c r="M76" i="19"/>
  <c r="L76" i="19"/>
  <c r="K76" i="19"/>
  <c r="E76" i="19"/>
  <c r="R75" i="19"/>
  <c r="M75" i="19"/>
  <c r="L75" i="19"/>
  <c r="K75" i="19"/>
  <c r="R74" i="19"/>
  <c r="M74" i="19"/>
  <c r="L74" i="19"/>
  <c r="K74" i="19"/>
  <c r="R73" i="19"/>
  <c r="M73" i="19"/>
  <c r="L73" i="19"/>
  <c r="K73" i="19"/>
  <c r="R72" i="19"/>
  <c r="M72" i="19"/>
  <c r="L72" i="19"/>
  <c r="K72" i="19"/>
  <c r="E72" i="19"/>
  <c r="T177" i="19" s="1"/>
  <c r="R71" i="19"/>
  <c r="M71" i="19"/>
  <c r="L71" i="19"/>
  <c r="K71" i="19"/>
  <c r="R70" i="19"/>
  <c r="M70" i="19"/>
  <c r="L70" i="19"/>
  <c r="K70" i="19"/>
  <c r="E70" i="19"/>
  <c r="T176" i="19" s="1"/>
  <c r="R69" i="19"/>
  <c r="M69" i="19"/>
  <c r="L69" i="19"/>
  <c r="K69" i="19"/>
  <c r="R68" i="19"/>
  <c r="M68" i="19"/>
  <c r="L68" i="19"/>
  <c r="K68" i="19"/>
  <c r="E68" i="19"/>
  <c r="S175" i="19" s="1"/>
  <c r="R67" i="19"/>
  <c r="M67" i="19"/>
  <c r="L67" i="19"/>
  <c r="K67" i="19"/>
  <c r="R66" i="19"/>
  <c r="M66" i="19"/>
  <c r="L66" i="19"/>
  <c r="K66" i="19"/>
  <c r="R65" i="19"/>
  <c r="M65" i="19"/>
  <c r="L65" i="19"/>
  <c r="K65" i="19"/>
  <c r="R64" i="19"/>
  <c r="M64" i="19"/>
  <c r="L64" i="19"/>
  <c r="K64" i="19"/>
  <c r="R63" i="19"/>
  <c r="M63" i="19"/>
  <c r="L63" i="19"/>
  <c r="K63" i="19"/>
  <c r="R62" i="19"/>
  <c r="M62" i="19"/>
  <c r="L62" i="19"/>
  <c r="K62" i="19"/>
  <c r="E62" i="19"/>
  <c r="T172" i="19" s="1"/>
  <c r="R61" i="19"/>
  <c r="M61" i="19"/>
  <c r="L61" i="19"/>
  <c r="K61" i="19"/>
  <c r="T171" i="19"/>
  <c r="R60" i="19"/>
  <c r="M60" i="19"/>
  <c r="L60" i="19"/>
  <c r="K60" i="19"/>
  <c r="M59" i="19"/>
  <c r="L59" i="19"/>
  <c r="K59" i="19"/>
  <c r="R58" i="19"/>
  <c r="M58" i="19"/>
  <c r="L58" i="19"/>
  <c r="K58" i="19"/>
  <c r="R57" i="19"/>
  <c r="M57" i="19"/>
  <c r="L57" i="19"/>
  <c r="K57" i="19"/>
  <c r="S169" i="19"/>
  <c r="R56" i="19"/>
  <c r="M56" i="19"/>
  <c r="L56" i="19"/>
  <c r="K56" i="19"/>
  <c r="R55" i="19"/>
  <c r="M55" i="19"/>
  <c r="L55" i="19"/>
  <c r="K55" i="19"/>
  <c r="R54" i="19"/>
  <c r="M54" i="19"/>
  <c r="L54" i="19"/>
  <c r="K54" i="19"/>
  <c r="E54" i="19"/>
  <c r="U168" i="19" s="1"/>
  <c r="R53" i="19"/>
  <c r="M53" i="19"/>
  <c r="L53" i="19"/>
  <c r="K53" i="19"/>
  <c r="R52" i="19"/>
  <c r="M52" i="19"/>
  <c r="L52" i="19"/>
  <c r="K52" i="19"/>
  <c r="M51" i="19"/>
  <c r="L51" i="19"/>
  <c r="K51" i="19"/>
  <c r="E51" i="19"/>
  <c r="S167" i="19" s="1"/>
  <c r="M50" i="19"/>
  <c r="L50" i="19"/>
  <c r="K50" i="19"/>
  <c r="R49" i="19"/>
  <c r="M49" i="19"/>
  <c r="L49" i="19"/>
  <c r="K49" i="19"/>
  <c r="R48" i="19"/>
  <c r="S166" i="19"/>
  <c r="M48" i="19"/>
  <c r="L48" i="19"/>
  <c r="K48" i="19"/>
  <c r="R47" i="19"/>
  <c r="M47" i="19"/>
  <c r="L47" i="19"/>
  <c r="K47" i="19"/>
  <c r="M46" i="19"/>
  <c r="L46" i="19"/>
  <c r="K46" i="19"/>
  <c r="R45" i="19"/>
  <c r="M45" i="19"/>
  <c r="L45" i="19"/>
  <c r="K45" i="19"/>
  <c r="R44" i="19"/>
  <c r="S164" i="19"/>
  <c r="M44" i="19"/>
  <c r="L44" i="19"/>
  <c r="K44" i="19"/>
  <c r="R43" i="19"/>
  <c r="M43" i="19"/>
  <c r="L43" i="19"/>
  <c r="K43" i="19"/>
  <c r="E43" i="19"/>
  <c r="T163" i="19" s="1"/>
  <c r="M42" i="19"/>
  <c r="L42" i="19"/>
  <c r="K42" i="19"/>
  <c r="M41" i="19"/>
  <c r="L41" i="19"/>
  <c r="K41" i="19"/>
  <c r="M40" i="19"/>
  <c r="L40" i="19"/>
  <c r="K40" i="19"/>
  <c r="R39" i="19"/>
  <c r="M39" i="19"/>
  <c r="L39" i="19"/>
  <c r="K39" i="19"/>
  <c r="M38" i="19"/>
  <c r="L38" i="19"/>
  <c r="K38" i="19"/>
  <c r="M37" i="19"/>
  <c r="L37" i="19"/>
  <c r="K37" i="19"/>
  <c r="M36" i="19"/>
  <c r="L36" i="19"/>
  <c r="K36" i="19"/>
  <c r="R35" i="19"/>
  <c r="M35" i="19"/>
  <c r="L35" i="19"/>
  <c r="K35" i="19"/>
  <c r="E35" i="19"/>
  <c r="R34" i="19"/>
  <c r="M34" i="19"/>
  <c r="L34" i="19"/>
  <c r="K34" i="19"/>
  <c r="R33" i="19"/>
  <c r="M33" i="19"/>
  <c r="L33" i="19"/>
  <c r="K33" i="19"/>
  <c r="E33" i="19"/>
  <c r="M32" i="19"/>
  <c r="L32" i="19"/>
  <c r="K32" i="19"/>
  <c r="R31" i="19"/>
  <c r="M31" i="19"/>
  <c r="L31" i="19"/>
  <c r="K31" i="19"/>
  <c r="U157" i="19"/>
  <c r="R30" i="19"/>
  <c r="M30" i="19"/>
  <c r="L30" i="19"/>
  <c r="K30" i="19"/>
  <c r="R29" i="19"/>
  <c r="M29" i="19"/>
  <c r="L29" i="19"/>
  <c r="K29" i="19"/>
  <c r="R28" i="19"/>
  <c r="S156" i="19"/>
  <c r="M28" i="19"/>
  <c r="L28" i="19"/>
  <c r="K28" i="19"/>
  <c r="R27" i="19"/>
  <c r="M27" i="19"/>
  <c r="L27" i="19"/>
  <c r="K27" i="19"/>
  <c r="R26" i="19"/>
  <c r="T155" i="19"/>
  <c r="M26" i="19"/>
  <c r="L26" i="19"/>
  <c r="K26" i="19"/>
  <c r="R25" i="19"/>
  <c r="M25" i="19"/>
  <c r="L25" i="19"/>
  <c r="K25" i="19"/>
  <c r="T154" i="19"/>
  <c r="M24" i="19"/>
  <c r="L24" i="19"/>
  <c r="K24" i="19"/>
  <c r="M23" i="19"/>
  <c r="L23" i="19"/>
  <c r="K23" i="19"/>
  <c r="E23" i="19"/>
  <c r="M22" i="19"/>
  <c r="L22" i="19"/>
  <c r="K22" i="19"/>
  <c r="R21" i="19"/>
  <c r="M21" i="19"/>
  <c r="L21" i="19"/>
  <c r="K21" i="19"/>
  <c r="E21" i="19"/>
  <c r="T152" i="19" s="1"/>
  <c r="R20" i="19"/>
  <c r="M20" i="19"/>
  <c r="L20" i="19"/>
  <c r="K20" i="19"/>
  <c r="R19" i="19"/>
  <c r="M19" i="19"/>
  <c r="L19" i="19"/>
  <c r="K19" i="19"/>
  <c r="E19" i="19"/>
  <c r="U151" i="19" s="1"/>
  <c r="R18" i="19"/>
  <c r="M18" i="19"/>
  <c r="L18" i="19"/>
  <c r="K18" i="19"/>
  <c r="R17" i="19"/>
  <c r="M17" i="19"/>
  <c r="L17" i="19"/>
  <c r="K17" i="19"/>
  <c r="M16" i="19"/>
  <c r="L16" i="19"/>
  <c r="K16" i="19"/>
  <c r="M15" i="19"/>
  <c r="L15" i="19"/>
  <c r="K15" i="19"/>
  <c r="E15" i="19"/>
  <c r="R14" i="19"/>
  <c r="M14" i="19"/>
  <c r="L14" i="19"/>
  <c r="K14" i="19"/>
  <c r="R13" i="19"/>
  <c r="M13" i="19"/>
  <c r="L13" i="19"/>
  <c r="K13" i="19"/>
  <c r="R12" i="19"/>
  <c r="S148" i="19"/>
  <c r="M12" i="19"/>
  <c r="L12" i="19"/>
  <c r="K12" i="19"/>
  <c r="R11" i="19"/>
  <c r="M11" i="19"/>
  <c r="L11" i="19"/>
  <c r="K11" i="19"/>
  <c r="R10" i="19"/>
  <c r="M10" i="19"/>
  <c r="L10" i="19"/>
  <c r="K10" i="19"/>
  <c r="N10" i="19" s="1"/>
  <c r="R9" i="19"/>
  <c r="M9" i="19"/>
  <c r="L9" i="19"/>
  <c r="K9" i="19"/>
  <c r="M8" i="19"/>
  <c r="L8" i="19"/>
  <c r="K8" i="19"/>
  <c r="U190" i="21"/>
  <c r="T190" i="21"/>
  <c r="S190" i="21"/>
  <c r="U189" i="21"/>
  <c r="T189" i="21"/>
  <c r="S189" i="21"/>
  <c r="U188" i="21"/>
  <c r="T188" i="21"/>
  <c r="S188" i="21"/>
  <c r="U186" i="21"/>
  <c r="T186" i="21"/>
  <c r="S186" i="21"/>
  <c r="U185" i="21"/>
  <c r="T185" i="21"/>
  <c r="S185" i="21"/>
  <c r="U178" i="21"/>
  <c r="T178" i="21"/>
  <c r="S178" i="21"/>
  <c r="U174" i="21"/>
  <c r="T174" i="21"/>
  <c r="S174" i="21"/>
  <c r="U170" i="21"/>
  <c r="T170" i="21"/>
  <c r="S170" i="21"/>
  <c r="U166" i="21"/>
  <c r="T166" i="21"/>
  <c r="S166" i="21"/>
  <c r="U165" i="21"/>
  <c r="T165" i="21"/>
  <c r="S165" i="21"/>
  <c r="U164" i="21"/>
  <c r="T164" i="21"/>
  <c r="S164" i="21"/>
  <c r="U163" i="21"/>
  <c r="T163" i="21"/>
  <c r="S163" i="21"/>
  <c r="U161" i="21"/>
  <c r="T161" i="21"/>
  <c r="S161" i="21"/>
  <c r="U160" i="21"/>
  <c r="T160" i="21"/>
  <c r="S160" i="21"/>
  <c r="U159" i="21"/>
  <c r="T159" i="21"/>
  <c r="S159" i="21"/>
  <c r="U158" i="21"/>
  <c r="T158" i="21"/>
  <c r="S158" i="21"/>
  <c r="U156" i="21"/>
  <c r="T156" i="21"/>
  <c r="S156" i="21"/>
  <c r="U155" i="21"/>
  <c r="T155" i="21"/>
  <c r="S155" i="21"/>
  <c r="U154" i="21"/>
  <c r="T154" i="21"/>
  <c r="S154" i="21"/>
  <c r="U153" i="21"/>
  <c r="T153" i="21"/>
  <c r="S153" i="21"/>
  <c r="U151" i="21"/>
  <c r="T151" i="21"/>
  <c r="S151" i="21"/>
  <c r="U150" i="21"/>
  <c r="T150" i="21"/>
  <c r="S150" i="21"/>
  <c r="U149" i="21"/>
  <c r="T149" i="21"/>
  <c r="S149" i="21"/>
  <c r="U148" i="21"/>
  <c r="T148" i="21"/>
  <c r="S148" i="21"/>
  <c r="U146" i="21"/>
  <c r="T146" i="21"/>
  <c r="S146" i="21"/>
  <c r="U144" i="21"/>
  <c r="T144" i="21"/>
  <c r="S144" i="21"/>
  <c r="U143" i="21"/>
  <c r="T143" i="21"/>
  <c r="S143" i="21"/>
  <c r="U141" i="21"/>
  <c r="T141" i="21"/>
  <c r="S141" i="21"/>
  <c r="U140" i="21"/>
  <c r="T140" i="21"/>
  <c r="S140" i="21"/>
  <c r="U139" i="21"/>
  <c r="T139" i="21"/>
  <c r="S139" i="21"/>
  <c r="U138" i="21"/>
  <c r="T138" i="21"/>
  <c r="S138" i="21"/>
  <c r="R113" i="21"/>
  <c r="M113" i="21"/>
  <c r="L113" i="21"/>
  <c r="K113" i="21"/>
  <c r="R112" i="21"/>
  <c r="M112" i="21"/>
  <c r="L112" i="21"/>
  <c r="K112" i="21"/>
  <c r="R111" i="21"/>
  <c r="M111" i="21"/>
  <c r="L111" i="21"/>
  <c r="K111" i="21"/>
  <c r="R110" i="21"/>
  <c r="M110" i="21"/>
  <c r="L110" i="21"/>
  <c r="K110" i="21"/>
  <c r="R109" i="21"/>
  <c r="M109" i="21"/>
  <c r="L109" i="21"/>
  <c r="K109" i="21"/>
  <c r="R108" i="21"/>
  <c r="M108" i="21"/>
  <c r="L108" i="21"/>
  <c r="K108" i="21"/>
  <c r="R107" i="21"/>
  <c r="M107" i="21"/>
  <c r="L107" i="21"/>
  <c r="K107" i="21"/>
  <c r="E107" i="21"/>
  <c r="U187" i="21" s="1"/>
  <c r="R106" i="21"/>
  <c r="M106" i="21"/>
  <c r="L106" i="21"/>
  <c r="K106" i="21"/>
  <c r="R105" i="21"/>
  <c r="M105" i="21"/>
  <c r="L105" i="21"/>
  <c r="K105" i="21"/>
  <c r="R104" i="21"/>
  <c r="M104" i="21"/>
  <c r="L104" i="21"/>
  <c r="K104" i="21"/>
  <c r="R103" i="21"/>
  <c r="M103" i="21"/>
  <c r="L103" i="21"/>
  <c r="K103" i="21"/>
  <c r="R102" i="21"/>
  <c r="M102" i="21"/>
  <c r="L102" i="21"/>
  <c r="K102" i="21"/>
  <c r="R101" i="21"/>
  <c r="M101" i="21"/>
  <c r="L101" i="21"/>
  <c r="K101" i="21"/>
  <c r="E101" i="21"/>
  <c r="R100" i="21"/>
  <c r="M100" i="21"/>
  <c r="L100" i="21"/>
  <c r="K100" i="21"/>
  <c r="R99" i="21"/>
  <c r="M99" i="21"/>
  <c r="L99" i="21"/>
  <c r="K99" i="21"/>
  <c r="E99" i="21"/>
  <c r="T183" i="21" s="1"/>
  <c r="R98" i="21"/>
  <c r="M98" i="21"/>
  <c r="L98" i="21"/>
  <c r="K98" i="21"/>
  <c r="R97" i="21"/>
  <c r="M97" i="21"/>
  <c r="L97" i="21"/>
  <c r="K97" i="21"/>
  <c r="E97" i="21"/>
  <c r="R96" i="21"/>
  <c r="M96" i="21"/>
  <c r="L96" i="21"/>
  <c r="K96" i="21"/>
  <c r="R95" i="21"/>
  <c r="M95" i="21"/>
  <c r="L95" i="21"/>
  <c r="K95" i="21"/>
  <c r="E95" i="21"/>
  <c r="U181" i="21" s="1"/>
  <c r="R94" i="21"/>
  <c r="M94" i="21"/>
  <c r="L94" i="21"/>
  <c r="K94" i="21"/>
  <c r="R93" i="21"/>
  <c r="M93" i="21"/>
  <c r="L93" i="21"/>
  <c r="K93" i="21"/>
  <c r="E93" i="21"/>
  <c r="T180" i="21" s="1"/>
  <c r="R92" i="21"/>
  <c r="M92" i="21"/>
  <c r="L92" i="21"/>
  <c r="K92" i="21"/>
  <c r="R91" i="21"/>
  <c r="M91" i="21"/>
  <c r="L91" i="21"/>
  <c r="K91" i="21"/>
  <c r="E91" i="21"/>
  <c r="S179" i="21" s="1"/>
  <c r="R90" i="21"/>
  <c r="M90" i="21"/>
  <c r="L90" i="21"/>
  <c r="K90" i="21"/>
  <c r="R89" i="21"/>
  <c r="M89" i="21"/>
  <c r="L89" i="21"/>
  <c r="K89" i="21"/>
  <c r="R88" i="21"/>
  <c r="M88" i="21"/>
  <c r="L88" i="21"/>
  <c r="K88" i="21"/>
  <c r="R87" i="21"/>
  <c r="M87" i="21"/>
  <c r="L87" i="21"/>
  <c r="K87" i="21"/>
  <c r="E87" i="21"/>
  <c r="R86" i="21"/>
  <c r="M86" i="21"/>
  <c r="L86" i="21"/>
  <c r="K86" i="21"/>
  <c r="R85" i="21"/>
  <c r="M85" i="21"/>
  <c r="L85" i="21"/>
  <c r="K85" i="21"/>
  <c r="E85" i="21"/>
  <c r="S176" i="21" s="1"/>
  <c r="R84" i="21"/>
  <c r="M84" i="21"/>
  <c r="L84" i="21"/>
  <c r="K84" i="21"/>
  <c r="R83" i="21"/>
  <c r="M83" i="21"/>
  <c r="L83" i="21"/>
  <c r="K83" i="21"/>
  <c r="E83" i="21"/>
  <c r="U175" i="21" s="1"/>
  <c r="R82" i="21"/>
  <c r="M82" i="21"/>
  <c r="L82" i="21"/>
  <c r="K82" i="21"/>
  <c r="R81" i="21"/>
  <c r="M81" i="21"/>
  <c r="L81" i="21"/>
  <c r="K81" i="21"/>
  <c r="R80" i="21"/>
  <c r="M80" i="21"/>
  <c r="L80" i="21"/>
  <c r="K80" i="21"/>
  <c r="R79" i="21"/>
  <c r="M79" i="21"/>
  <c r="L79" i="21"/>
  <c r="K79" i="21"/>
  <c r="E79" i="21"/>
  <c r="R78" i="21"/>
  <c r="M78" i="21"/>
  <c r="L78" i="21"/>
  <c r="K78" i="21"/>
  <c r="R77" i="21"/>
  <c r="M77" i="21"/>
  <c r="L77" i="21"/>
  <c r="K77" i="21"/>
  <c r="E77" i="21"/>
  <c r="T172" i="21" s="1"/>
  <c r="R76" i="21"/>
  <c r="M76" i="21"/>
  <c r="L76" i="21"/>
  <c r="K76" i="21"/>
  <c r="R75" i="21"/>
  <c r="M75" i="21"/>
  <c r="L75" i="21"/>
  <c r="K75" i="21"/>
  <c r="E75" i="21"/>
  <c r="R74" i="21"/>
  <c r="M74" i="21"/>
  <c r="L74" i="21"/>
  <c r="K74" i="21"/>
  <c r="R73" i="21"/>
  <c r="M73" i="21"/>
  <c r="L73" i="21"/>
  <c r="K73" i="21"/>
  <c r="R72" i="21"/>
  <c r="M72" i="21"/>
  <c r="L72" i="21"/>
  <c r="K72" i="21"/>
  <c r="R71" i="21"/>
  <c r="M71" i="21"/>
  <c r="L71" i="21"/>
  <c r="K71" i="21"/>
  <c r="E71" i="21"/>
  <c r="R70" i="21"/>
  <c r="M70" i="21"/>
  <c r="L70" i="21"/>
  <c r="K70" i="21"/>
  <c r="R69" i="21"/>
  <c r="M69" i="21"/>
  <c r="L69" i="21"/>
  <c r="K69" i="21"/>
  <c r="E69" i="21"/>
  <c r="S168" i="21" s="1"/>
  <c r="R68" i="21"/>
  <c r="M68" i="21"/>
  <c r="L68" i="21"/>
  <c r="K68" i="21"/>
  <c r="R67" i="21"/>
  <c r="M67" i="21"/>
  <c r="L67" i="21"/>
  <c r="K67" i="21"/>
  <c r="E67" i="21"/>
  <c r="U167" i="21" s="1"/>
  <c r="R66" i="21"/>
  <c r="M66" i="21"/>
  <c r="L66" i="21"/>
  <c r="K66" i="21"/>
  <c r="R65" i="21"/>
  <c r="M65" i="21"/>
  <c r="L65" i="21"/>
  <c r="K65" i="21"/>
  <c r="R64" i="21"/>
  <c r="M64" i="21"/>
  <c r="L64" i="21"/>
  <c r="K64" i="21"/>
  <c r="R63" i="21"/>
  <c r="M63" i="21"/>
  <c r="L63" i="21"/>
  <c r="K63" i="21"/>
  <c r="R62" i="21"/>
  <c r="M62" i="21"/>
  <c r="L62" i="21"/>
  <c r="K62" i="21"/>
  <c r="R61" i="21"/>
  <c r="M61" i="21"/>
  <c r="L61" i="21"/>
  <c r="K61" i="21"/>
  <c r="R60" i="21"/>
  <c r="M60" i="21"/>
  <c r="L60" i="21"/>
  <c r="K60" i="21"/>
  <c r="R59" i="21"/>
  <c r="M59" i="21"/>
  <c r="L59" i="21"/>
  <c r="K59" i="21"/>
  <c r="R58" i="21"/>
  <c r="M58" i="21"/>
  <c r="L58" i="21"/>
  <c r="K58" i="21"/>
  <c r="R57" i="21"/>
  <c r="M57" i="21"/>
  <c r="L57" i="21"/>
  <c r="K57" i="21"/>
  <c r="E57" i="21"/>
  <c r="S162" i="21" s="1"/>
  <c r="R56" i="21"/>
  <c r="M56" i="21"/>
  <c r="L56" i="21"/>
  <c r="K56" i="21"/>
  <c r="R55" i="21"/>
  <c r="M55" i="21"/>
  <c r="L55" i="21"/>
  <c r="K55" i="21"/>
  <c r="R54" i="21"/>
  <c r="M54" i="21"/>
  <c r="L54" i="21"/>
  <c r="K54" i="21"/>
  <c r="R53" i="21"/>
  <c r="M53" i="21"/>
  <c r="L53" i="21"/>
  <c r="K53" i="21"/>
  <c r="R52" i="21"/>
  <c r="M52" i="21"/>
  <c r="L52" i="21"/>
  <c r="K52" i="21"/>
  <c r="R51" i="21"/>
  <c r="M51" i="21"/>
  <c r="L51" i="21"/>
  <c r="K51" i="21"/>
  <c r="R50" i="21"/>
  <c r="M50" i="21"/>
  <c r="L50" i="21"/>
  <c r="K50" i="21"/>
  <c r="R49" i="21"/>
  <c r="M49" i="21"/>
  <c r="L49" i="21"/>
  <c r="K49" i="21"/>
  <c r="R48" i="21"/>
  <c r="M48" i="21"/>
  <c r="L48" i="21"/>
  <c r="K48" i="21"/>
  <c r="R47" i="21"/>
  <c r="M47" i="21"/>
  <c r="L47" i="21"/>
  <c r="K47" i="21"/>
  <c r="E47" i="21"/>
  <c r="R46" i="21"/>
  <c r="M46" i="21"/>
  <c r="L46" i="21"/>
  <c r="K46" i="21"/>
  <c r="R45" i="21"/>
  <c r="M45" i="21"/>
  <c r="L45" i="21"/>
  <c r="K45" i="21"/>
  <c r="R44" i="21"/>
  <c r="M44" i="21"/>
  <c r="L44" i="21"/>
  <c r="K44" i="21"/>
  <c r="R43" i="21"/>
  <c r="M43" i="21"/>
  <c r="L43" i="21"/>
  <c r="K43" i="21"/>
  <c r="R42" i="21"/>
  <c r="M42" i="21"/>
  <c r="L42" i="21"/>
  <c r="K42" i="21"/>
  <c r="R41" i="21"/>
  <c r="M41" i="21"/>
  <c r="L41" i="21"/>
  <c r="K41" i="21"/>
  <c r="R40" i="21"/>
  <c r="M40" i="21"/>
  <c r="L40" i="21"/>
  <c r="K40" i="21"/>
  <c r="R39" i="21"/>
  <c r="M39" i="21"/>
  <c r="L39" i="21"/>
  <c r="K39" i="21"/>
  <c r="R38" i="21"/>
  <c r="M38" i="21"/>
  <c r="L38" i="21"/>
  <c r="K38" i="21"/>
  <c r="R37" i="21"/>
  <c r="M37" i="21"/>
  <c r="L37" i="21"/>
  <c r="K37" i="21"/>
  <c r="E37" i="21"/>
  <c r="S152" i="21" s="1"/>
  <c r="R36" i="21"/>
  <c r="M36" i="21"/>
  <c r="L36" i="21"/>
  <c r="K36" i="21"/>
  <c r="R35" i="21"/>
  <c r="M35" i="21"/>
  <c r="L35" i="21"/>
  <c r="K35" i="21"/>
  <c r="R34" i="21"/>
  <c r="M34" i="21"/>
  <c r="L34" i="21"/>
  <c r="K34" i="21"/>
  <c r="R33" i="21"/>
  <c r="M33" i="21"/>
  <c r="L33" i="21"/>
  <c r="K33" i="21"/>
  <c r="R32" i="21"/>
  <c r="M32" i="21"/>
  <c r="L32" i="21"/>
  <c r="K32" i="21"/>
  <c r="R31" i="21"/>
  <c r="M31" i="21"/>
  <c r="L31" i="21"/>
  <c r="K31" i="21"/>
  <c r="R30" i="21"/>
  <c r="M30" i="21"/>
  <c r="L30" i="21"/>
  <c r="K30" i="21"/>
  <c r="R29" i="21"/>
  <c r="H148" i="21" s="1"/>
  <c r="M29" i="21"/>
  <c r="L29" i="21"/>
  <c r="K29" i="21"/>
  <c r="R28" i="21"/>
  <c r="M28" i="21"/>
  <c r="L28" i="21"/>
  <c r="K28" i="21"/>
  <c r="R27" i="21"/>
  <c r="M27" i="21"/>
  <c r="L27" i="21"/>
  <c r="K27" i="21"/>
  <c r="E27" i="21"/>
  <c r="U147" i="21" s="1"/>
  <c r="R26" i="21"/>
  <c r="M26" i="21"/>
  <c r="L26" i="21"/>
  <c r="K26" i="21"/>
  <c r="R25" i="21"/>
  <c r="M25" i="21"/>
  <c r="L25" i="21"/>
  <c r="K25" i="21"/>
  <c r="R24" i="21"/>
  <c r="M24" i="21"/>
  <c r="L24" i="21"/>
  <c r="K24" i="21"/>
  <c r="R23" i="21"/>
  <c r="M23" i="21"/>
  <c r="L23" i="21"/>
  <c r="K23" i="21"/>
  <c r="E23" i="21"/>
  <c r="R22" i="21"/>
  <c r="M22" i="21"/>
  <c r="L22" i="21"/>
  <c r="K22" i="21"/>
  <c r="R21" i="21"/>
  <c r="M21" i="21"/>
  <c r="L21" i="21"/>
  <c r="K21" i="21"/>
  <c r="R20" i="21"/>
  <c r="M20" i="21"/>
  <c r="L20" i="21"/>
  <c r="K20" i="21"/>
  <c r="R19" i="21"/>
  <c r="M19" i="21"/>
  <c r="L19" i="21"/>
  <c r="K19" i="21"/>
  <c r="R18" i="21"/>
  <c r="M18" i="21"/>
  <c r="L18" i="21"/>
  <c r="K18" i="21"/>
  <c r="R17" i="21"/>
  <c r="M17" i="21"/>
  <c r="L17" i="21"/>
  <c r="K17" i="21"/>
  <c r="E17" i="21"/>
  <c r="R16" i="21"/>
  <c r="M16" i="21"/>
  <c r="L16" i="21"/>
  <c r="K16" i="21"/>
  <c r="R15" i="21"/>
  <c r="M15" i="21"/>
  <c r="L15" i="21"/>
  <c r="K15" i="21"/>
  <c r="R14" i="21"/>
  <c r="M14" i="21"/>
  <c r="L14" i="21"/>
  <c r="K14" i="21"/>
  <c r="R13" i="21"/>
  <c r="M13" i="21"/>
  <c r="L13" i="21"/>
  <c r="K13" i="21"/>
  <c r="R12" i="21"/>
  <c r="M12" i="21"/>
  <c r="L12" i="21"/>
  <c r="K12" i="21"/>
  <c r="R11" i="21"/>
  <c r="M11" i="21"/>
  <c r="L11" i="21"/>
  <c r="K11" i="21"/>
  <c r="R10" i="21"/>
  <c r="M10" i="21"/>
  <c r="L10" i="21"/>
  <c r="K10" i="21"/>
  <c r="R9" i="21"/>
  <c r="M9" i="21"/>
  <c r="L9" i="21"/>
  <c r="K9" i="21"/>
  <c r="R8" i="21"/>
  <c r="M8" i="21"/>
  <c r="L8" i="21"/>
  <c r="K8" i="21"/>
  <c r="U182" i="9"/>
  <c r="T182" i="9"/>
  <c r="S182" i="9"/>
  <c r="U179" i="9"/>
  <c r="T179" i="9"/>
  <c r="U175" i="9"/>
  <c r="T175" i="9"/>
  <c r="S175" i="9"/>
  <c r="U171" i="9"/>
  <c r="T171" i="9"/>
  <c r="S171" i="9"/>
  <c r="U169" i="9"/>
  <c r="T169" i="9"/>
  <c r="S169" i="9"/>
  <c r="U167" i="9"/>
  <c r="T167" i="9"/>
  <c r="S167" i="9"/>
  <c r="U165" i="9"/>
  <c r="T165" i="9"/>
  <c r="S165" i="9"/>
  <c r="U163" i="9"/>
  <c r="T163" i="9"/>
  <c r="S163" i="9"/>
  <c r="U162" i="9"/>
  <c r="T162" i="9"/>
  <c r="S162" i="9"/>
  <c r="U160" i="9"/>
  <c r="T160" i="9"/>
  <c r="S160" i="9"/>
  <c r="U159" i="9"/>
  <c r="T159" i="9"/>
  <c r="S159" i="9"/>
  <c r="U156" i="9"/>
  <c r="T156" i="9"/>
  <c r="S156" i="9"/>
  <c r="U155" i="9"/>
  <c r="T155" i="9"/>
  <c r="S155" i="9"/>
  <c r="R129" i="9"/>
  <c r="M129" i="9"/>
  <c r="L129" i="9"/>
  <c r="K129" i="9"/>
  <c r="R128" i="9"/>
  <c r="M128" i="9"/>
  <c r="L128" i="9"/>
  <c r="K128" i="9"/>
  <c r="R127" i="9"/>
  <c r="M127" i="9"/>
  <c r="L127" i="9"/>
  <c r="K127" i="9"/>
  <c r="R126" i="9"/>
  <c r="M126" i="9"/>
  <c r="L126" i="9"/>
  <c r="K126" i="9"/>
  <c r="R125" i="9"/>
  <c r="M125" i="9"/>
  <c r="L125" i="9"/>
  <c r="K125" i="9"/>
  <c r="R124" i="9"/>
  <c r="M124" i="9"/>
  <c r="L124" i="9"/>
  <c r="K124" i="9"/>
  <c r="R123" i="9"/>
  <c r="M123" i="9"/>
  <c r="L123" i="9"/>
  <c r="K123" i="9"/>
  <c r="R122" i="9"/>
  <c r="M122" i="9"/>
  <c r="L122" i="9"/>
  <c r="K122" i="9"/>
  <c r="E122" i="9"/>
  <c r="R121" i="9"/>
  <c r="M121" i="9"/>
  <c r="L121" i="9"/>
  <c r="K121" i="9"/>
  <c r="R120" i="9"/>
  <c r="M120" i="9"/>
  <c r="L120" i="9"/>
  <c r="K120" i="9"/>
  <c r="E120" i="9"/>
  <c r="R119" i="9"/>
  <c r="M119" i="9"/>
  <c r="L119" i="9"/>
  <c r="K119" i="9"/>
  <c r="R118" i="9"/>
  <c r="M118" i="9"/>
  <c r="L118" i="9"/>
  <c r="K118" i="9"/>
  <c r="R117" i="9"/>
  <c r="M117" i="9"/>
  <c r="L117" i="9"/>
  <c r="K117" i="9"/>
  <c r="R116" i="9"/>
  <c r="M116" i="9"/>
  <c r="L116" i="9"/>
  <c r="K116" i="9"/>
  <c r="R115" i="9"/>
  <c r="M115" i="9"/>
  <c r="L115" i="9"/>
  <c r="K115" i="9"/>
  <c r="R114" i="9"/>
  <c r="M114" i="9"/>
  <c r="L114" i="9"/>
  <c r="K114" i="9"/>
  <c r="E114" i="9"/>
  <c r="T202" i="9" s="1"/>
  <c r="R113" i="9"/>
  <c r="M113" i="9"/>
  <c r="L113" i="9"/>
  <c r="K113" i="9"/>
  <c r="R112" i="9"/>
  <c r="M112" i="9"/>
  <c r="L112" i="9"/>
  <c r="K112" i="9"/>
  <c r="R111" i="9"/>
  <c r="M111" i="9"/>
  <c r="L111" i="9"/>
  <c r="K111" i="9"/>
  <c r="E111" i="9"/>
  <c r="S201" i="9" s="1"/>
  <c r="R110" i="9"/>
  <c r="M110" i="9"/>
  <c r="L110" i="9"/>
  <c r="K110" i="9"/>
  <c r="R109" i="9"/>
  <c r="M109" i="9"/>
  <c r="L109" i="9"/>
  <c r="K109" i="9"/>
  <c r="R108" i="9"/>
  <c r="M108" i="9"/>
  <c r="L108" i="9"/>
  <c r="K108" i="9"/>
  <c r="E108" i="9"/>
  <c r="S200" i="9" s="1"/>
  <c r="R107" i="9"/>
  <c r="M107" i="9"/>
  <c r="L107" i="9"/>
  <c r="K107" i="9"/>
  <c r="R106" i="9"/>
  <c r="M106" i="9"/>
  <c r="L106" i="9"/>
  <c r="K106" i="9"/>
  <c r="E106" i="9"/>
  <c r="R105" i="9"/>
  <c r="M105" i="9"/>
  <c r="L105" i="9"/>
  <c r="K105" i="9"/>
  <c r="R104" i="9"/>
  <c r="M104" i="9"/>
  <c r="L104" i="9"/>
  <c r="K104" i="9"/>
  <c r="E104" i="9"/>
  <c r="R103" i="9"/>
  <c r="M103" i="9"/>
  <c r="L103" i="9"/>
  <c r="K103" i="9"/>
  <c r="O102" i="9"/>
  <c r="R102" i="9" s="1"/>
  <c r="M102" i="9"/>
  <c r="L102" i="9"/>
  <c r="K102" i="9"/>
  <c r="E102" i="9"/>
  <c r="T197" i="9" s="1"/>
  <c r="R101" i="9"/>
  <c r="M101" i="9"/>
  <c r="L101" i="9"/>
  <c r="K101" i="9"/>
  <c r="R100" i="9"/>
  <c r="M100" i="9"/>
  <c r="L100" i="9"/>
  <c r="K100" i="9"/>
  <c r="E100" i="9"/>
  <c r="S196" i="9" s="1"/>
  <c r="R99" i="9"/>
  <c r="M99" i="9"/>
  <c r="L99" i="9"/>
  <c r="K99" i="9"/>
  <c r="R98" i="9"/>
  <c r="M98" i="9"/>
  <c r="L98" i="9"/>
  <c r="K98" i="9"/>
  <c r="E98" i="9"/>
  <c r="T195" i="9" s="1"/>
  <c r="R97" i="9"/>
  <c r="M97" i="9"/>
  <c r="L97" i="9"/>
  <c r="K97" i="9"/>
  <c r="R96" i="9"/>
  <c r="M96" i="9"/>
  <c r="L96" i="9"/>
  <c r="K96" i="9"/>
  <c r="M94" i="9"/>
  <c r="L94" i="9"/>
  <c r="K94" i="9"/>
  <c r="M93" i="9"/>
  <c r="L93" i="9"/>
  <c r="K93" i="9"/>
  <c r="E93" i="9"/>
  <c r="U193" i="9" s="1"/>
  <c r="M92" i="9"/>
  <c r="L92" i="9"/>
  <c r="K92" i="9"/>
  <c r="R91" i="9"/>
  <c r="M91" i="9"/>
  <c r="L91" i="9"/>
  <c r="K91" i="9"/>
  <c r="R90" i="9"/>
  <c r="M90" i="9"/>
  <c r="L90" i="9"/>
  <c r="K90" i="9"/>
  <c r="E90" i="9"/>
  <c r="S192" i="9" s="1"/>
  <c r="R89" i="9"/>
  <c r="M89" i="9"/>
  <c r="L89" i="9"/>
  <c r="K89" i="9"/>
  <c r="R88" i="9"/>
  <c r="M88" i="9"/>
  <c r="L88" i="9"/>
  <c r="K88" i="9"/>
  <c r="E88" i="9"/>
  <c r="U191" i="9" s="1"/>
  <c r="R87" i="9"/>
  <c r="M87" i="9"/>
  <c r="L87" i="9"/>
  <c r="K87" i="9"/>
  <c r="R86" i="9"/>
  <c r="M86" i="9"/>
  <c r="L86" i="9"/>
  <c r="K86" i="9"/>
  <c r="E86" i="9"/>
  <c r="R85" i="9"/>
  <c r="M85" i="9"/>
  <c r="L85" i="9"/>
  <c r="K85" i="9"/>
  <c r="R84" i="9"/>
  <c r="M84" i="9"/>
  <c r="L84" i="9"/>
  <c r="K84" i="9"/>
  <c r="R83" i="9"/>
  <c r="M83" i="9"/>
  <c r="L83" i="9"/>
  <c r="K83" i="9"/>
  <c r="E83" i="9"/>
  <c r="T189" i="9" s="1"/>
  <c r="R82" i="9"/>
  <c r="M82" i="9"/>
  <c r="L82" i="9"/>
  <c r="K82" i="9"/>
  <c r="R81" i="9"/>
  <c r="M81" i="9"/>
  <c r="L81" i="9"/>
  <c r="K81" i="9"/>
  <c r="E81" i="9"/>
  <c r="S188" i="9" s="1"/>
  <c r="R80" i="9"/>
  <c r="M80" i="9"/>
  <c r="L80" i="9"/>
  <c r="K80" i="9"/>
  <c r="Q79" i="9"/>
  <c r="R79" i="9" s="1"/>
  <c r="M79" i="9"/>
  <c r="L79" i="9"/>
  <c r="K79" i="9"/>
  <c r="Q78" i="9"/>
  <c r="R78" i="9" s="1"/>
  <c r="M78" i="9"/>
  <c r="L78" i="9"/>
  <c r="K78" i="9"/>
  <c r="E78" i="9"/>
  <c r="T187" i="9" s="1"/>
  <c r="R77" i="9"/>
  <c r="M77" i="9"/>
  <c r="L77" i="9"/>
  <c r="K77" i="9"/>
  <c r="R76" i="9"/>
  <c r="M76" i="9"/>
  <c r="L76" i="9"/>
  <c r="K76" i="9"/>
  <c r="E76" i="9"/>
  <c r="T186" i="9" s="1"/>
  <c r="R75" i="9"/>
  <c r="M75" i="9"/>
  <c r="L75" i="9"/>
  <c r="K75" i="9"/>
  <c r="R74" i="9"/>
  <c r="M74" i="9"/>
  <c r="L74" i="9"/>
  <c r="K74" i="9"/>
  <c r="E74" i="9"/>
  <c r="U185" i="9" s="1"/>
  <c r="R73" i="9"/>
  <c r="M73" i="9"/>
  <c r="L73" i="9"/>
  <c r="K73" i="9"/>
  <c r="R72" i="9"/>
  <c r="M72" i="9"/>
  <c r="L72" i="9"/>
  <c r="K72" i="9"/>
  <c r="E72" i="9"/>
  <c r="U184" i="9" s="1"/>
  <c r="R71" i="9"/>
  <c r="M71" i="9"/>
  <c r="L71" i="9"/>
  <c r="K71" i="9"/>
  <c r="R70" i="9"/>
  <c r="M70" i="9"/>
  <c r="L70" i="9"/>
  <c r="K70" i="9"/>
  <c r="E70" i="9"/>
  <c r="T183" i="9" s="1"/>
  <c r="R69" i="9"/>
  <c r="M69" i="9"/>
  <c r="L69" i="9"/>
  <c r="K69" i="9"/>
  <c r="R68" i="9"/>
  <c r="M68" i="9"/>
  <c r="L68" i="9"/>
  <c r="K68" i="9"/>
  <c r="R67" i="9"/>
  <c r="M67" i="9"/>
  <c r="L67" i="9"/>
  <c r="K67" i="9"/>
  <c r="R66" i="9"/>
  <c r="M66" i="9"/>
  <c r="L66" i="9"/>
  <c r="K66" i="9"/>
  <c r="R65" i="9"/>
  <c r="M65" i="9"/>
  <c r="L65" i="9"/>
  <c r="K65" i="9"/>
  <c r="E65" i="9"/>
  <c r="T181" i="9" s="1"/>
  <c r="R64" i="9"/>
  <c r="M64" i="9"/>
  <c r="L64" i="9"/>
  <c r="K64" i="9"/>
  <c r="R63" i="9"/>
  <c r="M63" i="9"/>
  <c r="L63" i="9"/>
  <c r="K63" i="9"/>
  <c r="E63" i="9"/>
  <c r="U180" i="9" s="1"/>
  <c r="O62" i="9"/>
  <c r="M62" i="9"/>
  <c r="L62" i="9"/>
  <c r="K62" i="9"/>
  <c r="O61" i="9"/>
  <c r="R61" i="9" s="1"/>
  <c r="M61" i="9"/>
  <c r="L61" i="9"/>
  <c r="K61" i="9"/>
  <c r="O60" i="9"/>
  <c r="M60" i="9"/>
  <c r="L60" i="9"/>
  <c r="K60" i="9"/>
  <c r="O59" i="9"/>
  <c r="R59" i="9" s="1"/>
  <c r="M59" i="9"/>
  <c r="L59" i="9"/>
  <c r="K59" i="9"/>
  <c r="E59" i="9"/>
  <c r="O58" i="9"/>
  <c r="R58" i="9" s="1"/>
  <c r="M58" i="9"/>
  <c r="L58" i="9"/>
  <c r="K58" i="9"/>
  <c r="O57" i="9"/>
  <c r="R57" i="9" s="1"/>
  <c r="M57" i="9"/>
  <c r="L57" i="9"/>
  <c r="K57" i="9"/>
  <c r="E57" i="9"/>
  <c r="U177" i="9" s="1"/>
  <c r="R56" i="9"/>
  <c r="M56" i="9"/>
  <c r="L56" i="9"/>
  <c r="K56" i="9"/>
  <c r="R55" i="9"/>
  <c r="M55" i="9"/>
  <c r="L55" i="9"/>
  <c r="K55" i="9"/>
  <c r="E55" i="9"/>
  <c r="T176" i="9" s="1"/>
  <c r="R54" i="9"/>
  <c r="M54" i="9"/>
  <c r="L54" i="9"/>
  <c r="K54" i="9"/>
  <c r="R53" i="9"/>
  <c r="M53" i="9"/>
  <c r="L53" i="9"/>
  <c r="K53" i="9"/>
  <c r="R52" i="9"/>
  <c r="M52" i="9"/>
  <c r="L52" i="9"/>
  <c r="K52" i="9"/>
  <c r="R51" i="9"/>
  <c r="M51" i="9"/>
  <c r="L51" i="9"/>
  <c r="K51" i="9"/>
  <c r="E51" i="9"/>
  <c r="S174" i="9" s="1"/>
  <c r="R50" i="9"/>
  <c r="M50" i="9"/>
  <c r="L50" i="9"/>
  <c r="K50" i="9"/>
  <c r="R49" i="9"/>
  <c r="M49" i="9"/>
  <c r="L49" i="9"/>
  <c r="K49" i="9"/>
  <c r="E49" i="9"/>
  <c r="T173" i="9" s="1"/>
  <c r="R48" i="9"/>
  <c r="M48" i="9"/>
  <c r="L48" i="9"/>
  <c r="K48" i="9"/>
  <c r="R47" i="9"/>
  <c r="M47" i="9"/>
  <c r="L47" i="9"/>
  <c r="K47" i="9"/>
  <c r="E47" i="9"/>
  <c r="S172" i="9" s="1"/>
  <c r="R46" i="9"/>
  <c r="M46" i="9"/>
  <c r="L46" i="9"/>
  <c r="K46" i="9"/>
  <c r="R45" i="9"/>
  <c r="M45" i="9"/>
  <c r="L45" i="9"/>
  <c r="K45" i="9"/>
  <c r="R44" i="9"/>
  <c r="M44" i="9"/>
  <c r="L44" i="9"/>
  <c r="K44" i="9"/>
  <c r="R43" i="9"/>
  <c r="M43" i="9"/>
  <c r="L43" i="9"/>
  <c r="K43" i="9"/>
  <c r="E43" i="9"/>
  <c r="U170" i="9" s="1"/>
  <c r="R42" i="9"/>
  <c r="M42" i="9"/>
  <c r="L42" i="9"/>
  <c r="K42" i="9"/>
  <c r="R41" i="9"/>
  <c r="M41" i="9"/>
  <c r="L41" i="9"/>
  <c r="K41" i="9"/>
  <c r="R40" i="9"/>
  <c r="M40" i="9"/>
  <c r="L40" i="9"/>
  <c r="K40" i="9"/>
  <c r="R39" i="9"/>
  <c r="M39" i="9"/>
  <c r="L39" i="9"/>
  <c r="K39" i="9"/>
  <c r="E39" i="9"/>
  <c r="S168" i="9" s="1"/>
  <c r="R38" i="9"/>
  <c r="M38" i="9"/>
  <c r="L38" i="9"/>
  <c r="K38" i="9"/>
  <c r="R37" i="9"/>
  <c r="M37" i="9"/>
  <c r="L37" i="9"/>
  <c r="K37" i="9"/>
  <c r="R36" i="9"/>
  <c r="M36" i="9"/>
  <c r="L36" i="9"/>
  <c r="K36" i="9"/>
  <c r="R35" i="9"/>
  <c r="M35" i="9"/>
  <c r="L35" i="9"/>
  <c r="K35" i="9"/>
  <c r="E35" i="9"/>
  <c r="T166" i="9" s="1"/>
  <c r="R34" i="9"/>
  <c r="M34" i="9"/>
  <c r="L34" i="9"/>
  <c r="K34" i="9"/>
  <c r="R33" i="9"/>
  <c r="M33" i="9"/>
  <c r="L33" i="9"/>
  <c r="K33" i="9"/>
  <c r="R32" i="9"/>
  <c r="M32" i="9"/>
  <c r="L32" i="9"/>
  <c r="K32" i="9"/>
  <c r="R31" i="9"/>
  <c r="M31" i="9"/>
  <c r="L31" i="9"/>
  <c r="K31" i="9"/>
  <c r="R30" i="9"/>
  <c r="M30" i="9"/>
  <c r="L30" i="9"/>
  <c r="K30" i="9"/>
  <c r="E30" i="9"/>
  <c r="R29" i="9"/>
  <c r="M29" i="9"/>
  <c r="L29" i="9"/>
  <c r="K29" i="9"/>
  <c r="R28" i="9"/>
  <c r="M28" i="9"/>
  <c r="L28" i="9"/>
  <c r="K28" i="9"/>
  <c r="R27" i="9"/>
  <c r="M27" i="9"/>
  <c r="L27" i="9"/>
  <c r="K27" i="9"/>
  <c r="R26" i="9"/>
  <c r="M26" i="9"/>
  <c r="L26" i="9"/>
  <c r="K26" i="9"/>
  <c r="R25" i="9"/>
  <c r="M25" i="9"/>
  <c r="L25" i="9"/>
  <c r="K25" i="9"/>
  <c r="R24" i="9"/>
  <c r="M24" i="9"/>
  <c r="L24" i="9"/>
  <c r="K24" i="9"/>
  <c r="E24" i="9"/>
  <c r="S161" i="9" s="1"/>
  <c r="R23" i="9"/>
  <c r="M23" i="9"/>
  <c r="L23" i="9"/>
  <c r="K23" i="9"/>
  <c r="R22" i="9"/>
  <c r="M22" i="9"/>
  <c r="L22" i="9"/>
  <c r="K22" i="9"/>
  <c r="R21" i="9"/>
  <c r="M21" i="9"/>
  <c r="L21" i="9"/>
  <c r="K21" i="9"/>
  <c r="R20" i="9"/>
  <c r="M20" i="9"/>
  <c r="L20" i="9"/>
  <c r="K20" i="9"/>
  <c r="R19" i="9"/>
  <c r="M19" i="9"/>
  <c r="L19" i="9"/>
  <c r="K19" i="9"/>
  <c r="R18" i="9"/>
  <c r="M18" i="9"/>
  <c r="L18" i="9"/>
  <c r="K18" i="9"/>
  <c r="E18" i="9"/>
  <c r="R17" i="9"/>
  <c r="M17" i="9"/>
  <c r="L17" i="9"/>
  <c r="K17" i="9"/>
  <c r="R16" i="9"/>
  <c r="M16" i="9"/>
  <c r="L16" i="9"/>
  <c r="K16" i="9"/>
  <c r="E16" i="9"/>
  <c r="R15" i="9"/>
  <c r="M15" i="9"/>
  <c r="L15" i="9"/>
  <c r="K15" i="9"/>
  <c r="R14" i="9"/>
  <c r="M14" i="9"/>
  <c r="L14" i="9"/>
  <c r="K14" i="9"/>
  <c r="R13" i="9"/>
  <c r="M13" i="9"/>
  <c r="L13" i="9"/>
  <c r="K13" i="9"/>
  <c r="R12" i="9"/>
  <c r="M12" i="9"/>
  <c r="L12" i="9"/>
  <c r="K12" i="9"/>
  <c r="R11" i="9"/>
  <c r="M11" i="9"/>
  <c r="L11" i="9"/>
  <c r="K11" i="9"/>
  <c r="R10" i="9"/>
  <c r="M10" i="9"/>
  <c r="L10" i="9"/>
  <c r="K10" i="9"/>
  <c r="E10" i="9"/>
  <c r="T154" i="9" s="1"/>
  <c r="R9" i="9"/>
  <c r="M9" i="9"/>
  <c r="L9" i="9"/>
  <c r="K9" i="9"/>
  <c r="R8" i="9"/>
  <c r="M8" i="9"/>
  <c r="L8" i="9"/>
  <c r="K8" i="9"/>
  <c r="E119" i="10"/>
  <c r="U210" i="10" s="1"/>
  <c r="E109" i="10"/>
  <c r="U206" i="10" s="1"/>
  <c r="E101" i="10"/>
  <c r="T202" i="10" s="1"/>
  <c r="E93" i="10"/>
  <c r="T198" i="10" s="1"/>
  <c r="E85" i="10"/>
  <c r="U194" i="10" s="1"/>
  <c r="R130" i="10"/>
  <c r="M130" i="10"/>
  <c r="L130" i="10"/>
  <c r="K130" i="10"/>
  <c r="U214" i="10" s="1"/>
  <c r="R129" i="10"/>
  <c r="M129" i="10"/>
  <c r="L129" i="10"/>
  <c r="K129" i="10"/>
  <c r="R128" i="10"/>
  <c r="M128" i="10"/>
  <c r="L128" i="10"/>
  <c r="K128" i="10"/>
  <c r="S213" i="10" s="1"/>
  <c r="R127" i="10"/>
  <c r="M127" i="10"/>
  <c r="L127" i="10"/>
  <c r="K127" i="10"/>
  <c r="R126" i="10"/>
  <c r="M126" i="10"/>
  <c r="L126" i="10"/>
  <c r="K126" i="10"/>
  <c r="R125" i="10"/>
  <c r="M125" i="10"/>
  <c r="L125" i="10"/>
  <c r="K125" i="10"/>
  <c r="E125" i="10"/>
  <c r="U212" i="10" s="1"/>
  <c r="R124" i="10"/>
  <c r="M124" i="10"/>
  <c r="L124" i="10"/>
  <c r="K124" i="10"/>
  <c r="R123" i="10"/>
  <c r="M123" i="10"/>
  <c r="L123" i="10"/>
  <c r="K123" i="10"/>
  <c r="R122" i="10"/>
  <c r="M122" i="10"/>
  <c r="L122" i="10"/>
  <c r="K122" i="10"/>
  <c r="R121" i="10"/>
  <c r="M121" i="10"/>
  <c r="L121" i="10"/>
  <c r="K121" i="10"/>
  <c r="R120" i="10"/>
  <c r="M120" i="10"/>
  <c r="L120" i="10"/>
  <c r="K120" i="10"/>
  <c r="O119" i="10"/>
  <c r="R119" i="10" s="1"/>
  <c r="M119" i="10"/>
  <c r="L119" i="10"/>
  <c r="G119" i="10"/>
  <c r="K119" i="10" s="1"/>
  <c r="R118" i="10"/>
  <c r="M118" i="10"/>
  <c r="L118" i="10"/>
  <c r="K118" i="10"/>
  <c r="R117" i="10"/>
  <c r="M117" i="10"/>
  <c r="L117" i="10"/>
  <c r="K117" i="10"/>
  <c r="R116" i="10"/>
  <c r="M116" i="10"/>
  <c r="L116" i="10"/>
  <c r="K116" i="10"/>
  <c r="R115" i="10"/>
  <c r="M115" i="10"/>
  <c r="L115" i="10"/>
  <c r="K115" i="10"/>
  <c r="R113" i="10"/>
  <c r="M113" i="10"/>
  <c r="L113" i="10"/>
  <c r="K113" i="10"/>
  <c r="R111" i="10"/>
  <c r="M111" i="10"/>
  <c r="L111" i="10"/>
  <c r="K111" i="10"/>
  <c r="E111" i="10"/>
  <c r="T207" i="10" s="1"/>
  <c r="R110" i="10"/>
  <c r="M110" i="10"/>
  <c r="L110" i="10"/>
  <c r="K110" i="10"/>
  <c r="R109" i="10"/>
  <c r="M109" i="10"/>
  <c r="L109" i="10"/>
  <c r="K109" i="10"/>
  <c r="R108" i="10"/>
  <c r="M108" i="10"/>
  <c r="L108" i="10"/>
  <c r="K108" i="10"/>
  <c r="R107" i="10"/>
  <c r="M107" i="10"/>
  <c r="L107" i="10"/>
  <c r="K107" i="10"/>
  <c r="E107" i="10"/>
  <c r="R106" i="10"/>
  <c r="M106" i="10"/>
  <c r="L106" i="10"/>
  <c r="K106" i="10"/>
  <c r="R105" i="10"/>
  <c r="M105" i="10"/>
  <c r="L105" i="10"/>
  <c r="K105" i="10"/>
  <c r="E105" i="10"/>
  <c r="U204" i="10" s="1"/>
  <c r="R104" i="10"/>
  <c r="M104" i="10"/>
  <c r="L104" i="10"/>
  <c r="K104" i="10"/>
  <c r="R103" i="10"/>
  <c r="M103" i="10"/>
  <c r="L103" i="10"/>
  <c r="K103" i="10"/>
  <c r="E103" i="10"/>
  <c r="U203" i="10" s="1"/>
  <c r="R102" i="10"/>
  <c r="M102" i="10"/>
  <c r="L102" i="10"/>
  <c r="K102" i="10"/>
  <c r="R101" i="10"/>
  <c r="M101" i="10"/>
  <c r="L101" i="10"/>
  <c r="K101" i="10"/>
  <c r="R100" i="10"/>
  <c r="M100" i="10"/>
  <c r="L100" i="10"/>
  <c r="K100" i="10"/>
  <c r="R99" i="10"/>
  <c r="M99" i="10"/>
  <c r="L99" i="10"/>
  <c r="K99" i="10"/>
  <c r="E99" i="10"/>
  <c r="S201" i="10" s="1"/>
  <c r="R98" i="10"/>
  <c r="M98" i="10"/>
  <c r="L98" i="10"/>
  <c r="K98" i="10"/>
  <c r="R97" i="10"/>
  <c r="M97" i="10"/>
  <c r="L97" i="10"/>
  <c r="K97" i="10"/>
  <c r="E97" i="10"/>
  <c r="U200" i="10" s="1"/>
  <c r="R96" i="10"/>
  <c r="M96" i="10"/>
  <c r="L96" i="10"/>
  <c r="K96" i="10"/>
  <c r="R95" i="10"/>
  <c r="M95" i="10"/>
  <c r="L95" i="10"/>
  <c r="K95" i="10"/>
  <c r="E95" i="10"/>
  <c r="S199" i="10" s="1"/>
  <c r="R94" i="10"/>
  <c r="M94" i="10"/>
  <c r="L94" i="10"/>
  <c r="K94" i="10"/>
  <c r="R93" i="10"/>
  <c r="M93" i="10"/>
  <c r="L93" i="10"/>
  <c r="K93" i="10"/>
  <c r="R92" i="10"/>
  <c r="M92" i="10"/>
  <c r="L92" i="10"/>
  <c r="K92" i="10"/>
  <c r="R91" i="10"/>
  <c r="M91" i="10"/>
  <c r="L91" i="10"/>
  <c r="K91" i="10"/>
  <c r="E91" i="10"/>
  <c r="U197" i="10" s="1"/>
  <c r="R90" i="10"/>
  <c r="L197" i="10" s="1"/>
  <c r="M90" i="10"/>
  <c r="L90" i="10"/>
  <c r="K90" i="10"/>
  <c r="R89" i="10"/>
  <c r="M89" i="10"/>
  <c r="L89" i="10"/>
  <c r="K89" i="10"/>
  <c r="E89" i="10"/>
  <c r="U196" i="10" s="1"/>
  <c r="R88" i="10"/>
  <c r="M88" i="10"/>
  <c r="L88" i="10"/>
  <c r="K88" i="10"/>
  <c r="R87" i="10"/>
  <c r="M87" i="10"/>
  <c r="L87" i="10"/>
  <c r="K87" i="10"/>
  <c r="E87" i="10"/>
  <c r="S195" i="10" s="1"/>
  <c r="R86" i="10"/>
  <c r="M86" i="10"/>
  <c r="L86" i="10"/>
  <c r="K86" i="10"/>
  <c r="R85" i="10"/>
  <c r="M85" i="10"/>
  <c r="L85" i="10"/>
  <c r="K85" i="10"/>
  <c r="R84" i="10"/>
  <c r="M84" i="10"/>
  <c r="L84" i="10"/>
  <c r="K84" i="10"/>
  <c r="R83" i="10"/>
  <c r="M83" i="10"/>
  <c r="L83" i="10"/>
  <c r="K83" i="10"/>
  <c r="R82" i="10"/>
  <c r="M82" i="10"/>
  <c r="L82" i="10"/>
  <c r="K82" i="10"/>
  <c r="E82" i="10"/>
  <c r="T193" i="10" s="1"/>
  <c r="R81" i="10"/>
  <c r="M81" i="10"/>
  <c r="L81" i="10"/>
  <c r="K81" i="10"/>
  <c r="R80" i="10"/>
  <c r="M80" i="10"/>
  <c r="L80" i="10"/>
  <c r="K80" i="10"/>
  <c r="E80" i="10"/>
  <c r="T192" i="10" s="1"/>
  <c r="R79" i="10"/>
  <c r="M79" i="10"/>
  <c r="L79" i="10"/>
  <c r="K79" i="10"/>
  <c r="R78" i="10"/>
  <c r="M78" i="10"/>
  <c r="L78" i="10"/>
  <c r="K78" i="10"/>
  <c r="E78" i="10"/>
  <c r="S191" i="10" s="1"/>
  <c r="R77" i="10"/>
  <c r="M77" i="10"/>
  <c r="L77" i="10"/>
  <c r="K77" i="10"/>
  <c r="R76" i="10"/>
  <c r="M76" i="10"/>
  <c r="L76" i="10"/>
  <c r="K76" i="10"/>
  <c r="E76" i="10"/>
  <c r="R75" i="10"/>
  <c r="M75" i="10"/>
  <c r="L75" i="10"/>
  <c r="K75" i="10"/>
  <c r="R74" i="10"/>
  <c r="M74" i="10"/>
  <c r="L74" i="10"/>
  <c r="K74" i="10"/>
  <c r="E74" i="10"/>
  <c r="S189" i="10" s="1"/>
  <c r="R73" i="10"/>
  <c r="M73" i="10"/>
  <c r="L73" i="10"/>
  <c r="K73" i="10"/>
  <c r="R72" i="10"/>
  <c r="M72" i="10"/>
  <c r="L72" i="10"/>
  <c r="K72" i="10"/>
  <c r="R71" i="10"/>
  <c r="M71" i="10"/>
  <c r="L71" i="10"/>
  <c r="K71" i="10"/>
  <c r="E71" i="10"/>
  <c r="R70" i="10"/>
  <c r="M70" i="10"/>
  <c r="L70" i="10"/>
  <c r="K70" i="10"/>
  <c r="R69" i="10"/>
  <c r="M69" i="10"/>
  <c r="L69" i="10"/>
  <c r="K69" i="10"/>
  <c r="R68" i="10"/>
  <c r="M68" i="10"/>
  <c r="L68" i="10"/>
  <c r="K68" i="10"/>
  <c r="R67" i="10"/>
  <c r="M67" i="10"/>
  <c r="L67" i="10"/>
  <c r="K67" i="10"/>
  <c r="R66" i="10"/>
  <c r="M66" i="10"/>
  <c r="L66" i="10"/>
  <c r="K66" i="10"/>
  <c r="R65" i="10"/>
  <c r="M65" i="10"/>
  <c r="L65" i="10"/>
  <c r="K65" i="10"/>
  <c r="E65" i="10"/>
  <c r="R64" i="10"/>
  <c r="M64" i="10"/>
  <c r="L64" i="10"/>
  <c r="K64" i="10"/>
  <c r="R63" i="10"/>
  <c r="M63" i="10"/>
  <c r="L63" i="10"/>
  <c r="K63" i="10"/>
  <c r="E63" i="10"/>
  <c r="S184" i="10" s="1"/>
  <c r="R62" i="10"/>
  <c r="M62" i="10"/>
  <c r="L62" i="10"/>
  <c r="K62" i="10"/>
  <c r="R61" i="10"/>
  <c r="M61" i="10"/>
  <c r="L61" i="10"/>
  <c r="K61" i="10"/>
  <c r="R60" i="10"/>
  <c r="M60" i="10"/>
  <c r="L60" i="10"/>
  <c r="K60" i="10"/>
  <c r="E60" i="10"/>
  <c r="T183" i="10" s="1"/>
  <c r="R59" i="10"/>
  <c r="M59" i="10"/>
  <c r="L59" i="10"/>
  <c r="K59" i="10"/>
  <c r="M58" i="10"/>
  <c r="L58" i="10"/>
  <c r="K58" i="10"/>
  <c r="E58" i="10"/>
  <c r="S182" i="10" s="1"/>
  <c r="R57" i="10"/>
  <c r="M57" i="10"/>
  <c r="L57" i="10"/>
  <c r="K57" i="10"/>
  <c r="R56" i="10"/>
  <c r="M56" i="10"/>
  <c r="L56" i="10"/>
  <c r="K56" i="10"/>
  <c r="R55" i="10"/>
  <c r="M55" i="10"/>
  <c r="L55" i="10"/>
  <c r="K55" i="10"/>
  <c r="E55" i="10"/>
  <c r="S181" i="10" s="1"/>
  <c r="R54" i="10"/>
  <c r="M54" i="10"/>
  <c r="L54" i="10"/>
  <c r="K54" i="10"/>
  <c r="R53" i="10"/>
  <c r="M53" i="10"/>
  <c r="L53" i="10"/>
  <c r="K53" i="10"/>
  <c r="R52" i="10"/>
  <c r="M52" i="10"/>
  <c r="L52" i="10"/>
  <c r="K52" i="10"/>
  <c r="E52" i="10"/>
  <c r="U180" i="10" s="1"/>
  <c r="R51" i="10"/>
  <c r="M51" i="10"/>
  <c r="L51" i="10"/>
  <c r="K51" i="10"/>
  <c r="R50" i="10"/>
  <c r="M50" i="10"/>
  <c r="L50" i="10"/>
  <c r="K50" i="10"/>
  <c r="R49" i="10"/>
  <c r="M49" i="10"/>
  <c r="L49" i="10"/>
  <c r="K49" i="10"/>
  <c r="R48" i="10"/>
  <c r="M48" i="10"/>
  <c r="L48" i="10"/>
  <c r="K48" i="10"/>
  <c r="E48" i="10"/>
  <c r="T178" i="10" s="1"/>
  <c r="R47" i="10"/>
  <c r="M47" i="10"/>
  <c r="L47" i="10"/>
  <c r="K47" i="10"/>
  <c r="R46" i="10"/>
  <c r="M46" i="10"/>
  <c r="L46" i="10"/>
  <c r="K46" i="10"/>
  <c r="R45" i="10"/>
  <c r="M45" i="10"/>
  <c r="L45" i="10"/>
  <c r="K45" i="10"/>
  <c r="R44" i="10"/>
  <c r="M44" i="10"/>
  <c r="L44" i="10"/>
  <c r="K44" i="10"/>
  <c r="R43" i="10"/>
  <c r="M43" i="10"/>
  <c r="L43" i="10"/>
  <c r="K43" i="10"/>
  <c r="E43" i="10"/>
  <c r="R42" i="10"/>
  <c r="M42" i="10"/>
  <c r="L42" i="10"/>
  <c r="K42" i="10"/>
  <c r="R41" i="10"/>
  <c r="M41" i="10"/>
  <c r="L41" i="10"/>
  <c r="K41" i="10"/>
  <c r="R40" i="10"/>
  <c r="M40" i="10"/>
  <c r="L40" i="10"/>
  <c r="K40" i="10"/>
  <c r="R39" i="10"/>
  <c r="M39" i="10"/>
  <c r="L39" i="10"/>
  <c r="K39" i="10"/>
  <c r="R38" i="10"/>
  <c r="M38" i="10"/>
  <c r="L38" i="10"/>
  <c r="K38" i="10"/>
  <c r="E38" i="10"/>
  <c r="S174" i="10" s="1"/>
  <c r="R37" i="10"/>
  <c r="M37" i="10"/>
  <c r="L37" i="10"/>
  <c r="K37" i="10"/>
  <c r="R36" i="10"/>
  <c r="M36" i="10"/>
  <c r="L36" i="10"/>
  <c r="K36" i="10"/>
  <c r="R35" i="10"/>
  <c r="M35" i="10"/>
  <c r="L35" i="10"/>
  <c r="K35" i="10"/>
  <c r="R34" i="10"/>
  <c r="M34" i="10"/>
  <c r="L34" i="10"/>
  <c r="K34" i="10"/>
  <c r="R33" i="10"/>
  <c r="M33" i="10"/>
  <c r="L33" i="10"/>
  <c r="K33" i="10"/>
  <c r="E33" i="10"/>
  <c r="T172" i="10" s="1"/>
  <c r="R32" i="10"/>
  <c r="M32" i="10"/>
  <c r="L32" i="10"/>
  <c r="K32" i="10"/>
  <c r="R31" i="10"/>
  <c r="M31" i="10"/>
  <c r="L31" i="10"/>
  <c r="K31" i="10"/>
  <c r="R30" i="10"/>
  <c r="M30" i="10"/>
  <c r="L30" i="10"/>
  <c r="K30" i="10"/>
  <c r="E30" i="10"/>
  <c r="U171" i="10" s="1"/>
  <c r="R29" i="10"/>
  <c r="M29" i="10"/>
  <c r="L29" i="10"/>
  <c r="K29" i="10"/>
  <c r="R28" i="10"/>
  <c r="M28" i="10"/>
  <c r="L28" i="10"/>
  <c r="K28" i="10"/>
  <c r="E28" i="10"/>
  <c r="U170" i="10" s="1"/>
  <c r="R27" i="10"/>
  <c r="M27" i="10"/>
  <c r="L27" i="10"/>
  <c r="K27" i="10"/>
  <c r="R26" i="10"/>
  <c r="M26" i="10"/>
  <c r="L26" i="10"/>
  <c r="K26" i="10"/>
  <c r="R25" i="10"/>
  <c r="M25" i="10"/>
  <c r="L25" i="10"/>
  <c r="K25" i="10"/>
  <c r="R24" i="10"/>
  <c r="M24" i="10"/>
  <c r="L24" i="10"/>
  <c r="K24" i="10"/>
  <c r="R23" i="10"/>
  <c r="M23" i="10"/>
  <c r="L23" i="10"/>
  <c r="K23" i="10"/>
  <c r="E23" i="10"/>
  <c r="R22" i="10"/>
  <c r="M22" i="10"/>
  <c r="L22" i="10"/>
  <c r="K22" i="10"/>
  <c r="R21" i="10"/>
  <c r="M21" i="10"/>
  <c r="L21" i="10"/>
  <c r="K21" i="10"/>
  <c r="R20" i="10"/>
  <c r="M20" i="10"/>
  <c r="L20" i="10"/>
  <c r="K20" i="10"/>
  <c r="R19" i="10"/>
  <c r="M19" i="10"/>
  <c r="L19" i="10"/>
  <c r="K19" i="10"/>
  <c r="E19" i="10"/>
  <c r="T166" i="10" s="1"/>
  <c r="R18" i="10"/>
  <c r="M18" i="10"/>
  <c r="L18" i="10"/>
  <c r="K18" i="10"/>
  <c r="R17" i="10"/>
  <c r="M17" i="10"/>
  <c r="L17" i="10"/>
  <c r="K17" i="10"/>
  <c r="E17" i="10"/>
  <c r="T165" i="10" s="1"/>
  <c r="R16" i="10"/>
  <c r="M16" i="10"/>
  <c r="L16" i="10"/>
  <c r="K16" i="10"/>
  <c r="R15" i="10"/>
  <c r="M15" i="10"/>
  <c r="L15" i="10"/>
  <c r="K15" i="10"/>
  <c r="R14" i="10"/>
  <c r="M14" i="10"/>
  <c r="L14" i="10"/>
  <c r="K14" i="10"/>
  <c r="E14" i="10"/>
  <c r="U164" i="10" s="1"/>
  <c r="R13" i="10"/>
  <c r="M13" i="10"/>
  <c r="L13" i="10"/>
  <c r="K13" i="10"/>
  <c r="R12" i="10"/>
  <c r="M12" i="10"/>
  <c r="L12" i="10"/>
  <c r="K12" i="10"/>
  <c r="R11" i="10"/>
  <c r="M11" i="10"/>
  <c r="L11" i="10"/>
  <c r="K11" i="10"/>
  <c r="R10" i="10"/>
  <c r="M10" i="10"/>
  <c r="L10" i="10"/>
  <c r="K10" i="10"/>
  <c r="E10" i="10"/>
  <c r="U162" i="10" s="1"/>
  <c r="R9" i="10"/>
  <c r="M9" i="10"/>
  <c r="L9" i="10"/>
  <c r="K9" i="10"/>
  <c r="R8" i="10"/>
  <c r="M8" i="10"/>
  <c r="L8" i="10"/>
  <c r="K8" i="10"/>
  <c r="E106" i="11"/>
  <c r="U191" i="11" s="1"/>
  <c r="E74" i="11"/>
  <c r="U195" i="11"/>
  <c r="T195" i="11"/>
  <c r="S195" i="11"/>
  <c r="U193" i="11"/>
  <c r="T193" i="11"/>
  <c r="S193" i="11"/>
  <c r="U192" i="11"/>
  <c r="T192" i="11"/>
  <c r="S192" i="11"/>
  <c r="U190" i="11"/>
  <c r="T190" i="11"/>
  <c r="S190" i="11"/>
  <c r="U171" i="11"/>
  <c r="T171" i="11"/>
  <c r="S171" i="11"/>
  <c r="U169" i="11"/>
  <c r="T169" i="11"/>
  <c r="S169" i="11"/>
  <c r="U168" i="11"/>
  <c r="T168" i="11"/>
  <c r="S168" i="11"/>
  <c r="U167" i="11"/>
  <c r="T167" i="11"/>
  <c r="S167" i="11"/>
  <c r="U166" i="11"/>
  <c r="T166" i="11"/>
  <c r="S166" i="11"/>
  <c r="U163" i="11"/>
  <c r="T163" i="11"/>
  <c r="S163" i="11"/>
  <c r="U161" i="11"/>
  <c r="T161" i="11"/>
  <c r="S161" i="11"/>
  <c r="U159" i="11"/>
  <c r="T159" i="11"/>
  <c r="S159" i="11"/>
  <c r="U158" i="11"/>
  <c r="T158" i="11"/>
  <c r="S158" i="11"/>
  <c r="U157" i="11"/>
  <c r="T157" i="11"/>
  <c r="S157" i="11"/>
  <c r="U155" i="11"/>
  <c r="T155" i="11"/>
  <c r="S155" i="11"/>
  <c r="U154" i="11"/>
  <c r="T154" i="11"/>
  <c r="S154" i="11"/>
  <c r="U153" i="11"/>
  <c r="T153" i="11"/>
  <c r="S153" i="11"/>
  <c r="U151" i="11"/>
  <c r="T151" i="11"/>
  <c r="S151" i="11"/>
  <c r="U150" i="11"/>
  <c r="T150" i="11"/>
  <c r="S150" i="11"/>
  <c r="U147" i="11"/>
  <c r="T147" i="11"/>
  <c r="S147" i="11"/>
  <c r="U146" i="11"/>
  <c r="T146" i="11"/>
  <c r="S146" i="11"/>
  <c r="U145" i="11"/>
  <c r="T145" i="11"/>
  <c r="S145" i="11"/>
  <c r="U143" i="11"/>
  <c r="T143" i="11"/>
  <c r="R117" i="11"/>
  <c r="M117" i="11"/>
  <c r="L117" i="11"/>
  <c r="K117" i="11"/>
  <c r="R116" i="11"/>
  <c r="M116" i="11"/>
  <c r="L116" i="11"/>
  <c r="K116" i="11"/>
  <c r="R115" i="11"/>
  <c r="M115" i="11"/>
  <c r="L115" i="11"/>
  <c r="K115" i="11"/>
  <c r="R114" i="11"/>
  <c r="M114" i="11"/>
  <c r="L114" i="11"/>
  <c r="K114" i="11"/>
  <c r="E114" i="11"/>
  <c r="R113" i="11"/>
  <c r="M113" i="11"/>
  <c r="L113" i="11"/>
  <c r="K113" i="11"/>
  <c r="R112" i="11"/>
  <c r="M112" i="11"/>
  <c r="L112" i="11"/>
  <c r="K112" i="11"/>
  <c r="R111" i="11"/>
  <c r="M111" i="11"/>
  <c r="L111" i="11"/>
  <c r="K111" i="11"/>
  <c r="R110" i="11"/>
  <c r="M110" i="11"/>
  <c r="L110" i="11"/>
  <c r="K110" i="11"/>
  <c r="R109" i="11"/>
  <c r="M109" i="11"/>
  <c r="L109" i="11"/>
  <c r="K109" i="11"/>
  <c r="R108" i="11"/>
  <c r="M108" i="11"/>
  <c r="L108" i="11"/>
  <c r="K108" i="11"/>
  <c r="R107" i="11"/>
  <c r="M107" i="11"/>
  <c r="L107" i="11"/>
  <c r="K107" i="11"/>
  <c r="R106" i="11"/>
  <c r="M106" i="11"/>
  <c r="L106" i="11"/>
  <c r="K106" i="11"/>
  <c r="R105" i="11"/>
  <c r="M105" i="11"/>
  <c r="L105" i="11"/>
  <c r="K105" i="11"/>
  <c r="R104" i="11"/>
  <c r="M104" i="11"/>
  <c r="L104" i="11"/>
  <c r="K104" i="11"/>
  <c r="R103" i="11"/>
  <c r="M103" i="11"/>
  <c r="L103" i="11"/>
  <c r="K103" i="11"/>
  <c r="R102" i="11"/>
  <c r="M102" i="11"/>
  <c r="L102" i="11"/>
  <c r="K102" i="11"/>
  <c r="E102" i="11"/>
  <c r="T189" i="11" s="1"/>
  <c r="R101" i="11"/>
  <c r="M101" i="11"/>
  <c r="L101" i="11"/>
  <c r="K101" i="11"/>
  <c r="R100" i="11"/>
  <c r="M100" i="11"/>
  <c r="L100" i="11"/>
  <c r="K100" i="11"/>
  <c r="E100" i="11"/>
  <c r="R99" i="11"/>
  <c r="M99" i="11"/>
  <c r="L99" i="11"/>
  <c r="K99" i="11"/>
  <c r="R98" i="11"/>
  <c r="M98" i="11"/>
  <c r="L98" i="11"/>
  <c r="K98" i="11"/>
  <c r="R97" i="11"/>
  <c r="M97" i="11"/>
  <c r="L97" i="11"/>
  <c r="K97" i="11"/>
  <c r="R96" i="11"/>
  <c r="M96" i="11"/>
  <c r="L96" i="11"/>
  <c r="K96" i="11"/>
  <c r="E96" i="11"/>
  <c r="R95" i="11"/>
  <c r="M95" i="11"/>
  <c r="L95" i="11"/>
  <c r="K95" i="11"/>
  <c r="R94" i="11"/>
  <c r="M94" i="11"/>
  <c r="L94" i="11"/>
  <c r="K94" i="11"/>
  <c r="E94" i="11"/>
  <c r="U185" i="11" s="1"/>
  <c r="R93" i="11"/>
  <c r="M93" i="11"/>
  <c r="L93" i="11"/>
  <c r="K93" i="11"/>
  <c r="R92" i="11"/>
  <c r="M92" i="11"/>
  <c r="L92" i="11"/>
  <c r="K92" i="11"/>
  <c r="E92" i="11"/>
  <c r="U184" i="11" s="1"/>
  <c r="R91" i="11"/>
  <c r="M91" i="11"/>
  <c r="L91" i="11"/>
  <c r="K91" i="11"/>
  <c r="R90" i="11"/>
  <c r="M90" i="11"/>
  <c r="L90" i="11"/>
  <c r="K90" i="11"/>
  <c r="U183" i="11"/>
  <c r="R89" i="11"/>
  <c r="M89" i="11"/>
  <c r="L89" i="11"/>
  <c r="K89" i="11"/>
  <c r="R88" i="11"/>
  <c r="M88" i="11"/>
  <c r="L88" i="11"/>
  <c r="K88" i="11"/>
  <c r="E88" i="11"/>
  <c r="T182" i="11" s="1"/>
  <c r="R87" i="11"/>
  <c r="M87" i="11"/>
  <c r="L87" i="11"/>
  <c r="K87" i="11"/>
  <c r="R86" i="11"/>
  <c r="M86" i="11"/>
  <c r="L86" i="11"/>
  <c r="K86" i="11"/>
  <c r="E86" i="11"/>
  <c r="U181" i="11" s="1"/>
  <c r="R85" i="11"/>
  <c r="M85" i="11"/>
  <c r="L85" i="11"/>
  <c r="K85" i="11"/>
  <c r="R84" i="11"/>
  <c r="M84" i="11"/>
  <c r="L84" i="11"/>
  <c r="K84" i="11"/>
  <c r="E84" i="11"/>
  <c r="S180" i="11" s="1"/>
  <c r="R83" i="11"/>
  <c r="M83" i="11"/>
  <c r="L83" i="11"/>
  <c r="K83" i="11"/>
  <c r="R82" i="11"/>
  <c r="M82" i="11"/>
  <c r="L82" i="11"/>
  <c r="K82" i="11"/>
  <c r="R81" i="11"/>
  <c r="M81" i="11"/>
  <c r="L81" i="11"/>
  <c r="K81" i="11"/>
  <c r="R80" i="11"/>
  <c r="M80" i="11"/>
  <c r="L80" i="11"/>
  <c r="K80" i="11"/>
  <c r="E80" i="11"/>
  <c r="S178" i="11" s="1"/>
  <c r="R79" i="11"/>
  <c r="M79" i="11"/>
  <c r="L79" i="11"/>
  <c r="K79" i="11"/>
  <c r="M78" i="11"/>
  <c r="L78" i="11"/>
  <c r="K78" i="11"/>
  <c r="E78" i="11"/>
  <c r="R77" i="11"/>
  <c r="M77" i="11"/>
  <c r="L77" i="11"/>
  <c r="K77" i="11"/>
  <c r="R76" i="11"/>
  <c r="M76" i="11"/>
  <c r="L76" i="11"/>
  <c r="K76" i="11"/>
  <c r="E76" i="11"/>
  <c r="R75" i="11"/>
  <c r="M75" i="11"/>
  <c r="L75" i="11"/>
  <c r="K75" i="11"/>
  <c r="R74" i="11"/>
  <c r="M74" i="11"/>
  <c r="L74" i="11"/>
  <c r="K74" i="11"/>
  <c r="R73" i="11"/>
  <c r="M73" i="11"/>
  <c r="L73" i="11"/>
  <c r="K73" i="11"/>
  <c r="R72" i="11"/>
  <c r="M72" i="11"/>
  <c r="L72" i="11"/>
  <c r="K72" i="11"/>
  <c r="E72" i="11"/>
  <c r="T174" i="11" s="1"/>
  <c r="R71" i="11"/>
  <c r="M71" i="11"/>
  <c r="L71" i="11"/>
  <c r="K71" i="11"/>
  <c r="R70" i="11"/>
  <c r="M70" i="11"/>
  <c r="L70" i="11"/>
  <c r="K70" i="11"/>
  <c r="E70" i="11"/>
  <c r="S173" i="11" s="1"/>
  <c r="R69" i="11"/>
  <c r="M69" i="11"/>
  <c r="L69" i="11"/>
  <c r="K69" i="11"/>
  <c r="R68" i="11"/>
  <c r="M68" i="11"/>
  <c r="L68" i="11"/>
  <c r="K68" i="11"/>
  <c r="E68" i="11"/>
  <c r="U172" i="11" s="1"/>
  <c r="R67" i="11"/>
  <c r="M67" i="11"/>
  <c r="L67" i="11"/>
  <c r="K67" i="11"/>
  <c r="R66" i="11"/>
  <c r="M66" i="11"/>
  <c r="L66" i="11"/>
  <c r="K66" i="11"/>
  <c r="R65" i="11"/>
  <c r="M65" i="11"/>
  <c r="L65" i="11"/>
  <c r="K65" i="11"/>
  <c r="R64" i="11"/>
  <c r="M64" i="11"/>
  <c r="L64" i="11"/>
  <c r="K64" i="11"/>
  <c r="E64" i="11"/>
  <c r="S170" i="11" s="1"/>
  <c r="R63" i="11"/>
  <c r="M63" i="11"/>
  <c r="L63" i="11"/>
  <c r="K63" i="11"/>
  <c r="R62" i="11"/>
  <c r="M62" i="11"/>
  <c r="L62" i="11"/>
  <c r="K62" i="11"/>
  <c r="R61" i="11"/>
  <c r="M61" i="11"/>
  <c r="L61" i="11"/>
  <c r="K61" i="11"/>
  <c r="R60" i="11"/>
  <c r="M60" i="11"/>
  <c r="L60" i="11"/>
  <c r="K60" i="11"/>
  <c r="R59" i="11"/>
  <c r="M59" i="11"/>
  <c r="L59" i="11"/>
  <c r="K59" i="11"/>
  <c r="R58" i="11"/>
  <c r="M58" i="11"/>
  <c r="L58" i="11"/>
  <c r="K58" i="11"/>
  <c r="R57" i="11"/>
  <c r="M57" i="11"/>
  <c r="D167" i="11" s="1"/>
  <c r="L57" i="11"/>
  <c r="K57" i="11"/>
  <c r="R56" i="11"/>
  <c r="M56" i="11"/>
  <c r="L56" i="11"/>
  <c r="K56" i="11"/>
  <c r="R55" i="11"/>
  <c r="M55" i="11"/>
  <c r="L55" i="11"/>
  <c r="K55" i="11"/>
  <c r="R54" i="11"/>
  <c r="M54" i="11"/>
  <c r="L54" i="11"/>
  <c r="K54" i="11"/>
  <c r="E54" i="11"/>
  <c r="U165" i="11" s="1"/>
  <c r="R53" i="11"/>
  <c r="M53" i="11"/>
  <c r="L53" i="11"/>
  <c r="K53" i="11"/>
  <c r="R52" i="11"/>
  <c r="M52" i="11"/>
  <c r="L52" i="11"/>
  <c r="K52" i="11"/>
  <c r="R51" i="11"/>
  <c r="M51" i="11"/>
  <c r="L51" i="11"/>
  <c r="K51" i="11"/>
  <c r="E51" i="11"/>
  <c r="T164" i="11" s="1"/>
  <c r="R50" i="11"/>
  <c r="M50" i="11"/>
  <c r="L50" i="11"/>
  <c r="K50" i="11"/>
  <c r="R49" i="11"/>
  <c r="M49" i="11"/>
  <c r="L49" i="11"/>
  <c r="K49" i="11"/>
  <c r="R48" i="11"/>
  <c r="M48" i="11"/>
  <c r="L48" i="11"/>
  <c r="K48" i="11"/>
  <c r="R47" i="11"/>
  <c r="M47" i="11"/>
  <c r="L47" i="11"/>
  <c r="K47" i="11"/>
  <c r="E47" i="11"/>
  <c r="S162" i="11" s="1"/>
  <c r="R46" i="11"/>
  <c r="M46" i="11"/>
  <c r="L46" i="11"/>
  <c r="K46" i="11"/>
  <c r="R45" i="11"/>
  <c r="M45" i="11"/>
  <c r="L45" i="11"/>
  <c r="K45" i="11"/>
  <c r="R44" i="11"/>
  <c r="M44" i="11"/>
  <c r="L44" i="11"/>
  <c r="K44" i="11"/>
  <c r="R43" i="11"/>
  <c r="M43" i="11"/>
  <c r="L43" i="11"/>
  <c r="K43" i="11"/>
  <c r="E43" i="11"/>
  <c r="R42" i="11"/>
  <c r="M42" i="11"/>
  <c r="L42" i="11"/>
  <c r="K42" i="11"/>
  <c r="R41" i="11"/>
  <c r="M41" i="11"/>
  <c r="L41" i="11"/>
  <c r="K41" i="11"/>
  <c r="R40" i="11"/>
  <c r="M40" i="11"/>
  <c r="L40" i="11"/>
  <c r="K40" i="11"/>
  <c r="R39" i="11"/>
  <c r="M39" i="11"/>
  <c r="L39" i="11"/>
  <c r="K39" i="11"/>
  <c r="R38" i="11"/>
  <c r="M38" i="11"/>
  <c r="L38" i="11"/>
  <c r="K38" i="11"/>
  <c r="R37" i="11"/>
  <c r="M37" i="11"/>
  <c r="L37" i="11"/>
  <c r="K37" i="11"/>
  <c r="R36" i="11"/>
  <c r="M36" i="11"/>
  <c r="L36" i="11"/>
  <c r="K36" i="11"/>
  <c r="R35" i="11"/>
  <c r="M35" i="11"/>
  <c r="L35" i="11"/>
  <c r="K35" i="11"/>
  <c r="E35" i="11"/>
  <c r="R34" i="11"/>
  <c r="M34" i="11"/>
  <c r="L34" i="11"/>
  <c r="K34" i="11"/>
  <c r="R33" i="11"/>
  <c r="M33" i="11"/>
  <c r="L33" i="11"/>
  <c r="K33" i="11"/>
  <c r="R32" i="11"/>
  <c r="M32" i="11"/>
  <c r="L32" i="11"/>
  <c r="K32" i="11"/>
  <c r="R31" i="11"/>
  <c r="M31" i="11"/>
  <c r="L31" i="11"/>
  <c r="K31" i="11"/>
  <c r="R30" i="11"/>
  <c r="M30" i="11"/>
  <c r="L30" i="11"/>
  <c r="K30" i="11"/>
  <c r="R29" i="11"/>
  <c r="M29" i="11"/>
  <c r="L29" i="11"/>
  <c r="K29" i="11"/>
  <c r="R28" i="11"/>
  <c r="M28" i="11"/>
  <c r="L28" i="11"/>
  <c r="K28" i="11"/>
  <c r="R27" i="11"/>
  <c r="M27" i="11"/>
  <c r="L27" i="11"/>
  <c r="K27" i="11"/>
  <c r="E27" i="11"/>
  <c r="U152" i="11" s="1"/>
  <c r="R26" i="11"/>
  <c r="M26" i="11"/>
  <c r="L26" i="11"/>
  <c r="K26" i="11"/>
  <c r="R25" i="11"/>
  <c r="M25" i="11"/>
  <c r="L25" i="11"/>
  <c r="K25" i="11"/>
  <c r="R24" i="11"/>
  <c r="M24" i="11"/>
  <c r="L24" i="11"/>
  <c r="K24" i="11"/>
  <c r="R23" i="11"/>
  <c r="M23" i="11"/>
  <c r="L23" i="11"/>
  <c r="K23" i="11"/>
  <c r="R22" i="11"/>
  <c r="M22" i="11"/>
  <c r="L22" i="11"/>
  <c r="K22" i="11"/>
  <c r="R21" i="11"/>
  <c r="M21" i="11"/>
  <c r="L21" i="11"/>
  <c r="K21" i="11"/>
  <c r="E21" i="11"/>
  <c r="T149" i="11" s="1"/>
  <c r="R20" i="11"/>
  <c r="M20" i="11"/>
  <c r="L20" i="11"/>
  <c r="K20" i="11"/>
  <c r="R19" i="11"/>
  <c r="M19" i="11"/>
  <c r="L19" i="11"/>
  <c r="K19" i="11"/>
  <c r="E19" i="11"/>
  <c r="T148" i="11" s="1"/>
  <c r="R18" i="11"/>
  <c r="M18" i="11"/>
  <c r="L18" i="11"/>
  <c r="K18" i="11"/>
  <c r="R17" i="11"/>
  <c r="M17" i="11"/>
  <c r="L17" i="11"/>
  <c r="K17" i="11"/>
  <c r="R16" i="11"/>
  <c r="M16" i="11"/>
  <c r="L16" i="11"/>
  <c r="K16" i="11"/>
  <c r="R15" i="11"/>
  <c r="M15" i="11"/>
  <c r="L15" i="11"/>
  <c r="K15" i="11"/>
  <c r="R14" i="11"/>
  <c r="M14" i="11"/>
  <c r="L14" i="11"/>
  <c r="K14" i="11"/>
  <c r="R13" i="11"/>
  <c r="M13" i="11"/>
  <c r="L13" i="11"/>
  <c r="K13" i="11"/>
  <c r="R12" i="11"/>
  <c r="M12" i="11"/>
  <c r="L12" i="11"/>
  <c r="K12" i="11"/>
  <c r="R11" i="11"/>
  <c r="M11" i="11"/>
  <c r="L11" i="11"/>
  <c r="K11" i="11"/>
  <c r="E11" i="11"/>
  <c r="S144" i="11" s="1"/>
  <c r="R10" i="11"/>
  <c r="M10" i="11"/>
  <c r="L10" i="11"/>
  <c r="K10" i="11"/>
  <c r="R9" i="11"/>
  <c r="M9" i="11"/>
  <c r="L9" i="11"/>
  <c r="K9" i="11"/>
  <c r="R8" i="11"/>
  <c r="M8" i="11"/>
  <c r="L8" i="11"/>
  <c r="K8" i="11"/>
  <c r="U192" i="12"/>
  <c r="T192" i="12"/>
  <c r="S192" i="12"/>
  <c r="J192" i="12"/>
  <c r="H192" i="12"/>
  <c r="U188" i="12"/>
  <c r="T188" i="12"/>
  <c r="S188" i="12"/>
  <c r="L188" i="12"/>
  <c r="J188" i="12"/>
  <c r="H188" i="12"/>
  <c r="U187" i="12"/>
  <c r="T187" i="12"/>
  <c r="S187" i="12"/>
  <c r="L187" i="12"/>
  <c r="J187" i="12"/>
  <c r="H187" i="12"/>
  <c r="U185" i="12"/>
  <c r="T185" i="12"/>
  <c r="S185" i="12"/>
  <c r="L185" i="12"/>
  <c r="J185" i="12"/>
  <c r="H185" i="12"/>
  <c r="U180" i="12"/>
  <c r="T180" i="12"/>
  <c r="S180" i="12"/>
  <c r="L180" i="12"/>
  <c r="J180" i="12"/>
  <c r="H180" i="12"/>
  <c r="U176" i="12"/>
  <c r="T176" i="12"/>
  <c r="S176" i="12"/>
  <c r="L176" i="12"/>
  <c r="J176" i="12"/>
  <c r="H176" i="12"/>
  <c r="U172" i="12"/>
  <c r="T172" i="12"/>
  <c r="S172" i="12"/>
  <c r="L172" i="12"/>
  <c r="J172" i="12"/>
  <c r="H172" i="12"/>
  <c r="U166" i="12"/>
  <c r="T166" i="12"/>
  <c r="S166" i="12"/>
  <c r="L166" i="12"/>
  <c r="J166" i="12"/>
  <c r="H166" i="12"/>
  <c r="U165" i="12"/>
  <c r="T165" i="12"/>
  <c r="S165" i="12"/>
  <c r="L165" i="12"/>
  <c r="J165" i="12"/>
  <c r="H165" i="12"/>
  <c r="U164" i="12"/>
  <c r="T164" i="12"/>
  <c r="S164" i="12"/>
  <c r="L164" i="12"/>
  <c r="J164" i="12"/>
  <c r="H164" i="12"/>
  <c r="U162" i="12"/>
  <c r="T162" i="12"/>
  <c r="S162" i="12"/>
  <c r="L162" i="12"/>
  <c r="J162" i="12"/>
  <c r="H162" i="12"/>
  <c r="U161" i="12"/>
  <c r="T161" i="12"/>
  <c r="S161" i="12"/>
  <c r="L161" i="12"/>
  <c r="J161" i="12"/>
  <c r="H161" i="12"/>
  <c r="U157" i="12"/>
  <c r="T157" i="12"/>
  <c r="S157" i="12"/>
  <c r="L157" i="12"/>
  <c r="J157" i="12"/>
  <c r="H157" i="12"/>
  <c r="U156" i="12"/>
  <c r="T156" i="12"/>
  <c r="S156" i="12"/>
  <c r="L156" i="12"/>
  <c r="J156" i="12"/>
  <c r="H156" i="12"/>
  <c r="U155" i="12"/>
  <c r="T155" i="12"/>
  <c r="S155" i="12"/>
  <c r="L155" i="12"/>
  <c r="J155" i="12"/>
  <c r="H155" i="12"/>
  <c r="U153" i="12"/>
  <c r="T153" i="12"/>
  <c r="S153" i="12"/>
  <c r="L153" i="12"/>
  <c r="J153" i="12"/>
  <c r="H153" i="12"/>
  <c r="U152" i="12"/>
  <c r="T152" i="12"/>
  <c r="S152" i="12"/>
  <c r="L152" i="12"/>
  <c r="J152" i="12"/>
  <c r="H152" i="12"/>
  <c r="U149" i="12"/>
  <c r="T149" i="12"/>
  <c r="S149" i="12"/>
  <c r="L149" i="12"/>
  <c r="J149" i="12"/>
  <c r="H149" i="12"/>
  <c r="U148" i="12"/>
  <c r="T148" i="12"/>
  <c r="S148" i="12"/>
  <c r="L148" i="12"/>
  <c r="J148" i="12"/>
  <c r="H148" i="12"/>
  <c r="U146" i="12"/>
  <c r="T146" i="12"/>
  <c r="S146" i="12"/>
  <c r="L146" i="12"/>
  <c r="J146" i="12"/>
  <c r="H146" i="12"/>
  <c r="U145" i="12"/>
  <c r="T145" i="12"/>
  <c r="S145" i="12"/>
  <c r="L145" i="12"/>
  <c r="J145" i="12"/>
  <c r="H145" i="12"/>
  <c r="U144" i="12"/>
  <c r="T144" i="12"/>
  <c r="S144" i="12"/>
  <c r="L144" i="12"/>
  <c r="J144" i="12"/>
  <c r="H144" i="12"/>
  <c r="U142" i="12"/>
  <c r="T142" i="12"/>
  <c r="S142" i="12"/>
  <c r="L142" i="12"/>
  <c r="J142" i="12"/>
  <c r="H142" i="12"/>
  <c r="U141" i="12"/>
  <c r="T141" i="12"/>
  <c r="S141" i="12"/>
  <c r="L141" i="12"/>
  <c r="J141" i="12"/>
  <c r="H141" i="12"/>
  <c r="U140" i="12"/>
  <c r="T140" i="12"/>
  <c r="L140" i="12"/>
  <c r="J140" i="12"/>
  <c r="H140" i="12"/>
  <c r="R114" i="12"/>
  <c r="M114" i="12"/>
  <c r="L114" i="12"/>
  <c r="K114" i="12"/>
  <c r="R113" i="12"/>
  <c r="M113" i="12"/>
  <c r="L113" i="12"/>
  <c r="K113" i="12"/>
  <c r="R112" i="12"/>
  <c r="M112" i="12"/>
  <c r="L112" i="12"/>
  <c r="K112" i="12"/>
  <c r="R111" i="12"/>
  <c r="M111" i="12"/>
  <c r="L111" i="12"/>
  <c r="K111" i="12"/>
  <c r="R110" i="12"/>
  <c r="M110" i="12"/>
  <c r="L110" i="12"/>
  <c r="K110" i="12"/>
  <c r="E110" i="12"/>
  <c r="U190" i="12" s="1"/>
  <c r="R109" i="12"/>
  <c r="M109" i="12"/>
  <c r="L109" i="12"/>
  <c r="K109" i="12"/>
  <c r="R108" i="12"/>
  <c r="M108" i="12"/>
  <c r="L108" i="12"/>
  <c r="K108" i="12"/>
  <c r="E108" i="12"/>
  <c r="R107" i="12"/>
  <c r="M107" i="12"/>
  <c r="L107" i="12"/>
  <c r="K107" i="12"/>
  <c r="R106" i="12"/>
  <c r="M106" i="12"/>
  <c r="L106" i="12"/>
  <c r="K106" i="12"/>
  <c r="R105" i="12"/>
  <c r="M105" i="12"/>
  <c r="L105" i="12"/>
  <c r="K105" i="12"/>
  <c r="R104" i="12"/>
  <c r="M104" i="12"/>
  <c r="L104" i="12"/>
  <c r="K104" i="12"/>
  <c r="R103" i="12"/>
  <c r="M103" i="12"/>
  <c r="L103" i="12"/>
  <c r="K103" i="12"/>
  <c r="R102" i="12"/>
  <c r="M102" i="12"/>
  <c r="L102" i="12"/>
  <c r="K102" i="12"/>
  <c r="R101" i="12"/>
  <c r="M101" i="12"/>
  <c r="L101" i="12"/>
  <c r="K101" i="12"/>
  <c r="E101" i="12"/>
  <c r="T186" i="12" s="1"/>
  <c r="R100" i="12"/>
  <c r="M100" i="12"/>
  <c r="L100" i="12"/>
  <c r="K100" i="12"/>
  <c r="R99" i="12"/>
  <c r="M99" i="12"/>
  <c r="L99" i="12"/>
  <c r="K99" i="12"/>
  <c r="R98" i="12"/>
  <c r="M98" i="12"/>
  <c r="L98" i="12"/>
  <c r="K98" i="12"/>
  <c r="R97" i="12"/>
  <c r="M97" i="12"/>
  <c r="L97" i="12"/>
  <c r="K97" i="12"/>
  <c r="E97" i="12"/>
  <c r="U184" i="12" s="1"/>
  <c r="R96" i="12"/>
  <c r="M96" i="12"/>
  <c r="L96" i="12"/>
  <c r="K96" i="12"/>
  <c r="R95" i="12"/>
  <c r="M95" i="12"/>
  <c r="L95" i="12"/>
  <c r="K95" i="12"/>
  <c r="E95" i="12"/>
  <c r="J183" i="12" s="1"/>
  <c r="R94" i="12"/>
  <c r="M94" i="12"/>
  <c r="L94" i="12"/>
  <c r="K94" i="12"/>
  <c r="R93" i="12"/>
  <c r="M93" i="12"/>
  <c r="L93" i="12"/>
  <c r="K93" i="12"/>
  <c r="E93" i="12"/>
  <c r="R92" i="12"/>
  <c r="M92" i="12"/>
  <c r="L92" i="12"/>
  <c r="K92" i="12"/>
  <c r="R91" i="12"/>
  <c r="M91" i="12"/>
  <c r="L91" i="12"/>
  <c r="K91" i="12"/>
  <c r="E91" i="12"/>
  <c r="R90" i="12"/>
  <c r="M90" i="12"/>
  <c r="L90" i="12"/>
  <c r="K90" i="12"/>
  <c r="R89" i="12"/>
  <c r="M89" i="12"/>
  <c r="L89" i="12"/>
  <c r="K89" i="12"/>
  <c r="R88" i="12"/>
  <c r="M88" i="12"/>
  <c r="L88" i="12"/>
  <c r="K88" i="12"/>
  <c r="R87" i="12"/>
  <c r="M87" i="12"/>
  <c r="L87" i="12"/>
  <c r="K87" i="12"/>
  <c r="E87" i="12"/>
  <c r="J179" i="12" s="1"/>
  <c r="R86" i="12"/>
  <c r="M86" i="12"/>
  <c r="L86" i="12"/>
  <c r="K86" i="12"/>
  <c r="R85" i="12"/>
  <c r="M85" i="12"/>
  <c r="L85" i="12"/>
  <c r="K85" i="12"/>
  <c r="E85" i="12"/>
  <c r="H178" i="12" s="1"/>
  <c r="R84" i="12"/>
  <c r="M84" i="12"/>
  <c r="L84" i="12"/>
  <c r="K84" i="12"/>
  <c r="R83" i="12"/>
  <c r="M83" i="12"/>
  <c r="L83" i="12"/>
  <c r="K83" i="12"/>
  <c r="E83" i="12"/>
  <c r="L177" i="12" s="1"/>
  <c r="R82" i="12"/>
  <c r="M82" i="12"/>
  <c r="L82" i="12"/>
  <c r="K82" i="12"/>
  <c r="R81" i="12"/>
  <c r="M81" i="12"/>
  <c r="L81" i="12"/>
  <c r="K81" i="12"/>
  <c r="R80" i="12"/>
  <c r="M80" i="12"/>
  <c r="L80" i="12"/>
  <c r="K80" i="12"/>
  <c r="R79" i="12"/>
  <c r="M79" i="12"/>
  <c r="L79" i="12"/>
  <c r="K79" i="12"/>
  <c r="E79" i="12"/>
  <c r="T175" i="12" s="1"/>
  <c r="R78" i="12"/>
  <c r="M78" i="12"/>
  <c r="L78" i="12"/>
  <c r="K78" i="12"/>
  <c r="R77" i="12"/>
  <c r="M77" i="12"/>
  <c r="L77" i="12"/>
  <c r="K77" i="12"/>
  <c r="E77" i="12"/>
  <c r="J174" i="12" s="1"/>
  <c r="R76" i="12"/>
  <c r="M76" i="12"/>
  <c r="L76" i="12"/>
  <c r="K76" i="12"/>
  <c r="R75" i="12"/>
  <c r="M75" i="12"/>
  <c r="L75" i="12"/>
  <c r="K75" i="12"/>
  <c r="E75" i="12"/>
  <c r="R74" i="12"/>
  <c r="M74" i="12"/>
  <c r="L74" i="12"/>
  <c r="K74" i="12"/>
  <c r="R73" i="12"/>
  <c r="M73" i="12"/>
  <c r="L73" i="12"/>
  <c r="K73" i="12"/>
  <c r="R72" i="12"/>
  <c r="M72" i="12"/>
  <c r="L72" i="12"/>
  <c r="K72" i="12"/>
  <c r="R71" i="12"/>
  <c r="M71" i="12"/>
  <c r="L71" i="12"/>
  <c r="K71" i="12"/>
  <c r="E71" i="12"/>
  <c r="H171" i="12" s="1"/>
  <c r="R70" i="12"/>
  <c r="M70" i="12"/>
  <c r="L70" i="12"/>
  <c r="K70" i="12"/>
  <c r="R69" i="12"/>
  <c r="M69" i="12"/>
  <c r="L69" i="12"/>
  <c r="K69" i="12"/>
  <c r="E69" i="12"/>
  <c r="R68" i="12"/>
  <c r="M68" i="12"/>
  <c r="L68" i="12"/>
  <c r="K68" i="12"/>
  <c r="R67" i="12"/>
  <c r="M67" i="12"/>
  <c r="L67" i="12"/>
  <c r="K67" i="12"/>
  <c r="E67" i="12"/>
  <c r="S169" i="12" s="1"/>
  <c r="R66" i="12"/>
  <c r="M66" i="12"/>
  <c r="L66" i="12"/>
  <c r="K66" i="12"/>
  <c r="R65" i="12"/>
  <c r="M65" i="12"/>
  <c r="L65" i="12"/>
  <c r="K65" i="12"/>
  <c r="E65" i="12"/>
  <c r="U168" i="12" s="1"/>
  <c r="R64" i="12"/>
  <c r="M64" i="12"/>
  <c r="L64" i="12"/>
  <c r="K64" i="12"/>
  <c r="R63" i="12"/>
  <c r="M63" i="12"/>
  <c r="L63" i="12"/>
  <c r="K63" i="12"/>
  <c r="E63" i="12"/>
  <c r="R62" i="12"/>
  <c r="M62" i="12"/>
  <c r="L62" i="12"/>
  <c r="K62" i="12"/>
  <c r="R61" i="12"/>
  <c r="M61" i="12"/>
  <c r="L61" i="12"/>
  <c r="K61" i="12"/>
  <c r="R60" i="12"/>
  <c r="M60" i="12"/>
  <c r="L60" i="12"/>
  <c r="K60" i="12"/>
  <c r="R59" i="12"/>
  <c r="M59" i="12"/>
  <c r="L59" i="12"/>
  <c r="K59" i="12"/>
  <c r="R58" i="12"/>
  <c r="M58" i="12"/>
  <c r="L58" i="12"/>
  <c r="K58" i="12"/>
  <c r="R57" i="12"/>
  <c r="M57" i="12"/>
  <c r="L57" i="12"/>
  <c r="K57" i="12"/>
  <c r="R56" i="12"/>
  <c r="M56" i="12"/>
  <c r="L56" i="12"/>
  <c r="K56" i="12"/>
  <c r="R55" i="12"/>
  <c r="M55" i="12"/>
  <c r="L55" i="12"/>
  <c r="K55" i="12"/>
  <c r="E55" i="12"/>
  <c r="R54" i="12"/>
  <c r="M54" i="12"/>
  <c r="L54" i="12"/>
  <c r="K54" i="12"/>
  <c r="R53" i="12"/>
  <c r="M53" i="12"/>
  <c r="L53" i="12"/>
  <c r="K53" i="12"/>
  <c r="R52" i="12"/>
  <c r="M52" i="12"/>
  <c r="L52" i="12"/>
  <c r="K52" i="12"/>
  <c r="R51" i="12"/>
  <c r="M51" i="12"/>
  <c r="L51" i="12"/>
  <c r="K51" i="12"/>
  <c r="R50" i="12"/>
  <c r="M50" i="12"/>
  <c r="L50" i="12"/>
  <c r="K50" i="12"/>
  <c r="R49" i="12"/>
  <c r="M49" i="12"/>
  <c r="L49" i="12"/>
  <c r="K49" i="12"/>
  <c r="E49" i="12"/>
  <c r="R48" i="12"/>
  <c r="M48" i="12"/>
  <c r="L48" i="12"/>
  <c r="K48" i="12"/>
  <c r="R47" i="12"/>
  <c r="M47" i="12"/>
  <c r="L47" i="12"/>
  <c r="K47" i="12"/>
  <c r="E47" i="12"/>
  <c r="U159" i="12" s="1"/>
  <c r="R46" i="12"/>
  <c r="M46" i="12"/>
  <c r="L46" i="12"/>
  <c r="K46" i="12"/>
  <c r="R45" i="12"/>
  <c r="M45" i="12"/>
  <c r="L45" i="12"/>
  <c r="K45" i="12"/>
  <c r="E45" i="12"/>
  <c r="J158" i="12" s="1"/>
  <c r="R44" i="12"/>
  <c r="M44" i="12"/>
  <c r="L44" i="12"/>
  <c r="K44" i="12"/>
  <c r="R43" i="12"/>
  <c r="M43" i="12"/>
  <c r="L43" i="12"/>
  <c r="K43" i="12"/>
  <c r="R42" i="12"/>
  <c r="M42" i="12"/>
  <c r="L42" i="12"/>
  <c r="K42" i="12"/>
  <c r="R41" i="12"/>
  <c r="M41" i="12"/>
  <c r="L41" i="12"/>
  <c r="K41" i="12"/>
  <c r="R40" i="12"/>
  <c r="M40" i="12"/>
  <c r="L40" i="12"/>
  <c r="K40" i="12"/>
  <c r="R39" i="12"/>
  <c r="M39" i="12"/>
  <c r="L39" i="12"/>
  <c r="K39" i="12"/>
  <c r="R38" i="12"/>
  <c r="M38" i="12"/>
  <c r="L38" i="12"/>
  <c r="K38" i="12"/>
  <c r="R37" i="12"/>
  <c r="M37" i="12"/>
  <c r="L37" i="12"/>
  <c r="K37" i="12"/>
  <c r="E37" i="12"/>
  <c r="R36" i="12"/>
  <c r="M36" i="12"/>
  <c r="L36" i="12"/>
  <c r="K36" i="12"/>
  <c r="R35" i="12"/>
  <c r="M35" i="12"/>
  <c r="L35" i="12"/>
  <c r="K35" i="12"/>
  <c r="R34" i="12"/>
  <c r="M34" i="12"/>
  <c r="L34" i="12"/>
  <c r="K34" i="12"/>
  <c r="R33" i="12"/>
  <c r="M33" i="12"/>
  <c r="D152" i="12" s="1"/>
  <c r="L33" i="12"/>
  <c r="K33" i="12"/>
  <c r="R32" i="12"/>
  <c r="M32" i="12"/>
  <c r="L32" i="12"/>
  <c r="K32" i="12"/>
  <c r="R31" i="12"/>
  <c r="M31" i="12"/>
  <c r="L31" i="12"/>
  <c r="K31" i="12"/>
  <c r="E31" i="12"/>
  <c r="R30" i="12"/>
  <c r="M30" i="12"/>
  <c r="L30" i="12"/>
  <c r="K30" i="12"/>
  <c r="R29" i="12"/>
  <c r="M29" i="12"/>
  <c r="L29" i="12"/>
  <c r="K29" i="12"/>
  <c r="E29" i="12"/>
  <c r="T150" i="12" s="1"/>
  <c r="R28" i="12"/>
  <c r="M28" i="12"/>
  <c r="L28" i="12"/>
  <c r="K28" i="12"/>
  <c r="R27" i="12"/>
  <c r="M27" i="12"/>
  <c r="L27" i="12"/>
  <c r="K27" i="12"/>
  <c r="R26" i="12"/>
  <c r="M26" i="12"/>
  <c r="L26" i="12"/>
  <c r="K26" i="12"/>
  <c r="R25" i="12"/>
  <c r="M25" i="12"/>
  <c r="L25" i="12"/>
  <c r="K25" i="12"/>
  <c r="R24" i="12"/>
  <c r="M24" i="12"/>
  <c r="L24" i="12"/>
  <c r="K24" i="12"/>
  <c r="R23" i="12"/>
  <c r="M23" i="12"/>
  <c r="L23" i="12"/>
  <c r="K23" i="12"/>
  <c r="E23" i="12"/>
  <c r="H147" i="12" s="1"/>
  <c r="R22" i="12"/>
  <c r="M22" i="12"/>
  <c r="L22" i="12"/>
  <c r="K22" i="12"/>
  <c r="R21" i="12"/>
  <c r="M21" i="12"/>
  <c r="L21" i="12"/>
  <c r="K21" i="12"/>
  <c r="R20" i="12"/>
  <c r="M20" i="12"/>
  <c r="L20" i="12"/>
  <c r="K20" i="12"/>
  <c r="R19" i="12"/>
  <c r="M19" i="12"/>
  <c r="L19" i="12"/>
  <c r="K19" i="12"/>
  <c r="R18" i="12"/>
  <c r="M18" i="12"/>
  <c r="L18" i="12"/>
  <c r="K18" i="12"/>
  <c r="R17" i="12"/>
  <c r="M17" i="12"/>
  <c r="L17" i="12"/>
  <c r="K17" i="12"/>
  <c r="R16" i="12"/>
  <c r="M16" i="12"/>
  <c r="L16" i="12"/>
  <c r="K16" i="12"/>
  <c r="R15" i="12"/>
  <c r="M15" i="12"/>
  <c r="L15" i="12"/>
  <c r="K15" i="12"/>
  <c r="E15" i="12"/>
  <c r="J143" i="12" s="1"/>
  <c r="R14" i="12"/>
  <c r="M14" i="12"/>
  <c r="L14" i="12"/>
  <c r="K14" i="12"/>
  <c r="R13" i="12"/>
  <c r="M13" i="12"/>
  <c r="L13" i="12"/>
  <c r="K13" i="12"/>
  <c r="R12" i="12"/>
  <c r="M12" i="12"/>
  <c r="L12" i="12"/>
  <c r="K12" i="12"/>
  <c r="R11" i="12"/>
  <c r="M11" i="12"/>
  <c r="L11" i="12"/>
  <c r="K11" i="12"/>
  <c r="R10" i="12"/>
  <c r="M10" i="12"/>
  <c r="L10" i="12"/>
  <c r="K10" i="12"/>
  <c r="R9" i="12"/>
  <c r="M9" i="12"/>
  <c r="L9" i="12"/>
  <c r="K9" i="12"/>
  <c r="R8" i="12"/>
  <c r="M8" i="12"/>
  <c r="L8" i="12"/>
  <c r="K8" i="12"/>
  <c r="N69" i="7"/>
  <c r="T139" i="7"/>
  <c r="U139" i="7"/>
  <c r="T142" i="7"/>
  <c r="U142" i="7"/>
  <c r="T143" i="7"/>
  <c r="U143" i="7"/>
  <c r="T144" i="7"/>
  <c r="U144" i="7"/>
  <c r="T145" i="7"/>
  <c r="U145" i="7"/>
  <c r="T146" i="7"/>
  <c r="U146" i="7"/>
  <c r="T147" i="7"/>
  <c r="U147" i="7"/>
  <c r="T148" i="7"/>
  <c r="U148" i="7"/>
  <c r="T149" i="7"/>
  <c r="U149" i="7"/>
  <c r="T150" i="7"/>
  <c r="U150" i="7"/>
  <c r="T151" i="7"/>
  <c r="U151" i="7"/>
  <c r="T152" i="7"/>
  <c r="U152" i="7"/>
  <c r="T153" i="7"/>
  <c r="U153" i="7"/>
  <c r="T154" i="7"/>
  <c r="U154" i="7"/>
  <c r="T155" i="7"/>
  <c r="U155" i="7"/>
  <c r="T156" i="7"/>
  <c r="U156" i="7"/>
  <c r="T157" i="7"/>
  <c r="U157" i="7"/>
  <c r="T158" i="7"/>
  <c r="U158" i="7"/>
  <c r="T159" i="7"/>
  <c r="U159" i="7"/>
  <c r="T160" i="7"/>
  <c r="U160" i="7"/>
  <c r="T161" i="7"/>
  <c r="U161" i="7"/>
  <c r="T162" i="7"/>
  <c r="U162" i="7"/>
  <c r="T163" i="7"/>
  <c r="U163" i="7"/>
  <c r="T164" i="7"/>
  <c r="U164" i="7"/>
  <c r="T165" i="7"/>
  <c r="U165" i="7"/>
  <c r="U166" i="7"/>
  <c r="T167" i="7"/>
  <c r="U167" i="7"/>
  <c r="T168" i="7"/>
  <c r="U168" i="7"/>
  <c r="T171" i="7"/>
  <c r="U171" i="7"/>
  <c r="T175" i="7"/>
  <c r="U175" i="7"/>
  <c r="T179" i="7"/>
  <c r="U179" i="7"/>
  <c r="T183" i="7"/>
  <c r="U183" i="7"/>
  <c r="T185" i="7"/>
  <c r="U185" i="7"/>
  <c r="T187" i="7"/>
  <c r="U187" i="7"/>
  <c r="T188" i="7"/>
  <c r="U188" i="7"/>
  <c r="T189" i="7"/>
  <c r="U189" i="7"/>
  <c r="T190" i="7"/>
  <c r="U190" i="7"/>
  <c r="T191" i="7"/>
  <c r="U191" i="7"/>
  <c r="S191" i="7"/>
  <c r="S190" i="7"/>
  <c r="S189" i="7"/>
  <c r="S188" i="7"/>
  <c r="S187" i="7"/>
  <c r="S185" i="7"/>
  <c r="S183" i="7"/>
  <c r="S179" i="7"/>
  <c r="S175" i="7"/>
  <c r="S171" i="7"/>
  <c r="S168" i="7"/>
  <c r="S167" i="7"/>
  <c r="S166" i="7"/>
  <c r="S165" i="7"/>
  <c r="S164" i="7"/>
  <c r="S163" i="7"/>
  <c r="S162" i="7"/>
  <c r="S161" i="7"/>
  <c r="S160" i="7"/>
  <c r="S159" i="7"/>
  <c r="S158" i="7"/>
  <c r="S157" i="7"/>
  <c r="S156" i="7"/>
  <c r="S155" i="7"/>
  <c r="S154" i="7"/>
  <c r="S153" i="7"/>
  <c r="S152" i="7"/>
  <c r="S151" i="7"/>
  <c r="S150" i="7"/>
  <c r="S149" i="7"/>
  <c r="S148" i="7"/>
  <c r="S147" i="7"/>
  <c r="S146" i="7"/>
  <c r="S145" i="7"/>
  <c r="S144" i="7"/>
  <c r="S143" i="7"/>
  <c r="S142" i="7"/>
  <c r="T173" i="5"/>
  <c r="U173" i="5"/>
  <c r="S173" i="5"/>
  <c r="N69" i="5"/>
  <c r="N70" i="5"/>
  <c r="R75" i="5"/>
  <c r="M75" i="5"/>
  <c r="L75" i="5"/>
  <c r="K75" i="5"/>
  <c r="T140" i="5"/>
  <c r="U140" i="5"/>
  <c r="T143" i="5"/>
  <c r="U143" i="5"/>
  <c r="T144" i="5"/>
  <c r="U144" i="5"/>
  <c r="T145" i="5"/>
  <c r="U145" i="5"/>
  <c r="T146" i="5"/>
  <c r="U146" i="5"/>
  <c r="T148" i="5"/>
  <c r="U148" i="5"/>
  <c r="T150" i="5"/>
  <c r="U150" i="5"/>
  <c r="T152" i="5"/>
  <c r="U152" i="5"/>
  <c r="T153" i="5"/>
  <c r="U153" i="5"/>
  <c r="T154" i="5"/>
  <c r="U154" i="5"/>
  <c r="T156" i="5"/>
  <c r="U156" i="5"/>
  <c r="T157" i="5"/>
  <c r="U157" i="5"/>
  <c r="T158" i="5"/>
  <c r="U158" i="5"/>
  <c r="T159" i="5"/>
  <c r="U159" i="5"/>
  <c r="T160" i="5"/>
  <c r="U160" i="5"/>
  <c r="T164" i="5"/>
  <c r="U164" i="5"/>
  <c r="T165" i="5"/>
  <c r="U165" i="5"/>
  <c r="T168" i="5"/>
  <c r="U168" i="5"/>
  <c r="T172" i="5"/>
  <c r="U172" i="5"/>
  <c r="T176" i="5"/>
  <c r="U176" i="5"/>
  <c r="T177" i="5"/>
  <c r="U177" i="5"/>
  <c r="T180" i="5"/>
  <c r="U180" i="5"/>
  <c r="T184" i="5"/>
  <c r="U184" i="5"/>
  <c r="T188" i="5"/>
  <c r="U188" i="5"/>
  <c r="T189" i="5"/>
  <c r="U189" i="5"/>
  <c r="T190" i="5"/>
  <c r="U190" i="5"/>
  <c r="T191" i="5"/>
  <c r="U191" i="5"/>
  <c r="T192" i="5"/>
  <c r="U192" i="5"/>
  <c r="S192" i="5"/>
  <c r="S191" i="5"/>
  <c r="S190" i="5"/>
  <c r="S189" i="5"/>
  <c r="S188" i="5"/>
  <c r="S184" i="5"/>
  <c r="S180" i="5"/>
  <c r="S177" i="5"/>
  <c r="S176" i="5"/>
  <c r="S172" i="5"/>
  <c r="S168" i="5"/>
  <c r="S165" i="5"/>
  <c r="S164" i="5"/>
  <c r="S160" i="5"/>
  <c r="S159" i="5"/>
  <c r="S158" i="5"/>
  <c r="S157" i="5"/>
  <c r="S156" i="5"/>
  <c r="S154" i="5"/>
  <c r="S153" i="5"/>
  <c r="S152" i="5"/>
  <c r="S150" i="5"/>
  <c r="S148" i="5"/>
  <c r="S146" i="5"/>
  <c r="S145" i="5"/>
  <c r="S144" i="5"/>
  <c r="S143" i="5"/>
  <c r="T146" i="3"/>
  <c r="U146" i="3"/>
  <c r="T147" i="3"/>
  <c r="U147" i="3"/>
  <c r="T148" i="3"/>
  <c r="U148" i="3"/>
  <c r="T149" i="3"/>
  <c r="U149" i="3"/>
  <c r="T150" i="3"/>
  <c r="U150" i="3"/>
  <c r="T151" i="3"/>
  <c r="U151" i="3"/>
  <c r="T152" i="3"/>
  <c r="U152" i="3"/>
  <c r="T153" i="3"/>
  <c r="U153" i="3"/>
  <c r="T154" i="3"/>
  <c r="U154" i="3"/>
  <c r="T155" i="3"/>
  <c r="U155" i="3"/>
  <c r="T156" i="3"/>
  <c r="U156" i="3"/>
  <c r="T157" i="3"/>
  <c r="U157" i="3"/>
  <c r="T158" i="3"/>
  <c r="U158" i="3"/>
  <c r="T159" i="3"/>
  <c r="U159" i="3"/>
  <c r="T160" i="3"/>
  <c r="U160" i="3"/>
  <c r="T161" i="3"/>
  <c r="U161" i="3"/>
  <c r="T162" i="3"/>
  <c r="U162" i="3"/>
  <c r="T163" i="3"/>
  <c r="U163" i="3"/>
  <c r="T164" i="3"/>
  <c r="U164" i="3"/>
  <c r="T165" i="3"/>
  <c r="U165" i="3"/>
  <c r="T166" i="3"/>
  <c r="U166" i="3"/>
  <c r="T167" i="3"/>
  <c r="U167" i="3"/>
  <c r="T168" i="3"/>
  <c r="U168" i="3"/>
  <c r="T169" i="3"/>
  <c r="U169" i="3"/>
  <c r="T170" i="3"/>
  <c r="U170" i="3"/>
  <c r="T171" i="3"/>
  <c r="U171" i="3"/>
  <c r="T173" i="3"/>
  <c r="U173" i="3"/>
  <c r="T174" i="3"/>
  <c r="U174" i="3"/>
  <c r="T178" i="3"/>
  <c r="U178" i="3"/>
  <c r="T182" i="3"/>
  <c r="U182" i="3"/>
  <c r="T186" i="3"/>
  <c r="U186" i="3"/>
  <c r="T189" i="3"/>
  <c r="U189" i="3"/>
  <c r="T190" i="3"/>
  <c r="U190" i="3"/>
  <c r="T194" i="3"/>
  <c r="U194" i="3"/>
  <c r="T195" i="3"/>
  <c r="U195" i="3"/>
  <c r="T197" i="3"/>
  <c r="U197" i="3"/>
  <c r="T198" i="3"/>
  <c r="U198" i="3"/>
  <c r="S197" i="3"/>
  <c r="S195" i="3"/>
  <c r="S194" i="3"/>
  <c r="S190" i="3"/>
  <c r="S189" i="3"/>
  <c r="S186" i="3"/>
  <c r="S182" i="3"/>
  <c r="S178" i="3"/>
  <c r="S174" i="3"/>
  <c r="S173" i="3"/>
  <c r="S171" i="3"/>
  <c r="S170" i="3"/>
  <c r="S169" i="3"/>
  <c r="S168" i="3"/>
  <c r="S167" i="3"/>
  <c r="S166" i="3"/>
  <c r="S165" i="3"/>
  <c r="S164" i="3"/>
  <c r="S163" i="3"/>
  <c r="S162" i="3"/>
  <c r="S161" i="3"/>
  <c r="S160" i="3"/>
  <c r="S159" i="3"/>
  <c r="S158" i="3"/>
  <c r="S157" i="3"/>
  <c r="S156" i="3"/>
  <c r="S155" i="3"/>
  <c r="S154" i="3"/>
  <c r="S153" i="3"/>
  <c r="S152" i="3"/>
  <c r="S151" i="3"/>
  <c r="S150" i="3"/>
  <c r="S149" i="3"/>
  <c r="S148" i="3"/>
  <c r="S147" i="3"/>
  <c r="R46" i="13"/>
  <c r="R47" i="13"/>
  <c r="R48" i="13"/>
  <c r="R49" i="13"/>
  <c r="R50" i="13"/>
  <c r="R51" i="13"/>
  <c r="R52" i="13"/>
  <c r="R53" i="13"/>
  <c r="R54" i="13"/>
  <c r="R55" i="13"/>
  <c r="R56" i="13"/>
  <c r="R57" i="13"/>
  <c r="R58" i="13"/>
  <c r="R59" i="13"/>
  <c r="R60" i="13"/>
  <c r="R61" i="13"/>
  <c r="R62" i="13"/>
  <c r="R63" i="13"/>
  <c r="R64" i="13"/>
  <c r="R65" i="13"/>
  <c r="R66" i="13"/>
  <c r="R67" i="13"/>
  <c r="R68" i="13"/>
  <c r="R69" i="13"/>
  <c r="R70" i="13"/>
  <c r="R71" i="13"/>
  <c r="R72" i="13"/>
  <c r="R73" i="13"/>
  <c r="R74" i="13"/>
  <c r="R75" i="13"/>
  <c r="R76" i="13"/>
  <c r="R77" i="13"/>
  <c r="R78" i="13"/>
  <c r="R79" i="13"/>
  <c r="R80" i="13"/>
  <c r="R81" i="13"/>
  <c r="R82" i="13"/>
  <c r="R83" i="13"/>
  <c r="R84" i="13"/>
  <c r="R85" i="13"/>
  <c r="R86" i="13"/>
  <c r="R87" i="13"/>
  <c r="R88" i="13"/>
  <c r="R89" i="13"/>
  <c r="R90" i="13"/>
  <c r="R91" i="13"/>
  <c r="R92" i="13"/>
  <c r="R93" i="13"/>
  <c r="R94" i="13"/>
  <c r="R95" i="13"/>
  <c r="R96" i="13"/>
  <c r="R97" i="13"/>
  <c r="R98" i="13"/>
  <c r="R99" i="13"/>
  <c r="R100" i="13"/>
  <c r="R101" i="13"/>
  <c r="R102" i="13"/>
  <c r="R103" i="13"/>
  <c r="R104" i="13"/>
  <c r="R105" i="13"/>
  <c r="R106" i="13"/>
  <c r="R107" i="13"/>
  <c r="R108" i="13"/>
  <c r="R109" i="13"/>
  <c r="R110" i="13"/>
  <c r="R111" i="13"/>
  <c r="R112" i="13"/>
  <c r="R113" i="13"/>
  <c r="R114" i="13"/>
  <c r="R115" i="13"/>
  <c r="R116" i="13"/>
  <c r="R117" i="13"/>
  <c r="R118" i="13"/>
  <c r="R119" i="13"/>
  <c r="R120" i="13"/>
  <c r="R121" i="13"/>
  <c r="R122" i="13"/>
  <c r="R123" i="13"/>
  <c r="R124" i="13"/>
  <c r="R125" i="13"/>
  <c r="R126" i="13"/>
  <c r="R127" i="13"/>
  <c r="R45" i="13"/>
  <c r="H170" i="13" s="1"/>
  <c r="M80" i="13"/>
  <c r="L80" i="13"/>
  <c r="K80" i="13"/>
  <c r="N126" i="13"/>
  <c r="M75" i="13"/>
  <c r="L75" i="13"/>
  <c r="K75" i="13"/>
  <c r="M76" i="13"/>
  <c r="L76" i="13"/>
  <c r="K76" i="13"/>
  <c r="M67" i="13"/>
  <c r="L67" i="13"/>
  <c r="K67" i="13"/>
  <c r="T189" i="1"/>
  <c r="U189" i="1"/>
  <c r="T190" i="1"/>
  <c r="U190" i="1"/>
  <c r="T193" i="1"/>
  <c r="U193" i="1"/>
  <c r="S193" i="1"/>
  <c r="S190" i="1"/>
  <c r="S189" i="1"/>
  <c r="T150" i="1"/>
  <c r="U150" i="1"/>
  <c r="T155" i="1"/>
  <c r="U155" i="1"/>
  <c r="T159" i="1"/>
  <c r="U159" i="1"/>
  <c r="T161" i="1"/>
  <c r="U161" i="1"/>
  <c r="S161" i="1"/>
  <c r="S159" i="1"/>
  <c r="S155" i="1"/>
  <c r="S150" i="1"/>
  <c r="M47" i="38"/>
  <c r="L47" i="38"/>
  <c r="K47" i="38"/>
  <c r="M46" i="38"/>
  <c r="L46" i="38"/>
  <c r="K46" i="38"/>
  <c r="M36" i="38"/>
  <c r="L36" i="38"/>
  <c r="K36" i="38"/>
  <c r="R10" i="37"/>
  <c r="R11" i="37"/>
  <c r="R12" i="37"/>
  <c r="R13" i="37"/>
  <c r="R16" i="37"/>
  <c r="R20" i="37"/>
  <c r="R21" i="37"/>
  <c r="R22" i="37"/>
  <c r="R23" i="37"/>
  <c r="R24" i="37"/>
  <c r="R27" i="37"/>
  <c r="R28" i="37"/>
  <c r="R29" i="37"/>
  <c r="R30" i="37"/>
  <c r="R31" i="37"/>
  <c r="R32" i="37"/>
  <c r="R33" i="37"/>
  <c r="R34" i="37"/>
  <c r="R35" i="37"/>
  <c r="R36" i="37"/>
  <c r="R37" i="37"/>
  <c r="R38" i="37"/>
  <c r="R39" i="37"/>
  <c r="R40" i="37"/>
  <c r="R41" i="37"/>
  <c r="R42" i="37"/>
  <c r="R43" i="37"/>
  <c r="R45" i="37"/>
  <c r="R46" i="37"/>
  <c r="R47" i="37"/>
  <c r="R48" i="37"/>
  <c r="R49" i="37"/>
  <c r="R50" i="37"/>
  <c r="R51" i="37"/>
  <c r="R52" i="37"/>
  <c r="R53" i="37"/>
  <c r="R54" i="37"/>
  <c r="R55" i="37"/>
  <c r="R56" i="37"/>
  <c r="R57" i="37"/>
  <c r="R58" i="37"/>
  <c r="M45" i="37"/>
  <c r="L45" i="37"/>
  <c r="K45" i="37"/>
  <c r="R7" i="36"/>
  <c r="H105" i="36" s="1"/>
  <c r="R8" i="36"/>
  <c r="R9" i="36"/>
  <c r="R10" i="36"/>
  <c r="R11" i="36"/>
  <c r="R12" i="36"/>
  <c r="R13" i="36"/>
  <c r="R14" i="36"/>
  <c r="R15" i="36"/>
  <c r="R16" i="36"/>
  <c r="R17" i="36"/>
  <c r="R18" i="36"/>
  <c r="R19" i="36"/>
  <c r="R23" i="36"/>
  <c r="R26" i="36"/>
  <c r="R27" i="36"/>
  <c r="R28" i="36"/>
  <c r="R29" i="36"/>
  <c r="R30" i="36"/>
  <c r="R31" i="36"/>
  <c r="R32" i="36"/>
  <c r="R33" i="36"/>
  <c r="R34" i="36"/>
  <c r="R35" i="36"/>
  <c r="R36" i="36"/>
  <c r="R37" i="36"/>
  <c r="R38" i="36"/>
  <c r="R39" i="36"/>
  <c r="R40" i="36"/>
  <c r="R41" i="36"/>
  <c r="R42" i="36"/>
  <c r="R43" i="36"/>
  <c r="R44" i="36"/>
  <c r="R48" i="36"/>
  <c r="R49" i="36"/>
  <c r="R50" i="36"/>
  <c r="R51" i="36"/>
  <c r="R52" i="36"/>
  <c r="R53" i="36"/>
  <c r="R54" i="36"/>
  <c r="R55" i="36"/>
  <c r="R56" i="36"/>
  <c r="R57" i="36"/>
  <c r="R58" i="36"/>
  <c r="R59" i="36"/>
  <c r="R60" i="36"/>
  <c r="R61" i="36"/>
  <c r="R62" i="36"/>
  <c r="R63" i="36"/>
  <c r="R64" i="36"/>
  <c r="M62" i="36"/>
  <c r="K62" i="36"/>
  <c r="M61" i="36"/>
  <c r="L61" i="36"/>
  <c r="K61" i="36"/>
  <c r="M60" i="36"/>
  <c r="L60" i="36"/>
  <c r="K60" i="36"/>
  <c r="M57" i="36"/>
  <c r="L57" i="36"/>
  <c r="K57" i="36"/>
  <c r="M56" i="36"/>
  <c r="L56" i="36"/>
  <c r="K56" i="36"/>
  <c r="M53" i="36"/>
  <c r="L53" i="36"/>
  <c r="K53" i="36"/>
  <c r="M50" i="36"/>
  <c r="L50" i="36"/>
  <c r="K50" i="36"/>
  <c r="M41" i="36"/>
  <c r="L41" i="36"/>
  <c r="K41" i="36"/>
  <c r="M40" i="36"/>
  <c r="L40" i="36"/>
  <c r="K40" i="36"/>
  <c r="R7" i="35"/>
  <c r="L113" i="35" s="1"/>
  <c r="R8" i="35"/>
  <c r="R9" i="35"/>
  <c r="R11" i="35"/>
  <c r="H115" i="35" s="1"/>
  <c r="R7" i="34"/>
  <c r="R8" i="34"/>
  <c r="R9" i="34"/>
  <c r="R10" i="34"/>
  <c r="R11" i="34"/>
  <c r="R12" i="34"/>
  <c r="R13" i="34"/>
  <c r="R14" i="34"/>
  <c r="R15" i="34"/>
  <c r="R26" i="34"/>
  <c r="R27" i="34"/>
  <c r="R28" i="34"/>
  <c r="R29" i="34"/>
  <c r="R30" i="34"/>
  <c r="R31" i="34"/>
  <c r="R32" i="34"/>
  <c r="R33" i="34"/>
  <c r="R34" i="34"/>
  <c r="R35" i="34"/>
  <c r="R36" i="34"/>
  <c r="R37" i="34"/>
  <c r="R38" i="34"/>
  <c r="R39" i="34"/>
  <c r="R40" i="34"/>
  <c r="R41" i="34"/>
  <c r="R42" i="34"/>
  <c r="R43" i="34"/>
  <c r="R44" i="34"/>
  <c r="R51" i="34"/>
  <c r="R52" i="34"/>
  <c r="R53" i="34"/>
  <c r="M43" i="34"/>
  <c r="L43" i="34"/>
  <c r="K43" i="34"/>
  <c r="M42" i="34"/>
  <c r="L42" i="34"/>
  <c r="K42" i="34"/>
  <c r="M37" i="34"/>
  <c r="L37" i="34"/>
  <c r="K37" i="34"/>
  <c r="M32" i="34"/>
  <c r="L32" i="34"/>
  <c r="K32" i="34"/>
  <c r="R8" i="32"/>
  <c r="R9" i="32"/>
  <c r="R10" i="32"/>
  <c r="R11" i="32"/>
  <c r="R12" i="32"/>
  <c r="R13" i="32"/>
  <c r="R14" i="32"/>
  <c r="R15" i="32"/>
  <c r="R16" i="32"/>
  <c r="R17" i="32"/>
  <c r="R18" i="32"/>
  <c r="R19" i="32"/>
  <c r="R20" i="32"/>
  <c r="R21" i="32"/>
  <c r="R22" i="32"/>
  <c r="R23" i="32"/>
  <c r="R24" i="32"/>
  <c r="R25" i="32"/>
  <c r="R26" i="32"/>
  <c r="R27" i="32"/>
  <c r="R28" i="32"/>
  <c r="R29" i="32"/>
  <c r="R30" i="32"/>
  <c r="R31" i="32"/>
  <c r="R32" i="32"/>
  <c r="R33" i="32"/>
  <c r="R34" i="32"/>
  <c r="R35" i="32"/>
  <c r="R37" i="32"/>
  <c r="R38" i="32"/>
  <c r="R39" i="32"/>
  <c r="R40" i="32"/>
  <c r="R41" i="32"/>
  <c r="R42" i="32"/>
  <c r="R43" i="32"/>
  <c r="R44" i="32"/>
  <c r="R45" i="32"/>
  <c r="R46" i="32"/>
  <c r="R47" i="32"/>
  <c r="R48" i="32"/>
  <c r="R49" i="32"/>
  <c r="R50" i="32"/>
  <c r="R51" i="32"/>
  <c r="R52" i="32"/>
  <c r="R53" i="32"/>
  <c r="R36" i="32"/>
  <c r="M52" i="32"/>
  <c r="L52" i="32"/>
  <c r="M43" i="32"/>
  <c r="L43" i="32"/>
  <c r="K43" i="32"/>
  <c r="R31" i="31"/>
  <c r="R32" i="31"/>
  <c r="R33" i="31"/>
  <c r="R34" i="31"/>
  <c r="R35" i="31"/>
  <c r="R36" i="31"/>
  <c r="R37" i="31"/>
  <c r="R38" i="31"/>
  <c r="R39" i="31"/>
  <c r="R40" i="31"/>
  <c r="R41" i="31"/>
  <c r="R42" i="31"/>
  <c r="R43" i="31"/>
  <c r="R44" i="31"/>
  <c r="R45" i="31"/>
  <c r="R46" i="31"/>
  <c r="R47" i="31"/>
  <c r="R48" i="31"/>
  <c r="R30" i="31"/>
  <c r="J86" i="31" s="1"/>
  <c r="M13" i="31"/>
  <c r="L13" i="31"/>
  <c r="K13" i="31"/>
  <c r="R7" i="29"/>
  <c r="J82" i="29" s="1"/>
  <c r="R8" i="29"/>
  <c r="R9" i="29"/>
  <c r="R10" i="29"/>
  <c r="R11" i="29"/>
  <c r="R12" i="29"/>
  <c r="R13" i="29"/>
  <c r="R14" i="29"/>
  <c r="R15" i="29"/>
  <c r="R16" i="29"/>
  <c r="R17" i="29"/>
  <c r="R18" i="29"/>
  <c r="R19" i="29"/>
  <c r="R20" i="29"/>
  <c r="R21" i="29"/>
  <c r="R22" i="29"/>
  <c r="R24" i="29"/>
  <c r="R25" i="29"/>
  <c r="R27" i="29"/>
  <c r="R28" i="29"/>
  <c r="R29" i="29"/>
  <c r="R30" i="29"/>
  <c r="R31" i="29"/>
  <c r="R32" i="29"/>
  <c r="R33" i="29"/>
  <c r="R34" i="29"/>
  <c r="R36" i="29"/>
  <c r="R37" i="29"/>
  <c r="R38" i="29"/>
  <c r="R39" i="29"/>
  <c r="R42" i="29"/>
  <c r="R43" i="29"/>
  <c r="R44" i="29"/>
  <c r="R45" i="29"/>
  <c r="R46" i="29"/>
  <c r="R47" i="29"/>
  <c r="R48" i="29"/>
  <c r="R49" i="29"/>
  <c r="H101" i="29" s="1"/>
  <c r="R50" i="29"/>
  <c r="R51" i="29"/>
  <c r="R52" i="29"/>
  <c r="J102" i="29" s="1"/>
  <c r="R53" i="29"/>
  <c r="R55" i="29"/>
  <c r="R56" i="29"/>
  <c r="R57" i="29"/>
  <c r="M55" i="29"/>
  <c r="L55" i="29"/>
  <c r="K55" i="29"/>
  <c r="R7" i="30"/>
  <c r="R8" i="30"/>
  <c r="R9" i="30"/>
  <c r="R10" i="30"/>
  <c r="R11" i="30"/>
  <c r="R12" i="30"/>
  <c r="R13" i="30"/>
  <c r="R14" i="30"/>
  <c r="R15" i="30"/>
  <c r="R16" i="30"/>
  <c r="R17" i="30"/>
  <c r="R18" i="30"/>
  <c r="R19" i="30"/>
  <c r="R20" i="30"/>
  <c r="R21" i="30"/>
  <c r="R22" i="30"/>
  <c r="R23" i="30"/>
  <c r="R24" i="30"/>
  <c r="R25" i="30"/>
  <c r="R26" i="30"/>
  <c r="R27" i="30"/>
  <c r="R28" i="30"/>
  <c r="R29" i="30"/>
  <c r="R30" i="30"/>
  <c r="R31" i="30"/>
  <c r="R32" i="30"/>
  <c r="R33" i="30"/>
  <c r="R34" i="30"/>
  <c r="R35" i="30"/>
  <c r="R36" i="30"/>
  <c r="R8" i="28"/>
  <c r="R9" i="28"/>
  <c r="R10" i="28"/>
  <c r="R11" i="28"/>
  <c r="L87" i="28" s="1"/>
  <c r="R12" i="28"/>
  <c r="R13" i="28"/>
  <c r="R14" i="28"/>
  <c r="R15" i="28"/>
  <c r="R16" i="28"/>
  <c r="R17" i="28"/>
  <c r="R18" i="28"/>
  <c r="J90" i="28" s="1"/>
  <c r="R19" i="28"/>
  <c r="R20" i="28"/>
  <c r="R21" i="28"/>
  <c r="R23" i="28"/>
  <c r="R24" i="28"/>
  <c r="R25" i="28"/>
  <c r="R26" i="28"/>
  <c r="R27" i="28"/>
  <c r="R28" i="28"/>
  <c r="R29" i="28"/>
  <c r="R30" i="28"/>
  <c r="R31" i="28"/>
  <c r="R32" i="28"/>
  <c r="R33" i="28"/>
  <c r="R34" i="28"/>
  <c r="R35" i="28"/>
  <c r="R36" i="28"/>
  <c r="R37" i="28"/>
  <c r="R38" i="28"/>
  <c r="R39" i="28"/>
  <c r="R40" i="28"/>
  <c r="R41" i="28"/>
  <c r="R42" i="28"/>
  <c r="R43" i="28"/>
  <c r="R44" i="28"/>
  <c r="R45" i="28"/>
  <c r="R46" i="28"/>
  <c r="R47" i="28"/>
  <c r="R48" i="28"/>
  <c r="R49" i="28"/>
  <c r="R50" i="28"/>
  <c r="R51" i="28"/>
  <c r="R52" i="28"/>
  <c r="R53" i="28"/>
  <c r="R54" i="28"/>
  <c r="R55" i="28"/>
  <c r="R56" i="28"/>
  <c r="M30" i="30"/>
  <c r="L30" i="30"/>
  <c r="K30" i="30"/>
  <c r="M29" i="30"/>
  <c r="L29" i="30"/>
  <c r="K29" i="30"/>
  <c r="M24" i="30"/>
  <c r="L24" i="30"/>
  <c r="K24" i="30"/>
  <c r="M14" i="30"/>
  <c r="L14" i="30"/>
  <c r="K14" i="30"/>
  <c r="M8" i="30"/>
  <c r="L8" i="30"/>
  <c r="K8" i="30"/>
  <c r="E48" i="28"/>
  <c r="U104" i="28" s="1"/>
  <c r="E39" i="28"/>
  <c r="U100" i="28" s="1"/>
  <c r="E33" i="28"/>
  <c r="U97" i="28" s="1"/>
  <c r="M50" i="28"/>
  <c r="L50" i="28"/>
  <c r="K50" i="28"/>
  <c r="M49" i="28"/>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L8" i="38"/>
  <c r="D83" i="38"/>
  <c r="L7" i="38"/>
  <c r="C83" i="38" s="1"/>
  <c r="M58" i="37"/>
  <c r="L58" i="37"/>
  <c r="K58" i="37"/>
  <c r="M57" i="37"/>
  <c r="L57" i="37"/>
  <c r="K57" i="37"/>
  <c r="M56" i="37"/>
  <c r="L56" i="37"/>
  <c r="K56" i="37"/>
  <c r="M55" i="37"/>
  <c r="L55" i="37"/>
  <c r="K55" i="37"/>
  <c r="M54" i="37"/>
  <c r="L54" i="37"/>
  <c r="K54" i="37"/>
  <c r="M53" i="37"/>
  <c r="L53" i="37"/>
  <c r="K53" i="37"/>
  <c r="M52" i="37"/>
  <c r="L52" i="37"/>
  <c r="K52" i="37"/>
  <c r="M51" i="37"/>
  <c r="L51" i="37"/>
  <c r="K51" i="37"/>
  <c r="M50" i="37"/>
  <c r="L50" i="37"/>
  <c r="K50" i="37"/>
  <c r="M49" i="37"/>
  <c r="L49" i="37"/>
  <c r="K49" i="37"/>
  <c r="M48" i="37"/>
  <c r="L48" i="37"/>
  <c r="K48" i="37"/>
  <c r="M47" i="37"/>
  <c r="L47" i="37"/>
  <c r="K47" i="37"/>
  <c r="M46" i="37"/>
  <c r="L46" i="37"/>
  <c r="K46" i="37"/>
  <c r="M43" i="37"/>
  <c r="L43" i="37"/>
  <c r="K43" i="37"/>
  <c r="M42" i="37"/>
  <c r="L42" i="37"/>
  <c r="K42" i="37"/>
  <c r="M41" i="37"/>
  <c r="L41" i="37"/>
  <c r="K41" i="37"/>
  <c r="M40" i="37"/>
  <c r="L40" i="37"/>
  <c r="K40" i="37"/>
  <c r="M39" i="37"/>
  <c r="L39" i="37"/>
  <c r="K39" i="37"/>
  <c r="M38" i="37"/>
  <c r="L38" i="37"/>
  <c r="K38" i="37"/>
  <c r="M37" i="37"/>
  <c r="L37" i="37"/>
  <c r="K37" i="37"/>
  <c r="M36" i="37"/>
  <c r="L36" i="37"/>
  <c r="K36" i="37"/>
  <c r="M35" i="37"/>
  <c r="L35" i="37"/>
  <c r="K35" i="37"/>
  <c r="M34" i="37"/>
  <c r="L34" i="37"/>
  <c r="K34" i="37"/>
  <c r="M33" i="37"/>
  <c r="L33" i="37"/>
  <c r="K33" i="37"/>
  <c r="M32" i="37"/>
  <c r="L32" i="37"/>
  <c r="K32" i="37"/>
  <c r="M31" i="37"/>
  <c r="L31" i="37"/>
  <c r="K31" i="37"/>
  <c r="M30" i="37"/>
  <c r="L30" i="37"/>
  <c r="K30" i="37"/>
  <c r="M29" i="37"/>
  <c r="L29" i="37"/>
  <c r="K29" i="37"/>
  <c r="M28" i="37"/>
  <c r="L28" i="37"/>
  <c r="K28" i="37"/>
  <c r="M27" i="37"/>
  <c r="L27" i="37"/>
  <c r="K27" i="37"/>
  <c r="M24" i="37"/>
  <c r="L24" i="37"/>
  <c r="K24" i="37"/>
  <c r="M23" i="37"/>
  <c r="L23" i="37"/>
  <c r="K23" i="37"/>
  <c r="M22" i="37"/>
  <c r="L22" i="37"/>
  <c r="K22" i="37"/>
  <c r="M21" i="37"/>
  <c r="L21" i="37"/>
  <c r="K21" i="37"/>
  <c r="M20" i="37"/>
  <c r="L20" i="37"/>
  <c r="K20" i="37"/>
  <c r="M19" i="37"/>
  <c r="L19" i="37"/>
  <c r="K19" i="37"/>
  <c r="M17" i="37"/>
  <c r="L17" i="37"/>
  <c r="K17" i="37"/>
  <c r="M16" i="37"/>
  <c r="L16" i="37"/>
  <c r="K16" i="37"/>
  <c r="M13" i="37"/>
  <c r="L13" i="37"/>
  <c r="K13" i="37"/>
  <c r="M12" i="37"/>
  <c r="L12" i="37"/>
  <c r="K12" i="37"/>
  <c r="M11" i="37"/>
  <c r="K11" i="37"/>
  <c r="M64" i="36"/>
  <c r="L64" i="36"/>
  <c r="M63" i="36"/>
  <c r="K63" i="36"/>
  <c r="M59" i="36"/>
  <c r="L59" i="36"/>
  <c r="K59" i="36"/>
  <c r="M58" i="36"/>
  <c r="L58" i="36"/>
  <c r="K58" i="36"/>
  <c r="M55" i="36"/>
  <c r="L55" i="36"/>
  <c r="K55" i="36"/>
  <c r="M54" i="36"/>
  <c r="L54" i="36"/>
  <c r="K54" i="36"/>
  <c r="M52" i="36"/>
  <c r="L52" i="36"/>
  <c r="K52" i="36"/>
  <c r="M51" i="36"/>
  <c r="L51" i="36"/>
  <c r="K51" i="36"/>
  <c r="M49" i="36"/>
  <c r="L49" i="36"/>
  <c r="K49" i="36"/>
  <c r="M48" i="36"/>
  <c r="L48" i="36"/>
  <c r="K48" i="36"/>
  <c r="M44" i="36"/>
  <c r="L44" i="36"/>
  <c r="K44" i="36"/>
  <c r="M43" i="36"/>
  <c r="L43" i="36"/>
  <c r="K43" i="36"/>
  <c r="M42" i="36"/>
  <c r="L42" i="36"/>
  <c r="K42" i="36"/>
  <c r="M39" i="36"/>
  <c r="L39" i="36"/>
  <c r="K39" i="36"/>
  <c r="M38" i="36"/>
  <c r="L38" i="36"/>
  <c r="K38" i="36"/>
  <c r="M37" i="36"/>
  <c r="L37" i="36"/>
  <c r="K37" i="36"/>
  <c r="M36" i="36"/>
  <c r="M35" i="36"/>
  <c r="M34" i="36"/>
  <c r="M33" i="36"/>
  <c r="M32" i="36"/>
  <c r="M31" i="36"/>
  <c r="M30" i="36"/>
  <c r="M29" i="36"/>
  <c r="M28" i="36"/>
  <c r="M27" i="36"/>
  <c r="M26" i="36"/>
  <c r="M24" i="36"/>
  <c r="M23" i="36"/>
  <c r="M22" i="36"/>
  <c r="M21" i="36"/>
  <c r="M19" i="36"/>
  <c r="L19" i="36"/>
  <c r="M18" i="36"/>
  <c r="L18" i="36"/>
  <c r="K18" i="36"/>
  <c r="M17" i="36"/>
  <c r="L17" i="36"/>
  <c r="K17" i="36"/>
  <c r="M16" i="36"/>
  <c r="L16" i="36"/>
  <c r="K16" i="36"/>
  <c r="M15" i="36"/>
  <c r="L15" i="36"/>
  <c r="K15" i="36"/>
  <c r="M14" i="36"/>
  <c r="L14" i="36"/>
  <c r="K14" i="36"/>
  <c r="M13" i="36"/>
  <c r="L13" i="36"/>
  <c r="K13" i="36"/>
  <c r="M12" i="36"/>
  <c r="L12" i="36"/>
  <c r="K12" i="36"/>
  <c r="M11" i="36"/>
  <c r="L11" i="36"/>
  <c r="K11" i="36"/>
  <c r="M10" i="36"/>
  <c r="L10" i="36"/>
  <c r="K10" i="36"/>
  <c r="M9" i="36"/>
  <c r="L9" i="36"/>
  <c r="K9" i="36"/>
  <c r="M8" i="36"/>
  <c r="L8" i="36"/>
  <c r="K8" i="36"/>
  <c r="M7" i="36"/>
  <c r="D105" i="36" s="1"/>
  <c r="L7" i="36"/>
  <c r="C105" i="36" s="1"/>
  <c r="K7" i="36"/>
  <c r="B105" i="36" s="1"/>
  <c r="K37" i="35"/>
  <c r="K36" i="35"/>
  <c r="K35" i="35"/>
  <c r="M23" i="35"/>
  <c r="M22" i="35"/>
  <c r="M21" i="35"/>
  <c r="L21" i="35"/>
  <c r="K21" i="35"/>
  <c r="M18" i="35"/>
  <c r="L18" i="35"/>
  <c r="K18" i="35"/>
  <c r="M17" i="35"/>
  <c r="L17" i="35"/>
  <c r="K17" i="35"/>
  <c r="M16" i="35"/>
  <c r="L16" i="35"/>
  <c r="K16" i="35"/>
  <c r="M15" i="35"/>
  <c r="L15" i="35"/>
  <c r="K15" i="35"/>
  <c r="M14" i="35"/>
  <c r="L14" i="35"/>
  <c r="K14" i="35"/>
  <c r="M13" i="35"/>
  <c r="L13" i="35"/>
  <c r="K13" i="35"/>
  <c r="M53" i="34"/>
  <c r="L53" i="34"/>
  <c r="K53" i="34"/>
  <c r="M52" i="34"/>
  <c r="L52" i="34"/>
  <c r="K52" i="34"/>
  <c r="M51" i="34"/>
  <c r="L51" i="34"/>
  <c r="K51" i="34"/>
  <c r="M50" i="34"/>
  <c r="L50" i="34"/>
  <c r="K50" i="34"/>
  <c r="M49" i="34"/>
  <c r="L49" i="34"/>
  <c r="K49" i="34"/>
  <c r="M48" i="34"/>
  <c r="L48" i="34"/>
  <c r="K48" i="34"/>
  <c r="M47" i="34"/>
  <c r="L47" i="34"/>
  <c r="K47" i="34"/>
  <c r="M46" i="34"/>
  <c r="L46" i="34"/>
  <c r="K46" i="34"/>
  <c r="M45" i="34"/>
  <c r="L45" i="34"/>
  <c r="K45" i="34"/>
  <c r="M44" i="34"/>
  <c r="L44" i="34"/>
  <c r="K44" i="34"/>
  <c r="M41" i="34"/>
  <c r="L41" i="34"/>
  <c r="K41" i="34"/>
  <c r="M40" i="34"/>
  <c r="L40" i="34"/>
  <c r="K40" i="34"/>
  <c r="M39" i="34"/>
  <c r="L39" i="34"/>
  <c r="K39" i="34"/>
  <c r="M38" i="34"/>
  <c r="L38" i="34"/>
  <c r="K38" i="34"/>
  <c r="M36" i="34"/>
  <c r="L36" i="34"/>
  <c r="K36" i="34"/>
  <c r="M35" i="34"/>
  <c r="L35" i="34"/>
  <c r="K35" i="34"/>
  <c r="M34" i="34"/>
  <c r="L34" i="34"/>
  <c r="K34" i="34"/>
  <c r="M33" i="34"/>
  <c r="L33" i="34"/>
  <c r="K33" i="34"/>
  <c r="M31" i="34"/>
  <c r="L31" i="34"/>
  <c r="K31" i="34"/>
  <c r="M30" i="34"/>
  <c r="L30" i="34"/>
  <c r="K30" i="34"/>
  <c r="M29" i="34"/>
  <c r="L29" i="34"/>
  <c r="K29" i="34"/>
  <c r="M28" i="34"/>
  <c r="L28" i="34"/>
  <c r="K28" i="34"/>
  <c r="M27" i="34"/>
  <c r="L27" i="34"/>
  <c r="K27" i="34"/>
  <c r="M21" i="34"/>
  <c r="L21" i="34"/>
  <c r="K21" i="34"/>
  <c r="M20" i="34"/>
  <c r="L20" i="34"/>
  <c r="K20" i="34"/>
  <c r="M19" i="34"/>
  <c r="L19" i="34"/>
  <c r="K19" i="34"/>
  <c r="M18" i="34"/>
  <c r="L18" i="34"/>
  <c r="K18" i="34"/>
  <c r="M17" i="34"/>
  <c r="L17" i="34"/>
  <c r="K17" i="34"/>
  <c r="M15" i="34"/>
  <c r="L15" i="34"/>
  <c r="K15" i="34"/>
  <c r="M14" i="34"/>
  <c r="L14" i="34"/>
  <c r="K14" i="34"/>
  <c r="M13" i="34"/>
  <c r="L13" i="34"/>
  <c r="K13" i="34"/>
  <c r="M12" i="34"/>
  <c r="L12" i="34"/>
  <c r="K12" i="34"/>
  <c r="M11" i="34"/>
  <c r="L11" i="34"/>
  <c r="K11" i="34"/>
  <c r="M10" i="34"/>
  <c r="L10" i="34"/>
  <c r="K10" i="34"/>
  <c r="M9" i="34"/>
  <c r="L9" i="34"/>
  <c r="K9" i="34"/>
  <c r="M8" i="34"/>
  <c r="L8" i="34"/>
  <c r="K8" i="34"/>
  <c r="M7" i="34"/>
  <c r="L7" i="34"/>
  <c r="K7" i="34"/>
  <c r="M53" i="32"/>
  <c r="L53" i="32"/>
  <c r="K53" i="32"/>
  <c r="M51" i="32"/>
  <c r="L51" i="32"/>
  <c r="K51" i="32"/>
  <c r="M50" i="32"/>
  <c r="L50" i="32"/>
  <c r="K50" i="32"/>
  <c r="M49" i="32"/>
  <c r="L49" i="32"/>
  <c r="K49" i="32"/>
  <c r="M48" i="32"/>
  <c r="L48" i="32"/>
  <c r="K48" i="32"/>
  <c r="M47" i="32"/>
  <c r="L47" i="32"/>
  <c r="K47" i="32"/>
  <c r="M46" i="32"/>
  <c r="L46" i="32"/>
  <c r="K46" i="32"/>
  <c r="M45" i="32"/>
  <c r="L45" i="32"/>
  <c r="K45" i="32"/>
  <c r="M44" i="32"/>
  <c r="L44" i="32"/>
  <c r="K44" i="32"/>
  <c r="M42" i="32"/>
  <c r="K42" i="32"/>
  <c r="M41" i="32"/>
  <c r="L41" i="32"/>
  <c r="K41" i="32"/>
  <c r="M40" i="32"/>
  <c r="L40" i="32"/>
  <c r="K40" i="32"/>
  <c r="M39" i="32"/>
  <c r="L39" i="32"/>
  <c r="K39" i="32"/>
  <c r="M38" i="32"/>
  <c r="L38" i="32"/>
  <c r="K38" i="32"/>
  <c r="M37" i="32"/>
  <c r="L37" i="32"/>
  <c r="K37" i="32"/>
  <c r="M36" i="32"/>
  <c r="L36" i="32"/>
  <c r="K36" i="32"/>
  <c r="M35" i="32"/>
  <c r="L35" i="32"/>
  <c r="K35" i="32"/>
  <c r="M34" i="32"/>
  <c r="L34" i="32"/>
  <c r="K34" i="32"/>
  <c r="M33" i="32"/>
  <c r="L33" i="32"/>
  <c r="K33" i="32"/>
  <c r="M32" i="32"/>
  <c r="L32" i="32"/>
  <c r="K32" i="32"/>
  <c r="M31" i="32"/>
  <c r="L31" i="32"/>
  <c r="K31" i="32"/>
  <c r="M30" i="32"/>
  <c r="L30" i="32"/>
  <c r="K30" i="32"/>
  <c r="M29" i="32"/>
  <c r="L29" i="32"/>
  <c r="K29" i="32"/>
  <c r="M28" i="32"/>
  <c r="L28" i="32"/>
  <c r="K28" i="32"/>
  <c r="M27" i="32"/>
  <c r="L27" i="32"/>
  <c r="K27" i="32"/>
  <c r="M26" i="32"/>
  <c r="L26" i="32"/>
  <c r="K26" i="32"/>
  <c r="M25" i="32"/>
  <c r="L25" i="32"/>
  <c r="K25" i="32"/>
  <c r="M24" i="32"/>
  <c r="L24" i="32"/>
  <c r="K24" i="32"/>
  <c r="M23" i="32"/>
  <c r="L23" i="32"/>
  <c r="K23" i="32"/>
  <c r="M22" i="32"/>
  <c r="L22" i="32"/>
  <c r="K22" i="32"/>
  <c r="M21" i="32"/>
  <c r="L21" i="32"/>
  <c r="K21" i="32"/>
  <c r="M20" i="32"/>
  <c r="L20" i="32"/>
  <c r="K20" i="32"/>
  <c r="M19" i="32"/>
  <c r="L19" i="32"/>
  <c r="K19" i="32"/>
  <c r="M18" i="32"/>
  <c r="L18" i="32"/>
  <c r="K18" i="32"/>
  <c r="M17" i="32"/>
  <c r="L17" i="32"/>
  <c r="K17" i="32"/>
  <c r="M16" i="32"/>
  <c r="L16" i="32"/>
  <c r="K16" i="32"/>
  <c r="M15" i="32"/>
  <c r="L15" i="32"/>
  <c r="K15" i="32"/>
  <c r="M14" i="32"/>
  <c r="L14" i="32"/>
  <c r="K14" i="32"/>
  <c r="M13" i="32"/>
  <c r="L13" i="32"/>
  <c r="K13" i="32"/>
  <c r="M12" i="32"/>
  <c r="L12" i="32"/>
  <c r="K12" i="32"/>
  <c r="M11" i="32"/>
  <c r="L11" i="32"/>
  <c r="K11" i="32"/>
  <c r="M10" i="32"/>
  <c r="L10" i="32"/>
  <c r="K10" i="32"/>
  <c r="M9" i="32"/>
  <c r="L9" i="32"/>
  <c r="K9" i="32"/>
  <c r="M8" i="32"/>
  <c r="L8" i="32"/>
  <c r="K8" i="32"/>
  <c r="B79" i="32" s="1"/>
  <c r="M48" i="31"/>
  <c r="L48" i="31"/>
  <c r="K48" i="31"/>
  <c r="M47" i="31"/>
  <c r="L47" i="31"/>
  <c r="K47" i="31"/>
  <c r="M46" i="31"/>
  <c r="L46" i="31"/>
  <c r="K46" i="31"/>
  <c r="M45" i="31"/>
  <c r="L45" i="31"/>
  <c r="K45" i="31"/>
  <c r="M44" i="31"/>
  <c r="L44" i="31"/>
  <c r="K44" i="31"/>
  <c r="M43" i="31"/>
  <c r="L43" i="31"/>
  <c r="K43" i="31"/>
  <c r="M42" i="31"/>
  <c r="L42" i="31"/>
  <c r="K42" i="31"/>
  <c r="M41" i="31"/>
  <c r="L41" i="31"/>
  <c r="K41" i="31"/>
  <c r="M40" i="31"/>
  <c r="L40" i="31"/>
  <c r="K40" i="31"/>
  <c r="M39" i="31"/>
  <c r="L39" i="31"/>
  <c r="K39" i="31"/>
  <c r="M38" i="31"/>
  <c r="L38" i="31"/>
  <c r="K38" i="31"/>
  <c r="M37" i="31"/>
  <c r="L37" i="31"/>
  <c r="K37" i="31"/>
  <c r="M36" i="31"/>
  <c r="L36" i="31"/>
  <c r="K36" i="31"/>
  <c r="M35" i="31"/>
  <c r="L35" i="31"/>
  <c r="K35" i="31"/>
  <c r="M34" i="31"/>
  <c r="L34" i="31"/>
  <c r="K34" i="31"/>
  <c r="M33" i="31"/>
  <c r="L33" i="31"/>
  <c r="K33" i="31"/>
  <c r="M32" i="31"/>
  <c r="L32" i="31"/>
  <c r="K32" i="31"/>
  <c r="M31" i="31"/>
  <c r="L31" i="31"/>
  <c r="K31" i="31"/>
  <c r="M30" i="31"/>
  <c r="L30" i="31"/>
  <c r="K30" i="31"/>
  <c r="M29" i="31"/>
  <c r="L29" i="31"/>
  <c r="K29" i="31"/>
  <c r="M28" i="31"/>
  <c r="L28" i="31"/>
  <c r="K28" i="31"/>
  <c r="M27" i="31"/>
  <c r="L27" i="31"/>
  <c r="K27" i="31"/>
  <c r="M26" i="31"/>
  <c r="L26" i="31"/>
  <c r="K26" i="31"/>
  <c r="M25" i="31"/>
  <c r="L25" i="31"/>
  <c r="K25" i="31"/>
  <c r="M24" i="31"/>
  <c r="L24" i="31"/>
  <c r="K24" i="31"/>
  <c r="M23" i="31"/>
  <c r="L23" i="31"/>
  <c r="K23" i="31"/>
  <c r="M22" i="31"/>
  <c r="L22" i="31"/>
  <c r="K22" i="31"/>
  <c r="M21" i="31"/>
  <c r="L21" i="31"/>
  <c r="K21" i="31"/>
  <c r="M20" i="31"/>
  <c r="L20" i="31"/>
  <c r="K20" i="31"/>
  <c r="M19" i="31"/>
  <c r="L19" i="31"/>
  <c r="K19" i="31"/>
  <c r="M18" i="31"/>
  <c r="L18" i="31"/>
  <c r="K18" i="31"/>
  <c r="M17" i="31"/>
  <c r="L17" i="31"/>
  <c r="K17" i="31"/>
  <c r="M16" i="31"/>
  <c r="L16" i="31"/>
  <c r="K16" i="31"/>
  <c r="M15" i="31"/>
  <c r="L15" i="31"/>
  <c r="K15" i="31"/>
  <c r="M14" i="31"/>
  <c r="L14" i="31"/>
  <c r="K14" i="31"/>
  <c r="M12" i="31"/>
  <c r="L12" i="31"/>
  <c r="K12" i="31"/>
  <c r="M11" i="31"/>
  <c r="L11" i="31"/>
  <c r="K11" i="31"/>
  <c r="M10" i="31"/>
  <c r="L10" i="31"/>
  <c r="K10" i="31"/>
  <c r="M9" i="31"/>
  <c r="L9" i="31"/>
  <c r="K9" i="31"/>
  <c r="M8" i="31"/>
  <c r="L8" i="31"/>
  <c r="K8" i="31"/>
  <c r="M7" i="31"/>
  <c r="D75" i="31" s="1"/>
  <c r="L7" i="31"/>
  <c r="C75" i="31" s="1"/>
  <c r="K7" i="31"/>
  <c r="B75" i="31" s="1"/>
  <c r="M36" i="30"/>
  <c r="L36" i="30"/>
  <c r="K36" i="30"/>
  <c r="M35" i="30"/>
  <c r="L35" i="30"/>
  <c r="K35" i="30"/>
  <c r="M34" i="30"/>
  <c r="L34" i="30"/>
  <c r="K34" i="30"/>
  <c r="M33" i="30"/>
  <c r="L33" i="30"/>
  <c r="K33" i="30"/>
  <c r="M32" i="30"/>
  <c r="L32" i="30"/>
  <c r="K32" i="30"/>
  <c r="M31" i="30"/>
  <c r="L31" i="30"/>
  <c r="K31" i="30"/>
  <c r="M28" i="30"/>
  <c r="L28" i="30"/>
  <c r="K28" i="30"/>
  <c r="M27" i="30"/>
  <c r="L27" i="30"/>
  <c r="K27" i="30"/>
  <c r="M26" i="30"/>
  <c r="L26" i="30"/>
  <c r="K26" i="30"/>
  <c r="M25" i="30"/>
  <c r="L25" i="30"/>
  <c r="K25" i="30"/>
  <c r="M23" i="30"/>
  <c r="L23" i="30"/>
  <c r="K23" i="30"/>
  <c r="M22" i="30"/>
  <c r="L22" i="30"/>
  <c r="K22" i="30"/>
  <c r="M21" i="30"/>
  <c r="L21" i="30"/>
  <c r="K21" i="30"/>
  <c r="M20" i="30"/>
  <c r="L20" i="30"/>
  <c r="K20" i="30"/>
  <c r="M19" i="30"/>
  <c r="L19" i="30"/>
  <c r="K19" i="30"/>
  <c r="M18" i="30"/>
  <c r="L18" i="30"/>
  <c r="K18" i="30"/>
  <c r="M17" i="30"/>
  <c r="L17" i="30"/>
  <c r="K17" i="30"/>
  <c r="M16" i="30"/>
  <c r="L16" i="30"/>
  <c r="K16" i="30"/>
  <c r="M15" i="30"/>
  <c r="L15" i="30"/>
  <c r="K15" i="30"/>
  <c r="M13" i="30"/>
  <c r="L13" i="30"/>
  <c r="K13" i="30"/>
  <c r="M12" i="30"/>
  <c r="L12" i="30"/>
  <c r="K12" i="30"/>
  <c r="M11" i="30"/>
  <c r="L11" i="30"/>
  <c r="K11" i="30"/>
  <c r="M10" i="30"/>
  <c r="L10" i="30"/>
  <c r="K10" i="30"/>
  <c r="M9" i="30"/>
  <c r="L9" i="30"/>
  <c r="K9" i="30"/>
  <c r="M7" i="30"/>
  <c r="L7" i="30"/>
  <c r="K7" i="30"/>
  <c r="M57" i="29"/>
  <c r="L57" i="29"/>
  <c r="K57" i="29"/>
  <c r="M56" i="29"/>
  <c r="L56" i="29"/>
  <c r="K56" i="29"/>
  <c r="M53" i="29"/>
  <c r="L53" i="29"/>
  <c r="K53" i="29"/>
  <c r="M52" i="29"/>
  <c r="L52" i="29"/>
  <c r="K52" i="29"/>
  <c r="M51" i="29"/>
  <c r="L51" i="29"/>
  <c r="K51" i="29"/>
  <c r="M50" i="29"/>
  <c r="L50" i="29"/>
  <c r="K50" i="29"/>
  <c r="M49" i="29"/>
  <c r="L49" i="29"/>
  <c r="K49" i="29"/>
  <c r="M48" i="29"/>
  <c r="L48" i="29"/>
  <c r="K48" i="29"/>
  <c r="M47" i="29"/>
  <c r="L47" i="29"/>
  <c r="K47" i="29"/>
  <c r="M46" i="29"/>
  <c r="L46" i="29"/>
  <c r="K46" i="29"/>
  <c r="M45" i="29"/>
  <c r="L45" i="29"/>
  <c r="K45" i="29"/>
  <c r="M44" i="29"/>
  <c r="L44" i="29"/>
  <c r="K44" i="29"/>
  <c r="M43" i="29"/>
  <c r="L43" i="29"/>
  <c r="K43" i="29"/>
  <c r="M42" i="29"/>
  <c r="L42" i="29"/>
  <c r="K42" i="29"/>
  <c r="M39" i="29"/>
  <c r="L39" i="29"/>
  <c r="K39" i="29"/>
  <c r="M38" i="29"/>
  <c r="L38" i="29"/>
  <c r="K38" i="29"/>
  <c r="M56" i="28"/>
  <c r="L56" i="28"/>
  <c r="K56" i="28"/>
  <c r="M55" i="28"/>
  <c r="L55" i="28"/>
  <c r="K55" i="28"/>
  <c r="M54" i="28"/>
  <c r="L54" i="28"/>
  <c r="K54" i="28"/>
  <c r="M53" i="28"/>
  <c r="L53" i="28"/>
  <c r="K53" i="28"/>
  <c r="M52" i="28"/>
  <c r="L52" i="28"/>
  <c r="K52" i="28"/>
  <c r="M51" i="28"/>
  <c r="L51" i="28"/>
  <c r="K51" i="28"/>
  <c r="M48" i="28"/>
  <c r="L48" i="28"/>
  <c r="K48" i="28"/>
  <c r="M47" i="28"/>
  <c r="L47" i="28"/>
  <c r="K47" i="28"/>
  <c r="M46" i="28"/>
  <c r="L46" i="28"/>
  <c r="K46" i="28"/>
  <c r="M45" i="28"/>
  <c r="L45" i="28"/>
  <c r="K45" i="28"/>
  <c r="M44" i="28"/>
  <c r="L44" i="28"/>
  <c r="K44" i="28"/>
  <c r="M43" i="28"/>
  <c r="L43" i="28"/>
  <c r="K43" i="28"/>
  <c r="M42" i="28"/>
  <c r="L42" i="28"/>
  <c r="K42" i="28"/>
  <c r="M41" i="28"/>
  <c r="L41" i="28"/>
  <c r="K41" i="28"/>
  <c r="M40" i="28"/>
  <c r="L40" i="28"/>
  <c r="K40" i="28"/>
  <c r="M38" i="28"/>
  <c r="L38" i="28"/>
  <c r="K38" i="28"/>
  <c r="M37" i="28"/>
  <c r="L37" i="28"/>
  <c r="K37" i="28"/>
  <c r="M36" i="28"/>
  <c r="L36" i="28"/>
  <c r="K36" i="28"/>
  <c r="M35" i="28"/>
  <c r="L35" i="28"/>
  <c r="K35" i="28"/>
  <c r="M34" i="28"/>
  <c r="L34" i="28"/>
  <c r="K34" i="28"/>
  <c r="M33" i="28"/>
  <c r="L33" i="28"/>
  <c r="K33" i="28"/>
  <c r="M32" i="28"/>
  <c r="L32" i="28"/>
  <c r="K32" i="28"/>
  <c r="M31" i="28"/>
  <c r="L31" i="28"/>
  <c r="K31" i="28"/>
  <c r="M30" i="28"/>
  <c r="L30" i="28"/>
  <c r="K30" i="28"/>
  <c r="M29" i="28"/>
  <c r="L29" i="28"/>
  <c r="K29" i="28"/>
  <c r="M28" i="28"/>
  <c r="L28" i="28"/>
  <c r="K28" i="28"/>
  <c r="M27" i="28"/>
  <c r="L27" i="28"/>
  <c r="K27" i="28"/>
  <c r="M26" i="28"/>
  <c r="L26" i="28"/>
  <c r="K26" i="28"/>
  <c r="M25" i="28"/>
  <c r="L25" i="28"/>
  <c r="K25" i="28"/>
  <c r="M24" i="28"/>
  <c r="L24" i="28"/>
  <c r="K24" i="28"/>
  <c r="M23" i="28"/>
  <c r="L23" i="28"/>
  <c r="K23" i="28"/>
  <c r="M21" i="28"/>
  <c r="L21" i="28"/>
  <c r="K21" i="28"/>
  <c r="M20" i="28"/>
  <c r="L20" i="28"/>
  <c r="K20" i="28"/>
  <c r="M19" i="28"/>
  <c r="L19" i="28"/>
  <c r="K19" i="28"/>
  <c r="M18" i="28"/>
  <c r="L18" i="28"/>
  <c r="K18" i="28"/>
  <c r="M17" i="28"/>
  <c r="L17" i="28"/>
  <c r="K17" i="28"/>
  <c r="M16" i="28"/>
  <c r="L16" i="28"/>
  <c r="K16" i="28"/>
  <c r="M15" i="28"/>
  <c r="L15" i="28"/>
  <c r="K15" i="28"/>
  <c r="M14" i="28"/>
  <c r="L14" i="28"/>
  <c r="K14" i="28"/>
  <c r="M13" i="28"/>
  <c r="L13" i="28"/>
  <c r="K13" i="28"/>
  <c r="M12" i="28"/>
  <c r="L12" i="28"/>
  <c r="K12" i="28"/>
  <c r="M11" i="28"/>
  <c r="L11" i="28"/>
  <c r="K11" i="28"/>
  <c r="M10" i="28"/>
  <c r="L10" i="28"/>
  <c r="K10" i="28"/>
  <c r="M9" i="28"/>
  <c r="L9" i="28"/>
  <c r="K9" i="28"/>
  <c r="M8" i="28"/>
  <c r="L8" i="28"/>
  <c r="K8" i="28"/>
  <c r="U152" i="2"/>
  <c r="M70" i="13"/>
  <c r="L70" i="13"/>
  <c r="K70" i="13"/>
  <c r="M69" i="13"/>
  <c r="L69" i="13"/>
  <c r="K69" i="13"/>
  <c r="M68" i="13"/>
  <c r="L68" i="13"/>
  <c r="K68" i="13"/>
  <c r="M66" i="13"/>
  <c r="L66" i="13"/>
  <c r="K66" i="13"/>
  <c r="M65" i="13"/>
  <c r="L65" i="13"/>
  <c r="K65" i="13"/>
  <c r="L161" i="2"/>
  <c r="J187" i="2"/>
  <c r="L187" i="2"/>
  <c r="H187" i="2"/>
  <c r="H183" i="2"/>
  <c r="J183" i="2"/>
  <c r="L183" i="2"/>
  <c r="L179" i="2"/>
  <c r="J179" i="2"/>
  <c r="H179" i="2"/>
  <c r="H175" i="2"/>
  <c r="J175" i="2"/>
  <c r="L175" i="2"/>
  <c r="L171" i="2"/>
  <c r="J171" i="2"/>
  <c r="H171" i="2"/>
  <c r="J141" i="2"/>
  <c r="L141" i="2"/>
  <c r="J142" i="2"/>
  <c r="L142" i="2"/>
  <c r="J143" i="2"/>
  <c r="L143" i="2"/>
  <c r="J144" i="2"/>
  <c r="L144" i="2"/>
  <c r="J145" i="2"/>
  <c r="L145" i="2"/>
  <c r="J146" i="2"/>
  <c r="L146" i="2"/>
  <c r="J147" i="2"/>
  <c r="L147" i="2"/>
  <c r="J148" i="2"/>
  <c r="L148" i="2"/>
  <c r="J149" i="2"/>
  <c r="L149" i="2"/>
  <c r="J150" i="2"/>
  <c r="L150" i="2"/>
  <c r="J151" i="2"/>
  <c r="L151" i="2"/>
  <c r="J152" i="2"/>
  <c r="L152" i="2"/>
  <c r="J153" i="2"/>
  <c r="L153" i="2"/>
  <c r="J154" i="2"/>
  <c r="L154" i="2"/>
  <c r="J155" i="2"/>
  <c r="L155" i="2"/>
  <c r="J156" i="2"/>
  <c r="L156" i="2"/>
  <c r="J157" i="2"/>
  <c r="L157" i="2"/>
  <c r="J158" i="2"/>
  <c r="L158" i="2"/>
  <c r="J159" i="2"/>
  <c r="L159" i="2"/>
  <c r="J160" i="2"/>
  <c r="L160" i="2"/>
  <c r="J161" i="2"/>
  <c r="J162" i="2"/>
  <c r="L162" i="2"/>
  <c r="J163" i="2"/>
  <c r="L163" i="2"/>
  <c r="J164" i="2"/>
  <c r="L164" i="2"/>
  <c r="J165" i="2"/>
  <c r="L165" i="2"/>
  <c r="J166" i="2"/>
  <c r="L166" i="2"/>
  <c r="J167" i="2"/>
  <c r="L167" i="2"/>
  <c r="J168" i="2"/>
  <c r="L168" i="2"/>
  <c r="H167" i="2"/>
  <c r="H163" i="2"/>
  <c r="H159" i="2"/>
  <c r="H155" i="2"/>
  <c r="H151" i="2"/>
  <c r="H147" i="2"/>
  <c r="H143" i="2"/>
  <c r="H168" i="2"/>
  <c r="H169" i="2"/>
  <c r="H166" i="2"/>
  <c r="H165" i="2"/>
  <c r="H164" i="2"/>
  <c r="H162" i="2"/>
  <c r="H161" i="2"/>
  <c r="H160" i="2"/>
  <c r="H158" i="2"/>
  <c r="H157" i="2"/>
  <c r="H156" i="2"/>
  <c r="H154" i="2"/>
  <c r="H153" i="2"/>
  <c r="H152" i="2"/>
  <c r="H150" i="2"/>
  <c r="H149" i="2"/>
  <c r="H148" i="2"/>
  <c r="H146" i="2"/>
  <c r="H145" i="2"/>
  <c r="H144" i="2"/>
  <c r="H142" i="2"/>
  <c r="H141" i="2"/>
  <c r="J139" i="2"/>
  <c r="L139" i="2"/>
  <c r="H139" i="2"/>
  <c r="J140" i="2"/>
  <c r="L140" i="2"/>
  <c r="H140" i="2"/>
  <c r="T166" i="2"/>
  <c r="T191" i="2"/>
  <c r="S142" i="2"/>
  <c r="T142" i="2"/>
  <c r="U142" i="2"/>
  <c r="S143" i="2"/>
  <c r="T143" i="2"/>
  <c r="U143" i="2"/>
  <c r="S144" i="2"/>
  <c r="T144" i="2"/>
  <c r="U144" i="2"/>
  <c r="S145" i="2"/>
  <c r="T145" i="2"/>
  <c r="U145" i="2"/>
  <c r="S146" i="2"/>
  <c r="T146" i="2"/>
  <c r="U146" i="2"/>
  <c r="S147" i="2"/>
  <c r="T147" i="2"/>
  <c r="U147" i="2"/>
  <c r="S148" i="2"/>
  <c r="T148" i="2"/>
  <c r="U148" i="2"/>
  <c r="S149" i="2"/>
  <c r="T149" i="2"/>
  <c r="U149" i="2"/>
  <c r="S150" i="2"/>
  <c r="T150" i="2"/>
  <c r="U150" i="2"/>
  <c r="S151" i="2"/>
  <c r="T151" i="2"/>
  <c r="U151" i="2"/>
  <c r="S152" i="2"/>
  <c r="T152" i="2"/>
  <c r="S153" i="2"/>
  <c r="T153" i="2"/>
  <c r="U153" i="2"/>
  <c r="S154" i="2"/>
  <c r="T154" i="2"/>
  <c r="U154" i="2"/>
  <c r="S155" i="2"/>
  <c r="T155" i="2"/>
  <c r="U155" i="2"/>
  <c r="S156" i="2"/>
  <c r="T156" i="2"/>
  <c r="U156" i="2"/>
  <c r="S157" i="2"/>
  <c r="T157" i="2"/>
  <c r="U157" i="2"/>
  <c r="S158" i="2"/>
  <c r="T158" i="2"/>
  <c r="U158" i="2"/>
  <c r="S159" i="2"/>
  <c r="T159" i="2"/>
  <c r="U159" i="2"/>
  <c r="S160" i="2"/>
  <c r="T160" i="2"/>
  <c r="U160" i="2"/>
  <c r="S161" i="2"/>
  <c r="T161" i="2"/>
  <c r="U161" i="2"/>
  <c r="S162" i="2"/>
  <c r="T162" i="2"/>
  <c r="U162" i="2"/>
  <c r="S163" i="2"/>
  <c r="T163" i="2"/>
  <c r="U163" i="2"/>
  <c r="S164" i="2"/>
  <c r="T164" i="2"/>
  <c r="U164" i="2"/>
  <c r="S165" i="2"/>
  <c r="T165" i="2"/>
  <c r="U165" i="2"/>
  <c r="S166" i="2"/>
  <c r="U166" i="2"/>
  <c r="S167" i="2"/>
  <c r="T167" i="2"/>
  <c r="U167" i="2"/>
  <c r="S168" i="2"/>
  <c r="T168" i="2"/>
  <c r="U168" i="2"/>
  <c r="S169" i="2"/>
  <c r="T169" i="2"/>
  <c r="U169" i="2"/>
  <c r="S170" i="2"/>
  <c r="T170" i="2"/>
  <c r="U170" i="2"/>
  <c r="S171" i="2"/>
  <c r="T171" i="2"/>
  <c r="U171" i="2"/>
  <c r="S172" i="2"/>
  <c r="T172" i="2"/>
  <c r="U172" i="2"/>
  <c r="S173" i="2"/>
  <c r="T173" i="2"/>
  <c r="U173" i="2"/>
  <c r="S174" i="2"/>
  <c r="T174" i="2"/>
  <c r="U174" i="2"/>
  <c r="S175" i="2"/>
  <c r="T175" i="2"/>
  <c r="U175" i="2"/>
  <c r="S176" i="2"/>
  <c r="T176" i="2"/>
  <c r="U176" i="2"/>
  <c r="S177" i="2"/>
  <c r="T177" i="2"/>
  <c r="U177" i="2"/>
  <c r="S178" i="2"/>
  <c r="T178" i="2"/>
  <c r="U178" i="2"/>
  <c r="S179" i="2"/>
  <c r="T179" i="2"/>
  <c r="U179" i="2"/>
  <c r="S180" i="2"/>
  <c r="T180" i="2"/>
  <c r="U180" i="2"/>
  <c r="S181" i="2"/>
  <c r="T181" i="2"/>
  <c r="U181" i="2"/>
  <c r="T182" i="2"/>
  <c r="U182" i="2"/>
  <c r="S183" i="2"/>
  <c r="T183" i="2"/>
  <c r="U183" i="2"/>
  <c r="S185" i="2"/>
  <c r="T185" i="2"/>
  <c r="U185" i="2"/>
  <c r="S186" i="2"/>
  <c r="T186" i="2"/>
  <c r="U186" i="2"/>
  <c r="S187" i="2"/>
  <c r="T187" i="2"/>
  <c r="U187" i="2"/>
  <c r="S188" i="2"/>
  <c r="T188" i="2"/>
  <c r="U188" i="2"/>
  <c r="S189" i="2"/>
  <c r="T189" i="2"/>
  <c r="U189" i="2"/>
  <c r="S190" i="2"/>
  <c r="T190" i="2"/>
  <c r="U190" i="2"/>
  <c r="S191" i="2"/>
  <c r="U191" i="2"/>
  <c r="S140" i="2"/>
  <c r="T140" i="2"/>
  <c r="U140" i="2"/>
  <c r="S141" i="2"/>
  <c r="T141" i="2"/>
  <c r="U141" i="2"/>
  <c r="T139" i="2"/>
  <c r="U139" i="2"/>
  <c r="K8" i="2"/>
  <c r="N68" i="2"/>
  <c r="H178" i="2"/>
  <c r="R9" i="14"/>
  <c r="R10" i="14"/>
  <c r="R11" i="14"/>
  <c r="R12" i="14"/>
  <c r="R13" i="14"/>
  <c r="R14" i="14"/>
  <c r="R15" i="14"/>
  <c r="R16" i="14"/>
  <c r="R17" i="14"/>
  <c r="R18" i="14"/>
  <c r="R19" i="14"/>
  <c r="R20" i="14"/>
  <c r="R21" i="14"/>
  <c r="R22" i="14"/>
  <c r="R23" i="14"/>
  <c r="R24" i="14"/>
  <c r="R25" i="14"/>
  <c r="R26" i="14"/>
  <c r="R27" i="14"/>
  <c r="R28" i="14"/>
  <c r="R29" i="14"/>
  <c r="R30" i="14"/>
  <c r="R31" i="14"/>
  <c r="R32" i="14"/>
  <c r="R33" i="14"/>
  <c r="R34" i="14"/>
  <c r="R35" i="14"/>
  <c r="R36" i="14"/>
  <c r="R37" i="14"/>
  <c r="R38" i="14"/>
  <c r="R39" i="14"/>
  <c r="R40" i="14"/>
  <c r="R41" i="14"/>
  <c r="R42" i="14"/>
  <c r="R43" i="14"/>
  <c r="R44" i="14"/>
  <c r="R45" i="14"/>
  <c r="R46" i="14"/>
  <c r="R47" i="14"/>
  <c r="R48" i="14"/>
  <c r="R49" i="14"/>
  <c r="R50" i="14"/>
  <c r="R51" i="14"/>
  <c r="R52" i="14"/>
  <c r="R53" i="14"/>
  <c r="R54" i="14"/>
  <c r="R55" i="14"/>
  <c r="R56" i="14"/>
  <c r="R57" i="14"/>
  <c r="R58" i="14"/>
  <c r="R59" i="14"/>
  <c r="R60" i="14"/>
  <c r="R61" i="14"/>
  <c r="R62" i="14"/>
  <c r="R63" i="14"/>
  <c r="R64" i="14"/>
  <c r="R65" i="14"/>
  <c r="R66" i="14"/>
  <c r="R67" i="14"/>
  <c r="R68" i="14"/>
  <c r="R69" i="14"/>
  <c r="R70" i="14"/>
  <c r="R71" i="14"/>
  <c r="R72" i="14"/>
  <c r="R73" i="14"/>
  <c r="R74" i="14"/>
  <c r="R75" i="14"/>
  <c r="R76" i="14"/>
  <c r="R77" i="14"/>
  <c r="R78" i="14"/>
  <c r="R79" i="14"/>
  <c r="R80" i="14"/>
  <c r="R81" i="14"/>
  <c r="R82" i="14"/>
  <c r="R83" i="14"/>
  <c r="R84" i="14"/>
  <c r="R85" i="14"/>
  <c r="H178" i="14" s="1"/>
  <c r="R86" i="14"/>
  <c r="R87" i="14"/>
  <c r="R88" i="14"/>
  <c r="R89" i="14"/>
  <c r="R90" i="14"/>
  <c r="R91" i="14"/>
  <c r="R92" i="14"/>
  <c r="R93" i="14"/>
  <c r="R94" i="14"/>
  <c r="R95" i="14"/>
  <c r="R96" i="14"/>
  <c r="R97" i="14"/>
  <c r="R98" i="14"/>
  <c r="R99" i="14"/>
  <c r="R100" i="14"/>
  <c r="R101" i="14"/>
  <c r="R102" i="14"/>
  <c r="R103" i="14"/>
  <c r="R104" i="14"/>
  <c r="R105" i="14"/>
  <c r="R106" i="14"/>
  <c r="R107" i="14"/>
  <c r="R108" i="14"/>
  <c r="R109" i="14"/>
  <c r="R110" i="14"/>
  <c r="R111" i="14"/>
  <c r="R112" i="14"/>
  <c r="R113" i="14"/>
  <c r="R114" i="14"/>
  <c r="R115" i="14"/>
  <c r="R116" i="14"/>
  <c r="R117" i="14"/>
  <c r="H194" i="14" s="1"/>
  <c r="R8" i="14"/>
  <c r="M35" i="14"/>
  <c r="L35" i="14"/>
  <c r="K35" i="14"/>
  <c r="K8" i="14"/>
  <c r="L8" i="14"/>
  <c r="M8" i="14"/>
  <c r="K9" i="14"/>
  <c r="L9" i="14"/>
  <c r="M9" i="14"/>
  <c r="K10" i="14"/>
  <c r="L10" i="14"/>
  <c r="M10" i="14"/>
  <c r="K11" i="14"/>
  <c r="L11" i="14"/>
  <c r="M11" i="14"/>
  <c r="K12" i="14"/>
  <c r="L12" i="14"/>
  <c r="M12" i="14"/>
  <c r="K13" i="14"/>
  <c r="L13" i="14"/>
  <c r="M13" i="14"/>
  <c r="K14" i="14"/>
  <c r="L14" i="14"/>
  <c r="M14" i="14"/>
  <c r="K15" i="14"/>
  <c r="L15" i="14"/>
  <c r="M15" i="14"/>
  <c r="K16" i="14"/>
  <c r="L16" i="14"/>
  <c r="M16" i="14"/>
  <c r="K17" i="14"/>
  <c r="L17" i="14"/>
  <c r="M17" i="14"/>
  <c r="K18" i="14"/>
  <c r="L18" i="14"/>
  <c r="M18" i="14"/>
  <c r="K19" i="14"/>
  <c r="L19" i="14"/>
  <c r="M19" i="14"/>
  <c r="K20" i="14"/>
  <c r="L20" i="14"/>
  <c r="M20" i="14"/>
  <c r="K21" i="14"/>
  <c r="L21" i="14"/>
  <c r="M21" i="14"/>
  <c r="K22" i="14"/>
  <c r="L22" i="14"/>
  <c r="M22" i="14"/>
  <c r="K23" i="14"/>
  <c r="L23" i="14"/>
  <c r="M23" i="14"/>
  <c r="K24" i="14"/>
  <c r="L24" i="14"/>
  <c r="M24" i="14"/>
  <c r="K25" i="14"/>
  <c r="L25" i="14"/>
  <c r="M25" i="14"/>
  <c r="K26" i="14"/>
  <c r="L26" i="14"/>
  <c r="M26" i="14"/>
  <c r="K27" i="14"/>
  <c r="L27" i="14"/>
  <c r="M27" i="14"/>
  <c r="K28" i="14"/>
  <c r="L28" i="14"/>
  <c r="M28" i="14"/>
  <c r="K29" i="14"/>
  <c r="L29" i="14"/>
  <c r="M29" i="14"/>
  <c r="K30" i="14"/>
  <c r="L30" i="14"/>
  <c r="M30" i="14"/>
  <c r="K31" i="14"/>
  <c r="L31" i="14"/>
  <c r="M31" i="14"/>
  <c r="K32" i="14"/>
  <c r="L32" i="14"/>
  <c r="M32" i="14"/>
  <c r="K33" i="14"/>
  <c r="L33" i="14"/>
  <c r="M33" i="14"/>
  <c r="K34" i="14"/>
  <c r="L34" i="14"/>
  <c r="M34" i="14"/>
  <c r="K36" i="14"/>
  <c r="L36" i="14"/>
  <c r="M36" i="14"/>
  <c r="K37" i="14"/>
  <c r="L37" i="14"/>
  <c r="M37" i="14"/>
  <c r="K38" i="14"/>
  <c r="L38" i="14"/>
  <c r="M38" i="14"/>
  <c r="K39" i="14"/>
  <c r="L39" i="14"/>
  <c r="M39" i="14"/>
  <c r="K40" i="14"/>
  <c r="L40" i="14"/>
  <c r="M40" i="14"/>
  <c r="K41" i="14"/>
  <c r="L41" i="14"/>
  <c r="M41" i="14"/>
  <c r="K42" i="14"/>
  <c r="L42" i="14"/>
  <c r="M42" i="14"/>
  <c r="K43" i="14"/>
  <c r="L43" i="14"/>
  <c r="M43" i="14"/>
  <c r="K44" i="14"/>
  <c r="L44" i="14"/>
  <c r="M44" i="14"/>
  <c r="K45" i="14"/>
  <c r="L45" i="14"/>
  <c r="M45" i="14"/>
  <c r="K46" i="14"/>
  <c r="L46" i="14"/>
  <c r="M46" i="14"/>
  <c r="K47" i="14"/>
  <c r="L47" i="14"/>
  <c r="M47" i="14"/>
  <c r="K48" i="14"/>
  <c r="L48" i="14"/>
  <c r="M48" i="14"/>
  <c r="K49" i="14"/>
  <c r="L49" i="14"/>
  <c r="M49" i="14"/>
  <c r="K50" i="14"/>
  <c r="L50" i="14"/>
  <c r="M50" i="14"/>
  <c r="K51" i="14"/>
  <c r="L51" i="14"/>
  <c r="M51" i="14"/>
  <c r="K52" i="14"/>
  <c r="L52" i="14"/>
  <c r="M52" i="14"/>
  <c r="K53" i="14"/>
  <c r="L53" i="14"/>
  <c r="M53" i="14"/>
  <c r="K54" i="14"/>
  <c r="L54" i="14"/>
  <c r="M54" i="14"/>
  <c r="K55" i="14"/>
  <c r="L55" i="14"/>
  <c r="M55" i="14"/>
  <c r="K56" i="14"/>
  <c r="L56" i="14"/>
  <c r="M56" i="14"/>
  <c r="K57" i="14"/>
  <c r="L57" i="14"/>
  <c r="M57" i="14"/>
  <c r="K58" i="14"/>
  <c r="L58" i="14"/>
  <c r="M58" i="14"/>
  <c r="K59" i="14"/>
  <c r="L59" i="14"/>
  <c r="M59" i="14"/>
  <c r="K60" i="14"/>
  <c r="L60" i="14"/>
  <c r="M60" i="14"/>
  <c r="K61" i="14"/>
  <c r="L61" i="14"/>
  <c r="M61" i="14"/>
  <c r="K62" i="14"/>
  <c r="L62" i="14"/>
  <c r="M62" i="14"/>
  <c r="K63" i="14"/>
  <c r="L63" i="14"/>
  <c r="M63" i="14"/>
  <c r="K64" i="14"/>
  <c r="L64" i="14"/>
  <c r="M64" i="14"/>
  <c r="K65" i="14"/>
  <c r="L65" i="14"/>
  <c r="M65" i="14"/>
  <c r="K66" i="14"/>
  <c r="L66" i="14"/>
  <c r="M66" i="14"/>
  <c r="K67" i="14"/>
  <c r="L67" i="14"/>
  <c r="M67" i="14"/>
  <c r="K68" i="14"/>
  <c r="L68" i="14"/>
  <c r="M68" i="14"/>
  <c r="K69" i="14"/>
  <c r="L69" i="14"/>
  <c r="M69" i="14"/>
  <c r="R9" i="15"/>
  <c r="R10" i="15"/>
  <c r="R11" i="15"/>
  <c r="R12" i="15"/>
  <c r="R13" i="15"/>
  <c r="R14" i="15"/>
  <c r="R15" i="15"/>
  <c r="R16" i="15"/>
  <c r="R17" i="15"/>
  <c r="R18" i="15"/>
  <c r="R19" i="15"/>
  <c r="R20" i="15"/>
  <c r="R21" i="15"/>
  <c r="R22" i="15"/>
  <c r="R23" i="15"/>
  <c r="R24" i="15"/>
  <c r="R25" i="15"/>
  <c r="R26" i="15"/>
  <c r="R27" i="15"/>
  <c r="R28" i="15"/>
  <c r="R29" i="15"/>
  <c r="R30" i="15"/>
  <c r="R31" i="15"/>
  <c r="R32" i="15"/>
  <c r="R33" i="15"/>
  <c r="R34" i="15"/>
  <c r="R35" i="15"/>
  <c r="R36" i="15"/>
  <c r="R37" i="15"/>
  <c r="R38" i="15"/>
  <c r="R39" i="15"/>
  <c r="R40" i="15"/>
  <c r="R41" i="15"/>
  <c r="R42" i="15"/>
  <c r="R43" i="15"/>
  <c r="R44" i="15"/>
  <c r="R45" i="15"/>
  <c r="R46" i="15"/>
  <c r="R47" i="15"/>
  <c r="R48" i="15"/>
  <c r="R49" i="15"/>
  <c r="R50" i="15"/>
  <c r="R51" i="15"/>
  <c r="R52" i="15"/>
  <c r="R53" i="15"/>
  <c r="R54" i="15"/>
  <c r="R55" i="15"/>
  <c r="R56" i="15"/>
  <c r="R57" i="15"/>
  <c r="R58" i="15"/>
  <c r="R59" i="15"/>
  <c r="R60" i="15"/>
  <c r="R61" i="15"/>
  <c r="R62" i="15"/>
  <c r="R63" i="15"/>
  <c r="R64" i="15"/>
  <c r="R65" i="15"/>
  <c r="R66" i="15"/>
  <c r="R67" i="15"/>
  <c r="R68" i="15"/>
  <c r="R69" i="15"/>
  <c r="R70" i="15"/>
  <c r="R71" i="15"/>
  <c r="R72" i="15"/>
  <c r="R73" i="15"/>
  <c r="R74" i="15"/>
  <c r="R75" i="15"/>
  <c r="R76" i="15"/>
  <c r="R77" i="15"/>
  <c r="R78" i="15"/>
  <c r="R79" i="15"/>
  <c r="R80" i="15"/>
  <c r="R81" i="15"/>
  <c r="R82" i="15"/>
  <c r="R83" i="15"/>
  <c r="R84" i="15"/>
  <c r="R86" i="15"/>
  <c r="R87" i="15"/>
  <c r="R88" i="15"/>
  <c r="R89" i="15"/>
  <c r="R90" i="15"/>
  <c r="R91" i="15"/>
  <c r="R92" i="15"/>
  <c r="R93" i="15"/>
  <c r="R94" i="15"/>
  <c r="R95" i="15"/>
  <c r="R96" i="15"/>
  <c r="R97" i="15"/>
  <c r="R98" i="15"/>
  <c r="R99" i="15"/>
  <c r="R101" i="15"/>
  <c r="R102" i="15"/>
  <c r="R103" i="15"/>
  <c r="R104" i="15"/>
  <c r="R105" i="15"/>
  <c r="R106" i="15"/>
  <c r="R107" i="15"/>
  <c r="R108" i="15"/>
  <c r="R109" i="15"/>
  <c r="R110" i="15"/>
  <c r="R112" i="15"/>
  <c r="R113" i="15"/>
  <c r="R114" i="15"/>
  <c r="R115" i="15"/>
  <c r="R116" i="15"/>
  <c r="R117" i="15"/>
  <c r="R118" i="15"/>
  <c r="R119" i="15"/>
  <c r="R120" i="15"/>
  <c r="R121" i="15"/>
  <c r="R122" i="15"/>
  <c r="R124" i="15"/>
  <c r="R8" i="15"/>
  <c r="H157" i="15" s="1"/>
  <c r="K8" i="15"/>
  <c r="L8" i="15"/>
  <c r="M8" i="15"/>
  <c r="K9" i="15"/>
  <c r="L9" i="15"/>
  <c r="M9" i="15"/>
  <c r="K10" i="15"/>
  <c r="L10" i="15"/>
  <c r="M10" i="15"/>
  <c r="K11" i="15"/>
  <c r="L11" i="15"/>
  <c r="M11" i="15"/>
  <c r="K12" i="15"/>
  <c r="L12" i="15"/>
  <c r="M12" i="15"/>
  <c r="K13" i="15"/>
  <c r="L13" i="15"/>
  <c r="M13" i="15"/>
  <c r="K14" i="15"/>
  <c r="L14" i="15"/>
  <c r="M14" i="15"/>
  <c r="K15" i="15"/>
  <c r="L15" i="15"/>
  <c r="M15" i="15"/>
  <c r="K16" i="15"/>
  <c r="L16" i="15"/>
  <c r="M16" i="15"/>
  <c r="K17" i="15"/>
  <c r="L17" i="15"/>
  <c r="M17" i="15"/>
  <c r="K18" i="15"/>
  <c r="L18" i="15"/>
  <c r="M18" i="15"/>
  <c r="K19" i="15"/>
  <c r="L19" i="15"/>
  <c r="M19" i="15"/>
  <c r="K20" i="15"/>
  <c r="L20" i="15"/>
  <c r="M20" i="15"/>
  <c r="K21" i="15"/>
  <c r="L21" i="15"/>
  <c r="M21" i="15"/>
  <c r="K22" i="15"/>
  <c r="L22" i="15"/>
  <c r="M22" i="15"/>
  <c r="K23" i="15"/>
  <c r="L23" i="15"/>
  <c r="M23" i="15"/>
  <c r="K24" i="15"/>
  <c r="L24" i="15"/>
  <c r="M24" i="15"/>
  <c r="K25" i="15"/>
  <c r="L25" i="15"/>
  <c r="M25" i="15"/>
  <c r="K26" i="15"/>
  <c r="L26" i="15"/>
  <c r="M26" i="15"/>
  <c r="K27" i="15"/>
  <c r="L27" i="15"/>
  <c r="M27" i="15"/>
  <c r="K28" i="15"/>
  <c r="L28" i="15"/>
  <c r="M28" i="15"/>
  <c r="K29" i="15"/>
  <c r="L29" i="15"/>
  <c r="M29" i="15"/>
  <c r="K30" i="15"/>
  <c r="L30" i="15"/>
  <c r="M30" i="15"/>
  <c r="K31" i="15"/>
  <c r="L31" i="15"/>
  <c r="M31" i="15"/>
  <c r="K32" i="15"/>
  <c r="L32" i="15"/>
  <c r="M32" i="15"/>
  <c r="K33" i="15"/>
  <c r="L33" i="15"/>
  <c r="M33" i="15"/>
  <c r="K34" i="15"/>
  <c r="L34" i="15"/>
  <c r="M34" i="15"/>
  <c r="K35" i="15"/>
  <c r="L35" i="15"/>
  <c r="M35" i="15"/>
  <c r="K36" i="15"/>
  <c r="L36" i="15"/>
  <c r="M36" i="15"/>
  <c r="K37" i="15"/>
  <c r="L37" i="15"/>
  <c r="M37" i="15"/>
  <c r="K38" i="15"/>
  <c r="L38" i="15"/>
  <c r="M38" i="15"/>
  <c r="K39" i="15"/>
  <c r="L39" i="15"/>
  <c r="M39" i="15"/>
  <c r="K40" i="15"/>
  <c r="L40" i="15"/>
  <c r="M40" i="15"/>
  <c r="K41" i="15"/>
  <c r="L41" i="15"/>
  <c r="M41" i="15"/>
  <c r="K42" i="15"/>
  <c r="L42" i="15"/>
  <c r="M42" i="15"/>
  <c r="K43" i="15"/>
  <c r="L43" i="15"/>
  <c r="M43" i="15"/>
  <c r="K44" i="15"/>
  <c r="L44" i="15"/>
  <c r="M44" i="15"/>
  <c r="K45" i="15"/>
  <c r="L45" i="15"/>
  <c r="M45" i="15"/>
  <c r="K46" i="15"/>
  <c r="L46" i="15"/>
  <c r="M46" i="15"/>
  <c r="K47" i="15"/>
  <c r="L47" i="15"/>
  <c r="M47" i="15"/>
  <c r="K48" i="15"/>
  <c r="L48" i="15"/>
  <c r="M48" i="15"/>
  <c r="K49" i="15"/>
  <c r="L49" i="15"/>
  <c r="M49" i="15"/>
  <c r="K50" i="15"/>
  <c r="L50" i="15"/>
  <c r="M50" i="15"/>
  <c r="K51" i="15"/>
  <c r="L51" i="15"/>
  <c r="M51" i="15"/>
  <c r="K52" i="15"/>
  <c r="L52" i="15"/>
  <c r="M52" i="15"/>
  <c r="K53" i="15"/>
  <c r="L53" i="15"/>
  <c r="M53" i="15"/>
  <c r="K54" i="15"/>
  <c r="L54" i="15"/>
  <c r="M54" i="15"/>
  <c r="K55" i="15"/>
  <c r="L55" i="15"/>
  <c r="M55" i="15"/>
  <c r="K56" i="15"/>
  <c r="L56" i="15"/>
  <c r="M56" i="15"/>
  <c r="K57" i="15"/>
  <c r="L57" i="15"/>
  <c r="M57" i="15"/>
  <c r="K58" i="15"/>
  <c r="L58" i="15"/>
  <c r="M58" i="15"/>
  <c r="K59" i="15"/>
  <c r="L59" i="15"/>
  <c r="M59" i="15"/>
  <c r="K60" i="15"/>
  <c r="L60" i="15"/>
  <c r="M60" i="15"/>
  <c r="K61" i="15"/>
  <c r="L61" i="15"/>
  <c r="M61" i="15"/>
  <c r="K62" i="15"/>
  <c r="L62" i="15"/>
  <c r="M62" i="15"/>
  <c r="K63" i="15"/>
  <c r="L63" i="15"/>
  <c r="M63" i="15"/>
  <c r="K64" i="15"/>
  <c r="L64" i="15"/>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M58" i="8"/>
  <c r="L58" i="8"/>
  <c r="K58" i="8"/>
  <c r="M43" i="8"/>
  <c r="L43" i="8"/>
  <c r="K43" i="8"/>
  <c r="M36" i="8"/>
  <c r="L36" i="8"/>
  <c r="K36" i="8"/>
  <c r="M33" i="8"/>
  <c r="L33" i="8"/>
  <c r="K33" i="8"/>
  <c r="M30" i="8"/>
  <c r="L30" i="8"/>
  <c r="K30" i="8"/>
  <c r="M15" i="8"/>
  <c r="L15" i="8"/>
  <c r="K15" i="8"/>
  <c r="M39" i="8"/>
  <c r="L39" i="8"/>
  <c r="K39" i="8"/>
  <c r="M38" i="8"/>
  <c r="L38" i="8"/>
  <c r="K38" i="8"/>
  <c r="M37" i="8"/>
  <c r="L37" i="8"/>
  <c r="K37" i="8"/>
  <c r="M35" i="8"/>
  <c r="L35" i="8"/>
  <c r="K35" i="8"/>
  <c r="M34" i="8"/>
  <c r="L34" i="8"/>
  <c r="K34" i="8"/>
  <c r="M32" i="8"/>
  <c r="L32" i="8"/>
  <c r="K32" i="8"/>
  <c r="M31" i="8"/>
  <c r="L31" i="8"/>
  <c r="K31" i="8"/>
  <c r="M29" i="8"/>
  <c r="L29" i="8"/>
  <c r="K29" i="8"/>
  <c r="M28" i="8"/>
  <c r="L28" i="8"/>
  <c r="K28" i="8"/>
  <c r="M27" i="8"/>
  <c r="L27" i="8"/>
  <c r="K27" i="8"/>
  <c r="M26" i="8"/>
  <c r="L26" i="8"/>
  <c r="K26" i="8"/>
  <c r="M25" i="8"/>
  <c r="L25" i="8"/>
  <c r="K25" i="8"/>
  <c r="M24" i="8"/>
  <c r="L24" i="8"/>
  <c r="K24" i="8"/>
  <c r="M23" i="8"/>
  <c r="L23" i="8"/>
  <c r="K23" i="8"/>
  <c r="M22" i="8"/>
  <c r="L22" i="8"/>
  <c r="K22" i="8"/>
  <c r="M21" i="8"/>
  <c r="L21" i="8"/>
  <c r="K21" i="8"/>
  <c r="M20" i="8"/>
  <c r="L20" i="8"/>
  <c r="K20" i="8"/>
  <c r="M19" i="8"/>
  <c r="L19" i="8"/>
  <c r="K19" i="8"/>
  <c r="M18" i="8"/>
  <c r="L18" i="8"/>
  <c r="K18" i="8"/>
  <c r="M17" i="8"/>
  <c r="L17" i="8"/>
  <c r="K17" i="8"/>
  <c r="M16" i="8"/>
  <c r="L16" i="8"/>
  <c r="K16" i="8"/>
  <c r="M14" i="8"/>
  <c r="L14" i="8"/>
  <c r="K14" i="8"/>
  <c r="M13" i="8"/>
  <c r="L13" i="8"/>
  <c r="K13" i="8"/>
  <c r="M12" i="8"/>
  <c r="L12" i="8"/>
  <c r="K12" i="8"/>
  <c r="M11" i="8"/>
  <c r="L11" i="8"/>
  <c r="K11" i="8"/>
  <c r="M10" i="8"/>
  <c r="L10" i="8"/>
  <c r="K10" i="8"/>
  <c r="M9" i="8"/>
  <c r="L9" i="8"/>
  <c r="K9" i="8"/>
  <c r="M8" i="8"/>
  <c r="L8" i="8"/>
  <c r="K8" i="8"/>
  <c r="M69" i="8"/>
  <c r="L69" i="8"/>
  <c r="K69" i="8"/>
  <c r="M68" i="8"/>
  <c r="L68" i="8"/>
  <c r="K68" i="8"/>
  <c r="M67" i="8"/>
  <c r="L67" i="8"/>
  <c r="K67" i="8"/>
  <c r="M66" i="8"/>
  <c r="L66" i="8"/>
  <c r="K66" i="8"/>
  <c r="M65" i="8"/>
  <c r="L65" i="8"/>
  <c r="K65" i="8"/>
  <c r="M64" i="8"/>
  <c r="L64" i="8"/>
  <c r="K64" i="8"/>
  <c r="M63" i="8"/>
  <c r="L63" i="8"/>
  <c r="K63" i="8"/>
  <c r="M62" i="8"/>
  <c r="L62" i="8"/>
  <c r="K62" i="8"/>
  <c r="M61" i="8"/>
  <c r="L61" i="8"/>
  <c r="K61" i="8"/>
  <c r="M60" i="8"/>
  <c r="L60" i="8"/>
  <c r="K60" i="8"/>
  <c r="M59" i="8"/>
  <c r="L59" i="8"/>
  <c r="K59" i="8"/>
  <c r="M57" i="8"/>
  <c r="L57" i="8"/>
  <c r="K57" i="8"/>
  <c r="M56" i="8"/>
  <c r="L56" i="8"/>
  <c r="K56" i="8"/>
  <c r="M55" i="8"/>
  <c r="L55" i="8"/>
  <c r="K55" i="8"/>
  <c r="M54" i="8"/>
  <c r="L54" i="8"/>
  <c r="K54" i="8"/>
  <c r="M53" i="8"/>
  <c r="L53" i="8"/>
  <c r="K53" i="8"/>
  <c r="M52" i="8"/>
  <c r="L52" i="8"/>
  <c r="K52" i="8"/>
  <c r="M51" i="8"/>
  <c r="L51" i="8"/>
  <c r="K51" i="8"/>
  <c r="M50" i="8"/>
  <c r="L50" i="8"/>
  <c r="K50" i="8"/>
  <c r="M49" i="8"/>
  <c r="L49" i="8"/>
  <c r="K49" i="8"/>
  <c r="M48" i="8"/>
  <c r="L48" i="8"/>
  <c r="K48" i="8"/>
  <c r="M47" i="8"/>
  <c r="L47" i="8"/>
  <c r="K47" i="8"/>
  <c r="M46" i="8"/>
  <c r="L46" i="8"/>
  <c r="K46" i="8"/>
  <c r="M45" i="8"/>
  <c r="L45" i="8"/>
  <c r="K45" i="8"/>
  <c r="M44" i="8"/>
  <c r="L44" i="8"/>
  <c r="K44" i="8"/>
  <c r="M42" i="8"/>
  <c r="L42" i="8"/>
  <c r="K42" i="8"/>
  <c r="M41" i="8"/>
  <c r="L41" i="8"/>
  <c r="K41" i="8"/>
  <c r="M40" i="8"/>
  <c r="L40" i="8"/>
  <c r="K40" i="8"/>
  <c r="M71" i="8"/>
  <c r="L71" i="8"/>
  <c r="K71" i="8"/>
  <c r="M70" i="8"/>
  <c r="L70" i="8"/>
  <c r="K70" i="8"/>
  <c r="R9" i="7"/>
  <c r="R10" i="7"/>
  <c r="R11" i="7"/>
  <c r="R12" i="7"/>
  <c r="R13" i="7"/>
  <c r="R14" i="7"/>
  <c r="R15" i="7"/>
  <c r="R16" i="7"/>
  <c r="R17" i="7"/>
  <c r="R18" i="7"/>
  <c r="R19" i="7"/>
  <c r="R20" i="7"/>
  <c r="R21" i="7"/>
  <c r="R22" i="7"/>
  <c r="R23" i="7"/>
  <c r="R24" i="7"/>
  <c r="R25" i="7"/>
  <c r="R26" i="7"/>
  <c r="R27" i="7"/>
  <c r="R28" i="7"/>
  <c r="R29" i="7"/>
  <c r="R30" i="7"/>
  <c r="R31" i="7"/>
  <c r="R32" i="7"/>
  <c r="R33" i="7"/>
  <c r="R34" i="7"/>
  <c r="R35" i="7"/>
  <c r="R36" i="7"/>
  <c r="R37" i="7"/>
  <c r="R38" i="7"/>
  <c r="R39" i="7"/>
  <c r="R40" i="7"/>
  <c r="R41" i="7"/>
  <c r="R42" i="7"/>
  <c r="R43" i="7"/>
  <c r="R44" i="7"/>
  <c r="R45" i="7"/>
  <c r="R46" i="7"/>
  <c r="R47" i="7"/>
  <c r="R48" i="7"/>
  <c r="R49" i="7"/>
  <c r="R50" i="7"/>
  <c r="R51" i="7"/>
  <c r="R52" i="7"/>
  <c r="R53" i="7"/>
  <c r="R54" i="7"/>
  <c r="R55" i="7"/>
  <c r="R56" i="7"/>
  <c r="R57" i="7"/>
  <c r="R58" i="7"/>
  <c r="R59" i="7"/>
  <c r="R60" i="7"/>
  <c r="R61" i="7"/>
  <c r="R62" i="7"/>
  <c r="R63" i="7"/>
  <c r="R66" i="7"/>
  <c r="R67" i="7"/>
  <c r="R68" i="7"/>
  <c r="R69" i="7"/>
  <c r="R70" i="7"/>
  <c r="R71" i="7"/>
  <c r="R72" i="7"/>
  <c r="R73" i="7"/>
  <c r="R74" i="7"/>
  <c r="R75" i="7"/>
  <c r="R76" i="7"/>
  <c r="R77" i="7"/>
  <c r="R78" i="7"/>
  <c r="R79" i="7"/>
  <c r="R80" i="7"/>
  <c r="R81" i="7"/>
  <c r="R82" i="7"/>
  <c r="R83" i="7"/>
  <c r="R84" i="7"/>
  <c r="R85" i="7"/>
  <c r="R86" i="7"/>
  <c r="R87" i="7"/>
  <c r="R88" i="7"/>
  <c r="R89" i="7"/>
  <c r="R90" i="7"/>
  <c r="R91" i="7"/>
  <c r="R92" i="7"/>
  <c r="R93" i="7"/>
  <c r="R94" i="7"/>
  <c r="R95" i="7"/>
  <c r="R96" i="7"/>
  <c r="R97" i="7"/>
  <c r="R98" i="7"/>
  <c r="R99" i="7"/>
  <c r="R100" i="7"/>
  <c r="R101" i="7"/>
  <c r="R102" i="7"/>
  <c r="R103" i="7"/>
  <c r="R104" i="7"/>
  <c r="R105" i="7"/>
  <c r="R106" i="7"/>
  <c r="R107" i="7"/>
  <c r="R108" i="7"/>
  <c r="R109" i="7"/>
  <c r="R110" i="7"/>
  <c r="R111" i="7"/>
  <c r="R112" i="7"/>
  <c r="R113" i="7"/>
  <c r="R114" i="7"/>
  <c r="R8" i="7"/>
  <c r="M9" i="7"/>
  <c r="L9" i="7"/>
  <c r="K9" i="7"/>
  <c r="M17" i="7"/>
  <c r="L17" i="7"/>
  <c r="K17" i="7"/>
  <c r="M16" i="7"/>
  <c r="L16" i="7"/>
  <c r="K16" i="7"/>
  <c r="M15" i="7"/>
  <c r="L15" i="7"/>
  <c r="K15" i="7"/>
  <c r="M14" i="7"/>
  <c r="L14" i="7"/>
  <c r="K14" i="7"/>
  <c r="E14" i="7"/>
  <c r="T141" i="7" s="1"/>
  <c r="M13" i="7"/>
  <c r="L13" i="7"/>
  <c r="K13" i="7"/>
  <c r="M12" i="7"/>
  <c r="L12" i="7"/>
  <c r="K12" i="7"/>
  <c r="E12" i="7"/>
  <c r="T140" i="7" s="1"/>
  <c r="M11" i="7"/>
  <c r="L11" i="7"/>
  <c r="K11" i="7"/>
  <c r="M10" i="7"/>
  <c r="L10" i="7"/>
  <c r="K10" i="7"/>
  <c r="M8" i="7"/>
  <c r="L8" i="7"/>
  <c r="K8" i="7"/>
  <c r="M45" i="7"/>
  <c r="L45" i="7"/>
  <c r="K45" i="7"/>
  <c r="M44" i="7"/>
  <c r="L44" i="7"/>
  <c r="K44" i="7"/>
  <c r="M43" i="7"/>
  <c r="L43" i="7"/>
  <c r="K43" i="7"/>
  <c r="M42" i="7"/>
  <c r="L42" i="7"/>
  <c r="K42" i="7"/>
  <c r="M41" i="7"/>
  <c r="L41" i="7"/>
  <c r="K41" i="7"/>
  <c r="M40" i="7"/>
  <c r="L40" i="7"/>
  <c r="K40" i="7"/>
  <c r="M39" i="7"/>
  <c r="L39" i="7"/>
  <c r="K39" i="7"/>
  <c r="M38" i="7"/>
  <c r="L38" i="7"/>
  <c r="K38" i="7"/>
  <c r="M37" i="7"/>
  <c r="L37" i="7"/>
  <c r="K37" i="7"/>
  <c r="M36" i="7"/>
  <c r="L36" i="7"/>
  <c r="K36" i="7"/>
  <c r="M35" i="7"/>
  <c r="L35" i="7"/>
  <c r="K35" i="7"/>
  <c r="M34" i="7"/>
  <c r="L34" i="7"/>
  <c r="K34" i="7"/>
  <c r="M33" i="7"/>
  <c r="L33" i="7"/>
  <c r="K33" i="7"/>
  <c r="M32" i="7"/>
  <c r="L32" i="7"/>
  <c r="K32" i="7"/>
  <c r="M31" i="7"/>
  <c r="L31" i="7"/>
  <c r="K31" i="7"/>
  <c r="M30" i="7"/>
  <c r="L30" i="7"/>
  <c r="K30" i="7"/>
  <c r="M29" i="7"/>
  <c r="L29" i="7"/>
  <c r="K29" i="7"/>
  <c r="M28" i="7"/>
  <c r="L28" i="7"/>
  <c r="K28" i="7"/>
  <c r="M27" i="7"/>
  <c r="L27" i="7"/>
  <c r="K27" i="7"/>
  <c r="M26" i="7"/>
  <c r="L26" i="7"/>
  <c r="K26" i="7"/>
  <c r="M25" i="7"/>
  <c r="L25" i="7"/>
  <c r="K25" i="7"/>
  <c r="M24" i="7"/>
  <c r="L24" i="7"/>
  <c r="K24" i="7"/>
  <c r="M23" i="7"/>
  <c r="L23" i="7"/>
  <c r="K23" i="7"/>
  <c r="M22" i="7"/>
  <c r="L22" i="7"/>
  <c r="K22" i="7"/>
  <c r="M21" i="7"/>
  <c r="L21" i="7"/>
  <c r="K21" i="7"/>
  <c r="M20" i="7"/>
  <c r="L20" i="7"/>
  <c r="K20" i="7"/>
  <c r="M19" i="7"/>
  <c r="L19" i="7"/>
  <c r="K19" i="7"/>
  <c r="M18" i="7"/>
  <c r="L18" i="7"/>
  <c r="K18" i="7"/>
  <c r="M58" i="7"/>
  <c r="L58" i="7"/>
  <c r="K58" i="7"/>
  <c r="M57" i="7"/>
  <c r="L57" i="7"/>
  <c r="K57" i="7"/>
  <c r="M56" i="7"/>
  <c r="L56" i="7"/>
  <c r="K56" i="7"/>
  <c r="M55" i="7"/>
  <c r="L55" i="7"/>
  <c r="K55" i="7"/>
  <c r="M54" i="7"/>
  <c r="L54" i="7"/>
  <c r="K54" i="7"/>
  <c r="M53" i="7"/>
  <c r="L53" i="7"/>
  <c r="K53" i="7"/>
  <c r="M52" i="7"/>
  <c r="L52" i="7"/>
  <c r="K52" i="7"/>
  <c r="M51" i="7"/>
  <c r="L51" i="7"/>
  <c r="K51" i="7"/>
  <c r="M50" i="7"/>
  <c r="L50" i="7"/>
  <c r="K50" i="7"/>
  <c r="M49" i="7"/>
  <c r="L49" i="7"/>
  <c r="K49" i="7"/>
  <c r="M48" i="7"/>
  <c r="L48" i="7"/>
  <c r="K48" i="7"/>
  <c r="M47" i="7"/>
  <c r="L47" i="7"/>
  <c r="K47" i="7"/>
  <c r="M46" i="7"/>
  <c r="L46" i="7"/>
  <c r="K46" i="7"/>
  <c r="M65" i="7"/>
  <c r="L65" i="7"/>
  <c r="K65" i="7"/>
  <c r="M64" i="7"/>
  <c r="L64" i="7"/>
  <c r="K64" i="7"/>
  <c r="M63" i="7"/>
  <c r="L63" i="7"/>
  <c r="K63" i="7"/>
  <c r="M62" i="7"/>
  <c r="L62" i="7"/>
  <c r="K62" i="7"/>
  <c r="M61" i="7"/>
  <c r="L61" i="7"/>
  <c r="K61" i="7"/>
  <c r="M60" i="7"/>
  <c r="L60" i="7"/>
  <c r="K60" i="7"/>
  <c r="M59" i="7"/>
  <c r="L59" i="7"/>
  <c r="K59" i="7"/>
  <c r="R67" i="5"/>
  <c r="R68" i="5"/>
  <c r="R69" i="5"/>
  <c r="R70" i="5"/>
  <c r="R71" i="5"/>
  <c r="R72" i="5"/>
  <c r="R73" i="5"/>
  <c r="R74" i="5"/>
  <c r="R76" i="5"/>
  <c r="R77" i="5"/>
  <c r="R78" i="5"/>
  <c r="R79" i="5"/>
  <c r="R80" i="5"/>
  <c r="R81" i="5"/>
  <c r="R82" i="5"/>
  <c r="R83" i="5"/>
  <c r="R84" i="5"/>
  <c r="R85" i="5"/>
  <c r="R86" i="5"/>
  <c r="R87" i="5"/>
  <c r="R88" i="5"/>
  <c r="R89" i="5"/>
  <c r="R90" i="5"/>
  <c r="R91" i="5"/>
  <c r="R92" i="5"/>
  <c r="R93" i="5"/>
  <c r="R94" i="5"/>
  <c r="R95" i="5"/>
  <c r="R96" i="5"/>
  <c r="R97" i="5"/>
  <c r="R98" i="5"/>
  <c r="R99" i="5"/>
  <c r="R100" i="5"/>
  <c r="R101" i="5"/>
  <c r="R102" i="5"/>
  <c r="R103" i="5"/>
  <c r="R104" i="5"/>
  <c r="R105" i="5"/>
  <c r="R106" i="5"/>
  <c r="R107" i="5"/>
  <c r="R108" i="5"/>
  <c r="R109" i="5"/>
  <c r="R110" i="5"/>
  <c r="R111" i="5"/>
  <c r="R112" i="5"/>
  <c r="R113" i="5"/>
  <c r="R114" i="5"/>
  <c r="R115" i="5"/>
  <c r="R9" i="5"/>
  <c r="R10" i="5"/>
  <c r="R11" i="5"/>
  <c r="R12" i="5"/>
  <c r="R13" i="5"/>
  <c r="R14" i="5"/>
  <c r="R15" i="5"/>
  <c r="R16" i="5"/>
  <c r="R17" i="5"/>
  <c r="R18" i="5"/>
  <c r="R19" i="5"/>
  <c r="R20" i="5"/>
  <c r="R21" i="5"/>
  <c r="J146" i="5" s="1"/>
  <c r="R22" i="5"/>
  <c r="R23" i="5"/>
  <c r="R24" i="5"/>
  <c r="R25" i="5"/>
  <c r="R26" i="5"/>
  <c r="R27" i="5"/>
  <c r="R28" i="5"/>
  <c r="R29" i="5"/>
  <c r="R30" i="5"/>
  <c r="R31" i="5"/>
  <c r="R32" i="5"/>
  <c r="R33" i="5"/>
  <c r="R34" i="5"/>
  <c r="R35" i="5"/>
  <c r="R36" i="5"/>
  <c r="R37" i="5"/>
  <c r="R38" i="5"/>
  <c r="R39" i="5"/>
  <c r="R40" i="5"/>
  <c r="R41" i="5"/>
  <c r="R42" i="5"/>
  <c r="R43" i="5"/>
  <c r="R44" i="5"/>
  <c r="R45" i="5"/>
  <c r="R46" i="5"/>
  <c r="R47" i="5"/>
  <c r="R48" i="5"/>
  <c r="R49" i="5"/>
  <c r="R50" i="5"/>
  <c r="R51" i="5"/>
  <c r="R52" i="5"/>
  <c r="R53" i="5"/>
  <c r="R54" i="5"/>
  <c r="R55" i="5"/>
  <c r="R56" i="5"/>
  <c r="R57" i="5"/>
  <c r="R58" i="5"/>
  <c r="R59" i="5"/>
  <c r="R60" i="5"/>
  <c r="R61" i="5"/>
  <c r="R62" i="5"/>
  <c r="R63" i="5"/>
  <c r="R64" i="5"/>
  <c r="R65" i="5"/>
  <c r="R66" i="5"/>
  <c r="R8" i="5"/>
  <c r="M25" i="5"/>
  <c r="L25" i="5"/>
  <c r="K25" i="5"/>
  <c r="M36" i="5"/>
  <c r="L36" i="5"/>
  <c r="K36" i="5"/>
  <c r="M35" i="5"/>
  <c r="L35" i="5"/>
  <c r="K35" i="5"/>
  <c r="M34" i="5"/>
  <c r="L34" i="5"/>
  <c r="K34" i="5"/>
  <c r="M33" i="5"/>
  <c r="L33" i="5"/>
  <c r="K33" i="5"/>
  <c r="M32" i="5"/>
  <c r="L32" i="5"/>
  <c r="K32" i="5"/>
  <c r="M31" i="5"/>
  <c r="L31" i="5"/>
  <c r="K31" i="5"/>
  <c r="E31" i="5"/>
  <c r="T151" i="5" s="1"/>
  <c r="M30" i="5"/>
  <c r="L30" i="5"/>
  <c r="K30" i="5"/>
  <c r="M29" i="5"/>
  <c r="L29" i="5"/>
  <c r="K29" i="5"/>
  <c r="M28" i="5"/>
  <c r="L28" i="5"/>
  <c r="K28" i="5"/>
  <c r="E28" i="5"/>
  <c r="M27" i="5"/>
  <c r="L27" i="5"/>
  <c r="K27" i="5"/>
  <c r="M26" i="5"/>
  <c r="L26" i="5"/>
  <c r="K26" i="5"/>
  <c r="M24" i="5"/>
  <c r="L24" i="5"/>
  <c r="K24" i="5"/>
  <c r="M23" i="5"/>
  <c r="L23" i="5"/>
  <c r="K23" i="5"/>
  <c r="E23" i="5"/>
  <c r="T147" i="5" s="1"/>
  <c r="M22" i="5"/>
  <c r="L22" i="5"/>
  <c r="K22" i="5"/>
  <c r="M21" i="5"/>
  <c r="L21" i="5"/>
  <c r="K21" i="5"/>
  <c r="M20" i="5"/>
  <c r="L20" i="5"/>
  <c r="K20" i="5"/>
  <c r="M19" i="5"/>
  <c r="L19" i="5"/>
  <c r="K19" i="5"/>
  <c r="M18" i="5"/>
  <c r="L18" i="5"/>
  <c r="K18" i="5"/>
  <c r="M17" i="5"/>
  <c r="L17" i="5"/>
  <c r="K17" i="5"/>
  <c r="M16" i="5"/>
  <c r="L16" i="5"/>
  <c r="K16" i="5"/>
  <c r="M15" i="5"/>
  <c r="L15" i="5"/>
  <c r="K15" i="5"/>
  <c r="M14" i="5"/>
  <c r="L14" i="5"/>
  <c r="K14" i="5"/>
  <c r="M13" i="5"/>
  <c r="L13" i="5"/>
  <c r="K13" i="5"/>
  <c r="E13" i="5"/>
  <c r="S142" i="5" s="1"/>
  <c r="M12" i="5"/>
  <c r="L12" i="5"/>
  <c r="K12" i="5"/>
  <c r="M11" i="5"/>
  <c r="L11" i="5"/>
  <c r="K11" i="5"/>
  <c r="E11" i="5"/>
  <c r="U141" i="5" s="1"/>
  <c r="M10" i="5"/>
  <c r="L10" i="5"/>
  <c r="K10" i="5"/>
  <c r="M9" i="5"/>
  <c r="L9" i="5"/>
  <c r="K9" i="5"/>
  <c r="M8" i="5"/>
  <c r="L8" i="5"/>
  <c r="K8" i="5"/>
  <c r="M64" i="5"/>
  <c r="L64" i="5"/>
  <c r="K64" i="5"/>
  <c r="M63" i="5"/>
  <c r="L63" i="5"/>
  <c r="K63" i="5"/>
  <c r="E63" i="5"/>
  <c r="U167" i="5" s="1"/>
  <c r="M62" i="5"/>
  <c r="L62" i="5"/>
  <c r="K62" i="5"/>
  <c r="M61" i="5"/>
  <c r="L61" i="5"/>
  <c r="K61" i="5"/>
  <c r="E61" i="5"/>
  <c r="T166" i="5" s="1"/>
  <c r="M60" i="5"/>
  <c r="L60" i="5"/>
  <c r="K60" i="5"/>
  <c r="M59" i="5"/>
  <c r="L59" i="5"/>
  <c r="K59" i="5"/>
  <c r="M58" i="5"/>
  <c r="L58" i="5"/>
  <c r="K58" i="5"/>
  <c r="M57" i="5"/>
  <c r="L57" i="5"/>
  <c r="K57" i="5"/>
  <c r="M56" i="5"/>
  <c r="L56" i="5"/>
  <c r="K56" i="5"/>
  <c r="E56" i="5"/>
  <c r="U163" i="5" s="1"/>
  <c r="M55" i="5"/>
  <c r="L55" i="5"/>
  <c r="K55" i="5"/>
  <c r="M54" i="5"/>
  <c r="L54" i="5"/>
  <c r="K54" i="5"/>
  <c r="E54" i="5"/>
  <c r="M53" i="5"/>
  <c r="L53" i="5"/>
  <c r="K53" i="5"/>
  <c r="M52" i="5"/>
  <c r="L52" i="5"/>
  <c r="K52" i="5"/>
  <c r="E52" i="5"/>
  <c r="M51" i="5"/>
  <c r="L51" i="5"/>
  <c r="K51" i="5"/>
  <c r="M50" i="5"/>
  <c r="L50" i="5"/>
  <c r="K50" i="5"/>
  <c r="M49" i="5"/>
  <c r="L49" i="5"/>
  <c r="K49" i="5"/>
  <c r="M48" i="5"/>
  <c r="L48" i="5"/>
  <c r="K48" i="5"/>
  <c r="M47" i="5"/>
  <c r="L47" i="5"/>
  <c r="K47" i="5"/>
  <c r="M46" i="5"/>
  <c r="L46" i="5"/>
  <c r="K46" i="5"/>
  <c r="M45" i="5"/>
  <c r="L45" i="5"/>
  <c r="K45" i="5"/>
  <c r="M44" i="5"/>
  <c r="L44" i="5"/>
  <c r="K44" i="5"/>
  <c r="M43" i="5"/>
  <c r="L43" i="5"/>
  <c r="K43" i="5"/>
  <c r="M42" i="5"/>
  <c r="L42" i="5"/>
  <c r="K42" i="5"/>
  <c r="M41" i="5"/>
  <c r="L41" i="5"/>
  <c r="K41" i="5"/>
  <c r="M40" i="5"/>
  <c r="L40" i="5"/>
  <c r="K40" i="5"/>
  <c r="E40" i="5"/>
  <c r="U155" i="5" s="1"/>
  <c r="M39" i="5"/>
  <c r="L39" i="5"/>
  <c r="K39" i="5"/>
  <c r="M38" i="5"/>
  <c r="L38" i="5"/>
  <c r="K38" i="5"/>
  <c r="M37" i="5"/>
  <c r="L37" i="5"/>
  <c r="K37" i="5"/>
  <c r="M66" i="5"/>
  <c r="L66" i="5"/>
  <c r="K66" i="5"/>
  <c r="M65" i="5"/>
  <c r="L65" i="5"/>
  <c r="K65" i="5"/>
  <c r="R9" i="3"/>
  <c r="R10" i="3"/>
  <c r="R11" i="3"/>
  <c r="R12" i="3"/>
  <c r="R13" i="3"/>
  <c r="R14" i="3"/>
  <c r="R15" i="3"/>
  <c r="R16" i="3"/>
  <c r="R17" i="3"/>
  <c r="R18" i="3"/>
  <c r="R19" i="3"/>
  <c r="R20" i="3"/>
  <c r="R21" i="3"/>
  <c r="R22" i="3"/>
  <c r="R23" i="3"/>
  <c r="R24" i="3"/>
  <c r="R25" i="3"/>
  <c r="R26" i="3"/>
  <c r="R27" i="3"/>
  <c r="R28" i="3"/>
  <c r="R29" i="3"/>
  <c r="R30" i="3"/>
  <c r="R31" i="3"/>
  <c r="R32" i="3"/>
  <c r="R33" i="3"/>
  <c r="R34" i="3"/>
  <c r="R35" i="3"/>
  <c r="R36" i="3"/>
  <c r="R37" i="3"/>
  <c r="R38" i="3"/>
  <c r="R39" i="3"/>
  <c r="R40" i="3"/>
  <c r="R41" i="3"/>
  <c r="R42" i="3"/>
  <c r="R43" i="3"/>
  <c r="R44" i="3"/>
  <c r="R45" i="3"/>
  <c r="R46" i="3"/>
  <c r="R47" i="3"/>
  <c r="R48" i="3"/>
  <c r="R49" i="3"/>
  <c r="R50" i="3"/>
  <c r="R51" i="3"/>
  <c r="R52" i="3"/>
  <c r="R53" i="3"/>
  <c r="R54" i="3"/>
  <c r="R55" i="3"/>
  <c r="R56" i="3"/>
  <c r="R57" i="3"/>
  <c r="R58" i="3"/>
  <c r="R59" i="3"/>
  <c r="R60" i="3"/>
  <c r="R61" i="3"/>
  <c r="R62" i="3"/>
  <c r="R63" i="3"/>
  <c r="R64" i="3"/>
  <c r="R65" i="3"/>
  <c r="R66" i="3"/>
  <c r="R67" i="3"/>
  <c r="R68" i="3"/>
  <c r="R69" i="3"/>
  <c r="R70" i="3"/>
  <c r="R71" i="3"/>
  <c r="R72" i="3"/>
  <c r="R73" i="3"/>
  <c r="R74" i="3"/>
  <c r="R75" i="3"/>
  <c r="R76" i="3"/>
  <c r="R77" i="3"/>
  <c r="R78" i="3"/>
  <c r="R79" i="3"/>
  <c r="R80" i="3"/>
  <c r="R81" i="3"/>
  <c r="R82" i="3"/>
  <c r="R83" i="3"/>
  <c r="R84" i="3"/>
  <c r="L182" i="3" s="1"/>
  <c r="R85" i="3"/>
  <c r="R86" i="3"/>
  <c r="R87" i="3"/>
  <c r="R88" i="3"/>
  <c r="R89" i="3"/>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7" i="3"/>
  <c r="R118" i="3"/>
  <c r="R119" i="3"/>
  <c r="R8" i="3"/>
  <c r="R67" i="2"/>
  <c r="R68" i="2"/>
  <c r="R69" i="2"/>
  <c r="R70" i="2"/>
  <c r="R71" i="2"/>
  <c r="R72" i="2"/>
  <c r="R73" i="2"/>
  <c r="R74" i="2"/>
  <c r="R75" i="2"/>
  <c r="R76" i="2"/>
  <c r="R77" i="2"/>
  <c r="R78" i="2"/>
  <c r="R79" i="2"/>
  <c r="R80" i="2"/>
  <c r="R81" i="2"/>
  <c r="R82" i="2"/>
  <c r="R83" i="2"/>
  <c r="R84" i="2"/>
  <c r="R85" i="2"/>
  <c r="R86" i="2"/>
  <c r="R87" i="2"/>
  <c r="R88" i="2"/>
  <c r="R89" i="2"/>
  <c r="R90" i="2"/>
  <c r="R91" i="2"/>
  <c r="R92" i="2"/>
  <c r="R93" i="2"/>
  <c r="R94" i="2"/>
  <c r="R95" i="2"/>
  <c r="R96" i="2"/>
  <c r="R97" i="2"/>
  <c r="R98" i="2"/>
  <c r="R100" i="2"/>
  <c r="R101" i="2"/>
  <c r="R102" i="2"/>
  <c r="R103" i="2"/>
  <c r="R104" i="2"/>
  <c r="R105" i="2"/>
  <c r="R106" i="2"/>
  <c r="R107" i="2"/>
  <c r="R108" i="2"/>
  <c r="R109" i="2"/>
  <c r="R110" i="2"/>
  <c r="R111" i="2"/>
  <c r="R112" i="2"/>
  <c r="R113" i="2"/>
  <c r="R9" i="2"/>
  <c r="R10" i="2"/>
  <c r="R11" i="2"/>
  <c r="R12" i="2"/>
  <c r="R13" i="2"/>
  <c r="R14" i="2"/>
  <c r="R15" i="2"/>
  <c r="R16" i="2"/>
  <c r="R17" i="2"/>
  <c r="R18" i="2"/>
  <c r="R19"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8" i="2"/>
  <c r="K29"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8" i="1"/>
  <c r="J144" i="1" s="1"/>
  <c r="M54" i="3"/>
  <c r="L54" i="3"/>
  <c r="K54" i="3"/>
  <c r="M51" i="3"/>
  <c r="L51" i="3"/>
  <c r="K51" i="3"/>
  <c r="M50" i="3"/>
  <c r="L50" i="3"/>
  <c r="K50" i="3"/>
  <c r="M37" i="3"/>
  <c r="L37" i="3"/>
  <c r="K37" i="3"/>
  <c r="M35" i="3"/>
  <c r="L35" i="3"/>
  <c r="K35" i="3"/>
  <c r="M34" i="3"/>
  <c r="L34" i="3"/>
  <c r="K34" i="3"/>
  <c r="M33" i="3"/>
  <c r="L33" i="3"/>
  <c r="K33" i="3"/>
  <c r="M32" i="3"/>
  <c r="L32" i="3"/>
  <c r="K32" i="3"/>
  <c r="M31" i="3"/>
  <c r="L31" i="3"/>
  <c r="K31" i="3"/>
  <c r="M30" i="3"/>
  <c r="L30" i="3"/>
  <c r="K30" i="3"/>
  <c r="M29" i="3"/>
  <c r="L29" i="3"/>
  <c r="K29" i="3"/>
  <c r="M28" i="3"/>
  <c r="L28" i="3"/>
  <c r="K28" i="3"/>
  <c r="M27" i="3"/>
  <c r="L27" i="3"/>
  <c r="K27" i="3"/>
  <c r="M26" i="3"/>
  <c r="L26" i="3"/>
  <c r="K26" i="3"/>
  <c r="M25" i="3"/>
  <c r="L25" i="3"/>
  <c r="K25" i="3"/>
  <c r="M24" i="3"/>
  <c r="L24" i="3"/>
  <c r="K24" i="3"/>
  <c r="M23" i="3"/>
  <c r="L23" i="3"/>
  <c r="K23" i="3"/>
  <c r="M22" i="3"/>
  <c r="L22" i="3"/>
  <c r="K22" i="3"/>
  <c r="M21" i="3"/>
  <c r="L21" i="3"/>
  <c r="K21" i="3"/>
  <c r="M20" i="3"/>
  <c r="L20" i="3"/>
  <c r="K20" i="3"/>
  <c r="M19" i="3"/>
  <c r="L19" i="3"/>
  <c r="K19" i="3"/>
  <c r="M18" i="3"/>
  <c r="L18" i="3"/>
  <c r="K18" i="3"/>
  <c r="M17" i="3"/>
  <c r="L17" i="3"/>
  <c r="K17" i="3"/>
  <c r="M16" i="3"/>
  <c r="L16" i="3"/>
  <c r="K16" i="3"/>
  <c r="M15" i="3"/>
  <c r="L15" i="3"/>
  <c r="K15" i="3"/>
  <c r="M14" i="3"/>
  <c r="L14" i="3"/>
  <c r="K14" i="3"/>
  <c r="M13" i="3"/>
  <c r="L13" i="3"/>
  <c r="K13" i="3"/>
  <c r="M12" i="3"/>
  <c r="L12" i="3"/>
  <c r="K12" i="3"/>
  <c r="M11" i="3"/>
  <c r="L11" i="3"/>
  <c r="K11" i="3"/>
  <c r="M10" i="3"/>
  <c r="L10" i="3"/>
  <c r="K10" i="3"/>
  <c r="M9" i="3"/>
  <c r="L9" i="3"/>
  <c r="K9" i="3"/>
  <c r="M8" i="3"/>
  <c r="L8" i="3"/>
  <c r="K8" i="3"/>
  <c r="M63" i="3"/>
  <c r="L63" i="3"/>
  <c r="K63" i="3"/>
  <c r="M62" i="3"/>
  <c r="L62" i="3"/>
  <c r="K62" i="3"/>
  <c r="M61" i="3"/>
  <c r="L61" i="3"/>
  <c r="K61" i="3"/>
  <c r="M60" i="3"/>
  <c r="L60" i="3"/>
  <c r="K60" i="3"/>
  <c r="M59" i="3"/>
  <c r="L59" i="3"/>
  <c r="K59" i="3"/>
  <c r="M58" i="3"/>
  <c r="L58" i="3"/>
  <c r="K58" i="3"/>
  <c r="M57" i="3"/>
  <c r="L57" i="3"/>
  <c r="K57" i="3"/>
  <c r="M56" i="3"/>
  <c r="L56" i="3"/>
  <c r="K56" i="3"/>
  <c r="M55" i="3"/>
  <c r="L55" i="3"/>
  <c r="K55" i="3"/>
  <c r="M53" i="3"/>
  <c r="L53" i="3"/>
  <c r="K53" i="3"/>
  <c r="M52" i="3"/>
  <c r="L52" i="3"/>
  <c r="K52" i="3"/>
  <c r="M49" i="3"/>
  <c r="L49" i="3"/>
  <c r="K49" i="3"/>
  <c r="M48" i="3"/>
  <c r="L48" i="3"/>
  <c r="K48" i="3"/>
  <c r="M47" i="3"/>
  <c r="L47" i="3"/>
  <c r="K47" i="3"/>
  <c r="M46" i="3"/>
  <c r="L46" i="3"/>
  <c r="K46" i="3"/>
  <c r="M45" i="3"/>
  <c r="L45" i="3"/>
  <c r="K45" i="3"/>
  <c r="M44" i="3"/>
  <c r="L44" i="3"/>
  <c r="K44" i="3"/>
  <c r="M43" i="3"/>
  <c r="L43" i="3"/>
  <c r="K43" i="3"/>
  <c r="M42" i="3"/>
  <c r="L42" i="3"/>
  <c r="K42" i="3"/>
  <c r="M41" i="3"/>
  <c r="L41" i="3"/>
  <c r="K41" i="3"/>
  <c r="M40" i="3"/>
  <c r="L40" i="3"/>
  <c r="K40" i="3"/>
  <c r="M39" i="3"/>
  <c r="L39" i="3"/>
  <c r="K39" i="3"/>
  <c r="M38" i="3"/>
  <c r="L38" i="3"/>
  <c r="K38" i="3"/>
  <c r="M36" i="3"/>
  <c r="L36" i="3"/>
  <c r="K36" i="3"/>
  <c r="M39" i="2"/>
  <c r="L39" i="2"/>
  <c r="K39" i="2"/>
  <c r="M38" i="2"/>
  <c r="L38" i="2"/>
  <c r="K38" i="2"/>
  <c r="M37" i="2"/>
  <c r="L37" i="2"/>
  <c r="K37" i="2"/>
  <c r="M36" i="2"/>
  <c r="L36" i="2"/>
  <c r="K36" i="2"/>
  <c r="M35" i="2"/>
  <c r="L35" i="2"/>
  <c r="K35" i="2"/>
  <c r="M34" i="2"/>
  <c r="L34" i="2"/>
  <c r="K34" i="2"/>
  <c r="M33" i="2"/>
  <c r="L33" i="2"/>
  <c r="K33" i="2"/>
  <c r="M32" i="2"/>
  <c r="L32" i="2"/>
  <c r="K32" i="2"/>
  <c r="M31" i="2"/>
  <c r="L31" i="2"/>
  <c r="K31" i="2"/>
  <c r="M30" i="2"/>
  <c r="L30" i="2"/>
  <c r="K30" i="2"/>
  <c r="M29" i="2"/>
  <c r="L29" i="2"/>
  <c r="K29" i="2"/>
  <c r="M28" i="2"/>
  <c r="L28" i="2"/>
  <c r="K28" i="2"/>
  <c r="M27" i="2"/>
  <c r="L27" i="2"/>
  <c r="K27" i="2"/>
  <c r="M26" i="2"/>
  <c r="L26" i="2"/>
  <c r="K26" i="2"/>
  <c r="M25" i="2"/>
  <c r="L25" i="2"/>
  <c r="K25" i="2"/>
  <c r="M24" i="2"/>
  <c r="L24" i="2"/>
  <c r="K24" i="2"/>
  <c r="M23" i="2"/>
  <c r="L23" i="2"/>
  <c r="K23" i="2"/>
  <c r="M22" i="2"/>
  <c r="L22" i="2"/>
  <c r="K22" i="2"/>
  <c r="M21" i="2"/>
  <c r="L21" i="2"/>
  <c r="K21" i="2"/>
  <c r="M20" i="2"/>
  <c r="L20" i="2"/>
  <c r="K20" i="2"/>
  <c r="M19" i="2"/>
  <c r="L19" i="2"/>
  <c r="K19" i="2"/>
  <c r="M18" i="2"/>
  <c r="L18" i="2"/>
  <c r="K18" i="2"/>
  <c r="M17" i="2"/>
  <c r="L17" i="2"/>
  <c r="K17" i="2"/>
  <c r="M16" i="2"/>
  <c r="L16" i="2"/>
  <c r="K16" i="2"/>
  <c r="M15" i="2"/>
  <c r="L15" i="2"/>
  <c r="K15" i="2"/>
  <c r="M14" i="2"/>
  <c r="L14" i="2"/>
  <c r="K14" i="2"/>
  <c r="M13" i="2"/>
  <c r="L13" i="2"/>
  <c r="K13" i="2"/>
  <c r="M12" i="2"/>
  <c r="L12" i="2"/>
  <c r="K12" i="2"/>
  <c r="M11" i="2"/>
  <c r="L11" i="2"/>
  <c r="K11" i="2"/>
  <c r="M10" i="2"/>
  <c r="L10" i="2"/>
  <c r="K10" i="2"/>
  <c r="M9" i="2"/>
  <c r="L9" i="2"/>
  <c r="K9" i="2"/>
  <c r="M8" i="2"/>
  <c r="L8" i="2"/>
  <c r="M55" i="2"/>
  <c r="L55" i="2"/>
  <c r="K55" i="2"/>
  <c r="M54" i="2"/>
  <c r="L54" i="2"/>
  <c r="K54" i="2"/>
  <c r="M53" i="2"/>
  <c r="L53" i="2"/>
  <c r="K53" i="2"/>
  <c r="M52" i="2"/>
  <c r="L52" i="2"/>
  <c r="K52" i="2"/>
  <c r="M51" i="2"/>
  <c r="L51" i="2"/>
  <c r="K51" i="2"/>
  <c r="M50" i="2"/>
  <c r="L50" i="2"/>
  <c r="K50" i="2"/>
  <c r="M49" i="2"/>
  <c r="L49" i="2"/>
  <c r="K49" i="2"/>
  <c r="M48" i="2"/>
  <c r="L48" i="2"/>
  <c r="K48" i="2"/>
  <c r="M47" i="2"/>
  <c r="L47" i="2"/>
  <c r="K47" i="2"/>
  <c r="M46" i="2"/>
  <c r="L46" i="2"/>
  <c r="K46" i="2"/>
  <c r="M45" i="2"/>
  <c r="L45" i="2"/>
  <c r="K45" i="2"/>
  <c r="M44" i="2"/>
  <c r="L44" i="2"/>
  <c r="K44" i="2"/>
  <c r="M43" i="2"/>
  <c r="L43" i="2"/>
  <c r="K43" i="2"/>
  <c r="M42" i="2"/>
  <c r="L42" i="2"/>
  <c r="K42" i="2"/>
  <c r="M41" i="2"/>
  <c r="L41" i="2"/>
  <c r="K41" i="2"/>
  <c r="M40" i="2"/>
  <c r="L40" i="2"/>
  <c r="K40" i="2"/>
  <c r="M63" i="2"/>
  <c r="L63" i="2"/>
  <c r="K63" i="2"/>
  <c r="M62" i="2"/>
  <c r="L62" i="2"/>
  <c r="K62" i="2"/>
  <c r="M61" i="2"/>
  <c r="L61" i="2"/>
  <c r="K61" i="2"/>
  <c r="M60" i="2"/>
  <c r="L60" i="2"/>
  <c r="K60" i="2"/>
  <c r="M59" i="2"/>
  <c r="L59" i="2"/>
  <c r="K59" i="2"/>
  <c r="M58" i="2"/>
  <c r="L58" i="2"/>
  <c r="K58" i="2"/>
  <c r="M57" i="2"/>
  <c r="L57" i="2"/>
  <c r="K57" i="2"/>
  <c r="M56" i="2"/>
  <c r="L56" i="2"/>
  <c r="K56" i="2"/>
  <c r="E15" i="1"/>
  <c r="U147" i="1" s="1"/>
  <c r="M41" i="1"/>
  <c r="L41" i="1"/>
  <c r="K41" i="1"/>
  <c r="M26" i="1"/>
  <c r="L26" i="1"/>
  <c r="K26" i="1"/>
  <c r="M21" i="1"/>
  <c r="L21" i="1"/>
  <c r="K21" i="1"/>
  <c r="K8" i="1"/>
  <c r="L8" i="1"/>
  <c r="M8" i="1"/>
  <c r="K9" i="1"/>
  <c r="L9" i="1"/>
  <c r="M9" i="1"/>
  <c r="K10" i="1"/>
  <c r="L10" i="1"/>
  <c r="M10" i="1"/>
  <c r="L11" i="1"/>
  <c r="M11" i="1"/>
  <c r="K12" i="1"/>
  <c r="L12" i="1"/>
  <c r="M12" i="1"/>
  <c r="K13" i="1"/>
  <c r="L13" i="1"/>
  <c r="M13" i="1"/>
  <c r="K14" i="1"/>
  <c r="L14" i="1"/>
  <c r="M14" i="1"/>
  <c r="K15" i="1"/>
  <c r="L15" i="1"/>
  <c r="M15" i="1"/>
  <c r="K16" i="1"/>
  <c r="L16" i="1"/>
  <c r="M16" i="1"/>
  <c r="K17" i="1"/>
  <c r="L17" i="1"/>
  <c r="M17" i="1"/>
  <c r="K18" i="1"/>
  <c r="L18" i="1"/>
  <c r="M18" i="1"/>
  <c r="K19" i="1"/>
  <c r="L19" i="1"/>
  <c r="M19" i="1"/>
  <c r="K20" i="1"/>
  <c r="L20" i="1"/>
  <c r="M20" i="1"/>
  <c r="K22" i="1"/>
  <c r="L22" i="1"/>
  <c r="M22" i="1"/>
  <c r="K23" i="1"/>
  <c r="L23" i="1"/>
  <c r="M23" i="1"/>
  <c r="K24" i="1"/>
  <c r="L24" i="1"/>
  <c r="M24" i="1"/>
  <c r="K25" i="1"/>
  <c r="L25" i="1"/>
  <c r="M25" i="1"/>
  <c r="K27" i="1"/>
  <c r="L27" i="1"/>
  <c r="M27" i="1"/>
  <c r="K28" i="1"/>
  <c r="L28" i="1"/>
  <c r="M28" i="1"/>
  <c r="L29" i="1"/>
  <c r="M29" i="1"/>
  <c r="K30" i="1"/>
  <c r="L30" i="1"/>
  <c r="M30" i="1"/>
  <c r="K31" i="1"/>
  <c r="L31" i="1"/>
  <c r="M31" i="1"/>
  <c r="K32" i="1"/>
  <c r="L32" i="1"/>
  <c r="M32" i="1"/>
  <c r="K33" i="1"/>
  <c r="L33" i="1"/>
  <c r="M33" i="1"/>
  <c r="K34" i="1"/>
  <c r="L34" i="1"/>
  <c r="M34" i="1"/>
  <c r="K35" i="1"/>
  <c r="L35" i="1"/>
  <c r="M35" i="1"/>
  <c r="K36" i="1"/>
  <c r="L36" i="1"/>
  <c r="M36" i="1"/>
  <c r="K37" i="1"/>
  <c r="L37" i="1"/>
  <c r="M37" i="1"/>
  <c r="K38" i="1"/>
  <c r="L38" i="1"/>
  <c r="M38" i="1"/>
  <c r="K39" i="1"/>
  <c r="L39" i="1"/>
  <c r="M39" i="1"/>
  <c r="K40" i="1"/>
  <c r="L40" i="1"/>
  <c r="M40" i="1"/>
  <c r="K42" i="1"/>
  <c r="L42" i="1"/>
  <c r="M42" i="1"/>
  <c r="K43" i="1"/>
  <c r="L43" i="1"/>
  <c r="M43" i="1"/>
  <c r="K44" i="1"/>
  <c r="L44" i="1"/>
  <c r="M44" i="1"/>
  <c r="K45" i="1"/>
  <c r="L45" i="1"/>
  <c r="M45" i="1"/>
  <c r="K46" i="1"/>
  <c r="L46" i="1"/>
  <c r="M46" i="1"/>
  <c r="K47" i="1"/>
  <c r="L47" i="1"/>
  <c r="M47" i="1"/>
  <c r="K48" i="1"/>
  <c r="L48" i="1"/>
  <c r="M48" i="1"/>
  <c r="K49" i="1"/>
  <c r="L49" i="1"/>
  <c r="M49" i="1"/>
  <c r="K50" i="1"/>
  <c r="L50" i="1"/>
  <c r="M50" i="1"/>
  <c r="K51" i="1"/>
  <c r="L51" i="1"/>
  <c r="M51" i="1"/>
  <c r="K52" i="1"/>
  <c r="L52" i="1"/>
  <c r="M52" i="1"/>
  <c r="K53" i="1"/>
  <c r="L53" i="1"/>
  <c r="M53" i="1"/>
  <c r="K54" i="1"/>
  <c r="L54" i="1"/>
  <c r="M54" i="1"/>
  <c r="K55" i="1"/>
  <c r="L55" i="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M69" i="1"/>
  <c r="K70" i="1"/>
  <c r="L70" i="1"/>
  <c r="M70" i="1"/>
  <c r="E39" i="1"/>
  <c r="T158" i="1" s="1"/>
  <c r="E37" i="1"/>
  <c r="S157" i="1" s="1"/>
  <c r="E31" i="1"/>
  <c r="S154" i="1" s="1"/>
  <c r="E29" i="1"/>
  <c r="E24" i="1"/>
  <c r="S151" i="1" s="1"/>
  <c r="E19" i="1"/>
  <c r="E13" i="1"/>
  <c r="S146" i="1" s="1"/>
  <c r="E11" i="1"/>
  <c r="S145" i="1" s="1"/>
  <c r="E70" i="1"/>
  <c r="T173" i="1" s="1"/>
  <c r="E66" i="1"/>
  <c r="E64" i="1"/>
  <c r="E62" i="1"/>
  <c r="E58" i="1"/>
  <c r="T167" i="1" s="1"/>
  <c r="E56" i="1"/>
  <c r="E54" i="1"/>
  <c r="T165" i="1" s="1"/>
  <c r="E50" i="1"/>
  <c r="T163" i="1" s="1"/>
  <c r="E48" i="1"/>
  <c r="S162" i="1" s="1"/>
  <c r="J191" i="2"/>
  <c r="L191" i="2"/>
  <c r="H191" i="2"/>
  <c r="L127" i="13"/>
  <c r="M127" i="13"/>
  <c r="K127" i="13"/>
  <c r="K119" i="13"/>
  <c r="H189" i="2"/>
  <c r="M116" i="14"/>
  <c r="M117" i="14"/>
  <c r="L117" i="14"/>
  <c r="L116" i="14"/>
  <c r="K116" i="14"/>
  <c r="K117" i="14"/>
  <c r="M124" i="15"/>
  <c r="M122" i="15"/>
  <c r="L124" i="15"/>
  <c r="K124" i="15"/>
  <c r="K122" i="15"/>
  <c r="L122" i="15" s="1"/>
  <c r="M120" i="8"/>
  <c r="M121" i="8"/>
  <c r="L120" i="8"/>
  <c r="L121" i="8"/>
  <c r="K120" i="8"/>
  <c r="K121" i="8"/>
  <c r="L113" i="7"/>
  <c r="M113" i="7"/>
  <c r="L114" i="7"/>
  <c r="M114" i="7"/>
  <c r="K113" i="7"/>
  <c r="K114" i="7"/>
  <c r="K84" i="6"/>
  <c r="L84" i="6"/>
  <c r="M84" i="6"/>
  <c r="K83" i="6"/>
  <c r="L83" i="6"/>
  <c r="M83" i="6"/>
  <c r="K82" i="6"/>
  <c r="L82" i="6"/>
  <c r="M82" i="6"/>
  <c r="M115" i="5"/>
  <c r="L115" i="5"/>
  <c r="K115" i="5"/>
  <c r="M114" i="5"/>
  <c r="L114" i="5"/>
  <c r="K114" i="5"/>
  <c r="M118" i="3"/>
  <c r="M119" i="3"/>
  <c r="L118" i="3"/>
  <c r="L119" i="3"/>
  <c r="K118" i="3"/>
  <c r="K119" i="3"/>
  <c r="K112" i="2"/>
  <c r="L112" i="2"/>
  <c r="M112" i="2"/>
  <c r="K113" i="2"/>
  <c r="L113" i="2"/>
  <c r="M113" i="2"/>
  <c r="L117" i="1"/>
  <c r="M117" i="1"/>
  <c r="K116" i="1"/>
  <c r="L116" i="1"/>
  <c r="M116" i="1"/>
  <c r="K113" i="3"/>
  <c r="K81" i="6"/>
  <c r="L81" i="6"/>
  <c r="M81" i="6"/>
  <c r="K79" i="6"/>
  <c r="L79" i="6"/>
  <c r="M79" i="6"/>
  <c r="M123" i="13"/>
  <c r="L123" i="13"/>
  <c r="K123" i="13"/>
  <c r="M115" i="14"/>
  <c r="L115" i="14"/>
  <c r="K115" i="14"/>
  <c r="M114" i="14"/>
  <c r="L114" i="14"/>
  <c r="K114" i="14"/>
  <c r="M121" i="15"/>
  <c r="K121" i="15"/>
  <c r="L121" i="15" s="1"/>
  <c r="M120" i="15"/>
  <c r="K120" i="15"/>
  <c r="K119" i="8"/>
  <c r="L119" i="8"/>
  <c r="M119" i="8"/>
  <c r="M118" i="8"/>
  <c r="L118" i="8"/>
  <c r="K118" i="8"/>
  <c r="K112" i="7"/>
  <c r="L112" i="7"/>
  <c r="M112" i="7"/>
  <c r="M111" i="7"/>
  <c r="L111" i="7"/>
  <c r="K111" i="7"/>
  <c r="M113" i="5"/>
  <c r="L113" i="5"/>
  <c r="M112" i="5"/>
  <c r="L112" i="5"/>
  <c r="K113" i="5"/>
  <c r="K112" i="5"/>
  <c r="K117" i="3"/>
  <c r="L117" i="3"/>
  <c r="M117" i="3"/>
  <c r="M116" i="3"/>
  <c r="L116" i="3"/>
  <c r="K116" i="3"/>
  <c r="L190" i="2"/>
  <c r="J190" i="2"/>
  <c r="M111" i="2"/>
  <c r="M110" i="2"/>
  <c r="L111" i="2"/>
  <c r="L110" i="2"/>
  <c r="K111" i="2"/>
  <c r="K110" i="2"/>
  <c r="M115" i="1"/>
  <c r="M114" i="1"/>
  <c r="L115" i="1"/>
  <c r="L114" i="1"/>
  <c r="K115" i="1"/>
  <c r="K114" i="1"/>
  <c r="E122" i="13"/>
  <c r="U206" i="13" s="1"/>
  <c r="K122" i="13"/>
  <c r="L122" i="13"/>
  <c r="M122" i="13"/>
  <c r="K121" i="13"/>
  <c r="L121" i="13"/>
  <c r="M121" i="13"/>
  <c r="K113" i="14"/>
  <c r="L113" i="14"/>
  <c r="M113" i="14"/>
  <c r="K112" i="14"/>
  <c r="L112" i="14"/>
  <c r="M112" i="14"/>
  <c r="E119" i="15"/>
  <c r="T207" i="15" s="1"/>
  <c r="K119" i="15"/>
  <c r="L119" i="15" s="1"/>
  <c r="M119" i="15"/>
  <c r="K118" i="15"/>
  <c r="L118" i="15"/>
  <c r="M118" i="15"/>
  <c r="E117" i="8"/>
  <c r="K117" i="8"/>
  <c r="L117" i="8"/>
  <c r="M117" i="8"/>
  <c r="K116" i="8"/>
  <c r="L116" i="8"/>
  <c r="M116" i="8"/>
  <c r="K110" i="7"/>
  <c r="L110" i="7"/>
  <c r="M110" i="7"/>
  <c r="K109" i="7"/>
  <c r="L109" i="7"/>
  <c r="M109" i="7"/>
  <c r="K78" i="6"/>
  <c r="L78" i="6"/>
  <c r="M78" i="6"/>
  <c r="K77" i="6"/>
  <c r="L77" i="6"/>
  <c r="M77" i="6"/>
  <c r="E78" i="6"/>
  <c r="T143" i="6" s="1"/>
  <c r="K111" i="5"/>
  <c r="L111" i="5"/>
  <c r="M111" i="5"/>
  <c r="K110" i="5"/>
  <c r="L110" i="5"/>
  <c r="M110" i="5"/>
  <c r="K115" i="3"/>
  <c r="L115" i="3"/>
  <c r="M115" i="3"/>
  <c r="K114" i="3"/>
  <c r="L114" i="3"/>
  <c r="M114" i="3"/>
  <c r="E115" i="3"/>
  <c r="L189" i="2"/>
  <c r="J189" i="2"/>
  <c r="H188" i="2"/>
  <c r="K109" i="2"/>
  <c r="L109" i="2"/>
  <c r="M109" i="2"/>
  <c r="K108" i="2"/>
  <c r="L108" i="2"/>
  <c r="M108" i="2"/>
  <c r="L112" i="1"/>
  <c r="L113" i="1"/>
  <c r="E112" i="1"/>
  <c r="U194" i="1" s="1"/>
  <c r="L111" i="1"/>
  <c r="K113" i="1"/>
  <c r="K112" i="1"/>
  <c r="K111" i="1"/>
  <c r="M113" i="1"/>
  <c r="M112" i="1"/>
  <c r="M111" i="1"/>
  <c r="K76" i="6"/>
  <c r="L76" i="6"/>
  <c r="M76" i="6"/>
  <c r="K75" i="6"/>
  <c r="L75" i="6"/>
  <c r="M75" i="6"/>
  <c r="K111" i="14"/>
  <c r="M120" i="13"/>
  <c r="L120" i="13"/>
  <c r="K120" i="13"/>
  <c r="M111" i="14"/>
  <c r="L111" i="14"/>
  <c r="K116" i="15"/>
  <c r="L116" i="15"/>
  <c r="M116" i="15"/>
  <c r="K109" i="5"/>
  <c r="K112" i="3"/>
  <c r="L188" i="2"/>
  <c r="J188" i="2"/>
  <c r="L119" i="13"/>
  <c r="M119" i="13"/>
  <c r="K110" i="14"/>
  <c r="L110" i="14"/>
  <c r="M110" i="14"/>
  <c r="K117" i="15"/>
  <c r="L117" i="15"/>
  <c r="M117" i="15"/>
  <c r="K115" i="15"/>
  <c r="L115" i="15"/>
  <c r="M115" i="15"/>
  <c r="K115" i="8"/>
  <c r="L115" i="8"/>
  <c r="M115" i="8"/>
  <c r="K114" i="8"/>
  <c r="L114" i="8"/>
  <c r="M114" i="8"/>
  <c r="K108" i="7"/>
  <c r="L108" i="7"/>
  <c r="M108" i="7"/>
  <c r="K107" i="7"/>
  <c r="L107" i="7"/>
  <c r="M107" i="7"/>
  <c r="L109" i="5"/>
  <c r="M109" i="5"/>
  <c r="K108" i="5"/>
  <c r="L108" i="5"/>
  <c r="M108" i="5"/>
  <c r="L113" i="3"/>
  <c r="M113" i="3"/>
  <c r="L112" i="3"/>
  <c r="M112" i="3"/>
  <c r="K111" i="3"/>
  <c r="L111" i="3"/>
  <c r="M111" i="3"/>
  <c r="L106" i="2"/>
  <c r="K107" i="2"/>
  <c r="L107" i="2"/>
  <c r="M107" i="2"/>
  <c r="K106" i="2"/>
  <c r="M106" i="2"/>
  <c r="K110" i="1"/>
  <c r="L110" i="1"/>
  <c r="M110" i="1"/>
  <c r="M109" i="1"/>
  <c r="L109" i="1"/>
  <c r="K109" i="1"/>
  <c r="M108" i="1"/>
  <c r="L108" i="1"/>
  <c r="K108" i="1"/>
  <c r="K118" i="13"/>
  <c r="L118" i="13"/>
  <c r="M118" i="13"/>
  <c r="K117" i="13"/>
  <c r="L117" i="13"/>
  <c r="M117" i="13"/>
  <c r="K109" i="14"/>
  <c r="L109" i="14"/>
  <c r="M109" i="14"/>
  <c r="K108" i="14"/>
  <c r="L108" i="14"/>
  <c r="M108" i="14"/>
  <c r="K114" i="15"/>
  <c r="L114" i="15"/>
  <c r="M114" i="15"/>
  <c r="K113" i="15"/>
  <c r="L113" i="15"/>
  <c r="M113" i="15"/>
  <c r="K113" i="8"/>
  <c r="L113" i="8"/>
  <c r="M113" i="8"/>
  <c r="K112" i="8"/>
  <c r="L112" i="8"/>
  <c r="M112" i="8"/>
  <c r="K106" i="7"/>
  <c r="L106" i="7"/>
  <c r="M106" i="7"/>
  <c r="K105" i="7"/>
  <c r="L105" i="7"/>
  <c r="M105" i="7"/>
  <c r="K74" i="6"/>
  <c r="L74" i="6"/>
  <c r="M74" i="6"/>
  <c r="K73" i="6"/>
  <c r="L73" i="6"/>
  <c r="M73" i="6"/>
  <c r="M106" i="5"/>
  <c r="M107" i="5"/>
  <c r="L106" i="5"/>
  <c r="L107" i="5"/>
  <c r="K106" i="5"/>
  <c r="K107" i="5"/>
  <c r="M110" i="3"/>
  <c r="L110" i="3"/>
  <c r="K110" i="3"/>
  <c r="J109" i="3"/>
  <c r="K108" i="3"/>
  <c r="L108" i="3"/>
  <c r="M108" i="3"/>
  <c r="K105" i="2"/>
  <c r="L105" i="2"/>
  <c r="M105" i="2"/>
  <c r="K104" i="2"/>
  <c r="L104" i="2"/>
  <c r="M104" i="2"/>
  <c r="K107" i="1"/>
  <c r="L107" i="1"/>
  <c r="M107" i="1"/>
  <c r="K72" i="6"/>
  <c r="L72" i="6"/>
  <c r="M72" i="6"/>
  <c r="K71" i="6"/>
  <c r="L71" i="6"/>
  <c r="M71" i="6"/>
  <c r="E103" i="7"/>
  <c r="S186" i="7" s="1"/>
  <c r="J186" i="2"/>
  <c r="E115" i="13"/>
  <c r="K115" i="13"/>
  <c r="L115" i="13"/>
  <c r="M115" i="13"/>
  <c r="K116" i="13"/>
  <c r="L116" i="13"/>
  <c r="M116" i="13"/>
  <c r="K106" i="14"/>
  <c r="L106" i="14"/>
  <c r="M106" i="14"/>
  <c r="K107" i="14"/>
  <c r="L107" i="14"/>
  <c r="M107" i="14"/>
  <c r="K110" i="15"/>
  <c r="L110" i="15"/>
  <c r="M110" i="15"/>
  <c r="K112" i="15"/>
  <c r="L112" i="15"/>
  <c r="M112" i="15"/>
  <c r="E111" i="8"/>
  <c r="K110" i="8"/>
  <c r="L110" i="8"/>
  <c r="M110" i="8"/>
  <c r="K111" i="8"/>
  <c r="L111" i="8"/>
  <c r="M111" i="8"/>
  <c r="K103" i="7"/>
  <c r="L103" i="7"/>
  <c r="M103" i="7"/>
  <c r="K104" i="7"/>
  <c r="L104" i="7"/>
  <c r="M104" i="7"/>
  <c r="K104" i="5"/>
  <c r="L104" i="5"/>
  <c r="M104" i="5"/>
  <c r="E105" i="5"/>
  <c r="K105" i="5"/>
  <c r="L105" i="5"/>
  <c r="M105" i="5"/>
  <c r="K106" i="3"/>
  <c r="L106" i="3"/>
  <c r="M106" i="3"/>
  <c r="K107" i="3"/>
  <c r="L107" i="3"/>
  <c r="M107" i="3"/>
  <c r="L186" i="2"/>
  <c r="K103" i="2"/>
  <c r="L103" i="2"/>
  <c r="M103" i="2"/>
  <c r="K102" i="2"/>
  <c r="L102" i="2"/>
  <c r="M102" i="2"/>
  <c r="E106" i="1"/>
  <c r="T191" i="1" s="1"/>
  <c r="K105" i="1"/>
  <c r="L105" i="1"/>
  <c r="M105" i="1"/>
  <c r="K106" i="1"/>
  <c r="L106" i="1"/>
  <c r="M106" i="1"/>
  <c r="E103" i="5"/>
  <c r="U186" i="5" s="1"/>
  <c r="K113" i="13"/>
  <c r="L113" i="13"/>
  <c r="M113" i="13"/>
  <c r="K114" i="13"/>
  <c r="L114" i="13"/>
  <c r="M114" i="13"/>
  <c r="K104" i="14"/>
  <c r="L104" i="14"/>
  <c r="M104" i="14"/>
  <c r="K105" i="14"/>
  <c r="L105" i="14"/>
  <c r="M105" i="14"/>
  <c r="K108" i="15"/>
  <c r="L108" i="15"/>
  <c r="M108" i="15"/>
  <c r="K109" i="15"/>
  <c r="L109" i="15"/>
  <c r="M109" i="15"/>
  <c r="K108" i="8"/>
  <c r="L108" i="8"/>
  <c r="M108" i="8"/>
  <c r="K109" i="8"/>
  <c r="L109" i="8"/>
  <c r="M109" i="8"/>
  <c r="K101" i="7"/>
  <c r="L101" i="7"/>
  <c r="M101" i="7"/>
  <c r="K102" i="7"/>
  <c r="L102" i="7"/>
  <c r="M102" i="7"/>
  <c r="K68" i="6"/>
  <c r="L68" i="6"/>
  <c r="M68" i="6"/>
  <c r="K70" i="6"/>
  <c r="L70" i="6"/>
  <c r="M70" i="6"/>
  <c r="K66" i="6"/>
  <c r="L66" i="6"/>
  <c r="M66" i="6"/>
  <c r="M103" i="5"/>
  <c r="L103" i="5"/>
  <c r="K103" i="5"/>
  <c r="L104" i="3"/>
  <c r="M104" i="3"/>
  <c r="K105" i="3"/>
  <c r="L105" i="3"/>
  <c r="M105" i="3"/>
  <c r="E105" i="3"/>
  <c r="T192" i="3" s="1"/>
  <c r="E107" i="3"/>
  <c r="J185" i="2"/>
  <c r="L185" i="2"/>
  <c r="K100" i="2"/>
  <c r="L100" i="2"/>
  <c r="M100" i="2"/>
  <c r="K101" i="2"/>
  <c r="L101" i="2"/>
  <c r="M101" i="2"/>
  <c r="K99" i="1"/>
  <c r="L99" i="1"/>
  <c r="M99" i="1"/>
  <c r="K100" i="1"/>
  <c r="L100" i="1"/>
  <c r="M100" i="1"/>
  <c r="K101" i="1"/>
  <c r="L101" i="1"/>
  <c r="M101" i="1"/>
  <c r="K102" i="1"/>
  <c r="L102" i="1"/>
  <c r="M102" i="1"/>
  <c r="K103" i="1"/>
  <c r="L103" i="1"/>
  <c r="M103" i="1"/>
  <c r="K104" i="1"/>
  <c r="L104" i="1"/>
  <c r="M104" i="1"/>
  <c r="K98" i="2"/>
  <c r="B184" i="2" s="1"/>
  <c r="L98" i="2"/>
  <c r="C184" i="2" s="1"/>
  <c r="M98" i="2"/>
  <c r="K111" i="13"/>
  <c r="L111" i="13"/>
  <c r="M111" i="13"/>
  <c r="K112" i="13"/>
  <c r="L112" i="13"/>
  <c r="M112" i="13"/>
  <c r="K102" i="14"/>
  <c r="L102" i="14"/>
  <c r="M102" i="14"/>
  <c r="K103" i="14"/>
  <c r="L103" i="14"/>
  <c r="M103" i="14"/>
  <c r="K107" i="15"/>
  <c r="L107" i="15"/>
  <c r="M107" i="15"/>
  <c r="K106" i="15"/>
  <c r="L106" i="15"/>
  <c r="M106" i="15"/>
  <c r="E107" i="15"/>
  <c r="K107" i="8"/>
  <c r="L107" i="8"/>
  <c r="M107" i="8"/>
  <c r="K106" i="8"/>
  <c r="L106" i="8"/>
  <c r="M106" i="8"/>
  <c r="E107" i="8"/>
  <c r="K100" i="7"/>
  <c r="L100" i="7"/>
  <c r="M100" i="7"/>
  <c r="K99" i="7"/>
  <c r="L99" i="7"/>
  <c r="M99" i="7"/>
  <c r="E100" i="7"/>
  <c r="U184" i="7" s="1"/>
  <c r="K100" i="5"/>
  <c r="L100" i="5"/>
  <c r="M100" i="5"/>
  <c r="K102" i="3"/>
  <c r="L102" i="3"/>
  <c r="M102" i="3"/>
  <c r="K103" i="3"/>
  <c r="L103" i="3"/>
  <c r="M103" i="3"/>
  <c r="E103" i="3"/>
  <c r="T191" i="3" s="1"/>
  <c r="K91" i="3"/>
  <c r="E98" i="1"/>
  <c r="E96" i="1"/>
  <c r="S186" i="1" s="1"/>
  <c r="E94" i="1"/>
  <c r="S185" i="1" s="1"/>
  <c r="E90" i="1"/>
  <c r="T183" i="1" s="1"/>
  <c r="E88" i="1"/>
  <c r="S182" i="1" s="1"/>
  <c r="E86" i="1"/>
  <c r="E82" i="1"/>
  <c r="E80" i="1"/>
  <c r="T178" i="1" s="1"/>
  <c r="E78" i="1"/>
  <c r="S177" i="1" s="1"/>
  <c r="E74" i="1"/>
  <c r="E72" i="1"/>
  <c r="U174" i="1" s="1"/>
  <c r="K89" i="1"/>
  <c r="K90" i="1"/>
  <c r="L89" i="1"/>
  <c r="L90" i="1"/>
  <c r="M89" i="1"/>
  <c r="M90" i="1"/>
  <c r="K97" i="1"/>
  <c r="K98" i="1"/>
  <c r="L97" i="1"/>
  <c r="L98" i="1"/>
  <c r="M97" i="1"/>
  <c r="M98" i="1"/>
  <c r="K95" i="1"/>
  <c r="K96" i="1"/>
  <c r="L95" i="1"/>
  <c r="L96" i="1"/>
  <c r="M95" i="1"/>
  <c r="M96" i="1"/>
  <c r="K93" i="1"/>
  <c r="K94" i="1"/>
  <c r="L93" i="1"/>
  <c r="L94" i="1"/>
  <c r="M93" i="1"/>
  <c r="M94" i="1"/>
  <c r="K91" i="1"/>
  <c r="K92" i="1"/>
  <c r="L91" i="1"/>
  <c r="L92" i="1"/>
  <c r="M91" i="1"/>
  <c r="M92" i="1"/>
  <c r="K87" i="1"/>
  <c r="K88" i="1"/>
  <c r="L87" i="1"/>
  <c r="L88" i="1"/>
  <c r="M87" i="1"/>
  <c r="M88" i="1"/>
  <c r="K85" i="1"/>
  <c r="K86" i="1"/>
  <c r="L85" i="1"/>
  <c r="L86" i="1"/>
  <c r="M85" i="1"/>
  <c r="M86" i="1"/>
  <c r="K83" i="1"/>
  <c r="K84" i="1"/>
  <c r="L83" i="1"/>
  <c r="L84" i="1"/>
  <c r="M83" i="1"/>
  <c r="M84" i="1"/>
  <c r="K81" i="1"/>
  <c r="K82" i="1"/>
  <c r="L81" i="1"/>
  <c r="L82" i="1"/>
  <c r="M81" i="1"/>
  <c r="M82" i="1"/>
  <c r="K79" i="1"/>
  <c r="K80" i="1"/>
  <c r="L79" i="1"/>
  <c r="L80" i="1"/>
  <c r="M79" i="1"/>
  <c r="M80" i="1"/>
  <c r="K77" i="1"/>
  <c r="K78" i="1"/>
  <c r="L77" i="1"/>
  <c r="L78" i="1"/>
  <c r="M77" i="1"/>
  <c r="M78" i="1"/>
  <c r="K75" i="1"/>
  <c r="K76" i="1"/>
  <c r="L75" i="1"/>
  <c r="L76" i="1"/>
  <c r="M75" i="1"/>
  <c r="M76" i="1"/>
  <c r="K73" i="1"/>
  <c r="K74" i="1"/>
  <c r="L73" i="1"/>
  <c r="L74" i="1"/>
  <c r="M73" i="1"/>
  <c r="M74" i="1"/>
  <c r="K71" i="1"/>
  <c r="K72" i="1"/>
  <c r="M71" i="1"/>
  <c r="M72" i="1"/>
  <c r="L71" i="1"/>
  <c r="L72" i="1"/>
  <c r="K96" i="2"/>
  <c r="K97" i="2"/>
  <c r="L96" i="2"/>
  <c r="L97" i="2"/>
  <c r="M96" i="2"/>
  <c r="M97" i="2"/>
  <c r="L182" i="2"/>
  <c r="K94" i="2"/>
  <c r="K95" i="2"/>
  <c r="L94" i="2"/>
  <c r="L95" i="2"/>
  <c r="M94" i="2"/>
  <c r="M95" i="2"/>
  <c r="H181" i="2"/>
  <c r="K92" i="2"/>
  <c r="K93" i="2"/>
  <c r="L92" i="2"/>
  <c r="L93" i="2"/>
  <c r="M92" i="2"/>
  <c r="M93" i="2"/>
  <c r="L180" i="2"/>
  <c r="K90" i="2"/>
  <c r="K91" i="2"/>
  <c r="L90" i="2"/>
  <c r="L91" i="2"/>
  <c r="M90" i="2"/>
  <c r="M91" i="2"/>
  <c r="K88" i="2"/>
  <c r="K89" i="2"/>
  <c r="L88" i="2"/>
  <c r="L89" i="2"/>
  <c r="M88" i="2"/>
  <c r="M89" i="2"/>
  <c r="J178" i="2"/>
  <c r="K86" i="2"/>
  <c r="K87" i="2"/>
  <c r="L86" i="2"/>
  <c r="L87" i="2"/>
  <c r="M86" i="2"/>
  <c r="M87" i="2"/>
  <c r="L177" i="2"/>
  <c r="H177" i="2"/>
  <c r="K84" i="2"/>
  <c r="K85" i="2"/>
  <c r="L84" i="2"/>
  <c r="L85" i="2"/>
  <c r="M84" i="2"/>
  <c r="M85" i="2"/>
  <c r="H176" i="2"/>
  <c r="J176" i="2"/>
  <c r="K82" i="2"/>
  <c r="K83" i="2"/>
  <c r="L82" i="2"/>
  <c r="L83" i="2"/>
  <c r="M82" i="2"/>
  <c r="M83" i="2"/>
  <c r="K80" i="2"/>
  <c r="K81" i="2"/>
  <c r="L80" i="2"/>
  <c r="L81" i="2"/>
  <c r="M80" i="2"/>
  <c r="M81" i="2"/>
  <c r="L174" i="2"/>
  <c r="K78" i="2"/>
  <c r="K79" i="2"/>
  <c r="L78" i="2"/>
  <c r="L79" i="2"/>
  <c r="M78" i="2"/>
  <c r="M79" i="2"/>
  <c r="J173" i="2"/>
  <c r="H173" i="2"/>
  <c r="K76" i="2"/>
  <c r="K77" i="2"/>
  <c r="L76" i="2"/>
  <c r="L77" i="2"/>
  <c r="M76" i="2"/>
  <c r="M77" i="2"/>
  <c r="J172" i="2"/>
  <c r="K74" i="2"/>
  <c r="K75" i="2"/>
  <c r="L74" i="2"/>
  <c r="L75" i="2"/>
  <c r="M74" i="2"/>
  <c r="M75" i="2"/>
  <c r="K72" i="2"/>
  <c r="K73" i="2"/>
  <c r="L72" i="2"/>
  <c r="L73" i="2"/>
  <c r="M72" i="2"/>
  <c r="M73" i="2"/>
  <c r="H170" i="2"/>
  <c r="J170" i="2"/>
  <c r="K70" i="2"/>
  <c r="K71" i="2"/>
  <c r="L70" i="2"/>
  <c r="L71" i="2"/>
  <c r="M70" i="2"/>
  <c r="M71" i="2"/>
  <c r="K69" i="2"/>
  <c r="B169" i="2" s="1"/>
  <c r="M69" i="2"/>
  <c r="D169" i="2" s="1"/>
  <c r="L69" i="2"/>
  <c r="M67" i="2"/>
  <c r="L67" i="2"/>
  <c r="K67" i="2"/>
  <c r="M66" i="2"/>
  <c r="L66" i="2"/>
  <c r="K66" i="2"/>
  <c r="M65" i="2"/>
  <c r="L65" i="2"/>
  <c r="K65" i="2"/>
  <c r="M64" i="2"/>
  <c r="L64" i="2"/>
  <c r="K64" i="2"/>
  <c r="K100" i="3"/>
  <c r="K101" i="3"/>
  <c r="L101" i="3"/>
  <c r="M101" i="3"/>
  <c r="M100" i="3"/>
  <c r="L100" i="3"/>
  <c r="K98" i="3"/>
  <c r="K99" i="3"/>
  <c r="L99" i="3"/>
  <c r="M99" i="3"/>
  <c r="M98" i="3"/>
  <c r="L98" i="3"/>
  <c r="E97" i="3"/>
  <c r="T188" i="3" s="1"/>
  <c r="K96" i="3"/>
  <c r="K97" i="3"/>
  <c r="L96" i="3"/>
  <c r="L97" i="3"/>
  <c r="M96" i="3"/>
  <c r="M97" i="3"/>
  <c r="E95" i="3"/>
  <c r="S187" i="3" s="1"/>
  <c r="K94" i="3"/>
  <c r="K95" i="3"/>
  <c r="L94" i="3"/>
  <c r="L95" i="3"/>
  <c r="M94" i="3"/>
  <c r="M95" i="3"/>
  <c r="K92" i="3"/>
  <c r="K93" i="3"/>
  <c r="L92" i="3"/>
  <c r="L93" i="3"/>
  <c r="M92" i="3"/>
  <c r="M93" i="3"/>
  <c r="E91" i="3"/>
  <c r="U185" i="3" s="1"/>
  <c r="K90" i="3"/>
  <c r="L91" i="3"/>
  <c r="M91" i="3"/>
  <c r="M90" i="3"/>
  <c r="L90" i="3"/>
  <c r="E89" i="3"/>
  <c r="K88" i="3"/>
  <c r="K89" i="3"/>
  <c r="L88" i="3"/>
  <c r="L89" i="3"/>
  <c r="M88" i="3"/>
  <c r="M89" i="3"/>
  <c r="E87" i="3"/>
  <c r="K86" i="3"/>
  <c r="K87" i="3"/>
  <c r="L86" i="3"/>
  <c r="L87" i="3"/>
  <c r="M86" i="3"/>
  <c r="M87" i="3"/>
  <c r="K84" i="3"/>
  <c r="K85" i="3"/>
  <c r="L84" i="3"/>
  <c r="L85" i="3"/>
  <c r="M84" i="3"/>
  <c r="M85" i="3"/>
  <c r="E83" i="3"/>
  <c r="S181" i="3" s="1"/>
  <c r="K82" i="3"/>
  <c r="K83" i="3"/>
  <c r="L82" i="3"/>
  <c r="M82" i="3"/>
  <c r="M83" i="3"/>
  <c r="L83" i="3"/>
  <c r="E81" i="3"/>
  <c r="T180" i="3" s="1"/>
  <c r="K80" i="3"/>
  <c r="K81" i="3"/>
  <c r="L80" i="3"/>
  <c r="L81" i="3"/>
  <c r="M80" i="3"/>
  <c r="M81" i="3"/>
  <c r="E79" i="3"/>
  <c r="S179" i="3" s="1"/>
  <c r="K78" i="3"/>
  <c r="K79" i="3"/>
  <c r="L78" i="3"/>
  <c r="L79" i="3"/>
  <c r="M78" i="3"/>
  <c r="M79" i="3"/>
  <c r="K76" i="3"/>
  <c r="K77" i="3"/>
  <c r="L77" i="3"/>
  <c r="M77" i="3"/>
  <c r="M76" i="3"/>
  <c r="L76" i="3"/>
  <c r="E75" i="3"/>
  <c r="K74" i="3"/>
  <c r="K75" i="3"/>
  <c r="L75" i="3"/>
  <c r="M75" i="3"/>
  <c r="M74" i="3"/>
  <c r="L74" i="3"/>
  <c r="E73" i="3"/>
  <c r="K72" i="3"/>
  <c r="K73" i="3"/>
  <c r="L72" i="3"/>
  <c r="L73" i="3"/>
  <c r="M72" i="3"/>
  <c r="M73" i="3"/>
  <c r="E71" i="3"/>
  <c r="T175" i="3" s="1"/>
  <c r="K70" i="3"/>
  <c r="K71" i="3"/>
  <c r="L70" i="3"/>
  <c r="L71" i="3"/>
  <c r="M70" i="3"/>
  <c r="M71" i="3"/>
  <c r="K68" i="3"/>
  <c r="K69" i="3"/>
  <c r="M68" i="3"/>
  <c r="M69" i="3"/>
  <c r="L68" i="3"/>
  <c r="L69" i="3"/>
  <c r="M67" i="3"/>
  <c r="L67" i="3"/>
  <c r="K67" i="3"/>
  <c r="M66" i="3"/>
  <c r="L66" i="3"/>
  <c r="K66" i="3"/>
  <c r="M65" i="3"/>
  <c r="L65" i="3"/>
  <c r="K65" i="3"/>
  <c r="E65" i="3"/>
  <c r="U172" i="3" s="1"/>
  <c r="M64" i="3"/>
  <c r="L64" i="3"/>
  <c r="K64" i="3"/>
  <c r="K98" i="5"/>
  <c r="K99" i="5"/>
  <c r="L98" i="5"/>
  <c r="L99" i="5"/>
  <c r="M98" i="5"/>
  <c r="M99" i="5"/>
  <c r="E97" i="5"/>
  <c r="S183" i="5" s="1"/>
  <c r="K96" i="5"/>
  <c r="K97" i="5"/>
  <c r="L97" i="5"/>
  <c r="L96" i="5"/>
  <c r="M97" i="5"/>
  <c r="M96" i="5"/>
  <c r="E95" i="5"/>
  <c r="T182" i="5" s="1"/>
  <c r="K94" i="5"/>
  <c r="K95" i="5"/>
  <c r="L94" i="5"/>
  <c r="L95" i="5"/>
  <c r="M94" i="5"/>
  <c r="M95" i="5"/>
  <c r="E93" i="5"/>
  <c r="K92" i="5"/>
  <c r="K93" i="5"/>
  <c r="L92" i="5"/>
  <c r="L93" i="5"/>
  <c r="M92" i="5"/>
  <c r="M93" i="5"/>
  <c r="K90" i="5"/>
  <c r="K91" i="5"/>
  <c r="L91" i="5"/>
  <c r="L90" i="5"/>
  <c r="M91" i="5"/>
  <c r="M90" i="5"/>
  <c r="E89" i="5"/>
  <c r="K88" i="5"/>
  <c r="K89" i="5"/>
  <c r="L88" i="5"/>
  <c r="L89" i="5"/>
  <c r="M88" i="5"/>
  <c r="M89" i="5"/>
  <c r="E87" i="5"/>
  <c r="U178" i="5" s="1"/>
  <c r="K86" i="5"/>
  <c r="K87" i="5"/>
  <c r="L87" i="5"/>
  <c r="L86" i="5"/>
  <c r="M87" i="5"/>
  <c r="M86" i="5"/>
  <c r="K84" i="5"/>
  <c r="K85" i="5"/>
  <c r="L84" i="5"/>
  <c r="L85" i="5"/>
  <c r="M84" i="5"/>
  <c r="M85" i="5"/>
  <c r="K82" i="5"/>
  <c r="K83" i="5"/>
  <c r="L82" i="5"/>
  <c r="L83" i="5"/>
  <c r="M82" i="5"/>
  <c r="M83" i="5"/>
  <c r="E81" i="5"/>
  <c r="S175" i="5" s="1"/>
  <c r="K80" i="5"/>
  <c r="K81" i="5"/>
  <c r="L81" i="5"/>
  <c r="L80" i="5"/>
  <c r="M81" i="5"/>
  <c r="M80" i="5"/>
  <c r="E79" i="5"/>
  <c r="U174" i="5" s="1"/>
  <c r="K78" i="5"/>
  <c r="K79" i="5"/>
  <c r="L79" i="5"/>
  <c r="L78" i="5"/>
  <c r="M79" i="5"/>
  <c r="M78" i="5"/>
  <c r="K76" i="5"/>
  <c r="K77" i="5"/>
  <c r="L76" i="5"/>
  <c r="L77" i="5"/>
  <c r="M76" i="5"/>
  <c r="M77" i="5"/>
  <c r="K73" i="5"/>
  <c r="K74" i="5"/>
  <c r="L74" i="5"/>
  <c r="L73" i="5"/>
  <c r="M74" i="5"/>
  <c r="M73" i="5"/>
  <c r="E72" i="5"/>
  <c r="K71" i="5"/>
  <c r="K72" i="5"/>
  <c r="L71" i="5"/>
  <c r="L72" i="5"/>
  <c r="M71" i="5"/>
  <c r="M72" i="5"/>
  <c r="E70" i="5"/>
  <c r="D170" i="5" s="1"/>
  <c r="E68" i="5"/>
  <c r="K67" i="5"/>
  <c r="K68" i="5"/>
  <c r="M67" i="5"/>
  <c r="M68" i="5"/>
  <c r="L67" i="5"/>
  <c r="L68" i="5"/>
  <c r="K64" i="6"/>
  <c r="K65" i="6"/>
  <c r="L65" i="6"/>
  <c r="M65" i="6"/>
  <c r="M64" i="6"/>
  <c r="L64" i="6"/>
  <c r="E63" i="6"/>
  <c r="S136" i="6" s="1"/>
  <c r="K62" i="6"/>
  <c r="K63" i="6"/>
  <c r="L63" i="6"/>
  <c r="M63" i="6"/>
  <c r="M62" i="6"/>
  <c r="L62" i="6"/>
  <c r="E61" i="6"/>
  <c r="S135" i="6" s="1"/>
  <c r="K60" i="6"/>
  <c r="K61" i="6"/>
  <c r="L60" i="6"/>
  <c r="L61" i="6"/>
  <c r="M60" i="6"/>
  <c r="M61" i="6"/>
  <c r="E59" i="6"/>
  <c r="T134" i="6" s="1"/>
  <c r="K58" i="6"/>
  <c r="K59" i="6"/>
  <c r="L58" i="6"/>
  <c r="L59" i="6"/>
  <c r="M58" i="6"/>
  <c r="M59" i="6"/>
  <c r="K56" i="6"/>
  <c r="K57" i="6"/>
  <c r="L56" i="6"/>
  <c r="L57" i="6"/>
  <c r="M56" i="6"/>
  <c r="M57" i="6"/>
  <c r="E55" i="6"/>
  <c r="T132" i="6" s="1"/>
  <c r="K54" i="6"/>
  <c r="K55" i="6"/>
  <c r="L55" i="6"/>
  <c r="L54" i="6"/>
  <c r="M55" i="6"/>
  <c r="M54" i="6"/>
  <c r="E53" i="6"/>
  <c r="T131" i="6" s="1"/>
  <c r="K52" i="6"/>
  <c r="K53" i="6"/>
  <c r="L53" i="6"/>
  <c r="M53" i="6"/>
  <c r="M52" i="6"/>
  <c r="L52" i="6"/>
  <c r="E51" i="6"/>
  <c r="S130" i="6" s="1"/>
  <c r="K50" i="6"/>
  <c r="K51" i="6"/>
  <c r="L51" i="6"/>
  <c r="M51" i="6"/>
  <c r="M50" i="6"/>
  <c r="L50" i="6"/>
  <c r="K48" i="6"/>
  <c r="K49" i="6"/>
  <c r="L48" i="6"/>
  <c r="L49" i="6"/>
  <c r="M48" i="6"/>
  <c r="M49" i="6"/>
  <c r="E47" i="6"/>
  <c r="S128" i="6" s="1"/>
  <c r="K46" i="6"/>
  <c r="K47" i="6"/>
  <c r="L46" i="6"/>
  <c r="L47" i="6"/>
  <c r="M46" i="6"/>
  <c r="M47" i="6"/>
  <c r="E45" i="6"/>
  <c r="T127" i="6" s="1"/>
  <c r="K44" i="6"/>
  <c r="K45" i="6"/>
  <c r="L44" i="6"/>
  <c r="L45" i="6"/>
  <c r="M44" i="6"/>
  <c r="M45" i="6"/>
  <c r="E43" i="6"/>
  <c r="U126" i="6" s="1"/>
  <c r="K43" i="6"/>
  <c r="L43" i="6"/>
  <c r="M43" i="6"/>
  <c r="E39" i="6"/>
  <c r="T124" i="6" s="1"/>
  <c r="K38" i="6"/>
  <c r="L38" i="6"/>
  <c r="M38" i="6"/>
  <c r="E37" i="6"/>
  <c r="K36" i="6"/>
  <c r="K37" i="6"/>
  <c r="L37" i="6"/>
  <c r="M37" i="6"/>
  <c r="M36" i="6"/>
  <c r="L36" i="6"/>
  <c r="E86" i="7"/>
  <c r="E92" i="7"/>
  <c r="S180" i="7" s="1"/>
  <c r="K97" i="7"/>
  <c r="K98" i="7"/>
  <c r="L97" i="7"/>
  <c r="L98" i="7"/>
  <c r="M97" i="7"/>
  <c r="M98" i="7"/>
  <c r="E96" i="7"/>
  <c r="U182" i="7" s="1"/>
  <c r="K95" i="7"/>
  <c r="K96" i="7"/>
  <c r="L96" i="7"/>
  <c r="L95" i="7"/>
  <c r="M96" i="7"/>
  <c r="M95" i="7"/>
  <c r="E94" i="7"/>
  <c r="U181" i="7" s="1"/>
  <c r="K93" i="7"/>
  <c r="K94" i="7"/>
  <c r="L94" i="7"/>
  <c r="L93" i="7"/>
  <c r="M94" i="7"/>
  <c r="M93" i="7"/>
  <c r="K91" i="7"/>
  <c r="K92" i="7"/>
  <c r="L92" i="7"/>
  <c r="L91" i="7"/>
  <c r="M92" i="7"/>
  <c r="M91" i="7"/>
  <c r="K89" i="7"/>
  <c r="K90" i="7"/>
  <c r="L90" i="7"/>
  <c r="L89" i="7"/>
  <c r="M90" i="7"/>
  <c r="M89" i="7"/>
  <c r="E88" i="7"/>
  <c r="K87" i="7"/>
  <c r="K88" i="7"/>
  <c r="L88" i="7"/>
  <c r="L87" i="7"/>
  <c r="M88" i="7"/>
  <c r="M87" i="7"/>
  <c r="K85" i="7"/>
  <c r="K86" i="7"/>
  <c r="L86" i="7"/>
  <c r="L85" i="7"/>
  <c r="M86" i="7"/>
  <c r="M85" i="7"/>
  <c r="E84" i="7"/>
  <c r="S176" i="7" s="1"/>
  <c r="K83" i="7"/>
  <c r="K84" i="7"/>
  <c r="L84" i="7"/>
  <c r="L83" i="7"/>
  <c r="M84" i="7"/>
  <c r="M83" i="7"/>
  <c r="K81" i="7"/>
  <c r="K82" i="7"/>
  <c r="L82" i="7"/>
  <c r="L81" i="7"/>
  <c r="M82" i="7"/>
  <c r="M81" i="7"/>
  <c r="E80" i="7"/>
  <c r="U174" i="7" s="1"/>
  <c r="K79" i="7"/>
  <c r="K80" i="7"/>
  <c r="L80" i="7"/>
  <c r="L79" i="7"/>
  <c r="M80" i="7"/>
  <c r="M79" i="7"/>
  <c r="E78" i="7"/>
  <c r="T173" i="7" s="1"/>
  <c r="K77" i="7"/>
  <c r="K78" i="7"/>
  <c r="L78" i="7"/>
  <c r="L77" i="7"/>
  <c r="M78" i="7"/>
  <c r="M77" i="7"/>
  <c r="E76" i="7"/>
  <c r="K75" i="7"/>
  <c r="K76" i="7"/>
  <c r="L76" i="7"/>
  <c r="L75" i="7"/>
  <c r="M76" i="7"/>
  <c r="M75" i="7"/>
  <c r="K73" i="7"/>
  <c r="K74" i="7"/>
  <c r="L74" i="7"/>
  <c r="L73" i="7"/>
  <c r="M74" i="7"/>
  <c r="M73" i="7"/>
  <c r="E72" i="7"/>
  <c r="S170" i="7" s="1"/>
  <c r="K71" i="7"/>
  <c r="K72" i="7"/>
  <c r="L72" i="7"/>
  <c r="L71" i="7"/>
  <c r="M72" i="7"/>
  <c r="M71" i="7"/>
  <c r="E70" i="7"/>
  <c r="T169" i="7" s="1"/>
  <c r="K70" i="7"/>
  <c r="M70" i="7"/>
  <c r="L70" i="7"/>
  <c r="K67" i="7"/>
  <c r="K68" i="7"/>
  <c r="M67" i="7"/>
  <c r="M68" i="7"/>
  <c r="L67" i="7"/>
  <c r="L68" i="7"/>
  <c r="M66" i="7"/>
  <c r="L66" i="7"/>
  <c r="K66" i="7"/>
  <c r="K104" i="8"/>
  <c r="K105" i="8"/>
  <c r="L105" i="8"/>
  <c r="L104" i="8"/>
  <c r="M105" i="8"/>
  <c r="M104" i="8"/>
  <c r="K101" i="8"/>
  <c r="K103" i="8"/>
  <c r="L103" i="8"/>
  <c r="L101" i="8"/>
  <c r="M103" i="8"/>
  <c r="M101" i="8"/>
  <c r="K98" i="8"/>
  <c r="K100" i="8"/>
  <c r="L98" i="8"/>
  <c r="L100" i="8"/>
  <c r="M98" i="8"/>
  <c r="M100" i="8"/>
  <c r="E97" i="8"/>
  <c r="K96" i="8"/>
  <c r="K97" i="8"/>
  <c r="L97" i="8"/>
  <c r="L96" i="8"/>
  <c r="M97" i="8"/>
  <c r="M96" i="8"/>
  <c r="K94" i="8"/>
  <c r="K95" i="8"/>
  <c r="L95" i="8"/>
  <c r="L94" i="8"/>
  <c r="M95" i="8"/>
  <c r="M94" i="8"/>
  <c r="E93" i="8"/>
  <c r="K92" i="8"/>
  <c r="K93" i="8"/>
  <c r="L92" i="8"/>
  <c r="L93" i="8"/>
  <c r="M92" i="8"/>
  <c r="M93" i="8"/>
  <c r="E91" i="8"/>
  <c r="K90" i="8"/>
  <c r="K91" i="8"/>
  <c r="L91" i="8"/>
  <c r="L90" i="8"/>
  <c r="M91" i="8"/>
  <c r="M90" i="8"/>
  <c r="E89" i="8"/>
  <c r="K88" i="8"/>
  <c r="K89" i="8"/>
  <c r="L88" i="8"/>
  <c r="L89" i="8"/>
  <c r="M88" i="8"/>
  <c r="M89" i="8"/>
  <c r="K86" i="8"/>
  <c r="K87" i="8"/>
  <c r="L87" i="8"/>
  <c r="L86" i="8"/>
  <c r="M87" i="8"/>
  <c r="M86" i="8"/>
  <c r="E85" i="8"/>
  <c r="K84" i="8"/>
  <c r="K85" i="8"/>
  <c r="L84" i="8"/>
  <c r="L85" i="8"/>
  <c r="M84" i="8"/>
  <c r="M85" i="8"/>
  <c r="E83" i="8"/>
  <c r="K82" i="8"/>
  <c r="K83" i="8"/>
  <c r="L82" i="8"/>
  <c r="L83" i="8"/>
  <c r="M82" i="8"/>
  <c r="M83" i="8"/>
  <c r="E81" i="8"/>
  <c r="K80" i="8"/>
  <c r="K81" i="8"/>
  <c r="L81" i="8"/>
  <c r="L80" i="8"/>
  <c r="M81" i="8"/>
  <c r="M80" i="8"/>
  <c r="K78" i="8"/>
  <c r="K79" i="8"/>
  <c r="L79" i="8"/>
  <c r="L78" i="8"/>
  <c r="M79" i="8"/>
  <c r="M78" i="8"/>
  <c r="E77" i="8"/>
  <c r="K76" i="8"/>
  <c r="K77" i="8"/>
  <c r="L76" i="8"/>
  <c r="L77" i="8"/>
  <c r="M76" i="8"/>
  <c r="M77" i="8"/>
  <c r="E75" i="8"/>
  <c r="K75" i="8"/>
  <c r="M75" i="8"/>
  <c r="L75" i="8"/>
  <c r="E73" i="8"/>
  <c r="K72" i="8"/>
  <c r="K73" i="8"/>
  <c r="M72" i="8"/>
  <c r="M73" i="8"/>
  <c r="L72" i="8"/>
  <c r="L73" i="8"/>
  <c r="K104" i="15"/>
  <c r="K105" i="15"/>
  <c r="L104" i="15"/>
  <c r="M104" i="15"/>
  <c r="M105" i="15"/>
  <c r="L105" i="15"/>
  <c r="E103" i="15"/>
  <c r="K102" i="15"/>
  <c r="K103" i="15"/>
  <c r="L102" i="15"/>
  <c r="L103" i="15"/>
  <c r="M102" i="15"/>
  <c r="M103" i="15"/>
  <c r="K99" i="15"/>
  <c r="K101" i="15"/>
  <c r="L101" i="15"/>
  <c r="M101" i="15"/>
  <c r="M99" i="15"/>
  <c r="L99" i="15"/>
  <c r="E98" i="15"/>
  <c r="T198" i="15" s="1"/>
  <c r="K97" i="15"/>
  <c r="K98" i="15"/>
  <c r="L97" i="15"/>
  <c r="L98" i="15"/>
  <c r="M97" i="15"/>
  <c r="M98" i="15"/>
  <c r="K95" i="15"/>
  <c r="K96" i="15"/>
  <c r="L95" i="15"/>
  <c r="L96" i="15"/>
  <c r="M95" i="15"/>
  <c r="M96" i="15"/>
  <c r="E94" i="15"/>
  <c r="U196" i="15" s="1"/>
  <c r="K93" i="15"/>
  <c r="K94" i="15"/>
  <c r="L93" i="15"/>
  <c r="L94" i="15"/>
  <c r="M93" i="15"/>
  <c r="M94" i="15"/>
  <c r="E92" i="15"/>
  <c r="K91" i="15"/>
  <c r="K92" i="15"/>
  <c r="L91" i="15"/>
  <c r="L92" i="15"/>
  <c r="M91" i="15"/>
  <c r="M92" i="15"/>
  <c r="E90" i="15"/>
  <c r="K89" i="15"/>
  <c r="K90" i="15"/>
  <c r="L89" i="15"/>
  <c r="M89" i="15"/>
  <c r="M90" i="15"/>
  <c r="L90" i="15"/>
  <c r="K87" i="15"/>
  <c r="K88" i="15"/>
  <c r="L88" i="15"/>
  <c r="L87" i="15"/>
  <c r="M88" i="15"/>
  <c r="M87" i="15"/>
  <c r="K84" i="15"/>
  <c r="K86" i="15"/>
  <c r="L86" i="15"/>
  <c r="L84" i="15"/>
  <c r="M86" i="15"/>
  <c r="M84" i="15"/>
  <c r="E83" i="15"/>
  <c r="S191" i="15" s="1"/>
  <c r="K82" i="15"/>
  <c r="K83" i="15"/>
  <c r="L83" i="15"/>
  <c r="L82" i="15"/>
  <c r="M83" i="15"/>
  <c r="M82" i="15"/>
  <c r="E81" i="15"/>
  <c r="K80" i="15"/>
  <c r="K81" i="15"/>
  <c r="L80" i="15"/>
  <c r="L81" i="15"/>
  <c r="M80" i="15"/>
  <c r="M81" i="15"/>
  <c r="K78" i="15"/>
  <c r="K79" i="15"/>
  <c r="L79" i="15"/>
  <c r="M79" i="15"/>
  <c r="M78" i="15"/>
  <c r="L78" i="15"/>
  <c r="E77" i="15"/>
  <c r="T188" i="15" s="1"/>
  <c r="K76" i="15"/>
  <c r="K77" i="15"/>
  <c r="L76" i="15"/>
  <c r="M76" i="15"/>
  <c r="M77" i="15"/>
  <c r="L77" i="15"/>
  <c r="E75" i="15"/>
  <c r="K75" i="15"/>
  <c r="M75" i="15"/>
  <c r="L75" i="15"/>
  <c r="E73" i="15"/>
  <c r="T186" i="15" s="1"/>
  <c r="K72" i="15"/>
  <c r="K73" i="15"/>
  <c r="M72" i="15"/>
  <c r="M73" i="15"/>
  <c r="L72" i="15"/>
  <c r="L73" i="15"/>
  <c r="K69" i="15"/>
  <c r="K71" i="15"/>
  <c r="M69" i="15"/>
  <c r="M71" i="15"/>
  <c r="L69" i="15"/>
  <c r="L71" i="15"/>
  <c r="M68" i="15"/>
  <c r="L68" i="15"/>
  <c r="K68" i="15"/>
  <c r="M67" i="15"/>
  <c r="L67" i="15"/>
  <c r="K67" i="15"/>
  <c r="M66" i="15"/>
  <c r="L66" i="15"/>
  <c r="K66" i="15"/>
  <c r="M65" i="15"/>
  <c r="L65" i="15"/>
  <c r="K65" i="15"/>
  <c r="K100" i="14"/>
  <c r="K101" i="14"/>
  <c r="L100" i="14"/>
  <c r="L101" i="14"/>
  <c r="M100" i="14"/>
  <c r="M101" i="14"/>
  <c r="E99" i="14"/>
  <c r="S185" i="14" s="1"/>
  <c r="K98" i="14"/>
  <c r="K99" i="14"/>
  <c r="L98" i="14"/>
  <c r="L99" i="14"/>
  <c r="M98" i="14"/>
  <c r="M99" i="14"/>
  <c r="E97" i="14"/>
  <c r="U184" i="14" s="1"/>
  <c r="K96" i="14"/>
  <c r="K97" i="14"/>
  <c r="L96" i="14"/>
  <c r="L97" i="14"/>
  <c r="M96" i="14"/>
  <c r="M97" i="14"/>
  <c r="E95" i="14"/>
  <c r="S183" i="14" s="1"/>
  <c r="K94" i="14"/>
  <c r="K95" i="14"/>
  <c r="L94" i="14"/>
  <c r="L95" i="14"/>
  <c r="M94" i="14"/>
  <c r="M95" i="14"/>
  <c r="K92" i="14"/>
  <c r="K93" i="14"/>
  <c r="L92" i="14"/>
  <c r="L93" i="14"/>
  <c r="M92" i="14"/>
  <c r="M93" i="14"/>
  <c r="E91" i="14"/>
  <c r="K90" i="14"/>
  <c r="K91" i="14"/>
  <c r="L91" i="14"/>
  <c r="L90" i="14"/>
  <c r="M91" i="14"/>
  <c r="M90" i="14"/>
  <c r="E89" i="14"/>
  <c r="K88" i="14"/>
  <c r="K89" i="14"/>
  <c r="L88" i="14"/>
  <c r="L89" i="14"/>
  <c r="M88" i="14"/>
  <c r="M89" i="14"/>
  <c r="E87" i="14"/>
  <c r="T179" i="14" s="1"/>
  <c r="K86" i="14"/>
  <c r="K87" i="14"/>
  <c r="L86" i="14"/>
  <c r="L87" i="14"/>
  <c r="M86" i="14"/>
  <c r="M87" i="14"/>
  <c r="K84" i="14"/>
  <c r="K85" i="14"/>
  <c r="L84" i="14"/>
  <c r="L85" i="14"/>
  <c r="M84" i="14"/>
  <c r="M85" i="14"/>
  <c r="E83" i="14"/>
  <c r="T177" i="14" s="1"/>
  <c r="K82" i="14"/>
  <c r="K83" i="14"/>
  <c r="L82" i="14"/>
  <c r="L83" i="14"/>
  <c r="M82" i="14"/>
  <c r="M83" i="14"/>
  <c r="E81" i="14"/>
  <c r="U176" i="14" s="1"/>
  <c r="K80" i="14"/>
  <c r="K81" i="14"/>
  <c r="L80" i="14"/>
  <c r="L81" i="14"/>
  <c r="M80" i="14"/>
  <c r="M81" i="14"/>
  <c r="E79" i="14"/>
  <c r="U175" i="14" s="1"/>
  <c r="K78" i="14"/>
  <c r="K79" i="14"/>
  <c r="L78" i="14"/>
  <c r="L79" i="14"/>
  <c r="M78" i="14"/>
  <c r="M79" i="14"/>
  <c r="K76" i="14"/>
  <c r="K77" i="14"/>
  <c r="L76" i="14"/>
  <c r="L77" i="14"/>
  <c r="M76" i="14"/>
  <c r="M77" i="14"/>
  <c r="E75" i="14"/>
  <c r="U173" i="14" s="1"/>
  <c r="K74" i="14"/>
  <c r="K75" i="14"/>
  <c r="L75" i="14"/>
  <c r="L74" i="14"/>
  <c r="M75" i="14"/>
  <c r="M74" i="14"/>
  <c r="E73" i="14"/>
  <c r="U172" i="14" s="1"/>
  <c r="K72" i="14"/>
  <c r="K73" i="14"/>
  <c r="L72" i="14"/>
  <c r="L73" i="14"/>
  <c r="M72" i="14"/>
  <c r="M73" i="14"/>
  <c r="K70" i="14"/>
  <c r="K71" i="14"/>
  <c r="M70" i="14"/>
  <c r="M71" i="14"/>
  <c r="L70" i="14"/>
  <c r="L71" i="14"/>
  <c r="M92" i="13"/>
  <c r="M93" i="13"/>
  <c r="M94" i="13"/>
  <c r="L92" i="13"/>
  <c r="L93" i="13"/>
  <c r="L94" i="13"/>
  <c r="K92" i="13"/>
  <c r="K93" i="13"/>
  <c r="K94" i="13"/>
  <c r="K109" i="13"/>
  <c r="K110" i="13"/>
  <c r="L110" i="13"/>
  <c r="L109" i="13"/>
  <c r="M110" i="13"/>
  <c r="M109" i="13"/>
  <c r="E108" i="13"/>
  <c r="K107" i="13"/>
  <c r="K108" i="13"/>
  <c r="L107" i="13"/>
  <c r="L108" i="13"/>
  <c r="M107" i="13"/>
  <c r="M108" i="13"/>
  <c r="E106" i="13"/>
  <c r="U198" i="13" s="1"/>
  <c r="K105" i="13"/>
  <c r="K106" i="13"/>
  <c r="L105" i="13"/>
  <c r="L106" i="13"/>
  <c r="M105" i="13"/>
  <c r="M106" i="13"/>
  <c r="E104" i="13"/>
  <c r="U197" i="13" s="1"/>
  <c r="K103" i="13"/>
  <c r="K104" i="13"/>
  <c r="L103" i="13"/>
  <c r="L104" i="13"/>
  <c r="M103" i="13"/>
  <c r="M104" i="13"/>
  <c r="K101" i="13"/>
  <c r="K102" i="13"/>
  <c r="L101" i="13"/>
  <c r="L102" i="13"/>
  <c r="M101" i="13"/>
  <c r="M102" i="13"/>
  <c r="E100" i="13"/>
  <c r="S195" i="13" s="1"/>
  <c r="K99" i="13"/>
  <c r="K100" i="13"/>
  <c r="L100" i="13"/>
  <c r="L99" i="13"/>
  <c r="M100" i="13"/>
  <c r="M99" i="13"/>
  <c r="E98" i="13"/>
  <c r="S194" i="13" s="1"/>
  <c r="K97" i="13"/>
  <c r="K98" i="13"/>
  <c r="L97" i="13"/>
  <c r="L98" i="13"/>
  <c r="M97" i="13"/>
  <c r="M98" i="13"/>
  <c r="E96" i="13"/>
  <c r="T193" i="13" s="1"/>
  <c r="K95" i="13"/>
  <c r="K96" i="13"/>
  <c r="L95" i="13"/>
  <c r="L96" i="13"/>
  <c r="M95" i="13"/>
  <c r="M96" i="13"/>
  <c r="E91" i="13"/>
  <c r="T191" i="13" s="1"/>
  <c r="K90" i="13"/>
  <c r="K91" i="13"/>
  <c r="L91" i="13"/>
  <c r="L90" i="13"/>
  <c r="M91" i="13"/>
  <c r="M90" i="13"/>
  <c r="E89" i="13"/>
  <c r="U190" i="13" s="1"/>
  <c r="K88" i="13"/>
  <c r="K89" i="13"/>
  <c r="L88" i="13"/>
  <c r="L89" i="13"/>
  <c r="M88" i="13"/>
  <c r="M89" i="13"/>
  <c r="E87" i="13"/>
  <c r="U189" i="13" s="1"/>
  <c r="K86" i="13"/>
  <c r="K87" i="13"/>
  <c r="L87" i="13"/>
  <c r="L86" i="13"/>
  <c r="M87" i="13"/>
  <c r="M86" i="13"/>
  <c r="K84" i="13"/>
  <c r="K85" i="13"/>
  <c r="L85" i="13"/>
  <c r="L84" i="13"/>
  <c r="M85" i="13"/>
  <c r="M84" i="13"/>
  <c r="E83" i="13"/>
  <c r="U187" i="13" s="1"/>
  <c r="K82" i="13"/>
  <c r="K83" i="13"/>
  <c r="L83" i="13"/>
  <c r="L82" i="13"/>
  <c r="M83" i="13"/>
  <c r="M82" i="13"/>
  <c r="K79" i="13"/>
  <c r="K81" i="13"/>
  <c r="M79" i="13"/>
  <c r="M81" i="13"/>
  <c r="L79" i="13"/>
  <c r="L81" i="13"/>
  <c r="K77" i="13"/>
  <c r="K78" i="13"/>
  <c r="M77" i="13"/>
  <c r="M78" i="13"/>
  <c r="L77" i="13"/>
  <c r="L78" i="13"/>
  <c r="K73" i="13"/>
  <c r="K74" i="13"/>
  <c r="M73" i="13"/>
  <c r="M74" i="13"/>
  <c r="L73" i="13"/>
  <c r="L74" i="13"/>
  <c r="M72" i="13"/>
  <c r="L72" i="13"/>
  <c r="K72" i="13"/>
  <c r="M71" i="13"/>
  <c r="L71" i="13"/>
  <c r="K71" i="13"/>
  <c r="M64" i="13"/>
  <c r="L64" i="13"/>
  <c r="K64" i="13"/>
  <c r="M63" i="13"/>
  <c r="L63" i="13"/>
  <c r="K63" i="13"/>
  <c r="H172" i="2"/>
  <c r="L176" i="2"/>
  <c r="L178" i="2"/>
  <c r="J181" i="2"/>
  <c r="L181" i="2"/>
  <c r="J180" i="2"/>
  <c r="L173" i="2"/>
  <c r="L172" i="2"/>
  <c r="J169" i="2"/>
  <c r="L169" i="2"/>
  <c r="J177" i="2"/>
  <c r="J174" i="2"/>
  <c r="J182" i="2"/>
  <c r="H174" i="2"/>
  <c r="L170" i="2"/>
  <c r="H186" i="2"/>
  <c r="E101" i="5"/>
  <c r="T185" i="5" s="1"/>
  <c r="T146" i="1"/>
  <c r="S190" i="22"/>
  <c r="U190" i="22"/>
  <c r="J193" i="23"/>
  <c r="S192" i="23"/>
  <c r="U172" i="23"/>
  <c r="U184" i="24"/>
  <c r="R60" i="17"/>
  <c r="U181" i="17"/>
  <c r="T181" i="17"/>
  <c r="R25" i="17"/>
  <c r="T147" i="17"/>
  <c r="R31" i="17"/>
  <c r="S147" i="17"/>
  <c r="R23" i="17"/>
  <c r="S146" i="17"/>
  <c r="T146" i="17"/>
  <c r="S150" i="17"/>
  <c r="R35" i="17"/>
  <c r="R21" i="17"/>
  <c r="T164" i="17"/>
  <c r="R20" i="17"/>
  <c r="R29" i="17"/>
  <c r="R34" i="17"/>
  <c r="S148" i="17"/>
  <c r="R27" i="17"/>
  <c r="R62" i="17"/>
  <c r="R37" i="19"/>
  <c r="R41" i="19"/>
  <c r="U161" i="19"/>
  <c r="S150" i="19"/>
  <c r="R16" i="19"/>
  <c r="R51" i="19"/>
  <c r="T161" i="19"/>
  <c r="R23" i="19"/>
  <c r="U160" i="19"/>
  <c r="U162" i="19"/>
  <c r="S171" i="19"/>
  <c r="T162" i="19"/>
  <c r="T146" i="19"/>
  <c r="S147" i="19"/>
  <c r="S154" i="19"/>
  <c r="R24" i="19"/>
  <c r="S160" i="19"/>
  <c r="R36" i="19"/>
  <c r="S162" i="19"/>
  <c r="R40" i="19"/>
  <c r="T147" i="19"/>
  <c r="T160" i="19"/>
  <c r="S146" i="19"/>
  <c r="R8" i="19"/>
  <c r="S161" i="19"/>
  <c r="R38" i="19"/>
  <c r="R42" i="19"/>
  <c r="R59" i="19"/>
  <c r="T170" i="19"/>
  <c r="T150" i="19"/>
  <c r="R46" i="19"/>
  <c r="R50" i="19"/>
  <c r="R32" i="19"/>
  <c r="T148" i="19"/>
  <c r="T156" i="19"/>
  <c r="T180" i="9"/>
  <c r="U187" i="11"/>
  <c r="T187" i="11"/>
  <c r="S187" i="11"/>
  <c r="T184" i="11"/>
  <c r="S184" i="11"/>
  <c r="T173" i="11"/>
  <c r="S176" i="11"/>
  <c r="U179" i="11"/>
  <c r="T179" i="11"/>
  <c r="S179" i="11"/>
  <c r="T144" i="11"/>
  <c r="S185" i="11"/>
  <c r="S183" i="11"/>
  <c r="T183" i="11"/>
  <c r="T171" i="14"/>
  <c r="U171" i="14"/>
  <c r="S171" i="14"/>
  <c r="R15" i="17"/>
  <c r="S170" i="19"/>
  <c r="R22" i="19"/>
  <c r="R15" i="19"/>
  <c r="U134" i="16"/>
  <c r="S195" i="22"/>
  <c r="U94" i="34"/>
  <c r="S101" i="38"/>
  <c r="N32" i="29"/>
  <c r="T79" i="30"/>
  <c r="T97" i="34"/>
  <c r="S82" i="34"/>
  <c r="U133" i="35"/>
  <c r="S133" i="35"/>
  <c r="S92" i="38"/>
  <c r="U92" i="38"/>
  <c r="T92" i="38"/>
  <c r="S100" i="37"/>
  <c r="U100" i="37"/>
  <c r="T100" i="37"/>
  <c r="S155" i="16"/>
  <c r="T76" i="30"/>
  <c r="T157" i="19"/>
  <c r="S157" i="19"/>
  <c r="S175" i="3"/>
  <c r="T195" i="14"/>
  <c r="S195" i="14"/>
  <c r="U195" i="14"/>
  <c r="U137" i="21"/>
  <c r="H203" i="22"/>
  <c r="L199" i="22"/>
  <c r="S146" i="16"/>
  <c r="T154" i="16"/>
  <c r="S107" i="36"/>
  <c r="T115" i="35"/>
  <c r="S115" i="35"/>
  <c r="U115" i="35"/>
  <c r="N56" i="32"/>
  <c r="B145" i="3"/>
  <c r="H78" i="31"/>
  <c r="L82" i="31"/>
  <c r="L78" i="31"/>
  <c r="L85" i="31"/>
  <c r="W165" i="7"/>
  <c r="S79" i="34"/>
  <c r="S103" i="37"/>
  <c r="H84" i="37"/>
  <c r="T103" i="37"/>
  <c r="T101" i="38"/>
  <c r="W129" i="36"/>
  <c r="U120" i="36"/>
  <c r="S120" i="36" l="1"/>
  <c r="C194" i="18"/>
  <c r="T86" i="38"/>
  <c r="S145" i="24"/>
  <c r="S196" i="19"/>
  <c r="J150" i="17"/>
  <c r="S131" i="26"/>
  <c r="U86" i="38"/>
  <c r="T140" i="26"/>
  <c r="C115" i="35"/>
  <c r="S194" i="22"/>
  <c r="U161" i="22"/>
  <c r="S182" i="22"/>
  <c r="U152" i="23"/>
  <c r="S181" i="11"/>
  <c r="C173" i="13"/>
  <c r="C93" i="29"/>
  <c r="S183" i="12"/>
  <c r="T182" i="22"/>
  <c r="T169" i="25"/>
  <c r="T176" i="23"/>
  <c r="B179" i="13"/>
  <c r="C208" i="13"/>
  <c r="H161" i="3"/>
  <c r="D154" i="5"/>
  <c r="C158" i="5"/>
  <c r="D84" i="38"/>
  <c r="J184" i="17"/>
  <c r="D186" i="17"/>
  <c r="D191" i="17"/>
  <c r="D135" i="16"/>
  <c r="H145" i="16"/>
  <c r="D147" i="16"/>
  <c r="J158" i="16"/>
  <c r="J160" i="16"/>
  <c r="J140" i="24"/>
  <c r="B151" i="24"/>
  <c r="J155" i="24"/>
  <c r="D187" i="24"/>
  <c r="L181" i="23"/>
  <c r="D190" i="22"/>
  <c r="L172" i="22"/>
  <c r="T194" i="22"/>
  <c r="H96" i="31"/>
  <c r="B115" i="35"/>
  <c r="J160" i="13"/>
  <c r="S176" i="9"/>
  <c r="S165" i="11"/>
  <c r="L148" i="21"/>
  <c r="T170" i="17"/>
  <c r="D186" i="5"/>
  <c r="W204" i="22"/>
  <c r="T157" i="17"/>
  <c r="B121" i="35"/>
  <c r="T178" i="11"/>
  <c r="U154" i="25"/>
  <c r="B83" i="29"/>
  <c r="N10" i="35"/>
  <c r="T142" i="16"/>
  <c r="T168" i="21"/>
  <c r="U201" i="9"/>
  <c r="U185" i="23"/>
  <c r="N68" i="35"/>
  <c r="N59" i="35"/>
  <c r="N51" i="35"/>
  <c r="S135" i="35"/>
  <c r="S117" i="35"/>
  <c r="H162" i="19"/>
  <c r="J189" i="22"/>
  <c r="C120" i="35"/>
  <c r="S176" i="23"/>
  <c r="J159" i="22"/>
  <c r="S125" i="36"/>
  <c r="T196" i="19"/>
  <c r="L150" i="19"/>
  <c r="T145" i="24"/>
  <c r="W178" i="3"/>
  <c r="H93" i="31"/>
  <c r="T165" i="11"/>
  <c r="H189" i="22"/>
  <c r="C175" i="22"/>
  <c r="L185" i="22"/>
  <c r="H197" i="22"/>
  <c r="H179" i="22"/>
  <c r="J149" i="23"/>
  <c r="H151" i="23"/>
  <c r="D154" i="23"/>
  <c r="L164" i="23"/>
  <c r="S169" i="25"/>
  <c r="C140" i="25"/>
  <c r="B144" i="25"/>
  <c r="H186" i="25"/>
  <c r="J187" i="25"/>
  <c r="D153" i="26"/>
  <c r="D154" i="26"/>
  <c r="D143" i="26"/>
  <c r="S152" i="26"/>
  <c r="J98" i="37"/>
  <c r="L94" i="37"/>
  <c r="J122" i="35"/>
  <c r="B185" i="18"/>
  <c r="S140" i="16"/>
  <c r="T187" i="18"/>
  <c r="H160" i="13"/>
  <c r="T201" i="9"/>
  <c r="U173" i="11"/>
  <c r="S176" i="19"/>
  <c r="U135" i="26"/>
  <c r="T172" i="23"/>
  <c r="T185" i="23"/>
  <c r="J169" i="3"/>
  <c r="W155" i="3"/>
  <c r="L151" i="3"/>
  <c r="H189" i="5"/>
  <c r="J177" i="5"/>
  <c r="B93" i="29"/>
  <c r="N14" i="29"/>
  <c r="D141" i="14"/>
  <c r="H195" i="14"/>
  <c r="N69" i="18"/>
  <c r="L180" i="23"/>
  <c r="N44" i="35"/>
  <c r="N80" i="35"/>
  <c r="N72" i="35"/>
  <c r="N36" i="29"/>
  <c r="U192" i="23"/>
  <c r="U84" i="38"/>
  <c r="U128" i="16"/>
  <c r="U197" i="22"/>
  <c r="L97" i="34"/>
  <c r="S104" i="37"/>
  <c r="S132" i="16"/>
  <c r="S152" i="23"/>
  <c r="C108" i="37"/>
  <c r="H90" i="37"/>
  <c r="H136" i="35"/>
  <c r="N11" i="29"/>
  <c r="D199" i="3"/>
  <c r="B143" i="16"/>
  <c r="J184" i="22"/>
  <c r="H188" i="14"/>
  <c r="J153" i="14"/>
  <c r="S180" i="3"/>
  <c r="S172" i="3"/>
  <c r="U197" i="9"/>
  <c r="T181" i="11"/>
  <c r="D170" i="3"/>
  <c r="H91" i="28"/>
  <c r="B151" i="11"/>
  <c r="B150" i="19"/>
  <c r="H143" i="23"/>
  <c r="B151" i="23"/>
  <c r="J168" i="23"/>
  <c r="B163" i="22"/>
  <c r="C91" i="29"/>
  <c r="U188" i="15"/>
  <c r="E75" i="31"/>
  <c r="U151" i="5"/>
  <c r="T120" i="35"/>
  <c r="B153" i="3"/>
  <c r="D150" i="5"/>
  <c r="J145" i="11"/>
  <c r="L146" i="11"/>
  <c r="C151" i="11"/>
  <c r="B155" i="11"/>
  <c r="J167" i="11"/>
  <c r="H169" i="11"/>
  <c r="C179" i="11"/>
  <c r="B192" i="11"/>
  <c r="B193" i="11"/>
  <c r="J195" i="11"/>
  <c r="B160" i="9"/>
  <c r="L154" i="21"/>
  <c r="L156" i="21"/>
  <c r="B195" i="19"/>
  <c r="J197" i="19"/>
  <c r="L198" i="19"/>
  <c r="B161" i="18"/>
  <c r="H190" i="18"/>
  <c r="L194" i="18"/>
  <c r="J196" i="18"/>
  <c r="H155" i="17"/>
  <c r="C158" i="16"/>
  <c r="B129" i="26"/>
  <c r="H149" i="25"/>
  <c r="D178" i="25"/>
  <c r="B189" i="25"/>
  <c r="C140" i="24"/>
  <c r="B143" i="24"/>
  <c r="B144" i="24"/>
  <c r="H162" i="24"/>
  <c r="H164" i="24"/>
  <c r="D166" i="24"/>
  <c r="C178" i="24"/>
  <c r="J157" i="23"/>
  <c r="B168" i="23"/>
  <c r="B153" i="22"/>
  <c r="J195" i="22"/>
  <c r="U176" i="7"/>
  <c r="W188" i="7"/>
  <c r="U154" i="9"/>
  <c r="C165" i="5"/>
  <c r="J172" i="5"/>
  <c r="B102" i="29"/>
  <c r="N54" i="16"/>
  <c r="D154" i="22"/>
  <c r="W162" i="22"/>
  <c r="J164" i="22"/>
  <c r="H168" i="5"/>
  <c r="J192" i="14"/>
  <c r="L168" i="14"/>
  <c r="L149" i="14"/>
  <c r="T172" i="3"/>
  <c r="H174" i="12"/>
  <c r="N12" i="3"/>
  <c r="D118" i="36"/>
  <c r="J154" i="16"/>
  <c r="L137" i="16"/>
  <c r="B141" i="16"/>
  <c r="C159" i="16"/>
  <c r="L150" i="16"/>
  <c r="D128" i="16"/>
  <c r="C137" i="16"/>
  <c r="B126" i="16"/>
  <c r="J146" i="16"/>
  <c r="B157" i="16"/>
  <c r="N45" i="16"/>
  <c r="N63" i="16"/>
  <c r="N65" i="35"/>
  <c r="L116" i="35"/>
  <c r="D116" i="35"/>
  <c r="N73" i="35"/>
  <c r="L128" i="35"/>
  <c r="C128" i="35"/>
  <c r="J124" i="35"/>
  <c r="D130" i="35"/>
  <c r="C164" i="17"/>
  <c r="C142" i="17"/>
  <c r="L169" i="18"/>
  <c r="H184" i="18"/>
  <c r="L191" i="18"/>
  <c r="J195" i="18"/>
  <c r="B171" i="19"/>
  <c r="H147" i="19"/>
  <c r="D174" i="19"/>
  <c r="C148" i="19"/>
  <c r="B166" i="19"/>
  <c r="B140" i="20"/>
  <c r="T167" i="21"/>
  <c r="H153" i="21"/>
  <c r="H155" i="21"/>
  <c r="D185" i="21"/>
  <c r="J178" i="21"/>
  <c r="B87" i="34"/>
  <c r="L86" i="34"/>
  <c r="S87" i="34"/>
  <c r="H182" i="9"/>
  <c r="L167" i="9"/>
  <c r="C203" i="9"/>
  <c r="J184" i="11"/>
  <c r="S189" i="11"/>
  <c r="J163" i="11"/>
  <c r="D165" i="11"/>
  <c r="C195" i="11"/>
  <c r="H190" i="11"/>
  <c r="H168" i="11"/>
  <c r="J181" i="11"/>
  <c r="D187" i="11"/>
  <c r="S152" i="11"/>
  <c r="D183" i="11"/>
  <c r="N67" i="11"/>
  <c r="B154" i="11"/>
  <c r="H162" i="11"/>
  <c r="L154" i="11"/>
  <c r="J155" i="11"/>
  <c r="C161" i="11"/>
  <c r="J192" i="11"/>
  <c r="N9" i="32"/>
  <c r="C99" i="32"/>
  <c r="J94" i="32"/>
  <c r="B92" i="32"/>
  <c r="N19" i="32"/>
  <c r="N35" i="32"/>
  <c r="S177" i="14"/>
  <c r="U177" i="14"/>
  <c r="H157" i="14"/>
  <c r="L146" i="14"/>
  <c r="J187" i="14"/>
  <c r="B157" i="14"/>
  <c r="B149" i="14"/>
  <c r="B142" i="14"/>
  <c r="C158" i="14"/>
  <c r="C178" i="14"/>
  <c r="J173" i="14"/>
  <c r="N62" i="14"/>
  <c r="N38" i="14"/>
  <c r="N21" i="14"/>
  <c r="N13" i="14"/>
  <c r="J189" i="14"/>
  <c r="J143" i="14"/>
  <c r="N27" i="31"/>
  <c r="B90" i="31"/>
  <c r="H92" i="31"/>
  <c r="H88" i="31"/>
  <c r="C83" i="31"/>
  <c r="B80" i="31"/>
  <c r="B88" i="31"/>
  <c r="N28" i="31"/>
  <c r="N44" i="31"/>
  <c r="N13" i="31"/>
  <c r="C96" i="31"/>
  <c r="J97" i="31"/>
  <c r="C84" i="31"/>
  <c r="C88" i="31"/>
  <c r="N31" i="31"/>
  <c r="N39" i="31"/>
  <c r="S169" i="7"/>
  <c r="U169" i="7"/>
  <c r="T186" i="7"/>
  <c r="B175" i="7"/>
  <c r="B160" i="7"/>
  <c r="U186" i="7"/>
  <c r="W170" i="7"/>
  <c r="N71" i="7"/>
  <c r="U170" i="7"/>
  <c r="T170" i="7"/>
  <c r="L83" i="29"/>
  <c r="N27" i="29"/>
  <c r="N13" i="29"/>
  <c r="N10" i="29"/>
  <c r="N35" i="29"/>
  <c r="N41" i="29"/>
  <c r="H103" i="29"/>
  <c r="J100" i="29"/>
  <c r="J96" i="29"/>
  <c r="H92" i="29"/>
  <c r="U76" i="30"/>
  <c r="L85" i="30"/>
  <c r="H151" i="5"/>
  <c r="L144" i="5"/>
  <c r="B164" i="5"/>
  <c r="D165" i="5"/>
  <c r="D157" i="5"/>
  <c r="B153" i="5"/>
  <c r="N59" i="5"/>
  <c r="C181" i="5"/>
  <c r="S147" i="5"/>
  <c r="D176" i="5"/>
  <c r="L151" i="5"/>
  <c r="L103" i="28"/>
  <c r="J95" i="31"/>
  <c r="U185" i="5"/>
  <c r="L94" i="32"/>
  <c r="U154" i="16"/>
  <c r="T128" i="16"/>
  <c r="H153" i="14"/>
  <c r="S191" i="9"/>
  <c r="C183" i="14"/>
  <c r="N77" i="8"/>
  <c r="J194" i="11"/>
  <c r="S87" i="37"/>
  <c r="S129" i="16"/>
  <c r="U84" i="30"/>
  <c r="T184" i="9"/>
  <c r="L163" i="11"/>
  <c r="T168" i="9"/>
  <c r="S182" i="17"/>
  <c r="U143" i="26"/>
  <c r="U142" i="25"/>
  <c r="N19" i="24"/>
  <c r="S180" i="23"/>
  <c r="T180" i="23"/>
  <c r="W157" i="23"/>
  <c r="W159" i="15"/>
  <c r="B134" i="35"/>
  <c r="N55" i="35"/>
  <c r="W85" i="34"/>
  <c r="C179" i="23"/>
  <c r="U181" i="23"/>
  <c r="S181" i="23"/>
  <c r="C187" i="23"/>
  <c r="N24" i="29"/>
  <c r="N16" i="29"/>
  <c r="D177" i="11"/>
  <c r="N32" i="35"/>
  <c r="H122" i="35"/>
  <c r="N62" i="5"/>
  <c r="L155" i="5"/>
  <c r="H180" i="5"/>
  <c r="N21" i="31"/>
  <c r="N15" i="32"/>
  <c r="C87" i="34"/>
  <c r="H155" i="5"/>
  <c r="U141" i="7"/>
  <c r="U146" i="16"/>
  <c r="H154" i="11"/>
  <c r="S184" i="25"/>
  <c r="N85" i="14"/>
  <c r="B188" i="14"/>
  <c r="B168" i="21"/>
  <c r="C183" i="18"/>
  <c r="L203" i="22"/>
  <c r="J191" i="22"/>
  <c r="T171" i="18"/>
  <c r="T181" i="23"/>
  <c r="J168" i="14"/>
  <c r="T173" i="25"/>
  <c r="N12" i="31"/>
  <c r="N39" i="32"/>
  <c r="W168" i="11"/>
  <c r="W145" i="18"/>
  <c r="S174" i="5"/>
  <c r="U170" i="11"/>
  <c r="U188" i="25"/>
  <c r="L92" i="32"/>
  <c r="S178" i="1"/>
  <c r="L146" i="16"/>
  <c r="T142" i="5"/>
  <c r="T127" i="16"/>
  <c r="L181" i="11"/>
  <c r="D84" i="29"/>
  <c r="B114" i="35"/>
  <c r="T132" i="16"/>
  <c r="U75" i="30"/>
  <c r="T90" i="34"/>
  <c r="L192" i="11"/>
  <c r="S151" i="19"/>
  <c r="H140" i="24"/>
  <c r="L181" i="24"/>
  <c r="W192" i="5"/>
  <c r="L209" i="15"/>
  <c r="N51" i="32"/>
  <c r="N14" i="35"/>
  <c r="L91" i="31"/>
  <c r="N111" i="18"/>
  <c r="H149" i="14"/>
  <c r="N43" i="31"/>
  <c r="B138" i="25"/>
  <c r="S141" i="7"/>
  <c r="U120" i="35"/>
  <c r="S90" i="34"/>
  <c r="S189" i="9"/>
  <c r="T191" i="9"/>
  <c r="T184" i="19"/>
  <c r="U184" i="25"/>
  <c r="S96" i="38"/>
  <c r="U153" i="16"/>
  <c r="T125" i="16"/>
  <c r="H150" i="16"/>
  <c r="U198" i="15"/>
  <c r="H172" i="5"/>
  <c r="J186" i="12"/>
  <c r="U189" i="9"/>
  <c r="T151" i="26"/>
  <c r="J173" i="22"/>
  <c r="B144" i="11"/>
  <c r="L171" i="19"/>
  <c r="U184" i="19"/>
  <c r="T153" i="16"/>
  <c r="S106" i="37"/>
  <c r="T129" i="16"/>
  <c r="L145" i="16"/>
  <c r="S179" i="18"/>
  <c r="L150" i="12"/>
  <c r="T170" i="11"/>
  <c r="T143" i="26"/>
  <c r="S142" i="25"/>
  <c r="U180" i="23"/>
  <c r="N71" i="5"/>
  <c r="C171" i="3"/>
  <c r="C157" i="3"/>
  <c r="H170" i="7"/>
  <c r="B178" i="8"/>
  <c r="B167" i="8"/>
  <c r="D176" i="8"/>
  <c r="J178" i="14"/>
  <c r="L151" i="14"/>
  <c r="C101" i="29"/>
  <c r="B89" i="31"/>
  <c r="B118" i="35"/>
  <c r="J79" i="32"/>
  <c r="B185" i="12"/>
  <c r="B145" i="11"/>
  <c r="B147" i="11"/>
  <c r="D151" i="11"/>
  <c r="E151" i="11" s="1"/>
  <c r="C154" i="11"/>
  <c r="C155" i="11"/>
  <c r="B157" i="11"/>
  <c r="B158" i="11"/>
  <c r="B159" i="11"/>
  <c r="H160" i="11"/>
  <c r="H161" i="11"/>
  <c r="B167" i="11"/>
  <c r="B168" i="11"/>
  <c r="H171" i="11"/>
  <c r="C173" i="11"/>
  <c r="J182" i="11"/>
  <c r="C184" i="11"/>
  <c r="H187" i="11"/>
  <c r="H188" i="11"/>
  <c r="H156" i="9"/>
  <c r="H173" i="9"/>
  <c r="B141" i="21"/>
  <c r="H144" i="21"/>
  <c r="L158" i="21"/>
  <c r="L161" i="21"/>
  <c r="D163" i="21"/>
  <c r="D164" i="21"/>
  <c r="D166" i="21"/>
  <c r="C169" i="19"/>
  <c r="B170" i="19"/>
  <c r="H172" i="19"/>
  <c r="C182" i="19"/>
  <c r="H146" i="18"/>
  <c r="B155" i="18"/>
  <c r="C161" i="18"/>
  <c r="H166" i="18"/>
  <c r="B179" i="18"/>
  <c r="B190" i="18"/>
  <c r="B194" i="18"/>
  <c r="N17" i="16"/>
  <c r="N32" i="16"/>
  <c r="L157" i="16"/>
  <c r="D159" i="16"/>
  <c r="D160" i="16"/>
  <c r="D161" i="16"/>
  <c r="H123" i="26"/>
  <c r="J124" i="26"/>
  <c r="D126" i="26"/>
  <c r="D127" i="26"/>
  <c r="B140" i="25"/>
  <c r="J152" i="25"/>
  <c r="D138" i="24"/>
  <c r="D140" i="24"/>
  <c r="C143" i="24"/>
  <c r="C144" i="24"/>
  <c r="L150" i="24"/>
  <c r="C160" i="24"/>
  <c r="H166" i="24"/>
  <c r="D178" i="24"/>
  <c r="C188" i="24"/>
  <c r="D150" i="23"/>
  <c r="C154" i="23"/>
  <c r="C166" i="23"/>
  <c r="C168" i="23"/>
  <c r="D182" i="22"/>
  <c r="N26" i="35"/>
  <c r="W190" i="22"/>
  <c r="B155" i="5"/>
  <c r="B143" i="5"/>
  <c r="C153" i="5"/>
  <c r="J186" i="5"/>
  <c r="C161" i="14"/>
  <c r="B154" i="14"/>
  <c r="C149" i="14"/>
  <c r="L177" i="14"/>
  <c r="J165" i="14"/>
  <c r="B96" i="29"/>
  <c r="C99" i="29"/>
  <c r="B79" i="31"/>
  <c r="D80" i="31"/>
  <c r="B82" i="32"/>
  <c r="C85" i="32"/>
  <c r="C89" i="32"/>
  <c r="B81" i="34"/>
  <c r="B85" i="34"/>
  <c r="J187" i="18"/>
  <c r="N105" i="14"/>
  <c r="B85" i="28"/>
  <c r="H143" i="11"/>
  <c r="D147" i="11"/>
  <c r="B152" i="11"/>
  <c r="L153" i="11"/>
  <c r="J154" i="11"/>
  <c r="D159" i="11"/>
  <c r="B163" i="11"/>
  <c r="D168" i="11"/>
  <c r="N80" i="11"/>
  <c r="B179" i="11"/>
  <c r="C187" i="11"/>
  <c r="B189" i="11"/>
  <c r="L190" i="11"/>
  <c r="H192" i="11"/>
  <c r="L193" i="11"/>
  <c r="H175" i="9"/>
  <c r="H149" i="21"/>
  <c r="L150" i="21"/>
  <c r="B168" i="19"/>
  <c r="L169" i="19"/>
  <c r="H195" i="19"/>
  <c r="L160" i="18"/>
  <c r="C166" i="18"/>
  <c r="B169" i="18"/>
  <c r="J141" i="16"/>
  <c r="B145" i="16"/>
  <c r="B134" i="26"/>
  <c r="D140" i="25"/>
  <c r="E140" i="25" s="1"/>
  <c r="C143" i="25"/>
  <c r="B162" i="25"/>
  <c r="J142" i="24"/>
  <c r="N42" i="24"/>
  <c r="N44" i="24"/>
  <c r="J159" i="24"/>
  <c r="W142" i="24"/>
  <c r="J166" i="23"/>
  <c r="H167" i="23"/>
  <c r="H168" i="23"/>
  <c r="L100" i="29"/>
  <c r="W175" i="3"/>
  <c r="J174" i="3"/>
  <c r="D182" i="3"/>
  <c r="W188" i="3"/>
  <c r="D169" i="3"/>
  <c r="B151" i="3"/>
  <c r="N56" i="3"/>
  <c r="N24" i="3"/>
  <c r="N41" i="3"/>
  <c r="J180" i="3"/>
  <c r="H150" i="3"/>
  <c r="N16" i="3"/>
  <c r="D177" i="3"/>
  <c r="B170" i="3"/>
  <c r="D165" i="3"/>
  <c r="U190" i="15"/>
  <c r="S190" i="15"/>
  <c r="S176" i="3"/>
  <c r="T176" i="3"/>
  <c r="H180" i="7"/>
  <c r="T163" i="5"/>
  <c r="U202" i="9"/>
  <c r="S181" i="14"/>
  <c r="U181" i="14"/>
  <c r="B192" i="14"/>
  <c r="B145" i="5"/>
  <c r="H188" i="5"/>
  <c r="J188" i="5"/>
  <c r="J176" i="5"/>
  <c r="L176" i="5"/>
  <c r="C147" i="14"/>
  <c r="N35" i="31"/>
  <c r="N18" i="32"/>
  <c r="N46" i="32"/>
  <c r="J87" i="31"/>
  <c r="H87" i="31"/>
  <c r="L87" i="31"/>
  <c r="U147" i="12"/>
  <c r="J147" i="12"/>
  <c r="N79" i="11"/>
  <c r="S181" i="18"/>
  <c r="U181" i="18"/>
  <c r="N113" i="18"/>
  <c r="C195" i="18"/>
  <c r="D129" i="16"/>
  <c r="L133" i="16"/>
  <c r="J133" i="16"/>
  <c r="S160" i="25"/>
  <c r="U160" i="25"/>
  <c r="L161" i="25"/>
  <c r="J161" i="25"/>
  <c r="S174" i="25"/>
  <c r="T174" i="25"/>
  <c r="T192" i="23"/>
  <c r="W192" i="23" s="1"/>
  <c r="H192" i="23"/>
  <c r="T157" i="22"/>
  <c r="S157" i="22"/>
  <c r="N28" i="22"/>
  <c r="T179" i="22"/>
  <c r="U179" i="22"/>
  <c r="T185" i="22"/>
  <c r="U185" i="22"/>
  <c r="S185" i="22"/>
  <c r="J185" i="22"/>
  <c r="S191" i="22"/>
  <c r="B191" i="22"/>
  <c r="U191" i="22"/>
  <c r="T197" i="22"/>
  <c r="S197" i="22"/>
  <c r="L197" i="22"/>
  <c r="L162" i="13"/>
  <c r="H162" i="13"/>
  <c r="T119" i="36"/>
  <c r="U119" i="36"/>
  <c r="L133" i="35"/>
  <c r="H133" i="35"/>
  <c r="S123" i="35"/>
  <c r="T123" i="35"/>
  <c r="U123" i="35"/>
  <c r="W101" i="38"/>
  <c r="S173" i="14"/>
  <c r="U136" i="16"/>
  <c r="T136" i="16"/>
  <c r="U147" i="16"/>
  <c r="S147" i="16"/>
  <c r="H163" i="24"/>
  <c r="J163" i="24"/>
  <c r="L170" i="24"/>
  <c r="H170" i="24"/>
  <c r="T173" i="22"/>
  <c r="S173" i="22"/>
  <c r="T92" i="34"/>
  <c r="U92" i="34"/>
  <c r="N33" i="29"/>
  <c r="B94" i="29"/>
  <c r="N22" i="31"/>
  <c r="B152" i="19"/>
  <c r="H146" i="11"/>
  <c r="J146" i="11"/>
  <c r="L168" i="11"/>
  <c r="J168" i="11"/>
  <c r="J185" i="11"/>
  <c r="L185" i="11"/>
  <c r="T173" i="14"/>
  <c r="B178" i="14"/>
  <c r="T162" i="5"/>
  <c r="S162" i="5"/>
  <c r="U162" i="5"/>
  <c r="W141" i="7"/>
  <c r="L194" i="14"/>
  <c r="H182" i="14"/>
  <c r="L88" i="34"/>
  <c r="L207" i="13"/>
  <c r="N22" i="11"/>
  <c r="N68" i="11"/>
  <c r="N83" i="11"/>
  <c r="D173" i="14"/>
  <c r="L190" i="3"/>
  <c r="J178" i="3"/>
  <c r="J156" i="3"/>
  <c r="C163" i="5"/>
  <c r="J165" i="5"/>
  <c r="J153" i="5"/>
  <c r="N62" i="8"/>
  <c r="N11" i="14"/>
  <c r="N53" i="29"/>
  <c r="H87" i="32"/>
  <c r="J150" i="11"/>
  <c r="C166" i="11"/>
  <c r="C167" i="11"/>
  <c r="C168" i="11"/>
  <c r="J179" i="11"/>
  <c r="D191" i="11"/>
  <c r="H192" i="9"/>
  <c r="S205" i="9"/>
  <c r="U205" i="9"/>
  <c r="H163" i="21"/>
  <c r="J164" i="21"/>
  <c r="B181" i="21"/>
  <c r="L188" i="21"/>
  <c r="J189" i="21"/>
  <c r="D182" i="19"/>
  <c r="D194" i="19"/>
  <c r="U186" i="18"/>
  <c r="S186" i="18"/>
  <c r="B144" i="16"/>
  <c r="T149" i="16"/>
  <c r="U149" i="16"/>
  <c r="S149" i="16"/>
  <c r="U157" i="16"/>
  <c r="T157" i="16"/>
  <c r="S157" i="16"/>
  <c r="L158" i="16"/>
  <c r="J159" i="16"/>
  <c r="U124" i="26"/>
  <c r="S124" i="26"/>
  <c r="L125" i="26"/>
  <c r="J126" i="26"/>
  <c r="J127" i="26"/>
  <c r="D129" i="26"/>
  <c r="D130" i="26"/>
  <c r="L151" i="26"/>
  <c r="L166" i="5"/>
  <c r="L147" i="11"/>
  <c r="J147" i="11"/>
  <c r="H147" i="11"/>
  <c r="J97" i="34"/>
  <c r="S163" i="5"/>
  <c r="U179" i="14"/>
  <c r="C198" i="3"/>
  <c r="L146" i="5"/>
  <c r="H186" i="14"/>
  <c r="L174" i="14"/>
  <c r="N41" i="31"/>
  <c r="H98" i="29"/>
  <c r="L86" i="29"/>
  <c r="T164" i="9"/>
  <c r="S164" i="9"/>
  <c r="H97" i="34"/>
  <c r="N81" i="14"/>
  <c r="D180" i="14"/>
  <c r="H182" i="7"/>
  <c r="B180" i="3"/>
  <c r="W194" i="3"/>
  <c r="H186" i="3"/>
  <c r="W186" i="3"/>
  <c r="J170" i="3"/>
  <c r="C166" i="5"/>
  <c r="N8" i="8"/>
  <c r="N8" i="14"/>
  <c r="L154" i="14"/>
  <c r="D79" i="32"/>
  <c r="W190" i="3"/>
  <c r="T170" i="1"/>
  <c r="U170" i="1"/>
  <c r="L144" i="11"/>
  <c r="C176" i="14"/>
  <c r="H190" i="14"/>
  <c r="J190" i="14"/>
  <c r="N38" i="31"/>
  <c r="U176" i="3"/>
  <c r="N70" i="14"/>
  <c r="N78" i="14"/>
  <c r="N82" i="14"/>
  <c r="C181" i="14"/>
  <c r="N94" i="14"/>
  <c r="D167" i="7"/>
  <c r="U169" i="5"/>
  <c r="W169" i="5"/>
  <c r="J182" i="3"/>
  <c r="L174" i="3"/>
  <c r="W174" i="3"/>
  <c r="L148" i="3"/>
  <c r="N16" i="5"/>
  <c r="H150" i="14"/>
  <c r="L150" i="14"/>
  <c r="S179" i="14"/>
  <c r="L165" i="5"/>
  <c r="H99" i="34"/>
  <c r="L153" i="16"/>
  <c r="N14" i="5"/>
  <c r="U85" i="30"/>
  <c r="D171" i="14"/>
  <c r="B179" i="14"/>
  <c r="B194" i="8"/>
  <c r="B183" i="5"/>
  <c r="N100" i="5"/>
  <c r="N104" i="14"/>
  <c r="B198" i="3"/>
  <c r="N117" i="14"/>
  <c r="N8" i="3"/>
  <c r="H165" i="3"/>
  <c r="L153" i="3"/>
  <c r="B148" i="5"/>
  <c r="H166" i="5"/>
  <c r="W158" i="5"/>
  <c r="W154" i="5"/>
  <c r="L179" i="5"/>
  <c r="B143" i="7"/>
  <c r="L193" i="15"/>
  <c r="J189" i="15"/>
  <c r="N28" i="14"/>
  <c r="N9" i="14"/>
  <c r="H155" i="14"/>
  <c r="J144" i="14"/>
  <c r="N52" i="29"/>
  <c r="J94" i="31"/>
  <c r="J92" i="32"/>
  <c r="L88" i="32"/>
  <c r="L84" i="32"/>
  <c r="J80" i="32"/>
  <c r="C167" i="24"/>
  <c r="J130" i="35"/>
  <c r="J84" i="31"/>
  <c r="B183" i="25"/>
  <c r="B149" i="24"/>
  <c r="H167" i="24"/>
  <c r="N68" i="24"/>
  <c r="L148" i="23"/>
  <c r="J176" i="23"/>
  <c r="N56" i="22"/>
  <c r="H126" i="35"/>
  <c r="L124" i="35"/>
  <c r="N77" i="35"/>
  <c r="N69" i="35"/>
  <c r="N52" i="35"/>
  <c r="C139" i="25"/>
  <c r="C141" i="25"/>
  <c r="C182" i="25"/>
  <c r="L140" i="24"/>
  <c r="D142" i="24"/>
  <c r="D143" i="24"/>
  <c r="D144" i="24"/>
  <c r="C146" i="24"/>
  <c r="C148" i="24"/>
  <c r="B150" i="24"/>
  <c r="D166" i="23"/>
  <c r="D168" i="23"/>
  <c r="B188" i="23"/>
  <c r="B189" i="14"/>
  <c r="B191" i="14"/>
  <c r="D160" i="3"/>
  <c r="C162" i="3"/>
  <c r="C152" i="3"/>
  <c r="D166" i="5"/>
  <c r="N33" i="5"/>
  <c r="H181" i="5"/>
  <c r="D168" i="15"/>
  <c r="B145" i="14"/>
  <c r="D94" i="28"/>
  <c r="H156" i="11"/>
  <c r="D170" i="11"/>
  <c r="B173" i="11"/>
  <c r="H180" i="11"/>
  <c r="C183" i="11"/>
  <c r="B184" i="11"/>
  <c r="H194" i="11"/>
  <c r="B148" i="19"/>
  <c r="H146" i="16"/>
  <c r="H154" i="16"/>
  <c r="B186" i="25"/>
  <c r="B187" i="25"/>
  <c r="J143" i="23"/>
  <c r="B161" i="23"/>
  <c r="C188" i="23"/>
  <c r="B190" i="23"/>
  <c r="H143" i="17"/>
  <c r="D185" i="7"/>
  <c r="D187" i="12"/>
  <c r="D188" i="12"/>
  <c r="W87" i="29"/>
  <c r="W95" i="29"/>
  <c r="W103" i="29"/>
  <c r="T146" i="26"/>
  <c r="L160" i="19"/>
  <c r="H155" i="25"/>
  <c r="C189" i="8"/>
  <c r="B194" i="14"/>
  <c r="C169" i="3"/>
  <c r="C147" i="3"/>
  <c r="L172" i="3"/>
  <c r="L168" i="3"/>
  <c r="W158" i="3"/>
  <c r="C154" i="5"/>
  <c r="N42" i="5"/>
  <c r="N10" i="5"/>
  <c r="W159" i="5"/>
  <c r="J180" i="5"/>
  <c r="W176" i="5"/>
  <c r="C168" i="8"/>
  <c r="N12" i="8"/>
  <c r="N21" i="8"/>
  <c r="N15" i="8"/>
  <c r="D170" i="14"/>
  <c r="B169" i="14"/>
  <c r="D166" i="14"/>
  <c r="D147" i="14"/>
  <c r="B146" i="14"/>
  <c r="C82" i="31"/>
  <c r="C90" i="31"/>
  <c r="L175" i="17"/>
  <c r="H153" i="16"/>
  <c r="D154" i="16"/>
  <c r="N80" i="24"/>
  <c r="B180" i="22"/>
  <c r="L184" i="22"/>
  <c r="J180" i="22"/>
  <c r="H176" i="22"/>
  <c r="J172" i="22"/>
  <c r="H162" i="22"/>
  <c r="H86" i="38"/>
  <c r="W182" i="2"/>
  <c r="C184" i="1"/>
  <c r="L161" i="1"/>
  <c r="J198" i="1"/>
  <c r="S100" i="32"/>
  <c r="T100" i="32"/>
  <c r="U100" i="32"/>
  <c r="H174" i="3"/>
  <c r="L100" i="32"/>
  <c r="S177" i="9"/>
  <c r="L178" i="3"/>
  <c r="J160" i="11"/>
  <c r="T180" i="14"/>
  <c r="S180" i="14"/>
  <c r="U180" i="14"/>
  <c r="T191" i="15"/>
  <c r="U191" i="15"/>
  <c r="S177" i="3"/>
  <c r="J177" i="3"/>
  <c r="S192" i="3"/>
  <c r="U192" i="3"/>
  <c r="L192" i="3"/>
  <c r="M109" i="3"/>
  <c r="K109" i="3"/>
  <c r="B194" i="3" s="1"/>
  <c r="C164" i="3"/>
  <c r="J195" i="3"/>
  <c r="W195" i="3"/>
  <c r="J161" i="3"/>
  <c r="L161" i="3"/>
  <c r="C168" i="5"/>
  <c r="C162" i="5"/>
  <c r="N53" i="5"/>
  <c r="L150" i="5"/>
  <c r="W150" i="5"/>
  <c r="J150" i="5"/>
  <c r="H147" i="5"/>
  <c r="J147" i="5"/>
  <c r="L175" i="5"/>
  <c r="H175" i="5"/>
  <c r="C159" i="8"/>
  <c r="H142" i="14"/>
  <c r="L142" i="14"/>
  <c r="H79" i="32"/>
  <c r="L160" i="11"/>
  <c r="L148" i="11"/>
  <c r="N32" i="19"/>
  <c r="N55" i="11"/>
  <c r="B166" i="11"/>
  <c r="T185" i="18"/>
  <c r="S185" i="18"/>
  <c r="U156" i="16"/>
  <c r="S156" i="16"/>
  <c r="U121" i="26"/>
  <c r="S121" i="26"/>
  <c r="H153" i="25"/>
  <c r="J153" i="25"/>
  <c r="S166" i="25"/>
  <c r="U166" i="25"/>
  <c r="T168" i="25"/>
  <c r="S168" i="25"/>
  <c r="U168" i="25"/>
  <c r="U177" i="25"/>
  <c r="S177" i="25"/>
  <c r="B146" i="24"/>
  <c r="N24" i="24"/>
  <c r="U176" i="24"/>
  <c r="S176" i="24"/>
  <c r="J176" i="24"/>
  <c r="T176" i="24"/>
  <c r="L159" i="23"/>
  <c r="J159" i="23"/>
  <c r="T175" i="23"/>
  <c r="C175" i="23"/>
  <c r="U183" i="23"/>
  <c r="S183" i="23"/>
  <c r="T96" i="37"/>
  <c r="H96" i="37"/>
  <c r="S114" i="35"/>
  <c r="T114" i="35"/>
  <c r="U114" i="35"/>
  <c r="H91" i="34"/>
  <c r="H96" i="32"/>
  <c r="L96" i="32"/>
  <c r="S170" i="12"/>
  <c r="L170" i="12"/>
  <c r="J170" i="12"/>
  <c r="T181" i="12"/>
  <c r="J181" i="12"/>
  <c r="S181" i="12"/>
  <c r="S184" i="21"/>
  <c r="T184" i="21"/>
  <c r="U191" i="19"/>
  <c r="S191" i="19"/>
  <c r="S144" i="18"/>
  <c r="T144" i="18"/>
  <c r="U144" i="18"/>
  <c r="U156" i="18"/>
  <c r="T156" i="18"/>
  <c r="S174" i="18"/>
  <c r="U174" i="18"/>
  <c r="T174" i="18"/>
  <c r="S192" i="18"/>
  <c r="T192" i="18"/>
  <c r="U164" i="9"/>
  <c r="S177" i="7"/>
  <c r="T177" i="7"/>
  <c r="T181" i="3"/>
  <c r="U181" i="3"/>
  <c r="S161" i="5"/>
  <c r="U161" i="5"/>
  <c r="N19" i="14"/>
  <c r="B147" i="14"/>
  <c r="N47" i="32"/>
  <c r="L93" i="31"/>
  <c r="L173" i="5"/>
  <c r="J173" i="5"/>
  <c r="W192" i="3"/>
  <c r="L109" i="3"/>
  <c r="C194" i="3" s="1"/>
  <c r="H181" i="12"/>
  <c r="J183" i="23"/>
  <c r="B176" i="14"/>
  <c r="L163" i="3"/>
  <c r="J169" i="5"/>
  <c r="L143" i="14"/>
  <c r="C156" i="16"/>
  <c r="D148" i="11"/>
  <c r="J148" i="11"/>
  <c r="H170" i="11"/>
  <c r="L170" i="11"/>
  <c r="J170" i="11"/>
  <c r="U176" i="11"/>
  <c r="T176" i="11"/>
  <c r="T204" i="9"/>
  <c r="U204" i="9"/>
  <c r="S204" i="9"/>
  <c r="L143" i="21"/>
  <c r="H143" i="21"/>
  <c r="H160" i="21"/>
  <c r="L160" i="21"/>
  <c r="H185" i="21"/>
  <c r="L185" i="21"/>
  <c r="H139" i="16"/>
  <c r="J139" i="16"/>
  <c r="J94" i="37"/>
  <c r="L157" i="5"/>
  <c r="W157" i="5"/>
  <c r="J157" i="5"/>
  <c r="H157" i="5"/>
  <c r="J149" i="5"/>
  <c r="W149" i="5"/>
  <c r="J182" i="5"/>
  <c r="C145" i="14"/>
  <c r="N16" i="14"/>
  <c r="N53" i="32"/>
  <c r="H182" i="12"/>
  <c r="J182" i="12"/>
  <c r="S169" i="5"/>
  <c r="J186" i="3"/>
  <c r="L153" i="5"/>
  <c r="T170" i="12"/>
  <c r="H176" i="24"/>
  <c r="S138" i="16"/>
  <c r="U138" i="16"/>
  <c r="J149" i="16"/>
  <c r="H149" i="16"/>
  <c r="S182" i="7"/>
  <c r="T182" i="7"/>
  <c r="J197" i="3"/>
  <c r="L197" i="3"/>
  <c r="H89" i="31"/>
  <c r="H94" i="37"/>
  <c r="W182" i="3"/>
  <c r="H124" i="35"/>
  <c r="H88" i="34"/>
  <c r="J185" i="21"/>
  <c r="L169" i="5"/>
  <c r="W182" i="7"/>
  <c r="B177" i="3"/>
  <c r="U184" i="21"/>
  <c r="U170" i="12"/>
  <c r="N36" i="11"/>
  <c r="T166" i="25"/>
  <c r="B139" i="7"/>
  <c r="B154" i="21"/>
  <c r="J174" i="19"/>
  <c r="C114" i="35"/>
  <c r="T152" i="11"/>
  <c r="J183" i="9"/>
  <c r="S186" i="9"/>
  <c r="U186" i="9"/>
  <c r="N129" i="9"/>
  <c r="H191" i="19"/>
  <c r="N66" i="18"/>
  <c r="U173" i="18"/>
  <c r="S173" i="18"/>
  <c r="H174" i="18"/>
  <c r="J185" i="18"/>
  <c r="H154" i="17"/>
  <c r="J154" i="17"/>
  <c r="L166" i="25"/>
  <c r="N32" i="23"/>
  <c r="N36" i="23"/>
  <c r="S174" i="23"/>
  <c r="U174" i="23"/>
  <c r="L183" i="23"/>
  <c r="W147" i="23"/>
  <c r="J79" i="31"/>
  <c r="S191" i="12"/>
  <c r="T191" i="12"/>
  <c r="T180" i="17"/>
  <c r="U180" i="17"/>
  <c r="S150" i="16"/>
  <c r="W150" i="16" s="1"/>
  <c r="T150" i="16"/>
  <c r="S139" i="26"/>
  <c r="T139" i="26"/>
  <c r="S156" i="25"/>
  <c r="T156" i="25"/>
  <c r="N48" i="25"/>
  <c r="H143" i="24"/>
  <c r="J143" i="24"/>
  <c r="U168" i="24"/>
  <c r="J168" i="24"/>
  <c r="H187" i="9"/>
  <c r="L176" i="15"/>
  <c r="W103" i="37"/>
  <c r="T176" i="7"/>
  <c r="J158" i="3"/>
  <c r="J140" i="16"/>
  <c r="J174" i="18"/>
  <c r="J188" i="14"/>
  <c r="T155" i="5"/>
  <c r="H141" i="16"/>
  <c r="H160" i="19"/>
  <c r="H148" i="11"/>
  <c r="J190" i="11"/>
  <c r="U189" i="11"/>
  <c r="J193" i="11"/>
  <c r="J155" i="17"/>
  <c r="B99" i="37"/>
  <c r="L138" i="20"/>
  <c r="D140" i="20"/>
  <c r="W183" i="11"/>
  <c r="T175" i="1"/>
  <c r="U175" i="1"/>
  <c r="N108" i="14"/>
  <c r="H193" i="11"/>
  <c r="N52" i="3"/>
  <c r="N61" i="3"/>
  <c r="N21" i="3"/>
  <c r="N23" i="3"/>
  <c r="B156" i="3"/>
  <c r="N16" i="8"/>
  <c r="N59" i="14"/>
  <c r="C148" i="14"/>
  <c r="B146" i="11"/>
  <c r="B195" i="11"/>
  <c r="L155" i="9"/>
  <c r="D167" i="9"/>
  <c r="U142" i="21"/>
  <c r="S142" i="21"/>
  <c r="J143" i="21"/>
  <c r="C151" i="21"/>
  <c r="B174" i="21"/>
  <c r="D147" i="19"/>
  <c r="U172" i="19"/>
  <c r="S172" i="19"/>
  <c r="L167" i="18"/>
  <c r="D170" i="18"/>
  <c r="C172" i="18"/>
  <c r="J126" i="16"/>
  <c r="H131" i="16"/>
  <c r="C135" i="16"/>
  <c r="B137" i="16"/>
  <c r="C155" i="16"/>
  <c r="B156" i="16"/>
  <c r="B165" i="25"/>
  <c r="U183" i="25"/>
  <c r="S183" i="25"/>
  <c r="D185" i="25"/>
  <c r="D186" i="25"/>
  <c r="C190" i="25"/>
  <c r="J150" i="24"/>
  <c r="B163" i="24"/>
  <c r="C187" i="24"/>
  <c r="C144" i="23"/>
  <c r="T171" i="23"/>
  <c r="S171" i="23"/>
  <c r="B183" i="23"/>
  <c r="U187" i="23"/>
  <c r="S187" i="23"/>
  <c r="L92" i="33"/>
  <c r="H93" i="33"/>
  <c r="H99" i="33"/>
  <c r="D88" i="29"/>
  <c r="B87" i="29"/>
  <c r="H97" i="31"/>
  <c r="H180" i="3"/>
  <c r="T183" i="14"/>
  <c r="L97" i="31"/>
  <c r="H158" i="3"/>
  <c r="U181" i="10"/>
  <c r="U140" i="16"/>
  <c r="J150" i="16"/>
  <c r="B165" i="14"/>
  <c r="J159" i="5"/>
  <c r="U155" i="16"/>
  <c r="W155" i="16" s="1"/>
  <c r="T185" i="11"/>
  <c r="W185" i="11" s="1"/>
  <c r="L174" i="11"/>
  <c r="T142" i="21"/>
  <c r="B81" i="31"/>
  <c r="L154" i="19"/>
  <c r="T165" i="23"/>
  <c r="C189" i="15"/>
  <c r="B198" i="15"/>
  <c r="C165" i="2"/>
  <c r="B147" i="3"/>
  <c r="D152" i="3"/>
  <c r="B155" i="3"/>
  <c r="D156" i="3"/>
  <c r="B159" i="3"/>
  <c r="W173" i="3"/>
  <c r="H169" i="3"/>
  <c r="J162" i="3"/>
  <c r="L159" i="3"/>
  <c r="J155" i="3"/>
  <c r="H151" i="3"/>
  <c r="C159" i="5"/>
  <c r="H177" i="5"/>
  <c r="L168" i="7"/>
  <c r="J164" i="15"/>
  <c r="D88" i="28"/>
  <c r="N16" i="35"/>
  <c r="C102" i="38"/>
  <c r="L89" i="29"/>
  <c r="N52" i="32"/>
  <c r="L98" i="32"/>
  <c r="L90" i="32"/>
  <c r="J86" i="32"/>
  <c r="J82" i="32"/>
  <c r="H94" i="34"/>
  <c r="H87" i="34"/>
  <c r="L79" i="34"/>
  <c r="J101" i="37"/>
  <c r="B148" i="11"/>
  <c r="J149" i="11"/>
  <c r="H151" i="11"/>
  <c r="L152" i="11"/>
  <c r="D153" i="11"/>
  <c r="N38" i="11"/>
  <c r="N42" i="11"/>
  <c r="B161" i="11"/>
  <c r="N46" i="11"/>
  <c r="N61" i="11"/>
  <c r="N63" i="11"/>
  <c r="N76" i="11"/>
  <c r="J177" i="11"/>
  <c r="L180" i="11"/>
  <c r="J189" i="11"/>
  <c r="N26" i="9"/>
  <c r="N43" i="9"/>
  <c r="N114" i="9"/>
  <c r="N116" i="9"/>
  <c r="N99" i="21"/>
  <c r="B184" i="21"/>
  <c r="N36" i="19"/>
  <c r="J148" i="18"/>
  <c r="L149" i="18"/>
  <c r="B140" i="17"/>
  <c r="L144" i="17"/>
  <c r="B182" i="24"/>
  <c r="B193" i="23"/>
  <c r="H88" i="38"/>
  <c r="D194" i="5"/>
  <c r="W141" i="14"/>
  <c r="C199" i="3"/>
  <c r="B103" i="32"/>
  <c r="W164" i="17"/>
  <c r="D176" i="14"/>
  <c r="C184" i="14"/>
  <c r="B186" i="14"/>
  <c r="B182" i="2"/>
  <c r="W184" i="2"/>
  <c r="H184" i="2"/>
  <c r="J184" i="2"/>
  <c r="W167" i="7"/>
  <c r="N64" i="14"/>
  <c r="N12" i="14"/>
  <c r="J160" i="14"/>
  <c r="L145" i="14"/>
  <c r="C179" i="9"/>
  <c r="N82" i="9"/>
  <c r="H191" i="9"/>
  <c r="D144" i="21"/>
  <c r="B150" i="21"/>
  <c r="B151" i="21"/>
  <c r="N17" i="18"/>
  <c r="J154" i="18"/>
  <c r="H156" i="18"/>
  <c r="J164" i="18"/>
  <c r="B172" i="18"/>
  <c r="N88" i="18"/>
  <c r="B186" i="17"/>
  <c r="D131" i="16"/>
  <c r="C145" i="16"/>
  <c r="L149" i="26"/>
  <c r="B153" i="26"/>
  <c r="B154" i="26"/>
  <c r="J140" i="25"/>
  <c r="L141" i="25"/>
  <c r="S158" i="25"/>
  <c r="C162" i="25"/>
  <c r="L182" i="25"/>
  <c r="C185" i="25"/>
  <c r="C186" i="25"/>
  <c r="C187" i="25"/>
  <c r="B174" i="24"/>
  <c r="J170" i="23"/>
  <c r="H171" i="23"/>
  <c r="N76" i="23"/>
  <c r="H179" i="23"/>
  <c r="D188" i="23"/>
  <c r="C190" i="23"/>
  <c r="W142" i="14"/>
  <c r="H81" i="31"/>
  <c r="B137" i="21"/>
  <c r="D100" i="33"/>
  <c r="L130" i="20"/>
  <c r="D137" i="20"/>
  <c r="C141" i="20"/>
  <c r="B143" i="20"/>
  <c r="C200" i="19"/>
  <c r="B182" i="3"/>
  <c r="D190" i="3"/>
  <c r="B154" i="2"/>
  <c r="B163" i="3"/>
  <c r="D150" i="3"/>
  <c r="D158" i="3"/>
  <c r="L198" i="3"/>
  <c r="J194" i="3"/>
  <c r="W171" i="3"/>
  <c r="H160" i="3"/>
  <c r="J153" i="3"/>
  <c r="C157" i="5"/>
  <c r="B167" i="5"/>
  <c r="D140" i="5"/>
  <c r="C89" i="31"/>
  <c r="C93" i="31"/>
  <c r="N22" i="35"/>
  <c r="L91" i="28"/>
  <c r="J83" i="29"/>
  <c r="N43" i="32"/>
  <c r="J92" i="34"/>
  <c r="L81" i="34"/>
  <c r="L103" i="37"/>
  <c r="D143" i="11"/>
  <c r="C145" i="11"/>
  <c r="C146" i="11"/>
  <c r="N27" i="11"/>
  <c r="C156" i="11"/>
  <c r="C165" i="11"/>
  <c r="N56" i="11"/>
  <c r="N58" i="11"/>
  <c r="B170" i="11"/>
  <c r="L173" i="11"/>
  <c r="C176" i="11"/>
  <c r="N77" i="11"/>
  <c r="B178" i="11"/>
  <c r="D180" i="11"/>
  <c r="L184" i="11"/>
  <c r="B187" i="11"/>
  <c r="E187" i="11" s="1"/>
  <c r="N99" i="11"/>
  <c r="D149" i="21"/>
  <c r="D150" i="21"/>
  <c r="B159" i="21"/>
  <c r="B187" i="21"/>
  <c r="J143" i="26"/>
  <c r="L185" i="25"/>
  <c r="L187" i="25"/>
  <c r="N187" i="25" s="1"/>
  <c r="D190" i="25"/>
  <c r="C163" i="24"/>
  <c r="B166" i="24"/>
  <c r="W159" i="8"/>
  <c r="W167" i="8"/>
  <c r="D94" i="29"/>
  <c r="C92" i="29"/>
  <c r="C106" i="29"/>
  <c r="N79" i="14"/>
  <c r="N75" i="8"/>
  <c r="C185" i="8"/>
  <c r="B186" i="3"/>
  <c r="D184" i="2"/>
  <c r="E184" i="2" s="1"/>
  <c r="D185" i="2"/>
  <c r="N105" i="3"/>
  <c r="B160" i="3"/>
  <c r="N43" i="3"/>
  <c r="N59" i="3"/>
  <c r="N17" i="3"/>
  <c r="N19" i="3"/>
  <c r="N45" i="8"/>
  <c r="N53" i="8"/>
  <c r="N35" i="8"/>
  <c r="L186" i="14"/>
  <c r="L182" i="14"/>
  <c r="L178" i="14"/>
  <c r="N178" i="14" s="1"/>
  <c r="J174" i="14"/>
  <c r="H170" i="14"/>
  <c r="H151" i="14"/>
  <c r="C88" i="37"/>
  <c r="D157" i="12"/>
  <c r="D145" i="11"/>
  <c r="D146" i="11"/>
  <c r="D203" i="9"/>
  <c r="L149" i="21"/>
  <c r="C185" i="21"/>
  <c r="C186" i="21"/>
  <c r="B188" i="21"/>
  <c r="B189" i="21"/>
  <c r="J148" i="19"/>
  <c r="C157" i="19"/>
  <c r="H166" i="19"/>
  <c r="D198" i="19"/>
  <c r="B148" i="18"/>
  <c r="B149" i="18"/>
  <c r="D184" i="18"/>
  <c r="D194" i="18"/>
  <c r="B160" i="17"/>
  <c r="H162" i="17"/>
  <c r="L188" i="17"/>
  <c r="L189" i="17"/>
  <c r="H135" i="16"/>
  <c r="B158" i="16"/>
  <c r="B159" i="16"/>
  <c r="B160" i="16"/>
  <c r="D120" i="26"/>
  <c r="C122" i="26"/>
  <c r="C123" i="26"/>
  <c r="D149" i="25"/>
  <c r="C152" i="25"/>
  <c r="C153" i="25"/>
  <c r="B155" i="25"/>
  <c r="C178" i="25"/>
  <c r="H190" i="25"/>
  <c r="H159" i="24"/>
  <c r="D163" i="24"/>
  <c r="D164" i="24"/>
  <c r="J186" i="24"/>
  <c r="H187" i="24"/>
  <c r="H188" i="24"/>
  <c r="B149" i="23"/>
  <c r="C160" i="23"/>
  <c r="B162" i="23"/>
  <c r="B163" i="23"/>
  <c r="B164" i="23"/>
  <c r="W154" i="14"/>
  <c r="J83" i="38"/>
  <c r="H83" i="38"/>
  <c r="D134" i="35"/>
  <c r="N7" i="14"/>
  <c r="N120" i="3"/>
  <c r="B96" i="31"/>
  <c r="E96" i="31" s="1"/>
  <c r="B97" i="31"/>
  <c r="B204" i="15"/>
  <c r="L201" i="15"/>
  <c r="L197" i="15"/>
  <c r="D170" i="1"/>
  <c r="W145" i="1"/>
  <c r="J170" i="1"/>
  <c r="J185" i="1"/>
  <c r="W175" i="1"/>
  <c r="J196" i="1"/>
  <c r="W159" i="22"/>
  <c r="H158" i="22"/>
  <c r="H151" i="22"/>
  <c r="L195" i="22"/>
  <c r="S183" i="22"/>
  <c r="H184" i="22"/>
  <c r="J158" i="22"/>
  <c r="H195" i="22"/>
  <c r="T195" i="22"/>
  <c r="T177" i="22"/>
  <c r="C182" i="22"/>
  <c r="B196" i="22"/>
  <c r="N118" i="22"/>
  <c r="W172" i="22"/>
  <c r="W180" i="22"/>
  <c r="W202" i="22"/>
  <c r="U183" i="22"/>
  <c r="L176" i="22"/>
  <c r="H191" i="22"/>
  <c r="B151" i="22"/>
  <c r="N95" i="23"/>
  <c r="B187" i="23"/>
  <c r="H169" i="24"/>
  <c r="N76" i="24"/>
  <c r="B173" i="24"/>
  <c r="N86" i="24"/>
  <c r="N88" i="24"/>
  <c r="W162" i="24"/>
  <c r="S173" i="24"/>
  <c r="H186" i="24"/>
  <c r="L143" i="24"/>
  <c r="T168" i="24"/>
  <c r="S184" i="24"/>
  <c r="W184" i="24" s="1"/>
  <c r="N6" i="24"/>
  <c r="W192" i="24"/>
  <c r="B154" i="25"/>
  <c r="J171" i="25"/>
  <c r="N98" i="25"/>
  <c r="S180" i="25"/>
  <c r="U156" i="25"/>
  <c r="N22" i="25"/>
  <c r="N24" i="25"/>
  <c r="C147" i="25"/>
  <c r="C154" i="25"/>
  <c r="S188" i="25"/>
  <c r="W188" i="25" s="1"/>
  <c r="U180" i="25"/>
  <c r="N78" i="25"/>
  <c r="N74" i="25"/>
  <c r="J172" i="25"/>
  <c r="T124" i="26"/>
  <c r="N75" i="26"/>
  <c r="N77" i="26"/>
  <c r="W134" i="26"/>
  <c r="B121" i="26"/>
  <c r="B131" i="26"/>
  <c r="D133" i="26"/>
  <c r="L138" i="26"/>
  <c r="N45" i="26"/>
  <c r="C140" i="26"/>
  <c r="L146" i="26"/>
  <c r="B150" i="26"/>
  <c r="N66" i="26"/>
  <c r="T152" i="26"/>
  <c r="T121" i="26"/>
  <c r="S147" i="26"/>
  <c r="N27" i="26"/>
  <c r="N47" i="26"/>
  <c r="B144" i="26"/>
  <c r="U140" i="26"/>
  <c r="W140" i="26" s="1"/>
  <c r="S132" i="26"/>
  <c r="T147" i="26"/>
  <c r="J140" i="26"/>
  <c r="L90" i="37"/>
  <c r="B91" i="37"/>
  <c r="D92" i="37"/>
  <c r="B95" i="37"/>
  <c r="B103" i="37"/>
  <c r="B105" i="37"/>
  <c r="U88" i="37"/>
  <c r="U105" i="37"/>
  <c r="L105" i="37"/>
  <c r="J89" i="37"/>
  <c r="L84" i="37"/>
  <c r="N84" i="37" s="1"/>
  <c r="J90" i="37"/>
  <c r="S105" i="37"/>
  <c r="H104" i="37"/>
  <c r="L102" i="37"/>
  <c r="C104" i="37"/>
  <c r="N60" i="37"/>
  <c r="L104" i="37"/>
  <c r="T87" i="37"/>
  <c r="W87" i="37" s="1"/>
  <c r="J102" i="37"/>
  <c r="D104" i="37"/>
  <c r="N21" i="37"/>
  <c r="N39" i="37"/>
  <c r="J100" i="37"/>
  <c r="J88" i="37"/>
  <c r="W93" i="37"/>
  <c r="W98" i="37"/>
  <c r="N18" i="37"/>
  <c r="C86" i="37"/>
  <c r="B85" i="37"/>
  <c r="N36" i="37"/>
  <c r="H97" i="37"/>
  <c r="L93" i="37"/>
  <c r="D107" i="37"/>
  <c r="N62" i="36"/>
  <c r="J125" i="16"/>
  <c r="H125" i="16"/>
  <c r="U125" i="16"/>
  <c r="W125" i="16" s="1"/>
  <c r="L149" i="16"/>
  <c r="T148" i="16"/>
  <c r="U148" i="16"/>
  <c r="T138" i="16"/>
  <c r="N84" i="16"/>
  <c r="D125" i="16"/>
  <c r="C148" i="16"/>
  <c r="B125" i="16"/>
  <c r="B152" i="16"/>
  <c r="H157" i="16"/>
  <c r="C138" i="16"/>
  <c r="D138" i="16"/>
  <c r="T156" i="16"/>
  <c r="T143" i="16"/>
  <c r="U143" i="16"/>
  <c r="C143" i="16"/>
  <c r="T152" i="16"/>
  <c r="C125" i="16"/>
  <c r="W131" i="16"/>
  <c r="N19" i="35"/>
  <c r="N28" i="35"/>
  <c r="B120" i="35"/>
  <c r="C122" i="35"/>
  <c r="N39" i="35"/>
  <c r="D122" i="35"/>
  <c r="N33" i="35"/>
  <c r="C126" i="35"/>
  <c r="L122" i="35"/>
  <c r="J120" i="35"/>
  <c r="L117" i="35"/>
  <c r="J134" i="35"/>
  <c r="J133" i="35"/>
  <c r="H131" i="35"/>
  <c r="N74" i="35"/>
  <c r="N66" i="35"/>
  <c r="B131" i="35"/>
  <c r="B128" i="35"/>
  <c r="N71" i="35"/>
  <c r="N67" i="35"/>
  <c r="N63" i="35"/>
  <c r="N54" i="35"/>
  <c r="N50" i="35"/>
  <c r="W122" i="35"/>
  <c r="W131" i="35"/>
  <c r="J132" i="35"/>
  <c r="N29" i="35"/>
  <c r="N43" i="35"/>
  <c r="N35" i="35"/>
  <c r="B123" i="35"/>
  <c r="J125" i="35"/>
  <c r="L115" i="35"/>
  <c r="J128" i="35"/>
  <c r="B129" i="35"/>
  <c r="D131" i="35"/>
  <c r="W130" i="35"/>
  <c r="J127" i="35"/>
  <c r="B119" i="35"/>
  <c r="B132" i="35"/>
  <c r="L131" i="35"/>
  <c r="D125" i="35"/>
  <c r="B117" i="35"/>
  <c r="N57" i="35"/>
  <c r="H117" i="35"/>
  <c r="L134" i="35"/>
  <c r="J117" i="35"/>
  <c r="N23" i="35"/>
  <c r="L129" i="35"/>
  <c r="N20" i="35"/>
  <c r="W126" i="35"/>
  <c r="L130" i="35"/>
  <c r="J131" i="35"/>
  <c r="N13" i="35"/>
  <c r="N17" i="35"/>
  <c r="J114" i="35"/>
  <c r="C121" i="35"/>
  <c r="N79" i="35"/>
  <c r="N81" i="35"/>
  <c r="W136" i="35"/>
  <c r="N12" i="35"/>
  <c r="B122" i="35"/>
  <c r="W128" i="35"/>
  <c r="H183" i="17"/>
  <c r="J183" i="17"/>
  <c r="B181" i="17"/>
  <c r="D158" i="17"/>
  <c r="S174" i="17"/>
  <c r="L146" i="17"/>
  <c r="T182" i="17"/>
  <c r="W182" i="17" s="1"/>
  <c r="N30" i="18"/>
  <c r="W190" i="18"/>
  <c r="H153" i="18"/>
  <c r="N78" i="18"/>
  <c r="L174" i="18"/>
  <c r="T162" i="18"/>
  <c r="L154" i="18"/>
  <c r="L164" i="18"/>
  <c r="U178" i="18"/>
  <c r="B156" i="18"/>
  <c r="H195" i="18"/>
  <c r="N38" i="18"/>
  <c r="H159" i="18"/>
  <c r="L162" i="18"/>
  <c r="N60" i="18"/>
  <c r="N62" i="18"/>
  <c r="N80" i="18"/>
  <c r="C181" i="18"/>
  <c r="H187" i="18"/>
  <c r="N107" i="18"/>
  <c r="N6" i="18"/>
  <c r="S187" i="18"/>
  <c r="W187" i="18" s="1"/>
  <c r="U150" i="18"/>
  <c r="H192" i="18"/>
  <c r="S171" i="18"/>
  <c r="W171" i="18" s="1"/>
  <c r="D177" i="18"/>
  <c r="B175" i="13"/>
  <c r="D172" i="13"/>
  <c r="H204" i="13"/>
  <c r="N50" i="19"/>
  <c r="J150" i="19"/>
  <c r="N150" i="19" s="1"/>
  <c r="L180" i="19"/>
  <c r="N93" i="19"/>
  <c r="N98" i="19"/>
  <c r="C192" i="19"/>
  <c r="N112" i="19"/>
  <c r="N11" i="20"/>
  <c r="N15" i="20"/>
  <c r="N46" i="20"/>
  <c r="N103" i="20"/>
  <c r="N59" i="20"/>
  <c r="N24" i="21"/>
  <c r="J152" i="21"/>
  <c r="N64" i="21"/>
  <c r="N96" i="21"/>
  <c r="H154" i="21"/>
  <c r="J154" i="21"/>
  <c r="T152" i="21"/>
  <c r="C146" i="21"/>
  <c r="U168" i="21"/>
  <c r="U152" i="21"/>
  <c r="N48" i="21"/>
  <c r="N73" i="21"/>
  <c r="N84" i="21"/>
  <c r="N89" i="21"/>
  <c r="N103" i="21"/>
  <c r="N105" i="21"/>
  <c r="W139" i="21"/>
  <c r="D160" i="21"/>
  <c r="N15" i="21"/>
  <c r="N17" i="21"/>
  <c r="N18" i="21"/>
  <c r="N20" i="21"/>
  <c r="N22" i="21"/>
  <c r="N29" i="21"/>
  <c r="N38" i="21"/>
  <c r="N40" i="21"/>
  <c r="N42" i="21"/>
  <c r="N67" i="21"/>
  <c r="L83" i="34"/>
  <c r="L100" i="34"/>
  <c r="N8" i="34"/>
  <c r="N10" i="34"/>
  <c r="N17" i="34"/>
  <c r="N19" i="34"/>
  <c r="D89" i="34"/>
  <c r="C78" i="34"/>
  <c r="S78" i="34"/>
  <c r="T78" i="34"/>
  <c r="D78" i="34"/>
  <c r="H96" i="34"/>
  <c r="U89" i="34"/>
  <c r="B78" i="34"/>
  <c r="L78" i="34"/>
  <c r="D92" i="34"/>
  <c r="N68" i="9"/>
  <c r="L186" i="9"/>
  <c r="N44" i="9"/>
  <c r="T161" i="9"/>
  <c r="U176" i="9"/>
  <c r="H186" i="9"/>
  <c r="T170" i="9"/>
  <c r="S202" i="9"/>
  <c r="H196" i="9"/>
  <c r="N113" i="11"/>
  <c r="N90" i="11"/>
  <c r="L162" i="11"/>
  <c r="L178" i="11"/>
  <c r="J188" i="11"/>
  <c r="N103" i="11"/>
  <c r="T174" i="12"/>
  <c r="S174" i="12"/>
  <c r="U174" i="12"/>
  <c r="W87" i="32"/>
  <c r="W95" i="32"/>
  <c r="N55" i="32"/>
  <c r="C96" i="32"/>
  <c r="D98" i="32"/>
  <c r="L184" i="14"/>
  <c r="N97" i="14"/>
  <c r="L165" i="14"/>
  <c r="H177" i="14"/>
  <c r="C144" i="14"/>
  <c r="T181" i="14"/>
  <c r="D174" i="14"/>
  <c r="B174" i="14"/>
  <c r="D181" i="14"/>
  <c r="N90" i="14"/>
  <c r="C182" i="14"/>
  <c r="D183" i="14"/>
  <c r="C185" i="14"/>
  <c r="N106" i="14"/>
  <c r="N61" i="14"/>
  <c r="N56" i="14"/>
  <c r="N53" i="14"/>
  <c r="B162" i="14"/>
  <c r="N48" i="14"/>
  <c r="B158" i="14"/>
  <c r="D157" i="14"/>
  <c r="N40" i="14"/>
  <c r="N32" i="14"/>
  <c r="N31" i="14"/>
  <c r="N27" i="14"/>
  <c r="N24" i="14"/>
  <c r="B148" i="14"/>
  <c r="N15" i="14"/>
  <c r="N35" i="14"/>
  <c r="J164" i="14"/>
  <c r="J162" i="14"/>
  <c r="L160" i="14"/>
  <c r="H158" i="14"/>
  <c r="J156" i="14"/>
  <c r="H154" i="14"/>
  <c r="L147" i="14"/>
  <c r="W193" i="14"/>
  <c r="J177" i="14"/>
  <c r="B183" i="14"/>
  <c r="N36" i="14"/>
  <c r="S184" i="14"/>
  <c r="C157" i="14"/>
  <c r="C155" i="14"/>
  <c r="C151" i="14"/>
  <c r="D146" i="14"/>
  <c r="C142" i="14"/>
  <c r="L191" i="14"/>
  <c r="H187" i="14"/>
  <c r="H171" i="14"/>
  <c r="J167" i="14"/>
  <c r="J152" i="14"/>
  <c r="H143" i="14"/>
  <c r="T184" i="14"/>
  <c r="N100" i="14"/>
  <c r="N71" i="14"/>
  <c r="N95" i="14"/>
  <c r="N96" i="14"/>
  <c r="J184" i="14"/>
  <c r="H180" i="14"/>
  <c r="L176" i="14"/>
  <c r="L172" i="14"/>
  <c r="H144" i="14"/>
  <c r="W159" i="14"/>
  <c r="W147" i="14"/>
  <c r="L158" i="14"/>
  <c r="C154" i="14"/>
  <c r="H174" i="14"/>
  <c r="L170" i="14"/>
  <c r="L144" i="14"/>
  <c r="J194" i="14"/>
  <c r="J176" i="14"/>
  <c r="H192" i="14"/>
  <c r="D175" i="14"/>
  <c r="J158" i="14"/>
  <c r="L190" i="14"/>
  <c r="C160" i="14"/>
  <c r="J149" i="14"/>
  <c r="H168" i="14"/>
  <c r="L185" i="14"/>
  <c r="T185" i="14"/>
  <c r="B185" i="14"/>
  <c r="J151" i="14"/>
  <c r="J186" i="14"/>
  <c r="H147" i="14"/>
  <c r="H164" i="14"/>
  <c r="J147" i="14"/>
  <c r="J170" i="14"/>
  <c r="C152" i="14"/>
  <c r="L180" i="14"/>
  <c r="L188" i="14"/>
  <c r="L192" i="14"/>
  <c r="J154" i="14"/>
  <c r="J182" i="14"/>
  <c r="H185" i="14"/>
  <c r="L153" i="14"/>
  <c r="N153" i="14" s="1"/>
  <c r="J172" i="14"/>
  <c r="B184" i="14"/>
  <c r="L156" i="14"/>
  <c r="N41" i="14"/>
  <c r="N20" i="14"/>
  <c r="D144" i="14"/>
  <c r="W143" i="14"/>
  <c r="W151" i="14"/>
  <c r="W155" i="14"/>
  <c r="W163" i="14"/>
  <c r="W167" i="14"/>
  <c r="L162" i="14"/>
  <c r="T172" i="14"/>
  <c r="H172" i="14"/>
  <c r="J180" i="14"/>
  <c r="H156" i="14"/>
  <c r="B171" i="14"/>
  <c r="D177" i="14"/>
  <c r="N84" i="14"/>
  <c r="W182" i="14"/>
  <c r="B195" i="14"/>
  <c r="B170" i="14"/>
  <c r="N66" i="14"/>
  <c r="B168" i="14"/>
  <c r="D167" i="14"/>
  <c r="N58" i="14"/>
  <c r="D164" i="14"/>
  <c r="N54" i="14"/>
  <c r="D162" i="14"/>
  <c r="N50" i="14"/>
  <c r="N46" i="14"/>
  <c r="B159" i="14"/>
  <c r="N39" i="14"/>
  <c r="B155" i="14"/>
  <c r="N34" i="14"/>
  <c r="W174" i="14"/>
  <c r="W187" i="14"/>
  <c r="W191" i="14"/>
  <c r="W190" i="14"/>
  <c r="W170" i="14"/>
  <c r="W166" i="14"/>
  <c r="W164" i="14"/>
  <c r="W162" i="14"/>
  <c r="W158" i="14"/>
  <c r="W150" i="14"/>
  <c r="W146" i="14"/>
  <c r="U156" i="15"/>
  <c r="S186" i="15"/>
  <c r="S156" i="15"/>
  <c r="C181" i="15"/>
  <c r="D176" i="15"/>
  <c r="B175" i="15"/>
  <c r="W176" i="15"/>
  <c r="W184" i="15"/>
  <c r="D172" i="8"/>
  <c r="D166" i="8"/>
  <c r="D168" i="8"/>
  <c r="B175" i="8"/>
  <c r="B177" i="8"/>
  <c r="B155" i="8"/>
  <c r="L150" i="8"/>
  <c r="N6" i="8"/>
  <c r="W153" i="8"/>
  <c r="W161" i="8"/>
  <c r="W169" i="8"/>
  <c r="N78" i="8"/>
  <c r="C186" i="8"/>
  <c r="C194" i="8"/>
  <c r="N49" i="8"/>
  <c r="C170" i="8"/>
  <c r="C150" i="8"/>
  <c r="C152" i="8"/>
  <c r="N17" i="8"/>
  <c r="C156" i="8"/>
  <c r="N29" i="8"/>
  <c r="N37" i="8"/>
  <c r="N84" i="8"/>
  <c r="C172" i="8"/>
  <c r="N86" i="8"/>
  <c r="C181" i="8"/>
  <c r="N82" i="8"/>
  <c r="C187" i="8"/>
  <c r="N98" i="8"/>
  <c r="C178" i="8"/>
  <c r="B164" i="8"/>
  <c r="C165" i="8"/>
  <c r="N44" i="8"/>
  <c r="N46" i="8"/>
  <c r="N47" i="8"/>
  <c r="N48" i="8"/>
  <c r="N50" i="8"/>
  <c r="N51" i="8"/>
  <c r="N52" i="8"/>
  <c r="B170" i="8"/>
  <c r="N55" i="8"/>
  <c r="N59" i="8"/>
  <c r="N61" i="8"/>
  <c r="N68" i="8"/>
  <c r="N10" i="8"/>
  <c r="N11" i="8"/>
  <c r="B152" i="8"/>
  <c r="C153" i="8"/>
  <c r="N19" i="8"/>
  <c r="N23" i="8"/>
  <c r="D157" i="8"/>
  <c r="B158" i="8"/>
  <c r="N27" i="8"/>
  <c r="D159" i="8"/>
  <c r="N32" i="8"/>
  <c r="N34" i="8"/>
  <c r="N30" i="8"/>
  <c r="N33" i="8"/>
  <c r="N58" i="8"/>
  <c r="N99" i="8"/>
  <c r="W177" i="8"/>
  <c r="W199" i="8"/>
  <c r="C157" i="8"/>
  <c r="L203" i="8"/>
  <c r="D185" i="8"/>
  <c r="N14" i="8"/>
  <c r="L80" i="31"/>
  <c r="W95" i="31"/>
  <c r="L142" i="7"/>
  <c r="B164" i="7"/>
  <c r="C167" i="5"/>
  <c r="D158" i="5"/>
  <c r="N117" i="5"/>
  <c r="D109" i="28"/>
  <c r="N31" i="3"/>
  <c r="L187" i="3"/>
  <c r="L179" i="3"/>
  <c r="H175" i="3"/>
  <c r="N64" i="3"/>
  <c r="C179" i="3"/>
  <c r="D184" i="3"/>
  <c r="N10" i="3"/>
  <c r="W169" i="3"/>
  <c r="D188" i="3"/>
  <c r="N48" i="3"/>
  <c r="U187" i="3"/>
  <c r="J179" i="3"/>
  <c r="W159" i="3"/>
  <c r="H188" i="3"/>
  <c r="T187" i="3"/>
  <c r="S188" i="3"/>
  <c r="L188" i="3"/>
  <c r="U188" i="3"/>
  <c r="B175" i="3"/>
  <c r="D185" i="3"/>
  <c r="C163" i="3"/>
  <c r="L171" i="3"/>
  <c r="J159" i="3"/>
  <c r="L155" i="3"/>
  <c r="D192" i="3"/>
  <c r="C192" i="3"/>
  <c r="L176" i="3"/>
  <c r="S191" i="3"/>
  <c r="W179" i="3"/>
  <c r="S185" i="3"/>
  <c r="J151" i="3"/>
  <c r="C155" i="3"/>
  <c r="N61" i="2"/>
  <c r="D165" i="2"/>
  <c r="N158" i="2"/>
  <c r="N177" i="2"/>
  <c r="N52" i="1"/>
  <c r="L170" i="1"/>
  <c r="J143" i="1"/>
  <c r="D195" i="1"/>
  <c r="S167" i="1"/>
  <c r="D196" i="1"/>
  <c r="D155" i="1"/>
  <c r="C147" i="1"/>
  <c r="W155" i="1"/>
  <c r="W148" i="1"/>
  <c r="H192" i="1"/>
  <c r="H180" i="1"/>
  <c r="T151" i="1"/>
  <c r="U158" i="19"/>
  <c r="T158" i="19"/>
  <c r="J98" i="32"/>
  <c r="H114" i="35"/>
  <c r="D119" i="35"/>
  <c r="L103" i="29"/>
  <c r="U147" i="18"/>
  <c r="C147" i="18"/>
  <c r="S147" i="18"/>
  <c r="D154" i="14"/>
  <c r="C165" i="14"/>
  <c r="N69" i="14"/>
  <c r="U166" i="9"/>
  <c r="C184" i="9"/>
  <c r="U173" i="9"/>
  <c r="D161" i="8"/>
  <c r="H178" i="11"/>
  <c r="N105" i="11"/>
  <c r="L177" i="11"/>
  <c r="N14" i="11"/>
  <c r="J180" i="11"/>
  <c r="U178" i="11"/>
  <c r="W178" i="11" s="1"/>
  <c r="J162" i="11"/>
  <c r="H150" i="19"/>
  <c r="R48" i="25"/>
  <c r="H158" i="25" s="1"/>
  <c r="N37" i="3"/>
  <c r="S163" i="19"/>
  <c r="U163" i="19"/>
  <c r="T141" i="26"/>
  <c r="U141" i="26"/>
  <c r="U138" i="25"/>
  <c r="S138" i="25"/>
  <c r="L165" i="25"/>
  <c r="J165" i="25"/>
  <c r="S176" i="25"/>
  <c r="U176" i="25"/>
  <c r="H101" i="37"/>
  <c r="J84" i="32"/>
  <c r="D115" i="35"/>
  <c r="N51" i="14"/>
  <c r="U178" i="12"/>
  <c r="S173" i="9"/>
  <c r="U192" i="9"/>
  <c r="L147" i="19"/>
  <c r="N70" i="8"/>
  <c r="T191" i="11"/>
  <c r="W191" i="11" s="1"/>
  <c r="S191" i="11"/>
  <c r="J178" i="11"/>
  <c r="B191" i="11"/>
  <c r="W179" i="11"/>
  <c r="C169" i="11"/>
  <c r="U177" i="11"/>
  <c r="B177" i="11"/>
  <c r="H152" i="11"/>
  <c r="N59" i="11"/>
  <c r="L162" i="19"/>
  <c r="T172" i="25"/>
  <c r="C147" i="11"/>
  <c r="N16" i="11"/>
  <c r="U162" i="11"/>
  <c r="T162" i="11"/>
  <c r="T177" i="11"/>
  <c r="H177" i="11"/>
  <c r="S177" i="11"/>
  <c r="T192" i="19"/>
  <c r="U192" i="19"/>
  <c r="C155" i="25"/>
  <c r="T166" i="7"/>
  <c r="R64" i="7"/>
  <c r="J166" i="7" s="1"/>
  <c r="L114" i="35"/>
  <c r="L159" i="12"/>
  <c r="S141" i="26"/>
  <c r="U148" i="26"/>
  <c r="S145" i="26"/>
  <c r="W171" i="14"/>
  <c r="N97" i="11"/>
  <c r="H191" i="11"/>
  <c r="J152" i="11"/>
  <c r="H184" i="11"/>
  <c r="N184" i="11" s="1"/>
  <c r="H179" i="11"/>
  <c r="T205" i="9"/>
  <c r="C176" i="21"/>
  <c r="T181" i="21"/>
  <c r="T176" i="25"/>
  <c r="U185" i="1"/>
  <c r="T185" i="1"/>
  <c r="B167" i="3"/>
  <c r="C179" i="14"/>
  <c r="N90" i="5"/>
  <c r="N113" i="13"/>
  <c r="N112" i="14"/>
  <c r="D164" i="1"/>
  <c r="W155" i="2"/>
  <c r="H161" i="5"/>
  <c r="L149" i="5"/>
  <c r="L190" i="5"/>
  <c r="L188" i="5"/>
  <c r="J184" i="5"/>
  <c r="D178" i="8"/>
  <c r="D177" i="8"/>
  <c r="B156" i="8"/>
  <c r="J185" i="15"/>
  <c r="C141" i="26"/>
  <c r="W187" i="11"/>
  <c r="W145" i="24"/>
  <c r="N79" i="15"/>
  <c r="N87" i="8"/>
  <c r="N94" i="8"/>
  <c r="N97" i="8"/>
  <c r="N100" i="8"/>
  <c r="C193" i="8"/>
  <c r="C178" i="1"/>
  <c r="C182" i="1"/>
  <c r="N102" i="14"/>
  <c r="D188" i="14"/>
  <c r="B187" i="5"/>
  <c r="N107" i="14"/>
  <c r="C198" i="8"/>
  <c r="B188" i="7"/>
  <c r="B190" i="5"/>
  <c r="D156" i="2"/>
  <c r="B159" i="2"/>
  <c r="D160" i="2"/>
  <c r="D154" i="2"/>
  <c r="N42" i="3"/>
  <c r="B168" i="3"/>
  <c r="N60" i="3"/>
  <c r="D171" i="3"/>
  <c r="N9" i="3"/>
  <c r="B148" i="3"/>
  <c r="D149" i="3"/>
  <c r="B150" i="3"/>
  <c r="D151" i="3"/>
  <c r="B152" i="3"/>
  <c r="D153" i="3"/>
  <c r="D157" i="3"/>
  <c r="N50" i="3"/>
  <c r="W172" i="1"/>
  <c r="W162" i="2"/>
  <c r="W154" i="2"/>
  <c r="W150" i="2"/>
  <c r="H158" i="5"/>
  <c r="H154" i="5"/>
  <c r="H176" i="5"/>
  <c r="L172" i="5"/>
  <c r="D144" i="7"/>
  <c r="N43" i="7"/>
  <c r="N8" i="7"/>
  <c r="N10" i="7"/>
  <c r="C142" i="7"/>
  <c r="W187" i="7"/>
  <c r="H179" i="7"/>
  <c r="L163" i="7"/>
  <c r="N41" i="8"/>
  <c r="C174" i="8"/>
  <c r="D174" i="8"/>
  <c r="N65" i="8"/>
  <c r="D154" i="8"/>
  <c r="N24" i="8"/>
  <c r="C162" i="8"/>
  <c r="D177" i="15"/>
  <c r="C174" i="15"/>
  <c r="N38" i="15"/>
  <c r="D165" i="15"/>
  <c r="D162" i="15"/>
  <c r="N11" i="15"/>
  <c r="H177" i="15"/>
  <c r="L162" i="15"/>
  <c r="N68" i="7"/>
  <c r="H176" i="7"/>
  <c r="D180" i="5"/>
  <c r="D176" i="3"/>
  <c r="C178" i="3"/>
  <c r="N20" i="1"/>
  <c r="H168" i="3"/>
  <c r="J148" i="3"/>
  <c r="W144" i="5"/>
  <c r="L177" i="5"/>
  <c r="D143" i="7"/>
  <c r="B133" i="35"/>
  <c r="N28" i="32"/>
  <c r="C90" i="32"/>
  <c r="C100" i="32"/>
  <c r="N37" i="35"/>
  <c r="L76" i="30"/>
  <c r="H94" i="31"/>
  <c r="N48" i="12"/>
  <c r="C199" i="9"/>
  <c r="N123" i="9"/>
  <c r="N125" i="9"/>
  <c r="N127" i="9"/>
  <c r="N21" i="19"/>
  <c r="N23" i="19"/>
  <c r="N48" i="19"/>
  <c r="D172" i="19"/>
  <c r="N63" i="19"/>
  <c r="N84" i="19"/>
  <c r="W193" i="18"/>
  <c r="D179" i="17"/>
  <c r="W122" i="26"/>
  <c r="W126" i="26"/>
  <c r="W154" i="26"/>
  <c r="C180" i="25"/>
  <c r="B180" i="23"/>
  <c r="N98" i="23"/>
  <c r="D187" i="23"/>
  <c r="C184" i="22"/>
  <c r="N89" i="22"/>
  <c r="W152" i="22"/>
  <c r="W170" i="22"/>
  <c r="W188" i="22"/>
  <c r="W154" i="8"/>
  <c r="W158" i="8"/>
  <c r="W162" i="8"/>
  <c r="W166" i="8"/>
  <c r="W170" i="8"/>
  <c r="W174" i="8"/>
  <c r="W178" i="8"/>
  <c r="W198" i="8"/>
  <c r="W144" i="14"/>
  <c r="B178" i="13"/>
  <c r="B174" i="13"/>
  <c r="N51" i="13"/>
  <c r="D171" i="13"/>
  <c r="B170" i="13"/>
  <c r="W160" i="13"/>
  <c r="N48" i="35"/>
  <c r="C112" i="36"/>
  <c r="D85" i="29"/>
  <c r="N12" i="29"/>
  <c r="N8" i="29"/>
  <c r="L83" i="31"/>
  <c r="J81" i="31"/>
  <c r="C197" i="18"/>
  <c r="B102" i="32"/>
  <c r="W170" i="20"/>
  <c r="N124" i="8"/>
  <c r="B181" i="13"/>
  <c r="N43" i="28"/>
  <c r="N24" i="31"/>
  <c r="N29" i="31"/>
  <c r="B87" i="31"/>
  <c r="C94" i="31"/>
  <c r="J115" i="35"/>
  <c r="J120" i="36"/>
  <c r="L116" i="36"/>
  <c r="L177" i="13"/>
  <c r="C179" i="12"/>
  <c r="B181" i="12"/>
  <c r="N82" i="19"/>
  <c r="B162" i="18"/>
  <c r="J132" i="16"/>
  <c r="C136" i="16"/>
  <c r="B138" i="16"/>
  <c r="L144" i="16"/>
  <c r="C147" i="16"/>
  <c r="B148" i="16"/>
  <c r="L184" i="25"/>
  <c r="W182" i="25"/>
  <c r="D176" i="23"/>
  <c r="L191" i="22"/>
  <c r="W157" i="15"/>
  <c r="L166" i="22"/>
  <c r="W118" i="35"/>
  <c r="W203" i="8"/>
  <c r="N83" i="35"/>
  <c r="H100" i="34"/>
  <c r="B151" i="14"/>
  <c r="D150" i="14"/>
  <c r="N22" i="14"/>
  <c r="N17" i="14"/>
  <c r="B144" i="14"/>
  <c r="J142" i="14"/>
  <c r="H159" i="14"/>
  <c r="J155" i="14"/>
  <c r="L148" i="14"/>
  <c r="D95" i="32"/>
  <c r="J95" i="28"/>
  <c r="H85" i="30"/>
  <c r="J78" i="30"/>
  <c r="H91" i="29"/>
  <c r="J87" i="29"/>
  <c r="C154" i="12"/>
  <c r="C174" i="11"/>
  <c r="N75" i="11"/>
  <c r="N86" i="11"/>
  <c r="N93" i="11"/>
  <c r="N95" i="11"/>
  <c r="W167" i="11"/>
  <c r="W190" i="11"/>
  <c r="N9" i="9"/>
  <c r="H205" i="9"/>
  <c r="C179" i="18"/>
  <c r="L187" i="18"/>
  <c r="N16" i="26"/>
  <c r="D131" i="26"/>
  <c r="N53" i="26"/>
  <c r="N54" i="26"/>
  <c r="C144" i="26"/>
  <c r="D145" i="26"/>
  <c r="D150" i="26"/>
  <c r="C151" i="26"/>
  <c r="B152" i="26"/>
  <c r="N20" i="25"/>
  <c r="B147" i="25"/>
  <c r="J148" i="25"/>
  <c r="N39" i="25"/>
  <c r="N40" i="25"/>
  <c r="D166" i="25"/>
  <c r="C169" i="25"/>
  <c r="N71" i="25"/>
  <c r="H172" i="25"/>
  <c r="L176" i="25"/>
  <c r="L180" i="25"/>
  <c r="N99" i="25"/>
  <c r="W161" i="25"/>
  <c r="B175" i="23"/>
  <c r="N14" i="22"/>
  <c r="D159" i="22"/>
  <c r="B164" i="22"/>
  <c r="B166" i="22"/>
  <c r="N46" i="22"/>
  <c r="N53" i="22"/>
  <c r="N55" i="22"/>
  <c r="N71" i="22"/>
  <c r="N77" i="22"/>
  <c r="B184" i="22"/>
  <c r="D186" i="22"/>
  <c r="C192" i="22"/>
  <c r="B197" i="22"/>
  <c r="N110" i="22"/>
  <c r="B202" i="22"/>
  <c r="D203" i="22"/>
  <c r="B204" i="22"/>
  <c r="N124" i="22"/>
  <c r="W167" i="15"/>
  <c r="W183" i="15"/>
  <c r="W186" i="14"/>
  <c r="W194" i="14"/>
  <c r="H158" i="13"/>
  <c r="W161" i="13"/>
  <c r="N101" i="5"/>
  <c r="C118" i="36"/>
  <c r="D138" i="7"/>
  <c r="C89" i="34"/>
  <c r="B94" i="34"/>
  <c r="S92" i="34"/>
  <c r="W92" i="34" s="1"/>
  <c r="B98" i="34"/>
  <c r="U98" i="34"/>
  <c r="D87" i="34"/>
  <c r="S98" i="34"/>
  <c r="C93" i="34"/>
  <c r="N54" i="34"/>
  <c r="J81" i="34"/>
  <c r="J87" i="34"/>
  <c r="H181" i="21"/>
  <c r="L137" i="21"/>
  <c r="N101" i="21"/>
  <c r="N94" i="21"/>
  <c r="S181" i="21"/>
  <c r="T176" i="21"/>
  <c r="N65" i="21"/>
  <c r="L181" i="21"/>
  <c r="S187" i="21"/>
  <c r="B142" i="21"/>
  <c r="C171" i="21"/>
  <c r="L164" i="21"/>
  <c r="U162" i="21"/>
  <c r="N120" i="18"/>
  <c r="W191" i="18"/>
  <c r="N72" i="18"/>
  <c r="D178" i="18"/>
  <c r="B192" i="22"/>
  <c r="L160" i="22"/>
  <c r="N80" i="22"/>
  <c r="H202" i="22"/>
  <c r="J188" i="22"/>
  <c r="L186" i="22"/>
  <c r="L162" i="22"/>
  <c r="H172" i="22"/>
  <c r="L180" i="22"/>
  <c r="H180" i="22"/>
  <c r="N92" i="22"/>
  <c r="N106" i="22"/>
  <c r="N7" i="22"/>
  <c r="J162" i="22"/>
  <c r="J202" i="22"/>
  <c r="C180" i="22"/>
  <c r="N82" i="22"/>
  <c r="H204" i="22"/>
  <c r="H200" i="22"/>
  <c r="H196" i="22"/>
  <c r="H192" i="22"/>
  <c r="H188" i="22"/>
  <c r="L159" i="22"/>
  <c r="J176" i="22"/>
  <c r="B152" i="22"/>
  <c r="C164" i="22"/>
  <c r="L167" i="22"/>
  <c r="D171" i="22"/>
  <c r="B172" i="22"/>
  <c r="N104" i="22"/>
  <c r="N120" i="22"/>
  <c r="L189" i="22"/>
  <c r="N189" i="22" s="1"/>
  <c r="J178" i="23"/>
  <c r="U179" i="23"/>
  <c r="D180" i="23"/>
  <c r="C181" i="23"/>
  <c r="H142" i="23"/>
  <c r="L165" i="23"/>
  <c r="J180" i="23"/>
  <c r="N8" i="23"/>
  <c r="N13" i="23"/>
  <c r="L146" i="23"/>
  <c r="H174" i="23"/>
  <c r="W150" i="23"/>
  <c r="W162" i="23"/>
  <c r="B174" i="23"/>
  <c r="D175" i="23"/>
  <c r="J165" i="23"/>
  <c r="N89" i="23"/>
  <c r="N96" i="23"/>
  <c r="H178" i="23"/>
  <c r="N62" i="23"/>
  <c r="C176" i="23"/>
  <c r="N104" i="23"/>
  <c r="C158" i="23"/>
  <c r="H165" i="23"/>
  <c r="D165" i="23"/>
  <c r="N65" i="23"/>
  <c r="H175" i="23"/>
  <c r="N78" i="23"/>
  <c r="W174" i="24"/>
  <c r="T173" i="24"/>
  <c r="W144" i="24"/>
  <c r="W191" i="24"/>
  <c r="N70" i="24"/>
  <c r="W148" i="24"/>
  <c r="N28" i="24"/>
  <c r="N30" i="24"/>
  <c r="N61" i="24"/>
  <c r="B175" i="24"/>
  <c r="N102" i="24"/>
  <c r="L185" i="24"/>
  <c r="N106" i="24"/>
  <c r="N107" i="24"/>
  <c r="N109" i="24"/>
  <c r="N93" i="24"/>
  <c r="N47" i="24"/>
  <c r="N49" i="24"/>
  <c r="H165" i="24"/>
  <c r="C173" i="24"/>
  <c r="N79" i="24"/>
  <c r="N85" i="24"/>
  <c r="L179" i="24"/>
  <c r="D180" i="24"/>
  <c r="N95" i="24"/>
  <c r="D189" i="24"/>
  <c r="L147" i="25"/>
  <c r="N107" i="25"/>
  <c r="C156" i="25"/>
  <c r="D168" i="25"/>
  <c r="N103" i="25"/>
  <c r="B172" i="25"/>
  <c r="H176" i="25"/>
  <c r="B163" i="25"/>
  <c r="N10" i="25"/>
  <c r="N31" i="25"/>
  <c r="N101" i="25"/>
  <c r="N102" i="25"/>
  <c r="D172" i="25"/>
  <c r="N112" i="25"/>
  <c r="H124" i="26"/>
  <c r="B146" i="26"/>
  <c r="N71" i="26"/>
  <c r="N46" i="26"/>
  <c r="N74" i="26"/>
  <c r="H125" i="26"/>
  <c r="N59" i="26"/>
  <c r="N21" i="26"/>
  <c r="N23" i="26"/>
  <c r="C152" i="26"/>
  <c r="N76" i="26"/>
  <c r="L124" i="26"/>
  <c r="H126" i="26"/>
  <c r="N44" i="26"/>
  <c r="N48" i="26"/>
  <c r="N51" i="26"/>
  <c r="N52" i="26"/>
  <c r="N67" i="26"/>
  <c r="J155" i="26"/>
  <c r="T84" i="38"/>
  <c r="U106" i="37"/>
  <c r="W106" i="37" s="1"/>
  <c r="L89" i="37"/>
  <c r="W92" i="37"/>
  <c r="S96" i="37"/>
  <c r="D86" i="37"/>
  <c r="E84" i="37"/>
  <c r="W84" i="37"/>
  <c r="U96" i="37"/>
  <c r="J93" i="37"/>
  <c r="D106" i="37"/>
  <c r="L96" i="37"/>
  <c r="N10" i="37"/>
  <c r="N33" i="37"/>
  <c r="L88" i="37"/>
  <c r="L97" i="37"/>
  <c r="H93" i="37"/>
  <c r="N16" i="37"/>
  <c r="D89" i="37"/>
  <c r="B92" i="37"/>
  <c r="B96" i="37"/>
  <c r="D97" i="37"/>
  <c r="B104" i="37"/>
  <c r="D105" i="37"/>
  <c r="C106" i="37"/>
  <c r="H88" i="37"/>
  <c r="L120" i="36"/>
  <c r="D111" i="36"/>
  <c r="N22" i="36"/>
  <c r="C107" i="36"/>
  <c r="D120" i="36"/>
  <c r="N49" i="36"/>
  <c r="N10" i="16"/>
  <c r="N14" i="16"/>
  <c r="B129" i="16"/>
  <c r="L129" i="16"/>
  <c r="D132" i="16"/>
  <c r="C132" i="16"/>
  <c r="N25" i="16"/>
  <c r="B134" i="16"/>
  <c r="N30" i="16"/>
  <c r="B136" i="16"/>
  <c r="N36" i="16"/>
  <c r="N39" i="16"/>
  <c r="B140" i="16"/>
  <c r="N43" i="16"/>
  <c r="D143" i="16"/>
  <c r="N48" i="16"/>
  <c r="N50" i="16"/>
  <c r="B146" i="16"/>
  <c r="D149" i="16"/>
  <c r="C150" i="16"/>
  <c r="C153" i="16"/>
  <c r="N67" i="16"/>
  <c r="B154" i="16"/>
  <c r="N69" i="16"/>
  <c r="J155" i="16"/>
  <c r="L156" i="16"/>
  <c r="D156" i="16"/>
  <c r="N74" i="16"/>
  <c r="L125" i="16"/>
  <c r="D134" i="16"/>
  <c r="D146" i="16"/>
  <c r="W163" i="16"/>
  <c r="N76" i="16"/>
  <c r="N72" i="16"/>
  <c r="N59" i="16"/>
  <c r="N28" i="16"/>
  <c r="C144" i="16"/>
  <c r="C157" i="16"/>
  <c r="N80" i="16"/>
  <c r="L155" i="16"/>
  <c r="C133" i="16"/>
  <c r="J129" i="16"/>
  <c r="N21" i="16"/>
  <c r="N52" i="16"/>
  <c r="J137" i="16"/>
  <c r="N38" i="16"/>
  <c r="C140" i="16"/>
  <c r="N44" i="16"/>
  <c r="H129" i="16"/>
  <c r="C125" i="35"/>
  <c r="D124" i="35"/>
  <c r="S171" i="17"/>
  <c r="N12" i="17"/>
  <c r="N52" i="17"/>
  <c r="H173" i="17"/>
  <c r="N82" i="17"/>
  <c r="N87" i="17"/>
  <c r="N96" i="17"/>
  <c r="N98" i="17"/>
  <c r="H149" i="17"/>
  <c r="H146" i="17"/>
  <c r="H147" i="17"/>
  <c r="N28" i="18"/>
  <c r="B158" i="18"/>
  <c r="D159" i="18"/>
  <c r="N46" i="18"/>
  <c r="N48" i="18"/>
  <c r="N55" i="18"/>
  <c r="N57" i="18"/>
  <c r="B166" i="18"/>
  <c r="N74" i="18"/>
  <c r="N81" i="18"/>
  <c r="N84" i="18"/>
  <c r="D164" i="19"/>
  <c r="N103" i="19"/>
  <c r="N41" i="19"/>
  <c r="N7" i="19"/>
  <c r="H169" i="19"/>
  <c r="N52" i="19"/>
  <c r="J195" i="19"/>
  <c r="N57" i="19"/>
  <c r="N61" i="19"/>
  <c r="J181" i="19"/>
  <c r="D168" i="19"/>
  <c r="T168" i="19"/>
  <c r="D184" i="19"/>
  <c r="W171" i="19"/>
  <c r="W182" i="19"/>
  <c r="L151" i="19"/>
  <c r="C156" i="19"/>
  <c r="B157" i="19"/>
  <c r="N65" i="19"/>
  <c r="N94" i="20"/>
  <c r="D142" i="21"/>
  <c r="N34" i="21"/>
  <c r="N54" i="21"/>
  <c r="N56" i="21"/>
  <c r="N72" i="21"/>
  <c r="C180" i="21"/>
  <c r="N10" i="21"/>
  <c r="N12" i="21"/>
  <c r="J162" i="21"/>
  <c r="H176" i="21"/>
  <c r="L84" i="34"/>
  <c r="H93" i="34"/>
  <c r="J100" i="34"/>
  <c r="D97" i="34"/>
  <c r="H80" i="34"/>
  <c r="N46" i="34"/>
  <c r="J88" i="33"/>
  <c r="N21" i="9"/>
  <c r="N23" i="9"/>
  <c r="N81" i="9"/>
  <c r="D192" i="9"/>
  <c r="B194" i="9"/>
  <c r="S164" i="10"/>
  <c r="N32" i="11"/>
  <c r="D162" i="11"/>
  <c r="J196" i="11"/>
  <c r="N60" i="11"/>
  <c r="N121" i="11"/>
  <c r="N89" i="11"/>
  <c r="N7" i="11"/>
  <c r="B196" i="11"/>
  <c r="N78" i="11"/>
  <c r="D182" i="12"/>
  <c r="B168" i="12"/>
  <c r="N96" i="12"/>
  <c r="N43" i="12"/>
  <c r="N7" i="32"/>
  <c r="W84" i="32"/>
  <c r="C80" i="32"/>
  <c r="H98" i="32"/>
  <c r="H92" i="32"/>
  <c r="J90" i="32"/>
  <c r="C95" i="32"/>
  <c r="N17" i="32"/>
  <c r="L91" i="32"/>
  <c r="H90" i="32"/>
  <c r="N66" i="13"/>
  <c r="N13" i="13"/>
  <c r="H157" i="13"/>
  <c r="D163" i="13"/>
  <c r="N29" i="13"/>
  <c r="B210" i="13"/>
  <c r="L204" i="13"/>
  <c r="L200" i="13"/>
  <c r="H196" i="13"/>
  <c r="W174" i="13"/>
  <c r="N59" i="13"/>
  <c r="N160" i="13"/>
  <c r="H185" i="13"/>
  <c r="H177" i="13"/>
  <c r="L173" i="13"/>
  <c r="W178" i="13"/>
  <c r="W170" i="13"/>
  <c r="W155" i="13"/>
  <c r="W210" i="13"/>
  <c r="C194" i="14"/>
  <c r="B190" i="14"/>
  <c r="N118" i="14"/>
  <c r="C169" i="14"/>
  <c r="D160" i="14"/>
  <c r="N44" i="14"/>
  <c r="N43" i="14"/>
  <c r="D142" i="14"/>
  <c r="C193" i="14"/>
  <c r="C159" i="14"/>
  <c r="N85" i="15"/>
  <c r="N111" i="15"/>
  <c r="W158" i="15"/>
  <c r="W162" i="15"/>
  <c r="W166" i="15"/>
  <c r="W170" i="15"/>
  <c r="W174" i="15"/>
  <c r="W178" i="15"/>
  <c r="W182" i="15"/>
  <c r="W189" i="15"/>
  <c r="W199" i="15"/>
  <c r="W205" i="15"/>
  <c r="J175" i="15"/>
  <c r="J162" i="15"/>
  <c r="B158" i="15"/>
  <c r="J209" i="15"/>
  <c r="B181" i="15"/>
  <c r="B173" i="15"/>
  <c r="N31" i="15"/>
  <c r="N15" i="15"/>
  <c r="C169" i="15"/>
  <c r="N127" i="8"/>
  <c r="N71" i="8"/>
  <c r="C173" i="8"/>
  <c r="D184" i="8"/>
  <c r="B184" i="8"/>
  <c r="N38" i="8"/>
  <c r="C184" i="8"/>
  <c r="D164" i="8"/>
  <c r="N64" i="8"/>
  <c r="B172" i="8"/>
  <c r="D173" i="8"/>
  <c r="N122" i="8"/>
  <c r="B168" i="7"/>
  <c r="D189" i="7"/>
  <c r="N20" i="7"/>
  <c r="N48" i="29"/>
  <c r="C90" i="29"/>
  <c r="N51" i="29"/>
  <c r="C86" i="29"/>
  <c r="N88" i="5"/>
  <c r="C149" i="5"/>
  <c r="H165" i="5"/>
  <c r="N165" i="5" s="1"/>
  <c r="B176" i="5"/>
  <c r="J145" i="5"/>
  <c r="N56" i="5"/>
  <c r="C177" i="5"/>
  <c r="N95" i="5"/>
  <c r="N106" i="5"/>
  <c r="L143" i="5"/>
  <c r="B144" i="5"/>
  <c r="N116" i="3"/>
  <c r="L158" i="3"/>
  <c r="C139" i="2"/>
  <c r="N6" i="2"/>
  <c r="B164" i="2"/>
  <c r="B165" i="2"/>
  <c r="C144" i="1"/>
  <c r="B178" i="1"/>
  <c r="W147" i="16"/>
  <c r="C171" i="14"/>
  <c r="C172" i="14"/>
  <c r="B173" i="14"/>
  <c r="N76" i="14"/>
  <c r="B185" i="15"/>
  <c r="D189" i="15"/>
  <c r="D191" i="15"/>
  <c r="N73" i="8"/>
  <c r="D181" i="8"/>
  <c r="D183" i="8"/>
  <c r="N81" i="8"/>
  <c r="C190" i="8"/>
  <c r="B192" i="8"/>
  <c r="D172" i="5"/>
  <c r="N74" i="5"/>
  <c r="D174" i="5"/>
  <c r="B175" i="5"/>
  <c r="D177" i="5"/>
  <c r="N99" i="5"/>
  <c r="B174" i="3"/>
  <c r="D179" i="3"/>
  <c r="N79" i="3"/>
  <c r="D186" i="3"/>
  <c r="B175" i="2"/>
  <c r="C181" i="2"/>
  <c r="B176" i="1"/>
  <c r="D191" i="3"/>
  <c r="D187" i="14"/>
  <c r="C193" i="1"/>
  <c r="D196" i="3"/>
  <c r="C190" i="5"/>
  <c r="C197" i="3"/>
  <c r="B192" i="5"/>
  <c r="C192" i="5"/>
  <c r="D166" i="2"/>
  <c r="B157" i="2"/>
  <c r="D158" i="2"/>
  <c r="B161" i="2"/>
  <c r="D162" i="2"/>
  <c r="C145" i="2"/>
  <c r="C149" i="2"/>
  <c r="C153" i="2"/>
  <c r="N44" i="3"/>
  <c r="N15" i="3"/>
  <c r="N15" i="5"/>
  <c r="N18" i="5"/>
  <c r="N20" i="5"/>
  <c r="L180" i="5"/>
  <c r="W172" i="5"/>
  <c r="D163" i="7"/>
  <c r="C144" i="7"/>
  <c r="D170" i="8"/>
  <c r="E170" i="8" s="1"/>
  <c r="N22" i="8"/>
  <c r="N25" i="8"/>
  <c r="H198" i="15"/>
  <c r="H190" i="15"/>
  <c r="L183" i="14"/>
  <c r="J179" i="14"/>
  <c r="J175" i="14"/>
  <c r="D97" i="29"/>
  <c r="B100" i="29"/>
  <c r="D101" i="29"/>
  <c r="N57" i="29"/>
  <c r="N33" i="30"/>
  <c r="B86" i="30"/>
  <c r="N14" i="31"/>
  <c r="D79" i="31"/>
  <c r="D90" i="31"/>
  <c r="B93" i="31"/>
  <c r="D94" i="31"/>
  <c r="C95" i="31"/>
  <c r="C83" i="32"/>
  <c r="B86" i="32"/>
  <c r="C86" i="32"/>
  <c r="B88" i="32"/>
  <c r="D89" i="32"/>
  <c r="B90" i="32"/>
  <c r="D91" i="32"/>
  <c r="B94" i="32"/>
  <c r="N44" i="32"/>
  <c r="B98" i="32"/>
  <c r="D99" i="32"/>
  <c r="B100" i="32"/>
  <c r="N14" i="34"/>
  <c r="D84" i="34"/>
  <c r="N28" i="34"/>
  <c r="C90" i="34"/>
  <c r="B95" i="34"/>
  <c r="D96" i="34"/>
  <c r="B97" i="34"/>
  <c r="N38" i="37"/>
  <c r="C100" i="37"/>
  <c r="H92" i="28"/>
  <c r="N55" i="29"/>
  <c r="J84" i="29"/>
  <c r="H93" i="32"/>
  <c r="H95" i="32"/>
  <c r="H85" i="32"/>
  <c r="L81" i="32"/>
  <c r="H170" i="12"/>
  <c r="N92" i="3"/>
  <c r="N82" i="1"/>
  <c r="D191" i="7"/>
  <c r="N121" i="8"/>
  <c r="H197" i="3"/>
  <c r="L186" i="3"/>
  <c r="H182" i="3"/>
  <c r="N182" i="3" s="1"/>
  <c r="J165" i="3"/>
  <c r="W161" i="3"/>
  <c r="H157" i="7"/>
  <c r="J153" i="7"/>
  <c r="H149" i="7"/>
  <c r="C167" i="8"/>
  <c r="C169" i="8"/>
  <c r="N54" i="8"/>
  <c r="N67" i="8"/>
  <c r="B151" i="8"/>
  <c r="B157" i="8"/>
  <c r="N46" i="15"/>
  <c r="D164" i="15"/>
  <c r="B163" i="15"/>
  <c r="L180" i="15"/>
  <c r="J177" i="15"/>
  <c r="H169" i="15"/>
  <c r="H162" i="15"/>
  <c r="C170" i="14"/>
  <c r="N63" i="14"/>
  <c r="C166" i="14"/>
  <c r="N55" i="14"/>
  <c r="N52" i="14"/>
  <c r="N49" i="14"/>
  <c r="B160" i="14"/>
  <c r="J161" i="14"/>
  <c r="N8" i="31"/>
  <c r="N17" i="31"/>
  <c r="N31" i="37"/>
  <c r="D100" i="37"/>
  <c r="N37" i="12"/>
  <c r="D172" i="12"/>
  <c r="H144" i="11"/>
  <c r="L145" i="11"/>
  <c r="D185" i="14"/>
  <c r="B201" i="15"/>
  <c r="D179" i="8"/>
  <c r="C180" i="8"/>
  <c r="B187" i="8"/>
  <c r="D190" i="8"/>
  <c r="N95" i="8"/>
  <c r="C191" i="8"/>
  <c r="B193" i="8"/>
  <c r="C169" i="7"/>
  <c r="D173" i="3"/>
  <c r="N98" i="3"/>
  <c r="B174" i="2"/>
  <c r="D179" i="2"/>
  <c r="C180" i="2"/>
  <c r="N94" i="2"/>
  <c r="B183" i="2"/>
  <c r="N111" i="13"/>
  <c r="B202" i="13"/>
  <c r="C189" i="14"/>
  <c r="D205" i="15"/>
  <c r="N117" i="13"/>
  <c r="N110" i="14"/>
  <c r="N119" i="8"/>
  <c r="N119" i="3"/>
  <c r="D202" i="8"/>
  <c r="D209" i="15"/>
  <c r="C172" i="1"/>
  <c r="C168" i="1"/>
  <c r="B164" i="1"/>
  <c r="B160" i="1"/>
  <c r="N42" i="2"/>
  <c r="B160" i="2"/>
  <c r="N13" i="2"/>
  <c r="N21" i="2"/>
  <c r="N29" i="2"/>
  <c r="N37" i="2"/>
  <c r="C151" i="3"/>
  <c r="H193" i="1"/>
  <c r="W181" i="3"/>
  <c r="N25" i="5"/>
  <c r="W168" i="5"/>
  <c r="L164" i="5"/>
  <c r="J160" i="5"/>
  <c r="W152" i="5"/>
  <c r="L148" i="5"/>
  <c r="L189" i="5"/>
  <c r="B150" i="7"/>
  <c r="N36" i="7"/>
  <c r="D155" i="7"/>
  <c r="N44" i="7"/>
  <c r="L191" i="7"/>
  <c r="L187" i="7"/>
  <c r="L171" i="7"/>
  <c r="W164" i="7"/>
  <c r="H160" i="7"/>
  <c r="J152" i="7"/>
  <c r="J150" i="7"/>
  <c r="J148" i="7"/>
  <c r="W144" i="7"/>
  <c r="J142" i="7"/>
  <c r="B166" i="8"/>
  <c r="D167" i="8"/>
  <c r="B168" i="8"/>
  <c r="D169" i="8"/>
  <c r="B174" i="8"/>
  <c r="D175" i="8"/>
  <c r="B176" i="8"/>
  <c r="C151" i="8"/>
  <c r="D151" i="8"/>
  <c r="B163" i="8"/>
  <c r="C182" i="15"/>
  <c r="N10" i="28"/>
  <c r="C87" i="28"/>
  <c r="C93" i="28"/>
  <c r="C99" i="28"/>
  <c r="B77" i="31"/>
  <c r="C78" i="31"/>
  <c r="C80" i="31"/>
  <c r="E80" i="31" s="1"/>
  <c r="N18" i="31"/>
  <c r="D81" i="31"/>
  <c r="D89" i="31"/>
  <c r="D93" i="31"/>
  <c r="B94" i="31"/>
  <c r="D95" i="31"/>
  <c r="C82" i="32"/>
  <c r="C93" i="32"/>
  <c r="B95" i="32"/>
  <c r="N45" i="32"/>
  <c r="B99" i="32"/>
  <c r="C79" i="34"/>
  <c r="C83" i="34"/>
  <c r="D93" i="34"/>
  <c r="C97" i="37"/>
  <c r="B98" i="37"/>
  <c r="D99" i="37"/>
  <c r="D103" i="37"/>
  <c r="N54" i="37"/>
  <c r="C105" i="37"/>
  <c r="B106" i="37"/>
  <c r="H107" i="28"/>
  <c r="J93" i="28"/>
  <c r="L78" i="30"/>
  <c r="H85" i="29"/>
  <c r="H94" i="32"/>
  <c r="N94" i="32" s="1"/>
  <c r="J88" i="32"/>
  <c r="J99" i="37"/>
  <c r="L95" i="37"/>
  <c r="J91" i="37"/>
  <c r="H86" i="37"/>
  <c r="N76" i="13"/>
  <c r="L202" i="13"/>
  <c r="H178" i="13"/>
  <c r="J174" i="13"/>
  <c r="C165" i="12"/>
  <c r="C166" i="12"/>
  <c r="N8" i="11"/>
  <c r="N92" i="14"/>
  <c r="N93" i="8"/>
  <c r="D171" i="5"/>
  <c r="N94" i="5"/>
  <c r="N84" i="1"/>
  <c r="N107" i="3"/>
  <c r="N34" i="3"/>
  <c r="W142" i="2"/>
  <c r="H171" i="3"/>
  <c r="L152" i="3"/>
  <c r="H148" i="3"/>
  <c r="N58" i="5"/>
  <c r="N61" i="5"/>
  <c r="N9" i="5"/>
  <c r="N35" i="5"/>
  <c r="L159" i="5"/>
  <c r="C170" i="15"/>
  <c r="L208" i="15"/>
  <c r="H185" i="15"/>
  <c r="H176" i="15"/>
  <c r="L172" i="15"/>
  <c r="H168" i="15"/>
  <c r="D169" i="14"/>
  <c r="N45" i="14"/>
  <c r="B143" i="14"/>
  <c r="H189" i="14"/>
  <c r="L169" i="14"/>
  <c r="H165" i="14"/>
  <c r="H145" i="14"/>
  <c r="N30" i="32"/>
  <c r="B92" i="34"/>
  <c r="D164" i="12"/>
  <c r="N74" i="12"/>
  <c r="C144" i="11"/>
  <c r="N12" i="11"/>
  <c r="D150" i="11"/>
  <c r="N28" i="11"/>
  <c r="L169" i="11"/>
  <c r="U174" i="11"/>
  <c r="C178" i="11"/>
  <c r="N101" i="11"/>
  <c r="W145" i="11"/>
  <c r="W151" i="11"/>
  <c r="W158" i="11"/>
  <c r="W166" i="11"/>
  <c r="W171" i="11"/>
  <c r="S166" i="10"/>
  <c r="N40" i="9"/>
  <c r="B170" i="9"/>
  <c r="H177" i="9"/>
  <c r="D178" i="9"/>
  <c r="C180" i="9"/>
  <c r="N64" i="9"/>
  <c r="L181" i="9"/>
  <c r="L182" i="9"/>
  <c r="N84" i="9"/>
  <c r="D191" i="9"/>
  <c r="J195" i="9"/>
  <c r="N106" i="9"/>
  <c r="J201" i="9"/>
  <c r="C204" i="9"/>
  <c r="N121" i="9"/>
  <c r="N35" i="21"/>
  <c r="C153" i="21"/>
  <c r="L172" i="21"/>
  <c r="H186" i="21"/>
  <c r="D187" i="21"/>
  <c r="D190" i="21"/>
  <c r="D148" i="19"/>
  <c r="E148" i="19" s="1"/>
  <c r="B156" i="19"/>
  <c r="J156" i="19"/>
  <c r="B162" i="19"/>
  <c r="N44" i="19"/>
  <c r="H177" i="19"/>
  <c r="C184" i="19"/>
  <c r="L192" i="19"/>
  <c r="W194" i="19"/>
  <c r="L180" i="18"/>
  <c r="D181" i="18"/>
  <c r="N87" i="18"/>
  <c r="N89" i="18"/>
  <c r="N103" i="18"/>
  <c r="N105" i="18"/>
  <c r="U192" i="18"/>
  <c r="W166" i="18"/>
  <c r="N14" i="17"/>
  <c r="N37" i="17"/>
  <c r="N62" i="17"/>
  <c r="N66" i="17"/>
  <c r="N68" i="17"/>
  <c r="S127" i="16"/>
  <c r="H143" i="16"/>
  <c r="N47" i="16"/>
  <c r="C146" i="16"/>
  <c r="B147" i="16"/>
  <c r="J147" i="16"/>
  <c r="D148" i="16"/>
  <c r="C149" i="16"/>
  <c r="C151" i="16"/>
  <c r="H159" i="16"/>
  <c r="W160" i="16"/>
  <c r="C131" i="26"/>
  <c r="T131" i="26"/>
  <c r="W131" i="26" s="1"/>
  <c r="N41" i="26"/>
  <c r="N43" i="26"/>
  <c r="B138" i="26"/>
  <c r="L141" i="26"/>
  <c r="C143" i="26"/>
  <c r="N57" i="26"/>
  <c r="B145" i="26"/>
  <c r="L145" i="26"/>
  <c r="N63" i="26"/>
  <c r="N64" i="26"/>
  <c r="D151" i="26"/>
  <c r="B162" i="11"/>
  <c r="H195" i="11"/>
  <c r="W163" i="11"/>
  <c r="H164" i="9"/>
  <c r="J166" i="9"/>
  <c r="H172" i="9"/>
  <c r="C175" i="9"/>
  <c r="J191" i="9"/>
  <c r="B144" i="21"/>
  <c r="H151" i="21"/>
  <c r="N37" i="21"/>
  <c r="D155" i="21"/>
  <c r="C159" i="21"/>
  <c r="B164" i="21"/>
  <c r="J187" i="21"/>
  <c r="H188" i="21"/>
  <c r="L189" i="21"/>
  <c r="L190" i="21"/>
  <c r="J183" i="19"/>
  <c r="J193" i="19"/>
  <c r="J194" i="19"/>
  <c r="C154" i="18"/>
  <c r="L172" i="18"/>
  <c r="J181" i="18"/>
  <c r="L138" i="16"/>
  <c r="J148" i="16"/>
  <c r="H131" i="26"/>
  <c r="N56" i="26"/>
  <c r="L176" i="11"/>
  <c r="D179" i="11"/>
  <c r="H186" i="11"/>
  <c r="L187" i="11"/>
  <c r="N106" i="11"/>
  <c r="N108" i="11"/>
  <c r="C193" i="11"/>
  <c r="N112" i="11"/>
  <c r="B194" i="11"/>
  <c r="B166" i="9"/>
  <c r="N70" i="9"/>
  <c r="N71" i="9"/>
  <c r="H184" i="9"/>
  <c r="N89" i="9"/>
  <c r="J192" i="9"/>
  <c r="D199" i="9"/>
  <c r="B202" i="9"/>
  <c r="J204" i="9"/>
  <c r="H140" i="21"/>
  <c r="B145" i="21"/>
  <c r="N36" i="21"/>
  <c r="L152" i="21"/>
  <c r="J153" i="21"/>
  <c r="L155" i="21"/>
  <c r="D158" i="21"/>
  <c r="N75" i="21"/>
  <c r="N87" i="21"/>
  <c r="B179" i="21"/>
  <c r="L179" i="21"/>
  <c r="U183" i="21"/>
  <c r="D184" i="21"/>
  <c r="N112" i="21"/>
  <c r="W149" i="21"/>
  <c r="W155" i="21"/>
  <c r="W159" i="21"/>
  <c r="W178" i="21"/>
  <c r="H173" i="19"/>
  <c r="N71" i="19"/>
  <c r="B184" i="19"/>
  <c r="L184" i="19"/>
  <c r="D186" i="19"/>
  <c r="N99" i="19"/>
  <c r="B190" i="19"/>
  <c r="T191" i="19"/>
  <c r="N106" i="19"/>
  <c r="W186" i="19"/>
  <c r="L144" i="18"/>
  <c r="D147" i="18"/>
  <c r="N15" i="18"/>
  <c r="N16" i="18"/>
  <c r="N20" i="18"/>
  <c r="L150" i="18"/>
  <c r="J161" i="18"/>
  <c r="C164" i="18"/>
  <c r="H173" i="18"/>
  <c r="D174" i="18"/>
  <c r="J178" i="18"/>
  <c r="W169" i="18"/>
  <c r="J140" i="17"/>
  <c r="D142" i="17"/>
  <c r="D146" i="17"/>
  <c r="B150" i="17"/>
  <c r="B154" i="17"/>
  <c r="C162" i="17"/>
  <c r="D175" i="17"/>
  <c r="J179" i="17"/>
  <c r="N16" i="16"/>
  <c r="B131" i="16"/>
  <c r="L134" i="16"/>
  <c r="D136" i="16"/>
  <c r="B139" i="16"/>
  <c r="L139" i="16"/>
  <c r="D140" i="16"/>
  <c r="C152" i="16"/>
  <c r="N65" i="16"/>
  <c r="D153" i="16"/>
  <c r="B155" i="16"/>
  <c r="D157" i="16"/>
  <c r="W158" i="16"/>
  <c r="W159" i="16"/>
  <c r="J120" i="26"/>
  <c r="D121" i="26"/>
  <c r="D122" i="26"/>
  <c r="C125" i="26"/>
  <c r="H129" i="26"/>
  <c r="H130" i="26"/>
  <c r="J133" i="26"/>
  <c r="N42" i="26"/>
  <c r="B151" i="26"/>
  <c r="C150" i="11"/>
  <c r="L156" i="11"/>
  <c r="L157" i="11"/>
  <c r="L158" i="11"/>
  <c r="J159" i="11"/>
  <c r="N47" i="11"/>
  <c r="N53" i="11"/>
  <c r="L166" i="11"/>
  <c r="L167" i="11"/>
  <c r="D169" i="11"/>
  <c r="C170" i="11"/>
  <c r="H175" i="11"/>
  <c r="C156" i="9"/>
  <c r="J169" i="9"/>
  <c r="N67" i="9"/>
  <c r="N73" i="9"/>
  <c r="J185" i="9"/>
  <c r="H189" i="9"/>
  <c r="N91" i="9"/>
  <c r="B204" i="9"/>
  <c r="D143" i="21"/>
  <c r="J180" i="21"/>
  <c r="C188" i="21"/>
  <c r="C189" i="21"/>
  <c r="L165" i="19"/>
  <c r="D167" i="19"/>
  <c r="L175" i="19"/>
  <c r="C178" i="19"/>
  <c r="C191" i="19"/>
  <c r="J162" i="18"/>
  <c r="J163" i="18"/>
  <c r="N51" i="18"/>
  <c r="N64" i="18"/>
  <c r="N100" i="18"/>
  <c r="L192" i="18"/>
  <c r="W148" i="18"/>
  <c r="W161" i="18"/>
  <c r="J141" i="17"/>
  <c r="J142" i="17"/>
  <c r="H126" i="16"/>
  <c r="J127" i="16"/>
  <c r="C131" i="16"/>
  <c r="N26" i="16"/>
  <c r="D152" i="16"/>
  <c r="H147" i="26"/>
  <c r="L152" i="26"/>
  <c r="L153" i="26"/>
  <c r="J154" i="26"/>
  <c r="W127" i="26"/>
  <c r="W153" i="26"/>
  <c r="N19" i="25"/>
  <c r="L169" i="25"/>
  <c r="H170" i="25"/>
  <c r="C176" i="25"/>
  <c r="L177" i="25"/>
  <c r="W144" i="25"/>
  <c r="N17" i="24"/>
  <c r="N21" i="24"/>
  <c r="B145" i="24"/>
  <c r="D168" i="24"/>
  <c r="J175" i="24"/>
  <c r="D176" i="24"/>
  <c r="D182" i="24"/>
  <c r="J155" i="23"/>
  <c r="D177" i="23"/>
  <c r="C178" i="23"/>
  <c r="N91" i="23"/>
  <c r="H183" i="23"/>
  <c r="C192" i="23"/>
  <c r="W153" i="23"/>
  <c r="W164" i="23"/>
  <c r="W193" i="23"/>
  <c r="B165" i="22"/>
  <c r="D170" i="22"/>
  <c r="N64" i="22"/>
  <c r="N88" i="22"/>
  <c r="N93" i="22"/>
  <c r="N95" i="22"/>
  <c r="N97" i="22"/>
  <c r="N100" i="22"/>
  <c r="W208" i="15"/>
  <c r="W180" i="15"/>
  <c r="W164" i="15"/>
  <c r="W188" i="14"/>
  <c r="W178" i="14"/>
  <c r="W156" i="14"/>
  <c r="W148" i="14"/>
  <c r="C177" i="13"/>
  <c r="N114" i="10"/>
  <c r="J199" i="22"/>
  <c r="D120" i="35"/>
  <c r="N34" i="35"/>
  <c r="N38" i="35"/>
  <c r="D126" i="35"/>
  <c r="L125" i="35"/>
  <c r="L123" i="35"/>
  <c r="J121" i="35"/>
  <c r="J118" i="35"/>
  <c r="C84" i="29"/>
  <c r="W86" i="32"/>
  <c r="W94" i="32"/>
  <c r="C145" i="3"/>
  <c r="B156" i="15"/>
  <c r="N7" i="21"/>
  <c r="T149" i="8"/>
  <c r="D196" i="11"/>
  <c r="N78" i="26"/>
  <c r="C107" i="37"/>
  <c r="C160" i="20"/>
  <c r="W132" i="20"/>
  <c r="W158" i="20"/>
  <c r="W204" i="8"/>
  <c r="L211" i="15"/>
  <c r="W103" i="32"/>
  <c r="W197" i="11"/>
  <c r="N102" i="20"/>
  <c r="N62" i="37"/>
  <c r="W192" i="25"/>
  <c r="W120" i="26"/>
  <c r="B170" i="25"/>
  <c r="D180" i="25"/>
  <c r="L145" i="24"/>
  <c r="C154" i="24"/>
  <c r="B160" i="24"/>
  <c r="B168" i="24"/>
  <c r="J182" i="24"/>
  <c r="D183" i="24"/>
  <c r="N103" i="24"/>
  <c r="C186" i="24"/>
  <c r="C152" i="23"/>
  <c r="N31" i="23"/>
  <c r="N33" i="23"/>
  <c r="N35" i="23"/>
  <c r="B156" i="23"/>
  <c r="L156" i="23"/>
  <c r="L157" i="23"/>
  <c r="N66" i="23"/>
  <c r="H185" i="23"/>
  <c r="N99" i="23"/>
  <c r="L188" i="23"/>
  <c r="D190" i="23"/>
  <c r="W159" i="23"/>
  <c r="N26" i="22"/>
  <c r="C179" i="22"/>
  <c r="C193" i="22"/>
  <c r="D194" i="22"/>
  <c r="N123" i="22"/>
  <c r="W185" i="15"/>
  <c r="W179" i="15"/>
  <c r="W171" i="15"/>
  <c r="B177" i="13"/>
  <c r="J181" i="22"/>
  <c r="L173" i="22"/>
  <c r="H166" i="22"/>
  <c r="H163" i="22"/>
  <c r="L156" i="22"/>
  <c r="W166" i="22"/>
  <c r="S88" i="37"/>
  <c r="N47" i="35"/>
  <c r="N46" i="35"/>
  <c r="C134" i="35"/>
  <c r="E134" i="35" s="1"/>
  <c r="W79" i="31"/>
  <c r="W80" i="32"/>
  <c r="L96" i="34"/>
  <c r="N60" i="35"/>
  <c r="W119" i="35"/>
  <c r="D149" i="8"/>
  <c r="C156" i="15"/>
  <c r="H141" i="14"/>
  <c r="N141" i="14" s="1"/>
  <c r="H149" i="8"/>
  <c r="N6" i="23"/>
  <c r="D151" i="22"/>
  <c r="N116" i="7"/>
  <c r="B203" i="8"/>
  <c r="J209" i="13"/>
  <c r="W196" i="11"/>
  <c r="J207" i="9"/>
  <c r="W195" i="23"/>
  <c r="N50" i="31"/>
  <c r="B107" i="37"/>
  <c r="N82" i="35"/>
  <c r="N33" i="20"/>
  <c r="N47" i="20"/>
  <c r="D151" i="20"/>
  <c r="C152" i="20"/>
  <c r="D160" i="20"/>
  <c r="N80" i="20"/>
  <c r="N82" i="20"/>
  <c r="N91" i="20"/>
  <c r="N93" i="20"/>
  <c r="N95" i="20"/>
  <c r="N97" i="20"/>
  <c r="N99" i="20"/>
  <c r="N62" i="29"/>
  <c r="N128" i="15"/>
  <c r="N56" i="34"/>
  <c r="D200" i="19"/>
  <c r="H192" i="25"/>
  <c r="N73" i="26"/>
  <c r="N8" i="25"/>
  <c r="L143" i="25"/>
  <c r="H144" i="25"/>
  <c r="J145" i="25"/>
  <c r="B148" i="25"/>
  <c r="N42" i="25"/>
  <c r="N50" i="25"/>
  <c r="B166" i="25"/>
  <c r="J180" i="25"/>
  <c r="B184" i="25"/>
  <c r="H150" i="24"/>
  <c r="D155" i="24"/>
  <c r="B162" i="24"/>
  <c r="H183" i="24"/>
  <c r="W150" i="24"/>
  <c r="N16" i="23"/>
  <c r="N60" i="23"/>
  <c r="N81" i="23"/>
  <c r="H181" i="23"/>
  <c r="H189" i="23"/>
  <c r="D176" i="22"/>
  <c r="C186" i="22"/>
  <c r="D187" i="22"/>
  <c r="C189" i="22"/>
  <c r="N108" i="22"/>
  <c r="N109" i="22"/>
  <c r="N117" i="22"/>
  <c r="W178" i="22"/>
  <c r="W175" i="8"/>
  <c r="W151" i="8"/>
  <c r="L202" i="22"/>
  <c r="H174" i="22"/>
  <c r="L154" i="22"/>
  <c r="W206" i="9"/>
  <c r="W97" i="37"/>
  <c r="W102" i="37"/>
  <c r="C133" i="35"/>
  <c r="N70" i="35"/>
  <c r="C129" i="35"/>
  <c r="D129" i="35"/>
  <c r="D127" i="35"/>
  <c r="U117" i="35"/>
  <c r="W117" i="35" s="1"/>
  <c r="W134" i="35"/>
  <c r="H83" i="34"/>
  <c r="J87" i="33"/>
  <c r="N36" i="33"/>
  <c r="B95" i="29"/>
  <c r="D90" i="29"/>
  <c r="B89" i="29"/>
  <c r="C87" i="29"/>
  <c r="D86" i="29"/>
  <c r="B85" i="29"/>
  <c r="W85" i="28"/>
  <c r="W88" i="32"/>
  <c r="H119" i="35"/>
  <c r="N7" i="8"/>
  <c r="L151" i="22"/>
  <c r="W137" i="25"/>
  <c r="W151" i="22"/>
  <c r="N115" i="7"/>
  <c r="W192" i="7"/>
  <c r="C209" i="13"/>
  <c r="L196" i="11"/>
  <c r="W203" i="9"/>
  <c r="L193" i="17"/>
  <c r="N85" i="16"/>
  <c r="B105" i="29"/>
  <c r="H135" i="35"/>
  <c r="N37" i="20"/>
  <c r="N42" i="20"/>
  <c r="N73" i="20"/>
  <c r="W130" i="20"/>
  <c r="W140" i="20"/>
  <c r="N58" i="32"/>
  <c r="N117" i="21"/>
  <c r="W206" i="22"/>
  <c r="N85" i="35"/>
  <c r="N87" i="35"/>
  <c r="H156" i="26"/>
  <c r="W129" i="26"/>
  <c r="N18" i="25"/>
  <c r="C150" i="25"/>
  <c r="B152" i="25"/>
  <c r="N66" i="25"/>
  <c r="L188" i="25"/>
  <c r="L189" i="25"/>
  <c r="W170" i="25"/>
  <c r="N13" i="24"/>
  <c r="N34" i="24"/>
  <c r="H155" i="24"/>
  <c r="S167" i="24"/>
  <c r="B169" i="24"/>
  <c r="B170" i="24"/>
  <c r="L172" i="24"/>
  <c r="J174" i="24"/>
  <c r="B178" i="24"/>
  <c r="E178" i="24" s="1"/>
  <c r="H180" i="24"/>
  <c r="L186" i="24"/>
  <c r="H161" i="23"/>
  <c r="C167" i="23"/>
  <c r="H169" i="23"/>
  <c r="L170" i="23"/>
  <c r="J182" i="23"/>
  <c r="C184" i="23"/>
  <c r="B186" i="23"/>
  <c r="N107" i="23"/>
  <c r="B192" i="23"/>
  <c r="N113" i="23"/>
  <c r="W143" i="23"/>
  <c r="W163" i="23"/>
  <c r="W194" i="23"/>
  <c r="C152" i="22"/>
  <c r="D152" i="22"/>
  <c r="B161" i="22"/>
  <c r="C170" i="22"/>
  <c r="E170" i="22" s="1"/>
  <c r="C172" i="22"/>
  <c r="B198" i="22"/>
  <c r="N113" i="22"/>
  <c r="N116" i="22"/>
  <c r="W184" i="22"/>
  <c r="D173" i="13"/>
  <c r="N20" i="13"/>
  <c r="W94" i="37"/>
  <c r="J126" i="35"/>
  <c r="B82" i="33"/>
  <c r="C86" i="34"/>
  <c r="L95" i="34"/>
  <c r="L156" i="15"/>
  <c r="C141" i="14"/>
  <c r="H143" i="18"/>
  <c r="L204" i="22"/>
  <c r="W197" i="22"/>
  <c r="N10" i="22"/>
  <c r="C155" i="22"/>
  <c r="N17" i="22"/>
  <c r="N22" i="22"/>
  <c r="C159" i="22"/>
  <c r="D160" i="22"/>
  <c r="C161" i="22"/>
  <c r="D162" i="22"/>
  <c r="N40" i="22"/>
  <c r="S165" i="22"/>
  <c r="N50" i="22"/>
  <c r="N57" i="22"/>
  <c r="N67" i="22"/>
  <c r="D189" i="22"/>
  <c r="C199" i="22"/>
  <c r="J197" i="22"/>
  <c r="N197" i="22" s="1"/>
  <c r="U167" i="22"/>
  <c r="L163" i="22"/>
  <c r="W194" i="22"/>
  <c r="N38" i="22"/>
  <c r="N72" i="22"/>
  <c r="L196" i="22"/>
  <c r="L192" i="22"/>
  <c r="L200" i="22"/>
  <c r="N74" i="22"/>
  <c r="J167" i="22"/>
  <c r="N48" i="22"/>
  <c r="J203" i="22"/>
  <c r="N203" i="22" s="1"/>
  <c r="H156" i="22"/>
  <c r="N25" i="22"/>
  <c r="N27" i="22"/>
  <c r="N31" i="22"/>
  <c r="D175" i="22"/>
  <c r="B183" i="22"/>
  <c r="N91" i="22"/>
  <c r="N96" i="22"/>
  <c r="N98" i="22"/>
  <c r="W156" i="22"/>
  <c r="W174" i="22"/>
  <c r="L179" i="22"/>
  <c r="S181" i="22"/>
  <c r="N9" i="22"/>
  <c r="N51" i="22"/>
  <c r="N58" i="22"/>
  <c r="B173" i="22"/>
  <c r="B182" i="22"/>
  <c r="C183" i="22"/>
  <c r="C190" i="22"/>
  <c r="D202" i="22"/>
  <c r="D204" i="22"/>
  <c r="L190" i="22"/>
  <c r="D198" i="22"/>
  <c r="J204" i="22"/>
  <c r="L169" i="22"/>
  <c r="C200" i="22"/>
  <c r="H171" i="22"/>
  <c r="J156" i="22"/>
  <c r="N34" i="22"/>
  <c r="U165" i="22"/>
  <c r="N43" i="22"/>
  <c r="B169" i="22"/>
  <c r="C181" i="22"/>
  <c r="B195" i="22"/>
  <c r="B199" i="22"/>
  <c r="W175" i="22"/>
  <c r="U173" i="23"/>
  <c r="C145" i="23"/>
  <c r="N63" i="23"/>
  <c r="B173" i="23"/>
  <c r="D156" i="23"/>
  <c r="N39" i="23"/>
  <c r="N45" i="23"/>
  <c r="L162" i="23"/>
  <c r="L163" i="23"/>
  <c r="N61" i="23"/>
  <c r="D169" i="23"/>
  <c r="C170" i="23"/>
  <c r="B172" i="23"/>
  <c r="B177" i="23"/>
  <c r="J177" i="23"/>
  <c r="N84" i="23"/>
  <c r="J181" i="23"/>
  <c r="N93" i="23"/>
  <c r="H156" i="23"/>
  <c r="D158" i="23"/>
  <c r="B165" i="23"/>
  <c r="N56" i="23"/>
  <c r="L169" i="23"/>
  <c r="H172" i="23"/>
  <c r="L176" i="23"/>
  <c r="N102" i="23"/>
  <c r="N112" i="23"/>
  <c r="N105" i="23"/>
  <c r="B143" i="23"/>
  <c r="D147" i="23"/>
  <c r="C149" i="23"/>
  <c r="C150" i="23"/>
  <c r="B153" i="23"/>
  <c r="H157" i="23"/>
  <c r="C162" i="23"/>
  <c r="H170" i="23"/>
  <c r="L171" i="23"/>
  <c r="D172" i="23"/>
  <c r="N88" i="23"/>
  <c r="B145" i="23"/>
  <c r="J147" i="23"/>
  <c r="H148" i="23"/>
  <c r="H159" i="23"/>
  <c r="J160" i="23"/>
  <c r="L161" i="23"/>
  <c r="D162" i="23"/>
  <c r="N73" i="23"/>
  <c r="L177" i="23"/>
  <c r="W142" i="23"/>
  <c r="D143" i="23"/>
  <c r="B146" i="23"/>
  <c r="N19" i="23"/>
  <c r="B148" i="23"/>
  <c r="L149" i="23"/>
  <c r="H150" i="23"/>
  <c r="L151" i="23"/>
  <c r="L152" i="23"/>
  <c r="D186" i="23"/>
  <c r="N108" i="23"/>
  <c r="D192" i="23"/>
  <c r="W170" i="23"/>
  <c r="B155" i="23"/>
  <c r="J142" i="23"/>
  <c r="H144" i="23"/>
  <c r="C147" i="23"/>
  <c r="B150" i="23"/>
  <c r="H153" i="23"/>
  <c r="N50" i="23"/>
  <c r="N57" i="23"/>
  <c r="N85" i="23"/>
  <c r="N87" i="23"/>
  <c r="N90" i="23"/>
  <c r="N94" i="23"/>
  <c r="W185" i="23"/>
  <c r="J186" i="23"/>
  <c r="J191" i="23"/>
  <c r="E196" i="23"/>
  <c r="N8" i="24"/>
  <c r="N10" i="24"/>
  <c r="N14" i="24"/>
  <c r="E143" i="24"/>
  <c r="N31" i="24"/>
  <c r="H161" i="24"/>
  <c r="N62" i="24"/>
  <c r="U172" i="24"/>
  <c r="J191" i="24"/>
  <c r="D157" i="24"/>
  <c r="D145" i="24"/>
  <c r="H181" i="24"/>
  <c r="D173" i="24"/>
  <c r="C141" i="24"/>
  <c r="C149" i="24"/>
  <c r="C157" i="24"/>
  <c r="C168" i="24"/>
  <c r="J169" i="24"/>
  <c r="H157" i="24"/>
  <c r="H179" i="24"/>
  <c r="C138" i="24"/>
  <c r="C139" i="24"/>
  <c r="C151" i="24"/>
  <c r="C152" i="24"/>
  <c r="B156" i="24"/>
  <c r="D160" i="24"/>
  <c r="N104" i="24"/>
  <c r="J157" i="24"/>
  <c r="J179" i="24"/>
  <c r="L182" i="24"/>
  <c r="L157" i="24"/>
  <c r="N97" i="24"/>
  <c r="U157" i="24"/>
  <c r="S157" i="24"/>
  <c r="W159" i="24"/>
  <c r="W139" i="24"/>
  <c r="W152" i="24"/>
  <c r="W163" i="24"/>
  <c r="U174" i="25"/>
  <c r="L145" i="25"/>
  <c r="D155" i="25"/>
  <c r="L153" i="25"/>
  <c r="N153" i="25" s="1"/>
  <c r="N35" i="25"/>
  <c r="L155" i="25"/>
  <c r="N52" i="25"/>
  <c r="H161" i="25"/>
  <c r="N81" i="25"/>
  <c r="N95" i="25"/>
  <c r="N100" i="25"/>
  <c r="C188" i="25"/>
  <c r="W152" i="25"/>
  <c r="H189" i="25"/>
  <c r="N104" i="25"/>
  <c r="H138" i="25"/>
  <c r="D139" i="25"/>
  <c r="D141" i="25"/>
  <c r="J169" i="25"/>
  <c r="W143" i="25"/>
  <c r="H181" i="25"/>
  <c r="J188" i="25"/>
  <c r="J170" i="25"/>
  <c r="J163" i="25"/>
  <c r="H188" i="25"/>
  <c r="J181" i="25"/>
  <c r="H164" i="25"/>
  <c r="L170" i="25"/>
  <c r="N13" i="25"/>
  <c r="N15" i="25"/>
  <c r="J178" i="25"/>
  <c r="L181" i="25"/>
  <c r="H182" i="25"/>
  <c r="B188" i="25"/>
  <c r="J189" i="25"/>
  <c r="L190" i="25"/>
  <c r="W140" i="25"/>
  <c r="W191" i="25"/>
  <c r="J182" i="25"/>
  <c r="J177" i="25"/>
  <c r="J166" i="25"/>
  <c r="C174" i="25"/>
  <c r="B175" i="25"/>
  <c r="B177" i="25"/>
  <c r="N89" i="25"/>
  <c r="C192" i="25"/>
  <c r="C142" i="25"/>
  <c r="N25" i="25"/>
  <c r="N34" i="25"/>
  <c r="N36" i="25"/>
  <c r="N55" i="25"/>
  <c r="H168" i="25"/>
  <c r="C172" i="25"/>
  <c r="L173" i="25"/>
  <c r="D174" i="25"/>
  <c r="C175" i="25"/>
  <c r="J176" i="25"/>
  <c r="D192" i="25"/>
  <c r="H165" i="25"/>
  <c r="H140" i="25"/>
  <c r="D144" i="25"/>
  <c r="D152" i="25"/>
  <c r="D153" i="25"/>
  <c r="D154" i="25"/>
  <c r="N46" i="25"/>
  <c r="C160" i="25"/>
  <c r="N59" i="25"/>
  <c r="D169" i="25"/>
  <c r="N91" i="25"/>
  <c r="J149" i="26"/>
  <c r="N17" i="26"/>
  <c r="B125" i="26"/>
  <c r="J128" i="26"/>
  <c r="C129" i="26"/>
  <c r="N28" i="26"/>
  <c r="C132" i="26"/>
  <c r="N35" i="26"/>
  <c r="N37" i="26"/>
  <c r="H136" i="26"/>
  <c r="D149" i="26"/>
  <c r="N68" i="26"/>
  <c r="N70" i="26"/>
  <c r="L148" i="26"/>
  <c r="N8" i="26"/>
  <c r="N10" i="26"/>
  <c r="L121" i="26"/>
  <c r="J122" i="26"/>
  <c r="D124" i="26"/>
  <c r="L131" i="26"/>
  <c r="H151" i="26"/>
  <c r="J142" i="26"/>
  <c r="H148" i="26"/>
  <c r="C121" i="26"/>
  <c r="N12" i="26"/>
  <c r="B123" i="26"/>
  <c r="N29" i="26"/>
  <c r="H139" i="26"/>
  <c r="D140" i="26"/>
  <c r="B141" i="26"/>
  <c r="D141" i="26"/>
  <c r="N55" i="26"/>
  <c r="U144" i="26"/>
  <c r="N58" i="26"/>
  <c r="N60" i="26"/>
  <c r="J146" i="26"/>
  <c r="N65" i="26"/>
  <c r="C149" i="26"/>
  <c r="N69" i="26"/>
  <c r="S151" i="26"/>
  <c r="W151" i="26" s="1"/>
  <c r="W125" i="26"/>
  <c r="T148" i="26"/>
  <c r="J152" i="26"/>
  <c r="L136" i="26"/>
  <c r="J145" i="26"/>
  <c r="B147" i="26"/>
  <c r="D148" i="26"/>
  <c r="H152" i="26"/>
  <c r="T142" i="26"/>
  <c r="B140" i="26"/>
  <c r="J148" i="26"/>
  <c r="H143" i="26"/>
  <c r="H120" i="26"/>
  <c r="L142" i="26"/>
  <c r="H149" i="26"/>
  <c r="T136" i="26"/>
  <c r="D134" i="26"/>
  <c r="N40" i="26"/>
  <c r="L137" i="26"/>
  <c r="D142" i="26"/>
  <c r="L126" i="26"/>
  <c r="N31" i="26"/>
  <c r="B132" i="26"/>
  <c r="C137" i="26"/>
  <c r="W149" i="26"/>
  <c r="L155" i="26"/>
  <c r="D156" i="26"/>
  <c r="L83" i="38"/>
  <c r="B108" i="37"/>
  <c r="B86" i="37"/>
  <c r="W85" i="37"/>
  <c r="B100" i="37"/>
  <c r="N14" i="37"/>
  <c r="N7" i="37"/>
  <c r="B89" i="37"/>
  <c r="D90" i="37"/>
  <c r="N9" i="37"/>
  <c r="N57" i="37"/>
  <c r="D85" i="37"/>
  <c r="J92" i="37"/>
  <c r="C103" i="37"/>
  <c r="W95" i="37"/>
  <c r="N26" i="37"/>
  <c r="H100" i="37"/>
  <c r="N17" i="37"/>
  <c r="J85" i="37"/>
  <c r="W107" i="37"/>
  <c r="D114" i="36"/>
  <c r="L113" i="36"/>
  <c r="N71" i="36"/>
  <c r="J118" i="36"/>
  <c r="B151" i="16"/>
  <c r="W154" i="16"/>
  <c r="H132" i="16"/>
  <c r="J131" i="16"/>
  <c r="N27" i="16"/>
  <c r="N18" i="16"/>
  <c r="B130" i="16"/>
  <c r="N62" i="16"/>
  <c r="S152" i="16"/>
  <c r="D130" i="16"/>
  <c r="D142" i="16"/>
  <c r="U142" i="16"/>
  <c r="W142" i="16" s="1"/>
  <c r="H142" i="16"/>
  <c r="B128" i="16"/>
  <c r="L130" i="16"/>
  <c r="B132" i="16"/>
  <c r="H136" i="16"/>
  <c r="H140" i="16"/>
  <c r="J145" i="16"/>
  <c r="N57" i="16"/>
  <c r="W145" i="16"/>
  <c r="W129" i="16"/>
  <c r="L131" i="16"/>
  <c r="L142" i="16"/>
  <c r="L132" i="16"/>
  <c r="U151" i="16"/>
  <c r="T151" i="16"/>
  <c r="D139" i="16"/>
  <c r="J142" i="16"/>
  <c r="H155" i="16"/>
  <c r="H160" i="16"/>
  <c r="D151" i="16"/>
  <c r="T130" i="16"/>
  <c r="B153" i="16"/>
  <c r="U130" i="16"/>
  <c r="L151" i="16"/>
  <c r="L152" i="16"/>
  <c r="N81" i="16"/>
  <c r="W126" i="16"/>
  <c r="H125" i="35"/>
  <c r="H123" i="35"/>
  <c r="N45" i="35"/>
  <c r="L132" i="35"/>
  <c r="N61" i="35"/>
  <c r="J123" i="35"/>
  <c r="H129" i="35"/>
  <c r="C123" i="35"/>
  <c r="C131" i="35"/>
  <c r="N25" i="35"/>
  <c r="N24" i="35"/>
  <c r="N58" i="35"/>
  <c r="D136" i="35"/>
  <c r="L135" i="35"/>
  <c r="B127" i="35"/>
  <c r="H127" i="35"/>
  <c r="S127" i="35"/>
  <c r="B125" i="35"/>
  <c r="J129" i="35"/>
  <c r="H116" i="35"/>
  <c r="N86" i="35"/>
  <c r="L121" i="35"/>
  <c r="H121" i="35"/>
  <c r="N76" i="35"/>
  <c r="J113" i="35"/>
  <c r="C118" i="35"/>
  <c r="J119" i="35"/>
  <c r="W125" i="35"/>
  <c r="D135" i="35"/>
  <c r="U127" i="35"/>
  <c r="L119" i="35"/>
  <c r="H118" i="35"/>
  <c r="N15" i="35"/>
  <c r="D118" i="35"/>
  <c r="H113" i="35"/>
  <c r="W129" i="35"/>
  <c r="H132" i="35"/>
  <c r="T176" i="17"/>
  <c r="U176" i="17"/>
  <c r="S161" i="17"/>
  <c r="W150" i="17"/>
  <c r="J161" i="17"/>
  <c r="H189" i="17"/>
  <c r="U161" i="17"/>
  <c r="H188" i="17"/>
  <c r="W184" i="17"/>
  <c r="C193" i="17"/>
  <c r="N78" i="17"/>
  <c r="D180" i="17"/>
  <c r="N109" i="17"/>
  <c r="N22" i="17"/>
  <c r="N34" i="17"/>
  <c r="N69" i="17"/>
  <c r="B187" i="17"/>
  <c r="W142" i="17"/>
  <c r="D149" i="17"/>
  <c r="D150" i="17"/>
  <c r="D154" i="17"/>
  <c r="B158" i="17"/>
  <c r="B159" i="17"/>
  <c r="L177" i="17"/>
  <c r="N86" i="17"/>
  <c r="T156" i="17"/>
  <c r="J147" i="17"/>
  <c r="L140" i="17"/>
  <c r="B178" i="17"/>
  <c r="C140" i="17"/>
  <c r="N16" i="17"/>
  <c r="T178" i="17"/>
  <c r="H150" i="17"/>
  <c r="H179" i="17"/>
  <c r="N21" i="17"/>
  <c r="L150" i="17"/>
  <c r="J169" i="17"/>
  <c r="W194" i="17"/>
  <c r="B184" i="17"/>
  <c r="D164" i="17"/>
  <c r="J189" i="17"/>
  <c r="J191" i="17"/>
  <c r="H192" i="17"/>
  <c r="N84" i="17"/>
  <c r="N20" i="17"/>
  <c r="C188" i="17"/>
  <c r="C192" i="17"/>
  <c r="B142" i="17"/>
  <c r="B144" i="17"/>
  <c r="D148" i="17"/>
  <c r="D151" i="17"/>
  <c r="D153" i="17"/>
  <c r="H159" i="17"/>
  <c r="C167" i="17"/>
  <c r="W148" i="17"/>
  <c r="T193" i="17"/>
  <c r="E194" i="17"/>
  <c r="D141" i="17"/>
  <c r="C145" i="17"/>
  <c r="D147" i="17"/>
  <c r="N97" i="17"/>
  <c r="H185" i="17"/>
  <c r="L186" i="17"/>
  <c r="W162" i="17"/>
  <c r="W168" i="17"/>
  <c r="N10" i="17"/>
  <c r="L141" i="17"/>
  <c r="D145" i="17"/>
  <c r="N26" i="17"/>
  <c r="N28" i="17"/>
  <c r="N32" i="17"/>
  <c r="N38" i="17"/>
  <c r="L157" i="17"/>
  <c r="N47" i="17"/>
  <c r="N49" i="17"/>
  <c r="B161" i="17"/>
  <c r="H169" i="17"/>
  <c r="N81" i="17"/>
  <c r="H178" i="17"/>
  <c r="B185" i="17"/>
  <c r="D193" i="17"/>
  <c r="J145" i="17"/>
  <c r="L171" i="17"/>
  <c r="N103" i="17"/>
  <c r="N115" i="17"/>
  <c r="B193" i="17"/>
  <c r="J192" i="18"/>
  <c r="D144" i="18"/>
  <c r="N18" i="18"/>
  <c r="H149" i="18"/>
  <c r="N27" i="18"/>
  <c r="B154" i="18"/>
  <c r="L157" i="18"/>
  <c r="B183" i="18"/>
  <c r="J184" i="18"/>
  <c r="N96" i="18"/>
  <c r="J188" i="18"/>
  <c r="W184" i="18"/>
  <c r="N119" i="18"/>
  <c r="W167" i="18"/>
  <c r="N24" i="18"/>
  <c r="N35" i="18"/>
  <c r="N37" i="18"/>
  <c r="T189" i="18"/>
  <c r="J158" i="18"/>
  <c r="N41" i="18"/>
  <c r="H164" i="18"/>
  <c r="N91" i="18"/>
  <c r="D190" i="18"/>
  <c r="D191" i="18"/>
  <c r="C143" i="18"/>
  <c r="N13" i="18"/>
  <c r="C148" i="18"/>
  <c r="N19" i="18"/>
  <c r="H152" i="18"/>
  <c r="C155" i="18"/>
  <c r="C156" i="18"/>
  <c r="N34" i="18"/>
  <c r="C158" i="18"/>
  <c r="J159" i="18"/>
  <c r="D160" i="18"/>
  <c r="D161" i="18"/>
  <c r="E161" i="18" s="1"/>
  <c r="B184" i="18"/>
  <c r="L189" i="18"/>
  <c r="J190" i="18"/>
  <c r="H191" i="18"/>
  <c r="D143" i="18"/>
  <c r="B144" i="18"/>
  <c r="L145" i="18"/>
  <c r="J146" i="18"/>
  <c r="N25" i="18"/>
  <c r="D154" i="18"/>
  <c r="H160" i="18"/>
  <c r="D175" i="18"/>
  <c r="C184" i="18"/>
  <c r="D186" i="18"/>
  <c r="J193" i="18"/>
  <c r="L195" i="18"/>
  <c r="L185" i="18"/>
  <c r="C144" i="18"/>
  <c r="N10" i="18"/>
  <c r="C152" i="18"/>
  <c r="J153" i="18"/>
  <c r="J156" i="18"/>
  <c r="D157" i="18"/>
  <c r="B160" i="18"/>
  <c r="C185" i="18"/>
  <c r="B186" i="18"/>
  <c r="H186" i="18"/>
  <c r="D187" i="18"/>
  <c r="D188" i="18"/>
  <c r="C190" i="18"/>
  <c r="B193" i="18"/>
  <c r="B195" i="18"/>
  <c r="N115" i="18"/>
  <c r="W157" i="18"/>
  <c r="S180" i="19"/>
  <c r="C173" i="19"/>
  <c r="N67" i="19"/>
  <c r="H184" i="19"/>
  <c r="N40" i="19"/>
  <c r="T180" i="19"/>
  <c r="D156" i="19"/>
  <c r="N46" i="19"/>
  <c r="B191" i="19"/>
  <c r="D196" i="19"/>
  <c r="N90" i="19"/>
  <c r="J165" i="19"/>
  <c r="C146" i="19"/>
  <c r="J155" i="19"/>
  <c r="D146" i="19"/>
  <c r="D158" i="19"/>
  <c r="H198" i="19"/>
  <c r="J164" i="19"/>
  <c r="L166" i="19"/>
  <c r="N113" i="19"/>
  <c r="N117" i="19"/>
  <c r="N37" i="19"/>
  <c r="H183" i="19"/>
  <c r="N88" i="19"/>
  <c r="H189" i="19"/>
  <c r="N12" i="19"/>
  <c r="N29" i="19"/>
  <c r="C163" i="19"/>
  <c r="C170" i="19"/>
  <c r="D171" i="19"/>
  <c r="B174" i="19"/>
  <c r="H193" i="19"/>
  <c r="W160" i="19"/>
  <c r="N8" i="19"/>
  <c r="C158" i="19"/>
  <c r="N49" i="19"/>
  <c r="J171" i="19"/>
  <c r="J176" i="19"/>
  <c r="D177" i="19"/>
  <c r="N75" i="19"/>
  <c r="D180" i="19"/>
  <c r="D150" i="19"/>
  <c r="H151" i="19"/>
  <c r="N26" i="19"/>
  <c r="H156" i="19"/>
  <c r="N42" i="19"/>
  <c r="C166" i="19"/>
  <c r="C168" i="19"/>
  <c r="N55" i="19"/>
  <c r="L170" i="19"/>
  <c r="B176" i="19"/>
  <c r="C179" i="19"/>
  <c r="N77" i="19"/>
  <c r="N11" i="19"/>
  <c r="D152" i="19"/>
  <c r="L172" i="19"/>
  <c r="C180" i="19"/>
  <c r="N79" i="19"/>
  <c r="D192" i="19"/>
  <c r="W146" i="19"/>
  <c r="W169" i="19"/>
  <c r="N13" i="19"/>
  <c r="L152" i="19"/>
  <c r="B158" i="19"/>
  <c r="D190" i="19"/>
  <c r="D195" i="19"/>
  <c r="J162" i="19"/>
  <c r="J180" i="19"/>
  <c r="L195" i="19"/>
  <c r="N101" i="19"/>
  <c r="N49" i="20"/>
  <c r="N51" i="20"/>
  <c r="N55" i="20"/>
  <c r="N69" i="20"/>
  <c r="N71" i="20"/>
  <c r="W128" i="20"/>
  <c r="W138" i="20"/>
  <c r="D153" i="20"/>
  <c r="N68" i="20"/>
  <c r="N77" i="20"/>
  <c r="C124" i="20"/>
  <c r="H139" i="20"/>
  <c r="N50" i="20"/>
  <c r="H148" i="20"/>
  <c r="D124" i="20"/>
  <c r="J142" i="20"/>
  <c r="L124" i="20"/>
  <c r="N65" i="20"/>
  <c r="N45" i="20"/>
  <c r="J124" i="20"/>
  <c r="N22" i="20"/>
  <c r="N85" i="20"/>
  <c r="D171" i="20"/>
  <c r="W146" i="20"/>
  <c r="B166" i="21"/>
  <c r="J176" i="21"/>
  <c r="C145" i="21"/>
  <c r="D147" i="21"/>
  <c r="H169" i="21"/>
  <c r="C179" i="21"/>
  <c r="B180" i="21"/>
  <c r="D181" i="21"/>
  <c r="J184" i="21"/>
  <c r="D186" i="21"/>
  <c r="N114" i="21"/>
  <c r="H179" i="21"/>
  <c r="C138" i="21"/>
  <c r="C139" i="21"/>
  <c r="J142" i="21"/>
  <c r="L144" i="21"/>
  <c r="H150" i="21"/>
  <c r="D151" i="21"/>
  <c r="C152" i="21"/>
  <c r="B153" i="21"/>
  <c r="J170" i="21"/>
  <c r="H171" i="21"/>
  <c r="C172" i="21"/>
  <c r="B173" i="21"/>
  <c r="C175" i="21"/>
  <c r="D177" i="21"/>
  <c r="D178" i="21"/>
  <c r="N51" i="21"/>
  <c r="D138" i="21"/>
  <c r="D139" i="21"/>
  <c r="B143" i="21"/>
  <c r="C168" i="21"/>
  <c r="D172" i="21"/>
  <c r="J174" i="21"/>
  <c r="J188" i="21"/>
  <c r="W166" i="21"/>
  <c r="S175" i="21"/>
  <c r="B163" i="21"/>
  <c r="N60" i="21"/>
  <c r="B167" i="21"/>
  <c r="L167" i="21"/>
  <c r="D168" i="21"/>
  <c r="N80" i="21"/>
  <c r="N82" i="21"/>
  <c r="J175" i="21"/>
  <c r="B175" i="21"/>
  <c r="N108" i="21"/>
  <c r="N26" i="21"/>
  <c r="L153" i="21"/>
  <c r="D162" i="21"/>
  <c r="C165" i="21"/>
  <c r="C166" i="21"/>
  <c r="N68" i="21"/>
  <c r="H168" i="21"/>
  <c r="C174" i="21"/>
  <c r="J181" i="21"/>
  <c r="C190" i="21"/>
  <c r="W170" i="21"/>
  <c r="J151" i="21"/>
  <c r="N41" i="21"/>
  <c r="N70" i="21"/>
  <c r="N86" i="21"/>
  <c r="W140" i="21"/>
  <c r="W161" i="21"/>
  <c r="W185" i="21"/>
  <c r="N115" i="21"/>
  <c r="S167" i="21"/>
  <c r="W167" i="21" s="1"/>
  <c r="L175" i="21"/>
  <c r="N19" i="21"/>
  <c r="N32" i="21"/>
  <c r="N49" i="21"/>
  <c r="B182" i="21"/>
  <c r="W144" i="21"/>
  <c r="W165" i="21"/>
  <c r="N18" i="33"/>
  <c r="N26" i="33"/>
  <c r="H86" i="33"/>
  <c r="N10" i="33"/>
  <c r="C89" i="33"/>
  <c r="N47" i="9"/>
  <c r="N58" i="9"/>
  <c r="N60" i="9"/>
  <c r="L197" i="9"/>
  <c r="D205" i="9"/>
  <c r="L183" i="9"/>
  <c r="J190" i="9"/>
  <c r="N29" i="9"/>
  <c r="B172" i="9"/>
  <c r="J178" i="9"/>
  <c r="B182" i="9"/>
  <c r="D154" i="9"/>
  <c r="D158" i="9"/>
  <c r="J159" i="9"/>
  <c r="J160" i="9"/>
  <c r="J161" i="9"/>
  <c r="D162" i="9"/>
  <c r="D164" i="9"/>
  <c r="C165" i="9"/>
  <c r="B178" i="9"/>
  <c r="C182" i="9"/>
  <c r="B154" i="9"/>
  <c r="C157" i="9"/>
  <c r="B159" i="9"/>
  <c r="B191" i="9"/>
  <c r="N11" i="9"/>
  <c r="H155" i="9"/>
  <c r="L156" i="9"/>
  <c r="L190" i="9"/>
  <c r="N13" i="9"/>
  <c r="J205" i="9"/>
  <c r="J196" i="9"/>
  <c r="N110" i="9"/>
  <c r="L202" i="9"/>
  <c r="N114" i="11"/>
  <c r="J186" i="11"/>
  <c r="C149" i="11"/>
  <c r="J144" i="11"/>
  <c r="N144" i="11" s="1"/>
  <c r="S149" i="11"/>
  <c r="H182" i="11"/>
  <c r="C162" i="11"/>
  <c r="H145" i="11"/>
  <c r="H167" i="11"/>
  <c r="N167" i="11" s="1"/>
  <c r="B186" i="11"/>
  <c r="L159" i="11"/>
  <c r="L150" i="11"/>
  <c r="B143" i="11"/>
  <c r="B153" i="11"/>
  <c r="H155" i="11"/>
  <c r="N49" i="11"/>
  <c r="T172" i="11"/>
  <c r="L182" i="11"/>
  <c r="B185" i="11"/>
  <c r="D142" i="11"/>
  <c r="S175" i="11"/>
  <c r="U149" i="11"/>
  <c r="H176" i="11"/>
  <c r="D172" i="11"/>
  <c r="H157" i="11"/>
  <c r="J187" i="11"/>
  <c r="J156" i="11"/>
  <c r="N19" i="11"/>
  <c r="N23" i="11"/>
  <c r="L179" i="11"/>
  <c r="W143" i="11"/>
  <c r="T175" i="11"/>
  <c r="J176" i="11"/>
  <c r="H172" i="11"/>
  <c r="J157" i="11"/>
  <c r="N25" i="11"/>
  <c r="W147" i="11"/>
  <c r="W159" i="11"/>
  <c r="U175" i="11"/>
  <c r="C191" i="11"/>
  <c r="W152" i="11"/>
  <c r="J172" i="11"/>
  <c r="B172" i="11"/>
  <c r="H149" i="11"/>
  <c r="U144" i="11"/>
  <c r="W144" i="11" s="1"/>
  <c r="N18" i="11"/>
  <c r="D149" i="11"/>
  <c r="N57" i="11"/>
  <c r="N81" i="11"/>
  <c r="D188" i="11"/>
  <c r="L195" i="11"/>
  <c r="W153" i="11"/>
  <c r="C175" i="11"/>
  <c r="C192" i="11"/>
  <c r="H158" i="11"/>
  <c r="N24" i="11"/>
  <c r="H166" i="11"/>
  <c r="H173" i="11"/>
  <c r="L172" i="11"/>
  <c r="L149" i="11"/>
  <c r="C163" i="11"/>
  <c r="J158" i="11"/>
  <c r="U182" i="11"/>
  <c r="J166" i="11"/>
  <c r="J173" i="11"/>
  <c r="H159" i="11"/>
  <c r="H150" i="11"/>
  <c r="N13" i="11"/>
  <c r="D163" i="11"/>
  <c r="N52" i="11"/>
  <c r="H183" i="11"/>
  <c r="N92" i="11"/>
  <c r="H189" i="11"/>
  <c r="N116" i="11"/>
  <c r="S172" i="11"/>
  <c r="D155" i="11"/>
  <c r="N43" i="11"/>
  <c r="N72" i="11"/>
  <c r="D182" i="11"/>
  <c r="S177" i="12"/>
  <c r="B184" i="12"/>
  <c r="C192" i="12"/>
  <c r="N166" i="12"/>
  <c r="B153" i="12"/>
  <c r="T177" i="12"/>
  <c r="U177" i="12"/>
  <c r="B148" i="12"/>
  <c r="N66" i="12"/>
  <c r="D179" i="12"/>
  <c r="N9" i="12"/>
  <c r="N44" i="12"/>
  <c r="N68" i="12"/>
  <c r="B174" i="12"/>
  <c r="N114" i="12"/>
  <c r="W144" i="12"/>
  <c r="W156" i="12"/>
  <c r="W176" i="12"/>
  <c r="N117" i="12"/>
  <c r="J81" i="32"/>
  <c r="N12" i="32"/>
  <c r="D92" i="32"/>
  <c r="T102" i="32"/>
  <c r="H91" i="32"/>
  <c r="D96" i="32"/>
  <c r="D102" i="32"/>
  <c r="S102" i="32"/>
  <c r="J85" i="32"/>
  <c r="C88" i="32"/>
  <c r="C98" i="32"/>
  <c r="J93" i="32"/>
  <c r="L93" i="32"/>
  <c r="H86" i="32"/>
  <c r="W99" i="32"/>
  <c r="C79" i="32"/>
  <c r="D80" i="32"/>
  <c r="B83" i="32"/>
  <c r="C84" i="32"/>
  <c r="D85" i="32"/>
  <c r="N26" i="32"/>
  <c r="N41" i="32"/>
  <c r="C97" i="32"/>
  <c r="J99" i="32"/>
  <c r="J96" i="32"/>
  <c r="L85" i="32"/>
  <c r="N14" i="32"/>
  <c r="W97" i="32"/>
  <c r="H88" i="32"/>
  <c r="B80" i="32"/>
  <c r="L95" i="32"/>
  <c r="H198" i="13"/>
  <c r="L184" i="13"/>
  <c r="B158" i="13"/>
  <c r="B159" i="13"/>
  <c r="C157" i="13"/>
  <c r="J189" i="13"/>
  <c r="C181" i="13"/>
  <c r="N74" i="13"/>
  <c r="W177" i="13"/>
  <c r="D208" i="13"/>
  <c r="C175" i="13"/>
  <c r="W156" i="13"/>
  <c r="N14" i="14"/>
  <c r="D161" i="14"/>
  <c r="D178" i="14"/>
  <c r="L152" i="14"/>
  <c r="N83" i="14"/>
  <c r="C187" i="14"/>
  <c r="L187" i="14"/>
  <c r="C175" i="14"/>
  <c r="J148" i="14"/>
  <c r="N47" i="14"/>
  <c r="H148" i="14"/>
  <c r="N86" i="14"/>
  <c r="S175" i="14"/>
  <c r="B182" i="14"/>
  <c r="N33" i="14"/>
  <c r="D149" i="14"/>
  <c r="L164" i="14"/>
  <c r="W152" i="14"/>
  <c r="N60" i="14"/>
  <c r="J191" i="14"/>
  <c r="J159" i="14"/>
  <c r="H175" i="14"/>
  <c r="B167" i="14"/>
  <c r="D184" i="14"/>
  <c r="D186" i="14"/>
  <c r="B193" i="14"/>
  <c r="C168" i="14"/>
  <c r="D159" i="14"/>
  <c r="C156" i="14"/>
  <c r="L159" i="14"/>
  <c r="N68" i="14"/>
  <c r="H191" i="14"/>
  <c r="L167" i="14"/>
  <c r="L175" i="14"/>
  <c r="D158" i="14"/>
  <c r="W173" i="14"/>
  <c r="H152" i="14"/>
  <c r="D156" i="14"/>
  <c r="C167" i="14"/>
  <c r="D165" i="14"/>
  <c r="N57" i="14"/>
  <c r="N37" i="14"/>
  <c r="H167" i="14"/>
  <c r="L171" i="14"/>
  <c r="D189" i="14"/>
  <c r="L141" i="14"/>
  <c r="J145" i="14"/>
  <c r="T175" i="14"/>
  <c r="J171" i="14"/>
  <c r="L179" i="14"/>
  <c r="C162" i="14"/>
  <c r="H179" i="14"/>
  <c r="D182" i="14"/>
  <c r="N99" i="14"/>
  <c r="D191" i="14"/>
  <c r="D143" i="14"/>
  <c r="N93" i="14"/>
  <c r="D152" i="14"/>
  <c r="D145" i="14"/>
  <c r="W161" i="14"/>
  <c r="W145" i="14"/>
  <c r="N42" i="14"/>
  <c r="D172" i="14"/>
  <c r="B175" i="14"/>
  <c r="N80" i="14"/>
  <c r="C177" i="14"/>
  <c r="D179" i="14"/>
  <c r="U185" i="14"/>
  <c r="C188" i="14"/>
  <c r="D190" i="14"/>
  <c r="H146" i="14"/>
  <c r="W196" i="14"/>
  <c r="N37" i="34"/>
  <c r="S86" i="34"/>
  <c r="N9" i="34"/>
  <c r="H81" i="34"/>
  <c r="C85" i="34"/>
  <c r="J78" i="34"/>
  <c r="W97" i="34"/>
  <c r="U86" i="34"/>
  <c r="B79" i="34"/>
  <c r="D80" i="34"/>
  <c r="B89" i="34"/>
  <c r="D90" i="34"/>
  <c r="D98" i="34"/>
  <c r="H78" i="34"/>
  <c r="B86" i="34"/>
  <c r="N11" i="34"/>
  <c r="N34" i="34"/>
  <c r="N53" i="34"/>
  <c r="L87" i="34"/>
  <c r="J86" i="34"/>
  <c r="D79" i="34"/>
  <c r="L93" i="34"/>
  <c r="J90" i="34"/>
  <c r="H82" i="34"/>
  <c r="N116" i="6"/>
  <c r="N36" i="30"/>
  <c r="S77" i="30"/>
  <c r="N20" i="30"/>
  <c r="C85" i="30"/>
  <c r="U77" i="30"/>
  <c r="L75" i="30"/>
  <c r="C86" i="30"/>
  <c r="T85" i="30"/>
  <c r="D88" i="30"/>
  <c r="N13" i="30"/>
  <c r="D78" i="30"/>
  <c r="N22" i="30"/>
  <c r="B85" i="30"/>
  <c r="D86" i="30"/>
  <c r="D190" i="7"/>
  <c r="J192" i="7"/>
  <c r="H187" i="7"/>
  <c r="H171" i="7"/>
  <c r="J187" i="7"/>
  <c r="J167" i="7"/>
  <c r="B169" i="7"/>
  <c r="H163" i="7"/>
  <c r="L180" i="7"/>
  <c r="B141" i="7"/>
  <c r="J141" i="7"/>
  <c r="B180" i="7"/>
  <c r="W171" i="7"/>
  <c r="D171" i="7"/>
  <c r="D188" i="7"/>
  <c r="C141" i="7"/>
  <c r="D142" i="7"/>
  <c r="J140" i="7"/>
  <c r="C138" i="7"/>
  <c r="W191" i="7"/>
  <c r="L175" i="7"/>
  <c r="J171" i="7"/>
  <c r="J180" i="7"/>
  <c r="D168" i="7"/>
  <c r="N111" i="7"/>
  <c r="B191" i="7"/>
  <c r="C140" i="7"/>
  <c r="H142" i="7"/>
  <c r="H175" i="7"/>
  <c r="D175" i="7"/>
  <c r="J143" i="7"/>
  <c r="W138" i="7"/>
  <c r="H91" i="31"/>
  <c r="N16" i="31"/>
  <c r="B82" i="31"/>
  <c r="D83" i="31"/>
  <c r="B86" i="31"/>
  <c r="D91" i="31"/>
  <c r="H95" i="31"/>
  <c r="N40" i="31"/>
  <c r="J83" i="31"/>
  <c r="N49" i="31"/>
  <c r="L95" i="31"/>
  <c r="N87" i="31"/>
  <c r="L96" i="31"/>
  <c r="N96" i="31" s="1"/>
  <c r="W93" i="31"/>
  <c r="N47" i="31"/>
  <c r="D76" i="31"/>
  <c r="C79" i="31"/>
  <c r="D86" i="31"/>
  <c r="C92" i="31"/>
  <c r="W81" i="31"/>
  <c r="N45" i="31"/>
  <c r="N32" i="31"/>
  <c r="D84" i="31"/>
  <c r="J78" i="31"/>
  <c r="N78" i="31" s="1"/>
  <c r="W77" i="31"/>
  <c r="H80" i="31"/>
  <c r="J91" i="31"/>
  <c r="N23" i="31"/>
  <c r="E206" i="22"/>
  <c r="U98" i="38"/>
  <c r="H92" i="38"/>
  <c r="J87" i="37"/>
  <c r="H92" i="37"/>
  <c r="B101" i="37"/>
  <c r="C101" i="37"/>
  <c r="L85" i="37"/>
  <c r="N11" i="37"/>
  <c r="D87" i="37"/>
  <c r="H87" i="37"/>
  <c r="B87" i="37"/>
  <c r="D102" i="37"/>
  <c r="N56" i="37"/>
  <c r="N32" i="37"/>
  <c r="N40" i="37"/>
  <c r="N20" i="37"/>
  <c r="N30" i="37"/>
  <c r="N35" i="37"/>
  <c r="B90" i="37"/>
  <c r="N37" i="37"/>
  <c r="D96" i="37"/>
  <c r="B97" i="37"/>
  <c r="N58" i="37"/>
  <c r="L91" i="37"/>
  <c r="N48" i="37"/>
  <c r="H106" i="37"/>
  <c r="L99" i="37"/>
  <c r="H91" i="37"/>
  <c r="J86" i="37"/>
  <c r="N59" i="37"/>
  <c r="H99" i="37"/>
  <c r="N23" i="37"/>
  <c r="D88" i="37"/>
  <c r="D91" i="37"/>
  <c r="L86" i="37"/>
  <c r="C90" i="37"/>
  <c r="N24" i="37"/>
  <c r="H105" i="37"/>
  <c r="N55" i="37"/>
  <c r="C89" i="37"/>
  <c r="C98" i="37"/>
  <c r="N27" i="37"/>
  <c r="B88" i="37"/>
  <c r="D98" i="37"/>
  <c r="N47" i="37"/>
  <c r="N42" i="37"/>
  <c r="J103" i="37"/>
  <c r="W116" i="36"/>
  <c r="N20" i="36"/>
  <c r="N63" i="36"/>
  <c r="B118" i="36"/>
  <c r="N27" i="36"/>
  <c r="N29" i="36"/>
  <c r="N67" i="36"/>
  <c r="N10" i="36"/>
  <c r="W117" i="36"/>
  <c r="B120" i="36"/>
  <c r="L122" i="36"/>
  <c r="B112" i="36"/>
  <c r="J151" i="16"/>
  <c r="H138" i="16"/>
  <c r="H156" i="16"/>
  <c r="L160" i="16"/>
  <c r="N31" i="16"/>
  <c r="N87" i="16"/>
  <c r="H147" i="16"/>
  <c r="D144" i="16"/>
  <c r="H133" i="16"/>
  <c r="L159" i="16"/>
  <c r="B127" i="16"/>
  <c r="N13" i="16"/>
  <c r="N20" i="16"/>
  <c r="N42" i="16"/>
  <c r="N49" i="16"/>
  <c r="H151" i="16"/>
  <c r="J152" i="16"/>
  <c r="N68" i="16"/>
  <c r="N77" i="16"/>
  <c r="N83" i="16"/>
  <c r="N29" i="16"/>
  <c r="J134" i="16"/>
  <c r="N8" i="16"/>
  <c r="C127" i="16"/>
  <c r="L143" i="16"/>
  <c r="N56" i="16"/>
  <c r="L147" i="16"/>
  <c r="B163" i="16"/>
  <c r="J143" i="16"/>
  <c r="L126" i="16"/>
  <c r="H127" i="16"/>
  <c r="J138" i="16"/>
  <c r="J130" i="16"/>
  <c r="N75" i="16"/>
  <c r="N37" i="16"/>
  <c r="B142" i="16"/>
  <c r="N73" i="16"/>
  <c r="N79" i="16"/>
  <c r="L148" i="16"/>
  <c r="N7" i="16"/>
  <c r="L127" i="16"/>
  <c r="C129" i="16"/>
  <c r="N41" i="16"/>
  <c r="N53" i="16"/>
  <c r="N22" i="16"/>
  <c r="N70" i="16"/>
  <c r="C154" i="16"/>
  <c r="H148" i="16"/>
  <c r="C130" i="16"/>
  <c r="N15" i="16"/>
  <c r="L136" i="16"/>
  <c r="N9" i="16"/>
  <c r="N23" i="16"/>
  <c r="J144" i="16"/>
  <c r="N51" i="16"/>
  <c r="J135" i="16"/>
  <c r="N11" i="16"/>
  <c r="D145" i="16"/>
  <c r="N78" i="16"/>
  <c r="N82" i="16"/>
  <c r="D163" i="16"/>
  <c r="N66" i="16"/>
  <c r="L135" i="16"/>
  <c r="D158" i="16"/>
  <c r="E158" i="16" s="1"/>
  <c r="C160" i="16"/>
  <c r="N55" i="16"/>
  <c r="N33" i="16"/>
  <c r="H152" i="16"/>
  <c r="J136" i="16"/>
  <c r="C141" i="16"/>
  <c r="J144" i="17"/>
  <c r="C168" i="17"/>
  <c r="D172" i="17"/>
  <c r="B175" i="17"/>
  <c r="C181" i="17"/>
  <c r="B182" i="17"/>
  <c r="D184" i="17"/>
  <c r="L187" i="17"/>
  <c r="J188" i="17"/>
  <c r="L169" i="17"/>
  <c r="J143" i="17"/>
  <c r="H141" i="17"/>
  <c r="L163" i="17"/>
  <c r="N63" i="17"/>
  <c r="C169" i="17"/>
  <c r="N71" i="17"/>
  <c r="L173" i="17"/>
  <c r="D174" i="17"/>
  <c r="B176" i="17"/>
  <c r="J176" i="17"/>
  <c r="J180" i="17"/>
  <c r="L183" i="17"/>
  <c r="J185" i="17"/>
  <c r="N90" i="17"/>
  <c r="C175" i="17"/>
  <c r="C161" i="17"/>
  <c r="N54" i="17"/>
  <c r="N56" i="17"/>
  <c r="J164" i="17"/>
  <c r="J168" i="17"/>
  <c r="C170" i="17"/>
  <c r="B172" i="17"/>
  <c r="C178" i="17"/>
  <c r="J181" i="17"/>
  <c r="H142" i="17"/>
  <c r="C148" i="17"/>
  <c r="C149" i="17"/>
  <c r="C150" i="17"/>
  <c r="N31" i="17"/>
  <c r="C152" i="17"/>
  <c r="N35" i="17"/>
  <c r="C154" i="17"/>
  <c r="C155" i="17"/>
  <c r="H158" i="17"/>
  <c r="D159" i="17"/>
  <c r="D160" i="17"/>
  <c r="N58" i="17"/>
  <c r="B168" i="17"/>
  <c r="C172" i="17"/>
  <c r="H175" i="17"/>
  <c r="B177" i="17"/>
  <c r="L182" i="17"/>
  <c r="D188" i="17"/>
  <c r="T143" i="17"/>
  <c r="S157" i="17"/>
  <c r="W157" i="17" s="1"/>
  <c r="C141" i="17"/>
  <c r="N15" i="17"/>
  <c r="D152" i="17"/>
  <c r="N93" i="17"/>
  <c r="W187" i="17"/>
  <c r="J146" i="17"/>
  <c r="L143" i="17"/>
  <c r="S156" i="17"/>
  <c r="C143" i="17"/>
  <c r="L152" i="17"/>
  <c r="N51" i="17"/>
  <c r="J163" i="17"/>
  <c r="N106" i="17"/>
  <c r="N108" i="17"/>
  <c r="N114" i="17"/>
  <c r="W190" i="17"/>
  <c r="L194" i="17"/>
  <c r="N32" i="34"/>
  <c r="L85" i="34"/>
  <c r="C95" i="34"/>
  <c r="D95" i="34"/>
  <c r="S94" i="34"/>
  <c r="W94" i="34" s="1"/>
  <c r="L92" i="34"/>
  <c r="L89" i="34"/>
  <c r="W80" i="34"/>
  <c r="W96" i="34"/>
  <c r="D83" i="34"/>
  <c r="J83" i="34"/>
  <c r="N47" i="34"/>
  <c r="N50" i="34"/>
  <c r="L90" i="34"/>
  <c r="L82" i="34"/>
  <c r="C82" i="34"/>
  <c r="N18" i="34"/>
  <c r="N52" i="34"/>
  <c r="N27" i="34"/>
  <c r="J85" i="34"/>
  <c r="B80" i="34"/>
  <c r="N15" i="34"/>
  <c r="C98" i="34"/>
  <c r="D99" i="34"/>
  <c r="C80" i="34"/>
  <c r="H90" i="34"/>
  <c r="J93" i="34"/>
  <c r="N13" i="34"/>
  <c r="D85" i="34"/>
  <c r="N44" i="34"/>
  <c r="N22" i="34"/>
  <c r="N55" i="34"/>
  <c r="B91" i="34"/>
  <c r="L93" i="33"/>
  <c r="N41" i="33"/>
  <c r="D101" i="33"/>
  <c r="N13" i="33"/>
  <c r="N15" i="33"/>
  <c r="J82" i="33"/>
  <c r="J83" i="33"/>
  <c r="H96" i="33"/>
  <c r="L99" i="33"/>
  <c r="C100" i="33"/>
  <c r="B81" i="33"/>
  <c r="C90" i="33"/>
  <c r="B205" i="10"/>
  <c r="L177" i="10"/>
  <c r="D179" i="10"/>
  <c r="S178" i="10"/>
  <c r="N58" i="10"/>
  <c r="N60" i="10"/>
  <c r="N75" i="10"/>
  <c r="D186" i="15"/>
  <c r="C196" i="15"/>
  <c r="N58" i="15"/>
  <c r="N26" i="15"/>
  <c r="H206" i="15"/>
  <c r="H183" i="15"/>
  <c r="J179" i="15"/>
  <c r="J168" i="15"/>
  <c r="H165" i="15"/>
  <c r="J161" i="15"/>
  <c r="H158" i="15"/>
  <c r="N91" i="15"/>
  <c r="D180" i="15"/>
  <c r="L168" i="15"/>
  <c r="D158" i="15"/>
  <c r="N32" i="15"/>
  <c r="D160" i="15"/>
  <c r="H191" i="15"/>
  <c r="J180" i="15"/>
  <c r="J172" i="15"/>
  <c r="J169" i="15"/>
  <c r="D201" i="15"/>
  <c r="B197" i="15"/>
  <c r="N104" i="15"/>
  <c r="N108" i="15"/>
  <c r="C209" i="15"/>
  <c r="L206" i="15"/>
  <c r="N80" i="15"/>
  <c r="C200" i="15"/>
  <c r="J202" i="15"/>
  <c r="D208" i="15"/>
  <c r="C180" i="15"/>
  <c r="N49" i="15"/>
  <c r="N41" i="15"/>
  <c r="C203" i="15"/>
  <c r="N66" i="15"/>
  <c r="N117" i="15"/>
  <c r="D181" i="15"/>
  <c r="D170" i="15"/>
  <c r="J158" i="15"/>
  <c r="L190" i="15"/>
  <c r="N52" i="15"/>
  <c r="B167" i="15"/>
  <c r="N10" i="15"/>
  <c r="J183" i="15"/>
  <c r="J198" i="15"/>
  <c r="C206" i="15"/>
  <c r="H161" i="15"/>
  <c r="D175" i="15"/>
  <c r="B184" i="15"/>
  <c r="N89" i="15"/>
  <c r="C195" i="15"/>
  <c r="J160" i="15"/>
  <c r="L179" i="15"/>
  <c r="C186" i="15"/>
  <c r="B159" i="15"/>
  <c r="B203" i="15"/>
  <c r="N43" i="15"/>
  <c r="J204" i="15"/>
  <c r="L173" i="15"/>
  <c r="H166" i="15"/>
  <c r="N103" i="15"/>
  <c r="B178" i="15"/>
  <c r="C161" i="15"/>
  <c r="N63" i="15"/>
  <c r="C172" i="15"/>
  <c r="C192" i="15"/>
  <c r="B174" i="7"/>
  <c r="D187" i="7"/>
  <c r="N74" i="7"/>
  <c r="C176" i="7"/>
  <c r="N87" i="7"/>
  <c r="C181" i="7"/>
  <c r="B144" i="7"/>
  <c r="B156" i="7"/>
  <c r="J176" i="7"/>
  <c r="N72" i="7"/>
  <c r="N52" i="7"/>
  <c r="L176" i="7"/>
  <c r="N66" i="7"/>
  <c r="T180" i="7"/>
  <c r="N59" i="7"/>
  <c r="N25" i="7"/>
  <c r="S174" i="7"/>
  <c r="T174" i="7"/>
  <c r="W142" i="7"/>
  <c r="U180" i="7"/>
  <c r="C191" i="7"/>
  <c r="N80" i="7"/>
  <c r="B176" i="7"/>
  <c r="C180" i="7"/>
  <c r="C158" i="7"/>
  <c r="H154" i="7"/>
  <c r="N76" i="7"/>
  <c r="N26" i="7"/>
  <c r="N22" i="7"/>
  <c r="C152" i="7"/>
  <c r="N62" i="7"/>
  <c r="L151" i="7"/>
  <c r="L150" i="7"/>
  <c r="H190" i="7"/>
  <c r="W153" i="7"/>
  <c r="D176" i="7"/>
  <c r="N102" i="7"/>
  <c r="C187" i="7"/>
  <c r="N37" i="7"/>
  <c r="J189" i="7"/>
  <c r="W177" i="7"/>
  <c r="J169" i="7"/>
  <c r="B142" i="7"/>
  <c r="D146" i="7"/>
  <c r="D150" i="7"/>
  <c r="D158" i="7"/>
  <c r="C151" i="7"/>
  <c r="J149" i="7"/>
  <c r="H153" i="7"/>
  <c r="N48" i="7"/>
  <c r="N23" i="7"/>
  <c r="J161" i="7"/>
  <c r="L157" i="7"/>
  <c r="B172" i="7"/>
  <c r="C177" i="7"/>
  <c r="N96" i="7"/>
  <c r="C188" i="7"/>
  <c r="N46" i="7"/>
  <c r="N21" i="7"/>
  <c r="N29" i="7"/>
  <c r="N77" i="7"/>
  <c r="N85" i="7"/>
  <c r="D147" i="7"/>
  <c r="B190" i="7"/>
  <c r="L185" i="7"/>
  <c r="L177" i="7"/>
  <c r="L173" i="7"/>
  <c r="L169" i="7"/>
  <c r="H165" i="7"/>
  <c r="W161" i="7"/>
  <c r="L140" i="7"/>
  <c r="N110" i="7"/>
  <c r="D174" i="7"/>
  <c r="N104" i="7"/>
  <c r="N61" i="7"/>
  <c r="J160" i="7"/>
  <c r="W140" i="7"/>
  <c r="H140" i="7"/>
  <c r="H177" i="7"/>
  <c r="B182" i="7"/>
  <c r="D160" i="7"/>
  <c r="B153" i="7"/>
  <c r="L188" i="7"/>
  <c r="C174" i="7"/>
  <c r="N53" i="7"/>
  <c r="N28" i="7"/>
  <c r="N41" i="7"/>
  <c r="D156" i="7"/>
  <c r="N14" i="7"/>
  <c r="W147" i="7"/>
  <c r="H169" i="7"/>
  <c r="J158" i="7"/>
  <c r="W148" i="7"/>
  <c r="B166" i="7"/>
  <c r="H146" i="7"/>
  <c r="D192" i="7"/>
  <c r="J164" i="7"/>
  <c r="W145" i="7"/>
  <c r="H84" i="29"/>
  <c r="L91" i="29"/>
  <c r="N26" i="29"/>
  <c r="N40" i="29"/>
  <c r="N54" i="29"/>
  <c r="H94" i="29"/>
  <c r="C98" i="29"/>
  <c r="C102" i="29"/>
  <c r="D93" i="29"/>
  <c r="E93" i="29" s="1"/>
  <c r="D83" i="29"/>
  <c r="E83" i="29" s="1"/>
  <c r="J85" i="29"/>
  <c r="B106" i="29"/>
  <c r="N58" i="29"/>
  <c r="J92" i="29"/>
  <c r="D138" i="6"/>
  <c r="D81" i="30"/>
  <c r="B84" i="30"/>
  <c r="D76" i="30"/>
  <c r="B79" i="30"/>
  <c r="D80" i="30"/>
  <c r="B83" i="30"/>
  <c r="U79" i="30"/>
  <c r="W79" i="30" s="1"/>
  <c r="N38" i="30"/>
  <c r="N29" i="30"/>
  <c r="C84" i="30"/>
  <c r="H81" i="30"/>
  <c r="L82" i="30"/>
  <c r="C77" i="30"/>
  <c r="T82" i="30"/>
  <c r="U74" i="30"/>
  <c r="C79" i="30"/>
  <c r="C83" i="30"/>
  <c r="S82" i="30"/>
  <c r="B80" i="30"/>
  <c r="C146" i="5"/>
  <c r="B151" i="5"/>
  <c r="D152" i="5"/>
  <c r="J166" i="5"/>
  <c r="L162" i="5"/>
  <c r="W147" i="5"/>
  <c r="H179" i="5"/>
  <c r="B173" i="5"/>
  <c r="N92" i="5"/>
  <c r="J161" i="5"/>
  <c r="L158" i="5"/>
  <c r="L154" i="5"/>
  <c r="N116" i="5"/>
  <c r="N68" i="5"/>
  <c r="N87" i="5"/>
  <c r="N91" i="5"/>
  <c r="B154" i="5"/>
  <c r="E154" i="5" s="1"/>
  <c r="C155" i="5"/>
  <c r="D156" i="5"/>
  <c r="B162" i="5"/>
  <c r="B165" i="5"/>
  <c r="E165" i="5" s="1"/>
  <c r="D167" i="5"/>
  <c r="C148" i="5"/>
  <c r="N30" i="5"/>
  <c r="W153" i="5"/>
  <c r="D155" i="5"/>
  <c r="N47" i="5"/>
  <c r="D163" i="5"/>
  <c r="N12" i="5"/>
  <c r="C143" i="5"/>
  <c r="D148" i="5"/>
  <c r="N28" i="5"/>
  <c r="L186" i="5"/>
  <c r="H182" i="5"/>
  <c r="J178" i="5"/>
  <c r="H173" i="5"/>
  <c r="B186" i="5"/>
  <c r="N7" i="5"/>
  <c r="D169" i="5"/>
  <c r="D175" i="5"/>
  <c r="B178" i="5"/>
  <c r="C183" i="5"/>
  <c r="C184" i="5"/>
  <c r="B185" i="5"/>
  <c r="D162" i="5"/>
  <c r="H160" i="5"/>
  <c r="J152" i="5"/>
  <c r="L141" i="5"/>
  <c r="J174" i="5"/>
  <c r="J170" i="5"/>
  <c r="B139" i="5"/>
  <c r="N55" i="5"/>
  <c r="N57" i="5"/>
  <c r="N60" i="5"/>
  <c r="H167" i="5"/>
  <c r="L163" i="5"/>
  <c r="J140" i="5"/>
  <c r="J185" i="5"/>
  <c r="L181" i="5"/>
  <c r="H169" i="5"/>
  <c r="N169" i="5" s="1"/>
  <c r="N103" i="5"/>
  <c r="N29" i="5"/>
  <c r="C151" i="5"/>
  <c r="N34" i="5"/>
  <c r="J163" i="5"/>
  <c r="W155" i="5"/>
  <c r="W151" i="5"/>
  <c r="H148" i="5"/>
  <c r="H144" i="5"/>
  <c r="J192" i="5"/>
  <c r="D139" i="5"/>
  <c r="N118" i="5"/>
  <c r="N51" i="5"/>
  <c r="C140" i="5"/>
  <c r="B141" i="5"/>
  <c r="D143" i="5"/>
  <c r="C145" i="5"/>
  <c r="N27" i="5"/>
  <c r="W78" i="30"/>
  <c r="N17" i="30"/>
  <c r="W76" i="30"/>
  <c r="J88" i="30"/>
  <c r="W80" i="30"/>
  <c r="H84" i="30"/>
  <c r="D79" i="30"/>
  <c r="N26" i="30"/>
  <c r="L81" i="30"/>
  <c r="D77" i="30"/>
  <c r="J81" i="30"/>
  <c r="C76" i="30"/>
  <c r="N31" i="30"/>
  <c r="N14" i="30"/>
  <c r="H87" i="30"/>
  <c r="L83" i="30"/>
  <c r="D83" i="30"/>
  <c r="H79" i="30"/>
  <c r="J80" i="30"/>
  <c r="J76" i="30"/>
  <c r="B75" i="30"/>
  <c r="D82" i="30"/>
  <c r="J79" i="30"/>
  <c r="D75" i="30"/>
  <c r="J85" i="30"/>
  <c r="H82" i="30"/>
  <c r="L84" i="30"/>
  <c r="B106" i="28"/>
  <c r="C94" i="28"/>
  <c r="B93" i="28"/>
  <c r="N30" i="28"/>
  <c r="N47" i="28"/>
  <c r="L107" i="28"/>
  <c r="T104" i="28"/>
  <c r="N11" i="28"/>
  <c r="N19" i="28"/>
  <c r="N36" i="28"/>
  <c r="N49" i="28"/>
  <c r="H108" i="28"/>
  <c r="S104" i="28"/>
  <c r="D85" i="28"/>
  <c r="B92" i="28"/>
  <c r="B100" i="28"/>
  <c r="N18" i="28"/>
  <c r="B86" i="28"/>
  <c r="D99" i="28"/>
  <c r="D107" i="28"/>
  <c r="L99" i="28"/>
  <c r="C98" i="28"/>
  <c r="C106" i="28"/>
  <c r="N56" i="28"/>
  <c r="H102" i="28"/>
  <c r="D90" i="28"/>
  <c r="D180" i="2"/>
  <c r="C182" i="2"/>
  <c r="N54" i="2"/>
  <c r="D146" i="2"/>
  <c r="B149" i="2"/>
  <c r="W191" i="2"/>
  <c r="W187" i="2"/>
  <c r="W183" i="2"/>
  <c r="W179" i="2"/>
  <c r="B163" i="2"/>
  <c r="D140" i="2"/>
  <c r="L138" i="2"/>
  <c r="N70" i="2"/>
  <c r="N72" i="2"/>
  <c r="D182" i="2"/>
  <c r="W151" i="2"/>
  <c r="W147" i="2"/>
  <c r="C150" i="2"/>
  <c r="W178" i="2"/>
  <c r="N154" i="2"/>
  <c r="D173" i="2"/>
  <c r="D183" i="2"/>
  <c r="N17" i="1"/>
  <c r="D163" i="1"/>
  <c r="L179" i="1"/>
  <c r="W187" i="1"/>
  <c r="N49" i="1"/>
  <c r="L157" i="1"/>
  <c r="C180" i="1"/>
  <c r="C169" i="1"/>
  <c r="H181" i="1"/>
  <c r="C167" i="1"/>
  <c r="D146" i="1"/>
  <c r="N117" i="1"/>
  <c r="N92" i="1"/>
  <c r="N90" i="1"/>
  <c r="D193" i="1"/>
  <c r="C146" i="1"/>
  <c r="N58" i="1"/>
  <c r="B146" i="1"/>
  <c r="H161" i="1"/>
  <c r="H143" i="1"/>
  <c r="W94" i="33"/>
  <c r="J80" i="33"/>
  <c r="H87" i="33"/>
  <c r="D89" i="33"/>
  <c r="D92" i="33"/>
  <c r="N38" i="33"/>
  <c r="C94" i="33"/>
  <c r="C95" i="33"/>
  <c r="C97" i="33"/>
  <c r="C99" i="33"/>
  <c r="B88" i="33"/>
  <c r="N9" i="33"/>
  <c r="H94" i="33"/>
  <c r="H98" i="33"/>
  <c r="W91" i="33"/>
  <c r="N52" i="33"/>
  <c r="W95" i="33"/>
  <c r="J81" i="33"/>
  <c r="H82" i="33"/>
  <c r="L83" i="33"/>
  <c r="H84" i="33"/>
  <c r="D94" i="33"/>
  <c r="D95" i="33"/>
  <c r="D96" i="33"/>
  <c r="D97" i="33"/>
  <c r="D98" i="33"/>
  <c r="D99" i="33"/>
  <c r="J84" i="33"/>
  <c r="S187" i="9"/>
  <c r="D182" i="9"/>
  <c r="B158" i="9"/>
  <c r="B187" i="9"/>
  <c r="B200" i="9"/>
  <c r="L175" i="9"/>
  <c r="N76" i="9"/>
  <c r="L201" i="9"/>
  <c r="D196" i="9"/>
  <c r="L161" i="9"/>
  <c r="U174" i="9"/>
  <c r="U183" i="9"/>
  <c r="N27" i="9"/>
  <c r="B165" i="9"/>
  <c r="N34" i="9"/>
  <c r="H167" i="9"/>
  <c r="B183" i="9"/>
  <c r="N72" i="9"/>
  <c r="L193" i="9"/>
  <c r="J172" i="9"/>
  <c r="L178" i="9"/>
  <c r="T192" i="9"/>
  <c r="W192" i="9" s="1"/>
  <c r="U158" i="9"/>
  <c r="N10" i="9"/>
  <c r="B156" i="9"/>
  <c r="H158" i="9"/>
  <c r="D161" i="9"/>
  <c r="C163" i="9"/>
  <c r="B167" i="9"/>
  <c r="L187" i="9"/>
  <c r="D188" i="9"/>
  <c r="N94" i="9"/>
  <c r="N119" i="9"/>
  <c r="N122" i="9"/>
  <c r="N126" i="9"/>
  <c r="N128" i="9"/>
  <c r="W155" i="9"/>
  <c r="W207" i="9"/>
  <c r="C208" i="9"/>
  <c r="T200" i="9"/>
  <c r="J167" i="9"/>
  <c r="U196" i="9"/>
  <c r="T185" i="9"/>
  <c r="S183" i="9"/>
  <c r="W183" i="9" s="1"/>
  <c r="D163" i="9"/>
  <c r="L165" i="9"/>
  <c r="D168" i="9"/>
  <c r="L169" i="9"/>
  <c r="L170" i="9"/>
  <c r="D171" i="9"/>
  <c r="D172" i="9"/>
  <c r="B174" i="9"/>
  <c r="H174" i="9"/>
  <c r="J175" i="9"/>
  <c r="N175" i="9" s="1"/>
  <c r="D176" i="9"/>
  <c r="N59" i="9"/>
  <c r="D180" i="9"/>
  <c r="H181" i="9"/>
  <c r="D183" i="9"/>
  <c r="J184" i="9"/>
  <c r="N77" i="9"/>
  <c r="W167" i="9"/>
  <c r="D153" i="9"/>
  <c r="N87" i="9"/>
  <c r="U187" i="9"/>
  <c r="L158" i="9"/>
  <c r="L164" i="9"/>
  <c r="C187" i="9"/>
  <c r="J197" i="9"/>
  <c r="N112" i="9"/>
  <c r="L160" i="9"/>
  <c r="D165" i="9"/>
  <c r="C172" i="9"/>
  <c r="B177" i="9"/>
  <c r="D181" i="9"/>
  <c r="C183" i="9"/>
  <c r="B186" i="9"/>
  <c r="C189" i="9"/>
  <c r="J200" i="9"/>
  <c r="T174" i="9"/>
  <c r="J155" i="9"/>
  <c r="N17" i="9"/>
  <c r="N32" i="9"/>
  <c r="L166" i="9"/>
  <c r="L171" i="9"/>
  <c r="D173" i="9"/>
  <c r="B175" i="9"/>
  <c r="N54" i="9"/>
  <c r="L176" i="9"/>
  <c r="B180" i="9"/>
  <c r="B181" i="9"/>
  <c r="H183" i="9"/>
  <c r="D186" i="9"/>
  <c r="N93" i="9"/>
  <c r="N109" i="9"/>
  <c r="W201" i="9"/>
  <c r="J202" i="9"/>
  <c r="N118" i="9"/>
  <c r="N120" i="9"/>
  <c r="W163" i="9"/>
  <c r="N95" i="9"/>
  <c r="N47" i="22"/>
  <c r="B167" i="22"/>
  <c r="H168" i="22"/>
  <c r="J168" i="22"/>
  <c r="N12" i="22"/>
  <c r="N13" i="22"/>
  <c r="B154" i="22"/>
  <c r="N18" i="22"/>
  <c r="B156" i="22"/>
  <c r="D157" i="22"/>
  <c r="N35" i="22"/>
  <c r="B162" i="22"/>
  <c r="H183" i="22"/>
  <c r="L183" i="22"/>
  <c r="J179" i="22"/>
  <c r="L175" i="22"/>
  <c r="J175" i="22"/>
  <c r="H175" i="22"/>
  <c r="H165" i="22"/>
  <c r="H161" i="22"/>
  <c r="J161" i="22"/>
  <c r="H155" i="22"/>
  <c r="C201" i="22"/>
  <c r="B171" i="22"/>
  <c r="B178" i="22"/>
  <c r="T153" i="22"/>
  <c r="H153" i="22"/>
  <c r="U153" i="22"/>
  <c r="S153" i="22"/>
  <c r="C158" i="22"/>
  <c r="J198" i="22"/>
  <c r="H194" i="22"/>
  <c r="L194" i="22"/>
  <c r="J194" i="22"/>
  <c r="J190" i="22"/>
  <c r="H186" i="22"/>
  <c r="L182" i="22"/>
  <c r="H182" i="22"/>
  <c r="H178" i="22"/>
  <c r="L178" i="22"/>
  <c r="H167" i="22"/>
  <c r="L157" i="22"/>
  <c r="J155" i="22"/>
  <c r="N195" i="22"/>
  <c r="U201" i="22"/>
  <c r="N8" i="22"/>
  <c r="H190" i="22"/>
  <c r="J186" i="22"/>
  <c r="B201" i="22"/>
  <c r="C203" i="22"/>
  <c r="N121" i="22"/>
  <c r="W168" i="22"/>
  <c r="W192" i="22"/>
  <c r="J182" i="22"/>
  <c r="L174" i="22"/>
  <c r="H160" i="22"/>
  <c r="H157" i="22"/>
  <c r="T169" i="22"/>
  <c r="S169" i="22"/>
  <c r="H169" i="22"/>
  <c r="N105" i="22"/>
  <c r="D195" i="22"/>
  <c r="D164" i="22"/>
  <c r="N39" i="22"/>
  <c r="N61" i="22"/>
  <c r="U177" i="22"/>
  <c r="L177" i="22"/>
  <c r="L187" i="22"/>
  <c r="H187" i="22"/>
  <c r="J187" i="22"/>
  <c r="J177" i="22"/>
  <c r="J183" i="22"/>
  <c r="S201" i="22"/>
  <c r="C165" i="22"/>
  <c r="J174" i="22"/>
  <c r="D165" i="22"/>
  <c r="D185" i="22"/>
  <c r="N84" i="22"/>
  <c r="T187" i="22"/>
  <c r="U187" i="22"/>
  <c r="S193" i="22"/>
  <c r="T193" i="22"/>
  <c r="N103" i="22"/>
  <c r="B194" i="22"/>
  <c r="L152" i="22"/>
  <c r="J152" i="22"/>
  <c r="L201" i="22"/>
  <c r="J201" i="22"/>
  <c r="H201" i="22"/>
  <c r="J193" i="22"/>
  <c r="N76" i="22"/>
  <c r="B181" i="22"/>
  <c r="N85" i="22"/>
  <c r="B185" i="22"/>
  <c r="S171" i="22"/>
  <c r="U171" i="22"/>
  <c r="C177" i="22"/>
  <c r="L168" i="22"/>
  <c r="L165" i="22"/>
  <c r="J178" i="22"/>
  <c r="N54" i="22"/>
  <c r="N66" i="22"/>
  <c r="B176" i="22"/>
  <c r="D178" i="22"/>
  <c r="N70" i="22"/>
  <c r="U186" i="22"/>
  <c r="S186" i="22"/>
  <c r="B200" i="22"/>
  <c r="N115" i="22"/>
  <c r="D201" i="22"/>
  <c r="N122" i="22"/>
  <c r="B203" i="22"/>
  <c r="H177" i="22"/>
  <c r="J169" i="22"/>
  <c r="J153" i="22"/>
  <c r="D158" i="22"/>
  <c r="L161" i="22"/>
  <c r="D166" i="22"/>
  <c r="D167" i="22"/>
  <c r="C169" i="22"/>
  <c r="D172" i="22"/>
  <c r="W163" i="22"/>
  <c r="J200" i="22"/>
  <c r="J196" i="22"/>
  <c r="J192" i="22"/>
  <c r="J163" i="22"/>
  <c r="T167" i="22"/>
  <c r="L153" i="22"/>
  <c r="H193" i="22"/>
  <c r="N33" i="22"/>
  <c r="D169" i="22"/>
  <c r="N60" i="22"/>
  <c r="C174" i="22"/>
  <c r="D181" i="22"/>
  <c r="C195" i="22"/>
  <c r="C197" i="22"/>
  <c r="N30" i="22"/>
  <c r="W189" i="22"/>
  <c r="B175" i="22"/>
  <c r="D184" i="22"/>
  <c r="C188" i="22"/>
  <c r="N90" i="22"/>
  <c r="T161" i="22"/>
  <c r="W161" i="22" s="1"/>
  <c r="D179" i="22"/>
  <c r="C187" i="22"/>
  <c r="D188" i="22"/>
  <c r="D196" i="22"/>
  <c r="B205" i="22"/>
  <c r="B186" i="22"/>
  <c r="C198" i="22"/>
  <c r="C205" i="22"/>
  <c r="N86" i="22"/>
  <c r="N65" i="22"/>
  <c r="C154" i="22"/>
  <c r="N15" i="22"/>
  <c r="C166" i="22"/>
  <c r="B168" i="22"/>
  <c r="C178" i="22"/>
  <c r="N79" i="22"/>
  <c r="C185" i="22"/>
  <c r="H199" i="22"/>
  <c r="W198" i="22"/>
  <c r="N18" i="23"/>
  <c r="H188" i="23"/>
  <c r="J188" i="23"/>
  <c r="J148" i="23"/>
  <c r="L185" i="23"/>
  <c r="L175" i="23"/>
  <c r="J169" i="23"/>
  <c r="N53" i="23"/>
  <c r="D173" i="23"/>
  <c r="N55" i="23"/>
  <c r="H146" i="23"/>
  <c r="H166" i="23"/>
  <c r="N24" i="23"/>
  <c r="U145" i="23"/>
  <c r="J151" i="23"/>
  <c r="L179" i="23"/>
  <c r="J189" i="23"/>
  <c r="T186" i="23"/>
  <c r="S179" i="23"/>
  <c r="J194" i="23"/>
  <c r="H182" i="23"/>
  <c r="H163" i="23"/>
  <c r="S148" i="23"/>
  <c r="H152" i="23"/>
  <c r="W181" i="23"/>
  <c r="N77" i="23"/>
  <c r="D174" i="23"/>
  <c r="C148" i="23"/>
  <c r="C169" i="23"/>
  <c r="U175" i="23"/>
  <c r="N79" i="23"/>
  <c r="L189" i="23"/>
  <c r="D146" i="23"/>
  <c r="N21" i="23"/>
  <c r="H155" i="23"/>
  <c r="D183" i="23"/>
  <c r="C193" i="23"/>
  <c r="C194" i="23"/>
  <c r="D184" i="23"/>
  <c r="H162" i="23"/>
  <c r="J167" i="23"/>
  <c r="N28" i="23"/>
  <c r="J175" i="23"/>
  <c r="J162" i="23"/>
  <c r="L155" i="23"/>
  <c r="B185" i="23"/>
  <c r="J179" i="23"/>
  <c r="N69" i="23"/>
  <c r="J185" i="23"/>
  <c r="C172" i="23"/>
  <c r="L182" i="23"/>
  <c r="J163" i="23"/>
  <c r="J152" i="23"/>
  <c r="B170" i="23"/>
  <c r="J173" i="23"/>
  <c r="C153" i="23"/>
  <c r="C159" i="23"/>
  <c r="D193" i="23"/>
  <c r="B179" i="23"/>
  <c r="T184" i="23"/>
  <c r="N111" i="23"/>
  <c r="T158" i="23"/>
  <c r="J153" i="23"/>
  <c r="J161" i="23"/>
  <c r="J171" i="23"/>
  <c r="H173" i="23"/>
  <c r="U148" i="23"/>
  <c r="J145" i="23"/>
  <c r="T156" i="23"/>
  <c r="H176" i="23"/>
  <c r="L173" i="23"/>
  <c r="B178" i="23"/>
  <c r="B169" i="23"/>
  <c r="N97" i="23"/>
  <c r="H180" i="23"/>
  <c r="S175" i="23"/>
  <c r="D145" i="23"/>
  <c r="C146" i="23"/>
  <c r="B147" i="23"/>
  <c r="D152" i="23"/>
  <c r="D153" i="23"/>
  <c r="C155" i="23"/>
  <c r="N37" i="23"/>
  <c r="D170" i="23"/>
  <c r="L172" i="23"/>
  <c r="B191" i="23"/>
  <c r="W166" i="23"/>
  <c r="W191" i="23"/>
  <c r="T173" i="23"/>
  <c r="N22" i="23"/>
  <c r="H186" i="23"/>
  <c r="D185" i="23"/>
  <c r="L167" i="23"/>
  <c r="T145" i="23"/>
  <c r="B144" i="23"/>
  <c r="T148" i="23"/>
  <c r="D157" i="23"/>
  <c r="C173" i="23"/>
  <c r="H191" i="23"/>
  <c r="D179" i="23"/>
  <c r="U184" i="23"/>
  <c r="L191" i="23"/>
  <c r="U158" i="23"/>
  <c r="T174" i="23"/>
  <c r="W174" i="23" s="1"/>
  <c r="L153" i="23"/>
  <c r="S165" i="23"/>
  <c r="L145" i="23"/>
  <c r="B181" i="23"/>
  <c r="U156" i="23"/>
  <c r="N44" i="23"/>
  <c r="J144" i="23"/>
  <c r="H145" i="23"/>
  <c r="N20" i="23"/>
  <c r="B152" i="23"/>
  <c r="D164" i="23"/>
  <c r="C165" i="23"/>
  <c r="D171" i="23"/>
  <c r="N75" i="23"/>
  <c r="N92" i="23"/>
  <c r="W149" i="23"/>
  <c r="W167" i="23"/>
  <c r="J183" i="24"/>
  <c r="H175" i="24"/>
  <c r="J165" i="24"/>
  <c r="N58" i="24"/>
  <c r="L161" i="24"/>
  <c r="N9" i="24"/>
  <c r="B138" i="24"/>
  <c r="N11" i="24"/>
  <c r="B139" i="24"/>
  <c r="H142" i="24"/>
  <c r="L142" i="24"/>
  <c r="N36" i="24"/>
  <c r="B152" i="24"/>
  <c r="L153" i="24"/>
  <c r="H153" i="24"/>
  <c r="J153" i="24"/>
  <c r="L154" i="24"/>
  <c r="H154" i="24"/>
  <c r="J154" i="24"/>
  <c r="B161" i="24"/>
  <c r="L166" i="24"/>
  <c r="J166" i="24"/>
  <c r="L167" i="24"/>
  <c r="J167" i="24"/>
  <c r="D171" i="24"/>
  <c r="B172" i="24"/>
  <c r="J185" i="24"/>
  <c r="U185" i="24"/>
  <c r="S185" i="24"/>
  <c r="C190" i="24"/>
  <c r="N112" i="24"/>
  <c r="S177" i="24"/>
  <c r="J177" i="24"/>
  <c r="W186" i="24"/>
  <c r="W190" i="24"/>
  <c r="H160" i="24"/>
  <c r="L160" i="24"/>
  <c r="D162" i="24"/>
  <c r="N56" i="24"/>
  <c r="C166" i="24"/>
  <c r="E166" i="24" s="1"/>
  <c r="N64" i="24"/>
  <c r="N78" i="24"/>
  <c r="U179" i="24"/>
  <c r="S179" i="24"/>
  <c r="C185" i="24"/>
  <c r="D179" i="24"/>
  <c r="T179" i="24"/>
  <c r="J138" i="24"/>
  <c r="H138" i="24"/>
  <c r="L139" i="24"/>
  <c r="J139" i="24"/>
  <c r="L141" i="24"/>
  <c r="H141" i="24"/>
  <c r="J141" i="24"/>
  <c r="L151" i="24"/>
  <c r="J151" i="24"/>
  <c r="H151" i="24"/>
  <c r="L152" i="24"/>
  <c r="H152" i="24"/>
  <c r="N39" i="24"/>
  <c r="T161" i="24"/>
  <c r="U161" i="24"/>
  <c r="C171" i="24"/>
  <c r="J173" i="24"/>
  <c r="H173" i="24"/>
  <c r="L173" i="24"/>
  <c r="B179" i="24"/>
  <c r="B180" i="24"/>
  <c r="S180" i="24"/>
  <c r="N100" i="24"/>
  <c r="B184" i="24"/>
  <c r="J181" i="24"/>
  <c r="S172" i="24"/>
  <c r="H139" i="24"/>
  <c r="J164" i="24"/>
  <c r="L165" i="24"/>
  <c r="J188" i="24"/>
  <c r="J171" i="24"/>
  <c r="N92" i="24"/>
  <c r="J152" i="24"/>
  <c r="C153" i="24"/>
  <c r="C169" i="24"/>
  <c r="H171" i="24"/>
  <c r="W154" i="24"/>
  <c r="H174" i="24"/>
  <c r="J161" i="24"/>
  <c r="T180" i="24"/>
  <c r="L171" i="24"/>
  <c r="L149" i="24"/>
  <c r="D150" i="24"/>
  <c r="H168" i="24"/>
  <c r="L159" i="24"/>
  <c r="C172" i="24"/>
  <c r="L177" i="24"/>
  <c r="D186" i="24"/>
  <c r="H149" i="24"/>
  <c r="B187" i="24"/>
  <c r="B158" i="24"/>
  <c r="B159" i="24"/>
  <c r="D170" i="24"/>
  <c r="D172" i="24"/>
  <c r="N84" i="24"/>
  <c r="C177" i="24"/>
  <c r="U149" i="24"/>
  <c r="W178" i="24"/>
  <c r="N51" i="24"/>
  <c r="B171" i="24"/>
  <c r="B176" i="24"/>
  <c r="D151" i="24"/>
  <c r="D184" i="24"/>
  <c r="J149" i="24"/>
  <c r="H185" i="24"/>
  <c r="B167" i="24"/>
  <c r="B181" i="24"/>
  <c r="N35" i="24"/>
  <c r="C158" i="24"/>
  <c r="J170" i="24"/>
  <c r="N74" i="24"/>
  <c r="L176" i="24"/>
  <c r="N176" i="24" s="1"/>
  <c r="B188" i="24"/>
  <c r="B189" i="24"/>
  <c r="L189" i="24"/>
  <c r="W166" i="24"/>
  <c r="D152" i="24"/>
  <c r="D174" i="24"/>
  <c r="D159" i="24"/>
  <c r="H177" i="24"/>
  <c r="B142" i="24"/>
  <c r="D147" i="24"/>
  <c r="D158" i="24"/>
  <c r="C164" i="24"/>
  <c r="C176" i="24"/>
  <c r="N94" i="24"/>
  <c r="W138" i="24"/>
  <c r="B190" i="25"/>
  <c r="E190" i="25" s="1"/>
  <c r="B180" i="25"/>
  <c r="N92" i="25"/>
  <c r="N93" i="25"/>
  <c r="J183" i="25"/>
  <c r="T183" i="25"/>
  <c r="H184" i="25"/>
  <c r="J184" i="25"/>
  <c r="W168" i="25"/>
  <c r="L171" i="25"/>
  <c r="C183" i="25"/>
  <c r="H171" i="25"/>
  <c r="B174" i="25"/>
  <c r="N80" i="25"/>
  <c r="H177" i="25"/>
  <c r="T177" i="25"/>
  <c r="C177" i="25"/>
  <c r="L179" i="25"/>
  <c r="B141" i="25"/>
  <c r="N14" i="25"/>
  <c r="B142" i="25"/>
  <c r="N16" i="25"/>
  <c r="W178" i="25"/>
  <c r="L175" i="25"/>
  <c r="J175" i="25"/>
  <c r="H175" i="25"/>
  <c r="B169" i="25"/>
  <c r="J158" i="25"/>
  <c r="B181" i="25"/>
  <c r="U147" i="25"/>
  <c r="S147" i="25"/>
  <c r="T147" i="25"/>
  <c r="L148" i="25"/>
  <c r="H148" i="25"/>
  <c r="B156" i="25"/>
  <c r="N44" i="25"/>
  <c r="L163" i="25"/>
  <c r="U163" i="25"/>
  <c r="H163" i="25"/>
  <c r="T163" i="25"/>
  <c r="B171" i="25"/>
  <c r="W158" i="25"/>
  <c r="B139" i="25"/>
  <c r="L139" i="25"/>
  <c r="J139" i="25"/>
  <c r="H139" i="25"/>
  <c r="J141" i="25"/>
  <c r="H141" i="25"/>
  <c r="T148" i="25"/>
  <c r="U148" i="25"/>
  <c r="L149" i="25"/>
  <c r="J149" i="25"/>
  <c r="J150" i="25"/>
  <c r="L150" i="25"/>
  <c r="L151" i="25"/>
  <c r="J151" i="25"/>
  <c r="H151" i="25"/>
  <c r="R47" i="25"/>
  <c r="H157" i="25" s="1"/>
  <c r="L164" i="25"/>
  <c r="J164" i="25"/>
  <c r="C171" i="25"/>
  <c r="L183" i="25"/>
  <c r="H179" i="25"/>
  <c r="T151" i="25"/>
  <c r="J144" i="25"/>
  <c r="H143" i="25"/>
  <c r="U172" i="25"/>
  <c r="D175" i="25"/>
  <c r="L191" i="25"/>
  <c r="J179" i="25"/>
  <c r="S164" i="25"/>
  <c r="S173" i="25"/>
  <c r="L144" i="25"/>
  <c r="H183" i="25"/>
  <c r="J143" i="25"/>
  <c r="H173" i="25"/>
  <c r="H178" i="25"/>
  <c r="H166" i="25"/>
  <c r="L140" i="25"/>
  <c r="C151" i="25"/>
  <c r="H174" i="25"/>
  <c r="N86" i="25"/>
  <c r="N109" i="25"/>
  <c r="N113" i="25"/>
  <c r="W165" i="25"/>
  <c r="W187" i="25"/>
  <c r="B176" i="25"/>
  <c r="W139" i="25"/>
  <c r="H185" i="25"/>
  <c r="S151" i="25"/>
  <c r="T164" i="25"/>
  <c r="J173" i="25"/>
  <c r="H169" i="25"/>
  <c r="J155" i="25"/>
  <c r="J185" i="25"/>
  <c r="B160" i="25"/>
  <c r="J138" i="25"/>
  <c r="B178" i="25"/>
  <c r="E178" i="25" s="1"/>
  <c r="T138" i="25"/>
  <c r="H145" i="25"/>
  <c r="N84" i="25"/>
  <c r="C148" i="25"/>
  <c r="N49" i="25"/>
  <c r="B159" i="25"/>
  <c r="L160" i="25"/>
  <c r="D161" i="25"/>
  <c r="D162" i="25"/>
  <c r="D163" i="25"/>
  <c r="N63" i="25"/>
  <c r="C166" i="25"/>
  <c r="B167" i="25"/>
  <c r="N69" i="25"/>
  <c r="D170" i="25"/>
  <c r="J186" i="25"/>
  <c r="W185" i="25"/>
  <c r="B191" i="25"/>
  <c r="C191" i="25"/>
  <c r="W142" i="25"/>
  <c r="B143" i="25"/>
  <c r="B153" i="25"/>
  <c r="D156" i="25"/>
  <c r="N47" i="25"/>
  <c r="C164" i="25"/>
  <c r="C184" i="25"/>
  <c r="N106" i="25"/>
  <c r="N108" i="25"/>
  <c r="W189" i="25"/>
  <c r="C146" i="26"/>
  <c r="H145" i="26"/>
  <c r="L144" i="26"/>
  <c r="C130" i="26"/>
  <c r="C136" i="26"/>
  <c r="U138" i="26"/>
  <c r="B124" i="26"/>
  <c r="J121" i="26"/>
  <c r="L150" i="26"/>
  <c r="N50" i="26"/>
  <c r="B128" i="26"/>
  <c r="B133" i="26"/>
  <c r="H140" i="26"/>
  <c r="L132" i="26"/>
  <c r="N38" i="26"/>
  <c r="L154" i="26"/>
  <c r="H150" i="26"/>
  <c r="H153" i="26"/>
  <c r="J144" i="26"/>
  <c r="J151" i="26"/>
  <c r="S138" i="26"/>
  <c r="H138" i="26"/>
  <c r="H122" i="26"/>
  <c r="L139" i="26"/>
  <c r="U150" i="26"/>
  <c r="J141" i="26"/>
  <c r="B127" i="26"/>
  <c r="T128" i="26"/>
  <c r="B137" i="26"/>
  <c r="D128" i="26"/>
  <c r="N26" i="26"/>
  <c r="B130" i="26"/>
  <c r="H132" i="26"/>
  <c r="C134" i="26"/>
  <c r="N72" i="26"/>
  <c r="C155" i="26"/>
  <c r="W155" i="26"/>
  <c r="J150" i="26"/>
  <c r="N19" i="26"/>
  <c r="L140" i="26"/>
  <c r="N62" i="26"/>
  <c r="H144" i="26"/>
  <c r="B139" i="26"/>
  <c r="C153" i="26"/>
  <c r="E153" i="26" s="1"/>
  <c r="H154" i="26"/>
  <c r="H128" i="26"/>
  <c r="B143" i="26"/>
  <c r="J131" i="26"/>
  <c r="J147" i="26"/>
  <c r="L133" i="26"/>
  <c r="L128" i="26"/>
  <c r="S128" i="26"/>
  <c r="D132" i="26"/>
  <c r="J139" i="26"/>
  <c r="D123" i="26"/>
  <c r="C148" i="26"/>
  <c r="B149" i="26"/>
  <c r="N79" i="26"/>
  <c r="D138" i="26"/>
  <c r="N30" i="26"/>
  <c r="T133" i="26"/>
  <c r="H133" i="26"/>
  <c r="U133" i="26"/>
  <c r="D144" i="26"/>
  <c r="U132" i="26"/>
  <c r="T144" i="26"/>
  <c r="C135" i="26"/>
  <c r="J137" i="26"/>
  <c r="L147" i="26"/>
  <c r="N36" i="26"/>
  <c r="J123" i="26"/>
  <c r="B142" i="26"/>
  <c r="H121" i="26"/>
  <c r="L123" i="26"/>
  <c r="C124" i="26"/>
  <c r="N18" i="26"/>
  <c r="U137" i="26"/>
  <c r="N49" i="26"/>
  <c r="C150" i="26"/>
  <c r="C139" i="26"/>
  <c r="D137" i="26"/>
  <c r="C154" i="26"/>
  <c r="U145" i="26"/>
  <c r="C145" i="26"/>
  <c r="T150" i="26"/>
  <c r="J132" i="26"/>
  <c r="N7" i="26"/>
  <c r="N9" i="26"/>
  <c r="N11" i="26"/>
  <c r="C126" i="26"/>
  <c r="L134" i="26"/>
  <c r="S137" i="26"/>
  <c r="N61" i="26"/>
  <c r="C147" i="26"/>
  <c r="S90" i="38"/>
  <c r="J93" i="38"/>
  <c r="W85" i="38"/>
  <c r="T98" i="38"/>
  <c r="S103" i="38"/>
  <c r="U90" i="38"/>
  <c r="W88" i="38"/>
  <c r="W91" i="38"/>
  <c r="N25" i="38"/>
  <c r="W97" i="38"/>
  <c r="T102" i="38"/>
  <c r="E104" i="38"/>
  <c r="H84" i="38"/>
  <c r="J102" i="38"/>
  <c r="H99" i="38"/>
  <c r="J92" i="38"/>
  <c r="C123" i="36"/>
  <c r="B107" i="36"/>
  <c r="B122" i="36"/>
  <c r="C125" i="36"/>
  <c r="J108" i="36"/>
  <c r="J113" i="36"/>
  <c r="T109" i="36"/>
  <c r="T121" i="36"/>
  <c r="N72" i="36"/>
  <c r="N52" i="36"/>
  <c r="N58" i="36"/>
  <c r="N53" i="36"/>
  <c r="N60" i="36"/>
  <c r="H127" i="36"/>
  <c r="L119" i="36"/>
  <c r="J109" i="36"/>
  <c r="H112" i="36"/>
  <c r="H123" i="36"/>
  <c r="U121" i="36"/>
  <c r="H122" i="36"/>
  <c r="S109" i="36"/>
  <c r="N12" i="36"/>
  <c r="N40" i="36"/>
  <c r="J126" i="36"/>
  <c r="D117" i="36"/>
  <c r="T128" i="36"/>
  <c r="H109" i="36"/>
  <c r="C127" i="36"/>
  <c r="N8" i="36"/>
  <c r="N16" i="36"/>
  <c r="C111" i="36"/>
  <c r="N28" i="36"/>
  <c r="N36" i="36"/>
  <c r="N39" i="36"/>
  <c r="D123" i="36"/>
  <c r="D121" i="36"/>
  <c r="N56" i="36"/>
  <c r="J125" i="36"/>
  <c r="L118" i="36"/>
  <c r="J114" i="36"/>
  <c r="W112" i="36"/>
  <c r="W105" i="36"/>
  <c r="B128" i="36"/>
  <c r="J112" i="36"/>
  <c r="L112" i="36"/>
  <c r="N14" i="36"/>
  <c r="D112" i="36"/>
  <c r="D116" i="36"/>
  <c r="C119" i="36"/>
  <c r="N42" i="36"/>
  <c r="D122" i="36"/>
  <c r="N55" i="36"/>
  <c r="D126" i="36"/>
  <c r="N50" i="36"/>
  <c r="N57" i="36"/>
  <c r="D127" i="36"/>
  <c r="L124" i="36"/>
  <c r="H121" i="36"/>
  <c r="L117" i="36"/>
  <c r="L111" i="36"/>
  <c r="N64" i="36"/>
  <c r="T127" i="36"/>
  <c r="W108" i="36"/>
  <c r="B113" i="36"/>
  <c r="C117" i="36"/>
  <c r="C113" i="36"/>
  <c r="N68" i="36"/>
  <c r="N74" i="36"/>
  <c r="J119" i="36"/>
  <c r="U114" i="36"/>
  <c r="D109" i="36"/>
  <c r="H125" i="36"/>
  <c r="L105" i="36"/>
  <c r="U124" i="36"/>
  <c r="C108" i="36"/>
  <c r="B124" i="36"/>
  <c r="L125" i="36"/>
  <c r="W120" i="36"/>
  <c r="H118" i="36"/>
  <c r="U125" i="36"/>
  <c r="W125" i="36" s="1"/>
  <c r="B127" i="36"/>
  <c r="L127" i="36"/>
  <c r="W118" i="36"/>
  <c r="N25" i="36"/>
  <c r="N45" i="36"/>
  <c r="N65" i="36"/>
  <c r="N69" i="36"/>
  <c r="N73" i="36"/>
  <c r="U115" i="36"/>
  <c r="H110" i="36"/>
  <c r="N61" i="36"/>
  <c r="J122" i="36"/>
  <c r="D106" i="36"/>
  <c r="B109" i="36"/>
  <c r="B117" i="36"/>
  <c r="N24" i="36"/>
  <c r="N34" i="36"/>
  <c r="C122" i="36"/>
  <c r="N66" i="36"/>
  <c r="N70" i="36"/>
  <c r="N59" i="36"/>
  <c r="E105" i="36"/>
  <c r="C110" i="36"/>
  <c r="N31" i="36"/>
  <c r="B123" i="36"/>
  <c r="C126" i="36"/>
  <c r="H126" i="36"/>
  <c r="H124" i="36"/>
  <c r="L126" i="36"/>
  <c r="U110" i="36"/>
  <c r="N15" i="36"/>
  <c r="D110" i="36"/>
  <c r="N38" i="36"/>
  <c r="L110" i="36"/>
  <c r="L106" i="36"/>
  <c r="J128" i="36"/>
  <c r="S110" i="36"/>
  <c r="C109" i="36"/>
  <c r="N18" i="36"/>
  <c r="S126" i="36"/>
  <c r="J106" i="36"/>
  <c r="J124" i="36"/>
  <c r="S106" i="36"/>
  <c r="L121" i="36"/>
  <c r="N37" i="36"/>
  <c r="H106" i="36"/>
  <c r="C106" i="36"/>
  <c r="B114" i="36"/>
  <c r="H115" i="36"/>
  <c r="B111" i="36"/>
  <c r="J121" i="36"/>
  <c r="U128" i="36"/>
  <c r="L114" i="36"/>
  <c r="J127" i="36"/>
  <c r="T124" i="36"/>
  <c r="D107" i="36"/>
  <c r="L115" i="36"/>
  <c r="U107" i="36"/>
  <c r="W107" i="36" s="1"/>
  <c r="H113" i="36"/>
  <c r="C114" i="36"/>
  <c r="J115" i="36"/>
  <c r="B121" i="36"/>
  <c r="J111" i="36"/>
  <c r="N47" i="36"/>
  <c r="U126" i="36"/>
  <c r="B125" i="36"/>
  <c r="H120" i="36"/>
  <c r="H116" i="36"/>
  <c r="N32" i="36"/>
  <c r="S113" i="36"/>
  <c r="N17" i="36"/>
  <c r="N7" i="36"/>
  <c r="B119" i="36"/>
  <c r="N30" i="36"/>
  <c r="J116" i="36"/>
  <c r="N44" i="36"/>
  <c r="B116" i="36"/>
  <c r="L107" i="36"/>
  <c r="S127" i="36"/>
  <c r="T113" i="36"/>
  <c r="H119" i="36"/>
  <c r="J110" i="36"/>
  <c r="C120" i="36"/>
  <c r="T106" i="36"/>
  <c r="H128" i="36"/>
  <c r="H111" i="36"/>
  <c r="D119" i="36"/>
  <c r="W122" i="36"/>
  <c r="B115" i="36"/>
  <c r="H117" i="36"/>
  <c r="L128" i="36"/>
  <c r="N48" i="36"/>
  <c r="C128" i="36"/>
  <c r="S119" i="36"/>
  <c r="W119" i="36" s="1"/>
  <c r="J105" i="36"/>
  <c r="N43" i="36"/>
  <c r="H114" i="36"/>
  <c r="L109" i="36"/>
  <c r="U170" i="17"/>
  <c r="W170" i="17" s="1"/>
  <c r="H164" i="17"/>
  <c r="N33" i="17"/>
  <c r="N29" i="17"/>
  <c r="W140" i="17"/>
  <c r="B149" i="17"/>
  <c r="B180" i="17"/>
  <c r="J187" i="17"/>
  <c r="D192" i="17"/>
  <c r="T174" i="17"/>
  <c r="W174" i="17" s="1"/>
  <c r="S173" i="17"/>
  <c r="B152" i="17"/>
  <c r="L147" i="17"/>
  <c r="J158" i="17"/>
  <c r="L151" i="17"/>
  <c r="N8" i="17"/>
  <c r="H176" i="17"/>
  <c r="L170" i="17"/>
  <c r="D140" i="17"/>
  <c r="L158" i="17"/>
  <c r="C160" i="17"/>
  <c r="N60" i="17"/>
  <c r="D167" i="17"/>
  <c r="L176" i="17"/>
  <c r="N91" i="17"/>
  <c r="C183" i="17"/>
  <c r="D189" i="17"/>
  <c r="W158" i="17"/>
  <c r="H194" i="17"/>
  <c r="B188" i="17"/>
  <c r="W172" i="17"/>
  <c r="B169" i="17"/>
  <c r="N99" i="17"/>
  <c r="S177" i="17"/>
  <c r="H140" i="17"/>
  <c r="H181" i="17"/>
  <c r="H187" i="17"/>
  <c r="L191" i="17"/>
  <c r="H157" i="17"/>
  <c r="N25" i="17"/>
  <c r="H171" i="17"/>
  <c r="T152" i="17"/>
  <c r="B148" i="17"/>
  <c r="B162" i="17"/>
  <c r="S149" i="17"/>
  <c r="S151" i="17"/>
  <c r="H186" i="17"/>
  <c r="B143" i="17"/>
  <c r="D155" i="17"/>
  <c r="N42" i="17"/>
  <c r="B157" i="17"/>
  <c r="L164" i="17"/>
  <c r="D168" i="17"/>
  <c r="J172" i="17"/>
  <c r="C174" i="17"/>
  <c r="D183" i="17"/>
  <c r="C184" i="17"/>
  <c r="L190" i="17"/>
  <c r="L192" i="17"/>
  <c r="L178" i="17"/>
  <c r="H170" i="17"/>
  <c r="N92" i="17"/>
  <c r="J170" i="17"/>
  <c r="T177" i="17"/>
  <c r="S180" i="17"/>
  <c r="J157" i="17"/>
  <c r="J171" i="17"/>
  <c r="J153" i="17"/>
  <c r="H163" i="17"/>
  <c r="S152" i="17"/>
  <c r="J186" i="17"/>
  <c r="D144" i="17"/>
  <c r="C157" i="17"/>
  <c r="C158" i="17"/>
  <c r="H160" i="17"/>
  <c r="D161" i="17"/>
  <c r="D162" i="17"/>
  <c r="B164" i="17"/>
  <c r="N61" i="17"/>
  <c r="N65" i="17"/>
  <c r="D170" i="17"/>
  <c r="N74" i="17"/>
  <c r="N76" i="17"/>
  <c r="D182" i="17"/>
  <c r="N102" i="17"/>
  <c r="N107" i="17"/>
  <c r="W154" i="17"/>
  <c r="W186" i="17"/>
  <c r="W191" i="17"/>
  <c r="N27" i="17"/>
  <c r="N17" i="17"/>
  <c r="N80" i="17"/>
  <c r="J178" i="17"/>
  <c r="B183" i="17"/>
  <c r="J192" i="17"/>
  <c r="T151" i="17"/>
  <c r="C173" i="17"/>
  <c r="L168" i="17"/>
  <c r="T173" i="17"/>
  <c r="B170" i="17"/>
  <c r="J177" i="17"/>
  <c r="W146" i="17"/>
  <c r="S178" i="17"/>
  <c r="U149" i="17"/>
  <c r="L142" i="17"/>
  <c r="H144" i="17"/>
  <c r="N50" i="17"/>
  <c r="D171" i="17"/>
  <c r="L174" i="17"/>
  <c r="N83" i="17"/>
  <c r="C190" i="17"/>
  <c r="W144" i="17"/>
  <c r="B139" i="17"/>
  <c r="S193" i="17"/>
  <c r="N45" i="18"/>
  <c r="J186" i="18"/>
  <c r="L163" i="18"/>
  <c r="N44" i="18"/>
  <c r="B167" i="18"/>
  <c r="H182" i="18"/>
  <c r="S182" i="18"/>
  <c r="T182" i="18"/>
  <c r="L183" i="18"/>
  <c r="J183" i="18"/>
  <c r="J180" i="18"/>
  <c r="D146" i="18"/>
  <c r="N79" i="18"/>
  <c r="N68" i="18"/>
  <c r="C175" i="18"/>
  <c r="J175" i="18"/>
  <c r="H175" i="18"/>
  <c r="L175" i="18"/>
  <c r="T175" i="18"/>
  <c r="L176" i="18"/>
  <c r="J176" i="18"/>
  <c r="H176" i="18"/>
  <c r="J177" i="18"/>
  <c r="H177" i="18"/>
  <c r="L177" i="18"/>
  <c r="N77" i="18"/>
  <c r="T183" i="18"/>
  <c r="N99" i="18"/>
  <c r="N101" i="18"/>
  <c r="C189" i="18"/>
  <c r="J194" i="18"/>
  <c r="H194" i="18"/>
  <c r="J179" i="18"/>
  <c r="H188" i="18"/>
  <c r="J172" i="18"/>
  <c r="H150" i="18"/>
  <c r="D150" i="18"/>
  <c r="S150" i="18"/>
  <c r="J150" i="18"/>
  <c r="H151" i="18"/>
  <c r="J151" i="18"/>
  <c r="L151" i="18"/>
  <c r="S158" i="18"/>
  <c r="U158" i="18"/>
  <c r="T158" i="18"/>
  <c r="W195" i="18"/>
  <c r="C188" i="18"/>
  <c r="D182" i="18"/>
  <c r="B182" i="18"/>
  <c r="U182" i="18"/>
  <c r="J144" i="18"/>
  <c r="H144" i="18"/>
  <c r="B150" i="18"/>
  <c r="N23" i="18"/>
  <c r="D156" i="18"/>
  <c r="U159" i="18"/>
  <c r="B159" i="18"/>
  <c r="W160" i="18"/>
  <c r="W164" i="18"/>
  <c r="N50" i="18"/>
  <c r="B164" i="18"/>
  <c r="S165" i="18"/>
  <c r="U165" i="18"/>
  <c r="T165" i="18"/>
  <c r="N70" i="18"/>
  <c r="C174" i="18"/>
  <c r="N65" i="18"/>
  <c r="B165" i="18"/>
  <c r="H168" i="18"/>
  <c r="L168" i="18"/>
  <c r="N59" i="18"/>
  <c r="D169" i="18"/>
  <c r="B173" i="18"/>
  <c r="N67" i="18"/>
  <c r="T177" i="18"/>
  <c r="U177" i="18"/>
  <c r="C177" i="18"/>
  <c r="T180" i="18"/>
  <c r="S180" i="18"/>
  <c r="U180" i="18"/>
  <c r="N7" i="18"/>
  <c r="B143" i="18"/>
  <c r="H172" i="18"/>
  <c r="L158" i="18"/>
  <c r="H158" i="18"/>
  <c r="C165" i="18"/>
  <c r="T168" i="18"/>
  <c r="S168" i="18"/>
  <c r="U168" i="18"/>
  <c r="H169" i="18"/>
  <c r="J169" i="18"/>
  <c r="L170" i="18"/>
  <c r="J170" i="18"/>
  <c r="H170" i="18"/>
  <c r="J171" i="18"/>
  <c r="H171" i="18"/>
  <c r="L171" i="18"/>
  <c r="C180" i="18"/>
  <c r="U188" i="18"/>
  <c r="L188" i="18"/>
  <c r="B177" i="18"/>
  <c r="J173" i="18"/>
  <c r="J165" i="18"/>
  <c r="N12" i="18"/>
  <c r="B146" i="18"/>
  <c r="B147" i="18"/>
  <c r="N14" i="18"/>
  <c r="H147" i="18"/>
  <c r="L147" i="18"/>
  <c r="J155" i="18"/>
  <c r="H155" i="18"/>
  <c r="L161" i="18"/>
  <c r="N108" i="18"/>
  <c r="N110" i="18"/>
  <c r="N112" i="18"/>
  <c r="W155" i="18"/>
  <c r="T188" i="18"/>
  <c r="N82" i="18"/>
  <c r="N26" i="18"/>
  <c r="N39" i="18"/>
  <c r="H163" i="18"/>
  <c r="N83" i="18"/>
  <c r="L193" i="18"/>
  <c r="W146" i="18"/>
  <c r="W194" i="18"/>
  <c r="N109" i="18"/>
  <c r="L179" i="18"/>
  <c r="T173" i="18"/>
  <c r="C146" i="18"/>
  <c r="H157" i="18"/>
  <c r="B163" i="18"/>
  <c r="D176" i="18"/>
  <c r="N95" i="18"/>
  <c r="C191" i="18"/>
  <c r="D173" i="18"/>
  <c r="B187" i="18"/>
  <c r="D158" i="18"/>
  <c r="B196" i="18"/>
  <c r="J149" i="18"/>
  <c r="U162" i="18"/>
  <c r="S178" i="18"/>
  <c r="H161" i="18"/>
  <c r="C149" i="18"/>
  <c r="D152" i="18"/>
  <c r="B157" i="18"/>
  <c r="C160" i="18"/>
  <c r="L165" i="18"/>
  <c r="D167" i="18"/>
  <c r="C168" i="18"/>
  <c r="C169" i="18"/>
  <c r="C170" i="18"/>
  <c r="B178" i="18"/>
  <c r="D180" i="18"/>
  <c r="N86" i="18"/>
  <c r="J182" i="18"/>
  <c r="C187" i="18"/>
  <c r="N98" i="18"/>
  <c r="D192" i="18"/>
  <c r="C193" i="18"/>
  <c r="W143" i="18"/>
  <c r="N118" i="18"/>
  <c r="D171" i="18"/>
  <c r="B174" i="18"/>
  <c r="H193" i="18"/>
  <c r="H145" i="18"/>
  <c r="D148" i="18"/>
  <c r="C150" i="18"/>
  <c r="N22" i="18"/>
  <c r="B152" i="18"/>
  <c r="N31" i="18"/>
  <c r="D163" i="18"/>
  <c r="D164" i="18"/>
  <c r="N53" i="18"/>
  <c r="L166" i="18"/>
  <c r="C178" i="18"/>
  <c r="H180" i="18"/>
  <c r="J191" i="18"/>
  <c r="D193" i="18"/>
  <c r="W170" i="18"/>
  <c r="L197" i="18"/>
  <c r="D149" i="19"/>
  <c r="N14" i="19"/>
  <c r="C152" i="19"/>
  <c r="N20" i="19"/>
  <c r="C154" i="19"/>
  <c r="N24" i="19"/>
  <c r="L157" i="19"/>
  <c r="H157" i="19"/>
  <c r="C194" i="19"/>
  <c r="N109" i="19"/>
  <c r="J157" i="19"/>
  <c r="W148" i="19"/>
  <c r="L156" i="19"/>
  <c r="N156" i="19" s="1"/>
  <c r="N83" i="19"/>
  <c r="B183" i="19"/>
  <c r="J187" i="19"/>
  <c r="H187" i="19"/>
  <c r="T187" i="19"/>
  <c r="S187" i="19"/>
  <c r="U187" i="19"/>
  <c r="L188" i="19"/>
  <c r="H188" i="19"/>
  <c r="B192" i="19"/>
  <c r="N104" i="19"/>
  <c r="H148" i="19"/>
  <c r="N16" i="19"/>
  <c r="D161" i="19"/>
  <c r="H190" i="19"/>
  <c r="J190" i="19"/>
  <c r="J191" i="19"/>
  <c r="L148" i="19"/>
  <c r="J189" i="19"/>
  <c r="N28" i="19"/>
  <c r="N100" i="19"/>
  <c r="H181" i="19"/>
  <c r="L181" i="19"/>
  <c r="J182" i="19"/>
  <c r="L182" i="19"/>
  <c r="H182" i="19"/>
  <c r="J151" i="19"/>
  <c r="U159" i="19"/>
  <c r="H159" i="19"/>
  <c r="J159" i="19"/>
  <c r="J168" i="19"/>
  <c r="H168" i="19"/>
  <c r="L168" i="19"/>
  <c r="B173" i="19"/>
  <c r="N64" i="19"/>
  <c r="B178" i="19"/>
  <c r="N73" i="19"/>
  <c r="J178" i="19"/>
  <c r="L178" i="19"/>
  <c r="L187" i="19"/>
  <c r="B164" i="19"/>
  <c r="N45" i="19"/>
  <c r="U167" i="19"/>
  <c r="T167" i="19"/>
  <c r="N62" i="19"/>
  <c r="C172" i="19"/>
  <c r="C175" i="19"/>
  <c r="J175" i="19"/>
  <c r="U175" i="19"/>
  <c r="B175" i="19"/>
  <c r="T175" i="19"/>
  <c r="J179" i="19"/>
  <c r="H179" i="19"/>
  <c r="W170" i="19"/>
  <c r="J170" i="19"/>
  <c r="N85" i="19"/>
  <c r="B180" i="19"/>
  <c r="U176" i="19"/>
  <c r="W176" i="19" s="1"/>
  <c r="W161" i="19"/>
  <c r="J153" i="19"/>
  <c r="N25" i="19"/>
  <c r="W156" i="19"/>
  <c r="N30" i="19"/>
  <c r="N35" i="19"/>
  <c r="N59" i="19"/>
  <c r="N108" i="19"/>
  <c r="B163" i="19"/>
  <c r="J152" i="19"/>
  <c r="H170" i="19"/>
  <c r="J169" i="19"/>
  <c r="H194" i="19"/>
  <c r="S168" i="19"/>
  <c r="J173" i="19"/>
  <c r="H171" i="19"/>
  <c r="S153" i="19"/>
  <c r="B169" i="19"/>
  <c r="C164" i="19"/>
  <c r="D169" i="19"/>
  <c r="C176" i="19"/>
  <c r="B177" i="19"/>
  <c r="B186" i="19"/>
  <c r="D193" i="19"/>
  <c r="N114" i="19"/>
  <c r="N116" i="19"/>
  <c r="N118" i="19"/>
  <c r="T151" i="19"/>
  <c r="W157" i="19"/>
  <c r="H152" i="19"/>
  <c r="J172" i="19"/>
  <c r="H165" i="19"/>
  <c r="S177" i="19"/>
  <c r="J177" i="19"/>
  <c r="S192" i="19"/>
  <c r="H161" i="19"/>
  <c r="S152" i="19"/>
  <c r="J160" i="19"/>
  <c r="B149" i="19"/>
  <c r="C151" i="19"/>
  <c r="D155" i="19"/>
  <c r="S158" i="19"/>
  <c r="C165" i="19"/>
  <c r="D166" i="19"/>
  <c r="N54" i="19"/>
  <c r="N56" i="19"/>
  <c r="D173" i="19"/>
  <c r="L176" i="19"/>
  <c r="N76" i="19"/>
  <c r="D197" i="19"/>
  <c r="W174" i="19"/>
  <c r="W197" i="19"/>
  <c r="N122" i="19"/>
  <c r="L163" i="19"/>
  <c r="H153" i="19"/>
  <c r="C147" i="19"/>
  <c r="B151" i="19"/>
  <c r="D151" i="19"/>
  <c r="B165" i="19"/>
  <c r="D170" i="19"/>
  <c r="C174" i="19"/>
  <c r="D176" i="19"/>
  <c r="D181" i="19"/>
  <c r="D185" i="19"/>
  <c r="C198" i="19"/>
  <c r="W155" i="19"/>
  <c r="H163" i="19"/>
  <c r="L177" i="19"/>
  <c r="U152" i="19"/>
  <c r="D165" i="19"/>
  <c r="L173" i="19"/>
  <c r="L174" i="19"/>
  <c r="H175" i="19"/>
  <c r="N69" i="19"/>
  <c r="C190" i="19"/>
  <c r="N105" i="19"/>
  <c r="B193" i="19"/>
  <c r="H197" i="19"/>
  <c r="N39" i="20"/>
  <c r="N56" i="20"/>
  <c r="N70" i="20"/>
  <c r="N72" i="20"/>
  <c r="N79" i="20"/>
  <c r="W126" i="20"/>
  <c r="W167" i="20"/>
  <c r="D139" i="20"/>
  <c r="D128" i="20"/>
  <c r="C130" i="20"/>
  <c r="C132" i="20"/>
  <c r="N28" i="20"/>
  <c r="B136" i="20"/>
  <c r="B144" i="20"/>
  <c r="N58" i="20"/>
  <c r="N74" i="20"/>
  <c r="W133" i="20"/>
  <c r="T161" i="20"/>
  <c r="C157" i="20"/>
  <c r="D157" i="20"/>
  <c r="D144" i="20"/>
  <c r="B130" i="20"/>
  <c r="B133" i="20"/>
  <c r="B134" i="20"/>
  <c r="H135" i="20"/>
  <c r="L145" i="20"/>
  <c r="D131" i="20"/>
  <c r="N34" i="20"/>
  <c r="C151" i="20"/>
  <c r="B152" i="20"/>
  <c r="N83" i="20"/>
  <c r="L164" i="20"/>
  <c r="D165" i="20"/>
  <c r="D166" i="20"/>
  <c r="C167" i="20"/>
  <c r="C169" i="20"/>
  <c r="C170" i="20"/>
  <c r="C171" i="20"/>
  <c r="H124" i="20"/>
  <c r="U161" i="20"/>
  <c r="B156" i="21"/>
  <c r="N45" i="21"/>
  <c r="T157" i="21"/>
  <c r="H157" i="21"/>
  <c r="C157" i="21"/>
  <c r="B157" i="21"/>
  <c r="J157" i="21"/>
  <c r="L157" i="21"/>
  <c r="J159" i="21"/>
  <c r="H159" i="21"/>
  <c r="L159" i="21"/>
  <c r="C192" i="21"/>
  <c r="L145" i="21"/>
  <c r="U145" i="21"/>
  <c r="J145" i="21"/>
  <c r="S145" i="21"/>
  <c r="T145" i="21"/>
  <c r="H146" i="21"/>
  <c r="L146" i="21"/>
  <c r="J147" i="21"/>
  <c r="H147" i="21"/>
  <c r="L147" i="21"/>
  <c r="C148" i="21"/>
  <c r="N28" i="21"/>
  <c r="H183" i="21"/>
  <c r="L183" i="21"/>
  <c r="J183" i="21"/>
  <c r="C184" i="21"/>
  <c r="N100" i="21"/>
  <c r="N104" i="21"/>
  <c r="B186" i="21"/>
  <c r="L138" i="21"/>
  <c r="H138" i="21"/>
  <c r="H139" i="21"/>
  <c r="J139" i="21"/>
  <c r="L139" i="21"/>
  <c r="J140" i="21"/>
  <c r="L140" i="21"/>
  <c r="H141" i="21"/>
  <c r="L141" i="21"/>
  <c r="C178" i="21"/>
  <c r="N88" i="21"/>
  <c r="S169" i="21"/>
  <c r="U169" i="21"/>
  <c r="L169" i="21"/>
  <c r="L166" i="21"/>
  <c r="J166" i="21"/>
  <c r="H166" i="21"/>
  <c r="B169" i="21"/>
  <c r="D157" i="21"/>
  <c r="B165" i="21"/>
  <c r="N62" i="21"/>
  <c r="C169" i="21"/>
  <c r="N107" i="21"/>
  <c r="L173" i="21"/>
  <c r="N91" i="21"/>
  <c r="H184" i="21"/>
  <c r="J172" i="21"/>
  <c r="L184" i="21"/>
  <c r="J161" i="21"/>
  <c r="J160" i="21"/>
  <c r="J167" i="21"/>
  <c r="H161" i="21"/>
  <c r="C141" i="21"/>
  <c r="D145" i="21"/>
  <c r="D156" i="21"/>
  <c r="C158" i="21"/>
  <c r="C183" i="21"/>
  <c r="W150" i="21"/>
  <c r="W190" i="21"/>
  <c r="L176" i="21"/>
  <c r="H162" i="21"/>
  <c r="J168" i="21"/>
  <c r="H187" i="21"/>
  <c r="C147" i="21"/>
  <c r="B158" i="21"/>
  <c r="T162" i="21"/>
  <c r="W162" i="21" s="1"/>
  <c r="J150" i="21"/>
  <c r="H142" i="21"/>
  <c r="D140" i="21"/>
  <c r="B148" i="21"/>
  <c r="N39" i="21"/>
  <c r="J155" i="21"/>
  <c r="D159" i="21"/>
  <c r="N52" i="21"/>
  <c r="N69" i="21"/>
  <c r="N79" i="21"/>
  <c r="N83" i="21"/>
  <c r="W143" i="21"/>
  <c r="W158" i="21"/>
  <c r="L187" i="21"/>
  <c r="N85" i="21"/>
  <c r="L174" i="21"/>
  <c r="L142" i="21"/>
  <c r="N47" i="21"/>
  <c r="D169" i="21"/>
  <c r="B176" i="21"/>
  <c r="D192" i="21"/>
  <c r="U172" i="21"/>
  <c r="J149" i="21"/>
  <c r="J169" i="21"/>
  <c r="N14" i="21"/>
  <c r="S172" i="21"/>
  <c r="L168" i="21"/>
  <c r="J173" i="21"/>
  <c r="C143" i="21"/>
  <c r="H145" i="21"/>
  <c r="D152" i="21"/>
  <c r="N57" i="21"/>
  <c r="N59" i="21"/>
  <c r="H170" i="21"/>
  <c r="B178" i="21"/>
  <c r="U179" i="21"/>
  <c r="W141" i="21"/>
  <c r="W153" i="21"/>
  <c r="W163" i="21"/>
  <c r="C137" i="21"/>
  <c r="N116" i="21"/>
  <c r="N78" i="21"/>
  <c r="B139" i="21"/>
  <c r="N23" i="21"/>
  <c r="H180" i="21"/>
  <c r="T147" i="21"/>
  <c r="N106" i="21"/>
  <c r="T175" i="21"/>
  <c r="S147" i="21"/>
  <c r="C144" i="21"/>
  <c r="B146" i="21"/>
  <c r="B147" i="21"/>
  <c r="D154" i="21"/>
  <c r="H174" i="21"/>
  <c r="H175" i="21"/>
  <c r="D188" i="21"/>
  <c r="D189" i="21"/>
  <c r="E189" i="21" s="1"/>
  <c r="W146" i="21"/>
  <c r="D137" i="21"/>
  <c r="N34" i="33"/>
  <c r="W87" i="33"/>
  <c r="H81" i="33"/>
  <c r="N40" i="33"/>
  <c r="J86" i="33"/>
  <c r="W80" i="33"/>
  <c r="W88" i="33"/>
  <c r="W99" i="33"/>
  <c r="L80" i="33"/>
  <c r="N37" i="33"/>
  <c r="N39" i="33"/>
  <c r="N16" i="33"/>
  <c r="N21" i="33"/>
  <c r="N57" i="33"/>
  <c r="N24" i="33"/>
  <c r="W83" i="33"/>
  <c r="H88" i="33"/>
  <c r="B85" i="33"/>
  <c r="N27" i="33"/>
  <c r="N19" i="33"/>
  <c r="N20" i="33"/>
  <c r="W85" i="33"/>
  <c r="B173" i="9"/>
  <c r="N48" i="9"/>
  <c r="J173" i="9"/>
  <c r="L173" i="9"/>
  <c r="C176" i="9"/>
  <c r="N55" i="9"/>
  <c r="S178" i="9"/>
  <c r="U178" i="9"/>
  <c r="T178" i="9"/>
  <c r="R60" i="9"/>
  <c r="H179" i="9" s="1"/>
  <c r="S179" i="9"/>
  <c r="W179" i="9" s="1"/>
  <c r="S180" i="9"/>
  <c r="W180" i="9" s="1"/>
  <c r="R62" i="9"/>
  <c r="H180" i="9" s="1"/>
  <c r="J162" i="9"/>
  <c r="H162" i="9"/>
  <c r="L162" i="9"/>
  <c r="H154" i="9"/>
  <c r="J154" i="9"/>
  <c r="D157" i="9"/>
  <c r="U157" i="9"/>
  <c r="T157" i="9"/>
  <c r="S157" i="9"/>
  <c r="L157" i="9"/>
  <c r="D159" i="9"/>
  <c r="N19" i="9"/>
  <c r="B164" i="9"/>
  <c r="C166" i="9"/>
  <c r="U199" i="9"/>
  <c r="S199" i="9"/>
  <c r="T199" i="9"/>
  <c r="L200" i="9"/>
  <c r="H200" i="9"/>
  <c r="C202" i="9"/>
  <c r="N113" i="9"/>
  <c r="N115" i="9"/>
  <c r="B203" i="9"/>
  <c r="J165" i="9"/>
  <c r="H165" i="9"/>
  <c r="B157" i="9"/>
  <c r="N90" i="9"/>
  <c r="C192" i="9"/>
  <c r="N92" i="9"/>
  <c r="C193" i="9"/>
  <c r="D184" i="9"/>
  <c r="H168" i="9"/>
  <c r="J174" i="9"/>
  <c r="B192" i="9"/>
  <c r="H190" i="9"/>
  <c r="L205" i="9"/>
  <c r="L159" i="9"/>
  <c r="S158" i="9"/>
  <c r="B163" i="9"/>
  <c r="J193" i="9"/>
  <c r="D156" i="9"/>
  <c r="H160" i="9"/>
  <c r="L168" i="9"/>
  <c r="C173" i="9"/>
  <c r="J182" i="9"/>
  <c r="N182" i="9" s="1"/>
  <c r="H208" i="9"/>
  <c r="B161" i="9"/>
  <c r="L174" i="9"/>
  <c r="J164" i="9"/>
  <c r="B196" i="9"/>
  <c r="H195" i="9"/>
  <c r="H166" i="9"/>
  <c r="T158" i="9"/>
  <c r="B184" i="9"/>
  <c r="N79" i="9"/>
  <c r="J176" i="9"/>
  <c r="J156" i="9"/>
  <c r="N35" i="9"/>
  <c r="C169" i="9"/>
  <c r="N42" i="9"/>
  <c r="N53" i="9"/>
  <c r="H178" i="9"/>
  <c r="N12" i="9"/>
  <c r="W165" i="9"/>
  <c r="H201" i="9"/>
  <c r="U168" i="9"/>
  <c r="W168" i="9" s="1"/>
  <c r="N57" i="9"/>
  <c r="J177" i="9"/>
  <c r="H204" i="9"/>
  <c r="J181" i="9"/>
  <c r="S193" i="9"/>
  <c r="J187" i="9"/>
  <c r="C181" i="9"/>
  <c r="E181" i="9" s="1"/>
  <c r="H193" i="9"/>
  <c r="N50" i="9"/>
  <c r="L177" i="9"/>
  <c r="S154" i="9"/>
  <c r="W154" i="9" s="1"/>
  <c r="J189" i="9"/>
  <c r="T172" i="9"/>
  <c r="H159" i="9"/>
  <c r="S166" i="9"/>
  <c r="W191" i="9"/>
  <c r="S184" i="9"/>
  <c r="W184" i="9" s="1"/>
  <c r="S195" i="9"/>
  <c r="C155" i="9"/>
  <c r="N18" i="9"/>
  <c r="C160" i="9"/>
  <c r="N36" i="9"/>
  <c r="D169" i="9"/>
  <c r="D175" i="9"/>
  <c r="C177" i="9"/>
  <c r="D194" i="9"/>
  <c r="D201" i="9"/>
  <c r="W159" i="9"/>
  <c r="B153" i="9"/>
  <c r="D207" i="9"/>
  <c r="U200" i="9"/>
  <c r="B199" i="9"/>
  <c r="N96" i="9"/>
  <c r="C161" i="9"/>
  <c r="D174" i="9"/>
  <c r="T193" i="9"/>
  <c r="U161" i="9"/>
  <c r="B193" i="9"/>
  <c r="B155" i="9"/>
  <c r="B176" i="9"/>
  <c r="T196" i="9"/>
  <c r="U172" i="9"/>
  <c r="N31" i="9"/>
  <c r="C178" i="9"/>
  <c r="N74" i="9"/>
  <c r="N88" i="9"/>
  <c r="C175" i="10"/>
  <c r="U198" i="10"/>
  <c r="H163" i="10"/>
  <c r="B179" i="10"/>
  <c r="N77" i="10"/>
  <c r="L202" i="10"/>
  <c r="B206" i="10"/>
  <c r="N110" i="10"/>
  <c r="J211" i="10"/>
  <c r="S180" i="10"/>
  <c r="T181" i="10"/>
  <c r="W181" i="10" s="1"/>
  <c r="N16" i="10"/>
  <c r="L174" i="10"/>
  <c r="B180" i="10"/>
  <c r="N21" i="10"/>
  <c r="B174" i="10"/>
  <c r="H175" i="10"/>
  <c r="W209" i="10"/>
  <c r="N83" i="10"/>
  <c r="N85" i="10"/>
  <c r="N117" i="10"/>
  <c r="S208" i="10"/>
  <c r="N26" i="10"/>
  <c r="H208" i="10"/>
  <c r="T199" i="10"/>
  <c r="T194" i="10"/>
  <c r="B166" i="10"/>
  <c r="C168" i="10"/>
  <c r="U165" i="10"/>
  <c r="U182" i="10"/>
  <c r="U174" i="10"/>
  <c r="C167" i="10"/>
  <c r="B169" i="10"/>
  <c r="C173" i="10"/>
  <c r="D180" i="10"/>
  <c r="N53" i="10"/>
  <c r="C186" i="10"/>
  <c r="B198" i="10"/>
  <c r="C201" i="10"/>
  <c r="N116" i="10"/>
  <c r="N118" i="10"/>
  <c r="N122" i="10"/>
  <c r="W169" i="10"/>
  <c r="C161" i="10"/>
  <c r="T182" i="10"/>
  <c r="S162" i="10"/>
  <c r="S170" i="10"/>
  <c r="N36" i="10"/>
  <c r="L179" i="10"/>
  <c r="J180" i="10"/>
  <c r="D187" i="10"/>
  <c r="C193" i="10"/>
  <c r="J196" i="10"/>
  <c r="C203" i="10"/>
  <c r="L207" i="10"/>
  <c r="T170" i="10"/>
  <c r="S165" i="10"/>
  <c r="J174" i="10"/>
  <c r="C177" i="10"/>
  <c r="T164" i="10"/>
  <c r="W164" i="10" s="1"/>
  <c r="H168" i="10"/>
  <c r="H199" i="10"/>
  <c r="B203" i="10"/>
  <c r="W177" i="10"/>
  <c r="T189" i="10"/>
  <c r="L178" i="10"/>
  <c r="B183" i="10"/>
  <c r="T210" i="10"/>
  <c r="C166" i="10"/>
  <c r="N27" i="10"/>
  <c r="L180" i="10"/>
  <c r="T204" i="10"/>
  <c r="U178" i="10"/>
  <c r="L204" i="10"/>
  <c r="N106" i="10"/>
  <c r="C207" i="10"/>
  <c r="B208" i="10"/>
  <c r="W167" i="10"/>
  <c r="S161" i="10"/>
  <c r="C198" i="10"/>
  <c r="U189" i="10"/>
  <c r="S204" i="10"/>
  <c r="N98" i="10"/>
  <c r="L201" i="10"/>
  <c r="L208" i="10"/>
  <c r="H209" i="10"/>
  <c r="H200" i="10"/>
  <c r="J205" i="10"/>
  <c r="D211" i="10"/>
  <c r="U184" i="10"/>
  <c r="N8" i="10"/>
  <c r="L164" i="10"/>
  <c r="N17" i="10"/>
  <c r="N33" i="10"/>
  <c r="C180" i="10"/>
  <c r="H183" i="10"/>
  <c r="C188" i="10"/>
  <c r="L189" i="10"/>
  <c r="N78" i="10"/>
  <c r="N89" i="10"/>
  <c r="N100" i="10"/>
  <c r="J203" i="10"/>
  <c r="D204" i="10"/>
  <c r="N111" i="10"/>
  <c r="N115" i="10"/>
  <c r="N70" i="10"/>
  <c r="N79" i="10"/>
  <c r="N103" i="10"/>
  <c r="C213" i="10"/>
  <c r="U205" i="10"/>
  <c r="H174" i="10"/>
  <c r="U213" i="10"/>
  <c r="T174" i="10"/>
  <c r="U202" i="10"/>
  <c r="L165" i="10"/>
  <c r="H167" i="10"/>
  <c r="L168" i="10"/>
  <c r="N30" i="10"/>
  <c r="J173" i="10"/>
  <c r="D174" i="10"/>
  <c r="N43" i="10"/>
  <c r="B178" i="10"/>
  <c r="H179" i="10"/>
  <c r="N56" i="10"/>
  <c r="L184" i="10"/>
  <c r="N73" i="10"/>
  <c r="C208" i="10"/>
  <c r="N125" i="10"/>
  <c r="W179" i="10"/>
  <c r="J177" i="10"/>
  <c r="B162" i="10"/>
  <c r="J200" i="10"/>
  <c r="N12" i="10"/>
  <c r="C171" i="10"/>
  <c r="C205" i="10"/>
  <c r="H177" i="10"/>
  <c r="N128" i="10"/>
  <c r="T171" i="10"/>
  <c r="L188" i="10"/>
  <c r="S171" i="10"/>
  <c r="H197" i="10"/>
  <c r="H196" i="10"/>
  <c r="L171" i="10"/>
  <c r="H189" i="10"/>
  <c r="U166" i="10"/>
  <c r="W166" i="10" s="1"/>
  <c r="C163" i="10"/>
  <c r="C164" i="10"/>
  <c r="C192" i="10"/>
  <c r="D193" i="10"/>
  <c r="D194" i="10"/>
  <c r="D195" i="10"/>
  <c r="C196" i="10"/>
  <c r="N90" i="10"/>
  <c r="N101" i="10"/>
  <c r="U193" i="10"/>
  <c r="J197" i="10"/>
  <c r="S205" i="10"/>
  <c r="H180" i="10"/>
  <c r="B170" i="10"/>
  <c r="S206" i="10"/>
  <c r="T184" i="10"/>
  <c r="T162" i="10"/>
  <c r="T206" i="10"/>
  <c r="S214" i="10"/>
  <c r="H203" i="10"/>
  <c r="D163" i="10"/>
  <c r="D164" i="10"/>
  <c r="N22" i="10"/>
  <c r="N48" i="10"/>
  <c r="N50" i="10"/>
  <c r="N52" i="10"/>
  <c r="D181" i="10"/>
  <c r="N57" i="10"/>
  <c r="N59" i="10"/>
  <c r="L187" i="10"/>
  <c r="D189" i="10"/>
  <c r="N74" i="10"/>
  <c r="B190" i="10"/>
  <c r="N81" i="10"/>
  <c r="L194" i="10"/>
  <c r="D196" i="10"/>
  <c r="C197" i="10"/>
  <c r="L199" i="10"/>
  <c r="D200" i="10"/>
  <c r="H205" i="10"/>
  <c r="B210" i="10"/>
  <c r="N120" i="10"/>
  <c r="H173" i="10"/>
  <c r="S193" i="10"/>
  <c r="T196" i="10"/>
  <c r="S196" i="10"/>
  <c r="L205" i="10"/>
  <c r="U192" i="10"/>
  <c r="S198" i="10"/>
  <c r="U199" i="10"/>
  <c r="L163" i="10"/>
  <c r="C169" i="10"/>
  <c r="J171" i="10"/>
  <c r="N42" i="10"/>
  <c r="N64" i="10"/>
  <c r="N66" i="10"/>
  <c r="N68" i="10"/>
  <c r="J201" i="10"/>
  <c r="D203" i="10"/>
  <c r="C204" i="10"/>
  <c r="C209" i="10"/>
  <c r="C212" i="10"/>
  <c r="N135" i="10"/>
  <c r="H171" i="10"/>
  <c r="W175" i="10"/>
  <c r="T214" i="10"/>
  <c r="T213" i="10"/>
  <c r="H184" i="10"/>
  <c r="T205" i="10"/>
  <c r="U207" i="10"/>
  <c r="U188" i="10"/>
  <c r="N10" i="10"/>
  <c r="S192" i="10"/>
  <c r="B204" i="10"/>
  <c r="N109" i="10"/>
  <c r="D213" i="10"/>
  <c r="T180" i="10"/>
  <c r="J189" i="10"/>
  <c r="H164" i="10"/>
  <c r="J166" i="10"/>
  <c r="J167" i="10"/>
  <c r="D168" i="10"/>
  <c r="B192" i="10"/>
  <c r="D192" i="10"/>
  <c r="C194" i="10"/>
  <c r="C195" i="10"/>
  <c r="L196" i="10"/>
  <c r="N91" i="10"/>
  <c r="D198" i="10"/>
  <c r="H202" i="10"/>
  <c r="N108" i="10"/>
  <c r="B207" i="10"/>
  <c r="N127" i="10"/>
  <c r="B214" i="10"/>
  <c r="J208" i="10"/>
  <c r="N136" i="10"/>
  <c r="N82" i="10"/>
  <c r="J176" i="10"/>
  <c r="L176" i="10"/>
  <c r="N46" i="10"/>
  <c r="D178" i="10"/>
  <c r="T185" i="10"/>
  <c r="U185" i="10"/>
  <c r="S185" i="10"/>
  <c r="L185" i="10"/>
  <c r="J185" i="10"/>
  <c r="N39" i="10"/>
  <c r="B175" i="10"/>
  <c r="B181" i="10"/>
  <c r="N54" i="10"/>
  <c r="N24" i="10"/>
  <c r="D169" i="10"/>
  <c r="C176" i="10"/>
  <c r="N65" i="10"/>
  <c r="J187" i="10"/>
  <c r="C211" i="10"/>
  <c r="N19" i="10"/>
  <c r="J168" i="10"/>
  <c r="T168" i="10"/>
  <c r="S168" i="10"/>
  <c r="U168" i="10"/>
  <c r="L170" i="10"/>
  <c r="H170" i="10"/>
  <c r="N34" i="10"/>
  <c r="B173" i="10"/>
  <c r="C182" i="10"/>
  <c r="C189" i="10"/>
  <c r="L209" i="10"/>
  <c r="J209" i="10"/>
  <c r="H211" i="10"/>
  <c r="H212" i="10"/>
  <c r="J212" i="10"/>
  <c r="L212" i="10"/>
  <c r="N126" i="10"/>
  <c r="N130" i="10"/>
  <c r="D208" i="10"/>
  <c r="J162" i="10"/>
  <c r="L162" i="10"/>
  <c r="S190" i="10"/>
  <c r="J190" i="10"/>
  <c r="H190" i="10"/>
  <c r="U190" i="10"/>
  <c r="L190" i="10"/>
  <c r="H191" i="10"/>
  <c r="L191" i="10"/>
  <c r="J191" i="10"/>
  <c r="H192" i="10"/>
  <c r="J192" i="10"/>
  <c r="J198" i="10"/>
  <c r="L198" i="10"/>
  <c r="H198" i="10"/>
  <c r="D177" i="10"/>
  <c r="N44" i="10"/>
  <c r="H181" i="10"/>
  <c r="J181" i="10"/>
  <c r="L181" i="10"/>
  <c r="N63" i="10"/>
  <c r="B184" i="10"/>
  <c r="H186" i="10"/>
  <c r="J186" i="10"/>
  <c r="H193" i="10"/>
  <c r="J193" i="10"/>
  <c r="L193" i="10"/>
  <c r="H195" i="10"/>
  <c r="L195" i="10"/>
  <c r="B199" i="10"/>
  <c r="N94" i="10"/>
  <c r="W216" i="10"/>
  <c r="N37" i="10"/>
  <c r="C174" i="10"/>
  <c r="B176" i="10"/>
  <c r="N41" i="10"/>
  <c r="S176" i="10"/>
  <c r="T176" i="10"/>
  <c r="J178" i="10"/>
  <c r="H178" i="10"/>
  <c r="H182" i="10"/>
  <c r="L182" i="10"/>
  <c r="U191" i="10"/>
  <c r="T191" i="10"/>
  <c r="N7" i="10"/>
  <c r="B161" i="10"/>
  <c r="B216" i="10"/>
  <c r="N134" i="10"/>
  <c r="H187" i="10"/>
  <c r="D183" i="10"/>
  <c r="J188" i="10"/>
  <c r="U176" i="10"/>
  <c r="N32" i="10"/>
  <c r="B172" i="10"/>
  <c r="B177" i="10"/>
  <c r="N45" i="10"/>
  <c r="U183" i="10"/>
  <c r="S183" i="10"/>
  <c r="B201" i="10"/>
  <c r="L216" i="10"/>
  <c r="T211" i="10"/>
  <c r="D185" i="10"/>
  <c r="J195" i="10"/>
  <c r="T190" i="10"/>
  <c r="N72" i="10"/>
  <c r="B197" i="10"/>
  <c r="L186" i="10"/>
  <c r="N18" i="10"/>
  <c r="N23" i="10"/>
  <c r="B168" i="10"/>
  <c r="H176" i="10"/>
  <c r="B191" i="10"/>
  <c r="N102" i="10"/>
  <c r="N119" i="10"/>
  <c r="N123" i="10"/>
  <c r="B212" i="10"/>
  <c r="S212" i="10"/>
  <c r="T212" i="10"/>
  <c r="D212" i="10"/>
  <c r="B163" i="10"/>
  <c r="N11" i="10"/>
  <c r="N13" i="10"/>
  <c r="B164" i="10"/>
  <c r="H165" i="10"/>
  <c r="J165" i="10"/>
  <c r="C170" i="10"/>
  <c r="B171" i="10"/>
  <c r="J172" i="10"/>
  <c r="J182" i="10"/>
  <c r="N95" i="10"/>
  <c r="T200" i="10"/>
  <c r="L200" i="10"/>
  <c r="S200" i="10"/>
  <c r="J206" i="10"/>
  <c r="L206" i="10"/>
  <c r="U211" i="10"/>
  <c r="L183" i="10"/>
  <c r="B193" i="10"/>
  <c r="C191" i="10"/>
  <c r="L161" i="10"/>
  <c r="T188" i="10"/>
  <c r="D188" i="10"/>
  <c r="S188" i="10"/>
  <c r="L211" i="10"/>
  <c r="C183" i="10"/>
  <c r="H188" i="10"/>
  <c r="H194" i="10"/>
  <c r="U161" i="10"/>
  <c r="L173" i="10"/>
  <c r="N88" i="10"/>
  <c r="B196" i="10"/>
  <c r="N97" i="10"/>
  <c r="B200" i="10"/>
  <c r="U201" i="10"/>
  <c r="T201" i="10"/>
  <c r="D210" i="10"/>
  <c r="C162" i="10"/>
  <c r="N47" i="10"/>
  <c r="N67" i="10"/>
  <c r="L203" i="10"/>
  <c r="J204" i="10"/>
  <c r="J161" i="10"/>
  <c r="C178" i="10"/>
  <c r="J199" i="10"/>
  <c r="L167" i="10"/>
  <c r="B187" i="10"/>
  <c r="D173" i="10"/>
  <c r="N71" i="10"/>
  <c r="C190" i="10"/>
  <c r="L192" i="10"/>
  <c r="D201" i="10"/>
  <c r="N129" i="10"/>
  <c r="T208" i="10"/>
  <c r="N6" i="10"/>
  <c r="W215" i="10"/>
  <c r="D165" i="10"/>
  <c r="L169" i="10"/>
  <c r="J170" i="10"/>
  <c r="D171" i="10"/>
  <c r="C172" i="10"/>
  <c r="D184" i="10"/>
  <c r="B188" i="10"/>
  <c r="C200" i="10"/>
  <c r="H201" i="10"/>
  <c r="B209" i="10"/>
  <c r="S203" i="10"/>
  <c r="S194" i="10"/>
  <c r="J164" i="10"/>
  <c r="J183" i="10"/>
  <c r="J194" i="10"/>
  <c r="N105" i="10"/>
  <c r="N113" i="10"/>
  <c r="H206" i="10"/>
  <c r="D161" i="10"/>
  <c r="D167" i="10"/>
  <c r="H172" i="10"/>
  <c r="H161" i="10"/>
  <c r="T195" i="10"/>
  <c r="U195" i="10"/>
  <c r="L175" i="10"/>
  <c r="H210" i="10"/>
  <c r="B195" i="10"/>
  <c r="H204" i="10"/>
  <c r="T203" i="10"/>
  <c r="J175" i="10"/>
  <c r="C181" i="10"/>
  <c r="N61" i="10"/>
  <c r="D186" i="10"/>
  <c r="N84" i="10"/>
  <c r="N86" i="10"/>
  <c r="C199" i="10"/>
  <c r="B213" i="10"/>
  <c r="N133" i="10"/>
  <c r="N91" i="12"/>
  <c r="B191" i="12"/>
  <c r="N172" i="12"/>
  <c r="U191" i="12"/>
  <c r="N118" i="12"/>
  <c r="H190" i="12"/>
  <c r="J168" i="12"/>
  <c r="N50" i="12"/>
  <c r="L168" i="12"/>
  <c r="N16" i="12"/>
  <c r="N18" i="12"/>
  <c r="N20" i="12"/>
  <c r="N22" i="12"/>
  <c r="L147" i="12"/>
  <c r="J175" i="12"/>
  <c r="L181" i="12"/>
  <c r="N181" i="12" s="1"/>
  <c r="H168" i="12"/>
  <c r="N30" i="12"/>
  <c r="N39" i="12"/>
  <c r="N78" i="12"/>
  <c r="U179" i="12"/>
  <c r="D180" i="12"/>
  <c r="N94" i="12"/>
  <c r="C188" i="12"/>
  <c r="N109" i="12"/>
  <c r="W142" i="12"/>
  <c r="N145" i="12"/>
  <c r="N153" i="12"/>
  <c r="N161" i="12"/>
  <c r="W162" i="12"/>
  <c r="H191" i="12"/>
  <c r="N6" i="12"/>
  <c r="T147" i="12"/>
  <c r="L175" i="12"/>
  <c r="S168" i="12"/>
  <c r="N11" i="12"/>
  <c r="N36" i="12"/>
  <c r="N49" i="12"/>
  <c r="B161" i="12"/>
  <c r="B162" i="12"/>
  <c r="D166" i="12"/>
  <c r="C168" i="12"/>
  <c r="D186" i="12"/>
  <c r="W185" i="12"/>
  <c r="J191" i="12"/>
  <c r="N84" i="12"/>
  <c r="S158" i="12"/>
  <c r="C141" i="12"/>
  <c r="C142" i="12"/>
  <c r="N17" i="12"/>
  <c r="B146" i="12"/>
  <c r="B157" i="12"/>
  <c r="N55" i="12"/>
  <c r="L191" i="12"/>
  <c r="H159" i="12"/>
  <c r="B149" i="12"/>
  <c r="N34" i="12"/>
  <c r="C156" i="12"/>
  <c r="D192" i="12"/>
  <c r="N149" i="12"/>
  <c r="H167" i="15"/>
  <c r="W204" i="15"/>
  <c r="W197" i="15"/>
  <c r="W181" i="15"/>
  <c r="W177" i="15"/>
  <c r="W173" i="15"/>
  <c r="W169" i="15"/>
  <c r="W165" i="15"/>
  <c r="N33" i="15"/>
  <c r="B168" i="15"/>
  <c r="N17" i="15"/>
  <c r="C199" i="15"/>
  <c r="B188" i="15"/>
  <c r="N88" i="15"/>
  <c r="H194" i="15"/>
  <c r="U194" i="15"/>
  <c r="J194" i="15"/>
  <c r="L194" i="15"/>
  <c r="T194" i="15"/>
  <c r="C198" i="15"/>
  <c r="D202" i="15"/>
  <c r="N115" i="15"/>
  <c r="D206" i="15"/>
  <c r="U207" i="15"/>
  <c r="B207" i="15"/>
  <c r="N64" i="15"/>
  <c r="N45" i="15"/>
  <c r="C173" i="15"/>
  <c r="N40" i="15"/>
  <c r="L204" i="15"/>
  <c r="W161" i="15"/>
  <c r="B194" i="15"/>
  <c r="H204" i="15"/>
  <c r="N75" i="15"/>
  <c r="B193" i="15"/>
  <c r="N106" i="15"/>
  <c r="N110" i="15"/>
  <c r="N19" i="15"/>
  <c r="D207" i="15"/>
  <c r="C178" i="15"/>
  <c r="B176" i="15"/>
  <c r="D200" i="15"/>
  <c r="J182" i="15"/>
  <c r="L182" i="15"/>
  <c r="N14" i="15"/>
  <c r="D159" i="15"/>
  <c r="H205" i="15"/>
  <c r="J205" i="15"/>
  <c r="L205" i="15"/>
  <c r="H182" i="15"/>
  <c r="S194" i="15"/>
  <c r="B199" i="15"/>
  <c r="C191" i="15"/>
  <c r="B161" i="15"/>
  <c r="C185" i="15"/>
  <c r="J191" i="15"/>
  <c r="L159" i="15"/>
  <c r="S198" i="15"/>
  <c r="W198" i="15" s="1"/>
  <c r="D188" i="15"/>
  <c r="C201" i="15"/>
  <c r="D203" i="15"/>
  <c r="B180" i="15"/>
  <c r="D178" i="15"/>
  <c r="B177" i="15"/>
  <c r="C175" i="15"/>
  <c r="D174" i="15"/>
  <c r="N36" i="15"/>
  <c r="C167" i="15"/>
  <c r="C158" i="15"/>
  <c r="H172" i="15"/>
  <c r="L158" i="15"/>
  <c r="W163" i="15"/>
  <c r="W206" i="15"/>
  <c r="S188" i="15"/>
  <c r="W188" i="15" s="1"/>
  <c r="N92" i="15"/>
  <c r="N93" i="15"/>
  <c r="D198" i="15"/>
  <c r="N99" i="15"/>
  <c r="N102" i="15"/>
  <c r="N62" i="15"/>
  <c r="N59" i="15"/>
  <c r="B179" i="15"/>
  <c r="J171" i="15"/>
  <c r="J165" i="15"/>
  <c r="N96" i="15"/>
  <c r="N98" i="15"/>
  <c r="N53" i="15"/>
  <c r="L181" i="15"/>
  <c r="L163" i="15"/>
  <c r="J159" i="15"/>
  <c r="B187" i="15"/>
  <c r="N81" i="15"/>
  <c r="N86" i="15"/>
  <c r="C194" i="15"/>
  <c r="C166" i="15"/>
  <c r="N24" i="15"/>
  <c r="N21" i="15"/>
  <c r="D161" i="15"/>
  <c r="N16" i="15"/>
  <c r="L195" i="15"/>
  <c r="L177" i="15"/>
  <c r="J166" i="15"/>
  <c r="N118" i="15"/>
  <c r="N39" i="15"/>
  <c r="N29" i="15"/>
  <c r="C165" i="15"/>
  <c r="N18" i="15"/>
  <c r="B160" i="15"/>
  <c r="N13" i="15"/>
  <c r="B157" i="15"/>
  <c r="L183" i="15"/>
  <c r="D184" i="15"/>
  <c r="N76" i="15"/>
  <c r="B189" i="15"/>
  <c r="D192" i="15"/>
  <c r="N87" i="15"/>
  <c r="N90" i="15"/>
  <c r="D182" i="15"/>
  <c r="D166" i="15"/>
  <c r="B165" i="15"/>
  <c r="D163" i="15"/>
  <c r="B162" i="15"/>
  <c r="C160" i="15"/>
  <c r="C159" i="15"/>
  <c r="N9" i="15"/>
  <c r="J201" i="15"/>
  <c r="J193" i="15"/>
  <c r="L185" i="15"/>
  <c r="L175" i="15"/>
  <c r="L164" i="15"/>
  <c r="L160" i="15"/>
  <c r="B183" i="12"/>
  <c r="B190" i="12"/>
  <c r="H150" i="12"/>
  <c r="N15" i="12"/>
  <c r="N19" i="12"/>
  <c r="N56" i="12"/>
  <c r="N72" i="12"/>
  <c r="N97" i="12"/>
  <c r="N99" i="12"/>
  <c r="N146" i="12"/>
  <c r="S186" i="12"/>
  <c r="N27" i="12"/>
  <c r="N51" i="12"/>
  <c r="N25" i="12"/>
  <c r="C152" i="12"/>
  <c r="C153" i="12"/>
  <c r="B155" i="12"/>
  <c r="C174" i="12"/>
  <c r="N81" i="12"/>
  <c r="B177" i="12"/>
  <c r="N88" i="12"/>
  <c r="C181" i="12"/>
  <c r="B182" i="12"/>
  <c r="B187" i="12"/>
  <c r="B188" i="12"/>
  <c r="W155" i="12"/>
  <c r="D140" i="12"/>
  <c r="D156" i="12"/>
  <c r="B172" i="12"/>
  <c r="N107" i="12"/>
  <c r="W192" i="12"/>
  <c r="J159" i="12"/>
  <c r="U158" i="12"/>
  <c r="B179" i="12"/>
  <c r="U143" i="12"/>
  <c r="T179" i="12"/>
  <c r="H177" i="12"/>
  <c r="D149" i="12"/>
  <c r="C150" i="12"/>
  <c r="N33" i="12"/>
  <c r="C158" i="12"/>
  <c r="B173" i="12"/>
  <c r="L174" i="12"/>
  <c r="N174" i="12" s="1"/>
  <c r="N87" i="12"/>
  <c r="B180" i="12"/>
  <c r="N98" i="12"/>
  <c r="N156" i="12"/>
  <c r="N164" i="12"/>
  <c r="W166" i="12"/>
  <c r="S150" i="12"/>
  <c r="T158" i="12"/>
  <c r="S143" i="12"/>
  <c r="S159" i="12"/>
  <c r="J177" i="12"/>
  <c r="D143" i="12"/>
  <c r="C151" i="12"/>
  <c r="N41" i="12"/>
  <c r="W145" i="12"/>
  <c r="W152" i="12"/>
  <c r="D148" i="12"/>
  <c r="D155" i="12"/>
  <c r="B158" i="12"/>
  <c r="C190" i="12"/>
  <c r="B192" i="12"/>
  <c r="N116" i="12"/>
  <c r="U150" i="12"/>
  <c r="L158" i="12"/>
  <c r="L143" i="12"/>
  <c r="C148" i="12"/>
  <c r="N26" i="12"/>
  <c r="N28" i="12"/>
  <c r="D159" i="12"/>
  <c r="N104" i="12"/>
  <c r="W140" i="12"/>
  <c r="N162" i="12"/>
  <c r="D178" i="12"/>
  <c r="T178" i="12"/>
  <c r="J178" i="12"/>
  <c r="L178" i="12"/>
  <c r="S178" i="12"/>
  <c r="T163" i="12"/>
  <c r="U163" i="12"/>
  <c r="S163" i="12"/>
  <c r="J163" i="12"/>
  <c r="H163" i="12"/>
  <c r="J171" i="12"/>
  <c r="L171" i="12"/>
  <c r="T171" i="12"/>
  <c r="S171" i="12"/>
  <c r="U171" i="12"/>
  <c r="N90" i="12"/>
  <c r="B175" i="12"/>
  <c r="H151" i="12"/>
  <c r="U151" i="12"/>
  <c r="D151" i="12"/>
  <c r="L151" i="12"/>
  <c r="J151" i="12"/>
  <c r="S151" i="12"/>
  <c r="N57" i="12"/>
  <c r="B164" i="12"/>
  <c r="B171" i="12"/>
  <c r="U173" i="12"/>
  <c r="J173" i="12"/>
  <c r="H173" i="12"/>
  <c r="T173" i="12"/>
  <c r="C173" i="12"/>
  <c r="D173" i="12"/>
  <c r="L173" i="12"/>
  <c r="S173" i="12"/>
  <c r="C178" i="12"/>
  <c r="D181" i="12"/>
  <c r="C182" i="12"/>
  <c r="N31" i="12"/>
  <c r="B151" i="12"/>
  <c r="S154" i="12"/>
  <c r="H154" i="12"/>
  <c r="T154" i="12"/>
  <c r="C163" i="12"/>
  <c r="W146" i="12"/>
  <c r="D141" i="12"/>
  <c r="N10" i="12"/>
  <c r="S189" i="12"/>
  <c r="U189" i="12"/>
  <c r="J189" i="12"/>
  <c r="H189" i="12"/>
  <c r="D191" i="12"/>
  <c r="N111" i="12"/>
  <c r="L163" i="12"/>
  <c r="U183" i="12"/>
  <c r="H183" i="12"/>
  <c r="T183" i="12"/>
  <c r="L183" i="12"/>
  <c r="N106" i="12"/>
  <c r="C189" i="12"/>
  <c r="B189" i="12"/>
  <c r="N112" i="12"/>
  <c r="L179" i="12"/>
  <c r="H184" i="12"/>
  <c r="N14" i="12"/>
  <c r="N40" i="12"/>
  <c r="N47" i="12"/>
  <c r="C160" i="12"/>
  <c r="D161" i="12"/>
  <c r="N60" i="12"/>
  <c r="N62" i="12"/>
  <c r="N79" i="12"/>
  <c r="B176" i="12"/>
  <c r="N100" i="12"/>
  <c r="N157" i="12"/>
  <c r="N165" i="12"/>
  <c r="N113" i="12"/>
  <c r="U182" i="12"/>
  <c r="H179" i="12"/>
  <c r="N179" i="12" s="1"/>
  <c r="C143" i="12"/>
  <c r="D150" i="12"/>
  <c r="D153" i="12"/>
  <c r="C155" i="12"/>
  <c r="N64" i="12"/>
  <c r="D174" i="12"/>
  <c r="N140" i="12"/>
  <c r="W161" i="12"/>
  <c r="N93" i="12"/>
  <c r="N144" i="12"/>
  <c r="S190" i="12"/>
  <c r="T190" i="12"/>
  <c r="N71" i="12"/>
  <c r="N108" i="12"/>
  <c r="N92" i="12"/>
  <c r="L184" i="12"/>
  <c r="N24" i="12"/>
  <c r="D171" i="12"/>
  <c r="N75" i="12"/>
  <c r="C177" i="12"/>
  <c r="W165" i="12"/>
  <c r="C139" i="12"/>
  <c r="B147" i="12"/>
  <c r="S147" i="12"/>
  <c r="W147" i="12" s="1"/>
  <c r="S182" i="12"/>
  <c r="S179" i="12"/>
  <c r="D184" i="12"/>
  <c r="T184" i="12"/>
  <c r="T168" i="12"/>
  <c r="C144" i="12"/>
  <c r="C149" i="12"/>
  <c r="D170" i="12"/>
  <c r="D176" i="12"/>
  <c r="D177" i="12"/>
  <c r="U181" i="12"/>
  <c r="W181" i="12" s="1"/>
  <c r="D185" i="12"/>
  <c r="N141" i="12"/>
  <c r="W194" i="12"/>
  <c r="B150" i="12"/>
  <c r="T182" i="12"/>
  <c r="B186" i="12"/>
  <c r="C147" i="12"/>
  <c r="B154" i="12"/>
  <c r="C161" i="12"/>
  <c r="B169" i="12"/>
  <c r="C171" i="12"/>
  <c r="N86" i="12"/>
  <c r="N152" i="12"/>
  <c r="W172" i="12"/>
  <c r="N192" i="12"/>
  <c r="D193" i="12"/>
  <c r="N194" i="12"/>
  <c r="L182" i="13"/>
  <c r="J181" i="13"/>
  <c r="B193" i="13"/>
  <c r="D196" i="13"/>
  <c r="N75" i="13"/>
  <c r="L171" i="13"/>
  <c r="J161" i="13"/>
  <c r="N15" i="13"/>
  <c r="H174" i="13"/>
  <c r="T195" i="13"/>
  <c r="N68" i="13"/>
  <c r="H176" i="13"/>
  <c r="S187" i="13"/>
  <c r="L205" i="13"/>
  <c r="J201" i="13"/>
  <c r="L197" i="13"/>
  <c r="L175" i="13"/>
  <c r="W192" i="13"/>
  <c r="W208" i="13"/>
  <c r="H161" i="13"/>
  <c r="N129" i="13"/>
  <c r="H210" i="13"/>
  <c r="S193" i="13"/>
  <c r="D202" i="13"/>
  <c r="B204" i="13"/>
  <c r="B182" i="13"/>
  <c r="J203" i="13"/>
  <c r="L195" i="13"/>
  <c r="L185" i="13"/>
  <c r="L174" i="13"/>
  <c r="W183" i="13"/>
  <c r="N62" i="13"/>
  <c r="N104" i="13"/>
  <c r="C199" i="13"/>
  <c r="L208" i="13"/>
  <c r="J170" i="13"/>
  <c r="U195" i="13"/>
  <c r="J171" i="13"/>
  <c r="B184" i="13"/>
  <c r="N85" i="13"/>
  <c r="B201" i="13"/>
  <c r="N121" i="13"/>
  <c r="N80" i="13"/>
  <c r="H195" i="13"/>
  <c r="N112" i="13"/>
  <c r="D204" i="13"/>
  <c r="B207" i="13"/>
  <c r="C162" i="13"/>
  <c r="U193" i="13"/>
  <c r="N105" i="13"/>
  <c r="N93" i="13"/>
  <c r="H200" i="13"/>
  <c r="H182" i="13"/>
  <c r="J176" i="13"/>
  <c r="D179" i="13"/>
  <c r="C200" i="13"/>
  <c r="D190" i="13"/>
  <c r="L189" i="13"/>
  <c r="H179" i="13"/>
  <c r="J175" i="13"/>
  <c r="H172" i="13"/>
  <c r="N28" i="13"/>
  <c r="D199" i="13"/>
  <c r="W172" i="13"/>
  <c r="N50" i="13"/>
  <c r="B161" i="13"/>
  <c r="L199" i="13"/>
  <c r="H192" i="13"/>
  <c r="L188" i="13"/>
  <c r="L178" i="13"/>
  <c r="N60" i="13"/>
  <c r="C170" i="13"/>
  <c r="D156" i="13"/>
  <c r="S189" i="13"/>
  <c r="J208" i="13"/>
  <c r="N123" i="13"/>
  <c r="L181" i="13"/>
  <c r="D180" i="13"/>
  <c r="J195" i="13"/>
  <c r="D197" i="13"/>
  <c r="N108" i="13"/>
  <c r="H173" i="13"/>
  <c r="B162" i="13"/>
  <c r="C159" i="13"/>
  <c r="J172" i="13"/>
  <c r="J178" i="13"/>
  <c r="D184" i="13"/>
  <c r="B205" i="13"/>
  <c r="J173" i="13"/>
  <c r="B176" i="13"/>
  <c r="C190" i="13"/>
  <c r="W196" i="13"/>
  <c r="N47" i="13"/>
  <c r="L172" i="13"/>
  <c r="L192" i="13"/>
  <c r="N45" i="13"/>
  <c r="L170" i="13"/>
  <c r="J198" i="13"/>
  <c r="H194" i="13"/>
  <c r="H186" i="13"/>
  <c r="H184" i="13"/>
  <c r="L176" i="13"/>
  <c r="B160" i="13"/>
  <c r="N12" i="13"/>
  <c r="J188" i="13"/>
  <c r="T190" i="13"/>
  <c r="N94" i="13"/>
  <c r="N92" i="13"/>
  <c r="C202" i="13"/>
  <c r="H203" i="13"/>
  <c r="D205" i="13"/>
  <c r="H205" i="13"/>
  <c r="L201" i="13"/>
  <c r="J193" i="13"/>
  <c r="J190" i="13"/>
  <c r="H183" i="13"/>
  <c r="N125" i="13"/>
  <c r="C163" i="13"/>
  <c r="T203" i="13"/>
  <c r="J177" i="13"/>
  <c r="N177" i="13" s="1"/>
  <c r="J186" i="13"/>
  <c r="H191" i="13"/>
  <c r="H180" i="13"/>
  <c r="N21" i="13"/>
  <c r="N16" i="13"/>
  <c r="D158" i="13"/>
  <c r="J205" i="13"/>
  <c r="S203" i="13"/>
  <c r="J199" i="13"/>
  <c r="L186" i="13"/>
  <c r="L180" i="13"/>
  <c r="L203" i="13"/>
  <c r="C184" i="13"/>
  <c r="N77" i="13"/>
  <c r="D186" i="13"/>
  <c r="N82" i="13"/>
  <c r="D189" i="13"/>
  <c r="N98" i="13"/>
  <c r="N100" i="13"/>
  <c r="C182" i="13"/>
  <c r="N52" i="13"/>
  <c r="N26" i="13"/>
  <c r="D161" i="13"/>
  <c r="J210" i="13"/>
  <c r="S191" i="13"/>
  <c r="N11" i="13"/>
  <c r="B189" i="13"/>
  <c r="J191" i="13"/>
  <c r="D192" i="13"/>
  <c r="U191" i="13"/>
  <c r="N55" i="13"/>
  <c r="N63" i="13"/>
  <c r="N96" i="13"/>
  <c r="N67" i="13"/>
  <c r="C160" i="13"/>
  <c r="L190" i="13"/>
  <c r="L158" i="13"/>
  <c r="H190" i="13"/>
  <c r="H188" i="13"/>
  <c r="L191" i="13"/>
  <c r="B192" i="13"/>
  <c r="U203" i="13"/>
  <c r="T197" i="13"/>
  <c r="N73" i="13"/>
  <c r="N122" i="13"/>
  <c r="D207" i="13"/>
  <c r="J204" i="13"/>
  <c r="J196" i="13"/>
  <c r="J182" i="13"/>
  <c r="D176" i="13"/>
  <c r="W157" i="13"/>
  <c r="J194" i="13"/>
  <c r="D174" i="13"/>
  <c r="H201" i="13"/>
  <c r="J183" i="13"/>
  <c r="L183" i="13"/>
  <c r="J180" i="13"/>
  <c r="L193" i="13"/>
  <c r="J192" i="13"/>
  <c r="D183" i="13"/>
  <c r="W179" i="13"/>
  <c r="W186" i="13"/>
  <c r="W205" i="13"/>
  <c r="W204" i="13"/>
  <c r="C178" i="13"/>
  <c r="C161" i="13"/>
  <c r="N17" i="13"/>
  <c r="D155" i="13"/>
  <c r="T189" i="13"/>
  <c r="C183" i="13"/>
  <c r="C191" i="13"/>
  <c r="H202" i="13"/>
  <c r="L196" i="13"/>
  <c r="S190" i="13"/>
  <c r="W190" i="13" s="1"/>
  <c r="H175" i="13"/>
  <c r="C179" i="13"/>
  <c r="C188" i="13"/>
  <c r="B191" i="13"/>
  <c r="D195" i="13"/>
  <c r="B203" i="13"/>
  <c r="C205" i="13"/>
  <c r="J202" i="13"/>
  <c r="J184" i="13"/>
  <c r="W180" i="13"/>
  <c r="W188" i="13"/>
  <c r="W207" i="13"/>
  <c r="D175" i="13"/>
  <c r="L171" i="15"/>
  <c r="N109" i="15"/>
  <c r="H156" i="15"/>
  <c r="N50" i="15"/>
  <c r="H175" i="15"/>
  <c r="N61" i="15"/>
  <c r="N48" i="15"/>
  <c r="C202" i="15"/>
  <c r="B164" i="15"/>
  <c r="H211" i="15"/>
  <c r="U186" i="15"/>
  <c r="H197" i="15"/>
  <c r="H159" i="15"/>
  <c r="J156" i="15"/>
  <c r="N56" i="15"/>
  <c r="J197" i="15"/>
  <c r="D167" i="15"/>
  <c r="L191" i="15"/>
  <c r="N107" i="15"/>
  <c r="N68" i="15"/>
  <c r="L202" i="15"/>
  <c r="D171" i="15"/>
  <c r="N30" i="15"/>
  <c r="N27" i="15"/>
  <c r="L157" i="15"/>
  <c r="J211" i="15"/>
  <c r="H171" i="15"/>
  <c r="N113" i="15"/>
  <c r="W175" i="15"/>
  <c r="H209" i="15"/>
  <c r="L165" i="15"/>
  <c r="L189" i="15"/>
  <c r="N57" i="15"/>
  <c r="N69" i="15"/>
  <c r="J208" i="15"/>
  <c r="H179" i="15"/>
  <c r="B190" i="15"/>
  <c r="N12" i="15"/>
  <c r="N105" i="15"/>
  <c r="N28" i="15"/>
  <c r="N6" i="15"/>
  <c r="N82" i="15"/>
  <c r="N94" i="15"/>
  <c r="N97" i="15"/>
  <c r="N101" i="15"/>
  <c r="S202" i="15"/>
  <c r="N70" i="15"/>
  <c r="B182" i="15"/>
  <c r="D179" i="15"/>
  <c r="N55" i="15"/>
  <c r="C177" i="15"/>
  <c r="N42" i="15"/>
  <c r="J178" i="15"/>
  <c r="W168" i="15"/>
  <c r="W160" i="15"/>
  <c r="H201" i="15"/>
  <c r="L166" i="15"/>
  <c r="N20" i="15"/>
  <c r="H208" i="15"/>
  <c r="S207" i="15"/>
  <c r="H189" i="15"/>
  <c r="J186" i="15"/>
  <c r="D190" i="15"/>
  <c r="U202" i="15"/>
  <c r="B183" i="15"/>
  <c r="N72" i="15"/>
  <c r="B205" i="15"/>
  <c r="C163" i="15"/>
  <c r="J206" i="15"/>
  <c r="C207" i="15"/>
  <c r="H180" i="15"/>
  <c r="H193" i="15"/>
  <c r="L186" i="15"/>
  <c r="J190" i="15"/>
  <c r="H186" i="15"/>
  <c r="C190" i="15"/>
  <c r="N83" i="15"/>
  <c r="N84" i="15"/>
  <c r="C205" i="15"/>
  <c r="N34" i="15"/>
  <c r="H173" i="15"/>
  <c r="N119" i="15"/>
  <c r="D199" i="15"/>
  <c r="T190" i="15"/>
  <c r="W190" i="15" s="1"/>
  <c r="H202" i="15"/>
  <c r="B191" i="15"/>
  <c r="N121" i="15"/>
  <c r="J173" i="15"/>
  <c r="T202" i="15"/>
  <c r="D193" i="15"/>
  <c r="B202" i="15"/>
  <c r="N114" i="15"/>
  <c r="D169" i="15"/>
  <c r="C168" i="15"/>
  <c r="L161" i="15"/>
  <c r="D211" i="15"/>
  <c r="C182" i="7"/>
  <c r="H172" i="7"/>
  <c r="C172" i="7"/>
  <c r="T172" i="7"/>
  <c r="S178" i="7"/>
  <c r="T178" i="7"/>
  <c r="U178" i="7"/>
  <c r="B183" i="7"/>
  <c r="B184" i="7"/>
  <c r="S184" i="7"/>
  <c r="N106" i="7"/>
  <c r="N65" i="7"/>
  <c r="B167" i="7"/>
  <c r="B163" i="7"/>
  <c r="N58" i="7"/>
  <c r="N33" i="7"/>
  <c r="B151" i="7"/>
  <c r="W185" i="7"/>
  <c r="H181" i="7"/>
  <c r="H173" i="7"/>
  <c r="N117" i="7"/>
  <c r="B193" i="7"/>
  <c r="H143" i="7"/>
  <c r="N75" i="7"/>
  <c r="B185" i="7"/>
  <c r="T184" i="7"/>
  <c r="N70" i="7"/>
  <c r="B171" i="7"/>
  <c r="N81" i="7"/>
  <c r="L139" i="7"/>
  <c r="L184" i="7"/>
  <c r="W172" i="7"/>
  <c r="U173" i="7"/>
  <c r="D186" i="7"/>
  <c r="B170" i="7"/>
  <c r="D172" i="7"/>
  <c r="N83" i="7"/>
  <c r="N93" i="7"/>
  <c r="C139" i="7"/>
  <c r="L138" i="7"/>
  <c r="J138" i="7"/>
  <c r="H189" i="7"/>
  <c r="N113" i="7"/>
  <c r="S172" i="7"/>
  <c r="H162" i="7"/>
  <c r="L162" i="7"/>
  <c r="W162" i="7"/>
  <c r="J162" i="7"/>
  <c r="L158" i="7"/>
  <c r="B159" i="7"/>
  <c r="N50" i="7"/>
  <c r="B162" i="7"/>
  <c r="N55" i="7"/>
  <c r="N35" i="7"/>
  <c r="B152" i="7"/>
  <c r="W173" i="7"/>
  <c r="S173" i="7"/>
  <c r="U172" i="7"/>
  <c r="N92" i="7"/>
  <c r="W155" i="7"/>
  <c r="H155" i="7"/>
  <c r="H185" i="7"/>
  <c r="B173" i="7"/>
  <c r="N19" i="7"/>
  <c r="L172" i="7"/>
  <c r="W143" i="7"/>
  <c r="N97" i="7"/>
  <c r="N73" i="7"/>
  <c r="B165" i="7"/>
  <c r="N109" i="7"/>
  <c r="C189" i="7"/>
  <c r="B158" i="7"/>
  <c r="N47" i="7"/>
  <c r="N49" i="7"/>
  <c r="D159" i="7"/>
  <c r="C160" i="7"/>
  <c r="N27" i="7"/>
  <c r="B148" i="7"/>
  <c r="N32" i="7"/>
  <c r="C153" i="7"/>
  <c r="N45" i="7"/>
  <c r="N13" i="7"/>
  <c r="J182" i="7"/>
  <c r="L182" i="7"/>
  <c r="L178" i="7"/>
  <c r="H178" i="7"/>
  <c r="H174" i="7"/>
  <c r="L174" i="7"/>
  <c r="J174" i="7"/>
  <c r="L170" i="7"/>
  <c r="J170" i="7"/>
  <c r="H167" i="7"/>
  <c r="L167" i="7"/>
  <c r="L154" i="7"/>
  <c r="W168" i="7"/>
  <c r="S140" i="7"/>
  <c r="J185" i="7"/>
  <c r="J146" i="7"/>
  <c r="N79" i="7"/>
  <c r="W169" i="7"/>
  <c r="L164" i="7"/>
  <c r="W181" i="7"/>
  <c r="J172" i="7"/>
  <c r="W184" i="7"/>
  <c r="U177" i="7"/>
  <c r="J184" i="7"/>
  <c r="C179" i="7"/>
  <c r="D184" i="7"/>
  <c r="B186" i="7"/>
  <c r="D164" i="7"/>
  <c r="B147" i="7"/>
  <c r="D148" i="7"/>
  <c r="C155" i="7"/>
  <c r="D139" i="7"/>
  <c r="W157" i="7"/>
  <c r="L153" i="7"/>
  <c r="B138" i="7"/>
  <c r="C193" i="7"/>
  <c r="H192" i="7"/>
  <c r="D178" i="7"/>
  <c r="D165" i="7"/>
  <c r="L143" i="7"/>
  <c r="W180" i="7"/>
  <c r="J181" i="7"/>
  <c r="C164" i="7"/>
  <c r="J168" i="7"/>
  <c r="H168" i="7"/>
  <c r="J157" i="7"/>
  <c r="W146" i="7"/>
  <c r="H164" i="7"/>
  <c r="J173" i="7"/>
  <c r="D177" i="7"/>
  <c r="W154" i="7"/>
  <c r="D170" i="7"/>
  <c r="N78" i="7"/>
  <c r="C157" i="7"/>
  <c r="B161" i="7"/>
  <c r="D152" i="7"/>
  <c r="B154" i="7"/>
  <c r="H191" i="7"/>
  <c r="N118" i="7"/>
  <c r="D179" i="7"/>
  <c r="C184" i="7"/>
  <c r="W139" i="7"/>
  <c r="W193" i="7"/>
  <c r="L146" i="7"/>
  <c r="L192" i="7"/>
  <c r="N82" i="7"/>
  <c r="C186" i="7"/>
  <c r="H188" i="7"/>
  <c r="J193" i="7"/>
  <c r="J188" i="7"/>
  <c r="N63" i="7"/>
  <c r="C167" i="7"/>
  <c r="C171" i="7"/>
  <c r="B179" i="7"/>
  <c r="C183" i="7"/>
  <c r="N112" i="7"/>
  <c r="C165" i="7"/>
  <c r="D157" i="7"/>
  <c r="C159" i="7"/>
  <c r="C161" i="7"/>
  <c r="C149" i="7"/>
  <c r="J179" i="7"/>
  <c r="J163" i="7"/>
  <c r="W159" i="7"/>
  <c r="S74" i="30"/>
  <c r="N8" i="30"/>
  <c r="B81" i="30"/>
  <c r="B74" i="30"/>
  <c r="J74" i="30"/>
  <c r="H76" i="30"/>
  <c r="C74" i="30"/>
  <c r="C78" i="30"/>
  <c r="L79" i="30"/>
  <c r="D74" i="30"/>
  <c r="C88" i="30"/>
  <c r="J82" i="30"/>
  <c r="B82" i="30"/>
  <c r="N30" i="30"/>
  <c r="C87" i="30"/>
  <c r="N7" i="30"/>
  <c r="H74" i="30"/>
  <c r="N12" i="30"/>
  <c r="L74" i="30"/>
  <c r="B78" i="30"/>
  <c r="S75" i="30"/>
  <c r="W75" i="30" s="1"/>
  <c r="W182" i="5"/>
  <c r="D185" i="5"/>
  <c r="B193" i="5"/>
  <c r="S155" i="5"/>
  <c r="L152" i="5"/>
  <c r="U182" i="5"/>
  <c r="C186" i="5"/>
  <c r="B150" i="5"/>
  <c r="S141" i="5"/>
  <c r="N63" i="5"/>
  <c r="L140" i="5"/>
  <c r="H174" i="5"/>
  <c r="L161" i="5"/>
  <c r="W145" i="5"/>
  <c r="J189" i="5"/>
  <c r="H163" i="5"/>
  <c r="N163" i="5" s="1"/>
  <c r="W190" i="5"/>
  <c r="B191" i="5"/>
  <c r="N45" i="5"/>
  <c r="C160" i="5"/>
  <c r="J155" i="5"/>
  <c r="N155" i="5" s="1"/>
  <c r="W180" i="5"/>
  <c r="W177" i="5"/>
  <c r="T193" i="5"/>
  <c r="N119" i="5"/>
  <c r="S171" i="5"/>
  <c r="W141" i="5"/>
  <c r="B152" i="5"/>
  <c r="L168" i="5"/>
  <c r="J164" i="5"/>
  <c r="T141" i="5"/>
  <c r="N46" i="5"/>
  <c r="B163" i="5"/>
  <c r="C180" i="5"/>
  <c r="N23" i="5"/>
  <c r="J168" i="5"/>
  <c r="W164" i="5"/>
  <c r="N105" i="5"/>
  <c r="N39" i="5"/>
  <c r="H152" i="5"/>
  <c r="B182" i="5"/>
  <c r="W186" i="5"/>
  <c r="H186" i="5"/>
  <c r="T175" i="5"/>
  <c r="J158" i="5"/>
  <c r="B166" i="5"/>
  <c r="E166" i="5" s="1"/>
  <c r="J162" i="5"/>
  <c r="B149" i="5"/>
  <c r="C182" i="5"/>
  <c r="H145" i="5"/>
  <c r="N37" i="5"/>
  <c r="J181" i="5"/>
  <c r="L160" i="5"/>
  <c r="W161" i="5"/>
  <c r="W188" i="5"/>
  <c r="H159" i="5"/>
  <c r="T171" i="5"/>
  <c r="N86" i="5"/>
  <c r="N81" i="5"/>
  <c r="N85" i="5"/>
  <c r="N38" i="5"/>
  <c r="B161" i="5"/>
  <c r="D145" i="5"/>
  <c r="N22" i="5"/>
  <c r="J154" i="5"/>
  <c r="H150" i="5"/>
  <c r="W183" i="5"/>
  <c r="U183" i="5"/>
  <c r="H156" i="5"/>
  <c r="L183" i="5"/>
  <c r="L156" i="5"/>
  <c r="T170" i="5"/>
  <c r="H141" i="5"/>
  <c r="C171" i="5"/>
  <c r="H171" i="5"/>
  <c r="H164" i="5"/>
  <c r="J183" i="5"/>
  <c r="L193" i="5"/>
  <c r="J156" i="5"/>
  <c r="W162" i="5"/>
  <c r="J141" i="5"/>
  <c r="T183" i="5"/>
  <c r="J144" i="5"/>
  <c r="H184" i="5"/>
  <c r="W184" i="5"/>
  <c r="N114" i="5"/>
  <c r="H185" i="5"/>
  <c r="W160" i="5"/>
  <c r="J143" i="5"/>
  <c r="T186" i="5"/>
  <c r="W156" i="5"/>
  <c r="B172" i="5"/>
  <c r="C175" i="5"/>
  <c r="N82" i="5"/>
  <c r="B184" i="5"/>
  <c r="B188" i="5"/>
  <c r="N108" i="5"/>
  <c r="B158" i="5"/>
  <c r="D159" i="5"/>
  <c r="N8" i="5"/>
  <c r="C141" i="5"/>
  <c r="D142" i="5"/>
  <c r="B146" i="5"/>
  <c r="D147" i="5"/>
  <c r="C152" i="5"/>
  <c r="W140" i="5"/>
  <c r="W165" i="5"/>
  <c r="W193" i="5"/>
  <c r="J193" i="5"/>
  <c r="H162" i="5"/>
  <c r="L184" i="5"/>
  <c r="J175" i="5"/>
  <c r="W148" i="5"/>
  <c r="B181" i="5"/>
  <c r="S186" i="5"/>
  <c r="U175" i="5"/>
  <c r="W171" i="5"/>
  <c r="N110" i="5"/>
  <c r="S185" i="5"/>
  <c r="U171" i="5"/>
  <c r="N107" i="5"/>
  <c r="C189" i="5"/>
  <c r="B140" i="5"/>
  <c r="D144" i="5"/>
  <c r="N31" i="5"/>
  <c r="W139" i="5"/>
  <c r="W90" i="28"/>
  <c r="C96" i="28"/>
  <c r="B90" i="28"/>
  <c r="W94" i="28"/>
  <c r="N62" i="28"/>
  <c r="D89" i="28"/>
  <c r="N27" i="28"/>
  <c r="N35" i="28"/>
  <c r="H93" i="28"/>
  <c r="H106" i="28"/>
  <c r="D86" i="28"/>
  <c r="H104" i="28"/>
  <c r="W86" i="28"/>
  <c r="W98" i="28"/>
  <c r="B177" i="2"/>
  <c r="D181" i="2"/>
  <c r="C183" i="2"/>
  <c r="N10" i="2"/>
  <c r="W149" i="2"/>
  <c r="W141" i="2"/>
  <c r="N58" i="2"/>
  <c r="N188" i="2"/>
  <c r="W165" i="2"/>
  <c r="W145" i="2"/>
  <c r="N163" i="2"/>
  <c r="C167" i="2"/>
  <c r="N93" i="2"/>
  <c r="D189" i="2"/>
  <c r="N189" i="2"/>
  <c r="C191" i="2"/>
  <c r="C163" i="2"/>
  <c r="W164" i="2"/>
  <c r="W160" i="2"/>
  <c r="W156" i="2"/>
  <c r="W152" i="2"/>
  <c r="N140" i="2"/>
  <c r="N179" i="2"/>
  <c r="S138" i="2"/>
  <c r="D187" i="2"/>
  <c r="B193" i="2"/>
  <c r="D138" i="2"/>
  <c r="B171" i="2"/>
  <c r="D175" i="2"/>
  <c r="C178" i="2"/>
  <c r="B180" i="2"/>
  <c r="D191" i="2"/>
  <c r="B166" i="2"/>
  <c r="B158" i="2"/>
  <c r="D144" i="2"/>
  <c r="D148" i="2"/>
  <c r="B192" i="2"/>
  <c r="N176" i="2"/>
  <c r="B167" i="2"/>
  <c r="B140" i="2"/>
  <c r="B144" i="2"/>
  <c r="N26" i="2"/>
  <c r="B152" i="2"/>
  <c r="D153" i="2"/>
  <c r="N39" i="2"/>
  <c r="W161" i="2"/>
  <c r="W157" i="2"/>
  <c r="W153" i="2"/>
  <c r="W190" i="2"/>
  <c r="W186" i="2"/>
  <c r="W174" i="2"/>
  <c r="W170" i="2"/>
  <c r="N143" i="2"/>
  <c r="N7" i="2"/>
  <c r="N190" i="2"/>
  <c r="N185" i="2"/>
  <c r="N60" i="2"/>
  <c r="H138" i="2"/>
  <c r="D190" i="2"/>
  <c r="N53" i="2"/>
  <c r="N16" i="2"/>
  <c r="U138" i="2"/>
  <c r="N69" i="2"/>
  <c r="N79" i="2"/>
  <c r="C186" i="2"/>
  <c r="B187" i="2"/>
  <c r="B146" i="2"/>
  <c r="W163" i="2"/>
  <c r="D186" i="2"/>
  <c r="C187" i="2"/>
  <c r="D163" i="2"/>
  <c r="N144" i="2"/>
  <c r="N112" i="2"/>
  <c r="N17" i="2"/>
  <c r="B138" i="2"/>
  <c r="N191" i="2"/>
  <c r="N15" i="2"/>
  <c r="N139" i="2"/>
  <c r="C170" i="2"/>
  <c r="C171" i="2"/>
  <c r="B172" i="2"/>
  <c r="D177" i="2"/>
  <c r="D178" i="2"/>
  <c r="N89" i="2"/>
  <c r="B181" i="2"/>
  <c r="N182" i="2"/>
  <c r="C164" i="2"/>
  <c r="D143" i="2"/>
  <c r="B148" i="2"/>
  <c r="N181" i="2"/>
  <c r="D167" i="2"/>
  <c r="W193" i="2"/>
  <c r="N180" i="2"/>
  <c r="N178" i="2"/>
  <c r="B168" i="2"/>
  <c r="D174" i="2"/>
  <c r="N85" i="2"/>
  <c r="N102" i="2"/>
  <c r="N105" i="2"/>
  <c r="N107" i="2"/>
  <c r="W189" i="2"/>
  <c r="W181" i="2"/>
  <c r="W177" i="2"/>
  <c r="N142" i="2"/>
  <c r="N175" i="2"/>
  <c r="C138" i="2"/>
  <c r="W192" i="2"/>
  <c r="N193" i="2"/>
  <c r="N34" i="2"/>
  <c r="C168" i="2"/>
  <c r="N86" i="2"/>
  <c r="C155" i="2"/>
  <c r="N45" i="2"/>
  <c r="N90" i="2"/>
  <c r="N64" i="2"/>
  <c r="N78" i="2"/>
  <c r="N48" i="2"/>
  <c r="C160" i="2"/>
  <c r="B162" i="2"/>
  <c r="N9" i="2"/>
  <c r="N11" i="2"/>
  <c r="C144" i="2"/>
  <c r="N24" i="2"/>
  <c r="C148" i="2"/>
  <c r="N38" i="2"/>
  <c r="W188" i="2"/>
  <c r="W176" i="2"/>
  <c r="W172" i="2"/>
  <c r="C192" i="2"/>
  <c r="C188" i="2"/>
  <c r="N62" i="2"/>
  <c r="N41" i="2"/>
  <c r="C162" i="2"/>
  <c r="B141" i="2"/>
  <c r="D142" i="2"/>
  <c r="B143" i="2"/>
  <c r="C146" i="2"/>
  <c r="N25" i="2"/>
  <c r="C154" i="2"/>
  <c r="B139" i="2"/>
  <c r="S192" i="2"/>
  <c r="N28" i="2"/>
  <c r="B170" i="2"/>
  <c r="N92" i="2"/>
  <c r="N44" i="2"/>
  <c r="N67" i="2"/>
  <c r="D170" i="2"/>
  <c r="C172" i="2"/>
  <c r="B189" i="2"/>
  <c r="C156" i="2"/>
  <c r="W146" i="2"/>
  <c r="N149" i="2"/>
  <c r="N164" i="2"/>
  <c r="N155" i="2"/>
  <c r="N171" i="2"/>
  <c r="N183" i="2"/>
  <c r="N96" i="2"/>
  <c r="C179" i="2"/>
  <c r="W167" i="2"/>
  <c r="N169" i="2"/>
  <c r="N108" i="2"/>
  <c r="N12" i="2"/>
  <c r="W180" i="2"/>
  <c r="T192" i="2"/>
  <c r="C175" i="2"/>
  <c r="N87" i="2"/>
  <c r="N113" i="2"/>
  <c r="N63" i="2"/>
  <c r="N52" i="2"/>
  <c r="W166" i="2"/>
  <c r="N165" i="2"/>
  <c r="H192" i="2"/>
  <c r="B155" i="2"/>
  <c r="C189" i="2"/>
  <c r="W175" i="2"/>
  <c r="J138" i="2"/>
  <c r="N19" i="2"/>
  <c r="N83" i="2"/>
  <c r="N100" i="2"/>
  <c r="D141" i="2"/>
  <c r="C143" i="2"/>
  <c r="D152" i="2"/>
  <c r="N150" i="2"/>
  <c r="N161" i="2"/>
  <c r="C176" i="2"/>
  <c r="C174" i="2"/>
  <c r="N84" i="2"/>
  <c r="D188" i="2"/>
  <c r="W171" i="2"/>
  <c r="J192" i="2"/>
  <c r="N97" i="2"/>
  <c r="C161" i="2"/>
  <c r="C169" i="2"/>
  <c r="E169" i="2" s="1"/>
  <c r="N174" i="2"/>
  <c r="D176" i="2"/>
  <c r="B156" i="2"/>
  <c r="D161" i="2"/>
  <c r="D139" i="2"/>
  <c r="B142" i="2"/>
  <c r="C147" i="2"/>
  <c r="D149" i="2"/>
  <c r="W168" i="2"/>
  <c r="N141" i="2"/>
  <c r="N187" i="2"/>
  <c r="C198" i="1"/>
  <c r="D185" i="1"/>
  <c r="C186" i="1"/>
  <c r="D188" i="1"/>
  <c r="H146" i="1"/>
  <c r="W168" i="1"/>
  <c r="U146" i="1"/>
  <c r="S147" i="1"/>
  <c r="N44" i="1"/>
  <c r="C155" i="1"/>
  <c r="N23" i="1"/>
  <c r="B147" i="1"/>
  <c r="N11" i="1"/>
  <c r="N38" i="1"/>
  <c r="N120" i="1"/>
  <c r="S163" i="1"/>
  <c r="W174" i="1"/>
  <c r="U173" i="1"/>
  <c r="D175" i="1"/>
  <c r="D189" i="1"/>
  <c r="H145" i="1"/>
  <c r="H148" i="1"/>
  <c r="U151" i="1"/>
  <c r="U167" i="1"/>
  <c r="T147" i="1"/>
  <c r="S174" i="1"/>
  <c r="B168" i="1"/>
  <c r="N46" i="1"/>
  <c r="N55" i="1"/>
  <c r="L163" i="1"/>
  <c r="H159" i="1"/>
  <c r="H185" i="1"/>
  <c r="T157" i="1"/>
  <c r="N93" i="1"/>
  <c r="N69" i="1"/>
  <c r="C158" i="1"/>
  <c r="N13" i="1"/>
  <c r="B145" i="1"/>
  <c r="H98" i="34"/>
  <c r="J98" i="34"/>
  <c r="L98" i="34"/>
  <c r="J165" i="17"/>
  <c r="H165" i="17"/>
  <c r="N32" i="25"/>
  <c r="B150" i="25"/>
  <c r="B164" i="25"/>
  <c r="N60" i="25"/>
  <c r="U171" i="21"/>
  <c r="S171" i="21"/>
  <c r="T171" i="21"/>
  <c r="W149" i="16"/>
  <c r="W168" i="21"/>
  <c r="B181" i="18"/>
  <c r="E181" i="18" s="1"/>
  <c r="B168" i="25"/>
  <c r="J146" i="24"/>
  <c r="H146" i="24"/>
  <c r="E115" i="35"/>
  <c r="D182" i="21"/>
  <c r="B153" i="18"/>
  <c r="L129" i="26"/>
  <c r="N48" i="24"/>
  <c r="B177" i="5"/>
  <c r="N84" i="5"/>
  <c r="C207" i="13"/>
  <c r="N124" i="13"/>
  <c r="C174" i="13"/>
  <c r="N53" i="13"/>
  <c r="J107" i="36"/>
  <c r="N31" i="10"/>
  <c r="N20" i="10"/>
  <c r="N15" i="10"/>
  <c r="T197" i="10"/>
  <c r="N99" i="22"/>
  <c r="B140" i="21"/>
  <c r="J163" i="21"/>
  <c r="H164" i="21"/>
  <c r="W181" i="18"/>
  <c r="W195" i="14"/>
  <c r="N109" i="14"/>
  <c r="J129" i="26"/>
  <c r="N56" i="25"/>
  <c r="U159" i="25"/>
  <c r="C190" i="7"/>
  <c r="U187" i="15"/>
  <c r="S187" i="15"/>
  <c r="D187" i="15"/>
  <c r="T187" i="15"/>
  <c r="J187" i="15"/>
  <c r="H187" i="15"/>
  <c r="C187" i="15"/>
  <c r="L187" i="15"/>
  <c r="N95" i="15"/>
  <c r="D197" i="15"/>
  <c r="T200" i="15"/>
  <c r="U200" i="15"/>
  <c r="S200" i="15"/>
  <c r="N78" i="5"/>
  <c r="C174" i="5"/>
  <c r="D187" i="5"/>
  <c r="D146" i="5"/>
  <c r="N21" i="5"/>
  <c r="D149" i="5"/>
  <c r="H192" i="5"/>
  <c r="L192" i="5"/>
  <c r="C154" i="7"/>
  <c r="N39" i="7"/>
  <c r="N42" i="7"/>
  <c r="B155" i="7"/>
  <c r="J175" i="7"/>
  <c r="W175" i="7"/>
  <c r="B169" i="15"/>
  <c r="N35" i="15"/>
  <c r="J166" i="14"/>
  <c r="L166" i="14"/>
  <c r="H166" i="14"/>
  <c r="N11" i="30"/>
  <c r="B76" i="30"/>
  <c r="U153" i="19"/>
  <c r="T153" i="19"/>
  <c r="C153" i="19"/>
  <c r="J167" i="17"/>
  <c r="H167" i="17"/>
  <c r="N30" i="25"/>
  <c r="B149" i="25"/>
  <c r="N50" i="24"/>
  <c r="C159" i="24"/>
  <c r="H167" i="25"/>
  <c r="H187" i="13"/>
  <c r="J187" i="13"/>
  <c r="D187" i="13"/>
  <c r="T187" i="13"/>
  <c r="W179" i="5"/>
  <c r="U179" i="5"/>
  <c r="J179" i="5"/>
  <c r="T179" i="5"/>
  <c r="S179" i="5"/>
  <c r="J106" i="37"/>
  <c r="L106" i="37"/>
  <c r="C198" i="9"/>
  <c r="D198" i="9"/>
  <c r="J198" i="9"/>
  <c r="H198" i="9"/>
  <c r="U198" i="9"/>
  <c r="L198" i="9"/>
  <c r="L159" i="17"/>
  <c r="J159" i="17"/>
  <c r="L161" i="17"/>
  <c r="H161" i="17"/>
  <c r="N57" i="17"/>
  <c r="B163" i="17"/>
  <c r="L146" i="25"/>
  <c r="D146" i="25"/>
  <c r="C146" i="25"/>
  <c r="U146" i="25"/>
  <c r="T146" i="25"/>
  <c r="S146" i="25"/>
  <c r="B177" i="21"/>
  <c r="U182" i="21"/>
  <c r="B198" i="9"/>
  <c r="L187" i="13"/>
  <c r="L167" i="17"/>
  <c r="J160" i="25"/>
  <c r="T178" i="5"/>
  <c r="S178" i="5"/>
  <c r="H178" i="5"/>
  <c r="D178" i="5"/>
  <c r="W178" i="5"/>
  <c r="D206" i="13"/>
  <c r="L86" i="30"/>
  <c r="H86" i="30"/>
  <c r="N101" i="9"/>
  <c r="B197" i="9"/>
  <c r="B156" i="17"/>
  <c r="N41" i="17"/>
  <c r="J135" i="26"/>
  <c r="L135" i="26"/>
  <c r="J145" i="24"/>
  <c r="H145" i="24"/>
  <c r="H158" i="24"/>
  <c r="L158" i="24"/>
  <c r="J158" i="24"/>
  <c r="W115" i="35"/>
  <c r="T160" i="12"/>
  <c r="N107" i="7"/>
  <c r="D179" i="5"/>
  <c r="T187" i="5"/>
  <c r="S187" i="5"/>
  <c r="C206" i="13"/>
  <c r="N54" i="11"/>
  <c r="B165" i="11"/>
  <c r="D181" i="11"/>
  <c r="N85" i="11"/>
  <c r="N30" i="9"/>
  <c r="C164" i="9"/>
  <c r="H165" i="21"/>
  <c r="L165" i="21"/>
  <c r="H107" i="36"/>
  <c r="N29" i="10"/>
  <c r="B186" i="10"/>
  <c r="N66" i="2"/>
  <c r="N81" i="2"/>
  <c r="N124" i="35"/>
  <c r="B161" i="16"/>
  <c r="W146" i="16"/>
  <c r="N90" i="21"/>
  <c r="L163" i="21"/>
  <c r="B171" i="21"/>
  <c r="C182" i="21"/>
  <c r="L182" i="21"/>
  <c r="N76" i="21"/>
  <c r="U153" i="18"/>
  <c r="J189" i="18"/>
  <c r="D153" i="18"/>
  <c r="N149" i="14"/>
  <c r="C188" i="5"/>
  <c r="N86" i="13"/>
  <c r="N119" i="22"/>
  <c r="W142" i="21"/>
  <c r="B165" i="17"/>
  <c r="N143" i="24"/>
  <c r="B177" i="14"/>
  <c r="N77" i="15"/>
  <c r="C188" i="15"/>
  <c r="B192" i="15"/>
  <c r="D196" i="15"/>
  <c r="B124" i="6"/>
  <c r="U170" i="5"/>
  <c r="W170" i="5"/>
  <c r="L170" i="5"/>
  <c r="S170" i="5"/>
  <c r="H170" i="5"/>
  <c r="D173" i="5"/>
  <c r="N79" i="5"/>
  <c r="B178" i="2"/>
  <c r="N106" i="3"/>
  <c r="H156" i="3"/>
  <c r="W156" i="3"/>
  <c r="N48" i="5"/>
  <c r="B159" i="5"/>
  <c r="T149" i="5"/>
  <c r="S149" i="5"/>
  <c r="U149" i="5"/>
  <c r="D161" i="7"/>
  <c r="N54" i="7"/>
  <c r="C163" i="7"/>
  <c r="N57" i="7"/>
  <c r="D151" i="7"/>
  <c r="N34" i="7"/>
  <c r="B174" i="15"/>
  <c r="N47" i="15"/>
  <c r="N44" i="15"/>
  <c r="D173" i="15"/>
  <c r="B170" i="15"/>
  <c r="N37" i="15"/>
  <c r="H174" i="15"/>
  <c r="L174" i="15"/>
  <c r="J174" i="15"/>
  <c r="L170" i="15"/>
  <c r="H170" i="15"/>
  <c r="J170" i="15"/>
  <c r="L167" i="15"/>
  <c r="J167" i="15"/>
  <c r="H163" i="15"/>
  <c r="J163" i="15"/>
  <c r="L189" i="14"/>
  <c r="J185" i="14"/>
  <c r="N185" i="14" s="1"/>
  <c r="J181" i="14"/>
  <c r="H181" i="14"/>
  <c r="L173" i="14"/>
  <c r="H173" i="14"/>
  <c r="J169" i="14"/>
  <c r="H162" i="14"/>
  <c r="N11" i="31"/>
  <c r="C77" i="31"/>
  <c r="U166" i="17"/>
  <c r="S166" i="17"/>
  <c r="B166" i="17"/>
  <c r="H166" i="17"/>
  <c r="J190" i="24"/>
  <c r="H190" i="24"/>
  <c r="H160" i="25"/>
  <c r="H206" i="13"/>
  <c r="J206" i="13"/>
  <c r="T206" i="13"/>
  <c r="S206" i="13"/>
  <c r="B142" i="12"/>
  <c r="N12" i="12"/>
  <c r="L160" i="12"/>
  <c r="J160" i="12"/>
  <c r="H160" i="12"/>
  <c r="U160" i="12"/>
  <c r="B160" i="12"/>
  <c r="D160" i="12"/>
  <c r="D163" i="12"/>
  <c r="N54" i="12"/>
  <c r="L199" i="9"/>
  <c r="H199" i="9"/>
  <c r="C185" i="19"/>
  <c r="N87" i="19"/>
  <c r="D183" i="18"/>
  <c r="U183" i="18"/>
  <c r="S183" i="18"/>
  <c r="H183" i="18"/>
  <c r="L160" i="17"/>
  <c r="J160" i="17"/>
  <c r="H134" i="26"/>
  <c r="J134" i="26"/>
  <c r="J147" i="25"/>
  <c r="H147" i="25"/>
  <c r="L187" i="24"/>
  <c r="J187" i="24"/>
  <c r="M8" i="35"/>
  <c r="D114" i="35" s="1"/>
  <c r="W148" i="16"/>
  <c r="D171" i="21"/>
  <c r="N177" i="14"/>
  <c r="B187" i="13"/>
  <c r="D188" i="13"/>
  <c r="N84" i="13"/>
  <c r="C176" i="5"/>
  <c r="N83" i="5"/>
  <c r="N42" i="34"/>
  <c r="C94" i="34"/>
  <c r="D166" i="9"/>
  <c r="N33" i="9"/>
  <c r="B188" i="9"/>
  <c r="N80" i="9"/>
  <c r="B155" i="17"/>
  <c r="N39" i="17"/>
  <c r="C133" i="26"/>
  <c r="N34" i="26"/>
  <c r="C142" i="24"/>
  <c r="N16" i="24"/>
  <c r="C145" i="24"/>
  <c r="N22" i="24"/>
  <c r="H148" i="24"/>
  <c r="J148" i="24"/>
  <c r="N105" i="24"/>
  <c r="B186" i="24"/>
  <c r="S153" i="18"/>
  <c r="W177" i="14"/>
  <c r="L153" i="19"/>
  <c r="H155" i="19"/>
  <c r="J183" i="11"/>
  <c r="L183" i="11"/>
  <c r="J163" i="9"/>
  <c r="L163" i="9"/>
  <c r="H163" i="9"/>
  <c r="H196" i="19"/>
  <c r="L196" i="19"/>
  <c r="J196" i="19"/>
  <c r="D161" i="23"/>
  <c r="N47" i="23"/>
  <c r="N14" i="13"/>
  <c r="C158" i="13"/>
  <c r="J192" i="25"/>
  <c r="L192" i="25"/>
  <c r="B202" i="10"/>
  <c r="J169" i="10"/>
  <c r="C202" i="10"/>
  <c r="S202" i="10"/>
  <c r="S197" i="10"/>
  <c r="W120" i="35"/>
  <c r="D183" i="22"/>
  <c r="C173" i="21"/>
  <c r="J182" i="21"/>
  <c r="N92" i="21"/>
  <c r="L182" i="18"/>
  <c r="H165" i="18"/>
  <c r="L153" i="18"/>
  <c r="L181" i="18"/>
  <c r="N115" i="14"/>
  <c r="U187" i="5"/>
  <c r="H80" i="30"/>
  <c r="S198" i="9"/>
  <c r="L130" i="26"/>
  <c r="L166" i="17"/>
  <c r="N101" i="8"/>
  <c r="B183" i="11"/>
  <c r="E183" i="11" s="1"/>
  <c r="J165" i="21"/>
  <c r="N72" i="19"/>
  <c r="J152" i="17"/>
  <c r="H152" i="17"/>
  <c r="C166" i="17"/>
  <c r="L153" i="17"/>
  <c r="H153" i="17"/>
  <c r="T165" i="17"/>
  <c r="J148" i="17"/>
  <c r="H148" i="17"/>
  <c r="L148" i="17"/>
  <c r="J154" i="25"/>
  <c r="L154" i="25"/>
  <c r="H154" i="25"/>
  <c r="H189" i="24"/>
  <c r="N74" i="14"/>
  <c r="C173" i="14"/>
  <c r="N80" i="2"/>
  <c r="N115" i="13"/>
  <c r="N124" i="15"/>
  <c r="B209" i="15"/>
  <c r="S170" i="1"/>
  <c r="H170" i="1"/>
  <c r="B170" i="1"/>
  <c r="N51" i="2"/>
  <c r="C151" i="2"/>
  <c r="N32" i="2"/>
  <c r="C160" i="3"/>
  <c r="N36" i="3"/>
  <c r="W191" i="5"/>
  <c r="J191" i="5"/>
  <c r="L191" i="5"/>
  <c r="H191" i="5"/>
  <c r="W187" i="5"/>
  <c r="H187" i="5"/>
  <c r="J187" i="5"/>
  <c r="N30" i="7"/>
  <c r="B149" i="7"/>
  <c r="N11" i="7"/>
  <c r="B140" i="7"/>
  <c r="J178" i="7"/>
  <c r="W178" i="7"/>
  <c r="B173" i="8"/>
  <c r="E173" i="8" s="1"/>
  <c r="N60" i="8"/>
  <c r="N28" i="8"/>
  <c r="B159" i="8"/>
  <c r="D160" i="8"/>
  <c r="N31" i="8"/>
  <c r="N60" i="15"/>
  <c r="N8" i="15"/>
  <c r="C157" i="15"/>
  <c r="L207" i="15"/>
  <c r="H207" i="15"/>
  <c r="H203" i="15"/>
  <c r="J203" i="15"/>
  <c r="C150" i="14"/>
  <c r="N26" i="14"/>
  <c r="D148" i="14"/>
  <c r="N23" i="14"/>
  <c r="C146" i="14"/>
  <c r="E146" i="14" s="1"/>
  <c r="N18" i="14"/>
  <c r="C143" i="14"/>
  <c r="N10" i="14"/>
  <c r="N147" i="2"/>
  <c r="N64" i="13"/>
  <c r="C180" i="13"/>
  <c r="H169" i="12"/>
  <c r="T169" i="12"/>
  <c r="L169" i="12"/>
  <c r="J169" i="12"/>
  <c r="D169" i="12"/>
  <c r="C159" i="25"/>
  <c r="H159" i="25"/>
  <c r="T159" i="25"/>
  <c r="L159" i="25"/>
  <c r="J159" i="25"/>
  <c r="S159" i="25"/>
  <c r="U167" i="25"/>
  <c r="T167" i="25"/>
  <c r="S167" i="25"/>
  <c r="D167" i="25"/>
  <c r="L167" i="25"/>
  <c r="H172" i="17"/>
  <c r="D159" i="25"/>
  <c r="C168" i="7"/>
  <c r="L120" i="15"/>
  <c r="C208" i="15" s="1"/>
  <c r="B208" i="15"/>
  <c r="N102" i="9"/>
  <c r="C197" i="9"/>
  <c r="N8" i="21"/>
  <c r="B138" i="21"/>
  <c r="T177" i="21"/>
  <c r="U177" i="21"/>
  <c r="L177" i="21"/>
  <c r="J177" i="21"/>
  <c r="D148" i="25"/>
  <c r="N28" i="25"/>
  <c r="N56" i="2"/>
  <c r="J179" i="21"/>
  <c r="N90" i="18"/>
  <c r="N151" i="14"/>
  <c r="D157" i="19"/>
  <c r="W182" i="22"/>
  <c r="L155" i="19"/>
  <c r="L172" i="17"/>
  <c r="J167" i="25"/>
  <c r="N118" i="13"/>
  <c r="C204" i="13"/>
  <c r="H188" i="9"/>
  <c r="J188" i="9"/>
  <c r="L156" i="17"/>
  <c r="H156" i="17"/>
  <c r="J156" i="17"/>
  <c r="L147" i="24"/>
  <c r="J147" i="24"/>
  <c r="H147" i="24"/>
  <c r="N109" i="2"/>
  <c r="N8" i="18"/>
  <c r="N122" i="15"/>
  <c r="B146" i="25"/>
  <c r="N172" i="2"/>
  <c r="N78" i="13"/>
  <c r="N25" i="9"/>
  <c r="C162" i="9"/>
  <c r="N47" i="18"/>
  <c r="C163" i="18"/>
  <c r="H187" i="23"/>
  <c r="L187" i="23"/>
  <c r="J187" i="23"/>
  <c r="D177" i="13"/>
  <c r="N58" i="13"/>
  <c r="J216" i="10"/>
  <c r="H216" i="10"/>
  <c r="J129" i="36"/>
  <c r="L129" i="36"/>
  <c r="H129" i="36"/>
  <c r="H169" i="10"/>
  <c r="N62" i="10"/>
  <c r="J202" i="10"/>
  <c r="D169" i="7"/>
  <c r="W140" i="16"/>
  <c r="S182" i="21"/>
  <c r="H182" i="21"/>
  <c r="N71" i="21"/>
  <c r="L171" i="21"/>
  <c r="T153" i="18"/>
  <c r="E144" i="14"/>
  <c r="L187" i="5"/>
  <c r="N61" i="13"/>
  <c r="T198" i="9"/>
  <c r="W186" i="9"/>
  <c r="L188" i="9"/>
  <c r="B135" i="26"/>
  <c r="S160" i="12"/>
  <c r="N192" i="11"/>
  <c r="N190" i="11"/>
  <c r="T182" i="21"/>
  <c r="T166" i="17"/>
  <c r="D166" i="17"/>
  <c r="J189" i="24"/>
  <c r="N110" i="24"/>
  <c r="H193" i="23"/>
  <c r="N193" i="23" s="1"/>
  <c r="D168" i="2"/>
  <c r="C195" i="13"/>
  <c r="S199" i="13"/>
  <c r="T199" i="13"/>
  <c r="U199" i="13"/>
  <c r="H199" i="13"/>
  <c r="N73" i="14"/>
  <c r="N75" i="14"/>
  <c r="N77" i="14"/>
  <c r="T176" i="14"/>
  <c r="S176" i="14"/>
  <c r="H176" i="14"/>
  <c r="N89" i="14"/>
  <c r="U183" i="14"/>
  <c r="W183" i="14" s="1"/>
  <c r="H183" i="14"/>
  <c r="J183" i="14"/>
  <c r="N76" i="2"/>
  <c r="B173" i="2"/>
  <c r="D193" i="14"/>
  <c r="N114" i="14"/>
  <c r="D194" i="14"/>
  <c r="B153" i="1"/>
  <c r="N24" i="1"/>
  <c r="D155" i="2"/>
  <c r="N40" i="2"/>
  <c r="N14" i="2"/>
  <c r="N30" i="2"/>
  <c r="B150" i="2"/>
  <c r="W173" i="2"/>
  <c r="W169" i="2"/>
  <c r="H196" i="3"/>
  <c r="H149" i="5"/>
  <c r="W146" i="5"/>
  <c r="H146" i="5"/>
  <c r="N146" i="5" s="1"/>
  <c r="H142" i="5"/>
  <c r="L142" i="5"/>
  <c r="W142" i="5"/>
  <c r="J142" i="5"/>
  <c r="N161" i="3"/>
  <c r="W165" i="11"/>
  <c r="H154" i="19"/>
  <c r="J154" i="19"/>
  <c r="W184" i="19"/>
  <c r="N173" i="2"/>
  <c r="N89" i="13"/>
  <c r="C193" i="13"/>
  <c r="N95" i="13"/>
  <c r="D200" i="13"/>
  <c r="C180" i="14"/>
  <c r="N91" i="14"/>
  <c r="D182" i="8"/>
  <c r="C183" i="8"/>
  <c r="N83" i="8"/>
  <c r="N85" i="8"/>
  <c r="N89" i="8"/>
  <c r="C175" i="7"/>
  <c r="N91" i="7"/>
  <c r="C180" i="3"/>
  <c r="N85" i="3"/>
  <c r="B183" i="3"/>
  <c r="N93" i="3"/>
  <c r="N97" i="3"/>
  <c r="B189" i="3"/>
  <c r="B187" i="14"/>
  <c r="N103" i="14"/>
  <c r="N114" i="13"/>
  <c r="N22" i="2"/>
  <c r="L190" i="12"/>
  <c r="J190" i="12"/>
  <c r="N41" i="11"/>
  <c r="C159" i="11"/>
  <c r="E159" i="11" s="1"/>
  <c r="N41" i="9"/>
  <c r="B169" i="9"/>
  <c r="S170" i="9"/>
  <c r="W170" i="9" s="1"/>
  <c r="C170" i="9"/>
  <c r="J171" i="9"/>
  <c r="H171" i="9"/>
  <c r="E154" i="14"/>
  <c r="N172" i="5"/>
  <c r="W176" i="9"/>
  <c r="W154" i="19"/>
  <c r="H145" i="17"/>
  <c r="L145" i="17"/>
  <c r="W181" i="17"/>
  <c r="B190" i="13"/>
  <c r="N88" i="13"/>
  <c r="J197" i="13"/>
  <c r="H197" i="13"/>
  <c r="S197" i="13"/>
  <c r="C173" i="7"/>
  <c r="B174" i="5"/>
  <c r="N81" i="3"/>
  <c r="N82" i="3"/>
  <c r="N95" i="3"/>
  <c r="C195" i="8"/>
  <c r="B194" i="1"/>
  <c r="N114" i="3"/>
  <c r="C191" i="5"/>
  <c r="N20" i="2"/>
  <c r="B145" i="2"/>
  <c r="B153" i="2"/>
  <c r="N36" i="2"/>
  <c r="N37" i="11"/>
  <c r="D157" i="11"/>
  <c r="N69" i="11"/>
  <c r="D173" i="11"/>
  <c r="J174" i="11"/>
  <c r="H174" i="11"/>
  <c r="N84" i="11"/>
  <c r="B180" i="11"/>
  <c r="H181" i="11"/>
  <c r="N181" i="11" s="1"/>
  <c r="B181" i="11"/>
  <c r="S207" i="10"/>
  <c r="J207" i="10"/>
  <c r="N20" i="9"/>
  <c r="C159" i="9"/>
  <c r="W152" i="26"/>
  <c r="L158" i="19"/>
  <c r="J163" i="19"/>
  <c r="L165" i="17"/>
  <c r="C182" i="8"/>
  <c r="W176" i="7"/>
  <c r="N94" i="7"/>
  <c r="N77" i="5"/>
  <c r="T174" i="5"/>
  <c r="W174" i="5"/>
  <c r="B179" i="5"/>
  <c r="N77" i="3"/>
  <c r="N82" i="2"/>
  <c r="B176" i="2"/>
  <c r="N88" i="2"/>
  <c r="N120" i="13"/>
  <c r="B92" i="31"/>
  <c r="N42" i="31"/>
  <c r="B143" i="12"/>
  <c r="W181" i="11"/>
  <c r="H151" i="17"/>
  <c r="J151" i="17"/>
  <c r="N140" i="24"/>
  <c r="N81" i="13"/>
  <c r="N98" i="14"/>
  <c r="B200" i="15"/>
  <c r="B179" i="8"/>
  <c r="W181" i="1"/>
  <c r="N113" i="3"/>
  <c r="N111" i="5"/>
  <c r="D190" i="5"/>
  <c r="U169" i="1"/>
  <c r="S169" i="1"/>
  <c r="T153" i="1"/>
  <c r="S153" i="1"/>
  <c r="U153" i="1"/>
  <c r="N48" i="1"/>
  <c r="N18" i="2"/>
  <c r="B180" i="13"/>
  <c r="N65" i="13"/>
  <c r="B89" i="28"/>
  <c r="N16" i="28"/>
  <c r="N26" i="31"/>
  <c r="L94" i="29"/>
  <c r="H86" i="29"/>
  <c r="N23" i="12"/>
  <c r="N21" i="11"/>
  <c r="B149" i="11"/>
  <c r="W186" i="18"/>
  <c r="W147" i="17"/>
  <c r="W143" i="26"/>
  <c r="W169" i="25"/>
  <c r="B181" i="14"/>
  <c r="D194" i="15"/>
  <c r="C197" i="15"/>
  <c r="N79" i="8"/>
  <c r="B186" i="8"/>
  <c r="D182" i="7"/>
  <c r="D181" i="5"/>
  <c r="D182" i="5"/>
  <c r="N96" i="5"/>
  <c r="N70" i="3"/>
  <c r="N73" i="3"/>
  <c r="C177" i="3"/>
  <c r="E177" i="3" s="1"/>
  <c r="T179" i="3"/>
  <c r="N88" i="3"/>
  <c r="N101" i="1"/>
  <c r="N105" i="1"/>
  <c r="N186" i="2"/>
  <c r="N105" i="7"/>
  <c r="C196" i="3"/>
  <c r="C200" i="8"/>
  <c r="D191" i="5"/>
  <c r="N119" i="13"/>
  <c r="B163" i="1"/>
  <c r="C159" i="2"/>
  <c r="B158" i="3"/>
  <c r="D159" i="3"/>
  <c r="N51" i="3"/>
  <c r="J151" i="1"/>
  <c r="L203" i="15"/>
  <c r="N151" i="2"/>
  <c r="S185" i="9"/>
  <c r="L191" i="9"/>
  <c r="N98" i="9"/>
  <c r="B195" i="9"/>
  <c r="C156" i="21"/>
  <c r="N44" i="21"/>
  <c r="N40" i="16"/>
  <c r="W170" i="11"/>
  <c r="W164" i="9"/>
  <c r="W156" i="25"/>
  <c r="N110" i="13"/>
  <c r="C192" i="13"/>
  <c r="B180" i="14"/>
  <c r="D183" i="15"/>
  <c r="N72" i="8"/>
  <c r="D186" i="8"/>
  <c r="D188" i="8"/>
  <c r="D189" i="8"/>
  <c r="C192" i="8"/>
  <c r="D173" i="7"/>
  <c r="W174" i="7"/>
  <c r="N89" i="7"/>
  <c r="N98" i="7"/>
  <c r="D172" i="3"/>
  <c r="N76" i="3"/>
  <c r="D181" i="3"/>
  <c r="N73" i="2"/>
  <c r="C173" i="2"/>
  <c r="N95" i="2"/>
  <c r="N100" i="7"/>
  <c r="D201" i="13"/>
  <c r="N103" i="1"/>
  <c r="N100" i="1"/>
  <c r="B185" i="2"/>
  <c r="C204" i="15"/>
  <c r="D203" i="13"/>
  <c r="D192" i="1"/>
  <c r="D144" i="1"/>
  <c r="B147" i="2"/>
  <c r="N43" i="8"/>
  <c r="J157" i="15"/>
  <c r="N26" i="28"/>
  <c r="N34" i="28"/>
  <c r="N20" i="32"/>
  <c r="J123" i="36"/>
  <c r="L123" i="36"/>
  <c r="N98" i="21"/>
  <c r="B183" i="21"/>
  <c r="B153" i="19"/>
  <c r="C176" i="18"/>
  <c r="N73" i="18"/>
  <c r="B215" i="10"/>
  <c r="N131" i="10"/>
  <c r="N39" i="30"/>
  <c r="J106" i="29"/>
  <c r="H106" i="29"/>
  <c r="L106" i="29"/>
  <c r="W184" i="11"/>
  <c r="J166" i="17"/>
  <c r="W152" i="23"/>
  <c r="W191" i="22"/>
  <c r="C187" i="13"/>
  <c r="N91" i="13"/>
  <c r="N106" i="13"/>
  <c r="D180" i="8"/>
  <c r="N76" i="8"/>
  <c r="C170" i="7"/>
  <c r="C178" i="7"/>
  <c r="N95" i="7"/>
  <c r="N67" i="5"/>
  <c r="N72" i="5"/>
  <c r="N80" i="5"/>
  <c r="C178" i="5"/>
  <c r="C179" i="5"/>
  <c r="B173" i="3"/>
  <c r="N65" i="2"/>
  <c r="N77" i="2"/>
  <c r="N97" i="1"/>
  <c r="C201" i="13"/>
  <c r="C203" i="13"/>
  <c r="B187" i="7"/>
  <c r="B195" i="3"/>
  <c r="D189" i="5"/>
  <c r="B206" i="15"/>
  <c r="N116" i="15"/>
  <c r="N55" i="2"/>
  <c r="B151" i="2"/>
  <c r="C166" i="3"/>
  <c r="C170" i="3"/>
  <c r="C148" i="3"/>
  <c r="H146" i="3"/>
  <c r="N29" i="28"/>
  <c r="N21" i="34"/>
  <c r="B96" i="34"/>
  <c r="N48" i="34"/>
  <c r="N9" i="36"/>
  <c r="C189" i="11"/>
  <c r="N33" i="19"/>
  <c r="C134" i="16"/>
  <c r="S134" i="16"/>
  <c r="W134" i="16" s="1"/>
  <c r="N168" i="11"/>
  <c r="W162" i="19"/>
  <c r="W150" i="19"/>
  <c r="N72" i="13"/>
  <c r="C186" i="13"/>
  <c r="D193" i="13"/>
  <c r="B200" i="13"/>
  <c r="N101" i="14"/>
  <c r="N78" i="15"/>
  <c r="C193" i="15"/>
  <c r="B180" i="8"/>
  <c r="N67" i="7"/>
  <c r="N84" i="7"/>
  <c r="N90" i="7"/>
  <c r="B172" i="3"/>
  <c r="C173" i="3"/>
  <c r="D174" i="3"/>
  <c r="D189" i="3"/>
  <c r="C190" i="3"/>
  <c r="N71" i="2"/>
  <c r="C177" i="2"/>
  <c r="N91" i="2"/>
  <c r="D184" i="1"/>
  <c r="C185" i="1"/>
  <c r="D195" i="8"/>
  <c r="B192" i="3"/>
  <c r="B189" i="7"/>
  <c r="N113" i="14"/>
  <c r="B206" i="13"/>
  <c r="N112" i="5"/>
  <c r="N118" i="3"/>
  <c r="C157" i="1"/>
  <c r="B155" i="1"/>
  <c r="N19" i="1"/>
  <c r="C148" i="1"/>
  <c r="C140" i="2"/>
  <c r="D147" i="2"/>
  <c r="N27" i="2"/>
  <c r="D166" i="3"/>
  <c r="N50" i="5"/>
  <c r="B160" i="5"/>
  <c r="W181" i="5"/>
  <c r="L160" i="7"/>
  <c r="W160" i="7"/>
  <c r="B172" i="15"/>
  <c r="N19" i="30"/>
  <c r="N28" i="30"/>
  <c r="S97" i="28"/>
  <c r="T97" i="28"/>
  <c r="N39" i="11"/>
  <c r="S160" i="11"/>
  <c r="B160" i="11"/>
  <c r="T186" i="11"/>
  <c r="U186" i="11"/>
  <c r="N14" i="9"/>
  <c r="N46" i="9"/>
  <c r="W164" i="21"/>
  <c r="N53" i="17"/>
  <c r="N55" i="17"/>
  <c r="S175" i="17"/>
  <c r="J175" i="17"/>
  <c r="U175" i="17"/>
  <c r="C177" i="17"/>
  <c r="B144" i="1"/>
  <c r="D157" i="2"/>
  <c r="N50" i="2"/>
  <c r="D161" i="3"/>
  <c r="D163" i="3"/>
  <c r="C165" i="3"/>
  <c r="D154" i="3"/>
  <c r="C156" i="3"/>
  <c r="L158" i="1"/>
  <c r="L154" i="1"/>
  <c r="J147" i="1"/>
  <c r="W159" i="2"/>
  <c r="W140" i="2"/>
  <c r="H192" i="3"/>
  <c r="W163" i="5"/>
  <c r="L145" i="5"/>
  <c r="J190" i="7"/>
  <c r="J186" i="7"/>
  <c r="L152" i="7"/>
  <c r="B153" i="8"/>
  <c r="N54" i="15"/>
  <c r="H164" i="15"/>
  <c r="H160" i="15"/>
  <c r="N69" i="13"/>
  <c r="N24" i="28"/>
  <c r="B97" i="28"/>
  <c r="N15" i="31"/>
  <c r="N34" i="31"/>
  <c r="N35" i="34"/>
  <c r="N11" i="36"/>
  <c r="N28" i="37"/>
  <c r="N50" i="37"/>
  <c r="J103" i="28"/>
  <c r="J86" i="30"/>
  <c r="C104" i="29"/>
  <c r="N41" i="36"/>
  <c r="J207" i="13"/>
  <c r="H207" i="13"/>
  <c r="N65" i="12"/>
  <c r="N70" i="12"/>
  <c r="N73" i="12"/>
  <c r="N76" i="12"/>
  <c r="W164" i="12"/>
  <c r="W188" i="12"/>
  <c r="B156" i="11"/>
  <c r="N34" i="11"/>
  <c r="C181" i="11"/>
  <c r="N94" i="11"/>
  <c r="N93" i="10"/>
  <c r="N96" i="10"/>
  <c r="D200" i="9"/>
  <c r="N50" i="21"/>
  <c r="C162" i="18"/>
  <c r="N49" i="18"/>
  <c r="D165" i="18"/>
  <c r="N54" i="18"/>
  <c r="L154" i="16"/>
  <c r="N154" i="16" s="1"/>
  <c r="W187" i="24"/>
  <c r="S129" i="20"/>
  <c r="U129" i="20"/>
  <c r="T129" i="20"/>
  <c r="N116" i="2"/>
  <c r="B204" i="8"/>
  <c r="B200" i="19"/>
  <c r="N121" i="19"/>
  <c r="N61" i="37"/>
  <c r="D108" i="37"/>
  <c r="N114" i="7"/>
  <c r="N36" i="1"/>
  <c r="N15" i="1"/>
  <c r="C157" i="2"/>
  <c r="D145" i="2"/>
  <c r="J190" i="1"/>
  <c r="W186" i="1"/>
  <c r="H178" i="1"/>
  <c r="W158" i="2"/>
  <c r="W143" i="2"/>
  <c r="D141" i="7"/>
  <c r="N16" i="7"/>
  <c r="B171" i="8"/>
  <c r="C158" i="8"/>
  <c r="B160" i="8"/>
  <c r="N51" i="15"/>
  <c r="J199" i="15"/>
  <c r="N35" i="30"/>
  <c r="C85" i="31"/>
  <c r="N11" i="32"/>
  <c r="B91" i="32"/>
  <c r="N19" i="37"/>
  <c r="N19" i="38"/>
  <c r="J99" i="28"/>
  <c r="J91" i="28"/>
  <c r="H83" i="32"/>
  <c r="J82" i="34"/>
  <c r="N29" i="12"/>
  <c r="N58" i="12"/>
  <c r="W153" i="12"/>
  <c r="N71" i="11"/>
  <c r="B174" i="11"/>
  <c r="T180" i="11"/>
  <c r="U180" i="11"/>
  <c r="N91" i="11"/>
  <c r="S188" i="11"/>
  <c r="U188" i="11"/>
  <c r="D189" i="11"/>
  <c r="N107" i="9"/>
  <c r="C171" i="19"/>
  <c r="N94" i="19"/>
  <c r="N96" i="19"/>
  <c r="N75" i="18"/>
  <c r="T179" i="18"/>
  <c r="W179" i="18" s="1"/>
  <c r="D179" i="18"/>
  <c r="H181" i="18"/>
  <c r="N13" i="17"/>
  <c r="N46" i="17"/>
  <c r="N79" i="17"/>
  <c r="N24" i="16"/>
  <c r="N35" i="16"/>
  <c r="N20" i="24"/>
  <c r="N43" i="24"/>
  <c r="W140" i="24"/>
  <c r="W155" i="24"/>
  <c r="D192" i="14"/>
  <c r="D201" i="8"/>
  <c r="B191" i="2"/>
  <c r="N116" i="14"/>
  <c r="N127" i="13"/>
  <c r="N43" i="2"/>
  <c r="N46" i="2"/>
  <c r="D159" i="2"/>
  <c r="N8" i="2"/>
  <c r="D150" i="2"/>
  <c r="B146" i="3"/>
  <c r="N11" i="3"/>
  <c r="C149" i="3"/>
  <c r="N35" i="3"/>
  <c r="H152" i="1"/>
  <c r="W139" i="2"/>
  <c r="L160" i="3"/>
  <c r="N44" i="5"/>
  <c r="N54" i="5"/>
  <c r="H143" i="5"/>
  <c r="W143" i="5"/>
  <c r="W173" i="5"/>
  <c r="D166" i="7"/>
  <c r="N18" i="7"/>
  <c r="B145" i="7"/>
  <c r="D171" i="8"/>
  <c r="D156" i="8"/>
  <c r="C176" i="15"/>
  <c r="B153" i="14"/>
  <c r="B150" i="14"/>
  <c r="D104" i="28"/>
  <c r="B107" i="28"/>
  <c r="B77" i="30"/>
  <c r="C82" i="30"/>
  <c r="N33" i="31"/>
  <c r="N48" i="31"/>
  <c r="N29" i="32"/>
  <c r="N49" i="32"/>
  <c r="C81" i="34"/>
  <c r="B82" i="34"/>
  <c r="C93" i="37"/>
  <c r="N49" i="37"/>
  <c r="B102" i="37"/>
  <c r="N51" i="37"/>
  <c r="H87" i="29"/>
  <c r="J92" i="31"/>
  <c r="L88" i="31"/>
  <c r="C101" i="32"/>
  <c r="H99" i="32"/>
  <c r="L99" i="32"/>
  <c r="L100" i="37"/>
  <c r="N21" i="12"/>
  <c r="D158" i="12"/>
  <c r="N66" i="11"/>
  <c r="C171" i="11"/>
  <c r="L185" i="9"/>
  <c r="H185" i="9"/>
  <c r="L195" i="9"/>
  <c r="N93" i="21"/>
  <c r="N74" i="19"/>
  <c r="J184" i="19"/>
  <c r="N92" i="19"/>
  <c r="N106" i="18"/>
  <c r="N19" i="16"/>
  <c r="H180" i="25"/>
  <c r="W190" i="25"/>
  <c r="H155" i="1"/>
  <c r="L166" i="3"/>
  <c r="W153" i="3"/>
  <c r="H149" i="3"/>
  <c r="N52" i="5"/>
  <c r="N24" i="7"/>
  <c r="W149" i="7"/>
  <c r="N56" i="8"/>
  <c r="L155" i="14"/>
  <c r="N156" i="2"/>
  <c r="N56" i="29"/>
  <c r="N22" i="32"/>
  <c r="B110" i="36"/>
  <c r="C87" i="37"/>
  <c r="L179" i="13"/>
  <c r="J179" i="13"/>
  <c r="N35" i="11"/>
  <c r="N102" i="11"/>
  <c r="U195" i="9"/>
  <c r="C195" i="9"/>
  <c r="N27" i="21"/>
  <c r="D179" i="21"/>
  <c r="N95" i="21"/>
  <c r="D183" i="21"/>
  <c r="N60" i="19"/>
  <c r="D175" i="19"/>
  <c r="B187" i="19"/>
  <c r="N91" i="19"/>
  <c r="W173" i="19"/>
  <c r="B136" i="26"/>
  <c r="U136" i="26"/>
  <c r="C170" i="25"/>
  <c r="N72" i="25"/>
  <c r="D168" i="5"/>
  <c r="N40" i="5"/>
  <c r="C147" i="5"/>
  <c r="N26" i="5"/>
  <c r="C162" i="7"/>
  <c r="C148" i="7"/>
  <c r="D153" i="7"/>
  <c r="B157" i="7"/>
  <c r="N12" i="7"/>
  <c r="D158" i="8"/>
  <c r="C160" i="8"/>
  <c r="D163" i="8"/>
  <c r="C161" i="8"/>
  <c r="B171" i="15"/>
  <c r="J176" i="15"/>
  <c r="L169" i="15"/>
  <c r="D163" i="14"/>
  <c r="D153" i="14"/>
  <c r="H169" i="14"/>
  <c r="N162" i="2"/>
  <c r="D87" i="28"/>
  <c r="B88" i="28"/>
  <c r="N21" i="28"/>
  <c r="D93" i="28"/>
  <c r="N41" i="28"/>
  <c r="N51" i="28"/>
  <c r="D106" i="28"/>
  <c r="N42" i="29"/>
  <c r="C100" i="29"/>
  <c r="N50" i="29"/>
  <c r="D102" i="29"/>
  <c r="N9" i="30"/>
  <c r="N18" i="30"/>
  <c r="D85" i="30"/>
  <c r="D82" i="31"/>
  <c r="N36" i="31"/>
  <c r="C81" i="32"/>
  <c r="B84" i="32"/>
  <c r="D87" i="32"/>
  <c r="N32" i="32"/>
  <c r="B93" i="32"/>
  <c r="C94" i="32"/>
  <c r="D97" i="32"/>
  <c r="B88" i="34"/>
  <c r="N40" i="34"/>
  <c r="C97" i="34"/>
  <c r="C117" i="35"/>
  <c r="N18" i="35"/>
  <c r="D115" i="36"/>
  <c r="C91" i="37"/>
  <c r="N43" i="37"/>
  <c r="N52" i="37"/>
  <c r="N38" i="38"/>
  <c r="D98" i="38"/>
  <c r="B105" i="28"/>
  <c r="N24" i="30"/>
  <c r="L98" i="28"/>
  <c r="H94" i="28"/>
  <c r="J87" i="28"/>
  <c r="D104" i="29"/>
  <c r="H89" i="29"/>
  <c r="B78" i="31"/>
  <c r="D101" i="32"/>
  <c r="J117" i="36"/>
  <c r="J105" i="37"/>
  <c r="H102" i="37"/>
  <c r="N102" i="37" s="1"/>
  <c r="H171" i="13"/>
  <c r="B159" i="12"/>
  <c r="N67" i="12"/>
  <c r="D175" i="12"/>
  <c r="N9" i="11"/>
  <c r="N30" i="11"/>
  <c r="D175" i="11"/>
  <c r="C177" i="11"/>
  <c r="C182" i="11"/>
  <c r="C185" i="11"/>
  <c r="N117" i="11"/>
  <c r="N24" i="9"/>
  <c r="N38" i="9"/>
  <c r="C168" i="9"/>
  <c r="N45" i="9"/>
  <c r="L172" i="9"/>
  <c r="L192" i="9"/>
  <c r="N103" i="9"/>
  <c r="N43" i="21"/>
  <c r="N109" i="21"/>
  <c r="N111" i="21"/>
  <c r="N113" i="21"/>
  <c r="W189" i="21"/>
  <c r="N51" i="19"/>
  <c r="N89" i="19"/>
  <c r="C187" i="19"/>
  <c r="B194" i="19"/>
  <c r="D155" i="18"/>
  <c r="E155" i="18" s="1"/>
  <c r="L186" i="18"/>
  <c r="N114" i="18"/>
  <c r="B147" i="17"/>
  <c r="N24" i="17"/>
  <c r="C128" i="16"/>
  <c r="C139" i="16"/>
  <c r="N108" i="24"/>
  <c r="U111" i="36"/>
  <c r="S111" i="36"/>
  <c r="L191" i="3"/>
  <c r="H187" i="3"/>
  <c r="L184" i="3"/>
  <c r="L180" i="3"/>
  <c r="N180" i="3" s="1"/>
  <c r="W176" i="3"/>
  <c r="N43" i="5"/>
  <c r="D161" i="5"/>
  <c r="C164" i="5"/>
  <c r="N64" i="5"/>
  <c r="D141" i="5"/>
  <c r="C144" i="5"/>
  <c r="J148" i="5"/>
  <c r="D162" i="7"/>
  <c r="D145" i="7"/>
  <c r="L165" i="7"/>
  <c r="H161" i="7"/>
  <c r="H147" i="7"/>
  <c r="C166" i="8"/>
  <c r="N57" i="8"/>
  <c r="C175" i="8"/>
  <c r="C176" i="8"/>
  <c r="D162" i="8"/>
  <c r="N22" i="15"/>
  <c r="C163" i="14"/>
  <c r="C153" i="14"/>
  <c r="H184" i="14"/>
  <c r="N148" i="2"/>
  <c r="N159" i="2"/>
  <c r="N157" i="2"/>
  <c r="N153" i="2"/>
  <c r="N145" i="2"/>
  <c r="D181" i="13"/>
  <c r="N12" i="28"/>
  <c r="N25" i="28"/>
  <c r="D101" i="28"/>
  <c r="C102" i="28"/>
  <c r="N54" i="28"/>
  <c r="B99" i="29"/>
  <c r="D100" i="29"/>
  <c r="N10" i="30"/>
  <c r="N27" i="30"/>
  <c r="C76" i="31"/>
  <c r="D78" i="31"/>
  <c r="N19" i="31"/>
  <c r="B85" i="31"/>
  <c r="C87" i="31"/>
  <c r="N8" i="32"/>
  <c r="N10" i="32"/>
  <c r="D81" i="32"/>
  <c r="D81" i="34"/>
  <c r="N31" i="34"/>
  <c r="B116" i="35"/>
  <c r="D117" i="35"/>
  <c r="B106" i="36"/>
  <c r="N54" i="36"/>
  <c r="N12" i="37"/>
  <c r="B94" i="37"/>
  <c r="D95" i="37"/>
  <c r="C96" i="37"/>
  <c r="N20" i="38"/>
  <c r="N31" i="38"/>
  <c r="C97" i="38"/>
  <c r="D84" i="30"/>
  <c r="J104" i="29"/>
  <c r="H81" i="32"/>
  <c r="N43" i="34"/>
  <c r="H98" i="37"/>
  <c r="D142" i="12"/>
  <c r="C159" i="12"/>
  <c r="C172" i="12"/>
  <c r="N82" i="12"/>
  <c r="J153" i="11"/>
  <c r="H153" i="11"/>
  <c r="C165" i="10"/>
  <c r="C187" i="10"/>
  <c r="N69" i="10"/>
  <c r="J158" i="9"/>
  <c r="H176" i="9"/>
  <c r="B185" i="9"/>
  <c r="D195" i="9"/>
  <c r="D141" i="21"/>
  <c r="C170" i="21"/>
  <c r="D180" i="21"/>
  <c r="U181" i="19"/>
  <c r="T181" i="19"/>
  <c r="S181" i="19"/>
  <c r="H192" i="19"/>
  <c r="J192" i="19"/>
  <c r="C196" i="19"/>
  <c r="H154" i="18"/>
  <c r="C171" i="18"/>
  <c r="B188" i="18"/>
  <c r="B191" i="18"/>
  <c r="N116" i="18"/>
  <c r="W172" i="18"/>
  <c r="N113" i="17"/>
  <c r="S178" i="23"/>
  <c r="U178" i="23"/>
  <c r="J157" i="13"/>
  <c r="L157" i="13"/>
  <c r="W161" i="1"/>
  <c r="J191" i="3"/>
  <c r="W168" i="3"/>
  <c r="N66" i="5"/>
  <c r="D160" i="5"/>
  <c r="C161" i="5"/>
  <c r="D164" i="5"/>
  <c r="N19" i="5"/>
  <c r="N64" i="7"/>
  <c r="N51" i="7"/>
  <c r="N56" i="7"/>
  <c r="B146" i="7"/>
  <c r="C147" i="7"/>
  <c r="N38" i="7"/>
  <c r="J191" i="7"/>
  <c r="N40" i="8"/>
  <c r="B150" i="8"/>
  <c r="B154" i="8"/>
  <c r="N36" i="8"/>
  <c r="C179" i="15"/>
  <c r="D172" i="15"/>
  <c r="B166" i="14"/>
  <c r="B163" i="14"/>
  <c r="N30" i="14"/>
  <c r="J157" i="14"/>
  <c r="D182" i="13"/>
  <c r="C97" i="28"/>
  <c r="N38" i="28"/>
  <c r="N42" i="28"/>
  <c r="B104" i="28"/>
  <c r="N38" i="29"/>
  <c r="N16" i="30"/>
  <c r="N34" i="30"/>
  <c r="N20" i="31"/>
  <c r="D87" i="31"/>
  <c r="N24" i="32"/>
  <c r="D90" i="32"/>
  <c r="N33" i="32"/>
  <c r="D93" i="32"/>
  <c r="B97" i="32"/>
  <c r="B83" i="34"/>
  <c r="B84" i="34"/>
  <c r="D88" i="34"/>
  <c r="N45" i="34"/>
  <c r="C116" i="35"/>
  <c r="D108" i="36"/>
  <c r="C94" i="37"/>
  <c r="B92" i="38"/>
  <c r="D105" i="28"/>
  <c r="J97" i="28"/>
  <c r="L93" i="28"/>
  <c r="J86" i="28"/>
  <c r="J84" i="30"/>
  <c r="H78" i="30"/>
  <c r="L92" i="29"/>
  <c r="L94" i="31"/>
  <c r="J95" i="32"/>
  <c r="J91" i="32"/>
  <c r="L101" i="37"/>
  <c r="N75" i="5"/>
  <c r="J150" i="12"/>
  <c r="U175" i="12"/>
  <c r="N80" i="12"/>
  <c r="C176" i="12"/>
  <c r="N85" i="12"/>
  <c r="N155" i="12"/>
  <c r="D171" i="11"/>
  <c r="L191" i="11"/>
  <c r="J191" i="11"/>
  <c r="W150" i="11"/>
  <c r="N99" i="10"/>
  <c r="H207" i="10"/>
  <c r="S210" i="10"/>
  <c r="N28" i="9"/>
  <c r="U188" i="9"/>
  <c r="N83" i="9"/>
  <c r="N85" i="9"/>
  <c r="C191" i="9"/>
  <c r="L204" i="9"/>
  <c r="C205" i="9"/>
  <c r="W162" i="9"/>
  <c r="W171" i="9"/>
  <c r="B152" i="21"/>
  <c r="D167" i="21"/>
  <c r="D170" i="21"/>
  <c r="D176" i="21"/>
  <c r="W154" i="21"/>
  <c r="W186" i="21"/>
  <c r="N68" i="19"/>
  <c r="L186" i="19"/>
  <c r="C189" i="19"/>
  <c r="N9" i="18"/>
  <c r="N11" i="18"/>
  <c r="B145" i="18"/>
  <c r="L148" i="18"/>
  <c r="H148" i="18"/>
  <c r="N40" i="18"/>
  <c r="D185" i="18"/>
  <c r="J136" i="26"/>
  <c r="W144" i="23"/>
  <c r="N94" i="22"/>
  <c r="L156" i="13"/>
  <c r="J156" i="13"/>
  <c r="J158" i="13"/>
  <c r="H164" i="1"/>
  <c r="W185" i="2"/>
  <c r="W197" i="3"/>
  <c r="H190" i="3"/>
  <c r="N17" i="5"/>
  <c r="C150" i="5"/>
  <c r="L147" i="5"/>
  <c r="W189" i="5"/>
  <c r="L178" i="5"/>
  <c r="C146" i="7"/>
  <c r="D154" i="7"/>
  <c r="C156" i="7"/>
  <c r="J154" i="7"/>
  <c r="C164" i="8"/>
  <c r="B169" i="8"/>
  <c r="C171" i="8"/>
  <c r="D152" i="8"/>
  <c r="C154" i="8"/>
  <c r="B162" i="8"/>
  <c r="C162" i="15"/>
  <c r="C164" i="14"/>
  <c r="B161" i="14"/>
  <c r="N29" i="14"/>
  <c r="H160" i="14"/>
  <c r="N168" i="2"/>
  <c r="N167" i="2"/>
  <c r="N160" i="2"/>
  <c r="N152" i="2"/>
  <c r="C90" i="28"/>
  <c r="C95" i="28"/>
  <c r="N31" i="28"/>
  <c r="D97" i="28"/>
  <c r="B103" i="28"/>
  <c r="C104" i="28"/>
  <c r="N52" i="28"/>
  <c r="B98" i="29"/>
  <c r="N25" i="30"/>
  <c r="N9" i="31"/>
  <c r="C81" i="31"/>
  <c r="B84" i="31"/>
  <c r="E84" i="31" s="1"/>
  <c r="C91" i="31"/>
  <c r="D83" i="32"/>
  <c r="N36" i="32"/>
  <c r="N38" i="32"/>
  <c r="N42" i="32"/>
  <c r="N12" i="34"/>
  <c r="C84" i="34"/>
  <c r="N29" i="34"/>
  <c r="N38" i="34"/>
  <c r="N41" i="34"/>
  <c r="D125" i="36"/>
  <c r="N13" i="37"/>
  <c r="B93" i="37"/>
  <c r="C99" i="37"/>
  <c r="N46" i="37"/>
  <c r="C102" i="37"/>
  <c r="C75" i="30"/>
  <c r="L104" i="29"/>
  <c r="H104" i="29"/>
  <c r="H99" i="29"/>
  <c r="L84" i="29"/>
  <c r="J97" i="32"/>
  <c r="H84" i="32"/>
  <c r="N45" i="37"/>
  <c r="J104" i="37"/>
  <c r="N13" i="12"/>
  <c r="W148" i="12"/>
  <c r="N11" i="11"/>
  <c r="B150" i="11"/>
  <c r="D160" i="11"/>
  <c r="J171" i="11"/>
  <c r="L171" i="11"/>
  <c r="N74" i="11"/>
  <c r="C188" i="11"/>
  <c r="N110" i="11"/>
  <c r="W154" i="11"/>
  <c r="W169" i="11"/>
  <c r="N55" i="10"/>
  <c r="N107" i="10"/>
  <c r="L154" i="9"/>
  <c r="J157" i="9"/>
  <c r="N49" i="9"/>
  <c r="D185" i="9"/>
  <c r="N78" i="9"/>
  <c r="N53" i="21"/>
  <c r="S180" i="21"/>
  <c r="U180" i="21"/>
  <c r="N9" i="19"/>
  <c r="L159" i="19"/>
  <c r="D160" i="19"/>
  <c r="N43" i="19"/>
  <c r="D178" i="19"/>
  <c r="W178" i="19"/>
  <c r="W198" i="19"/>
  <c r="H162" i="18"/>
  <c r="N56" i="18"/>
  <c r="C173" i="18"/>
  <c r="N92" i="18"/>
  <c r="L179" i="17"/>
  <c r="N39" i="26"/>
  <c r="N12" i="25"/>
  <c r="L174" i="25"/>
  <c r="N87" i="25"/>
  <c r="N49" i="23"/>
  <c r="N78" i="22"/>
  <c r="J97" i="37"/>
  <c r="H208" i="13"/>
  <c r="B145" i="12"/>
  <c r="B156" i="12"/>
  <c r="C157" i="12"/>
  <c r="H158" i="12"/>
  <c r="D168" i="12"/>
  <c r="N69" i="12"/>
  <c r="C175" i="12"/>
  <c r="C180" i="12"/>
  <c r="C191" i="12"/>
  <c r="N148" i="12"/>
  <c r="N185" i="12"/>
  <c r="W187" i="12"/>
  <c r="D144" i="11"/>
  <c r="N15" i="11"/>
  <c r="N20" i="11"/>
  <c r="D166" i="11"/>
  <c r="D174" i="11"/>
  <c r="N73" i="11"/>
  <c r="D178" i="11"/>
  <c r="C180" i="11"/>
  <c r="N88" i="11"/>
  <c r="N100" i="11"/>
  <c r="W193" i="11"/>
  <c r="N28" i="10"/>
  <c r="N38" i="10"/>
  <c r="D176" i="10"/>
  <c r="C179" i="10"/>
  <c r="N51" i="10"/>
  <c r="B185" i="10"/>
  <c r="D209" i="10"/>
  <c r="C210" i="10"/>
  <c r="B211" i="10"/>
  <c r="N8" i="9"/>
  <c r="B162" i="9"/>
  <c r="N37" i="9"/>
  <c r="J168" i="9"/>
  <c r="C174" i="9"/>
  <c r="N66" i="9"/>
  <c r="L184" i="9"/>
  <c r="C185" i="9"/>
  <c r="N104" i="9"/>
  <c r="H202" i="9"/>
  <c r="D202" i="9"/>
  <c r="W182" i="9"/>
  <c r="J138" i="21"/>
  <c r="J144" i="21"/>
  <c r="D146" i="21"/>
  <c r="C160" i="21"/>
  <c r="B161" i="21"/>
  <c r="B162" i="21"/>
  <c r="C164" i="21"/>
  <c r="C167" i="21"/>
  <c r="T169" i="21"/>
  <c r="N77" i="21"/>
  <c r="U176" i="21"/>
  <c r="W176" i="21" s="1"/>
  <c r="C177" i="21"/>
  <c r="N97" i="21"/>
  <c r="N110" i="21"/>
  <c r="C149" i="19"/>
  <c r="N17" i="19"/>
  <c r="B154" i="19"/>
  <c r="B155" i="19"/>
  <c r="B159" i="19"/>
  <c r="B172" i="19"/>
  <c r="C177" i="19"/>
  <c r="H178" i="19"/>
  <c r="C183" i="19"/>
  <c r="J188" i="19"/>
  <c r="C195" i="19"/>
  <c r="J145" i="18"/>
  <c r="L146" i="18"/>
  <c r="D151" i="18"/>
  <c r="L155" i="18"/>
  <c r="N42" i="18"/>
  <c r="D162" i="18"/>
  <c r="C167" i="18"/>
  <c r="L173" i="18"/>
  <c r="L184" i="18"/>
  <c r="H185" i="18"/>
  <c r="U145" i="17"/>
  <c r="S145" i="17"/>
  <c r="N36" i="17"/>
  <c r="B153" i="17"/>
  <c r="D177" i="17"/>
  <c r="N101" i="17"/>
  <c r="U144" i="16"/>
  <c r="T144" i="16"/>
  <c r="J157" i="16"/>
  <c r="N157" i="16" s="1"/>
  <c r="N9" i="25"/>
  <c r="C144" i="25"/>
  <c r="N33" i="25"/>
  <c r="N51" i="25"/>
  <c r="N67" i="25"/>
  <c r="N76" i="25"/>
  <c r="D176" i="25"/>
  <c r="B151" i="25"/>
  <c r="S155" i="25"/>
  <c r="W155" i="25" s="1"/>
  <c r="C150" i="24"/>
  <c r="N38" i="24"/>
  <c r="U181" i="24"/>
  <c r="C181" i="24"/>
  <c r="N69" i="22"/>
  <c r="C145" i="12"/>
  <c r="C146" i="12"/>
  <c r="D162" i="12"/>
  <c r="C164" i="12"/>
  <c r="B165" i="12"/>
  <c r="B166" i="12"/>
  <c r="C169" i="12"/>
  <c r="N95" i="12"/>
  <c r="W149" i="12"/>
  <c r="C153" i="11"/>
  <c r="L155" i="11"/>
  <c r="C157" i="11"/>
  <c r="C158" i="11"/>
  <c r="L161" i="11"/>
  <c r="N48" i="11"/>
  <c r="B176" i="11"/>
  <c r="N96" i="11"/>
  <c r="B190" i="11"/>
  <c r="L194" i="11"/>
  <c r="N194" i="11" s="1"/>
  <c r="D195" i="11"/>
  <c r="J163" i="10"/>
  <c r="L172" i="10"/>
  <c r="D175" i="10"/>
  <c r="J184" i="10"/>
  <c r="B189" i="10"/>
  <c r="D197" i="10"/>
  <c r="C206" i="10"/>
  <c r="C154" i="9"/>
  <c r="H161" i="9"/>
  <c r="B171" i="9"/>
  <c r="D179" i="9"/>
  <c r="N65" i="9"/>
  <c r="D189" i="9"/>
  <c r="N86" i="9"/>
  <c r="N97" i="9"/>
  <c r="N100" i="9"/>
  <c r="N11" i="21"/>
  <c r="C142" i="21"/>
  <c r="N21" i="21"/>
  <c r="J146" i="21"/>
  <c r="N33" i="21"/>
  <c r="C162" i="21"/>
  <c r="H177" i="21"/>
  <c r="H189" i="21"/>
  <c r="J190" i="21"/>
  <c r="C150" i="19"/>
  <c r="D153" i="19"/>
  <c r="C155" i="19"/>
  <c r="C159" i="19"/>
  <c r="C161" i="19"/>
  <c r="C162" i="19"/>
  <c r="N47" i="19"/>
  <c r="J166" i="19"/>
  <c r="B181" i="19"/>
  <c r="N80" i="19"/>
  <c r="D183" i="19"/>
  <c r="H186" i="19"/>
  <c r="C197" i="19"/>
  <c r="W164" i="19"/>
  <c r="C153" i="18"/>
  <c r="L156" i="18"/>
  <c r="C157" i="18"/>
  <c r="L159" i="18"/>
  <c r="D166" i="18"/>
  <c r="E166" i="18" s="1"/>
  <c r="J168" i="18"/>
  <c r="N94" i="18"/>
  <c r="B189" i="18"/>
  <c r="L190" i="18"/>
  <c r="B192" i="18"/>
  <c r="D195" i="18"/>
  <c r="N30" i="17"/>
  <c r="H127" i="26"/>
  <c r="L127" i="26"/>
  <c r="U146" i="26"/>
  <c r="W146" i="26" s="1"/>
  <c r="H146" i="26"/>
  <c r="D143" i="25"/>
  <c r="D171" i="25"/>
  <c r="B173" i="25"/>
  <c r="B155" i="24"/>
  <c r="T169" i="24"/>
  <c r="U169" i="24"/>
  <c r="N78" i="35"/>
  <c r="D96" i="29"/>
  <c r="H107" i="37"/>
  <c r="L107" i="37"/>
  <c r="J96" i="37"/>
  <c r="J200" i="13"/>
  <c r="B140" i="12"/>
  <c r="T143" i="12"/>
  <c r="D144" i="12"/>
  <c r="D145" i="12"/>
  <c r="D146" i="12"/>
  <c r="D147" i="12"/>
  <c r="N35" i="12"/>
  <c r="T159" i="12"/>
  <c r="B170" i="12"/>
  <c r="C183" i="12"/>
  <c r="N31" i="11"/>
  <c r="N33" i="11"/>
  <c r="D158" i="11"/>
  <c r="N40" i="11"/>
  <c r="N45" i="11"/>
  <c r="H163" i="11"/>
  <c r="N163" i="11" s="1"/>
  <c r="N62" i="11"/>
  <c r="N70" i="11"/>
  <c r="D184" i="11"/>
  <c r="D185" i="11"/>
  <c r="C186" i="11"/>
  <c r="L186" i="11"/>
  <c r="C190" i="11"/>
  <c r="N111" i="11"/>
  <c r="B165" i="10"/>
  <c r="B167" i="10"/>
  <c r="N35" i="10"/>
  <c r="D182" i="10"/>
  <c r="D191" i="10"/>
  <c r="N87" i="10"/>
  <c r="D202" i="10"/>
  <c r="D155" i="9"/>
  <c r="D160" i="9"/>
  <c r="D170" i="9"/>
  <c r="C171" i="9"/>
  <c r="N63" i="9"/>
  <c r="C188" i="9"/>
  <c r="D193" i="9"/>
  <c r="C201" i="9"/>
  <c r="D204" i="9"/>
  <c r="B206" i="9"/>
  <c r="N25" i="21"/>
  <c r="J148" i="21"/>
  <c r="N148" i="21" s="1"/>
  <c r="H152" i="21"/>
  <c r="C154" i="21"/>
  <c r="B155" i="21"/>
  <c r="D161" i="21"/>
  <c r="N58" i="21"/>
  <c r="H167" i="21"/>
  <c r="L170" i="21"/>
  <c r="J171" i="21"/>
  <c r="C187" i="21"/>
  <c r="B190" i="21"/>
  <c r="W138" i="21"/>
  <c r="W148" i="21"/>
  <c r="W160" i="21"/>
  <c r="B146" i="19"/>
  <c r="B147" i="19"/>
  <c r="D154" i="19"/>
  <c r="N31" i="19"/>
  <c r="D162" i="19"/>
  <c r="C181" i="19"/>
  <c r="L183" i="19"/>
  <c r="B185" i="19"/>
  <c r="B189" i="19"/>
  <c r="N107" i="19"/>
  <c r="L194" i="19"/>
  <c r="C145" i="18"/>
  <c r="N21" i="18"/>
  <c r="B151" i="18"/>
  <c r="J152" i="18"/>
  <c r="N33" i="18"/>
  <c r="N43" i="18"/>
  <c r="D168" i="18"/>
  <c r="B170" i="18"/>
  <c r="L178" i="18"/>
  <c r="N93" i="18"/>
  <c r="N97" i="18"/>
  <c r="N102" i="18"/>
  <c r="C192" i="18"/>
  <c r="D196" i="18"/>
  <c r="W149" i="18"/>
  <c r="S189" i="18"/>
  <c r="D173" i="17"/>
  <c r="C185" i="17"/>
  <c r="U185" i="17"/>
  <c r="T185" i="17"/>
  <c r="L185" i="17"/>
  <c r="C191" i="17"/>
  <c r="W167" i="17"/>
  <c r="W135" i="16"/>
  <c r="L143" i="26"/>
  <c r="J153" i="26"/>
  <c r="N62" i="25"/>
  <c r="D182" i="25"/>
  <c r="N25" i="24"/>
  <c r="N29" i="24"/>
  <c r="D153" i="24"/>
  <c r="N53" i="24"/>
  <c r="N60" i="24"/>
  <c r="D165" i="24"/>
  <c r="N71" i="24"/>
  <c r="N9" i="23"/>
  <c r="N11" i="23"/>
  <c r="L190" i="23"/>
  <c r="H190" i="23"/>
  <c r="L170" i="22"/>
  <c r="J170" i="22"/>
  <c r="H170" i="22"/>
  <c r="W81" i="34"/>
  <c r="T89" i="34"/>
  <c r="W89" i="34" s="1"/>
  <c r="B199" i="19"/>
  <c r="N119" i="19"/>
  <c r="D165" i="12"/>
  <c r="N63" i="12"/>
  <c r="C170" i="12"/>
  <c r="N77" i="12"/>
  <c r="B178" i="12"/>
  <c r="D183" i="12"/>
  <c r="C185" i="12"/>
  <c r="N101" i="12"/>
  <c r="W141" i="12"/>
  <c r="W180" i="12"/>
  <c r="N188" i="12"/>
  <c r="C143" i="11"/>
  <c r="D156" i="11"/>
  <c r="N50" i="11"/>
  <c r="N64" i="11"/>
  <c r="C172" i="11"/>
  <c r="N82" i="11"/>
  <c r="N87" i="11"/>
  <c r="H185" i="11"/>
  <c r="D186" i="11"/>
  <c r="B188" i="11"/>
  <c r="L188" i="11"/>
  <c r="N188" i="11" s="1"/>
  <c r="N109" i="11"/>
  <c r="W146" i="11"/>
  <c r="W157" i="11"/>
  <c r="W192" i="11"/>
  <c r="N9" i="10"/>
  <c r="N25" i="10"/>
  <c r="J179" i="10"/>
  <c r="D199" i="10"/>
  <c r="N104" i="10"/>
  <c r="J213" i="10"/>
  <c r="C158" i="9"/>
  <c r="N39" i="9"/>
  <c r="H169" i="9"/>
  <c r="N52" i="9"/>
  <c r="N62" i="9"/>
  <c r="N69" i="9"/>
  <c r="N105" i="9"/>
  <c r="W169" i="9"/>
  <c r="J141" i="21"/>
  <c r="D153" i="21"/>
  <c r="C155" i="21"/>
  <c r="L162" i="21"/>
  <c r="C163" i="21"/>
  <c r="B170" i="21"/>
  <c r="B172" i="21"/>
  <c r="D175" i="21"/>
  <c r="W174" i="21"/>
  <c r="C160" i="19"/>
  <c r="N39" i="19"/>
  <c r="D163" i="19"/>
  <c r="N53" i="19"/>
  <c r="N58" i="19"/>
  <c r="H176" i="19"/>
  <c r="H180" i="19"/>
  <c r="N180" i="19" s="1"/>
  <c r="L191" i="19"/>
  <c r="L193" i="19"/>
  <c r="S149" i="19"/>
  <c r="W165" i="19"/>
  <c r="D145" i="18"/>
  <c r="D149" i="18"/>
  <c r="N61" i="18"/>
  <c r="B171" i="18"/>
  <c r="N71" i="18"/>
  <c r="B176" i="18"/>
  <c r="N76" i="18"/>
  <c r="H179" i="18"/>
  <c r="B180" i="18"/>
  <c r="N85" i="18"/>
  <c r="C182" i="18"/>
  <c r="H189" i="18"/>
  <c r="H196" i="18"/>
  <c r="L196" i="18"/>
  <c r="W163" i="18"/>
  <c r="N11" i="17"/>
  <c r="N64" i="17"/>
  <c r="D136" i="26"/>
  <c r="D139" i="26"/>
  <c r="N23" i="25"/>
  <c r="J146" i="25"/>
  <c r="D147" i="25"/>
  <c r="W149" i="25"/>
  <c r="D154" i="24"/>
  <c r="N57" i="24"/>
  <c r="D167" i="24"/>
  <c r="N73" i="24"/>
  <c r="N68" i="23"/>
  <c r="B182" i="23"/>
  <c r="C185" i="23"/>
  <c r="D155" i="22"/>
  <c r="W162" i="13"/>
  <c r="H134" i="35"/>
  <c r="C130" i="35"/>
  <c r="W196" i="18"/>
  <c r="S143" i="17"/>
  <c r="B145" i="17"/>
  <c r="C153" i="17"/>
  <c r="N44" i="17"/>
  <c r="J162" i="17"/>
  <c r="N73" i="17"/>
  <c r="J173" i="17"/>
  <c r="D181" i="17"/>
  <c r="N94" i="17"/>
  <c r="D190" i="17"/>
  <c r="B192" i="17"/>
  <c r="B133" i="16"/>
  <c r="H137" i="16"/>
  <c r="N137" i="16" s="1"/>
  <c r="B150" i="16"/>
  <c r="J153" i="16"/>
  <c r="N25" i="26"/>
  <c r="H141" i="26"/>
  <c r="D146" i="26"/>
  <c r="D142" i="25"/>
  <c r="N37" i="25"/>
  <c r="N41" i="25"/>
  <c r="D165" i="25"/>
  <c r="N64" i="25"/>
  <c r="N70" i="25"/>
  <c r="N73" i="25"/>
  <c r="D177" i="25"/>
  <c r="C181" i="25"/>
  <c r="D187" i="25"/>
  <c r="L138" i="24"/>
  <c r="N15" i="24"/>
  <c r="B147" i="24"/>
  <c r="B148" i="24"/>
  <c r="N37" i="24"/>
  <c r="C155" i="24"/>
  <c r="N46" i="24"/>
  <c r="N59" i="24"/>
  <c r="S175" i="24"/>
  <c r="U175" i="24"/>
  <c r="B185" i="24"/>
  <c r="N38" i="23"/>
  <c r="N42" i="23"/>
  <c r="N46" i="23"/>
  <c r="B160" i="23"/>
  <c r="N58" i="23"/>
  <c r="L168" i="23"/>
  <c r="N72" i="23"/>
  <c r="J192" i="23"/>
  <c r="C153" i="22"/>
  <c r="C160" i="22"/>
  <c r="N32" i="22"/>
  <c r="C162" i="22"/>
  <c r="N37" i="22"/>
  <c r="N68" i="22"/>
  <c r="N81" i="22"/>
  <c r="B188" i="22"/>
  <c r="D156" i="17"/>
  <c r="N48" i="17"/>
  <c r="N59" i="17"/>
  <c r="D169" i="17"/>
  <c r="D178" i="17"/>
  <c r="B179" i="17"/>
  <c r="L181" i="17"/>
  <c r="C186" i="17"/>
  <c r="B189" i="17"/>
  <c r="N34" i="16"/>
  <c r="H144" i="16"/>
  <c r="H158" i="16"/>
  <c r="N158" i="16" s="1"/>
  <c r="W137" i="16"/>
  <c r="N15" i="26"/>
  <c r="D125" i="26"/>
  <c r="C138" i="26"/>
  <c r="N11" i="25"/>
  <c r="L142" i="25"/>
  <c r="B145" i="25"/>
  <c r="D150" i="25"/>
  <c r="C158" i="25"/>
  <c r="L162" i="25"/>
  <c r="L172" i="25"/>
  <c r="N172" i="25" s="1"/>
  <c r="L178" i="25"/>
  <c r="L186" i="25"/>
  <c r="W150" i="25"/>
  <c r="D146" i="24"/>
  <c r="E146" i="24" s="1"/>
  <c r="C156" i="24"/>
  <c r="C174" i="24"/>
  <c r="D177" i="24"/>
  <c r="C143" i="23"/>
  <c r="S146" i="23"/>
  <c r="U146" i="23"/>
  <c r="H147" i="23"/>
  <c r="L147" i="23"/>
  <c r="D194" i="23"/>
  <c r="H181" i="22"/>
  <c r="D197" i="22"/>
  <c r="W173" i="13"/>
  <c r="N120" i="19"/>
  <c r="B131" i="20"/>
  <c r="N20" i="20"/>
  <c r="W152" i="18"/>
  <c r="L155" i="17"/>
  <c r="N45" i="17"/>
  <c r="C163" i="17"/>
  <c r="N77" i="17"/>
  <c r="D185" i="17"/>
  <c r="H190" i="17"/>
  <c r="W188" i="17"/>
  <c r="C126" i="16"/>
  <c r="D133" i="16"/>
  <c r="C142" i="16"/>
  <c r="N46" i="16"/>
  <c r="D150" i="16"/>
  <c r="N61" i="16"/>
  <c r="N71" i="16"/>
  <c r="W141" i="16"/>
  <c r="W161" i="16"/>
  <c r="B120" i="26"/>
  <c r="L122" i="26"/>
  <c r="J125" i="26"/>
  <c r="H142" i="25"/>
  <c r="C145" i="25"/>
  <c r="N29" i="25"/>
  <c r="H150" i="25"/>
  <c r="D151" i="25"/>
  <c r="N45" i="25"/>
  <c r="D158" i="25"/>
  <c r="B161" i="25"/>
  <c r="N58" i="25"/>
  <c r="L168" i="25"/>
  <c r="N85" i="25"/>
  <c r="N90" i="25"/>
  <c r="N105" i="25"/>
  <c r="D188" i="25"/>
  <c r="N110" i="25"/>
  <c r="W153" i="25"/>
  <c r="W186" i="25"/>
  <c r="B140" i="24"/>
  <c r="E140" i="24" s="1"/>
  <c r="D148" i="24"/>
  <c r="D149" i="24"/>
  <c r="N52" i="24"/>
  <c r="C162" i="24"/>
  <c r="B164" i="24"/>
  <c r="N72" i="24"/>
  <c r="C170" i="24"/>
  <c r="H184" i="24"/>
  <c r="L184" i="24"/>
  <c r="J184" i="24"/>
  <c r="D185" i="24"/>
  <c r="N17" i="23"/>
  <c r="U155" i="22"/>
  <c r="S155" i="22"/>
  <c r="N45" i="22"/>
  <c r="N59" i="22"/>
  <c r="D177" i="22"/>
  <c r="W199" i="22"/>
  <c r="N100" i="15"/>
  <c r="W149" i="14"/>
  <c r="W157" i="14"/>
  <c r="W165" i="14"/>
  <c r="W192" i="14"/>
  <c r="S87" i="38"/>
  <c r="U87" i="38"/>
  <c r="J96" i="34"/>
  <c r="D129" i="20"/>
  <c r="D143" i="17"/>
  <c r="C146" i="17"/>
  <c r="C151" i="17"/>
  <c r="N40" i="17"/>
  <c r="D163" i="17"/>
  <c r="N67" i="17"/>
  <c r="N85" i="17"/>
  <c r="N88" i="17"/>
  <c r="N104" i="17"/>
  <c r="W160" i="17"/>
  <c r="D126" i="16"/>
  <c r="D127" i="16"/>
  <c r="N12" i="16"/>
  <c r="H130" i="16"/>
  <c r="H134" i="16"/>
  <c r="B135" i="16"/>
  <c r="D141" i="16"/>
  <c r="D155" i="16"/>
  <c r="C161" i="16"/>
  <c r="B122" i="26"/>
  <c r="C127" i="26"/>
  <c r="N24" i="26"/>
  <c r="J138" i="26"/>
  <c r="H142" i="26"/>
  <c r="B148" i="26"/>
  <c r="N17" i="25"/>
  <c r="D145" i="25"/>
  <c r="N26" i="25"/>
  <c r="N38" i="25"/>
  <c r="S154" i="25"/>
  <c r="W154" i="25" s="1"/>
  <c r="C161" i="25"/>
  <c r="D164" i="25"/>
  <c r="N65" i="25"/>
  <c r="N75" i="25"/>
  <c r="N77" i="25"/>
  <c r="C179" i="25"/>
  <c r="D183" i="25"/>
  <c r="D184" i="25"/>
  <c r="U181" i="25"/>
  <c r="D139" i="24"/>
  <c r="N23" i="24"/>
  <c r="L146" i="24"/>
  <c r="L148" i="24"/>
  <c r="L155" i="24"/>
  <c r="J160" i="24"/>
  <c r="B165" i="24"/>
  <c r="N77" i="24"/>
  <c r="N83" i="24"/>
  <c r="W170" i="24"/>
  <c r="T175" i="24"/>
  <c r="J172" i="23"/>
  <c r="N71" i="23"/>
  <c r="D181" i="23"/>
  <c r="S186" i="23"/>
  <c r="U186" i="23"/>
  <c r="L186" i="23"/>
  <c r="N101" i="23"/>
  <c r="N103" i="23"/>
  <c r="W190" i="23"/>
  <c r="N16" i="22"/>
  <c r="N42" i="22"/>
  <c r="N52" i="22"/>
  <c r="N112" i="22"/>
  <c r="W168" i="8"/>
  <c r="W203" i="15"/>
  <c r="H159" i="13"/>
  <c r="L159" i="13"/>
  <c r="J154" i="22"/>
  <c r="H154" i="22"/>
  <c r="W158" i="22"/>
  <c r="N11" i="33"/>
  <c r="N33" i="33"/>
  <c r="N9" i="20"/>
  <c r="H128" i="20"/>
  <c r="L128" i="20"/>
  <c r="N24" i="20"/>
  <c r="C133" i="20"/>
  <c r="D190" i="24"/>
  <c r="S171" i="24"/>
  <c r="W182" i="24"/>
  <c r="L143" i="23"/>
  <c r="H149" i="23"/>
  <c r="N30" i="23"/>
  <c r="B157" i="23"/>
  <c r="B171" i="23"/>
  <c r="J174" i="23"/>
  <c r="D189" i="23"/>
  <c r="J190" i="23"/>
  <c r="J157" i="22"/>
  <c r="B179" i="22"/>
  <c r="N22" i="13"/>
  <c r="N19" i="13"/>
  <c r="W158" i="13"/>
  <c r="L188" i="22"/>
  <c r="J166" i="22"/>
  <c r="H159" i="22"/>
  <c r="N159" i="22" s="1"/>
  <c r="H152" i="22"/>
  <c r="L98" i="38"/>
  <c r="H91" i="38"/>
  <c r="L87" i="38"/>
  <c r="W99" i="37"/>
  <c r="J116" i="35"/>
  <c r="D132" i="35"/>
  <c r="C96" i="29"/>
  <c r="N31" i="29"/>
  <c r="N9" i="29"/>
  <c r="C97" i="29"/>
  <c r="C103" i="29"/>
  <c r="W210" i="15"/>
  <c r="N119" i="14"/>
  <c r="L191" i="21"/>
  <c r="T205" i="22"/>
  <c r="U205" i="22"/>
  <c r="S205" i="22"/>
  <c r="L205" i="22"/>
  <c r="W96" i="31"/>
  <c r="N54" i="32"/>
  <c r="U163" i="20"/>
  <c r="T163" i="20"/>
  <c r="E192" i="24"/>
  <c r="W108" i="37"/>
  <c r="N63" i="24"/>
  <c r="N65" i="24"/>
  <c r="N99" i="24"/>
  <c r="L190" i="24"/>
  <c r="W156" i="24"/>
  <c r="U177" i="24"/>
  <c r="C142" i="23"/>
  <c r="N12" i="23"/>
  <c r="N25" i="23"/>
  <c r="B154" i="23"/>
  <c r="N34" i="23"/>
  <c r="C157" i="23"/>
  <c r="N41" i="23"/>
  <c r="B159" i="23"/>
  <c r="C161" i="23"/>
  <c r="B166" i="23"/>
  <c r="E166" i="23" s="1"/>
  <c r="D178" i="23"/>
  <c r="N83" i="23"/>
  <c r="L184" i="23"/>
  <c r="N110" i="23"/>
  <c r="H194" i="23"/>
  <c r="W154" i="23"/>
  <c r="D153" i="22"/>
  <c r="C156" i="22"/>
  <c r="B157" i="22"/>
  <c r="C168" i="22"/>
  <c r="B177" i="22"/>
  <c r="N73" i="22"/>
  <c r="D193" i="22"/>
  <c r="N107" i="22"/>
  <c r="W200" i="22"/>
  <c r="N102" i="8"/>
  <c r="W155" i="8"/>
  <c r="W163" i="8"/>
  <c r="W171" i="8"/>
  <c r="W182" i="8"/>
  <c r="W168" i="14"/>
  <c r="C172" i="13"/>
  <c r="N44" i="13"/>
  <c r="N112" i="10"/>
  <c r="N24" i="13"/>
  <c r="W163" i="10"/>
  <c r="N44" i="22"/>
  <c r="W89" i="37"/>
  <c r="H128" i="35"/>
  <c r="N62" i="35"/>
  <c r="N37" i="29"/>
  <c r="N28" i="29"/>
  <c r="N19" i="29"/>
  <c r="L81" i="31"/>
  <c r="W88" i="31"/>
  <c r="S149" i="20"/>
  <c r="U149" i="20"/>
  <c r="T149" i="20"/>
  <c r="D159" i="20"/>
  <c r="N76" i="20"/>
  <c r="C139" i="20"/>
  <c r="N206" i="22"/>
  <c r="C165" i="24"/>
  <c r="N75" i="24"/>
  <c r="D175" i="24"/>
  <c r="N87" i="24"/>
  <c r="N89" i="24"/>
  <c r="J180" i="24"/>
  <c r="D181" i="24"/>
  <c r="N101" i="24"/>
  <c r="W146" i="24"/>
  <c r="W158" i="24"/>
  <c r="D142" i="23"/>
  <c r="N10" i="23"/>
  <c r="N29" i="23"/>
  <c r="N59" i="23"/>
  <c r="L178" i="23"/>
  <c r="C182" i="23"/>
  <c r="C191" i="23"/>
  <c r="N114" i="23"/>
  <c r="W188" i="23"/>
  <c r="D156" i="22"/>
  <c r="N20" i="22"/>
  <c r="B160" i="22"/>
  <c r="C163" i="22"/>
  <c r="D168" i="22"/>
  <c r="D180" i="22"/>
  <c r="E180" i="22" s="1"/>
  <c r="N83" i="22"/>
  <c r="B189" i="22"/>
  <c r="B190" i="22"/>
  <c r="E190" i="22" s="1"/>
  <c r="C191" i="22"/>
  <c r="C196" i="22"/>
  <c r="C204" i="22"/>
  <c r="W186" i="8"/>
  <c r="W201" i="8"/>
  <c r="D157" i="13"/>
  <c r="N49" i="35"/>
  <c r="L118" i="35"/>
  <c r="S83" i="30"/>
  <c r="T83" i="30"/>
  <c r="H85" i="34"/>
  <c r="L127" i="35"/>
  <c r="H85" i="31"/>
  <c r="J85" i="31"/>
  <c r="W89" i="31"/>
  <c r="N44" i="37"/>
  <c r="N6" i="14"/>
  <c r="B141" i="14"/>
  <c r="E141" i="14" s="1"/>
  <c r="N115" i="25"/>
  <c r="D191" i="25"/>
  <c r="H195" i="23"/>
  <c r="L195" i="23"/>
  <c r="J195" i="23"/>
  <c r="H102" i="32"/>
  <c r="L102" i="32"/>
  <c r="H168" i="20"/>
  <c r="L168" i="20"/>
  <c r="H196" i="14"/>
  <c r="L196" i="14"/>
  <c r="H101" i="33"/>
  <c r="W101" i="33"/>
  <c r="N196" i="23"/>
  <c r="C216" i="10"/>
  <c r="N67" i="24"/>
  <c r="L168" i="24"/>
  <c r="N168" i="24" s="1"/>
  <c r="D169" i="24"/>
  <c r="J172" i="24"/>
  <c r="L174" i="24"/>
  <c r="L175" i="24"/>
  <c r="L180" i="24"/>
  <c r="N98" i="24"/>
  <c r="D188" i="24"/>
  <c r="N111" i="24"/>
  <c r="W188" i="24"/>
  <c r="L142" i="23"/>
  <c r="D144" i="23"/>
  <c r="D149" i="23"/>
  <c r="D151" i="23"/>
  <c r="D155" i="23"/>
  <c r="C156" i="23"/>
  <c r="L158" i="23"/>
  <c r="D163" i="23"/>
  <c r="N54" i="23"/>
  <c r="L174" i="23"/>
  <c r="N80" i="23"/>
  <c r="N100" i="23"/>
  <c r="W151" i="23"/>
  <c r="W168" i="23"/>
  <c r="B159" i="22"/>
  <c r="D163" i="22"/>
  <c r="N41" i="22"/>
  <c r="D174" i="22"/>
  <c r="D191" i="22"/>
  <c r="D192" i="22"/>
  <c r="N101" i="22"/>
  <c r="W154" i="22"/>
  <c r="W164" i="22"/>
  <c r="W196" i="22"/>
  <c r="N46" i="13"/>
  <c r="B171" i="13"/>
  <c r="N23" i="13"/>
  <c r="N102" i="5"/>
  <c r="J171" i="22"/>
  <c r="C124" i="35"/>
  <c r="D123" i="35"/>
  <c r="B126" i="35"/>
  <c r="E126" i="35" s="1"/>
  <c r="W96" i="28"/>
  <c r="L81" i="33"/>
  <c r="N6" i="11"/>
  <c r="N7" i="23"/>
  <c r="C129" i="20"/>
  <c r="N27" i="20"/>
  <c r="N48" i="20"/>
  <c r="H160" i="20"/>
  <c r="D163" i="20"/>
  <c r="N125" i="8"/>
  <c r="D199" i="22"/>
  <c r="W157" i="8"/>
  <c r="W165" i="8"/>
  <c r="W173" i="8"/>
  <c r="W190" i="8"/>
  <c r="W202" i="8"/>
  <c r="W150" i="8"/>
  <c r="W192" i="15"/>
  <c r="W160" i="14"/>
  <c r="W182" i="13"/>
  <c r="D178" i="13"/>
  <c r="N48" i="13"/>
  <c r="L193" i="22"/>
  <c r="L155" i="22"/>
  <c r="N24" i="22"/>
  <c r="N111" i="22"/>
  <c r="W160" i="22"/>
  <c r="T96" i="38"/>
  <c r="W96" i="38" s="1"/>
  <c r="W99" i="38"/>
  <c r="N15" i="37"/>
  <c r="S115" i="36"/>
  <c r="N41" i="35"/>
  <c r="H130" i="35"/>
  <c r="N130" i="35" s="1"/>
  <c r="W84" i="34"/>
  <c r="N8" i="33"/>
  <c r="B83" i="33"/>
  <c r="B84" i="33"/>
  <c r="H85" i="33"/>
  <c r="N28" i="33"/>
  <c r="N29" i="33"/>
  <c r="C93" i="33"/>
  <c r="B95" i="33"/>
  <c r="B96" i="33"/>
  <c r="N47" i="33"/>
  <c r="N49" i="33"/>
  <c r="J99" i="33"/>
  <c r="N7" i="12"/>
  <c r="L142" i="11"/>
  <c r="J142" i="11"/>
  <c r="H142" i="11"/>
  <c r="U87" i="30"/>
  <c r="T87" i="30"/>
  <c r="C146" i="20"/>
  <c r="J145" i="20"/>
  <c r="C101" i="33"/>
  <c r="W153" i="14"/>
  <c r="W200" i="13"/>
  <c r="C156" i="13"/>
  <c r="D162" i="13"/>
  <c r="D160" i="13"/>
  <c r="N18" i="13"/>
  <c r="H163" i="13"/>
  <c r="L163" i="13"/>
  <c r="N97" i="19"/>
  <c r="W93" i="38"/>
  <c r="N27" i="35"/>
  <c r="J92" i="28"/>
  <c r="W89" i="28"/>
  <c r="W88" i="34"/>
  <c r="D81" i="33"/>
  <c r="C82" i="33"/>
  <c r="C83" i="33"/>
  <c r="C84" i="33"/>
  <c r="L90" i="33"/>
  <c r="L91" i="33"/>
  <c r="H92" i="33"/>
  <c r="D93" i="33"/>
  <c r="C96" i="33"/>
  <c r="N21" i="29"/>
  <c r="W91" i="29"/>
  <c r="W99" i="29"/>
  <c r="W76" i="31"/>
  <c r="S142" i="11"/>
  <c r="T142" i="11"/>
  <c r="H137" i="25"/>
  <c r="T192" i="7"/>
  <c r="B191" i="21"/>
  <c r="L191" i="24"/>
  <c r="H191" i="24"/>
  <c r="N37" i="30"/>
  <c r="B87" i="30"/>
  <c r="L87" i="30"/>
  <c r="U135" i="35"/>
  <c r="W135" i="35" s="1"/>
  <c r="S108" i="28"/>
  <c r="U108" i="28"/>
  <c r="L210" i="13"/>
  <c r="B197" i="11"/>
  <c r="D198" i="18"/>
  <c r="N121" i="18"/>
  <c r="J194" i="17"/>
  <c r="C202" i="22"/>
  <c r="W193" i="8"/>
  <c r="W209" i="15"/>
  <c r="W169" i="14"/>
  <c r="W176" i="13"/>
  <c r="W201" i="13"/>
  <c r="W175" i="13"/>
  <c r="C176" i="13"/>
  <c r="N54" i="13"/>
  <c r="C171" i="13"/>
  <c r="N25" i="13"/>
  <c r="H156" i="13"/>
  <c r="W159" i="13"/>
  <c r="W194" i="9"/>
  <c r="H185" i="22"/>
  <c r="N185" i="22" s="1"/>
  <c r="N31" i="35"/>
  <c r="N7" i="28"/>
  <c r="B130" i="35"/>
  <c r="N53" i="35"/>
  <c r="W116" i="35"/>
  <c r="L7" i="35"/>
  <c r="H86" i="34"/>
  <c r="W91" i="34"/>
  <c r="W93" i="34"/>
  <c r="D82" i="33"/>
  <c r="D83" i="33"/>
  <c r="D84" i="33"/>
  <c r="N30" i="33"/>
  <c r="N32" i="33"/>
  <c r="B92" i="33"/>
  <c r="J77" i="31"/>
  <c r="H77" i="31"/>
  <c r="W92" i="31"/>
  <c r="W94" i="31"/>
  <c r="J80" i="31"/>
  <c r="N7" i="7"/>
  <c r="L149" i="8"/>
  <c r="N6" i="9"/>
  <c r="C145" i="19"/>
  <c r="H141" i="23"/>
  <c r="W145" i="3"/>
  <c r="L141" i="23"/>
  <c r="U192" i="2"/>
  <c r="C192" i="7"/>
  <c r="U192" i="7"/>
  <c r="H203" i="8"/>
  <c r="J203" i="8"/>
  <c r="W99" i="34"/>
  <c r="N67" i="20"/>
  <c r="U155" i="20"/>
  <c r="S155" i="20"/>
  <c r="N40" i="30"/>
  <c r="W211" i="15"/>
  <c r="W172" i="20"/>
  <c r="D200" i="22"/>
  <c r="W203" i="22"/>
  <c r="W152" i="8"/>
  <c r="W160" i="8"/>
  <c r="W176" i="8"/>
  <c r="W194" i="8"/>
  <c r="W202" i="13"/>
  <c r="N57" i="13"/>
  <c r="D170" i="13"/>
  <c r="N9" i="13"/>
  <c r="N27" i="13"/>
  <c r="B163" i="13"/>
  <c r="W187" i="10"/>
  <c r="L198" i="22"/>
  <c r="W90" i="37"/>
  <c r="W102" i="28"/>
  <c r="W87" i="28"/>
  <c r="N64" i="35"/>
  <c r="W124" i="35"/>
  <c r="W81" i="30"/>
  <c r="L82" i="33"/>
  <c r="H83" i="33"/>
  <c r="C91" i="33"/>
  <c r="H95" i="33"/>
  <c r="N51" i="33"/>
  <c r="L90" i="29"/>
  <c r="C95" i="29"/>
  <c r="B92" i="29"/>
  <c r="E92" i="29" s="1"/>
  <c r="D91" i="29"/>
  <c r="N23" i="29"/>
  <c r="C89" i="29"/>
  <c r="N15" i="29"/>
  <c r="C85" i="29"/>
  <c r="E82" i="29"/>
  <c r="J95" i="29"/>
  <c r="J97" i="29"/>
  <c r="W101" i="29"/>
  <c r="W85" i="31"/>
  <c r="W82" i="32"/>
  <c r="N25" i="37"/>
  <c r="N7" i="25"/>
  <c r="C197" i="1"/>
  <c r="C193" i="5"/>
  <c r="U193" i="12"/>
  <c r="S193" i="12"/>
  <c r="D199" i="19"/>
  <c r="H155" i="26"/>
  <c r="S87" i="30"/>
  <c r="B99" i="34"/>
  <c r="N31" i="20"/>
  <c r="C165" i="20"/>
  <c r="B157" i="20"/>
  <c r="C193" i="2"/>
  <c r="N127" i="15"/>
  <c r="H83" i="31"/>
  <c r="W82" i="31"/>
  <c r="W80" i="31"/>
  <c r="W83" i="32"/>
  <c r="W90" i="32"/>
  <c r="W98" i="32"/>
  <c r="C88" i="33"/>
  <c r="D88" i="33"/>
  <c r="W93" i="33"/>
  <c r="W163" i="13"/>
  <c r="N7" i="1"/>
  <c r="N7" i="15"/>
  <c r="N6" i="13"/>
  <c r="J153" i="9"/>
  <c r="D139" i="17"/>
  <c r="J197" i="1"/>
  <c r="B192" i="7"/>
  <c r="N125" i="15"/>
  <c r="L195" i="14"/>
  <c r="N195" i="14" s="1"/>
  <c r="C193" i="12"/>
  <c r="H191" i="21"/>
  <c r="N117" i="18"/>
  <c r="D205" i="22"/>
  <c r="N59" i="29"/>
  <c r="C99" i="34"/>
  <c r="N60" i="29"/>
  <c r="B103" i="38"/>
  <c r="N61" i="28"/>
  <c r="C125" i="20"/>
  <c r="H126" i="20"/>
  <c r="D127" i="20"/>
  <c r="N17" i="20"/>
  <c r="N19" i="20"/>
  <c r="D133" i="20"/>
  <c r="D142" i="20"/>
  <c r="C143" i="20"/>
  <c r="C148" i="20"/>
  <c r="B154" i="20"/>
  <c r="C155" i="20"/>
  <c r="L158" i="20"/>
  <c r="B163" i="20"/>
  <c r="T151" i="20"/>
  <c r="N122" i="3"/>
  <c r="N124" i="3"/>
  <c r="N119" i="7"/>
  <c r="N52" i="31"/>
  <c r="C204" i="8"/>
  <c r="C210" i="13"/>
  <c r="D208" i="9"/>
  <c r="W100" i="34"/>
  <c r="W96" i="33"/>
  <c r="B172" i="20"/>
  <c r="C156" i="26"/>
  <c r="N115" i="6"/>
  <c r="W75" i="31"/>
  <c r="W91" i="32"/>
  <c r="N23" i="34"/>
  <c r="W121" i="35"/>
  <c r="H138" i="7"/>
  <c r="D156" i="15"/>
  <c r="E156" i="15" s="1"/>
  <c r="C155" i="13"/>
  <c r="L143" i="18"/>
  <c r="D137" i="24"/>
  <c r="D203" i="8"/>
  <c r="D210" i="15"/>
  <c r="B193" i="12"/>
  <c r="D191" i="21"/>
  <c r="D155" i="26"/>
  <c r="J103" i="38"/>
  <c r="S101" i="32"/>
  <c r="D125" i="20"/>
  <c r="C126" i="20"/>
  <c r="B127" i="20"/>
  <c r="L132" i="20"/>
  <c r="D135" i="20"/>
  <c r="D136" i="20"/>
  <c r="C137" i="20"/>
  <c r="L142" i="20"/>
  <c r="D143" i="20"/>
  <c r="C144" i="20"/>
  <c r="D147" i="20"/>
  <c r="D148" i="20"/>
  <c r="C154" i="20"/>
  <c r="D155" i="20"/>
  <c r="B158" i="20"/>
  <c r="D167" i="20"/>
  <c r="U151" i="20"/>
  <c r="D200" i="3"/>
  <c r="D193" i="7"/>
  <c r="N120" i="14"/>
  <c r="B196" i="14"/>
  <c r="D210" i="13"/>
  <c r="C194" i="12"/>
  <c r="D197" i="11"/>
  <c r="L208" i="9"/>
  <c r="D216" i="10"/>
  <c r="B136" i="35"/>
  <c r="B129" i="36"/>
  <c r="W78" i="31"/>
  <c r="W84" i="31"/>
  <c r="W90" i="31"/>
  <c r="W89" i="33"/>
  <c r="N30" i="35"/>
  <c r="B142" i="11"/>
  <c r="L137" i="25"/>
  <c r="C141" i="23"/>
  <c r="J151" i="22"/>
  <c r="N151" i="22" s="1"/>
  <c r="B155" i="13"/>
  <c r="B108" i="28"/>
  <c r="N60" i="28"/>
  <c r="H193" i="5"/>
  <c r="S209" i="13"/>
  <c r="D197" i="18"/>
  <c r="B191" i="24"/>
  <c r="D87" i="30"/>
  <c r="J87" i="30"/>
  <c r="J100" i="33"/>
  <c r="T101" i="32"/>
  <c r="J135" i="35"/>
  <c r="D126" i="20"/>
  <c r="N12" i="20"/>
  <c r="N14" i="20"/>
  <c r="N21" i="20"/>
  <c r="N23" i="20"/>
  <c r="N25" i="20"/>
  <c r="B138" i="20"/>
  <c r="B145" i="20"/>
  <c r="N61" i="20"/>
  <c r="D154" i="20"/>
  <c r="B155" i="20"/>
  <c r="N88" i="20"/>
  <c r="W144" i="20"/>
  <c r="W168" i="20"/>
  <c r="B194" i="5"/>
  <c r="B88" i="30"/>
  <c r="D97" i="31"/>
  <c r="C196" i="14"/>
  <c r="N131" i="13"/>
  <c r="D194" i="12"/>
  <c r="N133" i="9"/>
  <c r="C136" i="35"/>
  <c r="D129" i="36"/>
  <c r="N112" i="6"/>
  <c r="W86" i="31"/>
  <c r="W96" i="32"/>
  <c r="C85" i="33"/>
  <c r="B86" i="33"/>
  <c r="N22" i="33"/>
  <c r="W90" i="33"/>
  <c r="C149" i="8"/>
  <c r="C142" i="11"/>
  <c r="S149" i="8"/>
  <c r="N7" i="17"/>
  <c r="N7" i="24"/>
  <c r="S137" i="24"/>
  <c r="N115" i="2"/>
  <c r="N59" i="28"/>
  <c r="D193" i="5"/>
  <c r="D209" i="13"/>
  <c r="T209" i="13"/>
  <c r="N118" i="11"/>
  <c r="C199" i="19"/>
  <c r="N114" i="25"/>
  <c r="C191" i="24"/>
  <c r="H205" i="22"/>
  <c r="N53" i="33"/>
  <c r="D128" i="36"/>
  <c r="B124" i="20"/>
  <c r="B129" i="20"/>
  <c r="B135" i="20"/>
  <c r="N32" i="20"/>
  <c r="N36" i="20"/>
  <c r="N43" i="20"/>
  <c r="N53" i="20"/>
  <c r="B160" i="20"/>
  <c r="C166" i="20"/>
  <c r="B169" i="20"/>
  <c r="B170" i="20"/>
  <c r="W136" i="20"/>
  <c r="W165" i="20"/>
  <c r="D193" i="2"/>
  <c r="C194" i="5"/>
  <c r="C97" i="31"/>
  <c r="W97" i="31"/>
  <c r="D196" i="14"/>
  <c r="C129" i="36"/>
  <c r="L108" i="37"/>
  <c r="N17" i="28"/>
  <c r="N22" i="28"/>
  <c r="W101" i="28"/>
  <c r="C109" i="28"/>
  <c r="N44" i="28"/>
  <c r="H103" i="28"/>
  <c r="H100" i="28"/>
  <c r="C108" i="28"/>
  <c r="W95" i="28"/>
  <c r="N63" i="28"/>
  <c r="L95" i="28"/>
  <c r="H87" i="28"/>
  <c r="D95" i="28"/>
  <c r="J102" i="28"/>
  <c r="L97" i="28"/>
  <c r="L102" i="28"/>
  <c r="N8" i="28"/>
  <c r="B101" i="28"/>
  <c r="B102" i="28"/>
  <c r="D103" i="28"/>
  <c r="J107" i="28"/>
  <c r="H101" i="28"/>
  <c r="W92" i="28"/>
  <c r="W105" i="28"/>
  <c r="W99" i="28"/>
  <c r="N20" i="28"/>
  <c r="D100" i="28"/>
  <c r="L100" i="28"/>
  <c r="N9" i="28"/>
  <c r="T100" i="28"/>
  <c r="B94" i="28"/>
  <c r="B87" i="28"/>
  <c r="N15" i="28"/>
  <c r="N33" i="28"/>
  <c r="S100" i="28"/>
  <c r="D92" i="28"/>
  <c r="H99" i="28"/>
  <c r="H97" i="28"/>
  <c r="C86" i="28"/>
  <c r="N13" i="28"/>
  <c r="C89" i="28"/>
  <c r="C91" i="28"/>
  <c r="N28" i="28"/>
  <c r="N48" i="28"/>
  <c r="C105" i="28"/>
  <c r="L104" i="28"/>
  <c r="B99" i="28"/>
  <c r="J105" i="28"/>
  <c r="H95" i="28"/>
  <c r="N32" i="28"/>
  <c r="L106" i="28"/>
  <c r="N45" i="28"/>
  <c r="N14" i="28"/>
  <c r="C88" i="28"/>
  <c r="D91" i="28"/>
  <c r="N23" i="28"/>
  <c r="D96" i="28"/>
  <c r="D98" i="28"/>
  <c r="C101" i="28"/>
  <c r="D102" i="28"/>
  <c r="C103" i="28"/>
  <c r="C100" i="28"/>
  <c r="J106" i="28"/>
  <c r="J104" i="28"/>
  <c r="J100" i="28"/>
  <c r="W91" i="28"/>
  <c r="N58" i="28"/>
  <c r="B109" i="28"/>
  <c r="N9" i="38"/>
  <c r="N55" i="38"/>
  <c r="N35" i="38"/>
  <c r="H89" i="38"/>
  <c r="B89" i="38"/>
  <c r="C96" i="38"/>
  <c r="D86" i="38"/>
  <c r="N27" i="38"/>
  <c r="N46" i="38"/>
  <c r="H98" i="38"/>
  <c r="H96" i="38"/>
  <c r="L85" i="38"/>
  <c r="H102" i="38"/>
  <c r="H95" i="38"/>
  <c r="C84" i="38"/>
  <c r="C88" i="38"/>
  <c r="N39" i="38"/>
  <c r="C99" i="38"/>
  <c r="B91" i="38"/>
  <c r="B98" i="38"/>
  <c r="B102" i="38"/>
  <c r="D103" i="38"/>
  <c r="B100" i="38"/>
  <c r="J90" i="38"/>
  <c r="N46" i="33"/>
  <c r="W81" i="33"/>
  <c r="N55" i="33"/>
  <c r="J85" i="33"/>
  <c r="N50" i="33"/>
  <c r="N12" i="33"/>
  <c r="L100" i="33"/>
  <c r="N48" i="33"/>
  <c r="N45" i="33"/>
  <c r="L101" i="33"/>
  <c r="H100" i="33"/>
  <c r="D91" i="33"/>
  <c r="C92" i="33"/>
  <c r="W84" i="33"/>
  <c r="W92" i="33"/>
  <c r="N7" i="33"/>
  <c r="L85" i="33"/>
  <c r="L88" i="33"/>
  <c r="N14" i="33"/>
  <c r="B90" i="33"/>
  <c r="B97" i="33"/>
  <c r="B99" i="33"/>
  <c r="D85" i="33"/>
  <c r="N25" i="33"/>
  <c r="W86" i="33"/>
  <c r="W100" i="33"/>
  <c r="N54" i="33"/>
  <c r="N56" i="33"/>
  <c r="L84" i="33"/>
  <c r="J93" i="33"/>
  <c r="N42" i="33"/>
  <c r="N44" i="33"/>
  <c r="C98" i="33"/>
  <c r="L86" i="33"/>
  <c r="C86" i="33"/>
  <c r="D87" i="33"/>
  <c r="J101" i="33"/>
  <c r="N129" i="15"/>
  <c r="N123" i="15"/>
  <c r="N47" i="29"/>
  <c r="H102" i="29"/>
  <c r="J98" i="29"/>
  <c r="L82" i="29"/>
  <c r="N25" i="29"/>
  <c r="N39" i="29"/>
  <c r="J94" i="29"/>
  <c r="H88" i="29"/>
  <c r="N29" i="29"/>
  <c r="N17" i="29"/>
  <c r="H97" i="29"/>
  <c r="L87" i="29"/>
  <c r="B90" i="29"/>
  <c r="E90" i="29" s="1"/>
  <c r="D87" i="29"/>
  <c r="B86" i="29"/>
  <c r="E86" i="29" s="1"/>
  <c r="W96" i="29"/>
  <c r="N61" i="29"/>
  <c r="N34" i="29"/>
  <c r="L88" i="29"/>
  <c r="N44" i="29"/>
  <c r="L85" i="29"/>
  <c r="H95" i="29"/>
  <c r="N20" i="29"/>
  <c r="N30" i="29"/>
  <c r="W89" i="29"/>
  <c r="W97" i="29"/>
  <c r="T105" i="29"/>
  <c r="U105" i="29"/>
  <c r="L97" i="29"/>
  <c r="B104" i="29"/>
  <c r="L98" i="29"/>
  <c r="L101" i="29"/>
  <c r="N22" i="29"/>
  <c r="L96" i="29"/>
  <c r="J86" i="29"/>
  <c r="H83" i="29"/>
  <c r="N83" i="29" s="1"/>
  <c r="W83" i="29"/>
  <c r="H82" i="29"/>
  <c r="B103" i="29"/>
  <c r="N45" i="29"/>
  <c r="J91" i="29"/>
  <c r="N49" i="29"/>
  <c r="C88" i="29"/>
  <c r="L102" i="29"/>
  <c r="J88" i="29"/>
  <c r="B97" i="29"/>
  <c r="B101" i="29"/>
  <c r="D103" i="29"/>
  <c r="C94" i="29"/>
  <c r="W84" i="29"/>
  <c r="D105" i="29"/>
  <c r="J101" i="29"/>
  <c r="L99" i="29"/>
  <c r="J99" i="29"/>
  <c r="N43" i="29"/>
  <c r="N7" i="29"/>
  <c r="N46" i="29"/>
  <c r="J103" i="29"/>
  <c r="N103" i="29" s="1"/>
  <c r="D89" i="29"/>
  <c r="B88" i="29"/>
  <c r="W85" i="29"/>
  <c r="W92" i="29"/>
  <c r="W100" i="29"/>
  <c r="W102" i="29"/>
  <c r="W98" i="29"/>
  <c r="W94" i="29"/>
  <c r="W90" i="29"/>
  <c r="W86" i="29"/>
  <c r="C105" i="29"/>
  <c r="C174" i="3"/>
  <c r="J196" i="3"/>
  <c r="L196" i="3"/>
  <c r="J193" i="3"/>
  <c r="W193" i="3"/>
  <c r="L189" i="3"/>
  <c r="H189" i="3"/>
  <c r="J189" i="3"/>
  <c r="L170" i="3"/>
  <c r="H170" i="3"/>
  <c r="W160" i="3"/>
  <c r="J160" i="3"/>
  <c r="H145" i="3"/>
  <c r="L145" i="3"/>
  <c r="J145" i="3"/>
  <c r="C176" i="3"/>
  <c r="W170" i="3"/>
  <c r="C191" i="3"/>
  <c r="H153" i="3"/>
  <c r="N153" i="3" s="1"/>
  <c r="N63" i="3"/>
  <c r="B171" i="3"/>
  <c r="E171" i="3" s="1"/>
  <c r="N25" i="3"/>
  <c r="B154" i="3"/>
  <c r="W166" i="3"/>
  <c r="N90" i="3"/>
  <c r="C185" i="3"/>
  <c r="C187" i="3"/>
  <c r="N94" i="3"/>
  <c r="B179" i="3"/>
  <c r="E179" i="3" s="1"/>
  <c r="N78" i="3"/>
  <c r="B188" i="3"/>
  <c r="N103" i="3"/>
  <c r="H147" i="3"/>
  <c r="L147" i="3"/>
  <c r="J147" i="3"/>
  <c r="D145" i="3"/>
  <c r="E145" i="3" s="1"/>
  <c r="N7" i="3"/>
  <c r="N121" i="3"/>
  <c r="B199" i="3"/>
  <c r="E199" i="3" s="1"/>
  <c r="N65" i="3"/>
  <c r="C172" i="3"/>
  <c r="N80" i="3"/>
  <c r="B187" i="3"/>
  <c r="W167" i="3"/>
  <c r="H167" i="3"/>
  <c r="J167" i="3"/>
  <c r="L167" i="3"/>
  <c r="L164" i="3"/>
  <c r="J164" i="3"/>
  <c r="W164" i="3"/>
  <c r="H164" i="3"/>
  <c r="L157" i="3"/>
  <c r="H157" i="3"/>
  <c r="W157" i="3"/>
  <c r="J157" i="3"/>
  <c r="L154" i="3"/>
  <c r="H154" i="3"/>
  <c r="J154" i="3"/>
  <c r="J150" i="3"/>
  <c r="L150" i="3"/>
  <c r="W150" i="3"/>
  <c r="J200" i="3"/>
  <c r="N99" i="3"/>
  <c r="N72" i="3"/>
  <c r="S196" i="3"/>
  <c r="T196" i="3"/>
  <c r="U196" i="3"/>
  <c r="B166" i="3"/>
  <c r="N49" i="3"/>
  <c r="D167" i="3"/>
  <c r="C168" i="3"/>
  <c r="N57" i="3"/>
  <c r="B157" i="3"/>
  <c r="E157" i="3" s="1"/>
  <c r="N30" i="3"/>
  <c r="W189" i="3"/>
  <c r="W147" i="3"/>
  <c r="W196" i="3"/>
  <c r="B165" i="3"/>
  <c r="N47" i="3"/>
  <c r="N55" i="3"/>
  <c r="B169" i="3"/>
  <c r="N58" i="3"/>
  <c r="W183" i="3"/>
  <c r="N101" i="3"/>
  <c r="N111" i="3"/>
  <c r="N75" i="3"/>
  <c r="J146" i="3"/>
  <c r="W185" i="3"/>
  <c r="L185" i="3"/>
  <c r="J181" i="3"/>
  <c r="L181" i="3"/>
  <c r="L177" i="3"/>
  <c r="H177" i="3"/>
  <c r="W177" i="3"/>
  <c r="J173" i="3"/>
  <c r="L173" i="3"/>
  <c r="J166" i="3"/>
  <c r="J163" i="3"/>
  <c r="W163" i="3"/>
  <c r="H163" i="3"/>
  <c r="W149" i="3"/>
  <c r="L149" i="3"/>
  <c r="J149" i="3"/>
  <c r="J199" i="3"/>
  <c r="N123" i="3"/>
  <c r="U180" i="3"/>
  <c r="H173" i="3"/>
  <c r="T185" i="3"/>
  <c r="J185" i="3"/>
  <c r="C175" i="3"/>
  <c r="H179" i="3"/>
  <c r="N179" i="3" s="1"/>
  <c r="C181" i="3"/>
  <c r="D197" i="3"/>
  <c r="D198" i="3"/>
  <c r="N40" i="3"/>
  <c r="N45" i="3"/>
  <c r="N18" i="3"/>
  <c r="N28" i="3"/>
  <c r="J192" i="3"/>
  <c r="J188" i="3"/>
  <c r="L169" i="3"/>
  <c r="N169" i="3" s="1"/>
  <c r="H159" i="3"/>
  <c r="N159" i="3" s="1"/>
  <c r="L156" i="3"/>
  <c r="N104" i="3"/>
  <c r="N71" i="3"/>
  <c r="N89" i="3"/>
  <c r="D194" i="3"/>
  <c r="J198" i="3"/>
  <c r="H198" i="3"/>
  <c r="W198" i="3"/>
  <c r="H195" i="3"/>
  <c r="L195" i="3"/>
  <c r="W172" i="3"/>
  <c r="H172" i="3"/>
  <c r="H162" i="3"/>
  <c r="L162" i="3"/>
  <c r="J152" i="3"/>
  <c r="H152" i="3"/>
  <c r="W152" i="3"/>
  <c r="W162" i="3"/>
  <c r="J176" i="3"/>
  <c r="D180" i="3"/>
  <c r="W180" i="3"/>
  <c r="H185" i="3"/>
  <c r="H181" i="3"/>
  <c r="W146" i="3"/>
  <c r="L146" i="3"/>
  <c r="D187" i="3"/>
  <c r="N91" i="3"/>
  <c r="B185" i="3"/>
  <c r="N102" i="3"/>
  <c r="D195" i="3"/>
  <c r="N115" i="3"/>
  <c r="D164" i="3"/>
  <c r="D148" i="3"/>
  <c r="N13" i="3"/>
  <c r="N26" i="3"/>
  <c r="W191" i="3"/>
  <c r="H191" i="3"/>
  <c r="U179" i="3"/>
  <c r="U177" i="3"/>
  <c r="N33" i="3"/>
  <c r="T177" i="3"/>
  <c r="B161" i="3"/>
  <c r="D178" i="3"/>
  <c r="T184" i="3"/>
  <c r="U184" i="3"/>
  <c r="C188" i="3"/>
  <c r="B190" i="3"/>
  <c r="N100" i="3"/>
  <c r="B191" i="3"/>
  <c r="U191" i="3"/>
  <c r="N108" i="3"/>
  <c r="C195" i="3"/>
  <c r="N117" i="3"/>
  <c r="N46" i="3"/>
  <c r="N62" i="3"/>
  <c r="D146" i="3"/>
  <c r="N14" i="3"/>
  <c r="B149" i="3"/>
  <c r="N66" i="3"/>
  <c r="N38" i="3"/>
  <c r="B162" i="3"/>
  <c r="C154" i="3"/>
  <c r="H194" i="3"/>
  <c r="W148" i="3"/>
  <c r="W165" i="3"/>
  <c r="N67" i="3"/>
  <c r="N74" i="3"/>
  <c r="N110" i="3"/>
  <c r="B197" i="3"/>
  <c r="N53" i="3"/>
  <c r="D147" i="3"/>
  <c r="E147" i="3" s="1"/>
  <c r="C150" i="3"/>
  <c r="E150" i="3" s="1"/>
  <c r="J190" i="3"/>
  <c r="H155" i="3"/>
  <c r="W151" i="3"/>
  <c r="C200" i="3"/>
  <c r="L165" i="3"/>
  <c r="N165" i="3" s="1"/>
  <c r="L194" i="3"/>
  <c r="N68" i="3"/>
  <c r="N84" i="3"/>
  <c r="C189" i="3"/>
  <c r="N39" i="3"/>
  <c r="D162" i="3"/>
  <c r="C153" i="3"/>
  <c r="N32" i="3"/>
  <c r="H178" i="3"/>
  <c r="N6" i="3"/>
  <c r="L200" i="3"/>
  <c r="H200" i="3"/>
  <c r="N14" i="1"/>
  <c r="N43" i="1"/>
  <c r="U157" i="1"/>
  <c r="J161" i="1"/>
  <c r="N83" i="1"/>
  <c r="N94" i="1"/>
  <c r="D191" i="1"/>
  <c r="B192" i="1"/>
  <c r="N61" i="1"/>
  <c r="N59" i="1"/>
  <c r="N57" i="1"/>
  <c r="C165" i="1"/>
  <c r="C161" i="1"/>
  <c r="C159" i="1"/>
  <c r="N37" i="1"/>
  <c r="N35" i="1"/>
  <c r="N32" i="1"/>
  <c r="B154" i="1"/>
  <c r="B148" i="1"/>
  <c r="W151" i="1"/>
  <c r="W173" i="1"/>
  <c r="J169" i="1"/>
  <c r="L165" i="1"/>
  <c r="W162" i="1"/>
  <c r="W196" i="1"/>
  <c r="T195" i="1"/>
  <c r="W197" i="1"/>
  <c r="U181" i="1"/>
  <c r="N102" i="1"/>
  <c r="N99" i="1"/>
  <c r="C152" i="1"/>
  <c r="H195" i="1"/>
  <c r="W152" i="1"/>
  <c r="H158" i="1"/>
  <c r="N80" i="1"/>
  <c r="B183" i="1"/>
  <c r="N66" i="1"/>
  <c r="N60" i="1"/>
  <c r="N56" i="1"/>
  <c r="D157" i="1"/>
  <c r="N34" i="1"/>
  <c r="D153" i="1"/>
  <c r="N25" i="1"/>
  <c r="N16" i="1"/>
  <c r="D145" i="1"/>
  <c r="W157" i="1"/>
  <c r="W150" i="1"/>
  <c r="W146" i="1"/>
  <c r="W191" i="1"/>
  <c r="J175" i="1"/>
  <c r="D198" i="1"/>
  <c r="U163" i="1"/>
  <c r="N12" i="1"/>
  <c r="C151" i="1"/>
  <c r="S175" i="1"/>
  <c r="N98" i="1"/>
  <c r="C163" i="1"/>
  <c r="D162" i="1"/>
  <c r="B161" i="1"/>
  <c r="C153" i="1"/>
  <c r="N22" i="1"/>
  <c r="C145" i="1"/>
  <c r="N8" i="1"/>
  <c r="H156" i="1"/>
  <c r="J152" i="1"/>
  <c r="H167" i="1"/>
  <c r="W160" i="1"/>
  <c r="L190" i="1"/>
  <c r="W182" i="1"/>
  <c r="W178" i="1"/>
  <c r="C143" i="1"/>
  <c r="D143" i="1"/>
  <c r="B191" i="1"/>
  <c r="D173" i="1"/>
  <c r="W171" i="1"/>
  <c r="L186" i="1"/>
  <c r="H171" i="1"/>
  <c r="C176" i="1"/>
  <c r="B177" i="1"/>
  <c r="N85" i="1"/>
  <c r="N96" i="1"/>
  <c r="C190" i="1"/>
  <c r="N108" i="1"/>
  <c r="N110" i="1"/>
  <c r="D194" i="1"/>
  <c r="B195" i="1"/>
  <c r="C196" i="1"/>
  <c r="N65" i="1"/>
  <c r="D167" i="1"/>
  <c r="L143" i="1"/>
  <c r="L191" i="1"/>
  <c r="B151" i="1"/>
  <c r="B157" i="1"/>
  <c r="T197" i="1"/>
  <c r="C174" i="1"/>
  <c r="D182" i="1"/>
  <c r="N95" i="1"/>
  <c r="D183" i="1"/>
  <c r="N70" i="1"/>
  <c r="D161" i="1"/>
  <c r="D151" i="1"/>
  <c r="C150" i="1"/>
  <c r="W170" i="1"/>
  <c r="J181" i="1"/>
  <c r="W177" i="1"/>
  <c r="U195" i="1"/>
  <c r="B143" i="1"/>
  <c r="N122" i="1"/>
  <c r="D165" i="1"/>
  <c r="U165" i="1"/>
  <c r="S165" i="1"/>
  <c r="U158" i="1"/>
  <c r="S158" i="1"/>
  <c r="H153" i="1"/>
  <c r="J153" i="1"/>
  <c r="L153" i="1"/>
  <c r="W167" i="1"/>
  <c r="W165" i="1"/>
  <c r="T177" i="1"/>
  <c r="N75" i="1"/>
  <c r="B171" i="1"/>
  <c r="N91" i="1"/>
  <c r="U183" i="1"/>
  <c r="S183" i="1"/>
  <c r="U171" i="1"/>
  <c r="S171" i="1"/>
  <c r="T171" i="1"/>
  <c r="B172" i="1"/>
  <c r="N67" i="1"/>
  <c r="W158" i="1"/>
  <c r="W153" i="1"/>
  <c r="B184" i="1"/>
  <c r="L173" i="1"/>
  <c r="J157" i="1"/>
  <c r="L167" i="1"/>
  <c r="N79" i="1"/>
  <c r="L174" i="1"/>
  <c r="T174" i="1"/>
  <c r="C194" i="1"/>
  <c r="T154" i="1"/>
  <c r="U154" i="1"/>
  <c r="N40" i="1"/>
  <c r="N26" i="1"/>
  <c r="J154" i="1"/>
  <c r="W154" i="1"/>
  <c r="H154" i="1"/>
  <c r="L151" i="1"/>
  <c r="H165" i="1"/>
  <c r="J192" i="1"/>
  <c r="W192" i="1"/>
  <c r="L192" i="1"/>
  <c r="W184" i="1"/>
  <c r="L184" i="1"/>
  <c r="W180" i="1"/>
  <c r="L180" i="1"/>
  <c r="H176" i="1"/>
  <c r="J176" i="1"/>
  <c r="W176" i="1"/>
  <c r="J180" i="1"/>
  <c r="L181" i="1"/>
  <c r="H182" i="1"/>
  <c r="J150" i="1"/>
  <c r="H151" i="1"/>
  <c r="L148" i="1"/>
  <c r="N54" i="1"/>
  <c r="T169" i="1"/>
  <c r="J167" i="1"/>
  <c r="U186" i="1"/>
  <c r="T186" i="1"/>
  <c r="D190" i="1"/>
  <c r="T145" i="1"/>
  <c r="U145" i="1"/>
  <c r="L147" i="1"/>
  <c r="W147" i="1"/>
  <c r="J168" i="1"/>
  <c r="L168" i="1"/>
  <c r="B181" i="1"/>
  <c r="L175" i="1"/>
  <c r="L150" i="1"/>
  <c r="H157" i="1"/>
  <c r="U177" i="1"/>
  <c r="U166" i="1"/>
  <c r="T166" i="1"/>
  <c r="N68" i="1"/>
  <c r="B165" i="1"/>
  <c r="N39" i="1"/>
  <c r="H150" i="1"/>
  <c r="L160" i="1"/>
  <c r="J160" i="1"/>
  <c r="H160" i="1"/>
  <c r="N30" i="1"/>
  <c r="N114" i="1"/>
  <c r="N10" i="1"/>
  <c r="N45" i="1"/>
  <c r="C188" i="1"/>
  <c r="C166" i="1"/>
  <c r="N50" i="1"/>
  <c r="D158" i="1"/>
  <c r="N28" i="1"/>
  <c r="N18" i="1"/>
  <c r="J156" i="1"/>
  <c r="J145" i="1"/>
  <c r="L145" i="1"/>
  <c r="L171" i="1"/>
  <c r="J171" i="1"/>
  <c r="J159" i="1"/>
  <c r="L159" i="1"/>
  <c r="W194" i="1"/>
  <c r="L182" i="1"/>
  <c r="J148" i="1"/>
  <c r="H183" i="1"/>
  <c r="W159" i="1"/>
  <c r="N107" i="1"/>
  <c r="L194" i="1"/>
  <c r="N89" i="1"/>
  <c r="N53" i="1"/>
  <c r="S166" i="1"/>
  <c r="D177" i="1"/>
  <c r="C183" i="1"/>
  <c r="S181" i="1"/>
  <c r="T181" i="1"/>
  <c r="B193" i="1"/>
  <c r="N109" i="1"/>
  <c r="N115" i="1"/>
  <c r="N116" i="1"/>
  <c r="B196" i="1"/>
  <c r="D168" i="1"/>
  <c r="B166" i="1"/>
  <c r="B162" i="1"/>
  <c r="N33" i="1"/>
  <c r="N27" i="1"/>
  <c r="J163" i="1"/>
  <c r="L189" i="1"/>
  <c r="W189" i="1"/>
  <c r="N123" i="1"/>
  <c r="L166" i="1"/>
  <c r="B152" i="1"/>
  <c r="J194" i="1"/>
  <c r="D171" i="1"/>
  <c r="N111" i="1"/>
  <c r="B186" i="1"/>
  <c r="B174" i="1"/>
  <c r="N72" i="1"/>
  <c r="N81" i="1"/>
  <c r="B179" i="1"/>
  <c r="T182" i="1"/>
  <c r="U182" i="1"/>
  <c r="B189" i="1"/>
  <c r="N112" i="1"/>
  <c r="B150" i="1"/>
  <c r="J155" i="1"/>
  <c r="L155" i="1"/>
  <c r="W193" i="1"/>
  <c r="J193" i="1"/>
  <c r="L193" i="1"/>
  <c r="L177" i="1"/>
  <c r="D197" i="1"/>
  <c r="C177" i="1"/>
  <c r="B185" i="1"/>
  <c r="D156" i="1"/>
  <c r="N29" i="1"/>
  <c r="H172" i="1"/>
  <c r="N6" i="1"/>
  <c r="W143" i="1"/>
  <c r="H197" i="1"/>
  <c r="L185" i="1"/>
  <c r="L152" i="1"/>
  <c r="L197" i="1"/>
  <c r="J146" i="1"/>
  <c r="L146" i="1"/>
  <c r="N78" i="1"/>
  <c r="D180" i="1"/>
  <c r="N88" i="1"/>
  <c r="D186" i="1"/>
  <c r="B190" i="1"/>
  <c r="C171" i="1"/>
  <c r="D169" i="1"/>
  <c r="N9" i="1"/>
  <c r="H168" i="1"/>
  <c r="J195" i="1"/>
  <c r="H189" i="1"/>
  <c r="N119" i="1"/>
  <c r="N118" i="1"/>
  <c r="L156" i="1"/>
  <c r="J165" i="1"/>
  <c r="C189" i="1"/>
  <c r="C192" i="1"/>
  <c r="C195" i="1"/>
  <c r="N64" i="1"/>
  <c r="N47" i="1"/>
  <c r="D160" i="1"/>
  <c r="J158" i="1"/>
  <c r="N121" i="1"/>
  <c r="B198" i="1"/>
  <c r="B197" i="1"/>
  <c r="W156" i="1"/>
  <c r="B158" i="1"/>
  <c r="S173" i="1"/>
  <c r="N76" i="1"/>
  <c r="D181" i="1"/>
  <c r="B169" i="1"/>
  <c r="H186" i="1"/>
  <c r="B98" i="28"/>
  <c r="L210" i="10"/>
  <c r="N15" i="7"/>
  <c r="L179" i="7"/>
  <c r="S181" i="7"/>
  <c r="C182" i="3"/>
  <c r="N112" i="3"/>
  <c r="W179" i="14"/>
  <c r="N109" i="13"/>
  <c r="C172" i="5"/>
  <c r="N73" i="5"/>
  <c r="N76" i="5"/>
  <c r="C173" i="5"/>
  <c r="N71" i="1"/>
  <c r="D174" i="1"/>
  <c r="B175" i="1"/>
  <c r="N74" i="1"/>
  <c r="B190" i="2"/>
  <c r="N111" i="2"/>
  <c r="N97" i="13"/>
  <c r="D194" i="13"/>
  <c r="J192" i="15"/>
  <c r="L192" i="15"/>
  <c r="N170" i="14"/>
  <c r="B188" i="13"/>
  <c r="W167" i="5"/>
  <c r="L167" i="5"/>
  <c r="J167" i="5"/>
  <c r="L181" i="7"/>
  <c r="B95" i="28"/>
  <c r="D171" i="2"/>
  <c r="H97" i="32"/>
  <c r="J181" i="15"/>
  <c r="N61" i="12"/>
  <c r="N37" i="28"/>
  <c r="T196" i="15"/>
  <c r="B196" i="15"/>
  <c r="S196" i="15"/>
  <c r="N88" i="7"/>
  <c r="D181" i="7"/>
  <c r="B181" i="3"/>
  <c r="N83" i="3"/>
  <c r="U183" i="3"/>
  <c r="S183" i="3"/>
  <c r="T183" i="3"/>
  <c r="H183" i="3"/>
  <c r="J183" i="3"/>
  <c r="L183" i="3"/>
  <c r="H184" i="3"/>
  <c r="S184" i="3"/>
  <c r="J184" i="3"/>
  <c r="B184" i="3"/>
  <c r="W184" i="3"/>
  <c r="D193" i="3"/>
  <c r="T193" i="3"/>
  <c r="S193" i="3"/>
  <c r="L193" i="3"/>
  <c r="H193" i="3"/>
  <c r="C193" i="3"/>
  <c r="U193" i="3"/>
  <c r="B186" i="2"/>
  <c r="N103" i="2"/>
  <c r="B193" i="3"/>
  <c r="C187" i="5"/>
  <c r="N104" i="5"/>
  <c r="N13" i="5"/>
  <c r="B142" i="5"/>
  <c r="J75" i="30"/>
  <c r="H75" i="30"/>
  <c r="H93" i="29"/>
  <c r="J93" i="29"/>
  <c r="L93" i="29"/>
  <c r="J90" i="29"/>
  <c r="H90" i="29"/>
  <c r="L97" i="32"/>
  <c r="N103" i="7"/>
  <c r="N194" i="14"/>
  <c r="H181" i="15"/>
  <c r="W90" i="34"/>
  <c r="S195" i="15"/>
  <c r="U195" i="15"/>
  <c r="T195" i="15"/>
  <c r="B195" i="15"/>
  <c r="H195" i="15"/>
  <c r="J195" i="15"/>
  <c r="N86" i="7"/>
  <c r="B177" i="7"/>
  <c r="D187" i="1"/>
  <c r="C187" i="1"/>
  <c r="U187" i="1"/>
  <c r="H187" i="1"/>
  <c r="L187" i="1"/>
  <c r="S187" i="1"/>
  <c r="N98" i="2"/>
  <c r="L184" i="2" s="1"/>
  <c r="N101" i="2"/>
  <c r="C185" i="2"/>
  <c r="H166" i="1"/>
  <c r="J166" i="1"/>
  <c r="W166" i="1"/>
  <c r="H163" i="1"/>
  <c r="W163" i="1"/>
  <c r="N34" i="37"/>
  <c r="C95" i="37"/>
  <c r="H77" i="30"/>
  <c r="J77" i="30"/>
  <c r="L77" i="30"/>
  <c r="B199" i="13"/>
  <c r="N107" i="13"/>
  <c r="B188" i="2"/>
  <c r="N106" i="2"/>
  <c r="L196" i="15"/>
  <c r="J196" i="15"/>
  <c r="H178" i="15"/>
  <c r="L178" i="15"/>
  <c r="W179" i="7"/>
  <c r="H192" i="15"/>
  <c r="D153" i="5"/>
  <c r="N36" i="5"/>
  <c r="L186" i="7"/>
  <c r="W186" i="7"/>
  <c r="H186" i="7"/>
  <c r="L199" i="15"/>
  <c r="H199" i="15"/>
  <c r="H199" i="3"/>
  <c r="H196" i="15"/>
  <c r="N23" i="15"/>
  <c r="H167" i="19"/>
  <c r="L167" i="19"/>
  <c r="J167" i="19"/>
  <c r="N71" i="15"/>
  <c r="D185" i="15"/>
  <c r="N73" i="15"/>
  <c r="B186" i="15"/>
  <c r="B189" i="8"/>
  <c r="N92" i="8"/>
  <c r="S179" i="1"/>
  <c r="T179" i="1"/>
  <c r="U179" i="1"/>
  <c r="D179" i="1"/>
  <c r="W179" i="1"/>
  <c r="C179" i="1"/>
  <c r="H179" i="1"/>
  <c r="J179" i="1"/>
  <c r="N115" i="5"/>
  <c r="D192" i="5"/>
  <c r="E192" i="5" s="1"/>
  <c r="H173" i="1"/>
  <c r="J173" i="1"/>
  <c r="L169" i="1"/>
  <c r="H169" i="1"/>
  <c r="W169" i="1"/>
  <c r="H162" i="1"/>
  <c r="L162" i="1"/>
  <c r="J162" i="1"/>
  <c r="N13" i="32"/>
  <c r="D82" i="32"/>
  <c r="E82" i="32" s="1"/>
  <c r="C119" i="35"/>
  <c r="N21" i="35"/>
  <c r="L188" i="15"/>
  <c r="J188" i="15"/>
  <c r="H188" i="15"/>
  <c r="U167" i="12"/>
  <c r="T167" i="12"/>
  <c r="S167" i="12"/>
  <c r="L167" i="12"/>
  <c r="D167" i="12"/>
  <c r="B167" i="12"/>
  <c r="J167" i="12"/>
  <c r="H167" i="12"/>
  <c r="C187" i="12"/>
  <c r="N102" i="12"/>
  <c r="T181" i="7"/>
  <c r="L146" i="19"/>
  <c r="H146" i="19"/>
  <c r="J146" i="19"/>
  <c r="N71" i="13"/>
  <c r="B183" i="13"/>
  <c r="C196" i="13"/>
  <c r="N101" i="13"/>
  <c r="N112" i="15"/>
  <c r="D204" i="15"/>
  <c r="L163" i="14"/>
  <c r="J163" i="14"/>
  <c r="H163" i="14"/>
  <c r="J210" i="10"/>
  <c r="B181" i="7"/>
  <c r="L199" i="3"/>
  <c r="W133" i="35"/>
  <c r="T187" i="1"/>
  <c r="N67" i="15"/>
  <c r="C184" i="15"/>
  <c r="B188" i="8"/>
  <c r="N90" i="8"/>
  <c r="N98" i="5"/>
  <c r="D184" i="5"/>
  <c r="N87" i="1"/>
  <c r="B182" i="1"/>
  <c r="D149" i="1"/>
  <c r="L149" i="1"/>
  <c r="H149" i="1"/>
  <c r="C149" i="1"/>
  <c r="S149" i="1"/>
  <c r="U149" i="1"/>
  <c r="J149" i="1"/>
  <c r="T149" i="1"/>
  <c r="W149" i="1"/>
  <c r="N63" i="1"/>
  <c r="C170" i="1"/>
  <c r="C164" i="1"/>
  <c r="N51" i="1"/>
  <c r="C158" i="2"/>
  <c r="N47" i="2"/>
  <c r="N31" i="32"/>
  <c r="C91" i="32"/>
  <c r="N111" i="14"/>
  <c r="C191" i="14"/>
  <c r="J183" i="7"/>
  <c r="W183" i="7"/>
  <c r="L183" i="7"/>
  <c r="H183" i="7"/>
  <c r="J200" i="15"/>
  <c r="L200" i="15"/>
  <c r="H200" i="15"/>
  <c r="J184" i="15"/>
  <c r="L184" i="15"/>
  <c r="H184" i="15"/>
  <c r="B197" i="13"/>
  <c r="J90" i="31"/>
  <c r="L90" i="31"/>
  <c r="H90" i="31"/>
  <c r="J156" i="25"/>
  <c r="H156" i="25"/>
  <c r="L156" i="25"/>
  <c r="B172" i="14"/>
  <c r="N72" i="14"/>
  <c r="N88" i="14"/>
  <c r="N65" i="15"/>
  <c r="C183" i="15"/>
  <c r="B183" i="8"/>
  <c r="N80" i="8"/>
  <c r="D183" i="5"/>
  <c r="N97" i="5"/>
  <c r="C175" i="1"/>
  <c r="N73" i="1"/>
  <c r="C192" i="14"/>
  <c r="W100" i="37"/>
  <c r="W189" i="9"/>
  <c r="L161" i="19"/>
  <c r="W189" i="11"/>
  <c r="N83" i="13"/>
  <c r="N87" i="13"/>
  <c r="N90" i="13"/>
  <c r="N103" i="13"/>
  <c r="C197" i="13"/>
  <c r="C198" i="13"/>
  <c r="N87" i="14"/>
  <c r="N91" i="8"/>
  <c r="N96" i="8"/>
  <c r="B180" i="5"/>
  <c r="N87" i="3"/>
  <c r="N170" i="2"/>
  <c r="N74" i="2"/>
  <c r="B179" i="2"/>
  <c r="N77" i="1"/>
  <c r="L178" i="1"/>
  <c r="D178" i="1"/>
  <c r="U178" i="1"/>
  <c r="N104" i="1"/>
  <c r="N101" i="7"/>
  <c r="C185" i="7"/>
  <c r="T197" i="8"/>
  <c r="U197" i="8"/>
  <c r="S197" i="8"/>
  <c r="C190" i="14"/>
  <c r="N108" i="7"/>
  <c r="N24" i="5"/>
  <c r="W185" i="5"/>
  <c r="L185" i="5"/>
  <c r="H158" i="7"/>
  <c r="W158" i="7"/>
  <c r="W150" i="7"/>
  <c r="D168" i="14"/>
  <c r="N65" i="14"/>
  <c r="N13" i="36"/>
  <c r="B108" i="36"/>
  <c r="N41" i="37"/>
  <c r="D161" i="11"/>
  <c r="E161" i="11" s="1"/>
  <c r="N44" i="11"/>
  <c r="N51" i="11"/>
  <c r="B164" i="11"/>
  <c r="W195" i="22"/>
  <c r="W173" i="11"/>
  <c r="J161" i="19"/>
  <c r="W184" i="25"/>
  <c r="W176" i="23"/>
  <c r="N79" i="13"/>
  <c r="B196" i="13"/>
  <c r="N102" i="13"/>
  <c r="S188" i="8"/>
  <c r="U188" i="8"/>
  <c r="T188" i="8"/>
  <c r="C188" i="8"/>
  <c r="B178" i="7"/>
  <c r="D183" i="7"/>
  <c r="B171" i="5"/>
  <c r="B176" i="3"/>
  <c r="B178" i="3"/>
  <c r="S191" i="1"/>
  <c r="J191" i="1"/>
  <c r="U191" i="1"/>
  <c r="N104" i="2"/>
  <c r="B200" i="8"/>
  <c r="N116" i="8"/>
  <c r="C190" i="2"/>
  <c r="N110" i="2"/>
  <c r="N113" i="5"/>
  <c r="N41" i="1"/>
  <c r="D159" i="1"/>
  <c r="N59" i="2"/>
  <c r="D164" i="2"/>
  <c r="N20" i="3"/>
  <c r="N25" i="32"/>
  <c r="D88" i="32"/>
  <c r="N39" i="34"/>
  <c r="W92" i="38"/>
  <c r="J158" i="19"/>
  <c r="H158" i="19"/>
  <c r="J149" i="17"/>
  <c r="L149" i="17"/>
  <c r="N99" i="13"/>
  <c r="B195" i="13"/>
  <c r="T198" i="13"/>
  <c r="B198" i="13"/>
  <c r="S198" i="13"/>
  <c r="D195" i="15"/>
  <c r="B169" i="5"/>
  <c r="T169" i="5"/>
  <c r="C152" i="2"/>
  <c r="N35" i="2"/>
  <c r="N39" i="8"/>
  <c r="C163" i="8"/>
  <c r="H201" i="8"/>
  <c r="J201" i="8"/>
  <c r="L201" i="8"/>
  <c r="H197" i="8"/>
  <c r="J197" i="8"/>
  <c r="L197" i="8"/>
  <c r="L193" i="8"/>
  <c r="H193" i="8"/>
  <c r="J193" i="8"/>
  <c r="H189" i="8"/>
  <c r="J189" i="8"/>
  <c r="L189" i="8"/>
  <c r="H185" i="8"/>
  <c r="J185" i="8"/>
  <c r="L185" i="8"/>
  <c r="J181" i="8"/>
  <c r="L181" i="8"/>
  <c r="H181" i="8"/>
  <c r="H177" i="8"/>
  <c r="L177" i="8"/>
  <c r="J177" i="8"/>
  <c r="H173" i="8"/>
  <c r="J173" i="8"/>
  <c r="L173" i="8"/>
  <c r="J152" i="8"/>
  <c r="L152" i="8"/>
  <c r="H152" i="8"/>
  <c r="L94" i="28"/>
  <c r="J94" i="28"/>
  <c r="N108" i="9"/>
  <c r="C200" i="9"/>
  <c r="B182" i="19"/>
  <c r="E182" i="19" s="1"/>
  <c r="N81" i="19"/>
  <c r="J185" i="19"/>
  <c r="H185" i="19"/>
  <c r="L185" i="19"/>
  <c r="H149" i="19"/>
  <c r="J149" i="19"/>
  <c r="L149" i="19"/>
  <c r="D180" i="7"/>
  <c r="L175" i="3"/>
  <c r="J175" i="3"/>
  <c r="U175" i="3"/>
  <c r="D183" i="3"/>
  <c r="C184" i="3"/>
  <c r="B187" i="1"/>
  <c r="D188" i="5"/>
  <c r="N112" i="8"/>
  <c r="B198" i="8"/>
  <c r="U162" i="1"/>
  <c r="C162" i="1"/>
  <c r="T162" i="1"/>
  <c r="C150" i="7"/>
  <c r="N31" i="7"/>
  <c r="C177" i="8"/>
  <c r="E177" i="8" s="1"/>
  <c r="N69" i="8"/>
  <c r="N10" i="31"/>
  <c r="D77" i="31"/>
  <c r="C196" i="9"/>
  <c r="N99" i="9"/>
  <c r="W160" i="25"/>
  <c r="C189" i="13"/>
  <c r="D191" i="13"/>
  <c r="C194" i="13"/>
  <c r="U194" i="13"/>
  <c r="T194" i="13"/>
  <c r="B194" i="13"/>
  <c r="L194" i="13"/>
  <c r="D198" i="13"/>
  <c r="C186" i="14"/>
  <c r="C179" i="8"/>
  <c r="D187" i="8"/>
  <c r="N88" i="8"/>
  <c r="N93" i="5"/>
  <c r="N96" i="3"/>
  <c r="N99" i="7"/>
  <c r="C191" i="1"/>
  <c r="T194" i="1"/>
  <c r="S194" i="1"/>
  <c r="B201" i="8"/>
  <c r="N118" i="8"/>
  <c r="N31" i="1"/>
  <c r="C154" i="1"/>
  <c r="N31" i="2"/>
  <c r="D151" i="2"/>
  <c r="N33" i="2"/>
  <c r="N21" i="30"/>
  <c r="N32" i="30"/>
  <c r="N21" i="32"/>
  <c r="D86" i="32"/>
  <c r="L89" i="32"/>
  <c r="J89" i="32"/>
  <c r="H89" i="32"/>
  <c r="N69" i="3"/>
  <c r="D175" i="3"/>
  <c r="N86" i="3"/>
  <c r="C183" i="3"/>
  <c r="C186" i="3"/>
  <c r="N75" i="2"/>
  <c r="D172" i="2"/>
  <c r="N86" i="1"/>
  <c r="B196" i="8"/>
  <c r="N108" i="8"/>
  <c r="N106" i="1"/>
  <c r="N116" i="13"/>
  <c r="N113" i="1"/>
  <c r="B159" i="1"/>
  <c r="N42" i="1"/>
  <c r="J188" i="1"/>
  <c r="W188" i="1"/>
  <c r="H188" i="1"/>
  <c r="L188" i="1"/>
  <c r="W175" i="5"/>
  <c r="N42" i="8"/>
  <c r="B165" i="8"/>
  <c r="S164" i="11"/>
  <c r="U164" i="11"/>
  <c r="C164" i="11"/>
  <c r="J164" i="11"/>
  <c r="D164" i="11"/>
  <c r="H164" i="11"/>
  <c r="L164" i="11"/>
  <c r="H165" i="11"/>
  <c r="L165" i="11"/>
  <c r="J165" i="11"/>
  <c r="B171" i="11"/>
  <c r="N65" i="11"/>
  <c r="W196" i="19"/>
  <c r="C174" i="14"/>
  <c r="E174" i="14" s="1"/>
  <c r="S179" i="8"/>
  <c r="T179" i="8"/>
  <c r="U179" i="8"/>
  <c r="B182" i="8"/>
  <c r="S187" i="8"/>
  <c r="T187" i="8"/>
  <c r="U187" i="8"/>
  <c r="D192" i="8"/>
  <c r="D193" i="8"/>
  <c r="D194" i="8"/>
  <c r="E194" i="8" s="1"/>
  <c r="C169" i="5"/>
  <c r="B180" i="1"/>
  <c r="S195" i="8"/>
  <c r="T195" i="8"/>
  <c r="U195" i="8"/>
  <c r="C196" i="8"/>
  <c r="B197" i="8"/>
  <c r="N110" i="8"/>
  <c r="D198" i="8"/>
  <c r="B199" i="8"/>
  <c r="N114" i="8"/>
  <c r="D200" i="8"/>
  <c r="D166" i="1"/>
  <c r="D147" i="1"/>
  <c r="N21" i="1"/>
  <c r="N57" i="2"/>
  <c r="N49" i="2"/>
  <c r="C161" i="3"/>
  <c r="H174" i="1"/>
  <c r="W148" i="2"/>
  <c r="W144" i="2"/>
  <c r="H176" i="3"/>
  <c r="J172" i="3"/>
  <c r="B168" i="5"/>
  <c r="N65" i="5"/>
  <c r="T167" i="5"/>
  <c r="S167" i="5"/>
  <c r="C142" i="5"/>
  <c r="U142" i="5"/>
  <c r="L155" i="7"/>
  <c r="H151" i="7"/>
  <c r="J151" i="7"/>
  <c r="W151" i="7"/>
  <c r="D153" i="8"/>
  <c r="N26" i="8"/>
  <c r="L170" i="8"/>
  <c r="H170" i="8"/>
  <c r="J170" i="8"/>
  <c r="L166" i="8"/>
  <c r="H166" i="8"/>
  <c r="J166" i="8"/>
  <c r="L160" i="8"/>
  <c r="J160" i="8"/>
  <c r="H160" i="8"/>
  <c r="J156" i="8"/>
  <c r="L156" i="8"/>
  <c r="H156" i="8"/>
  <c r="J207" i="15"/>
  <c r="B156" i="14"/>
  <c r="D151" i="14"/>
  <c r="E151" i="14" s="1"/>
  <c r="J150" i="14"/>
  <c r="N166" i="2"/>
  <c r="N70" i="13"/>
  <c r="B96" i="28"/>
  <c r="N53" i="28"/>
  <c r="N55" i="28"/>
  <c r="C107" i="28"/>
  <c r="D98" i="29"/>
  <c r="N30" i="31"/>
  <c r="C86" i="31"/>
  <c r="N37" i="31"/>
  <c r="B81" i="32"/>
  <c r="D84" i="32"/>
  <c r="C87" i="32"/>
  <c r="C92" i="32"/>
  <c r="N30" i="34"/>
  <c r="D91" i="34"/>
  <c r="N29" i="37"/>
  <c r="D93" i="37"/>
  <c r="D101" i="37"/>
  <c r="N39" i="28"/>
  <c r="L86" i="32"/>
  <c r="J80" i="34"/>
  <c r="L80" i="34"/>
  <c r="H166" i="10"/>
  <c r="L166" i="10"/>
  <c r="D166" i="10"/>
  <c r="W175" i="9"/>
  <c r="W147" i="19"/>
  <c r="S172" i="14"/>
  <c r="W172" i="14" s="1"/>
  <c r="T183" i="8"/>
  <c r="S183" i="8"/>
  <c r="U183" i="8"/>
  <c r="B123" i="6"/>
  <c r="B170" i="5"/>
  <c r="C170" i="5"/>
  <c r="N89" i="5"/>
  <c r="N106" i="8"/>
  <c r="B195" i="8"/>
  <c r="B189" i="5"/>
  <c r="N115" i="8"/>
  <c r="B196" i="3"/>
  <c r="C201" i="8"/>
  <c r="N120" i="8"/>
  <c r="B202" i="8"/>
  <c r="C166" i="2"/>
  <c r="C142" i="2"/>
  <c r="B164" i="3"/>
  <c r="H147" i="1"/>
  <c r="H190" i="1"/>
  <c r="W190" i="1"/>
  <c r="L176" i="1"/>
  <c r="J171" i="3"/>
  <c r="N171" i="3" s="1"/>
  <c r="N11" i="5"/>
  <c r="N32" i="5"/>
  <c r="N60" i="7"/>
  <c r="U140" i="7"/>
  <c r="D140" i="7"/>
  <c r="W189" i="7"/>
  <c r="L189" i="7"/>
  <c r="N63" i="8"/>
  <c r="N25" i="15"/>
  <c r="B164" i="14"/>
  <c r="N46" i="31"/>
  <c r="N34" i="32"/>
  <c r="B96" i="32"/>
  <c r="N50" i="32"/>
  <c r="N36" i="34"/>
  <c r="C96" i="34"/>
  <c r="N22" i="37"/>
  <c r="L80" i="30"/>
  <c r="L95" i="29"/>
  <c r="J89" i="29"/>
  <c r="L92" i="31"/>
  <c r="L89" i="31"/>
  <c r="H100" i="32"/>
  <c r="J100" i="32"/>
  <c r="H82" i="32"/>
  <c r="L82" i="32"/>
  <c r="U186" i="12"/>
  <c r="L186" i="12"/>
  <c r="H186" i="12"/>
  <c r="D190" i="10"/>
  <c r="J203" i="9"/>
  <c r="H203" i="9"/>
  <c r="L203" i="9"/>
  <c r="T189" i="8"/>
  <c r="U189" i="8"/>
  <c r="S189" i="8"/>
  <c r="N105" i="8"/>
  <c r="J187" i="3"/>
  <c r="W187" i="3"/>
  <c r="C185" i="5"/>
  <c r="N109" i="5"/>
  <c r="D172" i="1"/>
  <c r="D150" i="1"/>
  <c r="J183" i="1"/>
  <c r="W183" i="1"/>
  <c r="L183" i="1"/>
  <c r="L174" i="5"/>
  <c r="D165" i="8"/>
  <c r="L198" i="15"/>
  <c r="D155" i="14"/>
  <c r="N25" i="14"/>
  <c r="J83" i="30"/>
  <c r="H83" i="30"/>
  <c r="D190" i="12"/>
  <c r="U184" i="8"/>
  <c r="S184" i="8"/>
  <c r="T184" i="8"/>
  <c r="B185" i="8"/>
  <c r="B190" i="8"/>
  <c r="E190" i="8" s="1"/>
  <c r="B191" i="8"/>
  <c r="N104" i="8"/>
  <c r="D176" i="1"/>
  <c r="C181" i="1"/>
  <c r="N111" i="8"/>
  <c r="N113" i="8"/>
  <c r="N117" i="8"/>
  <c r="C202" i="8"/>
  <c r="N23" i="2"/>
  <c r="N29" i="3"/>
  <c r="B156" i="5"/>
  <c r="N41" i="5"/>
  <c r="J151" i="5"/>
  <c r="N151" i="5" s="1"/>
  <c r="D151" i="5"/>
  <c r="S151" i="5"/>
  <c r="N17" i="7"/>
  <c r="J177" i="7"/>
  <c r="J145" i="7"/>
  <c r="B166" i="15"/>
  <c r="B85" i="32"/>
  <c r="N51" i="34"/>
  <c r="N51" i="36"/>
  <c r="D124" i="36"/>
  <c r="N53" i="37"/>
  <c r="L96" i="28"/>
  <c r="H96" i="28"/>
  <c r="J96" i="28"/>
  <c r="U190" i="9"/>
  <c r="S190" i="9"/>
  <c r="T190" i="9"/>
  <c r="S180" i="8"/>
  <c r="U180" i="8"/>
  <c r="T180" i="8"/>
  <c r="B181" i="8"/>
  <c r="T185" i="8"/>
  <c r="U185" i="8"/>
  <c r="S185" i="8"/>
  <c r="D191" i="8"/>
  <c r="T191" i="8"/>
  <c r="S191" i="8"/>
  <c r="U191" i="8"/>
  <c r="N103" i="8"/>
  <c r="T181" i="5"/>
  <c r="U181" i="5"/>
  <c r="S181" i="5"/>
  <c r="N107" i="8"/>
  <c r="N109" i="8"/>
  <c r="D197" i="8"/>
  <c r="D199" i="8"/>
  <c r="U200" i="8"/>
  <c r="S200" i="8"/>
  <c r="T200" i="8"/>
  <c r="C173" i="1"/>
  <c r="N62" i="1"/>
  <c r="B149" i="1"/>
  <c r="D168" i="3"/>
  <c r="N22" i="3"/>
  <c r="D155" i="3"/>
  <c r="C159" i="3"/>
  <c r="N54" i="3"/>
  <c r="W195" i="1"/>
  <c r="J182" i="1"/>
  <c r="J178" i="1"/>
  <c r="W154" i="3"/>
  <c r="C156" i="5"/>
  <c r="C166" i="7"/>
  <c r="N40" i="7"/>
  <c r="C143" i="7"/>
  <c r="H184" i="7"/>
  <c r="J165" i="7"/>
  <c r="L156" i="7"/>
  <c r="H156" i="7"/>
  <c r="W156" i="7"/>
  <c r="J156" i="7"/>
  <c r="W152" i="7"/>
  <c r="H141" i="7"/>
  <c r="L141" i="7"/>
  <c r="N9" i="8"/>
  <c r="N20" i="8"/>
  <c r="C155" i="8"/>
  <c r="C164" i="15"/>
  <c r="N67" i="14"/>
  <c r="N146" i="2"/>
  <c r="N46" i="28"/>
  <c r="D99" i="29"/>
  <c r="C80" i="30"/>
  <c r="B76" i="31"/>
  <c r="N25" i="31"/>
  <c r="N23" i="32"/>
  <c r="B87" i="32"/>
  <c r="B89" i="32"/>
  <c r="E89" i="32" s="1"/>
  <c r="N27" i="32"/>
  <c r="N37" i="32"/>
  <c r="D94" i="32"/>
  <c r="D100" i="32"/>
  <c r="N33" i="34"/>
  <c r="C91" i="34"/>
  <c r="N49" i="34"/>
  <c r="N36" i="35"/>
  <c r="B124" i="35"/>
  <c r="N50" i="28"/>
  <c r="L87" i="32"/>
  <c r="J87" i="32"/>
  <c r="L175" i="11"/>
  <c r="J175" i="11"/>
  <c r="N115" i="11"/>
  <c r="D207" i="10"/>
  <c r="C190" i="9"/>
  <c r="U173" i="21"/>
  <c r="S173" i="21"/>
  <c r="T173" i="21"/>
  <c r="H173" i="21"/>
  <c r="B186" i="13"/>
  <c r="T181" i="8"/>
  <c r="U181" i="8"/>
  <c r="S181" i="8"/>
  <c r="L182" i="5"/>
  <c r="S182" i="5"/>
  <c r="B188" i="1"/>
  <c r="D196" i="8"/>
  <c r="C197" i="8"/>
  <c r="C199" i="8"/>
  <c r="B173" i="1"/>
  <c r="B167" i="1"/>
  <c r="D152" i="1"/>
  <c r="C141" i="2"/>
  <c r="C146" i="3"/>
  <c r="N27" i="3"/>
  <c r="C167" i="3"/>
  <c r="W185" i="1"/>
  <c r="W166" i="5"/>
  <c r="U166" i="5"/>
  <c r="S166" i="5"/>
  <c r="C145" i="7"/>
  <c r="L144" i="7"/>
  <c r="J144" i="7"/>
  <c r="H144" i="7"/>
  <c r="B161" i="8"/>
  <c r="C171" i="15"/>
  <c r="D157" i="15"/>
  <c r="N23" i="30"/>
  <c r="C81" i="30"/>
  <c r="D85" i="31"/>
  <c r="N40" i="32"/>
  <c r="N20" i="34"/>
  <c r="D94" i="37"/>
  <c r="D91" i="38"/>
  <c r="C95" i="38"/>
  <c r="N37" i="38"/>
  <c r="B96" i="38"/>
  <c r="H105" i="28"/>
  <c r="L105" i="28"/>
  <c r="H86" i="28"/>
  <c r="L86" i="28"/>
  <c r="C92" i="34"/>
  <c r="H193" i="13"/>
  <c r="C160" i="1"/>
  <c r="D148" i="1"/>
  <c r="C158" i="3"/>
  <c r="H177" i="1"/>
  <c r="H153" i="5"/>
  <c r="L149" i="7"/>
  <c r="L202" i="8"/>
  <c r="H202" i="8"/>
  <c r="J202" i="8"/>
  <c r="L198" i="8"/>
  <c r="H198" i="8"/>
  <c r="J198" i="8"/>
  <c r="L194" i="8"/>
  <c r="H194" i="8"/>
  <c r="J194" i="8"/>
  <c r="L190" i="8"/>
  <c r="H190" i="8"/>
  <c r="J190" i="8"/>
  <c r="L186" i="8"/>
  <c r="J186" i="8"/>
  <c r="H186" i="8"/>
  <c r="L182" i="8"/>
  <c r="J182" i="8"/>
  <c r="H182" i="8"/>
  <c r="L178" i="8"/>
  <c r="J178" i="8"/>
  <c r="H178" i="8"/>
  <c r="L174" i="8"/>
  <c r="H174" i="8"/>
  <c r="J174" i="8"/>
  <c r="J163" i="8"/>
  <c r="H163" i="8"/>
  <c r="L163" i="8"/>
  <c r="J153" i="8"/>
  <c r="L153" i="8"/>
  <c r="H153" i="8"/>
  <c r="L181" i="14"/>
  <c r="H161" i="14"/>
  <c r="L161" i="14"/>
  <c r="B91" i="28"/>
  <c r="N7" i="31"/>
  <c r="B83" i="31"/>
  <c r="D88" i="31"/>
  <c r="N48" i="32"/>
  <c r="C88" i="34"/>
  <c r="N7" i="38"/>
  <c r="C86" i="38"/>
  <c r="N15" i="38"/>
  <c r="C94" i="38"/>
  <c r="D100" i="38"/>
  <c r="J101" i="28"/>
  <c r="L101" i="28"/>
  <c r="L92" i="28"/>
  <c r="J83" i="32"/>
  <c r="C121" i="36"/>
  <c r="H103" i="37"/>
  <c r="B141" i="12"/>
  <c r="N32" i="12"/>
  <c r="N42" i="12"/>
  <c r="N45" i="12"/>
  <c r="B163" i="12"/>
  <c r="N110" i="12"/>
  <c r="N142" i="12"/>
  <c r="N176" i="12"/>
  <c r="N17" i="11"/>
  <c r="S148" i="11"/>
  <c r="C148" i="11"/>
  <c r="U148" i="11"/>
  <c r="N29" i="11"/>
  <c r="D154" i="11"/>
  <c r="E154" i="11" s="1"/>
  <c r="U160" i="11"/>
  <c r="C160" i="11"/>
  <c r="T160" i="11"/>
  <c r="B169" i="11"/>
  <c r="D176" i="11"/>
  <c r="D193" i="11"/>
  <c r="D194" i="11"/>
  <c r="W155" i="11"/>
  <c r="B182" i="10"/>
  <c r="C184" i="10"/>
  <c r="H185" i="10"/>
  <c r="N124" i="10"/>
  <c r="N16" i="9"/>
  <c r="D187" i="9"/>
  <c r="B189" i="9"/>
  <c r="L189" i="9"/>
  <c r="H197" i="9"/>
  <c r="D197" i="9"/>
  <c r="J199" i="9"/>
  <c r="N117" i="9"/>
  <c r="W160" i="9"/>
  <c r="N9" i="21"/>
  <c r="N16" i="21"/>
  <c r="N31" i="21"/>
  <c r="B149" i="21"/>
  <c r="J156" i="21"/>
  <c r="H156" i="21"/>
  <c r="L195" i="1"/>
  <c r="J174" i="1"/>
  <c r="J168" i="3"/>
  <c r="N168" i="3" s="1"/>
  <c r="B157" i="5"/>
  <c r="T161" i="5"/>
  <c r="U147" i="5"/>
  <c r="H190" i="5"/>
  <c r="J190" i="5"/>
  <c r="D149" i="7"/>
  <c r="N9" i="7"/>
  <c r="L148" i="7"/>
  <c r="H148" i="7"/>
  <c r="H169" i="8"/>
  <c r="J169" i="8"/>
  <c r="L169" i="8"/>
  <c r="J162" i="8"/>
  <c r="L162" i="8"/>
  <c r="H162" i="8"/>
  <c r="J159" i="8"/>
  <c r="L159" i="8"/>
  <c r="H159" i="8"/>
  <c r="L155" i="8"/>
  <c r="J155" i="8"/>
  <c r="H155" i="8"/>
  <c r="L157" i="14"/>
  <c r="C92" i="28"/>
  <c r="N40" i="28"/>
  <c r="N15" i="30"/>
  <c r="D92" i="31"/>
  <c r="B95" i="31"/>
  <c r="B93" i="34"/>
  <c r="N23" i="36"/>
  <c r="D113" i="36"/>
  <c r="C89" i="38"/>
  <c r="N26" i="38"/>
  <c r="C98" i="38"/>
  <c r="H100" i="29"/>
  <c r="N100" i="29" s="1"/>
  <c r="N16" i="32"/>
  <c r="H89" i="34"/>
  <c r="J89" i="34"/>
  <c r="B126" i="36"/>
  <c r="H108" i="36"/>
  <c r="L108" i="36"/>
  <c r="D185" i="13"/>
  <c r="N38" i="12"/>
  <c r="N52" i="12"/>
  <c r="C162" i="12"/>
  <c r="L189" i="12"/>
  <c r="D189" i="12"/>
  <c r="T189" i="12"/>
  <c r="N187" i="12"/>
  <c r="L189" i="11"/>
  <c r="U194" i="11"/>
  <c r="T194" i="11"/>
  <c r="S194" i="11"/>
  <c r="N14" i="10"/>
  <c r="B194" i="10"/>
  <c r="N121" i="10"/>
  <c r="D214" i="10"/>
  <c r="C214" i="10"/>
  <c r="N15" i="9"/>
  <c r="N22" i="9"/>
  <c r="N51" i="9"/>
  <c r="N56" i="9"/>
  <c r="D177" i="9"/>
  <c r="D190" i="9"/>
  <c r="W156" i="9"/>
  <c r="N13" i="21"/>
  <c r="N70" i="19"/>
  <c r="N86" i="23"/>
  <c r="J172" i="1"/>
  <c r="L172" i="1"/>
  <c r="J187" i="1"/>
  <c r="J171" i="5"/>
  <c r="J155" i="7"/>
  <c r="L145" i="7"/>
  <c r="H200" i="8"/>
  <c r="J200" i="8"/>
  <c r="L200" i="8"/>
  <c r="J196" i="8"/>
  <c r="H196" i="8"/>
  <c r="L196" i="8"/>
  <c r="J192" i="8"/>
  <c r="L192" i="8"/>
  <c r="H192" i="8"/>
  <c r="H188" i="8"/>
  <c r="J188" i="8"/>
  <c r="L188" i="8"/>
  <c r="J184" i="8"/>
  <c r="L184" i="8"/>
  <c r="H184" i="8"/>
  <c r="J180" i="8"/>
  <c r="L180" i="8"/>
  <c r="H180" i="8"/>
  <c r="H176" i="8"/>
  <c r="J176" i="8"/>
  <c r="L176" i="8"/>
  <c r="J165" i="8"/>
  <c r="H165" i="8"/>
  <c r="L165" i="8"/>
  <c r="L154" i="8"/>
  <c r="H154" i="8"/>
  <c r="J154" i="8"/>
  <c r="L151" i="8"/>
  <c r="J151" i="8"/>
  <c r="H151" i="8"/>
  <c r="D94" i="38"/>
  <c r="J98" i="28"/>
  <c r="H98" i="28"/>
  <c r="J89" i="31"/>
  <c r="D94" i="34"/>
  <c r="H92" i="34"/>
  <c r="J79" i="34"/>
  <c r="H79" i="34"/>
  <c r="J177" i="1"/>
  <c r="B185" i="13"/>
  <c r="H181" i="13"/>
  <c r="H145" i="7"/>
  <c r="J139" i="7"/>
  <c r="N26" i="11"/>
  <c r="C152" i="11"/>
  <c r="J151" i="11"/>
  <c r="U172" i="10"/>
  <c r="D172" i="10"/>
  <c r="S172" i="10"/>
  <c r="N102" i="21"/>
  <c r="B185" i="21"/>
  <c r="E185" i="21" s="1"/>
  <c r="C156" i="1"/>
  <c r="L144" i="1"/>
  <c r="W144" i="1"/>
  <c r="H144" i="1"/>
  <c r="J189" i="1"/>
  <c r="J184" i="1"/>
  <c r="H184" i="1"/>
  <c r="H166" i="3"/>
  <c r="H183" i="5"/>
  <c r="W190" i="7"/>
  <c r="W163" i="7"/>
  <c r="H152" i="7"/>
  <c r="H150" i="7"/>
  <c r="N66" i="8"/>
  <c r="J172" i="8"/>
  <c r="L172" i="8"/>
  <c r="H172" i="8"/>
  <c r="H168" i="8"/>
  <c r="J168" i="8"/>
  <c r="L168" i="8"/>
  <c r="J158" i="8"/>
  <c r="L158" i="8"/>
  <c r="H158" i="8"/>
  <c r="B152" i="14"/>
  <c r="H193" i="14"/>
  <c r="J193" i="14"/>
  <c r="L193" i="14"/>
  <c r="B95" i="38"/>
  <c r="H86" i="31"/>
  <c r="L86" i="31"/>
  <c r="L83" i="32"/>
  <c r="J88" i="34"/>
  <c r="N88" i="34" s="1"/>
  <c r="H95" i="37"/>
  <c r="J95" i="37"/>
  <c r="B144" i="12"/>
  <c r="N89" i="12"/>
  <c r="N103" i="12"/>
  <c r="D152" i="11"/>
  <c r="D190" i="11"/>
  <c r="L151" i="11"/>
  <c r="W161" i="11"/>
  <c r="B179" i="9"/>
  <c r="N61" i="9"/>
  <c r="C186" i="9"/>
  <c r="N75" i="9"/>
  <c r="L144" i="24"/>
  <c r="H144" i="24"/>
  <c r="J144" i="24"/>
  <c r="B156" i="1"/>
  <c r="H196" i="1"/>
  <c r="L196" i="1"/>
  <c r="H194" i="1"/>
  <c r="H175" i="1"/>
  <c r="N49" i="5"/>
  <c r="B147" i="5"/>
  <c r="L161" i="7"/>
  <c r="J159" i="7"/>
  <c r="L159" i="7"/>
  <c r="H159" i="7"/>
  <c r="D150" i="8"/>
  <c r="E150" i="8" s="1"/>
  <c r="D155" i="8"/>
  <c r="J150" i="8"/>
  <c r="H150" i="8"/>
  <c r="J199" i="8"/>
  <c r="H199" i="8"/>
  <c r="L199" i="8"/>
  <c r="J195" i="8"/>
  <c r="L195" i="8"/>
  <c r="H195" i="8"/>
  <c r="J191" i="8"/>
  <c r="L191" i="8"/>
  <c r="H191" i="8"/>
  <c r="J187" i="8"/>
  <c r="L187" i="8"/>
  <c r="H187" i="8"/>
  <c r="J183" i="8"/>
  <c r="L183" i="8"/>
  <c r="H183" i="8"/>
  <c r="H179" i="8"/>
  <c r="J179" i="8"/>
  <c r="L179" i="8"/>
  <c r="J175" i="8"/>
  <c r="L175" i="8"/>
  <c r="H175" i="8"/>
  <c r="H164" i="8"/>
  <c r="J164" i="8"/>
  <c r="L164" i="8"/>
  <c r="L161" i="8"/>
  <c r="H161" i="8"/>
  <c r="J161" i="8"/>
  <c r="J146" i="14"/>
  <c r="D82" i="34"/>
  <c r="N44" i="38"/>
  <c r="N51" i="38"/>
  <c r="H90" i="28"/>
  <c r="L90" i="28"/>
  <c r="L101" i="32"/>
  <c r="H101" i="32"/>
  <c r="J101" i="32"/>
  <c r="L91" i="34"/>
  <c r="J91" i="34"/>
  <c r="C124" i="36"/>
  <c r="J154" i="12"/>
  <c r="D154" i="12"/>
  <c r="L154" i="12"/>
  <c r="U154" i="12"/>
  <c r="J184" i="12"/>
  <c r="C184" i="12"/>
  <c r="S184" i="12"/>
  <c r="N105" i="12"/>
  <c r="W157" i="12"/>
  <c r="N180" i="12"/>
  <c r="N10" i="11"/>
  <c r="W195" i="11"/>
  <c r="D162" i="10"/>
  <c r="D170" i="10"/>
  <c r="N40" i="10"/>
  <c r="N49" i="10"/>
  <c r="C185" i="10"/>
  <c r="N76" i="10"/>
  <c r="N80" i="10"/>
  <c r="N92" i="10"/>
  <c r="C167" i="9"/>
  <c r="J170" i="9"/>
  <c r="U181" i="9"/>
  <c r="S181" i="9"/>
  <c r="B201" i="9"/>
  <c r="N111" i="9"/>
  <c r="C140" i="21"/>
  <c r="D148" i="21"/>
  <c r="D157" i="17"/>
  <c r="N96" i="25"/>
  <c r="B182" i="25"/>
  <c r="D154" i="1"/>
  <c r="L164" i="1"/>
  <c r="J164" i="1"/>
  <c r="W164" i="1"/>
  <c r="H191" i="1"/>
  <c r="J186" i="1"/>
  <c r="H140" i="5"/>
  <c r="N140" i="5" s="1"/>
  <c r="H139" i="7"/>
  <c r="L190" i="7"/>
  <c r="J147" i="7"/>
  <c r="L147" i="7"/>
  <c r="N13" i="8"/>
  <c r="N18" i="8"/>
  <c r="J171" i="8"/>
  <c r="L171" i="8"/>
  <c r="H171" i="8"/>
  <c r="J167" i="8"/>
  <c r="H167" i="8"/>
  <c r="L167" i="8"/>
  <c r="J157" i="8"/>
  <c r="L157" i="8"/>
  <c r="H157" i="8"/>
  <c r="B91" i="31"/>
  <c r="E91" i="31" s="1"/>
  <c r="N7" i="34"/>
  <c r="N12" i="38"/>
  <c r="D87" i="38"/>
  <c r="H96" i="29"/>
  <c r="J93" i="31"/>
  <c r="N93" i="31" s="1"/>
  <c r="J88" i="31"/>
  <c r="L80" i="32"/>
  <c r="H80" i="32"/>
  <c r="L94" i="34"/>
  <c r="L206" i="13"/>
  <c r="H189" i="13"/>
  <c r="L171" i="5"/>
  <c r="N8" i="12"/>
  <c r="C140" i="12"/>
  <c r="N53" i="12"/>
  <c r="C167" i="12"/>
  <c r="N83" i="12"/>
  <c r="C186" i="12"/>
  <c r="L143" i="11"/>
  <c r="J143" i="11"/>
  <c r="N98" i="11"/>
  <c r="N104" i="11"/>
  <c r="N107" i="11"/>
  <c r="D192" i="11"/>
  <c r="C194" i="11"/>
  <c r="H162" i="10"/>
  <c r="D205" i="10"/>
  <c r="J186" i="9"/>
  <c r="N55" i="21"/>
  <c r="C161" i="21"/>
  <c r="B197" i="19"/>
  <c r="N115" i="19"/>
  <c r="C147" i="17"/>
  <c r="N23" i="17"/>
  <c r="H135" i="26"/>
  <c r="S135" i="26"/>
  <c r="W135" i="26" s="1"/>
  <c r="N94" i="25"/>
  <c r="D181" i="25"/>
  <c r="J185" i="13"/>
  <c r="S175" i="12"/>
  <c r="L182" i="12"/>
  <c r="T188" i="11"/>
  <c r="H213" i="10"/>
  <c r="B190" i="9"/>
  <c r="S197" i="9"/>
  <c r="W197" i="9" s="1"/>
  <c r="N46" i="21"/>
  <c r="N74" i="21"/>
  <c r="H172" i="21"/>
  <c r="D173" i="21"/>
  <c r="N81" i="21"/>
  <c r="L180" i="21"/>
  <c r="C181" i="21"/>
  <c r="C167" i="19"/>
  <c r="L179" i="19"/>
  <c r="U179" i="19"/>
  <c r="D179" i="19"/>
  <c r="T179" i="19"/>
  <c r="S179" i="19"/>
  <c r="U183" i="19"/>
  <c r="S183" i="19"/>
  <c r="N95" i="19"/>
  <c r="L190" i="19"/>
  <c r="D191" i="19"/>
  <c r="N110" i="19"/>
  <c r="J186" i="19"/>
  <c r="C151" i="18"/>
  <c r="J160" i="18"/>
  <c r="N52" i="18"/>
  <c r="J166" i="18"/>
  <c r="H167" i="18"/>
  <c r="J167" i="18"/>
  <c r="D172" i="18"/>
  <c r="C196" i="18"/>
  <c r="W176" i="18"/>
  <c r="N18" i="17"/>
  <c r="B146" i="17"/>
  <c r="N43" i="17"/>
  <c r="L162" i="17"/>
  <c r="C165" i="17"/>
  <c r="N70" i="17"/>
  <c r="B174" i="17"/>
  <c r="D176" i="17"/>
  <c r="C180" i="17"/>
  <c r="N55" i="24"/>
  <c r="N66" i="24"/>
  <c r="B90" i="34"/>
  <c r="J94" i="34"/>
  <c r="L98" i="37"/>
  <c r="L87" i="37"/>
  <c r="U169" i="12"/>
  <c r="U156" i="11"/>
  <c r="J161" i="11"/>
  <c r="B175" i="11"/>
  <c r="B182" i="11"/>
  <c r="S182" i="11"/>
  <c r="H157" i="9"/>
  <c r="B168" i="9"/>
  <c r="T177" i="9"/>
  <c r="T188" i="9"/>
  <c r="N124" i="9"/>
  <c r="N30" i="21"/>
  <c r="H158" i="21"/>
  <c r="J158" i="21"/>
  <c r="H178" i="21"/>
  <c r="L178" i="21"/>
  <c r="W156" i="21"/>
  <c r="W188" i="21"/>
  <c r="J147" i="19"/>
  <c r="N147" i="19" s="1"/>
  <c r="N19" i="19"/>
  <c r="N66" i="19"/>
  <c r="N78" i="19"/>
  <c r="N86" i="19"/>
  <c r="J147" i="18"/>
  <c r="N36" i="18"/>
  <c r="C159" i="18"/>
  <c r="H178" i="18"/>
  <c r="C186" i="18"/>
  <c r="D165" i="17"/>
  <c r="U165" i="17"/>
  <c r="S165" i="17"/>
  <c r="C171" i="17"/>
  <c r="N75" i="17"/>
  <c r="H177" i="17"/>
  <c r="N89" i="17"/>
  <c r="H180" i="17"/>
  <c r="L180" i="17"/>
  <c r="N95" i="17"/>
  <c r="N112" i="17"/>
  <c r="B191" i="17"/>
  <c r="N58" i="16"/>
  <c r="S157" i="25"/>
  <c r="U157" i="25"/>
  <c r="U183" i="24"/>
  <c r="T183" i="24"/>
  <c r="S183" i="24"/>
  <c r="C183" i="24"/>
  <c r="L198" i="13"/>
  <c r="J169" i="11"/>
  <c r="S186" i="11"/>
  <c r="L196" i="9"/>
  <c r="L151" i="21"/>
  <c r="D165" i="21"/>
  <c r="D174" i="21"/>
  <c r="B161" i="19"/>
  <c r="N38" i="19"/>
  <c r="C144" i="17"/>
  <c r="L178" i="24"/>
  <c r="J178" i="24"/>
  <c r="H178" i="24"/>
  <c r="W172" i="23"/>
  <c r="C174" i="23"/>
  <c r="N74" i="23"/>
  <c r="T151" i="12"/>
  <c r="B152" i="12"/>
  <c r="N59" i="12"/>
  <c r="H143" i="12"/>
  <c r="H175" i="12"/>
  <c r="S156" i="11"/>
  <c r="D206" i="10"/>
  <c r="H170" i="9"/>
  <c r="C194" i="9"/>
  <c r="B205" i="9"/>
  <c r="C206" i="9"/>
  <c r="L186" i="21"/>
  <c r="J186" i="21"/>
  <c r="D159" i="19"/>
  <c r="L164" i="19"/>
  <c r="H164" i="19"/>
  <c r="D189" i="19"/>
  <c r="N111" i="19"/>
  <c r="B168" i="18"/>
  <c r="N58" i="18"/>
  <c r="W154" i="18"/>
  <c r="N9" i="17"/>
  <c r="L154" i="17"/>
  <c r="N154" i="17" s="1"/>
  <c r="C182" i="17"/>
  <c r="L150" i="23"/>
  <c r="J150" i="23"/>
  <c r="C185" i="13"/>
  <c r="N46" i="12"/>
  <c r="T156" i="11"/>
  <c r="S174" i="11"/>
  <c r="W174" i="11" s="1"/>
  <c r="L213" i="10"/>
  <c r="D206" i="9"/>
  <c r="C149" i="21"/>
  <c r="C150" i="21"/>
  <c r="N61" i="21"/>
  <c r="N66" i="21"/>
  <c r="H190" i="21"/>
  <c r="W151" i="21"/>
  <c r="W166" i="19"/>
  <c r="B167" i="19"/>
  <c r="D187" i="19"/>
  <c r="L189" i="19"/>
  <c r="D189" i="18"/>
  <c r="T159" i="18"/>
  <c r="C159" i="17"/>
  <c r="T171" i="17"/>
  <c r="W171" i="17" s="1"/>
  <c r="C179" i="17"/>
  <c r="W159" i="17"/>
  <c r="B126" i="26"/>
  <c r="L138" i="25"/>
  <c r="D138" i="25"/>
  <c r="C138" i="25"/>
  <c r="N36" i="38"/>
  <c r="N47" i="38"/>
  <c r="H194" i="9"/>
  <c r="J194" i="9"/>
  <c r="L194" i="9"/>
  <c r="H206" i="9"/>
  <c r="J206" i="9"/>
  <c r="L206" i="9"/>
  <c r="N63" i="21"/>
  <c r="N15" i="19"/>
  <c r="N27" i="19"/>
  <c r="U189" i="19"/>
  <c r="T189" i="19"/>
  <c r="S189" i="19"/>
  <c r="W190" i="19"/>
  <c r="W195" i="19"/>
  <c r="N32" i="18"/>
  <c r="N104" i="18"/>
  <c r="W151" i="18"/>
  <c r="C156" i="17"/>
  <c r="H168" i="17"/>
  <c r="C176" i="17"/>
  <c r="J156" i="23"/>
  <c r="N156" i="23" s="1"/>
  <c r="H164" i="23"/>
  <c r="J164" i="23"/>
  <c r="T187" i="21"/>
  <c r="W187" i="21" s="1"/>
  <c r="N22" i="19"/>
  <c r="B179" i="19"/>
  <c r="U185" i="19"/>
  <c r="U193" i="19"/>
  <c r="U141" i="17"/>
  <c r="S141" i="17"/>
  <c r="B151" i="17"/>
  <c r="T169" i="17"/>
  <c r="S169" i="17"/>
  <c r="J174" i="17"/>
  <c r="H174" i="17"/>
  <c r="N105" i="17"/>
  <c r="C189" i="17"/>
  <c r="B190" i="17"/>
  <c r="N110" i="17"/>
  <c r="T141" i="17"/>
  <c r="W133" i="16"/>
  <c r="N13" i="26"/>
  <c r="C128" i="26"/>
  <c r="D135" i="26"/>
  <c r="H137" i="26"/>
  <c r="C142" i="26"/>
  <c r="U142" i="26"/>
  <c r="D147" i="26"/>
  <c r="D157" i="25"/>
  <c r="B158" i="25"/>
  <c r="C168" i="25"/>
  <c r="N82" i="25"/>
  <c r="N88" i="25"/>
  <c r="N111" i="25"/>
  <c r="U141" i="24"/>
  <c r="T141" i="24"/>
  <c r="D141" i="24"/>
  <c r="S141" i="24"/>
  <c r="N27" i="24"/>
  <c r="U153" i="24"/>
  <c r="T153" i="24"/>
  <c r="J162" i="24"/>
  <c r="L162" i="24"/>
  <c r="L163" i="24"/>
  <c r="N163" i="24" s="1"/>
  <c r="C175" i="24"/>
  <c r="N82" i="24"/>
  <c r="C180" i="24"/>
  <c r="H182" i="24"/>
  <c r="L183" i="24"/>
  <c r="W164" i="24"/>
  <c r="N40" i="23"/>
  <c r="N52" i="23"/>
  <c r="N106" i="23"/>
  <c r="B142" i="23"/>
  <c r="D173" i="22"/>
  <c r="W192" i="8"/>
  <c r="B160" i="21"/>
  <c r="S177" i="21"/>
  <c r="T179" i="21"/>
  <c r="T149" i="19"/>
  <c r="N34" i="19"/>
  <c r="H174" i="19"/>
  <c r="N102" i="19"/>
  <c r="B196" i="19"/>
  <c r="B198" i="19"/>
  <c r="U177" i="19"/>
  <c r="W177" i="19" s="1"/>
  <c r="N63" i="18"/>
  <c r="U175" i="18"/>
  <c r="T145" i="17"/>
  <c r="U153" i="17"/>
  <c r="S153" i="17"/>
  <c r="T163" i="17"/>
  <c r="S163" i="17"/>
  <c r="B167" i="17"/>
  <c r="B171" i="17"/>
  <c r="C187" i="17"/>
  <c r="W155" i="17"/>
  <c r="T183" i="17"/>
  <c r="W189" i="17"/>
  <c r="N60" i="16"/>
  <c r="C120" i="26"/>
  <c r="N21" i="25"/>
  <c r="N61" i="25"/>
  <c r="N79" i="25"/>
  <c r="D179" i="25"/>
  <c r="W162" i="25"/>
  <c r="N33" i="24"/>
  <c r="B153" i="24"/>
  <c r="L164" i="24"/>
  <c r="N81" i="24"/>
  <c r="U180" i="24"/>
  <c r="W143" i="24"/>
  <c r="W151" i="24"/>
  <c r="N14" i="23"/>
  <c r="N15" i="23"/>
  <c r="J146" i="23"/>
  <c r="N23" i="23"/>
  <c r="N27" i="23"/>
  <c r="D160" i="23"/>
  <c r="N67" i="23"/>
  <c r="C171" i="23"/>
  <c r="W196" i="8"/>
  <c r="U157" i="21"/>
  <c r="U149" i="19"/>
  <c r="N18" i="19"/>
  <c r="C186" i="19"/>
  <c r="B188" i="19"/>
  <c r="L197" i="19"/>
  <c r="J157" i="18"/>
  <c r="B175" i="18"/>
  <c r="S175" i="18"/>
  <c r="B141" i="17"/>
  <c r="N72" i="17"/>
  <c r="B173" i="17"/>
  <c r="U183" i="17"/>
  <c r="T139" i="16"/>
  <c r="S139" i="16"/>
  <c r="B149" i="16"/>
  <c r="J156" i="16"/>
  <c r="L161" i="16"/>
  <c r="H161" i="16"/>
  <c r="J161" i="16"/>
  <c r="D160" i="25"/>
  <c r="C163" i="25"/>
  <c r="C167" i="25"/>
  <c r="W141" i="25"/>
  <c r="B141" i="24"/>
  <c r="N26" i="24"/>
  <c r="C147" i="24"/>
  <c r="N41" i="24"/>
  <c r="C161" i="24"/>
  <c r="N54" i="24"/>
  <c r="L169" i="24"/>
  <c r="N169" i="24" s="1"/>
  <c r="S169" i="24"/>
  <c r="B177" i="24"/>
  <c r="N91" i="24"/>
  <c r="C189" i="24"/>
  <c r="J158" i="23"/>
  <c r="N51" i="23"/>
  <c r="C163" i="23"/>
  <c r="N64" i="23"/>
  <c r="N70" i="23"/>
  <c r="N82" i="23"/>
  <c r="C180" i="23"/>
  <c r="E180" i="23" s="1"/>
  <c r="S182" i="23"/>
  <c r="U182" i="23"/>
  <c r="N109" i="23"/>
  <c r="D161" i="22"/>
  <c r="S157" i="21"/>
  <c r="T159" i="19"/>
  <c r="C188" i="19"/>
  <c r="S159" i="19"/>
  <c r="D187" i="17"/>
  <c r="H191" i="17"/>
  <c r="T119" i="26"/>
  <c r="U119" i="26"/>
  <c r="S119" i="26"/>
  <c r="C189" i="25"/>
  <c r="D156" i="24"/>
  <c r="D161" i="24"/>
  <c r="N96" i="24"/>
  <c r="C182" i="24"/>
  <c r="E182" i="24" s="1"/>
  <c r="B157" i="24"/>
  <c r="N19" i="22"/>
  <c r="C157" i="22"/>
  <c r="S183" i="21"/>
  <c r="D188" i="19"/>
  <c r="J198" i="19"/>
  <c r="S185" i="19"/>
  <c r="S193" i="19"/>
  <c r="N29" i="18"/>
  <c r="N19" i="17"/>
  <c r="U179" i="17"/>
  <c r="T179" i="17"/>
  <c r="J182" i="17"/>
  <c r="H182" i="17"/>
  <c r="N100" i="17"/>
  <c r="N111" i="17"/>
  <c r="W192" i="17"/>
  <c r="N22" i="26"/>
  <c r="J130" i="26"/>
  <c r="N33" i="26"/>
  <c r="W130" i="26"/>
  <c r="N27" i="25"/>
  <c r="C149" i="25"/>
  <c r="B157" i="25"/>
  <c r="J162" i="25"/>
  <c r="C173" i="25"/>
  <c r="N83" i="25"/>
  <c r="U179" i="25"/>
  <c r="S179" i="25"/>
  <c r="N97" i="25"/>
  <c r="B185" i="25"/>
  <c r="E185" i="25" s="1"/>
  <c r="D189" i="25"/>
  <c r="W145" i="25"/>
  <c r="N18" i="24"/>
  <c r="N40" i="24"/>
  <c r="B154" i="24"/>
  <c r="L156" i="24"/>
  <c r="N69" i="24"/>
  <c r="N90" i="24"/>
  <c r="L188" i="24"/>
  <c r="W160" i="24"/>
  <c r="N48" i="23"/>
  <c r="L166" i="23"/>
  <c r="L144" i="23"/>
  <c r="N19" i="36"/>
  <c r="B160" i="19"/>
  <c r="C193" i="19"/>
  <c r="H184" i="17"/>
  <c r="L184" i="17"/>
  <c r="T153" i="17"/>
  <c r="N64" i="16"/>
  <c r="C119" i="26"/>
  <c r="N32" i="26"/>
  <c r="W123" i="26"/>
  <c r="N43" i="25"/>
  <c r="C157" i="25"/>
  <c r="N53" i="25"/>
  <c r="N57" i="25"/>
  <c r="D173" i="25"/>
  <c r="N45" i="24"/>
  <c r="C179" i="24"/>
  <c r="C184" i="24"/>
  <c r="W147" i="24"/>
  <c r="N26" i="23"/>
  <c r="C151" i="23"/>
  <c r="H158" i="23"/>
  <c r="T177" i="23"/>
  <c r="S177" i="23"/>
  <c r="C177" i="23"/>
  <c r="U177" i="23"/>
  <c r="D182" i="23"/>
  <c r="C186" i="23"/>
  <c r="S185" i="17"/>
  <c r="H119" i="26"/>
  <c r="J119" i="26"/>
  <c r="T181" i="25"/>
  <c r="T149" i="24"/>
  <c r="T177" i="24"/>
  <c r="N43" i="23"/>
  <c r="U161" i="23"/>
  <c r="T161" i="23"/>
  <c r="D167" i="23"/>
  <c r="B176" i="23"/>
  <c r="J184" i="23"/>
  <c r="H184" i="23"/>
  <c r="D191" i="23"/>
  <c r="W155" i="23"/>
  <c r="N11" i="22"/>
  <c r="N21" i="22"/>
  <c r="N29" i="22"/>
  <c r="C171" i="22"/>
  <c r="C173" i="22"/>
  <c r="B193" i="22"/>
  <c r="N102" i="22"/>
  <c r="C194" i="22"/>
  <c r="W176" i="22"/>
  <c r="W181" i="13"/>
  <c r="T123" i="36"/>
  <c r="S123" i="36"/>
  <c r="W103" i="28"/>
  <c r="B119" i="26"/>
  <c r="L120" i="26"/>
  <c r="L152" i="25"/>
  <c r="C165" i="25"/>
  <c r="E165" i="25" s="1"/>
  <c r="B179" i="25"/>
  <c r="J174" i="25"/>
  <c r="J190" i="25"/>
  <c r="N12" i="24"/>
  <c r="B183" i="24"/>
  <c r="H156" i="24"/>
  <c r="D148" i="23"/>
  <c r="B167" i="23"/>
  <c r="T183" i="23"/>
  <c r="W183" i="23" s="1"/>
  <c r="W160" i="23"/>
  <c r="U171" i="23"/>
  <c r="W171" i="23" s="1"/>
  <c r="B155" i="22"/>
  <c r="C167" i="22"/>
  <c r="N63" i="22"/>
  <c r="N87" i="22"/>
  <c r="N114" i="22"/>
  <c r="W156" i="8"/>
  <c r="W164" i="8"/>
  <c r="W172" i="8"/>
  <c r="E80" i="33"/>
  <c r="N114" i="2"/>
  <c r="D192" i="2"/>
  <c r="J190" i="17"/>
  <c r="N14" i="26"/>
  <c r="D152" i="26"/>
  <c r="H152" i="25"/>
  <c r="H162" i="25"/>
  <c r="S171" i="25"/>
  <c r="J156" i="24"/>
  <c r="T171" i="24"/>
  <c r="T181" i="24"/>
  <c r="T185" i="24"/>
  <c r="S189" i="24"/>
  <c r="B184" i="23"/>
  <c r="T189" i="23"/>
  <c r="S189" i="23"/>
  <c r="U189" i="23"/>
  <c r="S136" i="16"/>
  <c r="N20" i="26"/>
  <c r="U175" i="25"/>
  <c r="J142" i="25"/>
  <c r="H146" i="25"/>
  <c r="T171" i="25"/>
  <c r="S165" i="24"/>
  <c r="T167" i="24"/>
  <c r="W167" i="24" s="1"/>
  <c r="T189" i="24"/>
  <c r="L160" i="23"/>
  <c r="N160" i="23" s="1"/>
  <c r="C164" i="23"/>
  <c r="B194" i="23"/>
  <c r="S169" i="23"/>
  <c r="B187" i="22"/>
  <c r="N54" i="25"/>
  <c r="J168" i="25"/>
  <c r="S175" i="25"/>
  <c r="T165" i="24"/>
  <c r="H172" i="24"/>
  <c r="B158" i="23"/>
  <c r="B189" i="23"/>
  <c r="S161" i="23"/>
  <c r="T169" i="23"/>
  <c r="B158" i="22"/>
  <c r="N23" i="22"/>
  <c r="N36" i="22"/>
  <c r="B172" i="13"/>
  <c r="N49" i="13"/>
  <c r="H85" i="28"/>
  <c r="T79" i="34"/>
  <c r="U79" i="34"/>
  <c r="L119" i="26"/>
  <c r="D119" i="26"/>
  <c r="L154" i="23"/>
  <c r="J154" i="23"/>
  <c r="H154" i="23"/>
  <c r="D159" i="23"/>
  <c r="H177" i="23"/>
  <c r="C183" i="23"/>
  <c r="C189" i="23"/>
  <c r="B174" i="22"/>
  <c r="N62" i="22"/>
  <c r="C176" i="22"/>
  <c r="N75" i="22"/>
  <c r="W172" i="15"/>
  <c r="W193" i="15"/>
  <c r="D159" i="13"/>
  <c r="W173" i="10"/>
  <c r="U188" i="19"/>
  <c r="T188" i="19"/>
  <c r="S188" i="19"/>
  <c r="W101" i="37"/>
  <c r="C132" i="35"/>
  <c r="W82" i="29"/>
  <c r="W83" i="31"/>
  <c r="W85" i="32"/>
  <c r="W201" i="15"/>
  <c r="W189" i="14"/>
  <c r="N56" i="13"/>
  <c r="W171" i="13"/>
  <c r="L171" i="22"/>
  <c r="H89" i="37"/>
  <c r="N75" i="35"/>
  <c r="N16" i="34"/>
  <c r="J84" i="34"/>
  <c r="H84" i="34"/>
  <c r="T82" i="34"/>
  <c r="U82" i="34"/>
  <c r="W83" i="34"/>
  <c r="L94" i="33"/>
  <c r="C116" i="36"/>
  <c r="W81" i="32"/>
  <c r="N7" i="9"/>
  <c r="N29" i="20"/>
  <c r="C135" i="20"/>
  <c r="T181" i="22"/>
  <c r="W186" i="10"/>
  <c r="L181" i="22"/>
  <c r="J165" i="22"/>
  <c r="L85" i="28"/>
  <c r="J85" i="28"/>
  <c r="W93" i="28"/>
  <c r="L126" i="35"/>
  <c r="D128" i="35"/>
  <c r="E128" i="35" s="1"/>
  <c r="N33" i="36"/>
  <c r="N26" i="36"/>
  <c r="L145" i="19"/>
  <c r="J145" i="19"/>
  <c r="H145" i="19"/>
  <c r="N49" i="22"/>
  <c r="B156" i="13"/>
  <c r="L161" i="13"/>
  <c r="L102" i="38"/>
  <c r="W91" i="37"/>
  <c r="W85" i="30"/>
  <c r="B91" i="33"/>
  <c r="N31" i="33"/>
  <c r="L96" i="33"/>
  <c r="J96" i="33"/>
  <c r="L79" i="31"/>
  <c r="H79" i="31"/>
  <c r="J155" i="13"/>
  <c r="H155" i="13"/>
  <c r="W184" i="13"/>
  <c r="B157" i="13"/>
  <c r="N10" i="13"/>
  <c r="H198" i="22"/>
  <c r="H173" i="22"/>
  <c r="N173" i="22" s="1"/>
  <c r="L164" i="22"/>
  <c r="H164" i="22"/>
  <c r="L158" i="22"/>
  <c r="J88" i="38"/>
  <c r="D121" i="35"/>
  <c r="W106" i="28"/>
  <c r="L120" i="35"/>
  <c r="H120" i="35"/>
  <c r="C127" i="35"/>
  <c r="D133" i="35"/>
  <c r="W86" i="30"/>
  <c r="J95" i="34"/>
  <c r="T95" i="34"/>
  <c r="S95" i="34"/>
  <c r="N35" i="33"/>
  <c r="H97" i="33"/>
  <c r="J82" i="31"/>
  <c r="H82" i="31"/>
  <c r="C196" i="11"/>
  <c r="N119" i="11"/>
  <c r="B155" i="26"/>
  <c r="W185" i="13"/>
  <c r="B173" i="13"/>
  <c r="J160" i="22"/>
  <c r="W89" i="38"/>
  <c r="W88" i="28"/>
  <c r="W107" i="28"/>
  <c r="N56" i="35"/>
  <c r="L86" i="38"/>
  <c r="N21" i="38"/>
  <c r="C81" i="33"/>
  <c r="B94" i="33"/>
  <c r="N43" i="33"/>
  <c r="N35" i="36"/>
  <c r="W93" i="29"/>
  <c r="L75" i="31"/>
  <c r="H75" i="31"/>
  <c r="N17" i="33"/>
  <c r="N23" i="33"/>
  <c r="B89" i="33"/>
  <c r="B87" i="33"/>
  <c r="D86" i="33"/>
  <c r="N24" i="34"/>
  <c r="N46" i="36"/>
  <c r="L92" i="37"/>
  <c r="J163" i="13"/>
  <c r="H139" i="5"/>
  <c r="J139" i="5"/>
  <c r="N7" i="13"/>
  <c r="T139" i="12"/>
  <c r="S139" i="12"/>
  <c r="N6" i="21"/>
  <c r="N6" i="22"/>
  <c r="C151" i="22"/>
  <c r="N10" i="20"/>
  <c r="N8" i="13"/>
  <c r="L84" i="38"/>
  <c r="U104" i="37"/>
  <c r="W104" i="37" s="1"/>
  <c r="S114" i="36"/>
  <c r="T84" i="30"/>
  <c r="J89" i="33"/>
  <c r="H89" i="33"/>
  <c r="L89" i="33"/>
  <c r="B93" i="33"/>
  <c r="W91" i="31"/>
  <c r="W92" i="32"/>
  <c r="W89" i="32"/>
  <c r="W82" i="33"/>
  <c r="N25" i="34"/>
  <c r="W113" i="35"/>
  <c r="C139" i="17"/>
  <c r="T137" i="24"/>
  <c r="U137" i="24"/>
  <c r="D139" i="12"/>
  <c r="D195" i="14"/>
  <c r="B141" i="20"/>
  <c r="N40" i="20"/>
  <c r="B208" i="13"/>
  <c r="J162" i="13"/>
  <c r="N162" i="13" s="1"/>
  <c r="N32" i="38"/>
  <c r="L88" i="38"/>
  <c r="T87" i="34"/>
  <c r="W87" i="34" s="1"/>
  <c r="J92" i="33"/>
  <c r="J98" i="33"/>
  <c r="L98" i="33"/>
  <c r="C115" i="36"/>
  <c r="J76" i="31"/>
  <c r="L76" i="31"/>
  <c r="L84" i="31"/>
  <c r="H84" i="31"/>
  <c r="W93" i="32"/>
  <c r="H95" i="34"/>
  <c r="N42" i="35"/>
  <c r="B139" i="12"/>
  <c r="S137" i="21"/>
  <c r="J137" i="21"/>
  <c r="T137" i="21"/>
  <c r="B145" i="19"/>
  <c r="N6" i="19"/>
  <c r="N84" i="35"/>
  <c r="J90" i="33"/>
  <c r="H90" i="33"/>
  <c r="J94" i="33"/>
  <c r="J97" i="33"/>
  <c r="L97" i="33"/>
  <c r="B84" i="29"/>
  <c r="E84" i="29" s="1"/>
  <c r="W87" i="31"/>
  <c r="N8" i="37"/>
  <c r="C85" i="37"/>
  <c r="B149" i="8"/>
  <c r="D137" i="25"/>
  <c r="N6" i="25"/>
  <c r="B137" i="24"/>
  <c r="L210" i="15"/>
  <c r="J210" i="15"/>
  <c r="B162" i="16"/>
  <c r="C134" i="20"/>
  <c r="J159" i="13"/>
  <c r="J97" i="38"/>
  <c r="L94" i="38"/>
  <c r="W100" i="38"/>
  <c r="C85" i="28"/>
  <c r="E85" i="28" s="1"/>
  <c r="L87" i="33"/>
  <c r="L79" i="32"/>
  <c r="W79" i="32"/>
  <c r="D86" i="34"/>
  <c r="N26" i="34"/>
  <c r="C92" i="37"/>
  <c r="N6" i="5"/>
  <c r="C139" i="5"/>
  <c r="L155" i="13"/>
  <c r="C153" i="9"/>
  <c r="L139" i="5"/>
  <c r="U139" i="12"/>
  <c r="C137" i="24"/>
  <c r="L162" i="16"/>
  <c r="E195" i="23"/>
  <c r="W86" i="38"/>
  <c r="C90" i="38"/>
  <c r="J91" i="33"/>
  <c r="H91" i="33"/>
  <c r="L95" i="33"/>
  <c r="J95" i="33"/>
  <c r="B98" i="33"/>
  <c r="N21" i="36"/>
  <c r="C87" i="33"/>
  <c r="H85" i="37"/>
  <c r="L139" i="12"/>
  <c r="J139" i="12"/>
  <c r="H139" i="12"/>
  <c r="N123" i="8"/>
  <c r="C203" i="8"/>
  <c r="U162" i="16"/>
  <c r="T162" i="16"/>
  <c r="S162" i="16"/>
  <c r="T104" i="29"/>
  <c r="U104" i="29"/>
  <c r="J146" i="20"/>
  <c r="H146" i="20"/>
  <c r="L146" i="20"/>
  <c r="N6" i="7"/>
  <c r="L153" i="9"/>
  <c r="H153" i="9"/>
  <c r="D145" i="19"/>
  <c r="L139" i="17"/>
  <c r="J139" i="17"/>
  <c r="H139" i="17"/>
  <c r="C137" i="25"/>
  <c r="R6" i="24"/>
  <c r="U141" i="23"/>
  <c r="S141" i="23"/>
  <c r="T141" i="23"/>
  <c r="U142" i="11"/>
  <c r="W153" i="9"/>
  <c r="J143" i="18"/>
  <c r="W139" i="17"/>
  <c r="J141" i="23"/>
  <c r="N126" i="15"/>
  <c r="N115" i="12"/>
  <c r="C191" i="21"/>
  <c r="W199" i="19"/>
  <c r="W197" i="18"/>
  <c r="J193" i="17"/>
  <c r="H193" i="17"/>
  <c r="J107" i="37"/>
  <c r="B101" i="32"/>
  <c r="N13" i="20"/>
  <c r="C131" i="20"/>
  <c r="H136" i="20"/>
  <c r="J136" i="20"/>
  <c r="N41" i="20"/>
  <c r="C147" i="20"/>
  <c r="N52" i="20"/>
  <c r="L151" i="20"/>
  <c r="J151" i="20"/>
  <c r="H151" i="20"/>
  <c r="B153" i="20"/>
  <c r="S145" i="19"/>
  <c r="U145" i="19"/>
  <c r="W199" i="3"/>
  <c r="H210" i="15"/>
  <c r="C195" i="14"/>
  <c r="N131" i="9"/>
  <c r="J191" i="21"/>
  <c r="N125" i="22"/>
  <c r="L125" i="20"/>
  <c r="J125" i="20"/>
  <c r="H125" i="20"/>
  <c r="L143" i="20"/>
  <c r="J143" i="20"/>
  <c r="H143" i="20"/>
  <c r="B142" i="20"/>
  <c r="N6" i="17"/>
  <c r="B141" i="23"/>
  <c r="J149" i="8"/>
  <c r="J137" i="25"/>
  <c r="H207" i="9"/>
  <c r="L199" i="19"/>
  <c r="H162" i="16"/>
  <c r="N132" i="10"/>
  <c r="N7" i="20"/>
  <c r="L126" i="20"/>
  <c r="N26" i="20"/>
  <c r="C140" i="20"/>
  <c r="N38" i="20"/>
  <c r="N81" i="20"/>
  <c r="U162" i="20"/>
  <c r="T162" i="20"/>
  <c r="S162" i="20"/>
  <c r="L163" i="20"/>
  <c r="J163" i="20"/>
  <c r="H163" i="20"/>
  <c r="N92" i="20"/>
  <c r="B167" i="20"/>
  <c r="N100" i="20"/>
  <c r="B171" i="20"/>
  <c r="H132" i="20"/>
  <c r="L77" i="31"/>
  <c r="J199" i="19"/>
  <c r="H199" i="19"/>
  <c r="B197" i="18"/>
  <c r="D162" i="16"/>
  <c r="J162" i="16"/>
  <c r="L133" i="20"/>
  <c r="J133" i="20"/>
  <c r="H133" i="20"/>
  <c r="S139" i="20"/>
  <c r="U139" i="20"/>
  <c r="T139" i="20"/>
  <c r="J132" i="20"/>
  <c r="W143" i="20"/>
  <c r="N86" i="16"/>
  <c r="C163" i="16"/>
  <c r="D141" i="23"/>
  <c r="T145" i="19"/>
  <c r="D108" i="28"/>
  <c r="N57" i="28"/>
  <c r="B209" i="13"/>
  <c r="N128" i="13"/>
  <c r="C207" i="9"/>
  <c r="C162" i="16"/>
  <c r="C102" i="32"/>
  <c r="B100" i="33"/>
  <c r="B135" i="35"/>
  <c r="H215" i="10"/>
  <c r="J215" i="10"/>
  <c r="L215" i="10"/>
  <c r="J134" i="20"/>
  <c r="N35" i="20"/>
  <c r="H140" i="20"/>
  <c r="J140" i="20"/>
  <c r="L140" i="20"/>
  <c r="D141" i="20"/>
  <c r="N57" i="20"/>
  <c r="L150" i="20"/>
  <c r="N62" i="20"/>
  <c r="N75" i="20"/>
  <c r="L165" i="20"/>
  <c r="J165" i="20"/>
  <c r="H165" i="20"/>
  <c r="J166" i="20"/>
  <c r="H166" i="20"/>
  <c r="L166" i="20"/>
  <c r="L136" i="20"/>
  <c r="W83" i="38"/>
  <c r="H137" i="21"/>
  <c r="B137" i="25"/>
  <c r="J108" i="28"/>
  <c r="L108" i="28"/>
  <c r="H209" i="13"/>
  <c r="L209" i="13"/>
  <c r="N130" i="9"/>
  <c r="T191" i="21"/>
  <c r="S191" i="21"/>
  <c r="J99" i="34"/>
  <c r="N99" i="34" s="1"/>
  <c r="C135" i="35"/>
  <c r="N8" i="20"/>
  <c r="L129" i="20"/>
  <c r="J129" i="20"/>
  <c r="H129" i="20"/>
  <c r="N18" i="20"/>
  <c r="B148" i="20"/>
  <c r="N54" i="20"/>
  <c r="U150" i="20"/>
  <c r="T150" i="20"/>
  <c r="S150" i="20"/>
  <c r="H150" i="20"/>
  <c r="S159" i="20"/>
  <c r="T159" i="20"/>
  <c r="C127" i="20"/>
  <c r="H193" i="12"/>
  <c r="L207" i="9"/>
  <c r="J205" i="22"/>
  <c r="C103" i="38"/>
  <c r="U124" i="20"/>
  <c r="T124" i="20"/>
  <c r="S124" i="20"/>
  <c r="B126" i="20"/>
  <c r="D132" i="20"/>
  <c r="L135" i="20"/>
  <c r="J135" i="20"/>
  <c r="C136" i="20"/>
  <c r="B137" i="20"/>
  <c r="L139" i="20"/>
  <c r="J139" i="20"/>
  <c r="U142" i="20"/>
  <c r="T142" i="20"/>
  <c r="D146" i="20"/>
  <c r="B147" i="20"/>
  <c r="D150" i="20"/>
  <c r="N60" i="20"/>
  <c r="L154" i="20"/>
  <c r="J154" i="20"/>
  <c r="H154" i="20"/>
  <c r="L162" i="20"/>
  <c r="C164" i="20"/>
  <c r="W125" i="20"/>
  <c r="J128" i="20"/>
  <c r="L134" i="20"/>
  <c r="W137" i="20"/>
  <c r="H200" i="19"/>
  <c r="J200" i="19"/>
  <c r="L200" i="19"/>
  <c r="L193" i="12"/>
  <c r="B207" i="9"/>
  <c r="H197" i="18"/>
  <c r="L105" i="29"/>
  <c r="J105" i="29"/>
  <c r="H105" i="29"/>
  <c r="N53" i="38"/>
  <c r="J102" i="32"/>
  <c r="D130" i="20"/>
  <c r="D134" i="20"/>
  <c r="L137" i="20"/>
  <c r="J137" i="20"/>
  <c r="C138" i="20"/>
  <c r="H144" i="20"/>
  <c r="C145" i="20"/>
  <c r="L148" i="20"/>
  <c r="B149" i="20"/>
  <c r="C153" i="20"/>
  <c r="J156" i="20"/>
  <c r="L160" i="20"/>
  <c r="J160" i="20"/>
  <c r="B161" i="20"/>
  <c r="N87" i="20"/>
  <c r="N89" i="20"/>
  <c r="L169" i="20"/>
  <c r="J169" i="20"/>
  <c r="H169" i="20"/>
  <c r="L170" i="20"/>
  <c r="J170" i="20"/>
  <c r="J126" i="20"/>
  <c r="W127" i="20"/>
  <c r="H130" i="20"/>
  <c r="W135" i="20"/>
  <c r="J138" i="20"/>
  <c r="J148" i="20"/>
  <c r="S153" i="20"/>
  <c r="N130" i="13"/>
  <c r="H103" i="32"/>
  <c r="L103" i="32"/>
  <c r="J103" i="32"/>
  <c r="W192" i="21"/>
  <c r="J136" i="35"/>
  <c r="L136" i="35"/>
  <c r="B156" i="26"/>
  <c r="N80" i="26"/>
  <c r="U193" i="5"/>
  <c r="B210" i="15"/>
  <c r="J193" i="12"/>
  <c r="H196" i="11"/>
  <c r="H191" i="25"/>
  <c r="D215" i="10"/>
  <c r="N54" i="38"/>
  <c r="H103" i="38"/>
  <c r="B128" i="20"/>
  <c r="D138" i="20"/>
  <c r="B139" i="20"/>
  <c r="L141" i="20"/>
  <c r="J141" i="20"/>
  <c r="C142" i="20"/>
  <c r="D145" i="20"/>
  <c r="U148" i="20"/>
  <c r="T148" i="20"/>
  <c r="S148" i="20"/>
  <c r="C149" i="20"/>
  <c r="L152" i="20"/>
  <c r="U156" i="20"/>
  <c r="T156" i="20"/>
  <c r="S156" i="20"/>
  <c r="C161" i="20"/>
  <c r="B125" i="20"/>
  <c r="J130" i="20"/>
  <c r="J144" i="20"/>
  <c r="T153" i="20"/>
  <c r="S197" i="1"/>
  <c r="H198" i="18"/>
  <c r="J198" i="18"/>
  <c r="J197" i="18"/>
  <c r="J191" i="25"/>
  <c r="L127" i="20"/>
  <c r="J127" i="20"/>
  <c r="H127" i="20"/>
  <c r="C128" i="20"/>
  <c r="N16" i="20"/>
  <c r="B132" i="20"/>
  <c r="U134" i="20"/>
  <c r="T134" i="20"/>
  <c r="S134" i="20"/>
  <c r="N30" i="20"/>
  <c r="H138" i="20"/>
  <c r="N44" i="20"/>
  <c r="H145" i="20"/>
  <c r="B146" i="20"/>
  <c r="D149" i="20"/>
  <c r="L157" i="20"/>
  <c r="J157" i="20"/>
  <c r="H157" i="20"/>
  <c r="B159" i="20"/>
  <c r="D161" i="20"/>
  <c r="N101" i="20"/>
  <c r="W131" i="20"/>
  <c r="H134" i="20"/>
  <c r="H141" i="20"/>
  <c r="L144" i="20"/>
  <c r="J204" i="8"/>
  <c r="H204" i="8"/>
  <c r="L204" i="8"/>
  <c r="N126" i="8"/>
  <c r="W97" i="33"/>
  <c r="C215" i="10"/>
  <c r="L131" i="20"/>
  <c r="J131" i="20"/>
  <c r="H131" i="20"/>
  <c r="H142" i="20"/>
  <c r="U145" i="20"/>
  <c r="T145" i="20"/>
  <c r="L149" i="20"/>
  <c r="J149" i="20"/>
  <c r="H149" i="20"/>
  <c r="N63" i="20"/>
  <c r="C159" i="20"/>
  <c r="N84" i="20"/>
  <c r="C163" i="20"/>
  <c r="B164" i="20"/>
  <c r="N86" i="20"/>
  <c r="H137" i="20"/>
  <c r="W141" i="20"/>
  <c r="L198" i="18"/>
  <c r="L153" i="20"/>
  <c r="J153" i="20"/>
  <c r="H153" i="20"/>
  <c r="L159" i="20"/>
  <c r="J159" i="20"/>
  <c r="H159" i="20"/>
  <c r="B166" i="20"/>
  <c r="L156" i="20"/>
  <c r="J158" i="20"/>
  <c r="B165" i="20"/>
  <c r="J168" i="20"/>
  <c r="W169" i="20"/>
  <c r="H198" i="1"/>
  <c r="W198" i="1"/>
  <c r="L198" i="1"/>
  <c r="H88" i="30"/>
  <c r="L88" i="30"/>
  <c r="D204" i="8"/>
  <c r="D103" i="32"/>
  <c r="J172" i="20"/>
  <c r="L172" i="20"/>
  <c r="H172" i="20"/>
  <c r="B150" i="20"/>
  <c r="D152" i="20"/>
  <c r="U154" i="20"/>
  <c r="T154" i="20"/>
  <c r="S154" i="20"/>
  <c r="B156" i="20"/>
  <c r="C158" i="20"/>
  <c r="U160" i="20"/>
  <c r="T160" i="20"/>
  <c r="S160" i="20"/>
  <c r="D164" i="20"/>
  <c r="U166" i="20"/>
  <c r="T166" i="20"/>
  <c r="S166" i="20"/>
  <c r="B168" i="20"/>
  <c r="J150" i="20"/>
  <c r="H152" i="20"/>
  <c r="T155" i="20"/>
  <c r="S157" i="20"/>
  <c r="H162" i="20"/>
  <c r="S171" i="20"/>
  <c r="L194" i="5"/>
  <c r="W194" i="5"/>
  <c r="J194" i="5"/>
  <c r="W88" i="30"/>
  <c r="D106" i="29"/>
  <c r="B194" i="12"/>
  <c r="W98" i="33"/>
  <c r="N192" i="24"/>
  <c r="C172" i="20"/>
  <c r="H108" i="37"/>
  <c r="J108" i="37"/>
  <c r="L156" i="26"/>
  <c r="C150" i="20"/>
  <c r="C156" i="20"/>
  <c r="D158" i="20"/>
  <c r="B162" i="20"/>
  <c r="C168" i="20"/>
  <c r="N96" i="20"/>
  <c r="L171" i="20"/>
  <c r="J171" i="20"/>
  <c r="H171" i="20"/>
  <c r="J152" i="20"/>
  <c r="T157" i="20"/>
  <c r="J162" i="20"/>
  <c r="H164" i="20"/>
  <c r="T171" i="20"/>
  <c r="N117" i="2"/>
  <c r="B200" i="3"/>
  <c r="N121" i="14"/>
  <c r="N120" i="11"/>
  <c r="W208" i="9"/>
  <c r="W200" i="19"/>
  <c r="J163" i="16"/>
  <c r="H163" i="16"/>
  <c r="L163" i="16"/>
  <c r="N81" i="26"/>
  <c r="W156" i="26"/>
  <c r="U152" i="20"/>
  <c r="T152" i="20"/>
  <c r="S152" i="20"/>
  <c r="L155" i="20"/>
  <c r="J155" i="20"/>
  <c r="H155" i="20"/>
  <c r="L161" i="20"/>
  <c r="J161" i="20"/>
  <c r="H161" i="20"/>
  <c r="C162" i="20"/>
  <c r="L167" i="20"/>
  <c r="J167" i="20"/>
  <c r="H167" i="20"/>
  <c r="D168" i="20"/>
  <c r="B151" i="20"/>
  <c r="H156" i="20"/>
  <c r="J164" i="20"/>
  <c r="W200" i="3"/>
  <c r="B101" i="33"/>
  <c r="W196" i="23"/>
  <c r="B192" i="25"/>
  <c r="N117" i="25"/>
  <c r="L147" i="20"/>
  <c r="J147" i="20"/>
  <c r="H147" i="20"/>
  <c r="N64" i="20"/>
  <c r="N66" i="20"/>
  <c r="D156" i="20"/>
  <c r="N78" i="20"/>
  <c r="D162" i="20"/>
  <c r="U164" i="20"/>
  <c r="T164" i="20"/>
  <c r="S164" i="20"/>
  <c r="N90" i="20"/>
  <c r="N98" i="20"/>
  <c r="W147" i="20"/>
  <c r="H194" i="5"/>
  <c r="B211" i="15"/>
  <c r="C103" i="32"/>
  <c r="J197" i="11"/>
  <c r="L197" i="11"/>
  <c r="H197" i="11"/>
  <c r="C197" i="11"/>
  <c r="B208" i="9"/>
  <c r="N132" i="9"/>
  <c r="D100" i="34"/>
  <c r="E100" i="34" s="1"/>
  <c r="H192" i="21"/>
  <c r="J192" i="21"/>
  <c r="L192" i="21"/>
  <c r="D172" i="20"/>
  <c r="C198" i="18"/>
  <c r="W198" i="18"/>
  <c r="N116" i="25"/>
  <c r="L109" i="28"/>
  <c r="J196" i="14"/>
  <c r="J208" i="9"/>
  <c r="J156" i="26"/>
  <c r="B198" i="18"/>
  <c r="N111" i="6"/>
  <c r="L193" i="7"/>
  <c r="N51" i="31"/>
  <c r="N57" i="32"/>
  <c r="H193" i="7"/>
  <c r="L126" i="6"/>
  <c r="H126" i="6"/>
  <c r="J126" i="6"/>
  <c r="N113" i="6"/>
  <c r="N118" i="6"/>
  <c r="N119" i="6"/>
  <c r="N117" i="6"/>
  <c r="N114" i="6"/>
  <c r="N121" i="6"/>
  <c r="N120" i="6"/>
  <c r="C140" i="6"/>
  <c r="J129" i="6"/>
  <c r="B138" i="6"/>
  <c r="E116" i="6"/>
  <c r="U132" i="6"/>
  <c r="N37" i="6"/>
  <c r="B137" i="6"/>
  <c r="C138" i="6"/>
  <c r="E113" i="6"/>
  <c r="E118" i="6"/>
  <c r="E115" i="6"/>
  <c r="N44" i="6"/>
  <c r="N80" i="6"/>
  <c r="B147" i="6"/>
  <c r="C137" i="6"/>
  <c r="B140" i="6"/>
  <c r="E121" i="6"/>
  <c r="E112" i="6"/>
  <c r="E122" i="6"/>
  <c r="E120" i="6"/>
  <c r="C135" i="6"/>
  <c r="C143" i="6"/>
  <c r="B146" i="6"/>
  <c r="D140" i="6"/>
  <c r="L139" i="6"/>
  <c r="J139" i="6"/>
  <c r="H139" i="6"/>
  <c r="C123" i="6"/>
  <c r="B127" i="6"/>
  <c r="J138" i="6"/>
  <c r="L138" i="6"/>
  <c r="H138" i="6"/>
  <c r="D123" i="6"/>
  <c r="D139" i="6"/>
  <c r="B142" i="6"/>
  <c r="L137" i="6"/>
  <c r="C139" i="6"/>
  <c r="B143" i="6"/>
  <c r="B144" i="6"/>
  <c r="B145" i="6"/>
  <c r="U123" i="6"/>
  <c r="T123" i="6"/>
  <c r="S123" i="6"/>
  <c r="E119" i="6"/>
  <c r="B139" i="6"/>
  <c r="B141" i="6"/>
  <c r="L140" i="6"/>
  <c r="J140" i="6"/>
  <c r="H140" i="6"/>
  <c r="E114" i="6"/>
  <c r="E117" i="6"/>
  <c r="N64" i="28"/>
  <c r="N104" i="38"/>
  <c r="W106" i="29"/>
  <c r="W109" i="28"/>
  <c r="J109" i="28"/>
  <c r="T103" i="38"/>
  <c r="L103" i="38"/>
  <c r="E83" i="38"/>
  <c r="N14" i="38"/>
  <c r="D88" i="38"/>
  <c r="C91" i="38"/>
  <c r="D93" i="38"/>
  <c r="N22" i="38"/>
  <c r="S102" i="38"/>
  <c r="S94" i="38"/>
  <c r="C87" i="38"/>
  <c r="N17" i="38"/>
  <c r="D92" i="38"/>
  <c r="N29" i="38"/>
  <c r="D95" i="38"/>
  <c r="N40" i="38"/>
  <c r="B99" i="38"/>
  <c r="C100" i="38"/>
  <c r="N49" i="38"/>
  <c r="J100" i="38"/>
  <c r="J94" i="38"/>
  <c r="J91" i="38"/>
  <c r="H85" i="38"/>
  <c r="U94" i="38"/>
  <c r="B90" i="38"/>
  <c r="H94" i="38"/>
  <c r="J96" i="38"/>
  <c r="N8" i="38"/>
  <c r="C85" i="38"/>
  <c r="N13" i="38"/>
  <c r="D90" i="38"/>
  <c r="N43" i="38"/>
  <c r="D101" i="38"/>
  <c r="J101" i="38"/>
  <c r="J98" i="38"/>
  <c r="J95" i="38"/>
  <c r="L93" i="38"/>
  <c r="H87" i="38"/>
  <c r="J99" i="38"/>
  <c r="J84" i="38"/>
  <c r="L96" i="38"/>
  <c r="N52" i="38"/>
  <c r="N10" i="38"/>
  <c r="N16" i="38"/>
  <c r="N23" i="38"/>
  <c r="D96" i="38"/>
  <c r="N41" i="38"/>
  <c r="D99" i="38"/>
  <c r="H101" i="38"/>
  <c r="L97" i="38"/>
  <c r="L89" i="38"/>
  <c r="N57" i="38"/>
  <c r="B94" i="38"/>
  <c r="U95" i="38"/>
  <c r="C92" i="38"/>
  <c r="T95" i="38"/>
  <c r="B85" i="38"/>
  <c r="D89" i="38"/>
  <c r="C93" i="38"/>
  <c r="N34" i="38"/>
  <c r="N48" i="38"/>
  <c r="D102" i="38"/>
  <c r="C101" i="38"/>
  <c r="L92" i="38"/>
  <c r="N56" i="38"/>
  <c r="H93" i="38"/>
  <c r="H90" i="38"/>
  <c r="N18" i="38"/>
  <c r="N30" i="38"/>
  <c r="B97" i="38"/>
  <c r="H100" i="38"/>
  <c r="H97" i="38"/>
  <c r="L91" i="38"/>
  <c r="B86" i="38"/>
  <c r="J86" i="38"/>
  <c r="J85" i="38"/>
  <c r="B84" i="38"/>
  <c r="D85" i="38"/>
  <c r="N33" i="38"/>
  <c r="N45" i="38"/>
  <c r="L95" i="38"/>
  <c r="L99" i="38"/>
  <c r="D97" i="38"/>
  <c r="N50" i="38"/>
  <c r="B101" i="38"/>
  <c r="L90" i="38"/>
  <c r="N28" i="38"/>
  <c r="B93" i="38"/>
  <c r="N11" i="38"/>
  <c r="N24" i="38"/>
  <c r="L101" i="38"/>
  <c r="B88" i="38"/>
  <c r="J89" i="38"/>
  <c r="B87" i="38"/>
  <c r="J87" i="38"/>
  <c r="N42" i="38"/>
  <c r="L100" i="38"/>
  <c r="T136" i="6"/>
  <c r="L145" i="6"/>
  <c r="J142" i="6"/>
  <c r="N66" i="6"/>
  <c r="S146" i="6"/>
  <c r="H147" i="6"/>
  <c r="N43" i="6"/>
  <c r="C136" i="6"/>
  <c r="N68" i="6"/>
  <c r="L128" i="6"/>
  <c r="W133" i="6"/>
  <c r="W137" i="6"/>
  <c r="B133" i="6"/>
  <c r="D137" i="6"/>
  <c r="L141" i="6"/>
  <c r="C129" i="6"/>
  <c r="S132" i="6"/>
  <c r="D142" i="6"/>
  <c r="H133" i="6"/>
  <c r="C126" i="6"/>
  <c r="H135" i="6"/>
  <c r="S127" i="6"/>
  <c r="D127" i="6"/>
  <c r="D128" i="6"/>
  <c r="H145" i="6"/>
  <c r="J134" i="6"/>
  <c r="U127" i="6"/>
  <c r="C127" i="6"/>
  <c r="S143" i="6"/>
  <c r="N50" i="6"/>
  <c r="N61" i="6"/>
  <c r="L144" i="6"/>
  <c r="H137" i="6"/>
  <c r="J133" i="6"/>
  <c r="J147" i="6"/>
  <c r="N45" i="6"/>
  <c r="B128" i="6"/>
  <c r="L143" i="6"/>
  <c r="B125" i="6"/>
  <c r="N47" i="6"/>
  <c r="J132" i="6"/>
  <c r="J128" i="6"/>
  <c r="U134" i="6"/>
  <c r="N38" i="6"/>
  <c r="T126" i="6"/>
  <c r="N46" i="6"/>
  <c r="J145" i="6"/>
  <c r="D126" i="6"/>
  <c r="T128" i="6"/>
  <c r="N48" i="6"/>
  <c r="W144" i="6"/>
  <c r="W139" i="6"/>
  <c r="W129" i="6"/>
  <c r="J146" i="6"/>
  <c r="N90" i="6"/>
  <c r="U135" i="6"/>
  <c r="U128" i="6"/>
  <c r="W128" i="6" s="1"/>
  <c r="L142" i="6"/>
  <c r="J136" i="6"/>
  <c r="H132" i="6"/>
  <c r="W125" i="6"/>
  <c r="N89" i="6"/>
  <c r="N42" i="6"/>
  <c r="H143" i="6"/>
  <c r="D144" i="6"/>
  <c r="L135" i="6"/>
  <c r="L132" i="6"/>
  <c r="T135" i="6"/>
  <c r="U136" i="6"/>
  <c r="C142" i="6"/>
  <c r="J135" i="6"/>
  <c r="H128" i="6"/>
  <c r="W141" i="6"/>
  <c r="W142" i="6"/>
  <c r="L133" i="6"/>
  <c r="C124" i="6"/>
  <c r="N40" i="6"/>
  <c r="D130" i="6"/>
  <c r="C141" i="6"/>
  <c r="L136" i="6"/>
  <c r="N36" i="6"/>
  <c r="C128" i="6"/>
  <c r="D129" i="6"/>
  <c r="B131" i="6"/>
  <c r="N70" i="6"/>
  <c r="H144" i="6"/>
  <c r="L134" i="6"/>
  <c r="H131" i="6"/>
  <c r="L127" i="6"/>
  <c r="W147" i="6"/>
  <c r="D145" i="6"/>
  <c r="N84" i="6"/>
  <c r="C145" i="6"/>
  <c r="N81" i="6"/>
  <c r="N79" i="6"/>
  <c r="N78" i="6"/>
  <c r="N74" i="6"/>
  <c r="N71" i="6"/>
  <c r="D136" i="6"/>
  <c r="B132" i="6"/>
  <c r="C132" i="6"/>
  <c r="D133" i="6"/>
  <c r="D134" i="6"/>
  <c r="B135" i="6"/>
  <c r="N65" i="6"/>
  <c r="D141" i="6"/>
  <c r="N76" i="6"/>
  <c r="D143" i="6"/>
  <c r="N75" i="6"/>
  <c r="N69" i="6"/>
  <c r="N67" i="6"/>
  <c r="B136" i="6"/>
  <c r="N62" i="6"/>
  <c r="D135" i="6"/>
  <c r="N60" i="6"/>
  <c r="N59" i="6"/>
  <c r="B134" i="6"/>
  <c r="C134" i="6"/>
  <c r="C133" i="6"/>
  <c r="N57" i="6"/>
  <c r="N55" i="6"/>
  <c r="D132" i="6"/>
  <c r="S131" i="6"/>
  <c r="J137" i="6"/>
  <c r="S134" i="6"/>
  <c r="S124" i="6"/>
  <c r="B130" i="6"/>
  <c r="N64" i="6"/>
  <c r="S126" i="6"/>
  <c r="D124" i="6"/>
  <c r="D125" i="6"/>
  <c r="N51" i="6"/>
  <c r="N53" i="6"/>
  <c r="N72" i="6"/>
  <c r="C144" i="6"/>
  <c r="H136" i="6"/>
  <c r="H130" i="6"/>
  <c r="J127" i="6"/>
  <c r="H134" i="6"/>
  <c r="L131" i="6"/>
  <c r="C147" i="6"/>
  <c r="N56" i="6"/>
  <c r="N41" i="6"/>
  <c r="N52" i="6"/>
  <c r="N58" i="6"/>
  <c r="D146" i="6"/>
  <c r="L147" i="6"/>
  <c r="H142" i="6"/>
  <c r="H127" i="6"/>
  <c r="J131" i="6"/>
  <c r="U124" i="6"/>
  <c r="J143" i="6"/>
  <c r="U131" i="6"/>
  <c r="U143" i="6"/>
  <c r="N49" i="6"/>
  <c r="H129" i="6"/>
  <c r="D147" i="6"/>
  <c r="C131" i="6"/>
  <c r="W145" i="6"/>
  <c r="W140" i="6"/>
  <c r="N88" i="6"/>
  <c r="N54" i="6"/>
  <c r="N63" i="6"/>
  <c r="B126" i="6"/>
  <c r="N77" i="6"/>
  <c r="C130" i="6"/>
  <c r="T130" i="6"/>
  <c r="C146" i="6"/>
  <c r="H146" i="6"/>
  <c r="J141" i="6"/>
  <c r="H141" i="6"/>
  <c r="U130" i="6"/>
  <c r="T146" i="6"/>
  <c r="N87" i="6"/>
  <c r="N39" i="6"/>
  <c r="N86" i="6"/>
  <c r="L146" i="6"/>
  <c r="J144" i="6"/>
  <c r="N85" i="6"/>
  <c r="N83" i="6"/>
  <c r="N82" i="6"/>
  <c r="N73" i="6"/>
  <c r="J130" i="6"/>
  <c r="L130" i="6"/>
  <c r="D131" i="6"/>
  <c r="B129" i="6"/>
  <c r="L129" i="6"/>
  <c r="C125" i="6"/>
  <c r="N192" i="23" l="1"/>
  <c r="W165" i="23"/>
  <c r="E186" i="17"/>
  <c r="W179" i="21"/>
  <c r="E79" i="32"/>
  <c r="E87" i="34"/>
  <c r="E144" i="24"/>
  <c r="W173" i="23"/>
  <c r="E184" i="23"/>
  <c r="E129" i="26"/>
  <c r="N151" i="21"/>
  <c r="E186" i="18"/>
  <c r="W178" i="18"/>
  <c r="N78" i="30"/>
  <c r="E173" i="14"/>
  <c r="W161" i="9"/>
  <c r="W173" i="22"/>
  <c r="W102" i="38"/>
  <c r="E175" i="5"/>
  <c r="N204" i="13"/>
  <c r="W158" i="19"/>
  <c r="E85" i="32"/>
  <c r="W152" i="16"/>
  <c r="E194" i="18"/>
  <c r="E143" i="11"/>
  <c r="E164" i="17"/>
  <c r="W156" i="17"/>
  <c r="N180" i="5"/>
  <c r="N146" i="16"/>
  <c r="N97" i="34"/>
  <c r="W179" i="22"/>
  <c r="W128" i="16"/>
  <c r="N180" i="23"/>
  <c r="W147" i="26"/>
  <c r="N156" i="11"/>
  <c r="N172" i="22"/>
  <c r="N176" i="22"/>
  <c r="E182" i="22"/>
  <c r="W180" i="23"/>
  <c r="W174" i="25"/>
  <c r="E147" i="25"/>
  <c r="W183" i="25"/>
  <c r="N176" i="25"/>
  <c r="N170" i="24"/>
  <c r="N150" i="24"/>
  <c r="W144" i="26"/>
  <c r="W124" i="26"/>
  <c r="W84" i="38"/>
  <c r="W88" i="37"/>
  <c r="N122" i="35"/>
  <c r="W167" i="22"/>
  <c r="N157" i="23"/>
  <c r="E146" i="5"/>
  <c r="E88" i="31"/>
  <c r="E91" i="29"/>
  <c r="N80" i="31"/>
  <c r="W115" i="36"/>
  <c r="E189" i="7"/>
  <c r="E177" i="14"/>
  <c r="N189" i="5"/>
  <c r="W151" i="19"/>
  <c r="N194" i="18"/>
  <c r="N173" i="5"/>
  <c r="N166" i="5"/>
  <c r="E190" i="23"/>
  <c r="N131" i="26"/>
  <c r="E89" i="31"/>
  <c r="W174" i="18"/>
  <c r="N160" i="11"/>
  <c r="W187" i="9"/>
  <c r="W127" i="16"/>
  <c r="N168" i="14"/>
  <c r="W136" i="16"/>
  <c r="E149" i="25"/>
  <c r="E180" i="7"/>
  <c r="E163" i="8"/>
  <c r="N128" i="35"/>
  <c r="N160" i="14"/>
  <c r="N186" i="5"/>
  <c r="E149" i="14"/>
  <c r="E151" i="8"/>
  <c r="E172" i="8"/>
  <c r="N100" i="34"/>
  <c r="W84" i="30"/>
  <c r="E92" i="31"/>
  <c r="E199" i="19"/>
  <c r="N147" i="5"/>
  <c r="N151" i="23"/>
  <c r="N187" i="14"/>
  <c r="N133" i="35"/>
  <c r="E147" i="14"/>
  <c r="E188" i="23"/>
  <c r="N209" i="15"/>
  <c r="W132" i="16"/>
  <c r="E137" i="16"/>
  <c r="N136" i="6"/>
  <c r="N158" i="22"/>
  <c r="N165" i="22"/>
  <c r="N182" i="12"/>
  <c r="N153" i="5"/>
  <c r="E186" i="14"/>
  <c r="E168" i="7"/>
  <c r="E139" i="21"/>
  <c r="E147" i="18"/>
  <c r="W104" i="28"/>
  <c r="W149" i="11"/>
  <c r="N174" i="14"/>
  <c r="N154" i="14"/>
  <c r="N150" i="16"/>
  <c r="E168" i="23"/>
  <c r="N94" i="37"/>
  <c r="W151" i="25"/>
  <c r="E183" i="24"/>
  <c r="E157" i="5"/>
  <c r="N150" i="14"/>
  <c r="N143" i="23"/>
  <c r="N194" i="19"/>
  <c r="N208" i="13"/>
  <c r="E165" i="11"/>
  <c r="N145" i="26"/>
  <c r="E187" i="24"/>
  <c r="N142" i="24"/>
  <c r="W180" i="19"/>
  <c r="N140" i="16"/>
  <c r="N149" i="26"/>
  <c r="N183" i="23"/>
  <c r="E156" i="16"/>
  <c r="N152" i="11"/>
  <c r="N188" i="14"/>
  <c r="W174" i="12"/>
  <c r="W139" i="26"/>
  <c r="W204" i="9"/>
  <c r="W144" i="18"/>
  <c r="N176" i="5"/>
  <c r="W158" i="12"/>
  <c r="E165" i="2"/>
  <c r="N181" i="24"/>
  <c r="N190" i="25"/>
  <c r="W182" i="11"/>
  <c r="E100" i="32"/>
  <c r="E92" i="32"/>
  <c r="E153" i="5"/>
  <c r="E149" i="23"/>
  <c r="N138" i="26"/>
  <c r="W143" i="17"/>
  <c r="E159" i="12"/>
  <c r="E148" i="14"/>
  <c r="W173" i="25"/>
  <c r="E155" i="11"/>
  <c r="E131" i="35"/>
  <c r="N83" i="38"/>
  <c r="W191" i="19"/>
  <c r="N174" i="18"/>
  <c r="N170" i="12"/>
  <c r="W170" i="12"/>
  <c r="E179" i="11"/>
  <c r="W177" i="11"/>
  <c r="W176" i="11"/>
  <c r="N146" i="11"/>
  <c r="E208" i="13"/>
  <c r="N191" i="17"/>
  <c r="N161" i="11"/>
  <c r="N186" i="9"/>
  <c r="E143" i="7"/>
  <c r="E183" i="5"/>
  <c r="W149" i="8"/>
  <c r="N155" i="24"/>
  <c r="N147" i="12"/>
  <c r="N151" i="26"/>
  <c r="E145" i="16"/>
  <c r="N150" i="11"/>
  <c r="E154" i="25"/>
  <c r="N161" i="25"/>
  <c r="N158" i="3"/>
  <c r="N188" i="5"/>
  <c r="W156" i="18"/>
  <c r="W185" i="18"/>
  <c r="W157" i="22"/>
  <c r="W142" i="26"/>
  <c r="E194" i="22"/>
  <c r="N160" i="18"/>
  <c r="E170" i="1"/>
  <c r="E94" i="29"/>
  <c r="E159" i="22"/>
  <c r="E154" i="23"/>
  <c r="N168" i="23"/>
  <c r="N153" i="26"/>
  <c r="N190" i="18"/>
  <c r="E150" i="24"/>
  <c r="N150" i="12"/>
  <c r="N81" i="32"/>
  <c r="N155" i="14"/>
  <c r="E190" i="5"/>
  <c r="N176" i="14"/>
  <c r="N165" i="18"/>
  <c r="N162" i="14"/>
  <c r="E162" i="25"/>
  <c r="N85" i="30"/>
  <c r="E145" i="14"/>
  <c r="E173" i="24"/>
  <c r="E105" i="37"/>
  <c r="E147" i="11"/>
  <c r="E159" i="16"/>
  <c r="W153" i="16"/>
  <c r="N149" i="16"/>
  <c r="N141" i="16"/>
  <c r="E152" i="16"/>
  <c r="N125" i="16"/>
  <c r="W156" i="16"/>
  <c r="E138" i="16"/>
  <c r="E148" i="16"/>
  <c r="E160" i="16"/>
  <c r="N145" i="16"/>
  <c r="E153" i="16"/>
  <c r="N129" i="16"/>
  <c r="N131" i="35"/>
  <c r="E127" i="35"/>
  <c r="N140" i="17"/>
  <c r="N150" i="17"/>
  <c r="N141" i="17"/>
  <c r="N155" i="17"/>
  <c r="N159" i="18"/>
  <c r="N175" i="19"/>
  <c r="E171" i="19"/>
  <c r="N181" i="21"/>
  <c r="E181" i="21"/>
  <c r="N143" i="21"/>
  <c r="E151" i="21"/>
  <c r="N164" i="21"/>
  <c r="N149" i="21"/>
  <c r="E159" i="21"/>
  <c r="E164" i="21"/>
  <c r="E165" i="21"/>
  <c r="E163" i="21"/>
  <c r="N185" i="21"/>
  <c r="E192" i="9"/>
  <c r="E203" i="9"/>
  <c r="N189" i="9"/>
  <c r="N187" i="9"/>
  <c r="N154" i="11"/>
  <c r="E168" i="11"/>
  <c r="E167" i="11"/>
  <c r="E180" i="11"/>
  <c r="E169" i="11"/>
  <c r="E184" i="11"/>
  <c r="N142" i="11"/>
  <c r="E192" i="11"/>
  <c r="N162" i="11"/>
  <c r="N169" i="11"/>
  <c r="E148" i="11"/>
  <c r="N178" i="11"/>
  <c r="E166" i="11"/>
  <c r="E173" i="11"/>
  <c r="E149" i="11"/>
  <c r="N180" i="11"/>
  <c r="N147" i="11"/>
  <c r="E182" i="11"/>
  <c r="N170" i="11"/>
  <c r="E178" i="11"/>
  <c r="E187" i="12"/>
  <c r="N92" i="32"/>
  <c r="E98" i="32"/>
  <c r="E88" i="32"/>
  <c r="E86" i="32"/>
  <c r="E83" i="32"/>
  <c r="N198" i="13"/>
  <c r="E173" i="13"/>
  <c r="N152" i="14"/>
  <c r="N172" i="14"/>
  <c r="E188" i="14"/>
  <c r="N165" i="14"/>
  <c r="E166" i="14"/>
  <c r="E178" i="14"/>
  <c r="N147" i="14"/>
  <c r="N181" i="14"/>
  <c r="N167" i="14"/>
  <c r="E157" i="14"/>
  <c r="W180" i="14"/>
  <c r="E143" i="14"/>
  <c r="E142" i="14"/>
  <c r="E83" i="31"/>
  <c r="N83" i="31"/>
  <c r="E81" i="31"/>
  <c r="E86" i="31"/>
  <c r="E90" i="31"/>
  <c r="N138" i="7"/>
  <c r="E95" i="29"/>
  <c r="E77" i="30"/>
  <c r="W82" i="30"/>
  <c r="E180" i="5"/>
  <c r="N159" i="5"/>
  <c r="E162" i="5"/>
  <c r="N152" i="5"/>
  <c r="E181" i="5"/>
  <c r="E152" i="5"/>
  <c r="E158" i="5"/>
  <c r="E139" i="5"/>
  <c r="E145" i="5"/>
  <c r="E173" i="5"/>
  <c r="N165" i="25"/>
  <c r="E148" i="5"/>
  <c r="W187" i="23"/>
  <c r="N83" i="34"/>
  <c r="N182" i="14"/>
  <c r="N148" i="11"/>
  <c r="N175" i="5"/>
  <c r="W157" i="16"/>
  <c r="W123" i="35"/>
  <c r="W185" i="22"/>
  <c r="E145" i="1"/>
  <c r="E189" i="24"/>
  <c r="E147" i="24"/>
  <c r="N164" i="24"/>
  <c r="E198" i="19"/>
  <c r="E80" i="30"/>
  <c r="E151" i="5"/>
  <c r="N85" i="29"/>
  <c r="N125" i="35"/>
  <c r="W147" i="18"/>
  <c r="W184" i="14"/>
  <c r="E153" i="9"/>
  <c r="N86" i="34"/>
  <c r="N186" i="25"/>
  <c r="E181" i="17"/>
  <c r="E195" i="19"/>
  <c r="E106" i="28"/>
  <c r="E182" i="5"/>
  <c r="N183" i="14"/>
  <c r="N168" i="5"/>
  <c r="E184" i="22"/>
  <c r="E180" i="9"/>
  <c r="N181" i="5"/>
  <c r="E158" i="14"/>
  <c r="E171" i="14"/>
  <c r="N192" i="14"/>
  <c r="E159" i="13"/>
  <c r="E156" i="24"/>
  <c r="E189" i="8"/>
  <c r="E167" i="24"/>
  <c r="N187" i="23"/>
  <c r="N175" i="7"/>
  <c r="E174" i="19"/>
  <c r="N169" i="25"/>
  <c r="N189" i="23"/>
  <c r="E175" i="22"/>
  <c r="E183" i="14"/>
  <c r="N143" i="18"/>
  <c r="N181" i="22"/>
  <c r="E169" i="24"/>
  <c r="E205" i="15"/>
  <c r="N180" i="15"/>
  <c r="E177" i="15"/>
  <c r="E166" i="19"/>
  <c r="E85" i="34"/>
  <c r="N183" i="17"/>
  <c r="N164" i="14"/>
  <c r="E140" i="26"/>
  <c r="W205" i="9"/>
  <c r="N180" i="14"/>
  <c r="W181" i="14"/>
  <c r="E87" i="28"/>
  <c r="N151" i="3"/>
  <c r="N155" i="3"/>
  <c r="E155" i="3"/>
  <c r="E189" i="3"/>
  <c r="N186" i="3"/>
  <c r="N166" i="3"/>
  <c r="E152" i="3"/>
  <c r="E198" i="3"/>
  <c r="E170" i="3"/>
  <c r="E192" i="3"/>
  <c r="N174" i="3"/>
  <c r="E160" i="3"/>
  <c r="N148" i="3"/>
  <c r="E180" i="3"/>
  <c r="N109" i="3"/>
  <c r="E169" i="3"/>
  <c r="N195" i="13"/>
  <c r="E165" i="19"/>
  <c r="E196" i="11"/>
  <c r="E184" i="24"/>
  <c r="N198" i="19"/>
  <c r="E144" i="17"/>
  <c r="E99" i="29"/>
  <c r="E185" i="5"/>
  <c r="E190" i="14"/>
  <c r="E99" i="33"/>
  <c r="E187" i="25"/>
  <c r="N185" i="11"/>
  <c r="N146" i="26"/>
  <c r="E177" i="19"/>
  <c r="E163" i="5"/>
  <c r="W174" i="10"/>
  <c r="N190" i="9"/>
  <c r="W177" i="25"/>
  <c r="E142" i="7"/>
  <c r="N157" i="11"/>
  <c r="E190" i="18"/>
  <c r="E155" i="25"/>
  <c r="E107" i="37"/>
  <c r="E160" i="24"/>
  <c r="N159" i="11"/>
  <c r="W192" i="18"/>
  <c r="E160" i="14"/>
  <c r="W156" i="15"/>
  <c r="E185" i="14"/>
  <c r="W202" i="9"/>
  <c r="N90" i="37"/>
  <c r="N193" i="11"/>
  <c r="E166" i="22"/>
  <c r="E83" i="30"/>
  <c r="E80" i="34"/>
  <c r="E190" i="19"/>
  <c r="N158" i="11"/>
  <c r="E184" i="19"/>
  <c r="E170" i="11"/>
  <c r="E179" i="14"/>
  <c r="W173" i="9"/>
  <c r="N190" i="22"/>
  <c r="N150" i="21"/>
  <c r="W172" i="25"/>
  <c r="N150" i="5"/>
  <c r="E167" i="25"/>
  <c r="N102" i="32"/>
  <c r="E100" i="33"/>
  <c r="E152" i="26"/>
  <c r="N197" i="19"/>
  <c r="N162" i="17"/>
  <c r="E187" i="9"/>
  <c r="E193" i="11"/>
  <c r="N89" i="29"/>
  <c r="E179" i="8"/>
  <c r="E171" i="5"/>
  <c r="N185" i="5"/>
  <c r="E88" i="28"/>
  <c r="N116" i="35"/>
  <c r="N130" i="16"/>
  <c r="E139" i="26"/>
  <c r="E182" i="18"/>
  <c r="W169" i="21"/>
  <c r="N138" i="21"/>
  <c r="E174" i="9"/>
  <c r="N94" i="31"/>
  <c r="E175" i="8"/>
  <c r="N148" i="5"/>
  <c r="N192" i="9"/>
  <c r="E82" i="31"/>
  <c r="N169" i="14"/>
  <c r="E163" i="9"/>
  <c r="E148" i="18"/>
  <c r="E156" i="18"/>
  <c r="W152" i="17"/>
  <c r="W98" i="38"/>
  <c r="E154" i="26"/>
  <c r="N123" i="26"/>
  <c r="E134" i="26"/>
  <c r="E172" i="22"/>
  <c r="N133" i="16"/>
  <c r="E79" i="31"/>
  <c r="E125" i="35"/>
  <c r="W148" i="26"/>
  <c r="N159" i="23"/>
  <c r="N195" i="19"/>
  <c r="N155" i="16"/>
  <c r="E136" i="16"/>
  <c r="E175" i="23"/>
  <c r="E95" i="32"/>
  <c r="N191" i="22"/>
  <c r="W121" i="26"/>
  <c r="W168" i="24"/>
  <c r="W138" i="16"/>
  <c r="W184" i="21"/>
  <c r="W176" i="24"/>
  <c r="N142" i="14"/>
  <c r="E176" i="3"/>
  <c r="E157" i="24"/>
  <c r="E158" i="3"/>
  <c r="N142" i="23"/>
  <c r="E138" i="26"/>
  <c r="N153" i="16"/>
  <c r="N183" i="19"/>
  <c r="N162" i="18"/>
  <c r="N84" i="32"/>
  <c r="N92" i="29"/>
  <c r="E96" i="37"/>
  <c r="N172" i="9"/>
  <c r="E177" i="11"/>
  <c r="E85" i="30"/>
  <c r="N184" i="19"/>
  <c r="E173" i="3"/>
  <c r="E157" i="9"/>
  <c r="N81" i="30"/>
  <c r="E118" i="36"/>
  <c r="N164" i="18"/>
  <c r="N115" i="35"/>
  <c r="N143" i="14"/>
  <c r="E146" i="11"/>
  <c r="W172" i="19"/>
  <c r="W191" i="12"/>
  <c r="N197" i="3"/>
  <c r="E176" i="14"/>
  <c r="E204" i="8"/>
  <c r="N196" i="9"/>
  <c r="N157" i="14"/>
  <c r="E155" i="14"/>
  <c r="E153" i="8"/>
  <c r="E188" i="3"/>
  <c r="N91" i="29"/>
  <c r="N107" i="28"/>
  <c r="E127" i="16"/>
  <c r="N134" i="35"/>
  <c r="N186" i="11"/>
  <c r="N161" i="9"/>
  <c r="E191" i="9"/>
  <c r="E175" i="19"/>
  <c r="E200" i="19"/>
  <c r="E156" i="3"/>
  <c r="N177" i="12"/>
  <c r="N172" i="19"/>
  <c r="E180" i="25"/>
  <c r="N171" i="24"/>
  <c r="N162" i="23"/>
  <c r="W77" i="30"/>
  <c r="N119" i="35"/>
  <c r="E132" i="16"/>
  <c r="E172" i="25"/>
  <c r="N139" i="16"/>
  <c r="E106" i="37"/>
  <c r="N190" i="14"/>
  <c r="E122" i="35"/>
  <c r="E143" i="16"/>
  <c r="N184" i="22"/>
  <c r="E145" i="11"/>
  <c r="N98" i="32"/>
  <c r="N177" i="5"/>
  <c r="N97" i="31"/>
  <c r="E186" i="25"/>
  <c r="W114" i="35"/>
  <c r="W191" i="15"/>
  <c r="E193" i="1"/>
  <c r="N192" i="5"/>
  <c r="E163" i="24"/>
  <c r="N184" i="2"/>
  <c r="W166" i="25"/>
  <c r="E150" i="19"/>
  <c r="E166" i="12"/>
  <c r="E169" i="8"/>
  <c r="E91" i="37"/>
  <c r="E189" i="14"/>
  <c r="E182" i="9"/>
  <c r="N86" i="32"/>
  <c r="E184" i="5"/>
  <c r="E191" i="25"/>
  <c r="N127" i="35"/>
  <c r="N156" i="18"/>
  <c r="N166" i="19"/>
  <c r="E161" i="14"/>
  <c r="E164" i="8"/>
  <c r="E169" i="18"/>
  <c r="N158" i="14"/>
  <c r="E120" i="35"/>
  <c r="N196" i="11"/>
  <c r="E186" i="3"/>
  <c r="E189" i="15"/>
  <c r="W163" i="19"/>
  <c r="E179" i="18"/>
  <c r="E195" i="14"/>
  <c r="N170" i="23"/>
  <c r="N180" i="22"/>
  <c r="W192" i="19"/>
  <c r="N156" i="14"/>
  <c r="W196" i="9"/>
  <c r="N122" i="36"/>
  <c r="E162" i="14"/>
  <c r="N195" i="11"/>
  <c r="E162" i="11"/>
  <c r="E89" i="37"/>
  <c r="N180" i="7"/>
  <c r="E159" i="14"/>
  <c r="N179" i="11"/>
  <c r="N186" i="24"/>
  <c r="N177" i="11"/>
  <c r="E78" i="34"/>
  <c r="E166" i="8"/>
  <c r="E176" i="15"/>
  <c r="N182" i="24"/>
  <c r="E146" i="3"/>
  <c r="E163" i="19"/>
  <c r="E157" i="11"/>
  <c r="N84" i="29"/>
  <c r="W180" i="17"/>
  <c r="W132" i="26"/>
  <c r="E103" i="32"/>
  <c r="E200" i="3"/>
  <c r="E166" i="20"/>
  <c r="E179" i="24"/>
  <c r="E126" i="26"/>
  <c r="N189" i="19"/>
  <c r="E150" i="21"/>
  <c r="N150" i="23"/>
  <c r="W177" i="9"/>
  <c r="E186" i="12"/>
  <c r="E96" i="32"/>
  <c r="E187" i="8"/>
  <c r="E168" i="14"/>
  <c r="N178" i="3"/>
  <c r="E190" i="3"/>
  <c r="N93" i="33"/>
  <c r="E157" i="20"/>
  <c r="N99" i="33"/>
  <c r="E188" i="24"/>
  <c r="E179" i="22"/>
  <c r="E155" i="16"/>
  <c r="E187" i="21"/>
  <c r="N152" i="21"/>
  <c r="E178" i="19"/>
  <c r="N186" i="18"/>
  <c r="N176" i="15"/>
  <c r="E170" i="25"/>
  <c r="N91" i="28"/>
  <c r="N164" i="15"/>
  <c r="N175" i="17"/>
  <c r="N191" i="9"/>
  <c r="N189" i="14"/>
  <c r="E140" i="5"/>
  <c r="E167" i="7"/>
  <c r="E150" i="12"/>
  <c r="N172" i="15"/>
  <c r="E180" i="15"/>
  <c r="N205" i="10"/>
  <c r="W166" i="9"/>
  <c r="E144" i="21"/>
  <c r="N160" i="19"/>
  <c r="N152" i="19"/>
  <c r="E180" i="19"/>
  <c r="W177" i="17"/>
  <c r="E144" i="26"/>
  <c r="E153" i="25"/>
  <c r="L158" i="25"/>
  <c r="N158" i="25" s="1"/>
  <c r="N159" i="16"/>
  <c r="N90" i="32"/>
  <c r="N162" i="22"/>
  <c r="E140" i="20"/>
  <c r="N89" i="37"/>
  <c r="N135" i="26"/>
  <c r="E147" i="5"/>
  <c r="E85" i="31"/>
  <c r="E119" i="35"/>
  <c r="E123" i="35"/>
  <c r="E133" i="26"/>
  <c r="N179" i="5"/>
  <c r="E178" i="21"/>
  <c r="E149" i="26"/>
  <c r="E151" i="22"/>
  <c r="W183" i="21"/>
  <c r="E174" i="17"/>
  <c r="E194" i="11"/>
  <c r="E182" i="25"/>
  <c r="N150" i="7"/>
  <c r="E95" i="31"/>
  <c r="N182" i="5"/>
  <c r="N161" i="1"/>
  <c r="N157" i="22"/>
  <c r="E142" i="25"/>
  <c r="N193" i="19"/>
  <c r="W189" i="18"/>
  <c r="E153" i="11"/>
  <c r="N136" i="26"/>
  <c r="E84" i="30"/>
  <c r="W136" i="26"/>
  <c r="N99" i="32"/>
  <c r="E163" i="3"/>
  <c r="W185" i="9"/>
  <c r="E176" i="5"/>
  <c r="E114" i="35"/>
  <c r="E179" i="12"/>
  <c r="N177" i="15"/>
  <c r="E186" i="21"/>
  <c r="W168" i="19"/>
  <c r="E150" i="26"/>
  <c r="E174" i="25"/>
  <c r="E171" i="24"/>
  <c r="N159" i="24"/>
  <c r="N188" i="23"/>
  <c r="N192" i="22"/>
  <c r="E152" i="22"/>
  <c r="E168" i="8"/>
  <c r="E170" i="14"/>
  <c r="E157" i="8"/>
  <c r="N82" i="34"/>
  <c r="E188" i="5"/>
  <c r="E177" i="7"/>
  <c r="E182" i="3"/>
  <c r="N193" i="22"/>
  <c r="N178" i="23"/>
  <c r="N125" i="26"/>
  <c r="N189" i="21"/>
  <c r="E195" i="11"/>
  <c r="E150" i="11"/>
  <c r="E93" i="28"/>
  <c r="N158" i="5"/>
  <c r="E163" i="16"/>
  <c r="E85" i="37"/>
  <c r="N126" i="35"/>
  <c r="E158" i="23"/>
  <c r="E182" i="17"/>
  <c r="E172" i="18"/>
  <c r="N197" i="9"/>
  <c r="E157" i="15"/>
  <c r="E185" i="8"/>
  <c r="E153" i="3"/>
  <c r="E192" i="22"/>
  <c r="E139" i="24"/>
  <c r="N142" i="26"/>
  <c r="E135" i="16"/>
  <c r="N91" i="32"/>
  <c r="W181" i="19"/>
  <c r="N176" i="9"/>
  <c r="E194" i="19"/>
  <c r="E180" i="8"/>
  <c r="N149" i="5"/>
  <c r="W160" i="12"/>
  <c r="N183" i="18"/>
  <c r="W168" i="12"/>
  <c r="E178" i="9"/>
  <c r="N156" i="9"/>
  <c r="E166" i="25"/>
  <c r="N140" i="25"/>
  <c r="N196" i="22"/>
  <c r="N146" i="17"/>
  <c r="N87" i="34"/>
  <c r="E89" i="34"/>
  <c r="W185" i="14"/>
  <c r="N145" i="14"/>
  <c r="E165" i="14"/>
  <c r="N96" i="32"/>
  <c r="E103" i="37"/>
  <c r="N202" i="22"/>
  <c r="E169" i="14"/>
  <c r="N157" i="5"/>
  <c r="N184" i="14"/>
  <c r="E169" i="15"/>
  <c r="E186" i="5"/>
  <c r="N177" i="7"/>
  <c r="E101" i="29"/>
  <c r="N81" i="31"/>
  <c r="N179" i="18"/>
  <c r="E181" i="14"/>
  <c r="N206" i="15"/>
  <c r="N175" i="15"/>
  <c r="W162" i="18"/>
  <c r="N79" i="32"/>
  <c r="E164" i="23"/>
  <c r="N174" i="25"/>
  <c r="E161" i="22"/>
  <c r="E191" i="19"/>
  <c r="N185" i="13"/>
  <c r="N146" i="14"/>
  <c r="N189" i="11"/>
  <c r="N149" i="7"/>
  <c r="E92" i="34"/>
  <c r="E159" i="3"/>
  <c r="E98" i="29"/>
  <c r="E77" i="31"/>
  <c r="E172" i="14"/>
  <c r="N188" i="3"/>
  <c r="E94" i="28"/>
  <c r="E85" i="29"/>
  <c r="N175" i="24"/>
  <c r="W163" i="20"/>
  <c r="E161" i="25"/>
  <c r="N96" i="34"/>
  <c r="N141" i="26"/>
  <c r="E172" i="11"/>
  <c r="N145" i="18"/>
  <c r="E173" i="18"/>
  <c r="N104" i="37"/>
  <c r="E152" i="8"/>
  <c r="N158" i="9"/>
  <c r="E187" i="14"/>
  <c r="E157" i="19"/>
  <c r="N170" i="1"/>
  <c r="E145" i="24"/>
  <c r="N154" i="5"/>
  <c r="N193" i="15"/>
  <c r="N160" i="21"/>
  <c r="N169" i="19"/>
  <c r="W187" i="19"/>
  <c r="W173" i="18"/>
  <c r="N147" i="17"/>
  <c r="N147" i="26"/>
  <c r="W133" i="26"/>
  <c r="N154" i="26"/>
  <c r="W186" i="22"/>
  <c r="E167" i="5"/>
  <c r="E184" i="14"/>
  <c r="N162" i="19"/>
  <c r="E162" i="23"/>
  <c r="N186" i="14"/>
  <c r="N154" i="21"/>
  <c r="W100" i="32"/>
  <c r="E180" i="2"/>
  <c r="E144" i="1"/>
  <c r="E155" i="1"/>
  <c r="N143" i="1"/>
  <c r="E164" i="22"/>
  <c r="N204" i="22"/>
  <c r="W181" i="22"/>
  <c r="E173" i="22"/>
  <c r="E202" i="22"/>
  <c r="E199" i="22"/>
  <c r="E189" i="22"/>
  <c r="N166" i="22"/>
  <c r="E197" i="22"/>
  <c r="W165" i="22"/>
  <c r="W183" i="22"/>
  <c r="N160" i="22"/>
  <c r="E187" i="22"/>
  <c r="E167" i="22"/>
  <c r="E196" i="22"/>
  <c r="N188" i="22"/>
  <c r="N168" i="22"/>
  <c r="W177" i="22"/>
  <c r="W169" i="22"/>
  <c r="N186" i="22"/>
  <c r="E192" i="23"/>
  <c r="E187" i="23"/>
  <c r="E177" i="23"/>
  <c r="E156" i="23"/>
  <c r="E178" i="23"/>
  <c r="E165" i="23"/>
  <c r="E146" i="23"/>
  <c r="N176" i="23"/>
  <c r="W179" i="23"/>
  <c r="N165" i="23"/>
  <c r="N171" i="23"/>
  <c r="E174" i="23"/>
  <c r="E144" i="23"/>
  <c r="W145" i="23"/>
  <c r="E186" i="23"/>
  <c r="N144" i="23"/>
  <c r="E181" i="23"/>
  <c r="N148" i="23"/>
  <c r="E150" i="23"/>
  <c r="E172" i="23"/>
  <c r="E176" i="23"/>
  <c r="E143" i="23"/>
  <c r="N175" i="23"/>
  <c r="N169" i="23"/>
  <c r="W179" i="24"/>
  <c r="E164" i="24"/>
  <c r="N183" i="24"/>
  <c r="N160" i="24"/>
  <c r="N187" i="24"/>
  <c r="W172" i="24"/>
  <c r="W161" i="24"/>
  <c r="N179" i="24"/>
  <c r="E168" i="24"/>
  <c r="W173" i="24"/>
  <c r="E180" i="24"/>
  <c r="E191" i="24"/>
  <c r="W180" i="25"/>
  <c r="N181" i="25"/>
  <c r="N145" i="25"/>
  <c r="E163" i="25"/>
  <c r="E188" i="25"/>
  <c r="N180" i="25"/>
  <c r="N155" i="25"/>
  <c r="W163" i="25"/>
  <c r="N148" i="25"/>
  <c r="N188" i="25"/>
  <c r="N146" i="25"/>
  <c r="N166" i="25"/>
  <c r="E158" i="25"/>
  <c r="E143" i="25"/>
  <c r="E144" i="25"/>
  <c r="E141" i="25"/>
  <c r="N189" i="25"/>
  <c r="W176" i="25"/>
  <c r="W138" i="25"/>
  <c r="N124" i="26"/>
  <c r="E141" i="26"/>
  <c r="E121" i="26"/>
  <c r="E143" i="26"/>
  <c r="E142" i="26"/>
  <c r="E123" i="26"/>
  <c r="N126" i="26"/>
  <c r="E122" i="26"/>
  <c r="E125" i="26"/>
  <c r="E120" i="26"/>
  <c r="N155" i="26"/>
  <c r="N122" i="26"/>
  <c r="N143" i="26"/>
  <c r="N139" i="26"/>
  <c r="E131" i="26"/>
  <c r="W141" i="26"/>
  <c r="E151" i="26"/>
  <c r="N152" i="26"/>
  <c r="W96" i="37"/>
  <c r="W105" i="37"/>
  <c r="E101" i="37"/>
  <c r="E99" i="37"/>
  <c r="N100" i="37"/>
  <c r="N93" i="37"/>
  <c r="N96" i="37"/>
  <c r="N101" i="37"/>
  <c r="N87" i="37"/>
  <c r="N97" i="37"/>
  <c r="E100" i="37"/>
  <c r="E92" i="37"/>
  <c r="N103" i="37"/>
  <c r="E108" i="37"/>
  <c r="E97" i="37"/>
  <c r="E86" i="37"/>
  <c r="E104" i="37"/>
  <c r="N88" i="37"/>
  <c r="E107" i="36"/>
  <c r="E125" i="16"/>
  <c r="N132" i="16"/>
  <c r="E140" i="16"/>
  <c r="E146" i="16"/>
  <c r="W151" i="16"/>
  <c r="E134" i="16"/>
  <c r="N160" i="16"/>
  <c r="E141" i="16"/>
  <c r="E149" i="16"/>
  <c r="W143" i="16"/>
  <c r="E142" i="16"/>
  <c r="E131" i="16"/>
  <c r="E129" i="16"/>
  <c r="E130" i="16"/>
  <c r="N131" i="16"/>
  <c r="E129" i="35"/>
  <c r="N117" i="35"/>
  <c r="N121" i="35"/>
  <c r="E121" i="35"/>
  <c r="E133" i="35"/>
  <c r="N135" i="35"/>
  <c r="N118" i="35"/>
  <c r="N132" i="35"/>
  <c r="N148" i="18"/>
  <c r="N187" i="18"/>
  <c r="N154" i="18"/>
  <c r="W150" i="18"/>
  <c r="N188" i="18"/>
  <c r="N195" i="18"/>
  <c r="E184" i="18"/>
  <c r="N184" i="18"/>
  <c r="E151" i="18"/>
  <c r="N192" i="18"/>
  <c r="N153" i="18"/>
  <c r="N180" i="18"/>
  <c r="E143" i="18"/>
  <c r="E154" i="18"/>
  <c r="N161" i="18"/>
  <c r="W165" i="18"/>
  <c r="E152" i="19"/>
  <c r="E158" i="19"/>
  <c r="N187" i="19"/>
  <c r="E168" i="19"/>
  <c r="E129" i="20"/>
  <c r="E124" i="20"/>
  <c r="E139" i="20"/>
  <c r="W152" i="21"/>
  <c r="W181" i="21"/>
  <c r="E137" i="21"/>
  <c r="N187" i="21"/>
  <c r="E188" i="21"/>
  <c r="N190" i="21"/>
  <c r="N174" i="21"/>
  <c r="N155" i="21"/>
  <c r="N172" i="21"/>
  <c r="E142" i="21"/>
  <c r="E138" i="21"/>
  <c r="E175" i="21"/>
  <c r="N162" i="21"/>
  <c r="E190" i="21"/>
  <c r="N188" i="21"/>
  <c r="W78" i="34"/>
  <c r="N92" i="34"/>
  <c r="N93" i="34"/>
  <c r="E90" i="34"/>
  <c r="N81" i="34"/>
  <c r="N78" i="34"/>
  <c r="W86" i="34"/>
  <c r="E90" i="33"/>
  <c r="N80" i="33"/>
  <c r="N87" i="33"/>
  <c r="E95" i="33"/>
  <c r="E172" i="9"/>
  <c r="E158" i="9"/>
  <c r="N184" i="9"/>
  <c r="E154" i="9"/>
  <c r="N202" i="9"/>
  <c r="N183" i="9"/>
  <c r="E204" i="9"/>
  <c r="N181" i="9"/>
  <c r="W162" i="11"/>
  <c r="E192" i="12"/>
  <c r="W143" i="12"/>
  <c r="E158" i="12"/>
  <c r="E182" i="12"/>
  <c r="E152" i="12"/>
  <c r="W169" i="12"/>
  <c r="E161" i="12"/>
  <c r="W150" i="12"/>
  <c r="E80" i="32"/>
  <c r="N144" i="14"/>
  <c r="E167" i="14"/>
  <c r="N148" i="14"/>
  <c r="N198" i="15"/>
  <c r="E184" i="15"/>
  <c r="N208" i="15"/>
  <c r="W186" i="15"/>
  <c r="E185" i="15"/>
  <c r="N169" i="15"/>
  <c r="E209" i="15"/>
  <c r="N161" i="15"/>
  <c r="N189" i="15"/>
  <c r="N159" i="15"/>
  <c r="N158" i="15"/>
  <c r="N162" i="15"/>
  <c r="E181" i="15"/>
  <c r="N185" i="15"/>
  <c r="E176" i="8"/>
  <c r="E174" i="8"/>
  <c r="E178" i="8"/>
  <c r="E161" i="8"/>
  <c r="E159" i="8"/>
  <c r="N150" i="8"/>
  <c r="E193" i="8"/>
  <c r="N149" i="8"/>
  <c r="E181" i="8"/>
  <c r="E162" i="8"/>
  <c r="E203" i="8"/>
  <c r="E156" i="8"/>
  <c r="N76" i="31"/>
  <c r="E94" i="31"/>
  <c r="E191" i="7"/>
  <c r="N176" i="7"/>
  <c r="E141" i="7"/>
  <c r="E175" i="7"/>
  <c r="E153" i="7"/>
  <c r="N164" i="7"/>
  <c r="E144" i="7"/>
  <c r="E150" i="7"/>
  <c r="N179" i="7"/>
  <c r="N191" i="7"/>
  <c r="N178" i="7"/>
  <c r="N171" i="7"/>
  <c r="N142" i="7"/>
  <c r="N187" i="7"/>
  <c r="N141" i="5"/>
  <c r="N144" i="5"/>
  <c r="E143" i="5"/>
  <c r="E154" i="2"/>
  <c r="W138" i="2"/>
  <c r="E175" i="2"/>
  <c r="E160" i="2"/>
  <c r="E164" i="1"/>
  <c r="E168" i="1"/>
  <c r="E163" i="1"/>
  <c r="E178" i="1"/>
  <c r="N126" i="20"/>
  <c r="N205" i="22"/>
  <c r="E141" i="17"/>
  <c r="N171" i="8"/>
  <c r="N89" i="31"/>
  <c r="E164" i="15"/>
  <c r="E183" i="3"/>
  <c r="W196" i="15"/>
  <c r="E172" i="3"/>
  <c r="N87" i="29"/>
  <c r="E155" i="13"/>
  <c r="E162" i="24"/>
  <c r="E195" i="18"/>
  <c r="N179" i="17"/>
  <c r="E181" i="11"/>
  <c r="N142" i="17"/>
  <c r="N163" i="17"/>
  <c r="E132" i="26"/>
  <c r="E197" i="11"/>
  <c r="E138" i="20"/>
  <c r="W142" i="20"/>
  <c r="E149" i="8"/>
  <c r="W177" i="24"/>
  <c r="E175" i="24"/>
  <c r="E176" i="11"/>
  <c r="E198" i="18"/>
  <c r="E197" i="18"/>
  <c r="E98" i="33"/>
  <c r="E155" i="22"/>
  <c r="E154" i="24"/>
  <c r="W193" i="19"/>
  <c r="E151" i="17"/>
  <c r="E179" i="17"/>
  <c r="N175" i="8"/>
  <c r="N191" i="8"/>
  <c r="N174" i="5"/>
  <c r="E192" i="14"/>
  <c r="E194" i="3"/>
  <c r="E148" i="3"/>
  <c r="N177" i="3"/>
  <c r="E97" i="31"/>
  <c r="N193" i="5"/>
  <c r="N141" i="21"/>
  <c r="N170" i="21"/>
  <c r="N146" i="18"/>
  <c r="N204" i="9"/>
  <c r="N163" i="18"/>
  <c r="E138" i="24"/>
  <c r="E155" i="5"/>
  <c r="E84" i="32"/>
  <c r="N160" i="3"/>
  <c r="N99" i="28"/>
  <c r="E160" i="22"/>
  <c r="E190" i="24"/>
  <c r="N185" i="17"/>
  <c r="N181" i="23"/>
  <c r="W145" i="26"/>
  <c r="W166" i="7"/>
  <c r="L166" i="7"/>
  <c r="H166" i="7"/>
  <c r="E177" i="5"/>
  <c r="E149" i="2"/>
  <c r="E183" i="2"/>
  <c r="N160" i="5"/>
  <c r="E138" i="7"/>
  <c r="N190" i="15"/>
  <c r="E160" i="15"/>
  <c r="N183" i="15"/>
  <c r="E201" i="15"/>
  <c r="W175" i="21"/>
  <c r="N165" i="19"/>
  <c r="E160" i="18"/>
  <c r="E140" i="17"/>
  <c r="E117" i="36"/>
  <c r="E112" i="36"/>
  <c r="E152" i="23"/>
  <c r="E170" i="23"/>
  <c r="N161" i="23"/>
  <c r="N155" i="23"/>
  <c r="N199" i="22"/>
  <c r="E186" i="22"/>
  <c r="N200" i="22"/>
  <c r="N145" i="11"/>
  <c r="E161" i="17"/>
  <c r="E142" i="17"/>
  <c r="W176" i="17"/>
  <c r="E152" i="25"/>
  <c r="N182" i="25"/>
  <c r="N114" i="35"/>
  <c r="E144" i="11"/>
  <c r="E191" i="12"/>
  <c r="E168" i="12"/>
  <c r="E90" i="28"/>
  <c r="N154" i="7"/>
  <c r="N95" i="32"/>
  <c r="E90" i="32"/>
  <c r="E191" i="18"/>
  <c r="E141" i="5"/>
  <c r="N105" i="37"/>
  <c r="E179" i="21"/>
  <c r="N143" i="5"/>
  <c r="W176" i="14"/>
  <c r="E142" i="24"/>
  <c r="E155" i="17"/>
  <c r="E183" i="18"/>
  <c r="E174" i="15"/>
  <c r="E156" i="2"/>
  <c r="N161" i="5"/>
  <c r="E160" i="7"/>
  <c r="N191" i="15"/>
  <c r="N171" i="12"/>
  <c r="N178" i="12"/>
  <c r="W194" i="15"/>
  <c r="W184" i="10"/>
  <c r="W178" i="10"/>
  <c r="E176" i="9"/>
  <c r="E199" i="9"/>
  <c r="N205" i="9"/>
  <c r="N175" i="21"/>
  <c r="E145" i="21"/>
  <c r="N147" i="21"/>
  <c r="E173" i="19"/>
  <c r="N151" i="19"/>
  <c r="N191" i="18"/>
  <c r="E158" i="18"/>
  <c r="W177" i="18"/>
  <c r="E158" i="17"/>
  <c r="E109" i="36"/>
  <c r="E122" i="36"/>
  <c r="E145" i="26"/>
  <c r="N128" i="26"/>
  <c r="E175" i="25"/>
  <c r="E139" i="25"/>
  <c r="N177" i="25"/>
  <c r="W171" i="22"/>
  <c r="W187" i="22"/>
  <c r="N174" i="22"/>
  <c r="N175" i="22"/>
  <c r="E182" i="2"/>
  <c r="E152" i="17"/>
  <c r="E163" i="11"/>
  <c r="E191" i="11"/>
  <c r="N187" i="11"/>
  <c r="E151" i="16"/>
  <c r="E147" i="16"/>
  <c r="E151" i="3"/>
  <c r="E157" i="16"/>
  <c r="E200" i="15"/>
  <c r="N163" i="19"/>
  <c r="E194" i="14"/>
  <c r="E148" i="25"/>
  <c r="E164" i="9"/>
  <c r="W187" i="13"/>
  <c r="E149" i="5"/>
  <c r="E174" i="2"/>
  <c r="N164" i="5"/>
  <c r="N163" i="7"/>
  <c r="E163" i="15"/>
  <c r="E153" i="12"/>
  <c r="E158" i="15"/>
  <c r="E175" i="15"/>
  <c r="N201" i="9"/>
  <c r="N149" i="18"/>
  <c r="W188" i="18"/>
  <c r="E120" i="36"/>
  <c r="N120" i="36"/>
  <c r="E169" i="25"/>
  <c r="E145" i="23"/>
  <c r="E198" i="22"/>
  <c r="N178" i="22"/>
  <c r="W193" i="22"/>
  <c r="N179" i="22"/>
  <c r="N152" i="16"/>
  <c r="E154" i="16"/>
  <c r="E144" i="16"/>
  <c r="N159" i="14"/>
  <c r="E156" i="19"/>
  <c r="E154" i="17"/>
  <c r="E184" i="8"/>
  <c r="E98" i="34"/>
  <c r="W98" i="34"/>
  <c r="N90" i="34"/>
  <c r="E93" i="34"/>
  <c r="E83" i="34"/>
  <c r="E79" i="34"/>
  <c r="N153" i="21"/>
  <c r="N176" i="21"/>
  <c r="E140" i="21"/>
  <c r="E153" i="21"/>
  <c r="N179" i="21"/>
  <c r="N145" i="21"/>
  <c r="E184" i="21"/>
  <c r="E146" i="21"/>
  <c r="E152" i="21"/>
  <c r="N159" i="21"/>
  <c r="E168" i="21"/>
  <c r="N144" i="21"/>
  <c r="E156" i="21"/>
  <c r="N169" i="18"/>
  <c r="N144" i="18"/>
  <c r="N201" i="22"/>
  <c r="N171" i="25"/>
  <c r="N163" i="25"/>
  <c r="N170" i="25"/>
  <c r="N139" i="25"/>
  <c r="N126" i="16"/>
  <c r="N136" i="16"/>
  <c r="N143" i="16"/>
  <c r="E188" i="17"/>
  <c r="E149" i="17"/>
  <c r="E173" i="17"/>
  <c r="E145" i="17"/>
  <c r="E162" i="17"/>
  <c r="N169" i="17"/>
  <c r="N161" i="17"/>
  <c r="N187" i="17"/>
  <c r="E172" i="17"/>
  <c r="E144" i="20"/>
  <c r="E160" i="20"/>
  <c r="E171" i="20"/>
  <c r="N139" i="20"/>
  <c r="N124" i="20"/>
  <c r="N85" i="34"/>
  <c r="E97" i="34"/>
  <c r="E86" i="34"/>
  <c r="N84" i="34"/>
  <c r="E88" i="34"/>
  <c r="E95" i="34"/>
  <c r="N84" i="33"/>
  <c r="N165" i="9"/>
  <c r="E183" i="9"/>
  <c r="N155" i="9"/>
  <c r="N178" i="9"/>
  <c r="E156" i="9"/>
  <c r="N185" i="9"/>
  <c r="N173" i="9"/>
  <c r="E179" i="10"/>
  <c r="W142" i="11"/>
  <c r="N183" i="11"/>
  <c r="N88" i="32"/>
  <c r="W195" i="13"/>
  <c r="N188" i="13"/>
  <c r="N201" i="13"/>
  <c r="W191" i="13"/>
  <c r="N176" i="13"/>
  <c r="E179" i="13"/>
  <c r="E163" i="13"/>
  <c r="E181" i="13"/>
  <c r="N178" i="13"/>
  <c r="E193" i="13"/>
  <c r="E177" i="13"/>
  <c r="E175" i="13"/>
  <c r="N174" i="13"/>
  <c r="E193" i="14"/>
  <c r="E152" i="14"/>
  <c r="E191" i="14"/>
  <c r="W175" i="14"/>
  <c r="N179" i="14"/>
  <c r="N164" i="8"/>
  <c r="E154" i="8"/>
  <c r="N195" i="8"/>
  <c r="E202" i="8"/>
  <c r="E201" i="8"/>
  <c r="E186" i="8"/>
  <c r="E167" i="8"/>
  <c r="N82" i="31"/>
  <c r="N192" i="7"/>
  <c r="E100" i="29"/>
  <c r="E97" i="29"/>
  <c r="E89" i="29"/>
  <c r="E87" i="29"/>
  <c r="E96" i="29"/>
  <c r="E107" i="28"/>
  <c r="E105" i="28"/>
  <c r="N150" i="3"/>
  <c r="E162" i="3"/>
  <c r="E183" i="12"/>
  <c r="N190" i="3"/>
  <c r="N153" i="11"/>
  <c r="E185" i="11"/>
  <c r="N106" i="29"/>
  <c r="W189" i="10"/>
  <c r="E147" i="21"/>
  <c r="N157" i="21"/>
  <c r="N177" i="19"/>
  <c r="E187" i="18"/>
  <c r="E164" i="18"/>
  <c r="E146" i="18"/>
  <c r="N133" i="26"/>
  <c r="E181" i="24"/>
  <c r="N191" i="23"/>
  <c r="E86" i="30"/>
  <c r="E182" i="14"/>
  <c r="W175" i="11"/>
  <c r="N182" i="11"/>
  <c r="N142" i="16"/>
  <c r="E99" i="32"/>
  <c r="N128" i="6"/>
  <c r="W166" i="20"/>
  <c r="N136" i="35"/>
  <c r="E142" i="23"/>
  <c r="W160" i="11"/>
  <c r="W184" i="8"/>
  <c r="N176" i="3"/>
  <c r="N175" i="3"/>
  <c r="W197" i="8"/>
  <c r="N198" i="3"/>
  <c r="E187" i="3"/>
  <c r="W100" i="28"/>
  <c r="E158" i="11"/>
  <c r="W144" i="16"/>
  <c r="E116" i="35"/>
  <c r="N168" i="21"/>
  <c r="N184" i="21"/>
  <c r="N182" i="18"/>
  <c r="W164" i="25"/>
  <c r="E193" i="23"/>
  <c r="N168" i="15"/>
  <c r="N95" i="31"/>
  <c r="W177" i="12"/>
  <c r="N188" i="17"/>
  <c r="E118" i="35"/>
  <c r="N123" i="35"/>
  <c r="N173" i="25"/>
  <c r="N157" i="24"/>
  <c r="E93" i="31"/>
  <c r="W139" i="16"/>
  <c r="N178" i="24"/>
  <c r="N157" i="8"/>
  <c r="N187" i="8"/>
  <c r="E198" i="8"/>
  <c r="N188" i="15"/>
  <c r="E136" i="35"/>
  <c r="E165" i="24"/>
  <c r="W87" i="38"/>
  <c r="E153" i="22"/>
  <c r="E162" i="18"/>
  <c r="N156" i="15"/>
  <c r="E188" i="15"/>
  <c r="W196" i="10"/>
  <c r="N174" i="9"/>
  <c r="W178" i="9"/>
  <c r="E158" i="21"/>
  <c r="N161" i="21"/>
  <c r="E157" i="21"/>
  <c r="N143" i="25"/>
  <c r="E179" i="23"/>
  <c r="E188" i="7"/>
  <c r="N175" i="14"/>
  <c r="N176" i="11"/>
  <c r="N197" i="11"/>
  <c r="N168" i="8"/>
  <c r="N159" i="8"/>
  <c r="N178" i="8"/>
  <c r="E91" i="34"/>
  <c r="N160" i="8"/>
  <c r="N152" i="3"/>
  <c r="N167" i="3"/>
  <c r="N170" i="3"/>
  <c r="W149" i="20"/>
  <c r="N154" i="22"/>
  <c r="E93" i="32"/>
  <c r="E160" i="8"/>
  <c r="E171" i="7"/>
  <c r="E173" i="12"/>
  <c r="W163" i="12"/>
  <c r="N182" i="15"/>
  <c r="W157" i="9"/>
  <c r="N151" i="18"/>
  <c r="N175" i="18"/>
  <c r="N149" i="24"/>
  <c r="N173" i="23"/>
  <c r="N127" i="16"/>
  <c r="E175" i="14"/>
  <c r="N173" i="11"/>
  <c r="E188" i="11"/>
  <c r="N142" i="21"/>
  <c r="E144" i="18"/>
  <c r="E128" i="16"/>
  <c r="E185" i="22"/>
  <c r="E193" i="22"/>
  <c r="E205" i="22"/>
  <c r="E183" i="22"/>
  <c r="N169" i="22"/>
  <c r="W153" i="22"/>
  <c r="E171" i="22"/>
  <c r="E157" i="22"/>
  <c r="E204" i="22"/>
  <c r="N177" i="22"/>
  <c r="N155" i="22"/>
  <c r="N183" i="22"/>
  <c r="E154" i="22"/>
  <c r="E169" i="22"/>
  <c r="E165" i="22"/>
  <c r="N153" i="22"/>
  <c r="N170" i="22"/>
  <c r="E195" i="22"/>
  <c r="W201" i="22"/>
  <c r="N156" i="22"/>
  <c r="N164" i="22"/>
  <c r="N163" i="22"/>
  <c r="N167" i="22"/>
  <c r="E178" i="22"/>
  <c r="N177" i="23"/>
  <c r="N194" i="23"/>
  <c r="N174" i="23"/>
  <c r="E153" i="23"/>
  <c r="E147" i="23"/>
  <c r="W158" i="23"/>
  <c r="N166" i="23"/>
  <c r="W156" i="23"/>
  <c r="W175" i="23"/>
  <c r="N163" i="23"/>
  <c r="N149" i="23"/>
  <c r="W184" i="23"/>
  <c r="N182" i="23"/>
  <c r="N185" i="23"/>
  <c r="N184" i="24"/>
  <c r="N167" i="24"/>
  <c r="N153" i="24"/>
  <c r="E170" i="24"/>
  <c r="N147" i="24"/>
  <c r="N166" i="24"/>
  <c r="N172" i="24"/>
  <c r="W175" i="24"/>
  <c r="N139" i="24"/>
  <c r="E152" i="24"/>
  <c r="W189" i="24"/>
  <c r="N138" i="24"/>
  <c r="E151" i="24"/>
  <c r="N154" i="24"/>
  <c r="W157" i="24"/>
  <c r="N146" i="24"/>
  <c r="E158" i="24"/>
  <c r="E176" i="24"/>
  <c r="N177" i="24"/>
  <c r="E149" i="24"/>
  <c r="E138" i="25"/>
  <c r="N144" i="25"/>
  <c r="E183" i="25"/>
  <c r="N178" i="25"/>
  <c r="N185" i="25"/>
  <c r="N149" i="25"/>
  <c r="E192" i="25"/>
  <c r="N138" i="25"/>
  <c r="E171" i="25"/>
  <c r="N179" i="25"/>
  <c r="N151" i="25"/>
  <c r="W148" i="25"/>
  <c r="N141" i="25"/>
  <c r="W147" i="25"/>
  <c r="N175" i="25"/>
  <c r="N183" i="25"/>
  <c r="N156" i="26"/>
  <c r="N120" i="26"/>
  <c r="E130" i="26"/>
  <c r="E127" i="26"/>
  <c r="N132" i="26"/>
  <c r="N144" i="26"/>
  <c r="N148" i="26"/>
  <c r="E146" i="26"/>
  <c r="E147" i="26"/>
  <c r="N92" i="37"/>
  <c r="N106" i="37"/>
  <c r="N85" i="37"/>
  <c r="N86" i="37"/>
  <c r="W130" i="16"/>
  <c r="E139" i="16"/>
  <c r="N151" i="16"/>
  <c r="N148" i="16"/>
  <c r="N144" i="16"/>
  <c r="E130" i="35"/>
  <c r="W127" i="35"/>
  <c r="N129" i="35"/>
  <c r="N113" i="35"/>
  <c r="E117" i="35"/>
  <c r="E159" i="17"/>
  <c r="N144" i="17"/>
  <c r="W161" i="17"/>
  <c r="N186" i="17"/>
  <c r="N189" i="17"/>
  <c r="E168" i="17"/>
  <c r="W165" i="17"/>
  <c r="E170" i="17"/>
  <c r="E139" i="17"/>
  <c r="E178" i="17"/>
  <c r="N194" i="17"/>
  <c r="W193" i="17"/>
  <c r="N157" i="17"/>
  <c r="N143" i="17"/>
  <c r="E150" i="17"/>
  <c r="E176" i="17"/>
  <c r="N177" i="17"/>
  <c r="W178" i="17"/>
  <c r="N173" i="17"/>
  <c r="E193" i="17"/>
  <c r="N178" i="17"/>
  <c r="E148" i="17"/>
  <c r="W179" i="17"/>
  <c r="N176" i="17"/>
  <c r="N156" i="17"/>
  <c r="N139" i="17"/>
  <c r="N152" i="17"/>
  <c r="E163" i="18"/>
  <c r="N173" i="18"/>
  <c r="E165" i="18"/>
  <c r="E152" i="18"/>
  <c r="N193" i="18"/>
  <c r="N170" i="18"/>
  <c r="W180" i="18"/>
  <c r="E171" i="18"/>
  <c r="N185" i="18"/>
  <c r="E185" i="18"/>
  <c r="N172" i="18"/>
  <c r="N147" i="18"/>
  <c r="N152" i="18"/>
  <c r="W183" i="18"/>
  <c r="E193" i="18"/>
  <c r="E149" i="18"/>
  <c r="N177" i="18"/>
  <c r="E174" i="18"/>
  <c r="W158" i="18"/>
  <c r="E146" i="19"/>
  <c r="E172" i="19"/>
  <c r="E169" i="19"/>
  <c r="N186" i="19"/>
  <c r="W167" i="19"/>
  <c r="N171" i="19"/>
  <c r="E197" i="19"/>
  <c r="E170" i="19"/>
  <c r="E192" i="19"/>
  <c r="N157" i="19"/>
  <c r="N170" i="19"/>
  <c r="N188" i="19"/>
  <c r="W153" i="19"/>
  <c r="E183" i="19"/>
  <c r="E181" i="19"/>
  <c r="N153" i="19"/>
  <c r="E149" i="19"/>
  <c r="N159" i="19"/>
  <c r="N173" i="19"/>
  <c r="N164" i="20"/>
  <c r="W124" i="20"/>
  <c r="W151" i="20"/>
  <c r="E170" i="20"/>
  <c r="W152" i="20"/>
  <c r="N170" i="20"/>
  <c r="E131" i="20"/>
  <c r="W161" i="20"/>
  <c r="N151" i="20"/>
  <c r="E158" i="20"/>
  <c r="E174" i="21"/>
  <c r="N166" i="21"/>
  <c r="N183" i="21"/>
  <c r="E192" i="21"/>
  <c r="E172" i="21"/>
  <c r="N146" i="21"/>
  <c r="E143" i="21"/>
  <c r="E171" i="21"/>
  <c r="W145" i="21"/>
  <c r="E177" i="21"/>
  <c r="N163" i="21"/>
  <c r="N140" i="21"/>
  <c r="W157" i="21"/>
  <c r="N191" i="21"/>
  <c r="E180" i="21"/>
  <c r="E166" i="21"/>
  <c r="N82" i="33"/>
  <c r="W174" i="9"/>
  <c r="E175" i="9"/>
  <c r="N167" i="9"/>
  <c r="N200" i="9"/>
  <c r="W158" i="9"/>
  <c r="N193" i="9"/>
  <c r="E173" i="9"/>
  <c r="E165" i="9"/>
  <c r="N177" i="9"/>
  <c r="E161" i="9"/>
  <c r="W180" i="10"/>
  <c r="W194" i="10"/>
  <c r="W165" i="10"/>
  <c r="W198" i="10"/>
  <c r="N155" i="11"/>
  <c r="N191" i="11"/>
  <c r="W180" i="11"/>
  <c r="N166" i="11"/>
  <c r="N175" i="11"/>
  <c r="E156" i="11"/>
  <c r="N172" i="11"/>
  <c r="E142" i="11"/>
  <c r="E189" i="11"/>
  <c r="E190" i="11"/>
  <c r="W172" i="11"/>
  <c r="N149" i="11"/>
  <c r="W193" i="12"/>
  <c r="E157" i="12"/>
  <c r="N191" i="12"/>
  <c r="N168" i="12"/>
  <c r="E156" i="12"/>
  <c r="E148" i="12"/>
  <c r="E155" i="12"/>
  <c r="W190" i="12"/>
  <c r="N173" i="12"/>
  <c r="E172" i="12"/>
  <c r="N93" i="32"/>
  <c r="E102" i="32"/>
  <c r="E97" i="32"/>
  <c r="N85" i="32"/>
  <c r="W102" i="32"/>
  <c r="N205" i="13"/>
  <c r="W193" i="13"/>
  <c r="E204" i="13"/>
  <c r="E190" i="13"/>
  <c r="N155" i="13"/>
  <c r="E196" i="14"/>
  <c r="E180" i="14"/>
  <c r="N171" i="14"/>
  <c r="E156" i="14"/>
  <c r="N191" i="14"/>
  <c r="N139" i="6"/>
  <c r="N82" i="30"/>
  <c r="W74" i="30"/>
  <c r="E169" i="7"/>
  <c r="E158" i="7"/>
  <c r="E170" i="7"/>
  <c r="E187" i="7"/>
  <c r="N157" i="7"/>
  <c r="N85" i="31"/>
  <c r="N91" i="31"/>
  <c r="W90" i="38"/>
  <c r="E98" i="37"/>
  <c r="E87" i="37"/>
  <c r="E94" i="37"/>
  <c r="E88" i="37"/>
  <c r="E90" i="37"/>
  <c r="N91" i="37"/>
  <c r="N107" i="37"/>
  <c r="N99" i="37"/>
  <c r="E95" i="37"/>
  <c r="E127" i="36"/>
  <c r="W121" i="36"/>
  <c r="E126" i="36"/>
  <c r="N115" i="36"/>
  <c r="N112" i="36"/>
  <c r="N105" i="36"/>
  <c r="E114" i="36"/>
  <c r="N156" i="16"/>
  <c r="N147" i="16"/>
  <c r="N134" i="16"/>
  <c r="N138" i="16"/>
  <c r="E126" i="16"/>
  <c r="E161" i="16"/>
  <c r="N135" i="16"/>
  <c r="W169" i="17"/>
  <c r="E191" i="17"/>
  <c r="N149" i="17"/>
  <c r="E175" i="17"/>
  <c r="E185" i="17"/>
  <c r="E160" i="17"/>
  <c r="E143" i="17"/>
  <c r="E169" i="17"/>
  <c r="N192" i="17"/>
  <c r="N158" i="17"/>
  <c r="E192" i="17"/>
  <c r="N172" i="17"/>
  <c r="E184" i="17"/>
  <c r="N171" i="17"/>
  <c r="N95" i="34"/>
  <c r="N91" i="34"/>
  <c r="E84" i="34"/>
  <c r="E82" i="34"/>
  <c r="E81" i="34"/>
  <c r="E99" i="34"/>
  <c r="N79" i="34"/>
  <c r="N83" i="33"/>
  <c r="E97" i="33"/>
  <c r="N81" i="33"/>
  <c r="W162" i="10"/>
  <c r="E211" i="10"/>
  <c r="W208" i="10"/>
  <c r="N177" i="10"/>
  <c r="W170" i="10"/>
  <c r="N205" i="15"/>
  <c r="N167" i="15"/>
  <c r="E166" i="15"/>
  <c r="E170" i="15"/>
  <c r="E186" i="15"/>
  <c r="E198" i="15"/>
  <c r="E203" i="15"/>
  <c r="E210" i="15"/>
  <c r="E168" i="15"/>
  <c r="N160" i="15"/>
  <c r="E199" i="15"/>
  <c r="E167" i="15"/>
  <c r="E207" i="15"/>
  <c r="N166" i="15"/>
  <c r="E161" i="15"/>
  <c r="E159" i="15"/>
  <c r="N204" i="15"/>
  <c r="E191" i="15"/>
  <c r="N179" i="15"/>
  <c r="E173" i="15"/>
  <c r="N184" i="15"/>
  <c r="E165" i="15"/>
  <c r="E196" i="15"/>
  <c r="E190" i="15"/>
  <c r="N186" i="15"/>
  <c r="N201" i="15"/>
  <c r="E182" i="15"/>
  <c r="E178" i="15"/>
  <c r="E176" i="7"/>
  <c r="E151" i="7"/>
  <c r="E183" i="7"/>
  <c r="E174" i="7"/>
  <c r="N165" i="7"/>
  <c r="E185" i="7"/>
  <c r="E184" i="7"/>
  <c r="N153" i="7"/>
  <c r="E182" i="7"/>
  <c r="E156" i="7"/>
  <c r="E157" i="7"/>
  <c r="E155" i="7"/>
  <c r="E148" i="7"/>
  <c r="E190" i="7"/>
  <c r="N185" i="7"/>
  <c r="N169" i="7"/>
  <c r="N167" i="7"/>
  <c r="N159" i="7"/>
  <c r="E139" i="7"/>
  <c r="N170" i="7"/>
  <c r="E172" i="7"/>
  <c r="N160" i="7"/>
  <c r="N146" i="7"/>
  <c r="N182" i="7"/>
  <c r="N162" i="7"/>
  <c r="E146" i="7"/>
  <c r="N140" i="7"/>
  <c r="N181" i="7"/>
  <c r="E165" i="7"/>
  <c r="N173" i="7"/>
  <c r="E140" i="7"/>
  <c r="N188" i="7"/>
  <c r="E162" i="7"/>
  <c r="E186" i="7"/>
  <c r="N168" i="7"/>
  <c r="N143" i="7"/>
  <c r="E164" i="7"/>
  <c r="N189" i="7"/>
  <c r="E181" i="7"/>
  <c r="N96" i="29"/>
  <c r="N98" i="29"/>
  <c r="N86" i="29"/>
  <c r="N101" i="29"/>
  <c r="N97" i="29"/>
  <c r="N104" i="29"/>
  <c r="E102" i="29"/>
  <c r="N147" i="6"/>
  <c r="N131" i="6"/>
  <c r="N84" i="30"/>
  <c r="E76" i="30"/>
  <c r="N76" i="30"/>
  <c r="N79" i="30"/>
  <c r="E79" i="30"/>
  <c r="N191" i="5"/>
  <c r="N167" i="5"/>
  <c r="E191" i="5"/>
  <c r="N162" i="5"/>
  <c r="E164" i="5"/>
  <c r="E187" i="5"/>
  <c r="E194" i="5"/>
  <c r="E81" i="30"/>
  <c r="E88" i="30"/>
  <c r="E78" i="30"/>
  <c r="E75" i="30"/>
  <c r="N74" i="30"/>
  <c r="N75" i="30"/>
  <c r="E74" i="30"/>
  <c r="N92" i="28"/>
  <c r="N93" i="28"/>
  <c r="E104" i="28"/>
  <c r="N87" i="28"/>
  <c r="E99" i="28"/>
  <c r="W108" i="28"/>
  <c r="N102" i="28"/>
  <c r="E191" i="2"/>
  <c r="E163" i="2"/>
  <c r="E140" i="2"/>
  <c r="E162" i="2"/>
  <c r="E193" i="2"/>
  <c r="E157" i="2"/>
  <c r="E181" i="2"/>
  <c r="E167" i="2"/>
  <c r="E166" i="2"/>
  <c r="E187" i="2"/>
  <c r="E146" i="1"/>
  <c r="E188" i="1"/>
  <c r="E147" i="1"/>
  <c r="E176" i="1"/>
  <c r="E169" i="1"/>
  <c r="N86" i="33"/>
  <c r="N88" i="33"/>
  <c r="E92" i="33"/>
  <c r="E89" i="33"/>
  <c r="E94" i="33"/>
  <c r="E96" i="33"/>
  <c r="E208" i="9"/>
  <c r="J179" i="9"/>
  <c r="E188" i="9"/>
  <c r="W200" i="9"/>
  <c r="E184" i="9"/>
  <c r="E193" i="9"/>
  <c r="E186" i="9"/>
  <c r="L179" i="9"/>
  <c r="N169" i="9"/>
  <c r="E159" i="9"/>
  <c r="E167" i="9"/>
  <c r="N166" i="9"/>
  <c r="N208" i="9"/>
  <c r="E207" i="9"/>
  <c r="E168" i="9"/>
  <c r="E160" i="9"/>
  <c r="E169" i="9"/>
  <c r="W172" i="9"/>
  <c r="N160" i="9"/>
  <c r="N157" i="9"/>
  <c r="E196" i="9"/>
  <c r="E155" i="9"/>
  <c r="N195" i="9"/>
  <c r="N164" i="9"/>
  <c r="N154" i="9"/>
  <c r="N161" i="22"/>
  <c r="E191" i="22"/>
  <c r="E181" i="22"/>
  <c r="N187" i="22"/>
  <c r="N194" i="22"/>
  <c r="E163" i="22"/>
  <c r="N198" i="22"/>
  <c r="E200" i="22"/>
  <c r="E156" i="22"/>
  <c r="N152" i="22"/>
  <c r="E176" i="22"/>
  <c r="E174" i="22"/>
  <c r="E188" i="22"/>
  <c r="E158" i="22"/>
  <c r="E162" i="22"/>
  <c r="E203" i="22"/>
  <c r="N182" i="22"/>
  <c r="E201" i="22"/>
  <c r="E183" i="23"/>
  <c r="E148" i="23"/>
  <c r="E155" i="23"/>
  <c r="N172" i="23"/>
  <c r="E169" i="23"/>
  <c r="E159" i="23"/>
  <c r="N154" i="23"/>
  <c r="N184" i="23"/>
  <c r="N146" i="23"/>
  <c r="N167" i="23"/>
  <c r="N153" i="23"/>
  <c r="N152" i="23"/>
  <c r="N195" i="23"/>
  <c r="W186" i="23"/>
  <c r="N145" i="23"/>
  <c r="E163" i="23"/>
  <c r="E189" i="23"/>
  <c r="E191" i="23"/>
  <c r="E173" i="23"/>
  <c r="E194" i="23"/>
  <c r="N186" i="23"/>
  <c r="E160" i="23"/>
  <c r="E185" i="23"/>
  <c r="N179" i="23"/>
  <c r="W148" i="23"/>
  <c r="N180" i="24"/>
  <c r="W181" i="24"/>
  <c r="N165" i="24"/>
  <c r="W149" i="24"/>
  <c r="N173" i="24"/>
  <c r="E177" i="24"/>
  <c r="N161" i="24"/>
  <c r="N151" i="24"/>
  <c r="E174" i="24"/>
  <c r="E172" i="24"/>
  <c r="N188" i="24"/>
  <c r="W180" i="24"/>
  <c r="N174" i="24"/>
  <c r="E185" i="24"/>
  <c r="E186" i="24"/>
  <c r="N185" i="24"/>
  <c r="N141" i="24"/>
  <c r="E159" i="24"/>
  <c r="W185" i="24"/>
  <c r="W137" i="24"/>
  <c r="E155" i="24"/>
  <c r="N152" i="24"/>
  <c r="E145" i="25"/>
  <c r="N164" i="25"/>
  <c r="E160" i="25"/>
  <c r="N150" i="25"/>
  <c r="E177" i="25"/>
  <c r="N192" i="25"/>
  <c r="E184" i="25"/>
  <c r="E176" i="25"/>
  <c r="E159" i="25"/>
  <c r="E150" i="25"/>
  <c r="J157" i="25"/>
  <c r="L157" i="25"/>
  <c r="N162" i="25"/>
  <c r="N142" i="25"/>
  <c r="N137" i="25"/>
  <c r="W159" i="25"/>
  <c r="E146" i="25"/>
  <c r="E168" i="25"/>
  <c r="E156" i="25"/>
  <c r="N184" i="25"/>
  <c r="W137" i="26"/>
  <c r="N150" i="26"/>
  <c r="N130" i="26"/>
  <c r="E128" i="26"/>
  <c r="E136" i="26"/>
  <c r="E155" i="26"/>
  <c r="W128" i="26"/>
  <c r="E137" i="26"/>
  <c r="W138" i="26"/>
  <c r="E124" i="26"/>
  <c r="E148" i="26"/>
  <c r="N121" i="26"/>
  <c r="N140" i="26"/>
  <c r="N129" i="26"/>
  <c r="E156" i="26"/>
  <c r="E119" i="26"/>
  <c r="N137" i="26"/>
  <c r="W150" i="26"/>
  <c r="N92" i="38"/>
  <c r="W103" i="38"/>
  <c r="E98" i="38"/>
  <c r="N93" i="38"/>
  <c r="E89" i="38"/>
  <c r="N86" i="38"/>
  <c r="N98" i="38"/>
  <c r="E113" i="36"/>
  <c r="N128" i="36"/>
  <c r="N125" i="36"/>
  <c r="N113" i="36"/>
  <c r="N121" i="36"/>
  <c r="W106" i="36"/>
  <c r="N126" i="36"/>
  <c r="W109" i="36"/>
  <c r="N114" i="36"/>
  <c r="N119" i="36"/>
  <c r="E121" i="36"/>
  <c r="N117" i="36"/>
  <c r="W124" i="36"/>
  <c r="E111" i="36"/>
  <c r="N109" i="36"/>
  <c r="W128" i="36"/>
  <c r="N118" i="36"/>
  <c r="E123" i="36"/>
  <c r="N127" i="36"/>
  <c r="W127" i="36"/>
  <c r="E128" i="36"/>
  <c r="N124" i="36"/>
  <c r="W114" i="36"/>
  <c r="E116" i="36"/>
  <c r="E125" i="36"/>
  <c r="N110" i="36"/>
  <c r="E110" i="36"/>
  <c r="W110" i="36"/>
  <c r="N111" i="36"/>
  <c r="W113" i="36"/>
  <c r="N123" i="36"/>
  <c r="E115" i="36"/>
  <c r="W123" i="36"/>
  <c r="W111" i="36"/>
  <c r="N129" i="36"/>
  <c r="E106" i="36"/>
  <c r="N116" i="36"/>
  <c r="N106" i="36"/>
  <c r="W126" i="36"/>
  <c r="E119" i="36"/>
  <c r="N181" i="17"/>
  <c r="W151" i="17"/>
  <c r="N182" i="17"/>
  <c r="E167" i="17"/>
  <c r="N170" i="17"/>
  <c r="W149" i="17"/>
  <c r="N174" i="17"/>
  <c r="N168" i="17"/>
  <c r="E157" i="17"/>
  <c r="E153" i="17"/>
  <c r="N160" i="17"/>
  <c r="W173" i="17"/>
  <c r="E146" i="17"/>
  <c r="W185" i="17"/>
  <c r="W145" i="17"/>
  <c r="E180" i="17"/>
  <c r="N151" i="17"/>
  <c r="N159" i="17"/>
  <c r="E156" i="17"/>
  <c r="E187" i="17"/>
  <c r="E177" i="17"/>
  <c r="N145" i="17"/>
  <c r="E183" i="17"/>
  <c r="N164" i="17"/>
  <c r="E159" i="18"/>
  <c r="E145" i="18"/>
  <c r="E153" i="18"/>
  <c r="E150" i="18"/>
  <c r="E176" i="18"/>
  <c r="E170" i="18"/>
  <c r="N155" i="18"/>
  <c r="E177" i="18"/>
  <c r="N158" i="18"/>
  <c r="W182" i="18"/>
  <c r="N157" i="18"/>
  <c r="W159" i="18"/>
  <c r="N167" i="18"/>
  <c r="E180" i="18"/>
  <c r="E157" i="18"/>
  <c r="E167" i="18"/>
  <c r="E188" i="18"/>
  <c r="N150" i="18"/>
  <c r="N176" i="18"/>
  <c r="N168" i="18"/>
  <c r="E178" i="18"/>
  <c r="E175" i="18"/>
  <c r="E168" i="18"/>
  <c r="N178" i="18"/>
  <c r="N166" i="18"/>
  <c r="W153" i="18"/>
  <c r="N171" i="18"/>
  <c r="W168" i="18"/>
  <c r="N178" i="19"/>
  <c r="E193" i="19"/>
  <c r="E186" i="19"/>
  <c r="E187" i="19"/>
  <c r="E162" i="19"/>
  <c r="N181" i="19"/>
  <c r="N190" i="19"/>
  <c r="N191" i="19"/>
  <c r="E147" i="19"/>
  <c r="E153" i="19"/>
  <c r="W152" i="19"/>
  <c r="E176" i="19"/>
  <c r="W159" i="19"/>
  <c r="N196" i="19"/>
  <c r="N155" i="19"/>
  <c r="W175" i="19"/>
  <c r="E164" i="19"/>
  <c r="N179" i="19"/>
  <c r="N161" i="19"/>
  <c r="N176" i="19"/>
  <c r="E185" i="19"/>
  <c r="N148" i="19"/>
  <c r="N182" i="19"/>
  <c r="N174" i="19"/>
  <c r="W189" i="19"/>
  <c r="W179" i="19"/>
  <c r="E151" i="19"/>
  <c r="N168" i="19"/>
  <c r="E145" i="20"/>
  <c r="E125" i="20"/>
  <c r="E132" i="20"/>
  <c r="N160" i="20"/>
  <c r="E141" i="20"/>
  <c r="N158" i="20"/>
  <c r="W156" i="20"/>
  <c r="E154" i="20"/>
  <c r="E143" i="20"/>
  <c r="N171" i="20"/>
  <c r="W155" i="20"/>
  <c r="W160" i="20"/>
  <c r="E152" i="20"/>
  <c r="N142" i="20"/>
  <c r="N128" i="20"/>
  <c r="E137" i="20"/>
  <c r="E155" i="20"/>
  <c r="E167" i="20"/>
  <c r="E133" i="20"/>
  <c r="E151" i="20"/>
  <c r="N131" i="20"/>
  <c r="E136" i="20"/>
  <c r="W150" i="20"/>
  <c r="E169" i="20"/>
  <c r="N155" i="20"/>
  <c r="E130" i="20"/>
  <c r="N135" i="20"/>
  <c r="W162" i="20"/>
  <c r="E163" i="20"/>
  <c r="N137" i="21"/>
  <c r="W147" i="21"/>
  <c r="E169" i="21"/>
  <c r="E148" i="21"/>
  <c r="N173" i="21"/>
  <c r="N167" i="21"/>
  <c r="E141" i="21"/>
  <c r="N169" i="21"/>
  <c r="N139" i="21"/>
  <c r="N165" i="21"/>
  <c r="E154" i="21"/>
  <c r="W191" i="21"/>
  <c r="N180" i="21"/>
  <c r="N171" i="21"/>
  <c r="E162" i="21"/>
  <c r="W180" i="21"/>
  <c r="E176" i="21"/>
  <c r="W171" i="21"/>
  <c r="W172" i="21"/>
  <c r="E86" i="33"/>
  <c r="E93" i="33"/>
  <c r="E82" i="33"/>
  <c r="E84" i="33"/>
  <c r="E88" i="33"/>
  <c r="E101" i="33"/>
  <c r="E194" i="9"/>
  <c r="E201" i="9"/>
  <c r="E179" i="9"/>
  <c r="E195" i="9"/>
  <c r="W188" i="9"/>
  <c r="N171" i="9"/>
  <c r="E166" i="9"/>
  <c r="N168" i="9"/>
  <c r="N162" i="9"/>
  <c r="E202" i="9"/>
  <c r="N159" i="9"/>
  <c r="W199" i="9"/>
  <c r="E177" i="9"/>
  <c r="E205" i="9"/>
  <c r="E162" i="9"/>
  <c r="W195" i="9"/>
  <c r="W193" i="9"/>
  <c r="L180" i="9"/>
  <c r="J180" i="9"/>
  <c r="N163" i="10"/>
  <c r="E195" i="10"/>
  <c r="W201" i="10"/>
  <c r="W213" i="10"/>
  <c r="E198" i="10"/>
  <c r="E205" i="10"/>
  <c r="N171" i="10"/>
  <c r="E180" i="10"/>
  <c r="N168" i="10"/>
  <c r="W204" i="10"/>
  <c r="N185" i="10"/>
  <c r="E207" i="10"/>
  <c r="W183" i="10"/>
  <c r="E174" i="10"/>
  <c r="E204" i="10"/>
  <c r="E203" i="10"/>
  <c r="W182" i="10"/>
  <c r="E168" i="10"/>
  <c r="N197" i="10"/>
  <c r="E190" i="10"/>
  <c r="E213" i="10"/>
  <c r="N199" i="10"/>
  <c r="N173" i="10"/>
  <c r="W188" i="10"/>
  <c r="W200" i="10"/>
  <c r="E161" i="10"/>
  <c r="W176" i="10"/>
  <c r="N201" i="10"/>
  <c r="W199" i="10"/>
  <c r="E192" i="10"/>
  <c r="W171" i="10"/>
  <c r="E208" i="10"/>
  <c r="N175" i="10"/>
  <c r="E167" i="10"/>
  <c r="E164" i="10"/>
  <c r="W172" i="10"/>
  <c r="W210" i="10"/>
  <c r="W202" i="10"/>
  <c r="N187" i="10"/>
  <c r="W214" i="10"/>
  <c r="E169" i="10"/>
  <c r="W193" i="10"/>
  <c r="E196" i="10"/>
  <c r="N203" i="10"/>
  <c r="N174" i="10"/>
  <c r="W161" i="10"/>
  <c r="E184" i="10"/>
  <c r="W203" i="10"/>
  <c r="N200" i="10"/>
  <c r="N202" i="10"/>
  <c r="E209" i="10"/>
  <c r="E193" i="10"/>
  <c r="N208" i="10"/>
  <c r="N196" i="10"/>
  <c r="E181" i="10"/>
  <c r="W205" i="10"/>
  <c r="E166" i="10"/>
  <c r="N184" i="10"/>
  <c r="N192" i="10"/>
  <c r="W190" i="10"/>
  <c r="N212" i="10"/>
  <c r="N170" i="10"/>
  <c r="N189" i="10"/>
  <c r="E216" i="10"/>
  <c r="N169" i="10"/>
  <c r="N179" i="10"/>
  <c r="W197" i="10"/>
  <c r="N167" i="10"/>
  <c r="N180" i="10"/>
  <c r="E175" i="10"/>
  <c r="W168" i="10"/>
  <c r="E194" i="10"/>
  <c r="E183" i="10"/>
  <c r="N183" i="10"/>
  <c r="N182" i="10"/>
  <c r="N198" i="10"/>
  <c r="E178" i="10"/>
  <c r="E186" i="10"/>
  <c r="N191" i="10"/>
  <c r="N209" i="10"/>
  <c r="W206" i="10"/>
  <c r="E162" i="10"/>
  <c r="W207" i="10"/>
  <c r="W195" i="10"/>
  <c r="W211" i="10"/>
  <c r="E163" i="10"/>
  <c r="E201" i="10"/>
  <c r="W191" i="10"/>
  <c r="N195" i="10"/>
  <c r="N162" i="10"/>
  <c r="N193" i="10"/>
  <c r="W192" i="10"/>
  <c r="N204" i="10"/>
  <c r="N164" i="10"/>
  <c r="E188" i="10"/>
  <c r="N176" i="10"/>
  <c r="W185" i="10"/>
  <c r="E197" i="10"/>
  <c r="E189" i="10"/>
  <c r="E210" i="10"/>
  <c r="N186" i="10"/>
  <c r="N211" i="10"/>
  <c r="E170" i="10"/>
  <c r="E182" i="10"/>
  <c r="E199" i="10"/>
  <c r="N206" i="10"/>
  <c r="E171" i="10"/>
  <c r="E191" i="10"/>
  <c r="N172" i="10"/>
  <c r="W212" i="10"/>
  <c r="E172" i="10"/>
  <c r="E215" i="10"/>
  <c r="N161" i="10"/>
  <c r="N165" i="10"/>
  <c r="E176" i="10"/>
  <c r="E187" i="10"/>
  <c r="N216" i="10"/>
  <c r="N194" i="10"/>
  <c r="E212" i="10"/>
  <c r="N181" i="10"/>
  <c r="N190" i="10"/>
  <c r="E173" i="10"/>
  <c r="E185" i="10"/>
  <c r="E214" i="10"/>
  <c r="E200" i="10"/>
  <c r="N188" i="10"/>
  <c r="E177" i="10"/>
  <c r="N178" i="10"/>
  <c r="N175" i="12"/>
  <c r="N163" i="12"/>
  <c r="N143" i="12"/>
  <c r="W159" i="12"/>
  <c r="E188" i="12"/>
  <c r="W179" i="12"/>
  <c r="E151" i="12"/>
  <c r="N159" i="12"/>
  <c r="N183" i="12"/>
  <c r="W186" i="12"/>
  <c r="N190" i="12"/>
  <c r="W178" i="12"/>
  <c r="E154" i="12"/>
  <c r="N158" i="12"/>
  <c r="E183" i="15"/>
  <c r="N165" i="15"/>
  <c r="E202" i="15"/>
  <c r="E171" i="15"/>
  <c r="E206" i="15"/>
  <c r="E162" i="15"/>
  <c r="E179" i="15"/>
  <c r="E204" i="15"/>
  <c r="E194" i="15"/>
  <c r="E187" i="15"/>
  <c r="W207" i="15"/>
  <c r="E192" i="15"/>
  <c r="N194" i="15"/>
  <c r="E141" i="12"/>
  <c r="W175" i="12"/>
  <c r="E178" i="12"/>
  <c r="E147" i="12"/>
  <c r="E169" i="12"/>
  <c r="E177" i="12"/>
  <c r="W183" i="12"/>
  <c r="E190" i="12"/>
  <c r="W189" i="12"/>
  <c r="E176" i="12"/>
  <c r="E143" i="12"/>
  <c r="E142" i="12"/>
  <c r="E174" i="12"/>
  <c r="N189" i="12"/>
  <c r="E181" i="12"/>
  <c r="E145" i="12"/>
  <c r="E170" i="12"/>
  <c r="E146" i="12"/>
  <c r="E180" i="12"/>
  <c r="E149" i="12"/>
  <c r="W184" i="12"/>
  <c r="E184" i="12"/>
  <c r="N184" i="12"/>
  <c r="E171" i="12"/>
  <c r="W151" i="12"/>
  <c r="W154" i="12"/>
  <c r="E189" i="12"/>
  <c r="E164" i="12"/>
  <c r="W173" i="12"/>
  <c r="N154" i="12"/>
  <c r="E185" i="12"/>
  <c r="E175" i="12"/>
  <c r="E160" i="12"/>
  <c r="N167" i="12"/>
  <c r="W182" i="12"/>
  <c r="N151" i="12"/>
  <c r="W171" i="12"/>
  <c r="N192" i="13"/>
  <c r="E205" i="13"/>
  <c r="N182" i="13"/>
  <c r="N158" i="13"/>
  <c r="E174" i="13"/>
  <c r="E170" i="13"/>
  <c r="E162" i="13"/>
  <c r="N171" i="13"/>
  <c r="N170" i="13"/>
  <c r="N173" i="13"/>
  <c r="W199" i="13"/>
  <c r="E176" i="13"/>
  <c r="E158" i="13"/>
  <c r="W189" i="13"/>
  <c r="N189" i="13"/>
  <c r="E195" i="13"/>
  <c r="N183" i="13"/>
  <c r="E202" i="13"/>
  <c r="N161" i="13"/>
  <c r="N186" i="13"/>
  <c r="N172" i="13"/>
  <c r="W194" i="13"/>
  <c r="N200" i="13"/>
  <c r="E156" i="13"/>
  <c r="E157" i="13"/>
  <c r="N210" i="13"/>
  <c r="E209" i="13"/>
  <c r="E183" i="13"/>
  <c r="E171" i="13"/>
  <c r="E184" i="13"/>
  <c r="E186" i="13"/>
  <c r="W198" i="13"/>
  <c r="E196" i="13"/>
  <c r="E178" i="13"/>
  <c r="E203" i="13"/>
  <c r="N184" i="13"/>
  <c r="N175" i="13"/>
  <c r="N194" i="13"/>
  <c r="E182" i="13"/>
  <c r="N203" i="13"/>
  <c r="N181" i="13"/>
  <c r="N193" i="13"/>
  <c r="E191" i="13"/>
  <c r="E188" i="13"/>
  <c r="E201" i="13"/>
  <c r="E192" i="13"/>
  <c r="E207" i="13"/>
  <c r="N180" i="13"/>
  <c r="E189" i="13"/>
  <c r="E199" i="13"/>
  <c r="N199" i="13"/>
  <c r="N196" i="13"/>
  <c r="E161" i="13"/>
  <c r="N191" i="13"/>
  <c r="E200" i="13"/>
  <c r="N179" i="13"/>
  <c r="W197" i="13"/>
  <c r="E206" i="13"/>
  <c r="E160" i="13"/>
  <c r="E210" i="13"/>
  <c r="W203" i="13"/>
  <c r="N207" i="13"/>
  <c r="N157" i="13"/>
  <c r="N187" i="13"/>
  <c r="N202" i="13"/>
  <c r="N159" i="13"/>
  <c r="N206" i="13"/>
  <c r="E187" i="13"/>
  <c r="N190" i="13"/>
  <c r="E211" i="15"/>
  <c r="E208" i="15"/>
  <c r="W202" i="15"/>
  <c r="N211" i="15"/>
  <c r="E193" i="15"/>
  <c r="N173" i="15"/>
  <c r="N171" i="15"/>
  <c r="N187" i="15"/>
  <c r="N181" i="15"/>
  <c r="N202" i="15"/>
  <c r="N157" i="15"/>
  <c r="N197" i="15"/>
  <c r="E145" i="7"/>
  <c r="E193" i="7"/>
  <c r="E173" i="7"/>
  <c r="E163" i="7"/>
  <c r="E154" i="7"/>
  <c r="E179" i="7"/>
  <c r="N174" i="7"/>
  <c r="N172" i="7"/>
  <c r="E178" i="7"/>
  <c r="N158" i="7"/>
  <c r="E152" i="7"/>
  <c r="N190" i="7"/>
  <c r="N152" i="7"/>
  <c r="N184" i="7"/>
  <c r="N139" i="7"/>
  <c r="N155" i="7"/>
  <c r="E147" i="7"/>
  <c r="E161" i="7"/>
  <c r="E159" i="7"/>
  <c r="N80" i="30"/>
  <c r="N87" i="30"/>
  <c r="N86" i="30"/>
  <c r="W83" i="30"/>
  <c r="E82" i="30"/>
  <c r="N142" i="5"/>
  <c r="E193" i="5"/>
  <c r="N145" i="5"/>
  <c r="N183" i="5"/>
  <c r="E189" i="5"/>
  <c r="E172" i="5"/>
  <c r="N184" i="5"/>
  <c r="N156" i="5"/>
  <c r="E150" i="5"/>
  <c r="E161" i="5"/>
  <c r="E144" i="5"/>
  <c r="N187" i="5"/>
  <c r="E159" i="5"/>
  <c r="N170" i="5"/>
  <c r="E101" i="28"/>
  <c r="E86" i="28"/>
  <c r="E103" i="28"/>
  <c r="E96" i="28"/>
  <c r="E109" i="28"/>
  <c r="N103" i="28"/>
  <c r="E89" i="28"/>
  <c r="E170" i="2"/>
  <c r="E146" i="2"/>
  <c r="E144" i="2"/>
  <c r="E142" i="2"/>
  <c r="E158" i="2"/>
  <c r="E171" i="2"/>
  <c r="E161" i="2"/>
  <c r="E186" i="2"/>
  <c r="E177" i="2"/>
  <c r="E153" i="2"/>
  <c r="E138" i="2"/>
  <c r="E192" i="2"/>
  <c r="E179" i="2"/>
  <c r="E143" i="2"/>
  <c r="E148" i="2"/>
  <c r="E178" i="2"/>
  <c r="N138" i="2"/>
  <c r="N192" i="2"/>
  <c r="E159" i="2"/>
  <c r="E164" i="2"/>
  <c r="E188" i="2"/>
  <c r="E155" i="2"/>
  <c r="E168" i="2"/>
  <c r="E139" i="2"/>
  <c r="E150" i="2"/>
  <c r="E173" i="2"/>
  <c r="E152" i="2"/>
  <c r="E141" i="2"/>
  <c r="E172" i="2"/>
  <c r="E176" i="2"/>
  <c r="E145" i="2"/>
  <c r="E189" i="2"/>
  <c r="N147" i="1"/>
  <c r="N157" i="1"/>
  <c r="E174" i="1"/>
  <c r="E158" i="1"/>
  <c r="N197" i="1"/>
  <c r="N148" i="1"/>
  <c r="N151" i="1"/>
  <c r="E184" i="1"/>
  <c r="N185" i="1"/>
  <c r="E166" i="1"/>
  <c r="E182" i="1"/>
  <c r="E195" i="1"/>
  <c r="N156" i="1"/>
  <c r="E143" i="1"/>
  <c r="N152" i="1"/>
  <c r="E150" i="1"/>
  <c r="E197" i="1"/>
  <c r="E192" i="1"/>
  <c r="N158" i="1"/>
  <c r="N155" i="1"/>
  <c r="N192" i="1"/>
  <c r="N194" i="1"/>
  <c r="E172" i="1"/>
  <c r="N181" i="1"/>
  <c r="W185" i="19"/>
  <c r="N149" i="19"/>
  <c r="E197" i="15"/>
  <c r="E181" i="25"/>
  <c r="E182" i="8"/>
  <c r="N193" i="8"/>
  <c r="N156" i="25"/>
  <c r="E83" i="33"/>
  <c r="N182" i="21"/>
  <c r="N169" i="12"/>
  <c r="W198" i="9"/>
  <c r="N103" i="32"/>
  <c r="E81" i="33"/>
  <c r="W177" i="21"/>
  <c r="E189" i="19"/>
  <c r="E94" i="34"/>
  <c r="E96" i="34"/>
  <c r="N190" i="1"/>
  <c r="E196" i="8"/>
  <c r="E200" i="9"/>
  <c r="E183" i="8"/>
  <c r="E195" i="3"/>
  <c r="E87" i="30"/>
  <c r="N192" i="19"/>
  <c r="E170" i="9"/>
  <c r="W182" i="21"/>
  <c r="E179" i="5"/>
  <c r="E163" i="17"/>
  <c r="E172" i="20"/>
  <c r="E156" i="20"/>
  <c r="N145" i="20"/>
  <c r="E126" i="20"/>
  <c r="E127" i="20"/>
  <c r="E148" i="20"/>
  <c r="N132" i="20"/>
  <c r="N95" i="33"/>
  <c r="N92" i="33"/>
  <c r="N163" i="13"/>
  <c r="E135" i="20"/>
  <c r="W82" i="34"/>
  <c r="N171" i="22"/>
  <c r="E141" i="24"/>
  <c r="W175" i="18"/>
  <c r="E153" i="24"/>
  <c r="E160" i="21"/>
  <c r="W186" i="11"/>
  <c r="N94" i="34"/>
  <c r="E190" i="9"/>
  <c r="E161" i="21"/>
  <c r="N80" i="32"/>
  <c r="N154" i="8"/>
  <c r="N188" i="8"/>
  <c r="N108" i="36"/>
  <c r="E160" i="11"/>
  <c r="N190" i="8"/>
  <c r="W181" i="8"/>
  <c r="N87" i="32"/>
  <c r="N207" i="15"/>
  <c r="N166" i="8"/>
  <c r="E168" i="5"/>
  <c r="E151" i="2"/>
  <c r="N191" i="3"/>
  <c r="N162" i="3"/>
  <c r="E166" i="3"/>
  <c r="N85" i="33"/>
  <c r="N102" i="38"/>
  <c r="E192" i="7"/>
  <c r="N203" i="8"/>
  <c r="E168" i="22"/>
  <c r="E157" i="23"/>
  <c r="E170" i="21"/>
  <c r="E155" i="19"/>
  <c r="E185" i="9"/>
  <c r="E78" i="31"/>
  <c r="E102" i="37"/>
  <c r="N159" i="25"/>
  <c r="N148" i="24"/>
  <c r="N147" i="25"/>
  <c r="W206" i="13"/>
  <c r="N190" i="24"/>
  <c r="N173" i="14"/>
  <c r="N107" i="36"/>
  <c r="N198" i="9"/>
  <c r="N141" i="23"/>
  <c r="E161" i="1"/>
  <c r="E129" i="36"/>
  <c r="N196" i="18"/>
  <c r="E158" i="8"/>
  <c r="N154" i="19"/>
  <c r="N188" i="9"/>
  <c r="W181" i="25"/>
  <c r="E160" i="19"/>
  <c r="N199" i="9"/>
  <c r="E153" i="1"/>
  <c r="N147" i="3"/>
  <c r="N189" i="18"/>
  <c r="E165" i="10"/>
  <c r="E151" i="25"/>
  <c r="E168" i="20"/>
  <c r="E146" i="20"/>
  <c r="N77" i="31"/>
  <c r="N86" i="31"/>
  <c r="W209" i="13"/>
  <c r="E148" i="24"/>
  <c r="N127" i="26"/>
  <c r="E183" i="21"/>
  <c r="N174" i="15"/>
  <c r="N145" i="24"/>
  <c r="E174" i="5"/>
  <c r="W171" i="20"/>
  <c r="N168" i="20"/>
  <c r="N204" i="8"/>
  <c r="E132" i="35"/>
  <c r="N168" i="25"/>
  <c r="N190" i="17"/>
  <c r="E189" i="25"/>
  <c r="W169" i="24"/>
  <c r="E196" i="19"/>
  <c r="W153" i="24"/>
  <c r="E190" i="17"/>
  <c r="N164" i="23"/>
  <c r="N161" i="7"/>
  <c r="E144" i="12"/>
  <c r="N92" i="31"/>
  <c r="E164" i="3"/>
  <c r="N156" i="8"/>
  <c r="E197" i="8"/>
  <c r="E191" i="1"/>
  <c r="N94" i="28"/>
  <c r="E108" i="36"/>
  <c r="E185" i="2"/>
  <c r="E98" i="28"/>
  <c r="E185" i="1"/>
  <c r="N180" i="1"/>
  <c r="E177" i="1"/>
  <c r="N200" i="3"/>
  <c r="E149" i="3"/>
  <c r="E185" i="3"/>
  <c r="N192" i="3"/>
  <c r="N102" i="29"/>
  <c r="N104" i="28"/>
  <c r="W101" i="32"/>
  <c r="M7" i="35"/>
  <c r="C113" i="35"/>
  <c r="N191" i="24"/>
  <c r="W155" i="22"/>
  <c r="E150" i="16"/>
  <c r="E155" i="21"/>
  <c r="E154" i="19"/>
  <c r="E87" i="31"/>
  <c r="E97" i="28"/>
  <c r="E147" i="2"/>
  <c r="N197" i="13"/>
  <c r="W167" i="25"/>
  <c r="N189" i="24"/>
  <c r="N163" i="9"/>
  <c r="E198" i="9"/>
  <c r="W146" i="25"/>
  <c r="W200" i="15"/>
  <c r="N165" i="17"/>
  <c r="N8" i="35"/>
  <c r="E154" i="3"/>
  <c r="W166" i="17"/>
  <c r="E164" i="25"/>
  <c r="W145" i="20"/>
  <c r="N169" i="8"/>
  <c r="N101" i="28"/>
  <c r="N198" i="8"/>
  <c r="E171" i="11"/>
  <c r="E91" i="32"/>
  <c r="E193" i="12"/>
  <c r="E153" i="14"/>
  <c r="N146" i="20"/>
  <c r="E196" i="18"/>
  <c r="E197" i="9"/>
  <c r="E166" i="7"/>
  <c r="N100" i="32"/>
  <c r="E196" i="3"/>
  <c r="N185" i="3"/>
  <c r="E103" i="38"/>
  <c r="W87" i="30"/>
  <c r="W146" i="23"/>
  <c r="W175" i="17"/>
  <c r="N148" i="17"/>
  <c r="N163" i="15"/>
  <c r="N193" i="7"/>
  <c r="N196" i="14"/>
  <c r="W164" i="20"/>
  <c r="N147" i="20"/>
  <c r="E165" i="20"/>
  <c r="N149" i="20"/>
  <c r="N127" i="20"/>
  <c r="N210" i="15"/>
  <c r="E191" i="21"/>
  <c r="E134" i="20"/>
  <c r="N94" i="33"/>
  <c r="W171" i="24"/>
  <c r="E167" i="23"/>
  <c r="E151" i="23"/>
  <c r="E173" i="25"/>
  <c r="W119" i="26"/>
  <c r="E171" i="23"/>
  <c r="E189" i="17"/>
  <c r="E189" i="18"/>
  <c r="E206" i="10"/>
  <c r="E161" i="19"/>
  <c r="E175" i="11"/>
  <c r="E173" i="21"/>
  <c r="W188" i="11"/>
  <c r="E140" i="12"/>
  <c r="N88" i="31"/>
  <c r="N151" i="11"/>
  <c r="E162" i="12"/>
  <c r="E149" i="7"/>
  <c r="E189" i="9"/>
  <c r="N144" i="7"/>
  <c r="E94" i="32"/>
  <c r="E76" i="31"/>
  <c r="E181" i="1"/>
  <c r="E164" i="14"/>
  <c r="E195" i="8"/>
  <c r="E81" i="32"/>
  <c r="E192" i="8"/>
  <c r="N197" i="8"/>
  <c r="N196" i="15"/>
  <c r="N97" i="32"/>
  <c r="N149" i="3"/>
  <c r="N146" i="3"/>
  <c r="E174" i="3"/>
  <c r="E85" i="33"/>
  <c r="N106" i="28"/>
  <c r="N156" i="13"/>
  <c r="W205" i="22"/>
  <c r="E186" i="11"/>
  <c r="E192" i="18"/>
  <c r="E171" i="9"/>
  <c r="E167" i="21"/>
  <c r="E171" i="8"/>
  <c r="N207" i="10"/>
  <c r="E174" i="11"/>
  <c r="N166" i="17"/>
  <c r="N170" i="15"/>
  <c r="E178" i="5"/>
  <c r="W187" i="15"/>
  <c r="N181" i="18"/>
  <c r="N147" i="7"/>
  <c r="N141" i="7"/>
  <c r="E95" i="28"/>
  <c r="N156" i="3"/>
  <c r="N147" i="23"/>
  <c r="N190" i="23"/>
  <c r="W178" i="23"/>
  <c r="E150" i="14"/>
  <c r="N98" i="34"/>
  <c r="E172" i="13"/>
  <c r="E171" i="17"/>
  <c r="E167" i="19"/>
  <c r="W148" i="11"/>
  <c r="N195" i="15"/>
  <c r="N145" i="3"/>
  <c r="W129" i="20"/>
  <c r="E172" i="15"/>
  <c r="E91" i="33"/>
  <c r="N162" i="24"/>
  <c r="N98" i="37"/>
  <c r="N176" i="8"/>
  <c r="N187" i="3"/>
  <c r="N163" i="3"/>
  <c r="E177" i="22"/>
  <c r="N160" i="25"/>
  <c r="N167" i="17"/>
  <c r="N167" i="25"/>
  <c r="E86" i="38"/>
  <c r="W94" i="38"/>
  <c r="E194" i="12"/>
  <c r="W157" i="20"/>
  <c r="N148" i="20"/>
  <c r="N169" i="20"/>
  <c r="E101" i="32"/>
  <c r="W162" i="16"/>
  <c r="W139" i="12"/>
  <c r="N120" i="35"/>
  <c r="W165" i="24"/>
  <c r="E182" i="23"/>
  <c r="W183" i="17"/>
  <c r="E135" i="26"/>
  <c r="N194" i="9"/>
  <c r="E159" i="19"/>
  <c r="W156" i="11"/>
  <c r="E147" i="17"/>
  <c r="N143" i="11"/>
  <c r="E124" i="36"/>
  <c r="N172" i="8"/>
  <c r="E152" i="11"/>
  <c r="N184" i="8"/>
  <c r="N155" i="8"/>
  <c r="E163" i="12"/>
  <c r="N83" i="32"/>
  <c r="E167" i="3"/>
  <c r="E124" i="35"/>
  <c r="N182" i="1"/>
  <c r="E93" i="37"/>
  <c r="N152" i="8"/>
  <c r="E169" i="5"/>
  <c r="N210" i="10"/>
  <c r="E186" i="1"/>
  <c r="E151" i="1"/>
  <c r="E157" i="1"/>
  <c r="N194" i="3"/>
  <c r="E165" i="3"/>
  <c r="E105" i="29"/>
  <c r="E104" i="29"/>
  <c r="N94" i="29"/>
  <c r="N101" i="33"/>
  <c r="N100" i="33"/>
  <c r="N95" i="28"/>
  <c r="E161" i="23"/>
  <c r="E133" i="16"/>
  <c r="E165" i="12"/>
  <c r="N171" i="11"/>
  <c r="E163" i="14"/>
  <c r="W97" i="28"/>
  <c r="E160" i="5"/>
  <c r="N203" i="15"/>
  <c r="E180" i="13"/>
  <c r="N174" i="11"/>
  <c r="N177" i="21"/>
  <c r="N120" i="15"/>
  <c r="N154" i="25"/>
  <c r="N153" i="17"/>
  <c r="E202" i="10"/>
  <c r="N134" i="26"/>
  <c r="N160" i="12"/>
  <c r="E166" i="17"/>
  <c r="E182" i="21"/>
  <c r="N158" i="24"/>
  <c r="N178" i="5"/>
  <c r="N166" i="14"/>
  <c r="N96" i="28"/>
  <c r="E100" i="28"/>
  <c r="E102" i="28"/>
  <c r="N97" i="28"/>
  <c r="N100" i="28"/>
  <c r="E108" i="28"/>
  <c r="E92" i="28"/>
  <c r="E91" i="28"/>
  <c r="E100" i="38"/>
  <c r="E101" i="38"/>
  <c r="E96" i="38"/>
  <c r="E90" i="38"/>
  <c r="N95" i="38"/>
  <c r="N101" i="38"/>
  <c r="E94" i="38"/>
  <c r="E91" i="38"/>
  <c r="E87" i="38"/>
  <c r="E85" i="38"/>
  <c r="N84" i="38"/>
  <c r="E102" i="38"/>
  <c r="E95" i="38"/>
  <c r="N88" i="38"/>
  <c r="N91" i="38"/>
  <c r="N98" i="33"/>
  <c r="N90" i="33"/>
  <c r="N96" i="33"/>
  <c r="E87" i="33"/>
  <c r="W105" i="29"/>
  <c r="N88" i="29"/>
  <c r="N99" i="29"/>
  <c r="N95" i="29"/>
  <c r="N82" i="29"/>
  <c r="E88" i="29"/>
  <c r="E106" i="29"/>
  <c r="E103" i="29"/>
  <c r="N173" i="3"/>
  <c r="E161" i="3"/>
  <c r="E175" i="3"/>
  <c r="E178" i="3"/>
  <c r="E191" i="3"/>
  <c r="N196" i="3"/>
  <c r="N154" i="3"/>
  <c r="E197" i="3"/>
  <c r="N157" i="3"/>
  <c r="E168" i="3"/>
  <c r="N199" i="3"/>
  <c r="N193" i="3"/>
  <c r="N195" i="3"/>
  <c r="N172" i="3"/>
  <c r="E181" i="3"/>
  <c r="N181" i="3"/>
  <c r="N164" i="3"/>
  <c r="N189" i="3"/>
  <c r="E167" i="1"/>
  <c r="N163" i="1"/>
  <c r="N160" i="1"/>
  <c r="N167" i="1"/>
  <c r="E183" i="1"/>
  <c r="N183" i="1"/>
  <c r="E175" i="1"/>
  <c r="E189" i="1"/>
  <c r="E196" i="1"/>
  <c r="N145" i="1"/>
  <c r="N176" i="1"/>
  <c r="E162" i="1"/>
  <c r="N159" i="1"/>
  <c r="E194" i="1"/>
  <c r="E198" i="1"/>
  <c r="N193" i="1"/>
  <c r="N165" i="1"/>
  <c r="N189" i="1"/>
  <c r="E148" i="1"/>
  <c r="E190" i="1"/>
  <c r="N154" i="1"/>
  <c r="N195" i="1"/>
  <c r="E173" i="1"/>
  <c r="N178" i="1"/>
  <c r="E149" i="1"/>
  <c r="E187" i="1"/>
  <c r="E165" i="1"/>
  <c r="N150" i="1"/>
  <c r="N198" i="1"/>
  <c r="N164" i="1"/>
  <c r="N175" i="1"/>
  <c r="E159" i="1"/>
  <c r="E154" i="1"/>
  <c r="N171" i="1"/>
  <c r="N168" i="1"/>
  <c r="E152" i="1"/>
  <c r="N162" i="1"/>
  <c r="E160" i="1"/>
  <c r="E180" i="1"/>
  <c r="N188" i="1"/>
  <c r="N146" i="1"/>
  <c r="E171" i="1"/>
  <c r="N153" i="1"/>
  <c r="N186" i="1"/>
  <c r="N169" i="1"/>
  <c r="E179" i="1"/>
  <c r="E185" i="13"/>
  <c r="E162" i="20"/>
  <c r="N197" i="18"/>
  <c r="W79" i="34"/>
  <c r="N178" i="21"/>
  <c r="N193" i="14"/>
  <c r="N89" i="34"/>
  <c r="N151" i="7"/>
  <c r="N185" i="19"/>
  <c r="N94" i="38"/>
  <c r="E88" i="38"/>
  <c r="N85" i="38"/>
  <c r="E92" i="38"/>
  <c r="E99" i="38"/>
  <c r="N167" i="20"/>
  <c r="N163" i="16"/>
  <c r="N152" i="20"/>
  <c r="N153" i="20"/>
  <c r="E164" i="20"/>
  <c r="N141" i="20"/>
  <c r="N157" i="20"/>
  <c r="E161" i="20"/>
  <c r="N105" i="29"/>
  <c r="N200" i="19"/>
  <c r="N193" i="12"/>
  <c r="W95" i="38"/>
  <c r="N99" i="38"/>
  <c r="N103" i="38"/>
  <c r="E138" i="6"/>
  <c r="N126" i="6"/>
  <c r="N108" i="37"/>
  <c r="N172" i="20"/>
  <c r="N134" i="20"/>
  <c r="W134" i="20"/>
  <c r="N191" i="25"/>
  <c r="W153" i="20"/>
  <c r="N140" i="20"/>
  <c r="N143" i="20"/>
  <c r="W141" i="23"/>
  <c r="N153" i="9"/>
  <c r="W104" i="29"/>
  <c r="N91" i="33"/>
  <c r="N79" i="31"/>
  <c r="E179" i="25"/>
  <c r="N158" i="23"/>
  <c r="W179" i="25"/>
  <c r="W182" i="23"/>
  <c r="N161" i="16"/>
  <c r="W149" i="19"/>
  <c r="E179" i="19"/>
  <c r="N164" i="19"/>
  <c r="N170" i="9"/>
  <c r="W183" i="24"/>
  <c r="W183" i="19"/>
  <c r="N167" i="8"/>
  <c r="N183" i="8"/>
  <c r="N144" i="24"/>
  <c r="N98" i="28"/>
  <c r="N192" i="8"/>
  <c r="N200" i="8"/>
  <c r="W194" i="11"/>
  <c r="N162" i="8"/>
  <c r="N163" i="8"/>
  <c r="N182" i="8"/>
  <c r="N202" i="8"/>
  <c r="N86" i="28"/>
  <c r="E87" i="32"/>
  <c r="W200" i="8"/>
  <c r="E156" i="5"/>
  <c r="E194" i="13"/>
  <c r="N185" i="8"/>
  <c r="N90" i="31"/>
  <c r="N163" i="14"/>
  <c r="N186" i="7"/>
  <c r="W195" i="15"/>
  <c r="N90" i="29"/>
  <c r="E142" i="5"/>
  <c r="E184" i="3"/>
  <c r="E190" i="2"/>
  <c r="N97" i="33"/>
  <c r="E141" i="23"/>
  <c r="L137" i="24"/>
  <c r="J137" i="24"/>
  <c r="N180" i="17"/>
  <c r="N105" i="28"/>
  <c r="N166" i="10"/>
  <c r="N177" i="8"/>
  <c r="N161" i="20"/>
  <c r="W154" i="20"/>
  <c r="N159" i="20"/>
  <c r="W148" i="20"/>
  <c r="W159" i="20"/>
  <c r="N209" i="13"/>
  <c r="N166" i="20"/>
  <c r="W139" i="20"/>
  <c r="N193" i="17"/>
  <c r="E145" i="19"/>
  <c r="N84" i="31"/>
  <c r="N139" i="5"/>
  <c r="W95" i="34"/>
  <c r="W188" i="19"/>
  <c r="N85" i="28"/>
  <c r="W189" i="23"/>
  <c r="W171" i="25"/>
  <c r="N156" i="24"/>
  <c r="N184" i="17"/>
  <c r="W163" i="17"/>
  <c r="N206" i="9"/>
  <c r="N186" i="21"/>
  <c r="E165" i="17"/>
  <c r="N151" i="8"/>
  <c r="N171" i="5"/>
  <c r="N190" i="5"/>
  <c r="N174" i="8"/>
  <c r="N186" i="8"/>
  <c r="E155" i="8"/>
  <c r="N156" i="7"/>
  <c r="W191" i="8"/>
  <c r="E191" i="8"/>
  <c r="N203" i="9"/>
  <c r="E170" i="5"/>
  <c r="W164" i="11"/>
  <c r="N89" i="32"/>
  <c r="N181" i="8"/>
  <c r="N189" i="8"/>
  <c r="W188" i="8"/>
  <c r="N184" i="3"/>
  <c r="N194" i="8"/>
  <c r="W190" i="9"/>
  <c r="N178" i="15"/>
  <c r="N192" i="21"/>
  <c r="N156" i="20"/>
  <c r="N162" i="20"/>
  <c r="N198" i="18"/>
  <c r="E128" i="20"/>
  <c r="N130" i="20"/>
  <c r="E149" i="20"/>
  <c r="E162" i="16"/>
  <c r="W169" i="23"/>
  <c r="W141" i="17"/>
  <c r="W157" i="25"/>
  <c r="N158" i="21"/>
  <c r="N213" i="10"/>
  <c r="W181" i="9"/>
  <c r="N101" i="32"/>
  <c r="N196" i="1"/>
  <c r="N158" i="8"/>
  <c r="N184" i="1"/>
  <c r="N196" i="8"/>
  <c r="N156" i="21"/>
  <c r="N153" i="8"/>
  <c r="N177" i="1"/>
  <c r="W180" i="8"/>
  <c r="N83" i="30"/>
  <c r="N170" i="8"/>
  <c r="N165" i="11"/>
  <c r="N201" i="8"/>
  <c r="E197" i="13"/>
  <c r="N200" i="15"/>
  <c r="E167" i="12"/>
  <c r="N93" i="29"/>
  <c r="W161" i="23"/>
  <c r="W179" i="8"/>
  <c r="N146" i="19"/>
  <c r="N137" i="20"/>
  <c r="E159" i="20"/>
  <c r="E147" i="20"/>
  <c r="N150" i="20"/>
  <c r="N129" i="20"/>
  <c r="N108" i="28"/>
  <c r="N165" i="20"/>
  <c r="N133" i="20"/>
  <c r="N199" i="19"/>
  <c r="N162" i="16"/>
  <c r="E142" i="20"/>
  <c r="N125" i="20"/>
  <c r="E153" i="20"/>
  <c r="N136" i="20"/>
  <c r="N75" i="31"/>
  <c r="N152" i="25"/>
  <c r="W177" i="23"/>
  <c r="E157" i="25"/>
  <c r="W153" i="17"/>
  <c r="E206" i="9"/>
  <c r="N191" i="1"/>
  <c r="N161" i="8"/>
  <c r="N199" i="8"/>
  <c r="E165" i="8"/>
  <c r="N192" i="15"/>
  <c r="N187" i="1"/>
  <c r="E195" i="15"/>
  <c r="E193" i="3"/>
  <c r="W145" i="19"/>
  <c r="N161" i="14"/>
  <c r="W173" i="21"/>
  <c r="N82" i="32"/>
  <c r="N194" i="5"/>
  <c r="N88" i="30"/>
  <c r="N138" i="20"/>
  <c r="E137" i="25"/>
  <c r="N215" i="10"/>
  <c r="W137" i="21"/>
  <c r="E161" i="24"/>
  <c r="E156" i="1"/>
  <c r="N172" i="1"/>
  <c r="N148" i="7"/>
  <c r="E149" i="21"/>
  <c r="W185" i="8"/>
  <c r="W189" i="8"/>
  <c r="N186" i="12"/>
  <c r="W183" i="8"/>
  <c r="N80" i="34"/>
  <c r="N174" i="1"/>
  <c r="W195" i="8"/>
  <c r="W187" i="8"/>
  <c r="N164" i="11"/>
  <c r="E198" i="13"/>
  <c r="N158" i="19"/>
  <c r="E200" i="8"/>
  <c r="N149" i="1"/>
  <c r="E188" i="8"/>
  <c r="N179" i="1"/>
  <c r="N167" i="19"/>
  <c r="N199" i="15"/>
  <c r="N77" i="30"/>
  <c r="N166" i="1"/>
  <c r="N183" i="3"/>
  <c r="N89" i="33"/>
  <c r="N95" i="37"/>
  <c r="N165" i="8"/>
  <c r="N173" i="1"/>
  <c r="N96" i="38"/>
  <c r="E150" i="20"/>
  <c r="N144" i="20"/>
  <c r="N154" i="20"/>
  <c r="E135" i="35"/>
  <c r="H137" i="24"/>
  <c r="N163" i="20"/>
  <c r="N207" i="9"/>
  <c r="N139" i="12"/>
  <c r="E137" i="24"/>
  <c r="E139" i="12"/>
  <c r="N145" i="19"/>
  <c r="W175" i="25"/>
  <c r="N119" i="26"/>
  <c r="E188" i="19"/>
  <c r="W141" i="24"/>
  <c r="N90" i="28"/>
  <c r="N179" i="8"/>
  <c r="N144" i="1"/>
  <c r="N145" i="7"/>
  <c r="N180" i="8"/>
  <c r="E199" i="8"/>
  <c r="N173" i="8"/>
  <c r="E164" i="11"/>
  <c r="N183" i="7"/>
  <c r="W167" i="12"/>
  <c r="N127" i="6"/>
  <c r="N129" i="6"/>
  <c r="N142" i="6"/>
  <c r="N132" i="6"/>
  <c r="N144" i="6"/>
  <c r="N135" i="6"/>
  <c r="N141" i="6"/>
  <c r="N134" i="6"/>
  <c r="N133" i="6"/>
  <c r="N140" i="6"/>
  <c r="N143" i="6"/>
  <c r="N138" i="6"/>
  <c r="N146" i="6"/>
  <c r="N130" i="6"/>
  <c r="N137" i="6"/>
  <c r="N145" i="6"/>
  <c r="W132" i="6"/>
  <c r="W136" i="6"/>
  <c r="W123" i="6"/>
  <c r="E123" i="6"/>
  <c r="W146" i="6"/>
  <c r="E128" i="6"/>
  <c r="N109" i="28"/>
  <c r="E97" i="38"/>
  <c r="N89" i="38"/>
  <c r="E84" i="38"/>
  <c r="E93" i="38"/>
  <c r="N97" i="38"/>
  <c r="N87" i="38"/>
  <c r="N100" i="38"/>
  <c r="N90" i="38"/>
  <c r="W130" i="6"/>
  <c r="W127" i="6"/>
  <c r="W126" i="6"/>
  <c r="E127" i="6"/>
  <c r="E136" i="6"/>
  <c r="E126" i="6"/>
  <c r="W131" i="6"/>
  <c r="W135" i="6"/>
  <c r="W134" i="6"/>
  <c r="E145" i="6"/>
  <c r="W143" i="6"/>
  <c r="E129" i="6"/>
  <c r="E132" i="6"/>
  <c r="E142" i="6"/>
  <c r="E124" i="6"/>
  <c r="E141" i="6"/>
  <c r="E144" i="6"/>
  <c r="E135" i="6"/>
  <c r="E133" i="6"/>
  <c r="E134" i="6"/>
  <c r="E143" i="6"/>
  <c r="E140" i="6"/>
  <c r="E139" i="6"/>
  <c r="E137" i="6"/>
  <c r="E125" i="6"/>
  <c r="E131" i="6"/>
  <c r="E147" i="6"/>
  <c r="E130" i="6"/>
  <c r="E146" i="6"/>
  <c r="W124" i="6"/>
  <c r="N166" i="7" l="1"/>
  <c r="N179" i="9"/>
  <c r="N180" i="9"/>
  <c r="N157" i="25"/>
  <c r="D113" i="35"/>
  <c r="E113" i="35" s="1"/>
  <c r="N7" i="35"/>
  <c r="N137"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0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David Weisstanner</author>
    <author>Microsoft Office User</author>
  </authors>
  <commentList>
    <comment ref="F4" authorId="0" shapeId="0" xr:uid="{00000000-0006-0000-0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137" authorId="1" shapeId="0" xr:uid="{D0D01F2C-1F77-5D4D-B3E7-49B90C2613DA}">
      <text>
        <r>
          <rPr>
            <sz val="10"/>
            <color rgb="FF000000"/>
            <rFont val="Tahoma"/>
            <family val="2"/>
          </rPr>
          <t>Caretaker government was sworn in as a fully empowered government due to the covid-19 pandemic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0300-000003000000}">
      <text>
        <r>
          <rPr>
            <sz val="9"/>
            <color rgb="FF000000"/>
            <rFont val="Tahoma"/>
            <family val="2"/>
          </rPr>
          <t>First government based on a multi-party election held on 17 June 1990.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4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4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05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5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Y7" authorId="1" shapeId="0" xr:uid="{00000000-0006-0000-0500-000003000000}">
      <text>
        <r>
          <rPr>
            <sz val="9"/>
            <color rgb="FF000000"/>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xr:uid="{00000000-0006-0000-0500-000004000000}">
      <text>
        <r>
          <rPr>
            <sz val="9"/>
            <color indexed="81"/>
            <rFont val="Tahoma"/>
            <family val="2"/>
          </rPr>
          <t xml:space="preserve">In the 2000 elections part of allia1
</t>
        </r>
      </text>
    </comment>
    <comment ref="AC7" authorId="1" shapeId="0" xr:uid="{00000000-0006-0000-0500-00000500000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xr:uid="{00000000-0006-0000-0500-000006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xr:uid="{00000000-0006-0000-0500-000007000000}">
      <text>
        <r>
          <rPr>
            <sz val="9"/>
            <color rgb="FF000000"/>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xr:uid="{00000000-0006-0000-0500-000008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xr:uid="{00000000-0006-0000-0500-000009000000}">
      <text>
        <r>
          <rPr>
            <sz val="9"/>
            <color rgb="FF000000"/>
            <rFont val="Tahoma"/>
            <family val="2"/>
          </rPr>
          <t xml:space="preserve">Splitter party of HSLS 
</t>
        </r>
      </text>
    </comment>
    <comment ref="AC12" authorId="1" shapeId="0" xr:uid="{00000000-0006-0000-0500-00000A000000}">
      <text>
        <r>
          <rPr>
            <sz val="9"/>
            <color indexed="81"/>
            <rFont val="Tahoma"/>
            <family val="2"/>
          </rPr>
          <t xml:space="preserve">Source: http://www.hidra.hr/cro/politicke_stranke/parlamentarne_stranke/zastupljenost_stranaka_u_saboru
</t>
        </r>
      </text>
    </comment>
    <comment ref="AM14" authorId="1" shapeId="0" xr:uid="{00000000-0006-0000-0500-00000B000000}">
      <text>
        <r>
          <rPr>
            <sz val="9"/>
            <color indexed="81"/>
            <rFont val="Tahoma"/>
            <family val="2"/>
          </rPr>
          <t>In 2000 elections part of allia2</t>
        </r>
      </text>
    </comment>
    <comment ref="AC15" authorId="1" shapeId="0" xr:uid="{00000000-0006-0000-0500-00000C000000}">
      <text>
        <r>
          <rPr>
            <sz val="9"/>
            <color indexed="81"/>
            <rFont val="Tahoma"/>
            <family val="2"/>
          </rPr>
          <t xml:space="preserve">Source: http://www.hidra.hr/cro/politicke_stranke/parlamentarne_stranke/zastupljenost_stranaka_u_saboru
</t>
        </r>
      </text>
    </comment>
    <comment ref="AD25" authorId="1" shapeId="0" xr:uid="{00000000-0006-0000-0500-00000D000000}">
      <text>
        <r>
          <rPr>
            <sz val="9"/>
            <color indexed="81"/>
            <rFont val="Tahoma"/>
            <family val="2"/>
          </rPr>
          <t xml:space="preserve">In electoral coalition with HSS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David Weisstanner</author>
    <author>Isler, Christian (IPW)</author>
  </authors>
  <commentList>
    <comment ref="F4" authorId="0" shapeId="0" xr:uid="{00000000-0006-0000-06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6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6" authorId="1" shapeId="0" xr:uid="{00000000-0006-0000-0600-000003000000}">
      <text>
        <r>
          <rPr>
            <sz val="9"/>
            <color rgb="FF000000"/>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xr:uid="{00000000-0006-0000-0600-00000400000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xr:uid="{00000000-0006-0000-0600-00000500000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xr:uid="{00000000-0006-0000-0600-00000600000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7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0700-000003000000}">
      <text>
        <r>
          <rPr>
            <sz val="9"/>
            <color rgb="FF000000"/>
            <rFont val="Tahoma"/>
            <family val="2"/>
          </rPr>
          <t>Pithart I and Klaus I were the Prime Ministers in the Czech part of Czechoslovakia until the dissolution of Czechoslovakia on 31 December 1992.</t>
        </r>
      </text>
    </comment>
    <comment ref="F7" authorId="0" shapeId="0" xr:uid="{00000000-0006-0000-0700-000004000000}">
      <text>
        <r>
          <rPr>
            <sz val="9"/>
            <color rgb="FF000000"/>
            <rFont val="Tahoma"/>
            <family val="2"/>
          </rPr>
          <t xml:space="preserve">First post-communist government based on free elections held on 9 June 1990.
</t>
        </r>
      </text>
    </comment>
    <comment ref="C11" authorId="0" shapeId="0" xr:uid="{00000000-0006-0000-0700-000005000000}">
      <text>
        <r>
          <rPr>
            <sz val="9"/>
            <color rgb="FF000000"/>
            <rFont val="Tahoma"/>
            <family val="2"/>
          </rPr>
          <t>Pithart I and Klaus I were the Prime Ministers in the Czech part of Czechoslovakia until the dissolution of Czechoslovakia on 31 December 1992.</t>
        </r>
      </text>
    </comment>
    <comment ref="F12" authorId="0" shapeId="0" xr:uid="{00000000-0006-0000-0700-000006000000}">
      <text>
        <r>
          <rPr>
            <sz val="9"/>
            <color rgb="FF000000"/>
            <rFont val="Tahoma"/>
            <family val="2"/>
          </rPr>
          <t>Dissolution of Czechoslovakia on 31 December 1992</t>
        </r>
      </text>
    </comment>
    <comment ref="AC33" authorId="0" shapeId="0" xr:uid="{00000000-0006-0000-0700-000007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xr:uid="{00000000-0006-0000-0700-000008000000}">
      <text>
        <r>
          <rPr>
            <sz val="9"/>
            <color indexed="81"/>
            <rFont val="Tahoma"/>
            <family val="2"/>
          </rPr>
          <t>Freedom Union - Democratic Union</t>
        </r>
      </text>
    </comment>
    <comment ref="AG33" authorId="0" shapeId="0" xr:uid="{00000000-0006-0000-0700-000009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8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8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900-000003000000}">
      <text>
        <r>
          <rPr>
            <sz val="9"/>
            <color rgb="FF000000"/>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A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18" authorId="0" shapeId="0" xr:uid="{00000000-0006-0000-0A00-00000300000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David Weisstanner</author>
    <author>david.weisstanner</author>
  </authors>
  <commentList>
    <comment ref="F4" authorId="0" shapeId="0" xr:uid="{00000000-0006-0000-0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B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AK41" authorId="0" shapeId="0" xr:uid="{00000000-0006-0000-0B00-000003000000}">
      <text>
        <r>
          <rPr>
            <sz val="9"/>
            <color indexed="81"/>
            <rFont val="Tahoma"/>
            <family val="2"/>
          </rPr>
          <t>1973 not in CPDS I, won 1.7% votes and 11/473=2.3% seats</t>
        </r>
      </text>
    </comment>
    <comment ref="G116" authorId="1" shapeId="0" xr:uid="{00000000-0006-0000-0B00-00000400000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C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H71" authorId="0" shapeId="0" xr:uid="{00000000-0006-0000-0C00-000003000000}">
      <text>
        <r>
          <rPr>
            <sz val="9"/>
            <color indexed="81"/>
            <rFont val="Tahoma"/>
            <family val="2"/>
          </rPr>
          <t>new ministry (postal and telecommunication)</t>
        </r>
      </text>
    </comment>
    <comment ref="F73" authorId="0" shapeId="0" xr:uid="{00000000-0006-0000-0C00-000004000000}">
      <text>
        <r>
          <rPr>
            <sz val="9"/>
            <color rgb="FF000000"/>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D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24" authorId="0" shapeId="0" xr:uid="{00000000-0006-0000-0D00-000003000000}">
      <text>
        <r>
          <rPr>
            <sz val="9"/>
            <color rgb="FF000000"/>
            <rFont val="Tahoma"/>
            <family val="2"/>
          </rPr>
          <t>Athanasiadis failed to receive a vote of confidence in Parliament, after which the CU split in two.</t>
        </r>
      </text>
    </comment>
    <comment ref="AC25" authorId="0" shapeId="0" xr:uid="{00000000-0006-0000-0D00-000004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xr:uid="{00000000-0006-0000-0D00-000005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xr:uid="{00000000-0006-0000-0D00-000006000000}">
      <text>
        <r>
          <rPr>
            <sz val="9"/>
            <color rgb="FF000000"/>
            <rFont val="Tahoma"/>
            <family val="2"/>
          </rPr>
          <t>Military coup on 21 April 1967.</t>
        </r>
      </text>
    </comment>
    <comment ref="F44" authorId="0" shapeId="0" xr:uid="{00000000-0006-0000-0D00-000007000000}">
      <text>
        <r>
          <rPr>
            <sz val="9"/>
            <color rgb="FF000000"/>
            <rFont val="Tahoma"/>
            <family val="2"/>
          </rPr>
          <t>Reason for termination of previous government is military coup on 21 April 1967</t>
        </r>
      </text>
    </comment>
    <comment ref="G44" authorId="0" shapeId="0" xr:uid="{00000000-0006-0000-0D00-00000800000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xr:uid="{00000000-0006-0000-0D00-00000900000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E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E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E00-000003000000}">
      <text>
        <r>
          <rPr>
            <sz val="9"/>
            <color rgb="FF000000"/>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F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F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0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Z93" authorId="1" shapeId="0" xr:uid="{00000000-0006-0000-1100-000003000000}">
      <text>
        <r>
          <rPr>
            <b/>
            <sz val="9"/>
            <color indexed="81"/>
            <rFont val="Tahoma"/>
            <family val="2"/>
          </rPr>
          <t>E</t>
        </r>
        <r>
          <rPr>
            <sz val="9"/>
            <color indexed="81"/>
            <rFont val="Tahoma"/>
            <family val="2"/>
          </rPr>
          <t>lectoral alliance between Italian Popular Party (PPI) and Democratic Union (UD)</t>
        </r>
      </text>
    </comment>
    <comment ref="AD93" authorId="1" shapeId="0" xr:uid="{00000000-0006-0000-1100-00000400000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2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59" authorId="1" shapeId="0" xr:uid="{00000000-0006-0000-1200-000003000000}">
      <text>
        <r>
          <rPr>
            <sz val="9"/>
            <color indexed="81"/>
            <rFont val="Tahoma"/>
            <family val="2"/>
          </rPr>
          <t>Re-election Nakasone as chairman LDP and hence PM</t>
        </r>
      </text>
    </comment>
    <comment ref="C86" authorId="1" shapeId="0" xr:uid="{00000000-0006-0000-1200-000004000000}">
      <text>
        <r>
          <rPr>
            <sz val="9"/>
            <color indexed="81"/>
            <rFont val="Tahoma"/>
            <family val="2"/>
          </rPr>
          <t xml:space="preserve">Coalition cabinet with only LDP ministers in it
</t>
        </r>
      </text>
    </comment>
    <comment ref="S86" authorId="0" shapeId="0" xr:uid="{00000000-0006-0000-1200-000005000000}">
      <text>
        <r>
          <rPr>
            <sz val="9"/>
            <color indexed="81"/>
            <rFont val="Tahoma"/>
            <family val="2"/>
          </rPr>
          <t>Coalition cabinet with only LDP ministers in it</t>
        </r>
      </text>
    </comment>
    <comment ref="AC92" authorId="0" shapeId="0" xr:uid="{00000000-0006-0000-1200-000006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xr:uid="{00000000-0006-0000-1200-000007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13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3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300-000003000000}">
      <text>
        <r>
          <rPr>
            <sz val="9"/>
            <color rgb="FF000000"/>
            <rFont val="Tahoma"/>
            <family val="2"/>
          </rPr>
          <t>First post-communist government based on the first free elections after independence from the Sovjet Union, held on 6 June 1993.</t>
        </r>
      </text>
    </comment>
    <comment ref="Z9" authorId="1" shapeId="0" xr:uid="{00000000-0006-0000-1300-000004000000}">
      <text>
        <r>
          <rPr>
            <sz val="9"/>
            <color indexed="81"/>
            <rFont val="Tahoma"/>
            <family val="2"/>
          </rPr>
          <t xml:space="preserve">Formed during legislation (breaking away from Harmony for Latvia), hence did not get any seats on their own in the 1993 election.
</t>
        </r>
      </text>
    </comment>
    <comment ref="AK11" authorId="0" shapeId="0" xr:uid="{00000000-0006-0000-1300-000005000000}">
      <text>
        <r>
          <rPr>
            <sz val="9"/>
            <color indexed="81"/>
            <rFont val="Tahoma"/>
            <family val="2"/>
          </rPr>
          <t>Formed an electoral alliance with the Latvian Green Party in 1995. The seat share entered is the total share of the alliance (allia1).</t>
        </r>
      </text>
    </comment>
    <comment ref="AO44" authorId="0" shapeId="0" xr:uid="{00000000-0006-0000-1300-00000600000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4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4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400-000003000000}">
      <text>
        <r>
          <rPr>
            <sz val="9"/>
            <color rgb="FF000000"/>
            <rFont val="Tahoma"/>
            <family val="2"/>
          </rPr>
          <t>First post-communist government based on the first free elections after independence from the Sovjet Union, held on 15 November 1992.</t>
        </r>
      </text>
    </comment>
    <comment ref="Y27" authorId="1" shapeId="0" xr:uid="{00000000-0006-0000-1400-00000400000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xr:uid="{00000000-0006-0000-1400-000005000000}">
      <text>
        <r>
          <rPr>
            <sz val="9"/>
            <color rgb="FF000000"/>
            <rFont val="Tahoma"/>
            <family val="2"/>
          </rPr>
          <t xml:space="preserve">Since LSDP was part of the Coalition of Algirdas Bazauskas and Arturas Paulauskas "Working for Lithuania" their own seat share is not apparent in the CPDS and thus taken from Krupavicius (2005: 1091).
</t>
        </r>
      </text>
    </comment>
    <comment ref="AG34" authorId="2" shapeId="0" xr:uid="{00000000-0006-0000-1400-000006000000}">
      <text>
        <r>
          <rPr>
            <sz val="9"/>
            <color rgb="FF000000"/>
            <rFont val="Tahoma"/>
            <family val="2"/>
          </rPr>
          <t>Since NS-LP was part of the Coalition of Algirdas Bazauskas and Arturas Paulauskas "Working for Lithuania" their own seat share is not apparent in the CPDS and thus taken from Krupavicius (2005: 1091).</t>
        </r>
      </text>
    </comment>
    <comment ref="Y39" authorId="0" shapeId="0" xr:uid="{00000000-0006-0000-1400-000007000000}">
      <text>
        <r>
          <rPr>
            <sz val="9"/>
            <color rgb="FF000000"/>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xr:uid="{00000000-0006-0000-1400-000008000000}">
      <text>
        <r>
          <rPr>
            <sz val="9"/>
            <color rgb="FF000000"/>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5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5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6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6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7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8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8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xr:uid="{00000000-0006-0000-1800-00000300000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A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A00-000003000000}">
      <text>
        <r>
          <rPr>
            <sz val="9"/>
            <color rgb="FF000000"/>
            <rFont val="Tahoma"/>
            <family val="2"/>
          </rPr>
          <t>First post-communist government based on the first free elections held on 27 October 1991.</t>
        </r>
      </text>
    </comment>
    <comment ref="F10" authorId="1" shapeId="0" xr:uid="{00000000-0006-0000-1A00-000004000000}">
      <text>
        <r>
          <rPr>
            <sz val="9"/>
            <color rgb="FF000000"/>
            <rFont val="Tahoma"/>
            <family val="2"/>
          </rPr>
          <t>Reason for termination is failure to form a new government because of lack of support from the parliament.</t>
        </r>
      </text>
    </comment>
    <comment ref="AS10" authorId="0" shapeId="0" xr:uid="{00000000-0006-0000-1A00-000005000000}">
      <text>
        <r>
          <rPr>
            <sz val="9"/>
            <color indexed="81"/>
            <rFont val="Tahoma"/>
            <family val="2"/>
          </rPr>
          <t>Run in the election as part of PL.</t>
        </r>
      </text>
    </comment>
    <comment ref="Y35" authorId="1" shapeId="0" xr:uid="{00000000-0006-0000-1A00-000006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xr:uid="{00000000-0006-0000-1A00-000007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xr:uid="{00000000-0006-0000-1A00-00000800000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B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B00-000003000000}">
      <text>
        <r>
          <rPr>
            <sz val="9"/>
            <color rgb="FF000000"/>
            <rFont val="Tahoma"/>
            <family val="2"/>
          </rPr>
          <t>On 25 April 1974, the "Carnation Revolution" initiated a the two-year revolutionary transitory phase which resulted in the new democratic constitution enacted on 25 April 1976.</t>
        </r>
      </text>
    </comment>
    <comment ref="V17" authorId="1" shapeId="0" xr:uid="{00000000-0006-0000-1B00-000004000000}">
      <text>
        <r>
          <rPr>
            <sz val="9"/>
            <color indexed="81"/>
            <rFont val="Tahoma"/>
            <family val="2"/>
          </rPr>
          <t xml:space="preserve">Electoral alliance of Center Social Democrats, Social Democrats and Popular Monarchist Party </t>
        </r>
      </text>
    </comment>
    <comment ref="Z17" authorId="1" shapeId="0" xr:uid="{00000000-0006-0000-1B00-000005000000}">
      <text>
        <r>
          <rPr>
            <sz val="9"/>
            <color indexed="81"/>
            <rFont val="Tahoma"/>
            <family val="2"/>
          </rPr>
          <t xml:space="preserve">Electoral alliance of Center Social Democrats, Social Democrats and Popular Monarchist Party </t>
        </r>
      </text>
    </comment>
    <comment ref="AD17" authorId="1" shapeId="0" xr:uid="{00000000-0006-0000-1B00-000006000000}">
      <text>
        <r>
          <rPr>
            <sz val="9"/>
            <color indexed="81"/>
            <rFont val="Tahoma"/>
            <family val="2"/>
          </rPr>
          <t xml:space="preserve">Electoral alliance of Center Social Democrats, Social Democrats and Popular Monarchist Party </t>
        </r>
      </text>
    </comment>
    <comment ref="F19" authorId="1" shapeId="0" xr:uid="{00000000-0006-0000-1B00-00000700000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C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C00-000003000000}">
      <text>
        <r>
          <rPr>
            <sz val="9"/>
            <color rgb="FF000000"/>
            <rFont val="Tahoma"/>
            <family val="2"/>
          </rPr>
          <t>Government based on the first free elections held on 20 May 1990 after the communist regime under Ceaușescu.</t>
        </r>
      </text>
    </comment>
    <comment ref="AK9" authorId="1" shapeId="0" xr:uid="{00000000-0006-0000-1C00-00000400000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xr:uid="{00000000-0006-0000-1C00-000005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xr:uid="{00000000-0006-0000-1C00-000006000000}">
      <text>
        <r>
          <rPr>
            <sz val="9"/>
            <color indexed="81"/>
            <rFont val="Tahoma"/>
            <family val="2"/>
          </rPr>
          <t>PNL won 19.2% of parliamentary seats whilst competing in the electoral coalition with PD (Stan and Zaharia 2007: 1086).</t>
        </r>
      </text>
    </comment>
    <comment ref="Z37" authorId="2" shapeId="0" xr:uid="{00000000-0006-0000-1C00-000007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xr:uid="{00000000-0006-0000-1C00-000008000000}">
      <text>
        <r>
          <rPr>
            <sz val="9"/>
            <color indexed="81"/>
            <rFont val="Tahoma"/>
            <family val="2"/>
          </rPr>
          <t>PD won 14.5% of parliamentary seats whilst competing in the electoral coalition with PNL (Stan and Zaharia 2007: 1086).</t>
        </r>
      </text>
    </comment>
    <comment ref="AH37" authorId="1" shapeId="0" xr:uid="{00000000-0006-0000-1C00-00000900000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xr:uid="{00000000-0006-0000-1C00-00000A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xr:uid="{00000000-0006-0000-1C00-00000B00000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xr:uid="{00000000-0006-0000-1C00-00000C000000}">
      <text>
        <r>
          <rPr>
            <sz val="9"/>
            <color indexed="81"/>
            <rFont val="Tahoma"/>
            <family val="2"/>
          </rPr>
          <t xml:space="preserve">The seat share of UNPR is taken from EJPR (Stan and Zaharia 2011: 1108). 
</t>
        </r>
      </text>
    </comment>
    <comment ref="Y62" authorId="2" shapeId="0" xr:uid="{00000000-0006-0000-1C00-00000D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xr:uid="{00000000-0006-0000-1C00-00000E00000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xr:uid="{00000000-0006-0000-1C00-00000F00000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xr:uid="{00000000-0006-0000-1C00-000010000000}">
      <text>
        <r>
          <rPr>
            <sz val="9"/>
            <color rgb="FF000000"/>
            <rFont val="Tahoma"/>
            <family val="2"/>
          </rPr>
          <t>The seat share of PSD, PNL, PC and UNPR is taken from EJPR (Stan 2013: 201).</t>
        </r>
      </text>
    </comment>
    <comment ref="Z64" authorId="2" shapeId="0" xr:uid="{00000000-0006-0000-1C00-000011000000}">
      <text>
        <r>
          <rPr>
            <sz val="9"/>
            <color rgb="FF000000"/>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xr:uid="{00000000-0006-0000-1C00-000012000000}">
      <text>
        <r>
          <rPr>
            <sz val="9"/>
            <color indexed="81"/>
            <rFont val="Tahoma"/>
            <family val="2"/>
          </rPr>
          <t>The seat share of PSD, PNL, PC and UNPR is taken from EJPR (Stan 2013: 201).</t>
        </r>
      </text>
    </comment>
    <comment ref="AD64" authorId="0" shapeId="0" xr:uid="{00000000-0006-0000-1C00-00001300000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xr:uid="{00000000-0006-0000-1C00-000014000000}">
      <text>
        <r>
          <rPr>
            <sz val="9"/>
            <color indexed="81"/>
            <rFont val="Tahoma"/>
            <family val="2"/>
          </rPr>
          <t>The seat share of PSD, PNL, PC and UNPR is taken from EJPR (Stan 2013: 201).</t>
        </r>
      </text>
    </comment>
    <comment ref="AH64" authorId="0" shapeId="0" xr:uid="{00000000-0006-0000-1C00-00001500000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xr:uid="{00000000-0006-0000-1C00-00001600000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D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1D00-000003000000}">
      <text>
        <r>
          <rPr>
            <sz val="9"/>
            <color rgb="FF000000"/>
            <rFont val="Tahoma"/>
            <family val="2"/>
          </rPr>
          <t>Mečiar I, Čarnogurský I and Mečiar II were the Prime Ministers in the Slovak part of Czechoslovakia until the dissolution of Czechoslovakia on 31 December 1992.</t>
        </r>
      </text>
    </comment>
    <comment ref="F7" authorId="0" shapeId="0" xr:uid="{00000000-0006-0000-1D00-000004000000}">
      <text>
        <r>
          <rPr>
            <sz val="9"/>
            <color rgb="FF000000"/>
            <rFont val="Tahoma"/>
            <family val="2"/>
          </rPr>
          <t xml:space="preserve">Government based on the first free elections held on 9 June 1990.
</t>
        </r>
      </text>
    </comment>
    <comment ref="C9" authorId="0" shapeId="0" xr:uid="{00000000-0006-0000-1D00-000005000000}">
      <text>
        <r>
          <rPr>
            <sz val="9"/>
            <color rgb="FF000000"/>
            <rFont val="Tahoma"/>
            <family val="2"/>
          </rPr>
          <t>Mečiar I, Čarnogurský I and Mečiar II were the Prime Ministers in the Slovak part of Czechoslovakia until the dissolution of Czechoslovakia on 31 December 1992.</t>
        </r>
      </text>
    </comment>
    <comment ref="C11" authorId="0" shapeId="0" xr:uid="{00000000-0006-0000-1D00-000006000000}">
      <text>
        <r>
          <rPr>
            <sz val="9"/>
            <color rgb="FF000000"/>
            <rFont val="Tahoma"/>
            <family val="2"/>
          </rPr>
          <t>Mečiar I, Čarnogurský I and Mečiar II were the Prime Ministers in the Slovak part of Czechoslovakia until the dissolution of Czechoslovakia on 31 December 1992.</t>
        </r>
      </text>
    </comment>
    <comment ref="F12" authorId="0" shapeId="0" xr:uid="{00000000-0006-0000-1D00-000007000000}">
      <text>
        <r>
          <rPr>
            <sz val="9"/>
            <color rgb="FF000000"/>
            <rFont val="Tahoma"/>
            <family val="2"/>
          </rPr>
          <t>Dissolution of Czechoslovakia on 31 December 1992</t>
        </r>
      </text>
    </comment>
    <comment ref="AG17" authorId="0" shapeId="0" xr:uid="{00000000-0006-0000-1D00-000008000000}">
      <text>
        <r>
          <rPr>
            <sz val="9"/>
            <color indexed="81"/>
            <rFont val="Tahoma"/>
            <family val="2"/>
          </rPr>
          <t>DUS and ADSR are splinter parties from the HZDS. Their seat share is taken from Müller-Rommel et al. (2008: 828).</t>
        </r>
      </text>
    </comment>
    <comment ref="AK17" authorId="0" shapeId="0" xr:uid="{00000000-0006-0000-1D00-000009000000}">
      <text>
        <r>
          <rPr>
            <sz val="9"/>
            <color indexed="81"/>
            <rFont val="Tahoma"/>
            <family val="2"/>
          </rPr>
          <t>DUS and ADSR are splinter parties from the HZDS. Their seat share is taken from Müller-Rommel et al. (2008: 828).</t>
        </r>
      </text>
    </comment>
    <comment ref="AO17" authorId="0" shapeId="0" xr:uid="{00000000-0006-0000-1D00-00000A00000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E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E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E00-000003000000}">
      <text>
        <r>
          <rPr>
            <sz val="9"/>
            <color rgb="FF000000"/>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F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F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F00-00000300000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xr:uid="{00000000-0006-0000-2000-000003000000}">
      <text>
        <r>
          <rPr>
            <sz val="9"/>
            <color indexed="81"/>
            <rFont val="Tahoma"/>
            <family val="2"/>
          </rPr>
          <t>Reason for termination is assassination of PM Palme.</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1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1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E6" authorId="1" shapeId="0" xr:uid="{00000000-0006-0000-2100-000003000000}">
      <text>
        <r>
          <rPr>
            <sz val="9"/>
            <color rgb="FF000000"/>
            <rFont val="Tahoma"/>
            <family val="2"/>
          </rPr>
          <t>Coded as agrarian until 1994 and as right4 (right-wing populist) since 1995.</t>
        </r>
      </text>
    </comment>
    <comment ref="F7" authorId="1" shapeId="0" xr:uid="{00000000-0006-0000-2100-000004000000}">
      <text>
        <r>
          <rPr>
            <sz val="9"/>
            <color rgb="FF000000"/>
            <rFont val="Tahoma"/>
            <family val="2"/>
          </rPr>
          <t>Head of State is the chairperson of the Federal Council (Bundespräsident), whose members alternate in the position each year.</t>
        </r>
      </text>
    </comment>
    <comment ref="AI7" authorId="1" shapeId="0" xr:uid="{00000000-0006-0000-2100-000005000000}">
      <text>
        <r>
          <rPr>
            <sz val="9"/>
            <color rgb="FF000000"/>
            <rFont val="Tahoma"/>
            <family val="2"/>
          </rPr>
          <t>Coded as agrarian until 1994 and as right4 (right-wing populist) since 1995.</t>
        </r>
      </text>
    </comment>
    <comment ref="AI8" authorId="1" shapeId="0" xr:uid="{00000000-0006-0000-2100-000006000000}">
      <text>
        <r>
          <rPr>
            <sz val="9"/>
            <color rgb="FF000000"/>
            <rFont val="Tahoma"/>
            <family val="2"/>
          </rPr>
          <t>Coded as agrarian until 1994 and as right4 (right-wing populist) since 1995.</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2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2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2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xr:uid="{00000000-0006-0000-2300-000003000000}">
      <text>
        <r>
          <rPr>
            <sz val="9"/>
            <color rgb="FF000000"/>
            <rFont val="Tahoma"/>
            <family val="2"/>
          </rPr>
          <t>Election to the House of Representatives (relevant for the variables gov2 and gov3), does not indicate a change of government.</t>
        </r>
      </text>
    </comment>
    <comment ref="F16" authorId="1" shapeId="0" xr:uid="{00000000-0006-0000-2300-000004000000}">
      <text>
        <r>
          <rPr>
            <sz val="9"/>
            <color rgb="FF000000"/>
            <rFont val="Tahoma"/>
            <family val="2"/>
          </rPr>
          <t>Reason for termination is assassination of President Kennedey.</t>
        </r>
      </text>
    </comment>
  </commentList>
</comments>
</file>

<file path=xl/sharedStrings.xml><?xml version="1.0" encoding="utf-8"?>
<sst xmlns="http://schemas.openxmlformats.org/spreadsheetml/2006/main" count="32921" uniqueCount="1494">
  <si>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</si>
  <si>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</si>
  <si>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</si>
  <si>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</si>
  <si>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</si>
  <si>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</si>
  <si>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</si>
  <si>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</si>
  <si>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</si>
  <si>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</si>
  <si>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</si>
  <si>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</si>
  <si>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</si>
  <si>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</si>
  <si>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</si>
  <si>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</si>
  <si>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</si>
  <si>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</si>
  <si>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</si>
  <si>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</si>
  <si>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</si>
  <si>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</si>
  <si>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</si>
  <si>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</si>
  <si>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</si>
  <si>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</si>
  <si>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</si>
  <si>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</si>
  <si>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</si>
  <si>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</si>
  <si>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</si>
  <si>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</si>
  <si>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</si>
  <si>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</si>
  <si>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</si>
  <si>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</si>
  <si>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</si>
  <si>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</si>
  <si>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</si>
  <si>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</si>
  <si>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</si>
  <si>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</si>
  <si>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</si>
  <si>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</si>
  <si>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</si>
  <si>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</si>
  <si>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</si>
  <si>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</si>
  <si>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</si>
  <si>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</si>
  <si>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</si>
  <si>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</si>
  <si>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</si>
  <si>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</si>
  <si>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</si>
  <si>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</si>
  <si>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</si>
  <si>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</si>
  <si>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</si>
  <si>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</si>
  <si>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</si>
  <si>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</si>
  <si>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</si>
  <si>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</si>
  <si>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</si>
  <si>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</si>
  <si>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</si>
  <si>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</si>
  <si>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</si>
  <si>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</si>
  <si>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</si>
  <si>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</si>
  <si>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</si>
  <si>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</si>
  <si>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</si>
  <si>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</si>
  <si>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</si>
  <si>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</si>
  <si>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</si>
  <si>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</si>
  <si>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</si>
  <si>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</si>
  <si>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</si>
  <si>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</si>
  <si>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</si>
  <si>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</si>
  <si>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</si>
  <si>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</si>
  <si>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</si>
  <si>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</si>
  <si>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</si>
  <si>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</si>
  <si>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</si>
  <si>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</si>
  <si>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</si>
  <si>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</si>
  <si>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</si>
  <si>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</si>
  <si>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</si>
  <si>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</si>
  <si>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</si>
  <si>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</si>
  <si>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</si>
  <si>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</si>
  <si>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</si>
  <si>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</si>
  <si>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</si>
  <si>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</si>
  <si>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</si>
  <si>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</si>
  <si>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</si>
  <si>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</si>
  <si>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</si>
  <si>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</si>
  <si>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</si>
  <si>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</si>
  <si>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</si>
  <si>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</si>
  <si>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</si>
  <si>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</si>
  <si>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</si>
  <si>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</si>
  <si>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</si>
  <si>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</si>
  <si>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</si>
  <si>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</si>
  <si>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</si>
  <si>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</si>
  <si>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</si>
  <si>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</si>
  <si>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</si>
  <si>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</si>
  <si>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</si>
  <si>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</si>
  <si>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</si>
  <si>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</si>
  <si>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</si>
  <si>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</si>
  <si>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</si>
  <si>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</si>
  <si>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</si>
  <si>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</si>
  <si>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</si>
  <si>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</si>
  <si>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</si>
  <si>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</si>
  <si>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</si>
  <si>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</si>
  <si>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</si>
  <si>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</si>
  <si>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</si>
  <si>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</si>
  <si>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</si>
  <si>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</si>
  <si>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</si>
  <si>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</si>
  <si>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</si>
  <si>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</si>
  <si>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</si>
  <si>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</si>
  <si>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</si>
  <si>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</si>
  <si>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</si>
  <si>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</si>
  <si>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</si>
  <si>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</si>
  <si>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</si>
  <si>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</si>
  <si>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</si>
  <si>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</si>
  <si>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</si>
  <si>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</si>
  <si>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</si>
  <si>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</si>
  <si>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</si>
  <si>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</si>
  <si>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</si>
  <si>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</si>
  <si>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</si>
  <si>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</si>
  <si>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</si>
  <si>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</si>
  <si>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</si>
  <si>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</si>
  <si>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</si>
  <si>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</si>
  <si>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</si>
  <si>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</si>
  <si>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</si>
  <si>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</si>
  <si>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</si>
  <si>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</si>
  <si>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</si>
  <si>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</si>
  <si>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</si>
  <si>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</si>
  <si>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</si>
  <si>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</si>
  <si>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</si>
  <si>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</si>
  <si>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</si>
  <si>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</si>
  <si>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</si>
  <si>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</si>
  <si>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</si>
  <si>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</si>
  <si>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</si>
  <si>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</si>
  <si>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</si>
  <si>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</si>
  <si>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</si>
  <si>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</si>
  <si>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</si>
  <si>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</si>
  <si>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</si>
  <si>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</si>
  <si>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</si>
  <si>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</si>
  <si>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</si>
  <si>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</si>
  <si>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</si>
  <si>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</si>
  <si>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</si>
  <si>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</si>
  <si>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</si>
  <si>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</si>
  <si>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</si>
  <si>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</si>
  <si>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</si>
  <si>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</si>
  <si>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</si>
  <si>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Clark I (PC)</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</si>
  <si>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</si>
  <si>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</si>
  <si>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</si>
  <si>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</si>
  <si>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</si>
  <si>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</si>
  <si>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</si>
  <si>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</si>
  <si>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</si>
  <si>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</si>
  <si>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</si>
  <si>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</si>
  <si>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</si>
  <si>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</si>
  <si>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</si>
  <si>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</si>
  <si>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</si>
  <si>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</si>
  <si>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</si>
  <si>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</si>
  <si>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</si>
  <si>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</si>
  <si>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</si>
  <si>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</si>
  <si>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</si>
  <si>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</si>
  <si>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</si>
  <si>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</si>
  <si>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</si>
  <si>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</si>
  <si>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</si>
  <si>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</si>
  <si>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</si>
  <si>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</si>
  <si>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</si>
  <si>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</si>
  <si>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</si>
  <si>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</si>
  <si>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</si>
  <si>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</si>
  <si>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</si>
  <si>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</si>
  <si>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</si>
  <si>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</si>
  <si>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Hafstein I (IP)</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</si>
  <si>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</si>
  <si>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</si>
  <si>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</si>
  <si>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</si>
  <si>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</si>
  <si>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</si>
  <si>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</si>
  <si>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</si>
  <si>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</si>
  <si>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</si>
  <si>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</si>
  <si>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</si>
  <si>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</si>
  <si>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</si>
  <si>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</si>
  <si>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</si>
  <si>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</si>
  <si>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</si>
  <si>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</si>
  <si>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</si>
  <si>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</si>
  <si>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</si>
  <si>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</si>
  <si>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</si>
  <si>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</si>
  <si>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</si>
  <si>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</si>
  <si>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</si>
  <si>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</si>
  <si>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</si>
  <si>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</si>
  <si>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</si>
  <si>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</si>
  <si>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</si>
  <si>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</si>
  <si>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</si>
  <si>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</si>
  <si>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</si>
  <si>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</si>
  <si>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</si>
  <si>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</si>
  <si>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</si>
  <si>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</si>
  <si>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</si>
  <si>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</si>
  <si>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</si>
  <si>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</si>
  <si>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</si>
  <si>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</si>
  <si>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</si>
  <si>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</si>
  <si>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</si>
  <si>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</si>
  <si>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</si>
  <si>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</si>
  <si>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</si>
  <si>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</si>
  <si>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</si>
  <si>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</si>
  <si>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</si>
  <si>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</si>
  <si>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</si>
  <si>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</si>
  <si>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</si>
  <si>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</si>
  <si>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</si>
  <si>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</si>
  <si>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</si>
  <si>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</si>
  <si>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</si>
  <si>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</si>
  <si>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</si>
  <si>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</si>
  <si>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</si>
  <si>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</si>
  <si>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</si>
  <si>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</si>
  <si>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</si>
  <si>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</si>
  <si>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</si>
  <si>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</si>
  <si>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</si>
  <si>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</si>
  <si>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</si>
  <si>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</si>
  <si>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</si>
  <si>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</si>
  <si>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</si>
  <si>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</si>
  <si>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</si>
  <si>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</si>
  <si>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</si>
  <si>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</si>
  <si>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</si>
  <si>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</si>
  <si>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</si>
  <si>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</si>
  <si>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</si>
  <si>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</si>
  <si>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</si>
  <si>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</si>
  <si>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</si>
  <si>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</si>
  <si>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</si>
  <si>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</si>
  <si>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</si>
  <si>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</si>
  <si>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</si>
  <si>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</si>
  <si>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</si>
  <si>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</si>
  <si>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</si>
  <si>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</si>
  <si>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</si>
  <si>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</si>
  <si>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</si>
  <si>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</si>
  <si>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</si>
  <si>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</si>
  <si>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</si>
  <si>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</si>
  <si>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</si>
  <si>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</si>
  <si>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</si>
  <si>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</si>
  <si>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</si>
  <si>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</si>
  <si>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</si>
  <si>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</si>
  <si>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</si>
  <si>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</si>
  <si>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</si>
  <si>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</si>
  <si>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</si>
  <si>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</si>
  <si>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</si>
  <si>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</si>
  <si>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</si>
  <si>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</si>
  <si>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</si>
  <si>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</si>
  <si>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</si>
  <si>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</si>
  <si>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</si>
  <si>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</si>
  <si>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</si>
  <si>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</si>
  <si>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</si>
  <si>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</si>
  <si>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</si>
  <si>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</si>
  <si>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</si>
  <si>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</si>
  <si>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</si>
  <si>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</si>
  <si>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</si>
  <si>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</si>
  <si>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</si>
  <si>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</si>
  <si>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</si>
  <si>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</si>
  <si>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</si>
  <si>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</si>
  <si>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</si>
  <si>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</si>
  <si>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</si>
  <si>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</si>
  <si>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</si>
  <si>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</si>
  <si>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</si>
  <si>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</si>
  <si>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</si>
  <si>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</si>
  <si>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</si>
  <si>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</si>
  <si>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</si>
  <si>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</si>
  <si>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</si>
  <si>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</si>
  <si>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</si>
  <si>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</si>
  <si>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</si>
  <si>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</si>
  <si>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</si>
  <si>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</si>
  <si>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</si>
  <si>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</si>
  <si>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</si>
  <si>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</si>
  <si>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</si>
  <si>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</si>
  <si>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</si>
  <si>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</si>
  <si>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</si>
  <si>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</si>
  <si>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</si>
  <si>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</si>
  <si>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</si>
  <si>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</si>
  <si>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</si>
  <si>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</si>
  <si>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</si>
  <si>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</si>
  <si>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</si>
  <si>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</si>
  <si>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</si>
  <si>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</si>
  <si>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</si>
  <si>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</si>
  <si>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</si>
  <si>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</si>
  <si>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</si>
  <si>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</si>
  <si>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</si>
  <si>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</si>
  <si>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</si>
  <si>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</si>
  <si>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</si>
  <si>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</si>
  <si>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</si>
  <si>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</si>
  <si>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</si>
  <si>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</si>
  <si>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</si>
  <si>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</si>
  <si>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</si>
  <si>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</si>
  <si>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</si>
  <si>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</si>
  <si>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</si>
  <si>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</si>
  <si>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</si>
  <si>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</si>
  <si>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</si>
  <si>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</si>
  <si>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</si>
  <si>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</si>
  <si>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</si>
  <si>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</si>
  <si>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</si>
  <si>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</si>
  <si>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</si>
  <si>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</si>
  <si>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</si>
  <si>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</si>
  <si>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</si>
  <si>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</si>
  <si>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</si>
  <si>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</si>
  <si>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</si>
  <si>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</si>
  <si>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</si>
  <si>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</si>
  <si>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</si>
  <si>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</si>
  <si>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</si>
  <si>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</si>
  <si>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</si>
  <si>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</si>
  <si>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</si>
  <si>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</si>
  <si>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</si>
  <si>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</si>
  <si>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</si>
  <si>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</si>
  <si>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</si>
  <si>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</si>
  <si>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</si>
  <si>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</si>
  <si>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</si>
  <si>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</si>
  <si>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</si>
  <si>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</si>
  <si>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</si>
  <si>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</si>
  <si>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</si>
  <si>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</si>
  <si>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</si>
  <si>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</si>
  <si>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</si>
  <si>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</si>
  <si>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</si>
  <si>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</si>
  <si>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</si>
  <si>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</si>
  <si>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</si>
  <si>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</si>
  <si>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</si>
  <si>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</si>
  <si>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</si>
  <si>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</si>
  <si>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</si>
  <si>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</si>
  <si>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</si>
  <si>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</si>
  <si>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</si>
  <si>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</si>
  <si>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</si>
  <si>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</si>
  <si>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</si>
  <si>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</si>
  <si>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</si>
  <si>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</si>
  <si>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</si>
  <si>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</si>
  <si>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</si>
  <si>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</si>
  <si>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</si>
  <si>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</si>
  <si>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</si>
  <si>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</si>
  <si>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</si>
  <si>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</si>
  <si>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</si>
  <si>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</si>
  <si>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</si>
  <si>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</si>
  <si>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</si>
  <si>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</si>
  <si>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</si>
  <si>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</si>
  <si>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</si>
  <si>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</si>
  <si>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</si>
  <si>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</si>
  <si>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</si>
  <si>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</si>
  <si>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</si>
  <si>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</si>
  <si>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</si>
  <si>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</si>
  <si>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</si>
  <si>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</si>
  <si>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</si>
  <si>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</si>
  <si>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</si>
  <si>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</si>
  <si>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</si>
  <si>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</si>
  <si>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</si>
  <si>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</si>
  <si>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</si>
  <si>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</si>
  <si>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</si>
  <si>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</si>
  <si>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</si>
  <si>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</si>
  <si>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</si>
  <si>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</si>
  <si>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</si>
  <si>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</si>
  <si>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</si>
  <si>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</si>
  <si>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</si>
  <si>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</si>
  <si>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</si>
  <si>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</si>
  <si>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</si>
  <si>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</si>
  <si>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</si>
  <si>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</si>
  <si>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</si>
  <si>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</si>
  <si>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</si>
  <si>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</si>
  <si>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</si>
  <si>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</si>
  <si>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</si>
  <si>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</si>
  <si>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</si>
  <si>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</si>
  <si>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</si>
  <si>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</si>
  <si>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</si>
  <si>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</si>
  <si>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</si>
  <si>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</si>
  <si>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</si>
  <si>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</si>
  <si>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</si>
  <si>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</si>
  <si>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</si>
  <si>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</si>
  <si>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</si>
  <si>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</si>
  <si>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</si>
  <si>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</si>
  <si>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</si>
  <si>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</si>
  <si>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</si>
  <si>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</si>
  <si>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</si>
  <si>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</si>
  <si>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</si>
  <si>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</si>
  <si>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</si>
  <si>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</si>
  <si>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</si>
  <si>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</si>
  <si>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</si>
  <si>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</si>
  <si>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</si>
  <si>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</si>
  <si>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</si>
  <si>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</si>
  <si>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</si>
  <si>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</si>
  <si>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</si>
  <si>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</si>
  <si>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</si>
  <si>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</si>
  <si>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</si>
  <si>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</si>
  <si>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</si>
  <si>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</si>
  <si>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</si>
  <si>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</si>
  <si>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</si>
  <si>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</si>
  <si>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</si>
  <si>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</si>
  <si>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</si>
  <si>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</si>
  <si>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</si>
  <si>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</si>
  <si>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</si>
  <si>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</si>
  <si>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</si>
  <si>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</si>
  <si>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</si>
  <si>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</si>
  <si>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</si>
  <si>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</si>
  <si>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</si>
  <si>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</si>
  <si>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</si>
  <si>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</si>
  <si>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</si>
  <si>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</si>
  <si>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</si>
  <si>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</si>
  <si>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</si>
  <si>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</si>
  <si>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</si>
  <si>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</si>
  <si>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</si>
  <si>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</si>
  <si>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</si>
  <si>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</si>
  <si>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</si>
  <si>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</si>
  <si>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</si>
  <si>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</si>
  <si>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</si>
  <si>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</si>
  <si>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</si>
  <si>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</si>
  <si>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</si>
  <si>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</si>
  <si>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</si>
  <si>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</si>
  <si>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</si>
  <si>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</si>
  <si>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</si>
  <si>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</si>
  <si>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</si>
  <si>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</si>
  <si>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</si>
  <si>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</si>
  <si>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</si>
  <si>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</si>
  <si>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</si>
  <si>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</si>
  <si>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</si>
  <si>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</si>
  <si>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</si>
  <si>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</si>
  <si>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</si>
  <si>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</si>
  <si>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</si>
  <si>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</si>
  <si>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</si>
  <si>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</si>
  <si>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</si>
  <si>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</si>
  <si>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</si>
  <si>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</si>
  <si>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</si>
  <si>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</si>
  <si>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</si>
  <si>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</si>
  <si>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</si>
  <si>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</si>
  <si>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</si>
  <si>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</si>
  <si>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</si>
  <si>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</si>
  <si>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</si>
  <si>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</si>
  <si>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</si>
  <si>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</si>
  <si>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</si>
  <si>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</si>
  <si>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</si>
  <si>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</si>
  <si>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</si>
  <si>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</si>
  <si>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</si>
  <si>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</si>
  <si>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</si>
  <si>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</si>
  <si>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</si>
  <si>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</si>
  <si>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</si>
  <si>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</si>
  <si>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</si>
  <si>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</si>
  <si>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</si>
  <si>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</si>
  <si>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</si>
  <si>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</si>
  <si>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</si>
  <si>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</si>
  <si>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</si>
  <si>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</si>
  <si>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</si>
  <si>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</si>
  <si>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</si>
  <si>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</si>
  <si>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</si>
  <si>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</si>
  <si>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</si>
  <si>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</si>
  <si>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</si>
  <si>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</si>
  <si>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</si>
  <si>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</si>
  <si>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</si>
  <si>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</si>
  <si>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</si>
  <si>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</si>
  <si>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</si>
  <si>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</si>
  <si>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</si>
  <si>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</si>
  <si>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</si>
  <si>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</si>
  <si>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</si>
  <si>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</si>
  <si>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</si>
  <si>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</si>
  <si>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</si>
  <si>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</si>
  <si>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</si>
  <si>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</si>
  <si>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</si>
  <si>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</si>
  <si>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</si>
  <si>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</si>
  <si>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</si>
  <si>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</si>
  <si>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</si>
  <si>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</si>
  <si>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</si>
  <si>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</si>
  <si>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</si>
  <si>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</si>
  <si>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</si>
  <si>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</si>
  <si>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</si>
  <si>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</si>
  <si>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</si>
  <si>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</si>
  <si>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</si>
  <si>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</si>
  <si>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</si>
  <si>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</si>
  <si>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</si>
  <si>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</si>
  <si>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</si>
  <si>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</si>
  <si>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</si>
  <si>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</si>
  <si>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</si>
  <si>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</si>
  <si>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</si>
  <si>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</si>
  <si>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</si>
  <si>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</si>
  <si>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</si>
  <si>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</si>
  <si>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</si>
  <si>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</si>
  <si>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</si>
  <si>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</si>
  <si>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</si>
  <si>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</si>
  <si>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</si>
  <si>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</si>
  <si>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</si>
  <si>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</si>
  <si>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</si>
  <si>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</si>
  <si>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</si>
  <si>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</si>
  <si>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</si>
  <si>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</si>
  <si>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</si>
  <si>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</si>
  <si>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</si>
  <si>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</si>
  <si>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</si>
  <si>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</si>
  <si>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</si>
  <si>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</si>
  <si>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</si>
  <si>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</si>
  <si>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</si>
  <si>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</si>
  <si>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</si>
  <si>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</si>
  <si>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</si>
  <si>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</si>
  <si>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</si>
  <si>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</si>
  <si>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</si>
  <si>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</si>
  <si>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</si>
  <si>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</si>
  <si>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</si>
  <si>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</si>
  <si>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</si>
  <si>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</si>
  <si>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</si>
  <si>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</si>
  <si>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</si>
  <si>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</si>
  <si>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</si>
  <si>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</si>
  <si>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</si>
  <si>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</si>
  <si>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</si>
  <si>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</si>
  <si>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</si>
  <si>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</si>
  <si>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</si>
  <si>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</si>
  <si>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</si>
  <si>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</si>
  <si>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</si>
  <si>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</si>
  <si>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</si>
  <si>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</si>
  <si>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</si>
  <si>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</si>
  <si>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</si>
  <si>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</si>
  <si>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</si>
  <si>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</si>
  <si>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</si>
  <si>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</si>
  <si>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</si>
  <si>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</si>
  <si>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</si>
  <si>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</si>
  <si>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</si>
  <si>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</si>
  <si>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</si>
  <si>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</si>
  <si>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</si>
  <si>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</si>
  <si>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</si>
  <si>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</si>
  <si>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</si>
  <si>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</si>
  <si>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</si>
  <si>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</si>
  <si>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</si>
  <si>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</si>
  <si>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</si>
  <si>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</si>
  <si>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</si>
  <si>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</si>
  <si>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</si>
  <si>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</si>
  <si>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</si>
  <si>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</si>
  <si>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</si>
  <si>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</si>
  <si>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</si>
  <si>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</si>
  <si>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</si>
  <si>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</si>
  <si>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</si>
  <si>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</si>
  <si>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</si>
  <si>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</si>
  <si>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</si>
  <si>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</si>
  <si>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</si>
  <si>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</si>
  <si>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</si>
  <si>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</si>
  <si>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</si>
  <si>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</si>
  <si>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</si>
  <si>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</si>
  <si>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</si>
  <si>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</si>
  <si>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</si>
  <si>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</si>
  <si>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</si>
  <si>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</si>
  <si>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</si>
  <si>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</si>
  <si>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</si>
  <si>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</si>
  <si>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</si>
  <si>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</si>
  <si>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</si>
  <si>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</si>
  <si>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</si>
  <si>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</si>
  <si>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</si>
  <si>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</si>
  <si>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</si>
  <si>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</si>
  <si>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</si>
  <si>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</si>
  <si>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</si>
  <si>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</si>
  <si>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</si>
  <si>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</si>
  <si>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</si>
  <si>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</si>
  <si>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</si>
  <si>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</si>
  <si>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</si>
  <si>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</si>
  <si>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</si>
  <si>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</si>
  <si>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</si>
  <si>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</si>
  <si>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</si>
  <si>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</si>
  <si>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</si>
  <si>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</si>
  <si>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</si>
  <si>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</si>
  <si>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</si>
  <si>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</si>
  <si>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</si>
  <si>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</si>
  <si>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</si>
  <si>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</si>
  <si>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</si>
  <si>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</si>
  <si>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</si>
  <si>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</si>
  <si>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</si>
  <si>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</si>
  <si>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</si>
  <si>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</si>
  <si>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</si>
  <si>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</si>
  <si>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</si>
  <si>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</si>
  <si>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</si>
  <si>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</si>
  <si>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</si>
  <si>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</si>
  <si>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</si>
  <si>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</si>
  <si>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</si>
  <si>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</si>
  <si>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</si>
  <si>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</si>
  <si>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</si>
  <si>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</si>
  <si>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</si>
  <si>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</si>
  <si>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</si>
  <si>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</si>
  <si>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</si>
  <si>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</si>
  <si>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</si>
  <si>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</si>
  <si>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</si>
  <si>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</si>
  <si>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</si>
  <si>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</si>
  <si>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</si>
  <si>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</si>
  <si>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</si>
  <si>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</si>
  <si>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</si>
  <si>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</si>
  <si>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</si>
  <si>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</si>
  <si>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</si>
  <si>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</si>
  <si>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</si>
  <si>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</si>
  <si>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</si>
  <si>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Kallas I (RE)</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</si>
  <si>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</si>
  <si>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</si>
  <si>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</si>
  <si>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</si>
  <si>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</si>
  <si>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</si>
  <si>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</si>
  <si>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</si>
  <si>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</si>
  <si>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</si>
  <si>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</si>
  <si>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</si>
  <si>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</si>
  <si>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</si>
  <si>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</si>
  <si>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</si>
  <si>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</si>
  <si>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</si>
  <si>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</si>
  <si>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</si>
  <si>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</si>
  <si>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</si>
  <si>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</si>
  <si>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</si>
  <si>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</si>
  <si>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</si>
  <si>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</si>
  <si>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</si>
  <si>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</si>
  <si>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</si>
  <si>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</si>
  <si>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</si>
  <si>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</si>
  <si>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</si>
  <si>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</si>
  <si>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</si>
  <si>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</si>
  <si>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</si>
  <si>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</si>
  <si>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</si>
  <si>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</si>
  <si>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</si>
  <si>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</si>
  <si>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</si>
  <si>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</si>
  <si>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</si>
  <si>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</si>
  <si>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</si>
  <si>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</si>
  <si>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</si>
  <si>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</si>
  <si>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</si>
  <si>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</si>
  <si>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</si>
  <si>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</si>
  <si>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</si>
  <si>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</si>
  <si>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</si>
  <si>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</si>
  <si>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</si>
  <si>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</si>
  <si>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</si>
  <si>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</si>
  <si>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</si>
  <si>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</si>
  <si>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</si>
  <si>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</si>
  <si>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</si>
  <si>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</si>
  <si>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</si>
  <si>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</si>
  <si>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</si>
  <si>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</si>
  <si>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</si>
  <si>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</si>
  <si>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</si>
  <si>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</si>
  <si>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</si>
  <si>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</si>
  <si>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</si>
  <si>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</si>
  <si>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</si>
  <si>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</si>
  <si>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</si>
  <si>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</si>
  <si>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</si>
  <si>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</si>
  <si>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</si>
  <si>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</si>
  <si>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</si>
  <si>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</si>
  <si>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</si>
  <si>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</si>
  <si>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</si>
  <si>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</si>
  <si>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</si>
  <si>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</si>
  <si>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</si>
  <si>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</si>
  <si>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</si>
  <si>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</si>
  <si>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</si>
  <si>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</si>
  <si>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</si>
  <si>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</si>
  <si>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</si>
  <si>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</si>
  <si>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</si>
  <si>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</si>
  <si>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</si>
  <si>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</si>
  <si>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Centre</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</si>
  <si>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</si>
  <si>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</si>
  <si>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</si>
  <si>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</si>
  <si>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</si>
  <si>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</si>
  <si>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</si>
  <si>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</si>
  <si>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</si>
  <si>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</si>
  <si>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</si>
  <si>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</si>
  <si>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</si>
  <si>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</si>
  <si>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</si>
  <si>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</si>
  <si>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</si>
  <si>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</si>
  <si>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</si>
  <si>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</si>
  <si>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</si>
  <si>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</si>
  <si>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</si>
  <si>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</si>
  <si>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</si>
  <si>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</si>
  <si>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</si>
  <si>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</si>
  <si>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</si>
  <si>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</si>
  <si>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</si>
  <si>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</si>
  <si>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</si>
  <si>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</si>
  <si>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</si>
  <si>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</si>
  <si>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</si>
  <si>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</si>
  <si>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</si>
  <si>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</si>
  <si>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</si>
  <si>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</si>
  <si>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</si>
  <si>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</si>
  <si>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</si>
  <si>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</si>
  <si>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</si>
  <si>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</si>
  <si>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</si>
  <si>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</si>
  <si>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</si>
  <si>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</si>
  <si>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</si>
  <si>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</si>
  <si>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</si>
  <si>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</si>
  <si>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</si>
  <si>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</si>
  <si>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</si>
  <si>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</si>
  <si>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</si>
  <si>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</si>
  <si>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</si>
  <si>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</si>
  <si>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</si>
  <si>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</si>
  <si>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</si>
  <si>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</si>
  <si>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</si>
  <si>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</si>
  <si>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</si>
  <si>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</si>
  <si>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</si>
  <si>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</si>
  <si>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</si>
  <si>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</si>
  <si>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</si>
  <si>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</si>
  <si>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</si>
  <si>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</si>
  <si>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</si>
  <si>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</si>
  <si>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</si>
  <si>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</si>
  <si>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</si>
  <si>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</si>
  <si>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</si>
  <si>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</si>
  <si>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</si>
  <si>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</si>
  <si>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</si>
  <si>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</si>
  <si>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</si>
  <si>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</si>
  <si>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</si>
  <si>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</si>
  <si>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</si>
  <si>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</si>
  <si>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</si>
  <si>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</si>
  <si>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</si>
  <si>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</si>
  <si>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</si>
  <si>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</si>
  <si>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</si>
  <si>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</si>
  <si>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</si>
  <si>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</si>
  <si>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</si>
  <si>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</si>
  <si>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</si>
  <si>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</si>
  <si>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</si>
  <si>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</si>
  <si>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</si>
  <si>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</si>
  <si>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</si>
  <si>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</si>
  <si>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</si>
  <si>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</si>
  <si>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Milanović II (SDP)</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</si>
  <si>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</si>
  <si>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</si>
  <si>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</si>
  <si>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</si>
  <si>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</si>
  <si>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</si>
  <si>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</si>
  <si>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</si>
  <si>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</si>
  <si>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</si>
  <si>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</si>
  <si>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</si>
  <si>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</si>
  <si>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</si>
  <si>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</si>
  <si>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</si>
  <si>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</si>
  <si>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</si>
  <si>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</si>
  <si>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Kern I (SPÖ)</t>
  </si>
  <si>
    <t>Orešković I (ind.)</t>
  </si>
  <si>
    <t>Plenković I (HDZ)</t>
  </si>
  <si>
    <t>MOST</t>
  </si>
  <si>
    <t>Løkke Rasmussen III (LIB)</t>
  </si>
  <si>
    <t>LA</t>
  </si>
  <si>
    <t>Cazeneuve I (PS)</t>
  </si>
  <si>
    <t>Johannsson I (PP)</t>
  </si>
  <si>
    <t>Kenny II (FG)</t>
  </si>
  <si>
    <t>Gentiloni I (PD)</t>
  </si>
  <si>
    <t>Valls II (PS)</t>
  </si>
  <si>
    <t>Kucinskis (ZZS) I</t>
  </si>
  <si>
    <t>Skvernelis I (LVŽS)</t>
  </si>
  <si>
    <t>LVŽS</t>
  </si>
  <si>
    <t>English I (NP)</t>
  </si>
  <si>
    <t>Fico III (Smer-SD)</t>
  </si>
  <si>
    <t>Sieť</t>
  </si>
  <si>
    <t>Rajoy II (PP)</t>
  </si>
  <si>
    <t>Leuthard II (CVP)</t>
  </si>
  <si>
    <t>May I (CON)</t>
  </si>
  <si>
    <t>Ratas I (KE)</t>
  </si>
  <si>
    <t>Harlem Brundtland IV (DNA)</t>
  </si>
  <si>
    <t>Georgios Papandreou I (CU)</t>
  </si>
  <si>
    <t>Georgios Papandreou II (CU)</t>
  </si>
  <si>
    <t>Andreas Papandreou I (PASOK)</t>
  </si>
  <si>
    <t>Andreas Papandreou II (PASOK)</t>
  </si>
  <si>
    <t>Andreas Papandreou III (PASOK)</t>
  </si>
  <si>
    <t>George Papandreou I (PASOK)</t>
  </si>
  <si>
    <t>Turnbull II (LIB)</t>
  </si>
  <si>
    <t>Kurz I (ÖVP)</t>
  </si>
  <si>
    <t>Borissov III (GERB)</t>
  </si>
  <si>
    <t>Gerdzhikov I (NDSV)</t>
  </si>
  <si>
    <t>OP</t>
  </si>
  <si>
    <t>Babiš I (ANO)</t>
  </si>
  <si>
    <t>Philippe I (LR)</t>
  </si>
  <si>
    <t>Philippe II (LR)</t>
  </si>
  <si>
    <t>LR</t>
  </si>
  <si>
    <t>MoDem</t>
  </si>
  <si>
    <t>LRM</t>
  </si>
  <si>
    <t>BF</t>
  </si>
  <si>
    <t>Jakobsdóttir I (LG)</t>
  </si>
  <si>
    <t>Varadkar I (FG)</t>
  </si>
  <si>
    <t>Abe IV (LDP)</t>
  </si>
  <si>
    <t>Muscat II (MLP)</t>
  </si>
  <si>
    <t>Rutte III (VVD)</t>
  </si>
  <si>
    <t>Ardern I (LP)</t>
  </si>
  <si>
    <t>Solberg II (H)</t>
  </si>
  <si>
    <t>Morawiecki I (Ind)</t>
  </si>
  <si>
    <t>Grindeanu I (PSD)</t>
  </si>
  <si>
    <t>Tudose I (PSD)</t>
  </si>
  <si>
    <t>ALDE</t>
  </si>
  <si>
    <t>May II (CON)</t>
  </si>
  <si>
    <t>Trump I (RP)</t>
  </si>
  <si>
    <t>Plenković II (HDZ)</t>
  </si>
  <si>
    <t>Morrison I (LIB)</t>
  </si>
  <si>
    <t>Michel II (MR)</t>
  </si>
  <si>
    <t>Anastasiades II (DISY)</t>
  </si>
  <si>
    <t>Babiš II (ANO)</t>
  </si>
  <si>
    <t>SIN</t>
  </si>
  <si>
    <t>Merkel IV (CDU)</t>
  </si>
  <si>
    <t>Orbán IV (FIDESZ)</t>
  </si>
  <si>
    <t>Conte I (Ind)</t>
  </si>
  <si>
    <t>M5S</t>
  </si>
  <si>
    <t>protest2</t>
  </si>
  <si>
    <t>L</t>
  </si>
  <si>
    <t>Bettel II (DP)</t>
  </si>
  <si>
    <t>Solberg III (H)</t>
  </si>
  <si>
    <t>Dăncilă I (PSD)</t>
  </si>
  <si>
    <t>Šarec I (LMŠ)</t>
  </si>
  <si>
    <t>LMS</t>
  </si>
  <si>
    <t>Sánchez I (PSOE)</t>
  </si>
  <si>
    <t xml:space="preserve">Trump I (RP)	</t>
  </si>
  <si>
    <t>Sipilä II (KESK)</t>
  </si>
  <si>
    <t>Morrison II (LIB)</t>
  </si>
  <si>
    <t>Löger (ÖVP)</t>
  </si>
  <si>
    <t>Bierlein (Ind.)</t>
  </si>
  <si>
    <t>Ratas II (KE)</t>
  </si>
  <si>
    <t>Rinne I (SDP)</t>
  </si>
  <si>
    <t>Marin I (SDP)</t>
  </si>
  <si>
    <t>centre</t>
  </si>
  <si>
    <t>SFP</t>
  </si>
  <si>
    <t>Agir</t>
  </si>
  <si>
    <t>Conte II (Ind)</t>
  </si>
  <si>
    <t>LeU</t>
  </si>
  <si>
    <t>leftsoc4</t>
  </si>
  <si>
    <t>IV</t>
  </si>
  <si>
    <t>Karins I (V)</t>
  </si>
  <si>
    <t>KPV</t>
  </si>
  <si>
    <t>JKP</t>
  </si>
  <si>
    <t>conserv9</t>
  </si>
  <si>
    <t>A/P</t>
  </si>
  <si>
    <t>LSDDP</t>
  </si>
  <si>
    <t>Morawiecki II (Ind)</t>
  </si>
  <si>
    <t>Costa II (PS)</t>
  </si>
  <si>
    <t>Orban I (PNL)</t>
  </si>
  <si>
    <t>Löfven II (S)</t>
  </si>
  <si>
    <t>Berset I (SPS)</t>
  </si>
  <si>
    <t>Maurer II (SVP)</t>
  </si>
  <si>
    <t>Sommaruga II (SPS)</t>
  </si>
  <si>
    <t>Johnson I (CON)</t>
  </si>
  <si>
    <t>Johnson II (CON)</t>
  </si>
  <si>
    <t>Mette Frederiksen I (SD)</t>
  </si>
  <si>
    <t>conserv10</t>
  </si>
  <si>
    <t>BZÖ</t>
  </si>
  <si>
    <t>rigth2</t>
  </si>
  <si>
    <t>Leterme III (CD&amp;V)</t>
  </si>
  <si>
    <t>Di Rupo II (PS)</t>
  </si>
  <si>
    <t>Trudeau Pierre I (LIB)</t>
  </si>
  <si>
    <t>Trudeau Pierre II (LIB)</t>
  </si>
  <si>
    <t>Trudeau Pierre III (LIB)</t>
  </si>
  <si>
    <t>Trudeau Pierre IV (LIB)</t>
  </si>
  <si>
    <t>Trudeau Pierre V (LIB)</t>
  </si>
  <si>
    <t>Trudeau Justin I (LIB)</t>
  </si>
  <si>
    <t>Trudeau Justin II (LIB)</t>
  </si>
  <si>
    <t>Benediktsson Bjarni (b. 1970) I (IP)</t>
  </si>
  <si>
    <t>Benediktsson Bjarni (b. 1908) I (IP)</t>
  </si>
  <si>
    <t>Benediktsson Bjarni (b. 1908) I 
(IP)</t>
  </si>
  <si>
    <t>Benediktsson Bjarni (b. 1908) II (IP)</t>
  </si>
  <si>
    <t>Fukuda Yasuo I (LDP)</t>
  </si>
  <si>
    <t>Fukuda Takeo I (LDP)</t>
  </si>
  <si>
    <t>Račan II (SDP)</t>
  </si>
  <si>
    <t>Pellegrini I (Smer-SD)</t>
  </si>
  <si>
    <t>Michel III (MR)</t>
  </si>
  <si>
    <t>Sipilä III (KESK)</t>
  </si>
  <si>
    <t>Kurz II (ÖVP)</t>
  </si>
  <si>
    <t>GA</t>
  </si>
  <si>
    <t>Wilmès I (MR)</t>
  </si>
  <si>
    <t>Wilmès II (MR)</t>
  </si>
  <si>
    <t>De Croo (VLD)</t>
  </si>
  <si>
    <t>Plenković IIII (HDZ)</t>
  </si>
  <si>
    <t>EKRE</t>
  </si>
  <si>
    <t>TDP</t>
  </si>
  <si>
    <t>Castex I (LRM)</t>
  </si>
  <si>
    <t>libera3</t>
  </si>
  <si>
    <t>EC</t>
  </si>
  <si>
    <t>Martin I (FF)</t>
  </si>
  <si>
    <t>Suga I (LDP)</t>
  </si>
  <si>
    <t>Šimonytè I (Ind)</t>
  </si>
  <si>
    <t>Abela I (MLP)</t>
  </si>
  <si>
    <t>:12.7</t>
  </si>
  <si>
    <t>Ardern II (LP)</t>
  </si>
  <si>
    <t>Orban II (PNL)</t>
  </si>
  <si>
    <t>USR</t>
  </si>
  <si>
    <t>Cîțu I (PNL)</t>
  </si>
  <si>
    <t>Matovič (OLaNO)</t>
  </si>
  <si>
    <t>OLaNO</t>
  </si>
  <si>
    <t>Za'ludi</t>
  </si>
  <si>
    <t>Janša IV (SDS)</t>
  </si>
  <si>
    <t>Nsi</t>
  </si>
  <si>
    <t>P</t>
  </si>
  <si>
    <t>Sanchez II (PSOE)</t>
  </si>
  <si>
    <t>Parmelin (SVP)</t>
  </si>
  <si>
    <t>Solberg IV (H)</t>
  </si>
  <si>
    <t>Fico IV (Smer-SD)</t>
  </si>
  <si>
    <t>SME</t>
  </si>
  <si>
    <t>Varadkar II (FG)</t>
  </si>
  <si>
    <t>right6</t>
  </si>
  <si>
    <t>Kyriakos Mitsotakis I (ND)</t>
  </si>
  <si>
    <t>Konstantinos Mitsotakis I (ND)</t>
  </si>
  <si>
    <t>pension1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</si>
</sst>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yyyy\-mm\-dd;@"/>
  </numFmts>
  <fonts count="25" x14ac:knownFonts="1">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
      <sz val="7"/>
      <color rgb="FFFF0000"/>
      <name val="Arial"/>
      <family val="2"/>
    </font>
    <font>
      <sz val="9"/>
      <color rgb="FF000000"/>
      <name val="Tahoma"/>
      <family val="2"/>
    </font>
    <font>
      <b/>
      <sz val="9"/>
      <color rgb="FF000000"/>
      <name val="Tahoma"/>
      <family val="2"/>
    </font>
    <font>
      <sz val="8"/>
      <name val="Arial"/>
      <family val="2"/>
    </font>
    <font>
      <sz val="10"/>
      <color rgb="FF000000"/>
      <name val="Tahoma"/>
      <family val="2"/>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
      <patternFill patternType="solid">
        <fgColor rgb="FFD9D9D9"/>
        <bgColor rgb="FF000000"/>
      </patternFill>
    </fill>
    <fill>
      <patternFill patternType="solid">
        <fgColor theme="0"/>
        <bgColor rgb="FF000000"/>
      </patternFill>
    </fill>
  </fills>
  <borders count="28">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style="hair">
        <color theme="1"/>
      </left>
      <right/>
      <top/>
      <bottom/>
      <diagonal/>
    </border>
    <border>
      <left/>
      <right style="hair">
        <color theme="1"/>
      </right>
      <top/>
      <bottom/>
      <diagonal/>
    </border>
    <border>
      <left style="thin">
        <color theme="1"/>
      </left>
      <right/>
      <top/>
      <bottom/>
      <diagonal/>
    </border>
    <border>
      <left style="hair">
        <color theme="1"/>
      </left>
      <right/>
      <top/>
      <bottom style="hair">
        <color theme="1"/>
      </bottom>
      <diagonal/>
    </border>
    <border>
      <left style="thin">
        <color indexed="64"/>
      </left>
      <right style="hair">
        <color theme="1"/>
      </right>
      <top/>
      <bottom/>
      <diagonal/>
    </border>
    <border>
      <left/>
      <right style="thin">
        <color theme="1"/>
      </right>
      <top/>
      <bottom/>
      <diagonal/>
    </border>
    <border>
      <left/>
      <right style="hair">
        <color indexed="64"/>
      </right>
      <top/>
      <bottom style="hair">
        <color indexed="64"/>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452">
    <xf numFmtId="0" fontId="0" fillId="0" borderId="0" xfId="0"/>
    <xf numFmtId="0" fontId="1" fillId="0" borderId="0" xfId="0" applyFont="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Alignment="1">
      <alignment horizontal="right"/>
    </xf>
    <xf numFmtId="1" fontId="1" fillId="0" borderId="0" xfId="0" applyNumberFormat="1" applyFont="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2" fontId="1" fillId="0" borderId="0" xfId="0" applyNumberFormat="1" applyFont="1"/>
    <xf numFmtId="0" fontId="4" fillId="0" borderId="0" xfId="0" applyFont="1" applyAlignment="1">
      <alignment horizontal="center"/>
    </xf>
    <xf numFmtId="164" fontId="1" fillId="0" borderId="0" xfId="0" applyNumberFormat="1" applyFont="1" applyAlignment="1">
      <alignment horizontal="center"/>
    </xf>
    <xf numFmtId="2" fontId="1" fillId="0" borderId="2" xfId="0" applyNumberFormat="1" applyFont="1" applyBorder="1" applyAlignment="1">
      <alignment horizontal="center"/>
    </xf>
    <xf numFmtId="1" fontId="1" fillId="0" borderId="0" xfId="0" applyNumberFormat="1" applyFont="1" applyAlignment="1">
      <alignment horizontal="center"/>
    </xf>
    <xf numFmtId="1" fontId="1" fillId="0" borderId="2" xfId="0" applyNumberFormat="1" applyFont="1" applyBorder="1" applyAlignment="1">
      <alignment horizontal="center"/>
    </xf>
    <xf numFmtId="0" fontId="9" fillId="0" borderId="0" xfId="0" applyFont="1" applyAlignment="1">
      <alignment horizontal="left"/>
    </xf>
    <xf numFmtId="0" fontId="1" fillId="0" borderId="3" xfId="0" applyFont="1" applyBorder="1" applyAlignment="1">
      <alignment horizontal="center"/>
    </xf>
    <xf numFmtId="2" fontId="13" fillId="0" borderId="0" xfId="0" applyNumberFormat="1" applyFont="1" applyAlignment="1">
      <alignment horizontal="right"/>
    </xf>
    <xf numFmtId="2" fontId="13" fillId="0" borderId="2" xfId="0" applyNumberFormat="1" applyFont="1" applyBorder="1" applyAlignment="1">
      <alignment horizontal="right"/>
    </xf>
    <xf numFmtId="164" fontId="8" fillId="0" borderId="0" xfId="0" applyNumberFormat="1" applyFont="1" applyAlignment="1">
      <alignment horizontal="center"/>
    </xf>
    <xf numFmtId="0" fontId="1" fillId="0" borderId="2" xfId="0" applyFont="1" applyBorder="1" applyAlignment="1">
      <alignment horizontal="right"/>
    </xf>
    <xf numFmtId="2" fontId="1" fillId="0" borderId="2" xfId="0" applyNumberFormat="1" applyFont="1" applyBorder="1"/>
    <xf numFmtId="0" fontId="1" fillId="0" borderId="0" xfId="0" applyFont="1" applyAlignment="1">
      <alignment horizontal="left"/>
    </xf>
    <xf numFmtId="2" fontId="14" fillId="0" borderId="0" xfId="0" applyNumberFormat="1" applyFont="1" applyAlignment="1">
      <alignment horizontal="right"/>
    </xf>
    <xf numFmtId="0" fontId="8" fillId="0" borderId="0" xfId="0" applyFont="1"/>
    <xf numFmtId="0" fontId="8" fillId="0" borderId="0" xfId="0" applyFont="1" applyAlignment="1">
      <alignment horizontal="center"/>
    </xf>
    <xf numFmtId="0" fontId="10" fillId="0" borderId="0" xfId="0" applyFont="1" applyAlignment="1">
      <alignment horizontal="left"/>
    </xf>
    <xf numFmtId="0" fontId="10" fillId="0" borderId="4" xfId="0" applyFont="1" applyBorder="1"/>
    <xf numFmtId="0" fontId="1" fillId="2" borderId="0" xfId="0" applyFont="1" applyFill="1" applyAlignment="1">
      <alignment horizontal="center"/>
    </xf>
    <xf numFmtId="0" fontId="1" fillId="2" borderId="5" xfId="0" applyFont="1" applyFill="1" applyBorder="1" applyAlignment="1">
      <alignment horizontal="right"/>
    </xf>
    <xf numFmtId="0" fontId="1" fillId="2" borderId="0" xfId="0" applyFont="1" applyFill="1" applyAlignment="1">
      <alignment horizontal="right"/>
    </xf>
    <xf numFmtId="0" fontId="8" fillId="2" borderId="1" xfId="0" applyFont="1" applyFill="1" applyBorder="1" applyAlignment="1">
      <alignment horizontal="right"/>
    </xf>
    <xf numFmtId="164" fontId="1" fillId="2" borderId="0" xfId="0" applyNumberFormat="1" applyFont="1" applyFill="1" applyAlignment="1">
      <alignment horizontal="right"/>
    </xf>
    <xf numFmtId="164" fontId="8" fillId="2" borderId="0" xfId="0" applyNumberFormat="1" applyFont="1" applyFill="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Alignment="1">
      <alignment horizontal="center"/>
    </xf>
    <xf numFmtId="1" fontId="1" fillId="2" borderId="0" xfId="0" applyNumberFormat="1" applyFont="1" applyFill="1" applyAlignment="1">
      <alignment horizontal="right"/>
    </xf>
    <xf numFmtId="14" fontId="1" fillId="2" borderId="0" xfId="0" applyNumberFormat="1" applyFont="1" applyFill="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2" fontId="1" fillId="2" borderId="0" xfId="0" applyNumberFormat="1" applyFont="1" applyFill="1" applyAlignment="1">
      <alignment horizontal="center"/>
    </xf>
    <xf numFmtId="1" fontId="1" fillId="2" borderId="0" xfId="0" applyNumberFormat="1" applyFont="1" applyFill="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 fontId="15" fillId="2" borderId="0" xfId="0" applyNumberFormat="1" applyFont="1" applyFill="1" applyAlignment="1">
      <alignment horizontal="right"/>
    </xf>
    <xf numFmtId="1" fontId="1" fillId="2" borderId="0" xfId="0" applyNumberFormat="1" applyFont="1" applyFill="1"/>
    <xf numFmtId="1" fontId="1" fillId="2" borderId="5" xfId="0" applyNumberFormat="1" applyFont="1" applyFill="1" applyBorder="1"/>
    <xf numFmtId="1" fontId="8" fillId="2" borderId="1" xfId="0" applyNumberFormat="1" applyFont="1" applyFill="1" applyBorder="1"/>
    <xf numFmtId="0" fontId="1" fillId="2" borderId="7" xfId="0" applyFont="1" applyFill="1" applyBorder="1"/>
    <xf numFmtId="0" fontId="1" fillId="2" borderId="0" xfId="0" applyFont="1" applyFill="1"/>
    <xf numFmtId="0" fontId="1" fillId="2" borderId="3" xfId="0" applyFont="1" applyFill="1" applyBorder="1"/>
    <xf numFmtId="2" fontId="1" fillId="2" borderId="0" xfId="0" applyNumberFormat="1" applyFont="1" applyFill="1"/>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Alignment="1">
      <alignment horizontal="center"/>
    </xf>
    <xf numFmtId="1" fontId="1" fillId="2" borderId="6" xfId="0" applyNumberFormat="1" applyFont="1" applyFill="1" applyBorder="1" applyAlignment="1">
      <alignment horizontal="center"/>
    </xf>
    <xf numFmtId="0" fontId="17" fillId="2" borderId="0" xfId="0" applyFont="1" applyFill="1" applyAlignment="1">
      <alignment horizontal="center"/>
    </xf>
    <xf numFmtId="1" fontId="8" fillId="2" borderId="0" xfId="0" applyNumberFormat="1" applyFont="1" applyFill="1" applyAlignment="1">
      <alignment horizontal="center"/>
    </xf>
    <xf numFmtId="0" fontId="8" fillId="2" borderId="0" xfId="0" applyFont="1" applyFill="1" applyAlignment="1">
      <alignment horizontal="center"/>
    </xf>
    <xf numFmtId="0" fontId="8" fillId="2" borderId="1" xfId="0" applyFont="1" applyFill="1" applyBorder="1" applyAlignment="1">
      <alignment horizontal="center"/>
    </xf>
    <xf numFmtId="0" fontId="1" fillId="2" borderId="2" xfId="0"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0" fontId="15" fillId="2" borderId="0" xfId="0" applyFont="1" applyFill="1" applyAlignment="1">
      <alignment horizontal="center"/>
    </xf>
    <xf numFmtId="0" fontId="1" fillId="2" borderId="4" xfId="0" applyFont="1" applyFill="1" applyBorder="1" applyAlignment="1">
      <alignment horizontal="center"/>
    </xf>
    <xf numFmtId="0" fontId="8" fillId="2" borderId="7" xfId="0" applyFont="1" applyFill="1" applyBorder="1"/>
    <xf numFmtId="1" fontId="16" fillId="2" borderId="0" xfId="0" applyNumberFormat="1" applyFont="1" applyFill="1" applyAlignment="1">
      <alignment horizontal="center"/>
    </xf>
    <xf numFmtId="164" fontId="1" fillId="2" borderId="3" xfId="0" applyNumberFormat="1" applyFont="1" applyFill="1" applyBorder="1" applyAlignment="1">
      <alignment horizontal="center"/>
    </xf>
    <xf numFmtId="0" fontId="8" fillId="2" borderId="7" xfId="0" applyFont="1" applyFill="1" applyBorder="1" applyAlignment="1">
      <alignment horizontal="left"/>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Alignment="1">
      <alignment horizontal="right"/>
    </xf>
    <xf numFmtId="0" fontId="1" fillId="2" borderId="14" xfId="0"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0" fontId="1" fillId="2" borderId="2" xfId="0" applyFont="1" applyFill="1" applyBorder="1" applyAlignment="1">
      <alignment horizontal="left"/>
    </xf>
    <xf numFmtId="0" fontId="8" fillId="2" borderId="15" xfId="0" applyFont="1" applyFill="1" applyBorder="1"/>
    <xf numFmtId="0" fontId="8" fillId="0" borderId="0" xfId="0" applyFont="1" applyAlignment="1">
      <alignment horizontal="right"/>
    </xf>
    <xf numFmtId="1" fontId="1" fillId="3" borderId="0" xfId="0" applyNumberFormat="1" applyFont="1" applyFill="1" applyAlignment="1">
      <alignment horizontal="right"/>
    </xf>
    <xf numFmtId="0" fontId="1" fillId="3" borderId="0" xfId="0" applyFont="1" applyFill="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1" fontId="1" fillId="3" borderId="2" xfId="0" applyNumberFormat="1" applyFont="1" applyFill="1" applyBorder="1" applyAlignment="1">
      <alignment horizontal="right"/>
    </xf>
    <xf numFmtId="0" fontId="18" fillId="2" borderId="0" xfId="0" applyFont="1" applyFill="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0" fontId="10" fillId="0" borderId="0" xfId="0" applyFont="1"/>
    <xf numFmtId="1" fontId="17" fillId="4" borderId="0" xfId="0" applyNumberFormat="1" applyFont="1" applyFill="1" applyAlignment="1">
      <alignment horizontal="right"/>
    </xf>
    <xf numFmtId="0" fontId="17" fillId="4" borderId="0" xfId="0" applyFont="1" applyFill="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Alignment="1">
      <alignment horizontal="right"/>
    </xf>
    <xf numFmtId="164" fontId="14" fillId="4" borderId="0" xfId="0" applyNumberFormat="1" applyFont="1" applyFill="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Alignment="1">
      <alignment horizontal="center"/>
    </xf>
    <xf numFmtId="0" fontId="17" fillId="4" borderId="7" xfId="0" applyFont="1" applyFill="1" applyBorder="1" applyAlignment="1">
      <alignment horizontal="center"/>
    </xf>
    <xf numFmtId="0" fontId="17" fillId="4" borderId="0" xfId="0" applyFont="1" applyFill="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alignment horizontal="center"/>
    </xf>
    <xf numFmtId="1" fontId="17" fillId="4" borderId="0" xfId="0" applyNumberFormat="1" applyFont="1" applyFill="1" applyAlignment="1">
      <alignment horizontal="center"/>
    </xf>
    <xf numFmtId="14" fontId="17" fillId="4" borderId="0" xfId="0" applyNumberFormat="1" applyFont="1" applyFill="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0" fontId="17" fillId="4" borderId="0" xfId="0" applyFont="1" applyFill="1" applyAlignment="1">
      <alignment horizontal="right"/>
    </xf>
    <xf numFmtId="0" fontId="14" fillId="4" borderId="1" xfId="0" applyFont="1" applyFill="1" applyBorder="1" applyAlignment="1">
      <alignment horizontal="center"/>
    </xf>
    <xf numFmtId="2" fontId="17" fillId="4" borderId="0" xfId="0" applyNumberFormat="1" applyFont="1" applyFill="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0" fontId="16" fillId="2" borderId="0" xfId="0" applyFont="1" applyFill="1" applyAlignment="1">
      <alignment horizontal="center"/>
    </xf>
    <xf numFmtId="2" fontId="1" fillId="2" borderId="1" xfId="0" applyNumberFormat="1" applyFont="1" applyFill="1" applyBorder="1" applyAlignment="1">
      <alignment horizontal="center"/>
    </xf>
    <xf numFmtId="2" fontId="1" fillId="2" borderId="1" xfId="0" applyNumberFormat="1" applyFont="1" applyFill="1" applyBorder="1"/>
    <xf numFmtId="0" fontId="1" fillId="2" borderId="1" xfId="0" applyFont="1" applyFill="1" applyBorder="1"/>
    <xf numFmtId="0" fontId="1" fillId="3" borderId="0" xfId="0" applyFont="1" applyFill="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Alignment="1">
      <alignment horizontal="right"/>
    </xf>
    <xf numFmtId="164" fontId="8" fillId="3" borderId="0" xfId="0" applyNumberFormat="1" applyFont="1" applyFill="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0" fontId="17" fillId="3" borderId="0" xfId="0" applyFont="1" applyFill="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Alignment="1">
      <alignment horizontal="right"/>
    </xf>
    <xf numFmtId="2" fontId="1" fillId="5" borderId="0" xfId="0" applyNumberFormat="1" applyFont="1" applyFill="1"/>
    <xf numFmtId="2" fontId="4" fillId="5" borderId="0" xfId="0" applyNumberFormat="1" applyFont="1" applyFill="1"/>
    <xf numFmtId="0" fontId="1" fillId="5" borderId="0" xfId="0" applyFont="1" applyFill="1" applyAlignment="1">
      <alignment horizontal="right"/>
    </xf>
    <xf numFmtId="2" fontId="1" fillId="5" borderId="0" xfId="0" applyNumberFormat="1" applyFont="1" applyFill="1" applyAlignment="1">
      <alignment horizontal="left"/>
    </xf>
    <xf numFmtId="1" fontId="4" fillId="5" borderId="0" xfId="0" applyNumberFormat="1" applyFont="1" applyFill="1" applyAlignment="1">
      <alignment horizontal="right"/>
    </xf>
    <xf numFmtId="2" fontId="4" fillId="5" borderId="0" xfId="0" applyNumberFormat="1" applyFont="1" applyFill="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1" xfId="0" applyNumberFormat="1" applyFont="1" applyFill="1" applyBorder="1" applyAlignment="1">
      <alignment horizontal="center"/>
    </xf>
    <xf numFmtId="1" fontId="15" fillId="3" borderId="0" xfId="0" applyNumberFormat="1" applyFont="1" applyFill="1" applyAlignment="1">
      <alignment horizontal="right"/>
    </xf>
    <xf numFmtId="1" fontId="1" fillId="3" borderId="6" xfId="0" applyNumberFormat="1" applyFont="1" applyFill="1" applyBorder="1" applyAlignment="1">
      <alignment horizontal="center"/>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Font="1" applyFill="1"/>
    <xf numFmtId="0" fontId="1" fillId="3" borderId="7" xfId="0" applyFont="1" applyFill="1" applyBorder="1"/>
    <xf numFmtId="0" fontId="1" fillId="3" borderId="3" xfId="0" applyFont="1" applyFill="1" applyBorder="1"/>
    <xf numFmtId="0" fontId="1" fillId="3" borderId="1" xfId="0" applyFont="1" applyFill="1" applyBorder="1"/>
    <xf numFmtId="0" fontId="1" fillId="3" borderId="5" xfId="0" applyFont="1" applyFill="1" applyBorder="1" applyAlignment="1">
      <alignment horizontal="center"/>
    </xf>
    <xf numFmtId="1" fontId="8" fillId="3" borderId="0" xfId="0" applyNumberFormat="1" applyFont="1" applyFill="1" applyAlignment="1">
      <alignment horizontal="center"/>
    </xf>
    <xf numFmtId="164" fontId="8" fillId="3" borderId="0" xfId="0" applyNumberFormat="1" applyFont="1" applyFill="1" applyAlignment="1">
      <alignment horizontal="center"/>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0" fontId="8" fillId="3" borderId="0" xfId="0" applyFont="1" applyFill="1" applyAlignment="1">
      <alignment horizontal="center"/>
    </xf>
    <xf numFmtId="0" fontId="8" fillId="3" borderId="1" xfId="0" applyFont="1" applyFill="1" applyBorder="1" applyAlignment="1">
      <alignment horizontal="center"/>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0" fontId="15" fillId="3" borderId="0" xfId="0" applyFont="1" applyFill="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0" fontId="18" fillId="3" borderId="0" xfId="0" applyFont="1" applyFill="1" applyAlignment="1">
      <alignment horizontal="center"/>
    </xf>
    <xf numFmtId="0" fontId="1" fillId="3" borderId="0" xfId="0" applyFont="1" applyFill="1" applyAlignment="1">
      <alignment horizontal="left"/>
    </xf>
    <xf numFmtId="2" fontId="1" fillId="3" borderId="0" xfId="0" applyNumberFormat="1" applyFont="1" applyFill="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2" fontId="14" fillId="0" borderId="0" xfId="0" applyNumberFormat="1" applyFont="1"/>
    <xf numFmtId="0" fontId="1" fillId="0" borderId="0" xfId="0" applyFont="1"/>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9" fillId="3" borderId="1" xfId="0" applyFont="1" applyFill="1" applyBorder="1" applyAlignment="1">
      <alignment horizontal="center"/>
    </xf>
    <xf numFmtId="14" fontId="1" fillId="2" borderId="0" xfId="0" applyNumberFormat="1" applyFont="1" applyFill="1" applyAlignment="1">
      <alignment horizontal="left"/>
    </xf>
    <xf numFmtId="1" fontId="15" fillId="2" borderId="0" xfId="0" applyNumberFormat="1" applyFont="1" applyFill="1"/>
    <xf numFmtId="14" fontId="15" fillId="0" borderId="0" xfId="0" applyNumberFormat="1" applyFont="1" applyAlignment="1">
      <alignment horizontal="center"/>
    </xf>
    <xf numFmtId="0" fontId="20" fillId="0" borderId="0" xfId="0" applyFont="1" applyAlignment="1">
      <alignment horizontal="center"/>
    </xf>
    <xf numFmtId="0" fontId="8" fillId="2" borderId="0" xfId="0" applyFont="1" applyFill="1" applyAlignment="1">
      <alignment horizontal="left" vertical="center"/>
    </xf>
    <xf numFmtId="0" fontId="1" fillId="6" borderId="0" xfId="0" applyFont="1" applyFill="1" applyAlignment="1">
      <alignment horizontal="center"/>
    </xf>
    <xf numFmtId="165" fontId="16" fillId="2" borderId="0" xfId="0" applyNumberFormat="1" applyFont="1" applyFill="1" applyAlignment="1">
      <alignment horizontal="center"/>
    </xf>
    <xf numFmtId="165" fontId="1" fillId="3" borderId="0" xfId="0" applyNumberFormat="1" applyFont="1" applyFill="1" applyAlignment="1">
      <alignment horizontal="right"/>
    </xf>
    <xf numFmtId="165" fontId="1" fillId="2" borderId="0" xfId="0" applyNumberFormat="1" applyFont="1" applyFill="1" applyAlignment="1">
      <alignment horizontal="right"/>
    </xf>
    <xf numFmtId="165" fontId="15" fillId="2" borderId="0" xfId="0" applyNumberFormat="1" applyFont="1" applyFill="1" applyAlignment="1">
      <alignment horizontal="right"/>
    </xf>
    <xf numFmtId="165" fontId="1" fillId="3" borderId="2" xfId="0" applyNumberFormat="1" applyFont="1" applyFill="1" applyBorder="1" applyAlignment="1">
      <alignment horizontal="right"/>
    </xf>
    <xf numFmtId="165" fontId="1" fillId="2" borderId="0" xfId="0" applyNumberFormat="1" applyFont="1" applyFill="1"/>
    <xf numFmtId="165" fontId="1" fillId="3" borderId="0" xfId="0" applyNumberFormat="1" applyFont="1" applyFill="1" applyAlignment="1">
      <alignment horizontal="center"/>
    </xf>
    <xf numFmtId="165" fontId="15" fillId="3" borderId="0" xfId="0" applyNumberFormat="1" applyFont="1" applyFill="1" applyAlignment="1">
      <alignment horizontal="right"/>
    </xf>
    <xf numFmtId="165" fontId="1" fillId="3" borderId="6" xfId="0" applyNumberFormat="1" applyFont="1" applyFill="1" applyBorder="1" applyAlignment="1">
      <alignment horizontal="center"/>
    </xf>
    <xf numFmtId="165" fontId="1" fillId="2" borderId="6" xfId="0" applyNumberFormat="1" applyFont="1" applyFill="1" applyBorder="1" applyAlignment="1">
      <alignment horizontal="center"/>
    </xf>
    <xf numFmtId="165" fontId="1" fillId="3" borderId="13" xfId="0" applyNumberFormat="1" applyFont="1" applyFill="1" applyBorder="1" applyAlignment="1">
      <alignment horizontal="center"/>
    </xf>
    <xf numFmtId="165" fontId="1" fillId="3" borderId="5" xfId="0" applyNumberFormat="1" applyFont="1" applyFill="1" applyBorder="1" applyAlignment="1">
      <alignment horizontal="center"/>
    </xf>
    <xf numFmtId="165" fontId="17" fillId="4" borderId="0" xfId="0" applyNumberFormat="1" applyFont="1" applyFill="1" applyAlignment="1">
      <alignment horizontal="right"/>
    </xf>
    <xf numFmtId="165" fontId="17" fillId="2" borderId="0" xfId="0" applyNumberFormat="1" applyFont="1" applyFill="1" applyAlignment="1">
      <alignment horizontal="right"/>
    </xf>
    <xf numFmtId="165" fontId="17" fillId="3" borderId="0" xfId="0" applyNumberFormat="1" applyFont="1" applyFill="1" applyAlignment="1">
      <alignment horizontal="right"/>
    </xf>
    <xf numFmtId="165" fontId="1" fillId="2" borderId="11" xfId="0" applyNumberFormat="1" applyFont="1" applyFill="1" applyBorder="1" applyAlignment="1">
      <alignment horizontal="center"/>
    </xf>
    <xf numFmtId="165" fontId="1" fillId="3" borderId="2" xfId="0" applyNumberFormat="1" applyFont="1" applyFill="1" applyBorder="1" applyAlignment="1">
      <alignment horizontal="center"/>
    </xf>
    <xf numFmtId="165" fontId="1" fillId="3" borderId="0" xfId="0" applyNumberFormat="1" applyFont="1" applyFill="1"/>
    <xf numFmtId="165" fontId="1" fillId="2" borderId="0" xfId="0" applyNumberFormat="1" applyFont="1" applyFill="1" applyAlignment="1">
      <alignment horizontal="center"/>
    </xf>
    <xf numFmtId="165" fontId="17" fillId="4" borderId="0" xfId="0" applyNumberFormat="1" applyFont="1" applyFill="1" applyAlignment="1">
      <alignment horizontal="center"/>
    </xf>
    <xf numFmtId="165" fontId="17" fillId="4" borderId="11" xfId="0" applyNumberFormat="1" applyFont="1" applyFill="1" applyBorder="1" applyAlignment="1">
      <alignment horizontal="center"/>
    </xf>
    <xf numFmtId="165" fontId="1" fillId="3" borderId="11" xfId="0" applyNumberFormat="1" applyFont="1" applyFill="1" applyBorder="1" applyAlignment="1">
      <alignment horizontal="center"/>
    </xf>
    <xf numFmtId="165" fontId="1" fillId="3" borderId="19" xfId="0" applyNumberFormat="1" applyFont="1" applyFill="1" applyBorder="1" applyAlignment="1">
      <alignment horizontal="center"/>
    </xf>
    <xf numFmtId="165" fontId="17" fillId="2" borderId="0" xfId="0" applyNumberFormat="1" applyFont="1" applyFill="1" applyAlignment="1">
      <alignment horizontal="center"/>
    </xf>
    <xf numFmtId="165" fontId="17" fillId="3" borderId="0" xfId="0" applyNumberFormat="1" applyFont="1" applyFill="1" applyAlignment="1">
      <alignment horizontal="center"/>
    </xf>
    <xf numFmtId="165" fontId="1" fillId="2" borderId="2" xfId="0" applyNumberFormat="1" applyFont="1" applyFill="1" applyBorder="1" applyAlignment="1">
      <alignment horizontal="center"/>
    </xf>
    <xf numFmtId="165" fontId="15" fillId="2" borderId="0" xfId="0" applyNumberFormat="1" applyFont="1" applyFill="1" applyAlignment="1">
      <alignment horizontal="center"/>
    </xf>
    <xf numFmtId="165" fontId="1" fillId="2" borderId="13" xfId="0" applyNumberFormat="1" applyFont="1" applyFill="1" applyBorder="1" applyAlignment="1">
      <alignment horizontal="center"/>
    </xf>
    <xf numFmtId="165" fontId="15" fillId="3" borderId="0" xfId="0" applyNumberFormat="1" applyFont="1" applyFill="1" applyAlignment="1">
      <alignment horizontal="center"/>
    </xf>
    <xf numFmtId="165" fontId="16" fillId="3" borderId="0" xfId="0" applyNumberFormat="1" applyFont="1" applyFill="1" applyAlignment="1">
      <alignment horizontal="center"/>
    </xf>
    <xf numFmtId="165" fontId="18" fillId="2" borderId="0" xfId="0" applyNumberFormat="1" applyFont="1" applyFill="1" applyAlignment="1">
      <alignment horizontal="center"/>
    </xf>
    <xf numFmtId="165" fontId="17" fillId="4" borderId="6" xfId="0" applyNumberFormat="1" applyFont="1" applyFill="1" applyBorder="1" applyAlignment="1">
      <alignment horizontal="center"/>
    </xf>
    <xf numFmtId="165" fontId="15" fillId="2" borderId="2" xfId="0" applyNumberFormat="1" applyFont="1" applyFill="1" applyBorder="1" applyAlignment="1">
      <alignment horizontal="center"/>
    </xf>
    <xf numFmtId="165" fontId="18" fillId="3" borderId="0" xfId="0" applyNumberFormat="1" applyFont="1" applyFill="1" applyAlignment="1">
      <alignment horizontal="center"/>
    </xf>
    <xf numFmtId="165" fontId="15" fillId="0" borderId="0" xfId="0" applyNumberFormat="1" applyFont="1" applyAlignment="1">
      <alignment horizontal="center"/>
    </xf>
    <xf numFmtId="165" fontId="1" fillId="2" borderId="4" xfId="0" applyNumberFormat="1" applyFont="1" applyFill="1" applyBorder="1" applyAlignment="1">
      <alignment horizontal="center"/>
    </xf>
    <xf numFmtId="165" fontId="1" fillId="2" borderId="16" xfId="0" applyNumberFormat="1" applyFont="1" applyFill="1" applyBorder="1" applyAlignment="1">
      <alignment horizontal="center"/>
    </xf>
    <xf numFmtId="165" fontId="1" fillId="2" borderId="0" xfId="0" applyNumberFormat="1" applyFont="1" applyFill="1" applyAlignment="1">
      <alignment horizontal="center" vertical="center"/>
    </xf>
    <xf numFmtId="165" fontId="17" fillId="2" borderId="0" xfId="0" applyNumberFormat="1" applyFont="1" applyFill="1" applyAlignment="1">
      <alignment horizontal="center" vertical="center"/>
    </xf>
    <xf numFmtId="165" fontId="16" fillId="2" borderId="0" xfId="0" applyNumberFormat="1" applyFont="1" applyFill="1" applyAlignment="1">
      <alignment horizontal="center" vertical="center"/>
    </xf>
    <xf numFmtId="165" fontId="1" fillId="2" borderId="0" xfId="0" quotePrefix="1" applyNumberFormat="1" applyFont="1" applyFill="1" applyAlignment="1">
      <alignment horizontal="center"/>
    </xf>
    <xf numFmtId="165" fontId="15" fillId="2" borderId="5" xfId="0" applyNumberFormat="1" applyFont="1" applyFill="1" applyBorder="1" applyAlignment="1">
      <alignment horizontal="center"/>
    </xf>
    <xf numFmtId="1" fontId="1" fillId="2" borderId="1" xfId="0" applyNumberFormat="1" applyFont="1" applyFill="1" applyBorder="1"/>
    <xf numFmtId="1" fontId="1" fillId="3" borderId="1" xfId="0" applyNumberFormat="1" applyFont="1" applyFill="1" applyBorder="1" applyAlignment="1">
      <alignment horizontal="right"/>
    </xf>
    <xf numFmtId="165" fontId="1" fillId="2" borderId="1" xfId="0" applyNumberFormat="1" applyFont="1" applyFill="1" applyBorder="1" applyAlignment="1">
      <alignment horizontal="center"/>
    </xf>
    <xf numFmtId="2" fontId="1" fillId="3" borderId="7" xfId="0" applyNumberFormat="1" applyFont="1" applyFill="1" applyBorder="1" applyAlignment="1">
      <alignment horizontal="center"/>
    </xf>
    <xf numFmtId="2" fontId="1" fillId="3" borderId="23" xfId="0" applyNumberFormat="1" applyFont="1" applyFill="1" applyBorder="1" applyAlignment="1">
      <alignment horizontal="center"/>
    </xf>
    <xf numFmtId="0" fontId="8" fillId="2" borderId="21" xfId="0" applyFont="1" applyFill="1" applyBorder="1" applyAlignment="1">
      <alignment horizontal="left" vertical="center"/>
    </xf>
    <xf numFmtId="0" fontId="1" fillId="3" borderId="21" xfId="0" applyFont="1" applyFill="1" applyBorder="1" applyAlignment="1">
      <alignment horizontal="center" vertical="center"/>
    </xf>
    <xf numFmtId="0" fontId="1" fillId="3" borderId="22" xfId="0" applyFont="1" applyFill="1" applyBorder="1" applyAlignment="1">
      <alignment horizontal="center"/>
    </xf>
    <xf numFmtId="0" fontId="1" fillId="2" borderId="21" xfId="0" applyFont="1" applyFill="1" applyBorder="1" applyAlignment="1">
      <alignment horizontal="center"/>
    </xf>
    <xf numFmtId="0" fontId="1" fillId="3" borderId="21" xfId="0" applyFont="1" applyFill="1" applyBorder="1" applyAlignment="1">
      <alignment horizontal="center"/>
    </xf>
    <xf numFmtId="0" fontId="1" fillId="2" borderId="22" xfId="0" applyFont="1" applyFill="1" applyBorder="1" applyAlignment="1">
      <alignment horizontal="center"/>
    </xf>
    <xf numFmtId="0" fontId="1" fillId="3" borderId="24" xfId="0" applyFont="1" applyFill="1" applyBorder="1" applyAlignment="1">
      <alignment horizontal="center"/>
    </xf>
    <xf numFmtId="164" fontId="1" fillId="3" borderId="1" xfId="0" applyNumberFormat="1" applyFont="1" applyFill="1" applyBorder="1" applyAlignment="1">
      <alignment horizontal="center"/>
    </xf>
    <xf numFmtId="164" fontId="1" fillId="2" borderId="1" xfId="0" applyNumberFormat="1" applyFont="1" applyFill="1" applyBorder="1" applyAlignment="1">
      <alignment horizontal="center"/>
    </xf>
    <xf numFmtId="0" fontId="1" fillId="2" borderId="25" xfId="0" applyFont="1" applyFill="1" applyBorder="1" applyAlignment="1">
      <alignment horizontal="center"/>
    </xf>
    <xf numFmtId="164" fontId="1" fillId="2" borderId="22" xfId="0" applyNumberFormat="1" applyFont="1" applyFill="1" applyBorder="1" applyAlignment="1">
      <alignment horizontal="center"/>
    </xf>
    <xf numFmtId="164" fontId="1" fillId="3" borderId="22" xfId="0" applyNumberFormat="1" applyFont="1" applyFill="1" applyBorder="1" applyAlignment="1">
      <alignment horizontal="center"/>
    </xf>
    <xf numFmtId="0" fontId="1" fillId="2" borderId="26" xfId="0" applyFont="1" applyFill="1" applyBorder="1" applyAlignment="1">
      <alignment horizontal="center"/>
    </xf>
    <xf numFmtId="0" fontId="1" fillId="3" borderId="26" xfId="0" applyFont="1" applyFill="1" applyBorder="1" applyAlignment="1">
      <alignment horizontal="center"/>
    </xf>
    <xf numFmtId="0" fontId="16" fillId="3" borderId="1" xfId="0" applyFont="1" applyFill="1" applyBorder="1" applyAlignment="1">
      <alignment horizontal="center"/>
    </xf>
    <xf numFmtId="165" fontId="16" fillId="0" borderId="0" xfId="0" applyNumberFormat="1" applyFont="1" applyAlignment="1">
      <alignment horizontal="center"/>
    </xf>
    <xf numFmtId="165" fontId="1" fillId="0" borderId="0" xfId="0" applyNumberFormat="1" applyFont="1" applyAlignment="1">
      <alignment horizontal="center"/>
    </xf>
    <xf numFmtId="165" fontId="16" fillId="3" borderId="11" xfId="0" applyNumberFormat="1" applyFont="1" applyFill="1" applyBorder="1" applyAlignment="1">
      <alignment horizontal="center"/>
    </xf>
    <xf numFmtId="0" fontId="16" fillId="2" borderId="1" xfId="0" applyFont="1" applyFill="1" applyBorder="1" applyAlignment="1">
      <alignment horizontal="center"/>
    </xf>
    <xf numFmtId="0" fontId="15" fillId="2" borderId="1" xfId="0" applyFont="1" applyFill="1" applyBorder="1" applyAlignment="1">
      <alignment horizontal="center"/>
    </xf>
    <xf numFmtId="165" fontId="16" fillId="2" borderId="3" xfId="0" applyNumberFormat="1" applyFont="1" applyFill="1" applyBorder="1" applyAlignment="1">
      <alignment horizontal="center"/>
    </xf>
    <xf numFmtId="165" fontId="16" fillId="2" borderId="11" xfId="0" applyNumberFormat="1" applyFont="1" applyFill="1" applyBorder="1" applyAlignment="1">
      <alignment horizontal="center"/>
    </xf>
    <xf numFmtId="0" fontId="1" fillId="3" borderId="27" xfId="0" applyFont="1" applyFill="1" applyBorder="1" applyAlignment="1">
      <alignment horizontal="center"/>
    </xf>
    <xf numFmtId="49" fontId="1" fillId="3" borderId="0" xfId="0" applyNumberFormat="1" applyFont="1" applyFill="1" applyAlignment="1">
      <alignment horizontal="center"/>
    </xf>
    <xf numFmtId="0" fontId="1" fillId="6" borderId="3" xfId="0" applyFont="1" applyFill="1" applyBorder="1" applyAlignment="1">
      <alignment horizontal="center"/>
    </xf>
    <xf numFmtId="0" fontId="1" fillId="7" borderId="3" xfId="0" applyFont="1" applyFill="1" applyBorder="1" applyAlignment="1">
      <alignment horizontal="center"/>
    </xf>
    <xf numFmtId="16" fontId="1" fillId="3" borderId="3" xfId="0" applyNumberFormat="1" applyFont="1" applyFill="1" applyBorder="1" applyAlignment="1">
      <alignment horizontal="center"/>
    </xf>
    <xf numFmtId="165" fontId="1" fillId="3" borderId="1" xfId="0" applyNumberFormat="1" applyFont="1" applyFill="1" applyBorder="1" applyAlignment="1">
      <alignment horizontal="center"/>
    </xf>
    <xf numFmtId="165" fontId="16" fillId="3" borderId="3" xfId="0" applyNumberFormat="1" applyFont="1" applyFill="1" applyBorder="1" applyAlignment="1">
      <alignment horizontal="center"/>
    </xf>
    <xf numFmtId="165" fontId="1" fillId="3" borderId="3" xfId="0" applyNumberFormat="1" applyFont="1" applyFill="1" applyBorder="1" applyAlignment="1">
      <alignment horizontal="center"/>
    </xf>
    <xf numFmtId="165" fontId="1" fillId="2" borderId="3" xfId="0" applyNumberFormat="1" applyFont="1" applyFill="1" applyBorder="1" applyAlignment="1">
      <alignment horizontal="center"/>
    </xf>
    <xf numFmtId="1" fontId="15" fillId="3" borderId="1" xfId="0" applyNumberFormat="1" applyFont="1" applyFill="1" applyBorder="1" applyAlignment="1">
      <alignment horizontal="right"/>
    </xf>
    <xf numFmtId="0" fontId="1" fillId="0" borderId="5" xfId="0" applyFont="1" applyBorder="1" applyAlignment="1">
      <alignment horizontal="center"/>
    </xf>
    <xf numFmtId="0" fontId="8" fillId="0" borderId="1" xfId="0" applyFont="1" applyBorder="1" applyAlignment="1">
      <alignment horizontal="center"/>
    </xf>
    <xf numFmtId="164" fontId="1" fillId="0" borderId="5" xfId="0" applyNumberFormat="1" applyFont="1" applyBorder="1" applyAlignment="1">
      <alignment horizontal="center"/>
    </xf>
    <xf numFmtId="164" fontId="8" fillId="0" borderId="1" xfId="0" applyNumberFormat="1" applyFont="1" applyBorder="1" applyAlignment="1">
      <alignment horizontal="center"/>
    </xf>
    <xf numFmtId="165" fontId="1" fillId="0" borderId="6" xfId="0" applyNumberFormat="1" applyFont="1" applyBorder="1" applyAlignment="1">
      <alignment horizontal="center"/>
    </xf>
    <xf numFmtId="0" fontId="1" fillId="0" borderId="7" xfId="0" applyFont="1" applyBorder="1" applyAlignment="1">
      <alignment horizontal="center"/>
    </xf>
    <xf numFmtId="0" fontId="1" fillId="0" borderId="7" xfId="0" applyFont="1" applyBorder="1" applyAlignment="1">
      <alignment horizontal="left"/>
    </xf>
    <xf numFmtId="14" fontId="17" fillId="0" borderId="0" xfId="0" applyNumberFormat="1" applyFont="1" applyAlignment="1">
      <alignment horizontal="center"/>
    </xf>
    <xf numFmtId="0" fontId="17" fillId="0" borderId="0" xfId="0" applyFont="1" applyAlignment="1">
      <alignment horizontal="center"/>
    </xf>
    <xf numFmtId="16" fontId="1" fillId="0" borderId="0" xfId="0" applyNumberFormat="1" applyFont="1" applyAlignment="1">
      <alignment horizontal="center"/>
    </xf>
    <xf numFmtId="0" fontId="15" fillId="0" borderId="0" xfId="0" applyFont="1" applyAlignment="1">
      <alignment horizontal="center"/>
    </xf>
    <xf numFmtId="14" fontId="1" fillId="0" borderId="0" xfId="0" applyNumberFormat="1" applyFont="1" applyAlignment="1">
      <alignment horizontal="center"/>
    </xf>
    <xf numFmtId="14" fontId="16" fillId="0" borderId="0" xfId="0" applyNumberFormat="1" applyFont="1" applyAlignment="1">
      <alignment horizontal="center"/>
    </xf>
    <xf numFmtId="165" fontId="15" fillId="3" borderId="6" xfId="0" applyNumberFormat="1" applyFont="1" applyFill="1" applyBorder="1" applyAlignment="1">
      <alignment horizontal="center"/>
    </xf>
    <xf numFmtId="0" fontId="1" fillId="0" borderId="6" xfId="0" applyFont="1" applyBorder="1" applyAlignment="1">
      <alignment horizontal="center"/>
    </xf>
    <xf numFmtId="165" fontId="1" fillId="2" borderId="22" xfId="0" applyNumberFormat="1" applyFont="1" applyFill="1" applyBorder="1" applyAlignment="1">
      <alignment horizontal="center"/>
    </xf>
    <xf numFmtId="0" fontId="16" fillId="2" borderId="6" xfId="0" applyFont="1" applyFill="1" applyBorder="1" applyAlignment="1">
      <alignment horizontal="center"/>
    </xf>
    <xf numFmtId="0" fontId="16" fillId="0" borderId="0" xfId="0" applyFont="1" applyAlignment="1">
      <alignment horizontal="center"/>
    </xf>
    <xf numFmtId="0" fontId="19" fillId="0" borderId="0" xfId="0" applyFont="1" applyAlignment="1">
      <alignment horizontal="center"/>
    </xf>
    <xf numFmtId="165" fontId="16" fillId="0" borderId="3" xfId="0" applyNumberFormat="1" applyFont="1" applyBorder="1" applyAlignment="1">
      <alignment horizontal="center"/>
    </xf>
    <xf numFmtId="165" fontId="1" fillId="0" borderId="0" xfId="0" quotePrefix="1" applyNumberFormat="1" applyFont="1" applyAlignment="1">
      <alignment horizontal="center"/>
    </xf>
    <xf numFmtId="164" fontId="1" fillId="0" borderId="0" xfId="0" applyNumberFormat="1" applyFont="1" applyAlignment="1">
      <alignment horizontal="right"/>
    </xf>
    <xf numFmtId="164" fontId="8" fillId="0" borderId="0" xfId="0" applyNumberFormat="1" applyFont="1" applyAlignment="1">
      <alignment horizontal="right"/>
    </xf>
    <xf numFmtId="2" fontId="13" fillId="0" borderId="0" xfId="0" applyNumberFormat="1" applyFont="1" applyAlignment="1">
      <alignment horizontal="right"/>
    </xf>
    <xf numFmtId="2" fontId="1" fillId="0" borderId="0" xfId="0" applyNumberFormat="1" applyFont="1"/>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5" xfId="0" applyFont="1" applyFill="1" applyBorder="1" applyAlignment="1">
      <alignment horizontal="center" vertical="center"/>
    </xf>
    <xf numFmtId="2" fontId="1" fillId="0" borderId="2" xfId="0" applyNumberFormat="1" applyFont="1" applyBorder="1"/>
    <xf numFmtId="2" fontId="13" fillId="0" borderId="2" xfId="0" applyNumberFormat="1" applyFont="1" applyBorder="1" applyAlignment="1">
      <alignment horizontal="right"/>
    </xf>
    <xf numFmtId="2" fontId="1" fillId="0" borderId="4" xfId="0" applyNumberFormat="1" applyFont="1" applyBorder="1"/>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7" fillId="4" borderId="4" xfId="0" applyNumberFormat="1" applyFont="1" applyFill="1" applyBorder="1"/>
    <xf numFmtId="2" fontId="13" fillId="4" borderId="4" xfId="0" applyNumberFormat="1" applyFont="1" applyFill="1" applyBorder="1" applyAlignment="1">
      <alignment horizontal="right"/>
    </xf>
    <xf numFmtId="2" fontId="1" fillId="0" borderId="2" xfId="0" applyNumberFormat="1" applyFont="1" applyBorder="1" applyAlignment="1">
      <alignment horizontal="center"/>
    </xf>
    <xf numFmtId="14" fontId="1" fillId="2" borderId="0" xfId="0" applyNumberFormat="1" applyFont="1" applyFill="1" applyAlignment="1">
      <alignment horizontal="center"/>
    </xf>
    <xf numFmtId="0" fontId="1" fillId="5" borderId="2" xfId="0" applyFont="1" applyFill="1" applyBorder="1" applyAlignment="1">
      <alignment horizontal="center" vertical="center"/>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0" xfId="0" applyFont="1" applyFill="1" applyAlignment="1">
      <alignment horizontal="center" vertical="center"/>
    </xf>
    <xf numFmtId="0" fontId="1" fillId="5" borderId="14"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14" fontId="1" fillId="3" borderId="0" xfId="0" applyNumberFormat="1" applyFont="1" applyFill="1" applyAlignment="1">
      <alignment horizontal="center"/>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Alignment="1">
      <alignment horizontal="center"/>
    </xf>
    <xf numFmtId="14" fontId="1" fillId="3" borderId="2" xfId="0" applyNumberFormat="1" applyFont="1" applyFill="1" applyBorder="1" applyAlignment="1">
      <alignment horizontal="center"/>
    </xf>
    <xf numFmtId="2" fontId="1" fillId="3" borderId="0" xfId="0" applyNumberFormat="1" applyFont="1" applyFill="1" applyAlignment="1">
      <alignment horizontal="center"/>
    </xf>
    <xf numFmtId="2" fontId="1" fillId="2" borderId="0" xfId="0" applyNumberFormat="1" applyFont="1" applyFill="1" applyAlignment="1">
      <alignment horizontal="center"/>
    </xf>
    <xf numFmtId="2" fontId="1" fillId="0" borderId="0" xfId="0" applyNumberFormat="1" applyFont="1" applyAlignment="1">
      <alignment horizontal="right"/>
    </xf>
    <xf numFmtId="0" fontId="1" fillId="3" borderId="0" xfId="0" applyFont="1" applyFill="1" applyAlignment="1">
      <alignment horizontal="center"/>
    </xf>
    <xf numFmtId="0" fontId="1" fillId="2" borderId="0" xfId="0" applyFont="1" applyFill="1" applyAlignment="1">
      <alignment horizontal="center"/>
    </xf>
    <xf numFmtId="2" fontId="14" fillId="4" borderId="4" xfId="0" applyNumberFormat="1" applyFont="1" applyFill="1" applyBorder="1" applyAlignment="1">
      <alignment horizontal="right"/>
    </xf>
    <xf numFmtId="2" fontId="1" fillId="0" borderId="2" xfId="0" applyNumberFormat="1" applyFont="1" applyBorder="1" applyAlignment="1">
      <alignment horizontal="right"/>
    </xf>
    <xf numFmtId="0" fontId="1" fillId="3" borderId="2" xfId="0" applyFont="1" applyFill="1" applyBorder="1" applyAlignment="1">
      <alignment horizontal="center"/>
    </xf>
    <xf numFmtId="0" fontId="1" fillId="0" borderId="0" xfId="0" applyFont="1" applyAlignment="1">
      <alignment horizontal="center"/>
    </xf>
    <xf numFmtId="0" fontId="17" fillId="4" borderId="0" xfId="0" applyFont="1" applyFill="1" applyAlignment="1">
      <alignment horizontal="center"/>
    </xf>
    <xf numFmtId="2" fontId="17" fillId="4" borderId="4" xfId="0" applyNumberFormat="1" applyFont="1" applyFill="1" applyBorder="1" applyAlignment="1">
      <alignment horizontal="right"/>
    </xf>
    <xf numFmtId="14" fontId="1" fillId="2" borderId="2" xfId="0" applyNumberFormat="1"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0" fontId="8" fillId="2" borderId="4" xfId="0" applyFont="1" applyFill="1" applyBorder="1" applyAlignment="1">
      <alignment horizontal="center"/>
    </xf>
    <xf numFmtId="2" fontId="17" fillId="4" borderId="0" xfId="0" applyNumberFormat="1" applyFont="1" applyFill="1"/>
    <xf numFmtId="2" fontId="14" fillId="4" borderId="0" xfId="0" applyNumberFormat="1" applyFont="1" applyFill="1" applyAlignment="1">
      <alignment horizontal="right"/>
    </xf>
    <xf numFmtId="2" fontId="14" fillId="0" borderId="0" xfId="0" applyNumberFormat="1" applyFont="1" applyAlignment="1">
      <alignment horizontal="right"/>
    </xf>
    <xf numFmtId="0" fontId="8" fillId="3" borderId="7" xfId="0" applyFont="1" applyFill="1" applyBorder="1" applyAlignment="1">
      <alignment horizontal="left"/>
    </xf>
    <xf numFmtId="0" fontId="8" fillId="3" borderId="0" xfId="0" applyFont="1" applyFill="1" applyAlignment="1">
      <alignment horizontal="left"/>
    </xf>
    <xf numFmtId="0" fontId="8" fillId="3" borderId="3" xfId="0" applyFont="1" applyFill="1" applyBorder="1" applyAlignment="1">
      <alignment horizontal="left"/>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14" fontId="8" fillId="2" borderId="0" xfId="0" applyNumberFormat="1" applyFont="1" applyFill="1" applyAlignment="1">
      <alignment horizontal="center" vertical="center"/>
    </xf>
    <xf numFmtId="0" fontId="13" fillId="0" borderId="0" xfId="0" applyFont="1" applyAlignment="1">
      <alignment horizontal="right"/>
    </xf>
    <xf numFmtId="0" fontId="13" fillId="0" borderId="2" xfId="0" applyFont="1" applyBorder="1" applyAlignment="1">
      <alignment horizontal="right"/>
    </xf>
    <xf numFmtId="0" fontId="14" fillId="4" borderId="4" xfId="0" applyFont="1" applyFill="1" applyBorder="1" applyAlignment="1">
      <alignment horizontal="right"/>
    </xf>
    <xf numFmtId="16" fontId="1" fillId="2" borderId="0" xfId="0" applyNumberFormat="1" applyFont="1" applyFill="1" applyAlignment="1">
      <alignment horizontal="center"/>
    </xf>
    <xf numFmtId="2" fontId="15" fillId="0" borderId="0" xfId="0" applyNumberFormat="1" applyFont="1" applyAlignment="1">
      <alignment horizontal="right"/>
    </xf>
    <xf numFmtId="0" fontId="8" fillId="3" borderId="0" xfId="0" applyFont="1" applyFill="1" applyAlignment="1">
      <alignment horizontal="center"/>
    </xf>
    <xf numFmtId="0" fontId="1" fillId="2" borderId="2" xfId="0" applyFont="1" applyFill="1" applyBorder="1" applyAlignment="1">
      <alignment horizontal="center"/>
    </xf>
    <xf numFmtId="16" fontId="1" fillId="3" borderId="0" xfId="0" applyNumberFormat="1" applyFont="1" applyFill="1" applyAlignment="1">
      <alignment horizontal="center"/>
    </xf>
    <xf numFmtId="0" fontId="1" fillId="3" borderId="0" xfId="0" applyFont="1" applyFill="1" applyAlignment="1">
      <alignment horizontal="center" wrapText="1"/>
    </xf>
    <xf numFmtId="0" fontId="1" fillId="2" borderId="4" xfId="0" applyFont="1" applyFill="1" applyBorder="1" applyAlignment="1">
      <alignment horizontal="center"/>
    </xf>
    <xf numFmtId="16" fontId="1" fillId="0" borderId="0" xfId="0" applyNumberFormat="1" applyFont="1" applyAlignment="1">
      <alignment horizontal="center"/>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Alignment="1">
      <alignment horizontal="left"/>
    </xf>
    <xf numFmtId="0" fontId="8" fillId="2" borderId="3" xfId="0" applyFont="1" applyFill="1" applyBorder="1" applyAlignment="1">
      <alignment horizontal="left"/>
    </xf>
    <xf numFmtId="0" fontId="8" fillId="2" borderId="0" xfId="0" applyFont="1" applyFill="1" applyAlignment="1">
      <alignment horizontal="center"/>
    </xf>
    <xf numFmtId="49" fontId="1" fillId="3" borderId="0" xfId="0" applyNumberFormat="1" applyFont="1" applyFill="1" applyAlignment="1">
      <alignment horizontal="center"/>
    </xf>
    <xf numFmtId="49" fontId="1" fillId="2" borderId="0" xfId="0" applyNumberFormat="1" applyFont="1" applyFill="1" applyAlignment="1">
      <alignment horizontal="center"/>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0" xfId="0" applyFont="1" applyFill="1" applyAlignment="1">
      <alignment horizontal="center"/>
    </xf>
  </cellXfs>
  <cellStyles count="7">
    <cellStyle name="Normal" xfId="0" builtinId="0"/>
    <cellStyle name="Prozent 2" xfId="1" xr:uid="{00000000-0005-0000-0000-000000000000}"/>
    <cellStyle name="Standard 2" xfId="2" xr:uid="{00000000-0005-0000-0000-000002000000}"/>
    <cellStyle name="Standard 2 2" xfId="3" xr:uid="{00000000-0005-0000-0000-000003000000}"/>
    <cellStyle name="Standard 2 3" xfId="4" xr:uid="{00000000-0005-0000-0000-000004000000}"/>
    <cellStyle name="Standard 3" xfId="5" xr:uid="{00000000-0005-0000-0000-000005000000}"/>
    <cellStyle name="Standard 4"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32</xdr:row>
      <xdr:rowOff>87313</xdr:rowOff>
    </xdr:to>
    <xdr:sp macro="" textlink="">
      <xdr:nvSpPr>
        <xdr:cNvPr id="3" name="Textfeld 2">
          <a:extLst>
            <a:ext uri="{FF2B5EF4-FFF2-40B4-BE49-F238E27FC236}">
              <a16:creationId xmlns:a16="http://schemas.microsoft.com/office/drawing/2014/main" id="{00000000-0008-0000-0100-000003000000}"/>
            </a:ext>
          </a:extLst>
        </xdr:cNvPr>
        <xdr:cNvSpPr txBox="1"/>
      </xdr:nvSpPr>
      <xdr:spPr>
        <a:xfrm>
          <a:off x="10104439" y="309562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a:extLst>
            <a:ext uri="{FF2B5EF4-FFF2-40B4-BE49-F238E27FC236}">
              <a16:creationId xmlns:a16="http://schemas.microsoft.com/office/drawing/2014/main" id="{00000000-0008-0000-0200-000003000000}"/>
            </a:ext>
          </a:extLst>
        </xdr:cNvPr>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aseline="0">
              <a:latin typeface="Arial" panose="020B0604020202020204" pitchFamily="34" charset="0"/>
              <a:cs typeface="Arial" panose="020B0604020202020204" pitchFamily="34" charset="0"/>
            </a:rPr>
            <a:t>: Flemish/People's Union</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a:t>
          </a:r>
          <a:r>
            <a:rPr lang="de-DE" sz="800" baseline="0">
              <a:latin typeface="Arial" panose="020B0604020202020204" pitchFamily="34" charset="0"/>
              <a:cs typeface="Arial" panose="020B0604020202020204" pitchFamily="34" charset="0"/>
            </a:rPr>
            <a:t>: Socialist Party Different</a:t>
          </a: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95249</xdr:rowOff>
    </xdr:from>
    <xdr:to>
      <xdr:col>42</xdr:col>
      <xdr:colOff>119138</xdr:colOff>
      <xdr:row>39</xdr:row>
      <xdr:rowOff>103187</xdr:rowOff>
    </xdr:to>
    <xdr:sp macro="" textlink="">
      <xdr:nvSpPr>
        <xdr:cNvPr id="2" name="Textfeld 1">
          <a:extLst>
            <a:ext uri="{FF2B5EF4-FFF2-40B4-BE49-F238E27FC236}">
              <a16:creationId xmlns:a16="http://schemas.microsoft.com/office/drawing/2014/main" id="{00000000-0008-0000-0300-000002000000}"/>
            </a:ext>
          </a:extLst>
        </xdr:cNvPr>
        <xdr:cNvSpPr txBox="1"/>
      </xdr:nvSpPr>
      <xdr:spPr>
        <a:xfrm>
          <a:off x="12890576" y="1412874"/>
          <a:ext cx="3429000" cy="32305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p>
        <a:p>
          <a:r>
            <a:rPr lang="de-DE" sz="800" b="1" baseline="0">
              <a:latin typeface="Arial" panose="020B0604020202020204" pitchFamily="34" charset="0"/>
              <a:cs typeface="Arial" panose="020B0604020202020204" pitchFamily="34" charset="0"/>
            </a:rPr>
            <a:t>OP: </a:t>
          </a:r>
          <a:r>
            <a:rPr lang="de-DE" sz="800" b="0" baseline="0">
              <a:latin typeface="Arial" panose="020B0604020202020204" pitchFamily="34" charset="0"/>
              <a:cs typeface="Arial" panose="020B0604020202020204" pitchFamily="34" charset="0"/>
            </a:rPr>
            <a:t>United Patriots</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a:extLst>
            <a:ext uri="{FF2B5EF4-FFF2-40B4-BE49-F238E27FC236}">
              <a16:creationId xmlns:a16="http://schemas.microsoft.com/office/drawing/2014/main" id="{00000000-0008-0000-0400-000003000000}"/>
            </a:ext>
          </a:extLst>
        </xdr:cNvPr>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a:extLst>
            <a:ext uri="{FF2B5EF4-FFF2-40B4-BE49-F238E27FC236}">
              <a16:creationId xmlns:a16="http://schemas.microsoft.com/office/drawing/2014/main" id="{00000000-0008-0000-0500-000002000000}"/>
            </a:ext>
          </a:extLst>
        </xdr:cNvPr>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15874</xdr:rowOff>
    </xdr:from>
    <xdr:to>
      <xdr:col>38</xdr:col>
      <xdr:colOff>182563</xdr:colOff>
      <xdr:row>24</xdr:row>
      <xdr:rowOff>55562</xdr:rowOff>
    </xdr:to>
    <xdr:sp macro="" textlink="">
      <xdr:nvSpPr>
        <xdr:cNvPr id="2" name="Textfeld 1">
          <a:extLst>
            <a:ext uri="{FF2B5EF4-FFF2-40B4-BE49-F238E27FC236}">
              <a16:creationId xmlns:a16="http://schemas.microsoft.com/office/drawing/2014/main" id="{00000000-0008-0000-0600-000002000000}"/>
            </a:ext>
          </a:extLst>
        </xdr:cNvPr>
        <xdr:cNvSpPr txBox="1"/>
      </xdr:nvSpPr>
      <xdr:spPr>
        <a:xfrm>
          <a:off x="11430001" y="1666874"/>
          <a:ext cx="3429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 (</a:t>
          </a:r>
          <a:r>
            <a:rPr lang="de-CH" sz="800" b="0" i="1" baseline="0">
              <a:latin typeface="Arial" panose="020B0604020202020204" pitchFamily="34" charset="0"/>
              <a:cs typeface="Arial" panose="020B0604020202020204" pitchFamily="34" charset="0"/>
            </a:rPr>
            <a:t>2016: Although EVROKO never formally declared its departure from government, since March 2016 it does not consider itself as part of the government any longer. The EVROKO minister stayed on declaring himself above party politics</a:t>
          </a:r>
          <a:r>
            <a:rPr lang="de-CH" sz="800" b="0" baseline="0">
              <a:latin typeface="Arial" panose="020B0604020202020204" pitchFamily="34" charset="0"/>
              <a:cs typeface="Arial" panose="020B0604020202020204" pitchFamily="34" charset="0"/>
            </a:rPr>
            <a:t>) </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55564</xdr:rowOff>
    </xdr:from>
    <xdr:to>
      <xdr:col>46</xdr:col>
      <xdr:colOff>1587</xdr:colOff>
      <xdr:row>30</xdr:row>
      <xdr:rowOff>47625</xdr:rowOff>
    </xdr:to>
    <xdr:sp macro="" textlink="">
      <xdr:nvSpPr>
        <xdr:cNvPr id="2" name="Textfeld 1">
          <a:extLst>
            <a:ext uri="{FF2B5EF4-FFF2-40B4-BE49-F238E27FC236}">
              <a16:creationId xmlns:a16="http://schemas.microsoft.com/office/drawing/2014/main" id="{00000000-0008-0000-0700-000002000000}"/>
            </a:ext>
          </a:extLst>
        </xdr:cNvPr>
        <xdr:cNvSpPr txBox="1"/>
      </xdr:nvSpPr>
      <xdr:spPr>
        <a:xfrm>
          <a:off x="12898437" y="2039939"/>
          <a:ext cx="4827588" cy="154781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a:extLst>
            <a:ext uri="{FF2B5EF4-FFF2-40B4-BE49-F238E27FC236}">
              <a16:creationId xmlns:a16="http://schemas.microsoft.com/office/drawing/2014/main" id="{00000000-0008-0000-0800-000005000000}"/>
            </a:ext>
          </a:extLst>
        </xdr:cNvPr>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a:extLst>
            <a:ext uri="{FF2B5EF4-FFF2-40B4-BE49-F238E27FC236}">
              <a16:creationId xmlns:a16="http://schemas.microsoft.com/office/drawing/2014/main" id="{00000000-0008-0000-0900-000002000000}"/>
            </a:ext>
          </a:extLst>
        </xdr:cNvPr>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 -&gt; 2012: </a:t>
          </a:r>
          <a:r>
            <a:rPr lang="de-DE" sz="800" b="1" baseline="0">
              <a:latin typeface="Arial" panose="020B0604020202020204" pitchFamily="34" charset="0"/>
              <a:cs typeface="Arial" panose="020B0604020202020204" pitchFamily="34" charset="0"/>
            </a:rPr>
            <a:t>EKRE</a:t>
          </a:r>
          <a:r>
            <a:rPr lang="de-DE" sz="800" b="0" baseline="0">
              <a:latin typeface="Arial" panose="020B0604020202020204" pitchFamily="34" charset="0"/>
              <a:cs typeface="Arial" panose="020B0604020202020204" pitchFamily="34" charset="0"/>
            </a:rPr>
            <a:t>: Conservative People's Party</a:t>
          </a:r>
          <a:endParaRPr lang="de-DE" sz="80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51</xdr:row>
      <xdr:rowOff>1</xdr:rowOff>
    </xdr:from>
    <xdr:to>
      <xdr:col>45</xdr:col>
      <xdr:colOff>7937</xdr:colOff>
      <xdr:row>66</xdr:row>
      <xdr:rowOff>79376</xdr:rowOff>
    </xdr:to>
    <xdr:sp macro="" textlink="">
      <xdr:nvSpPr>
        <xdr:cNvPr id="2" name="Textfeld 1">
          <a:extLst>
            <a:ext uri="{FF2B5EF4-FFF2-40B4-BE49-F238E27FC236}">
              <a16:creationId xmlns:a16="http://schemas.microsoft.com/office/drawing/2014/main" id="{00000000-0008-0000-0A00-000002000000}"/>
            </a:ext>
          </a:extLst>
        </xdr:cNvPr>
        <xdr:cNvSpPr txBox="1"/>
      </xdr:nvSpPr>
      <xdr:spPr>
        <a:xfrm>
          <a:off x="14676438" y="5651501"/>
          <a:ext cx="2674937" cy="174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p>
        <a:p>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True Finns (in 2017 the parliamentary fraction splid into Blue Reform Parliamentyry Group (SIN)). </a:t>
          </a:r>
        </a:p>
        <a:p>
          <a:r>
            <a:rPr lang="de-DE" sz="800" b="1" baseline="0">
              <a:latin typeface="Arial" panose="020B0604020202020204" pitchFamily="34" charset="0"/>
              <a:cs typeface="Arial" panose="020B0604020202020204" pitchFamily="34" charset="0"/>
            </a:rPr>
            <a:t>SIN</a:t>
          </a:r>
          <a:r>
            <a:rPr lang="de-DE" sz="800" baseline="0">
              <a:latin typeface="Arial" panose="020B0604020202020204" pitchFamily="34" charset="0"/>
              <a:cs typeface="Arial" panose="020B0604020202020204" pitchFamily="34" charset="0"/>
            </a:rPr>
            <a:t>: Blue Reform (splinter of the True Finns, PS)</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37</xdr:col>
      <xdr:colOff>55574</xdr:colOff>
      <xdr:row>12</xdr:row>
      <xdr:rowOff>71438</xdr:rowOff>
    </xdr:from>
    <xdr:to>
      <xdr:col>45</xdr:col>
      <xdr:colOff>63511</xdr:colOff>
      <xdr:row>39</xdr:row>
      <xdr:rowOff>55563</xdr:rowOff>
    </xdr:to>
    <xdr:sp macro="" textlink="">
      <xdr:nvSpPr>
        <xdr:cNvPr id="4" name="Textfeld 3">
          <a:extLst>
            <a:ext uri="{FF2B5EF4-FFF2-40B4-BE49-F238E27FC236}">
              <a16:creationId xmlns:a16="http://schemas.microsoft.com/office/drawing/2014/main" id="{00000000-0008-0000-0B00-000004000000}"/>
            </a:ext>
          </a:extLst>
        </xdr:cNvPr>
        <xdr:cNvSpPr txBox="1"/>
      </xdr:nvSpPr>
      <xdr:spPr>
        <a:xfrm>
          <a:off x="14351012" y="1611313"/>
          <a:ext cx="3055937" cy="298450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LR</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2015): The Republicans</a:t>
          </a:r>
          <a:endPar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i="0"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Movement of Radicals of the Left</a:t>
          </a:r>
        </a:p>
        <a:p>
          <a:pPr>
            <a:lnSpc>
              <a:spcPct val="100000"/>
            </a:lnSpc>
            <a:spcBef>
              <a:spcPts val="0"/>
            </a:spcBef>
          </a:pPr>
          <a:r>
            <a:rPr lang="de-DE" sz="800" b="1" baseline="0">
              <a:latin typeface="Arial" panose="020B0604020202020204" pitchFamily="34" charset="0"/>
              <a:cs typeface="Arial" panose="020B0604020202020204" pitchFamily="34" charset="0"/>
            </a:rPr>
            <a:t>MoDem </a:t>
          </a:r>
          <a:r>
            <a:rPr lang="de-DE" sz="800" b="0" baseline="0">
              <a:latin typeface="Arial" panose="020B0604020202020204" pitchFamily="34" charset="0"/>
              <a:cs typeface="Arial" panose="020B0604020202020204" pitchFamily="34" charset="0"/>
            </a:rPr>
            <a:t>(since 20017): Democratic Movement</a:t>
          </a:r>
        </a:p>
        <a:p>
          <a:pPr>
            <a:lnSpc>
              <a:spcPct val="100000"/>
            </a:lnSpc>
            <a:spcBef>
              <a:spcPts val="0"/>
            </a:spcBef>
          </a:pP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baseline="0">
              <a:latin typeface="Arial" panose="020B0604020202020204" pitchFamily="34" charset="0"/>
              <a:cs typeface="Arial" panose="020B0604020202020204" pitchFamily="34" charset="0"/>
            </a:rPr>
            <a:t>PRG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r>
            <a:rPr lang="de-DE" sz="800" b="1" baseline="0">
              <a:latin typeface="Arial" panose="020B0604020202020204" pitchFamily="34" charset="0"/>
              <a:cs typeface="Arial" panose="020B0604020202020204" pitchFamily="34" charset="0"/>
            </a:rPr>
            <a:t>LRM</a:t>
          </a:r>
          <a:r>
            <a:rPr lang="de-DE" sz="800" baseline="0">
              <a:latin typeface="Arial" panose="020B0604020202020204" pitchFamily="34" charset="0"/>
              <a:cs typeface="Arial" panose="020B0604020202020204" pitchFamily="34" charset="0"/>
            </a:rPr>
            <a:t>: Forward</a:t>
          </a:r>
        </a:p>
        <a:p>
          <a:pPr>
            <a:lnSpc>
              <a:spcPct val="100000"/>
            </a:lnSpc>
            <a:spcBef>
              <a:spcPts val="0"/>
            </a:spcBef>
          </a:pPr>
          <a:endParaRPr lang="de-DE"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a:extLst>
            <a:ext uri="{FF2B5EF4-FFF2-40B4-BE49-F238E27FC236}">
              <a16:creationId xmlns:a16="http://schemas.microsoft.com/office/drawing/2014/main" id="{00000000-0008-0000-0C00-000002000000}"/>
            </a:ext>
          </a:extLst>
        </xdr:cNvPr>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24</xdr:col>
      <xdr:colOff>1</xdr:colOff>
      <xdr:row>31</xdr:row>
      <xdr:rowOff>0</xdr:rowOff>
    </xdr:from>
    <xdr:to>
      <xdr:col>35</xdr:col>
      <xdr:colOff>1</xdr:colOff>
      <xdr:row>41</xdr:row>
      <xdr:rowOff>103188</xdr:rowOff>
    </xdr:to>
    <xdr:sp macro="" textlink="">
      <xdr:nvSpPr>
        <xdr:cNvPr id="3" name="Textfeld 2">
          <a:extLst>
            <a:ext uri="{FF2B5EF4-FFF2-40B4-BE49-F238E27FC236}">
              <a16:creationId xmlns:a16="http://schemas.microsoft.com/office/drawing/2014/main" id="{00000000-0008-0000-0D00-000003000000}"/>
            </a:ext>
          </a:extLst>
        </xdr:cNvPr>
        <xdr:cNvSpPr txBox="1"/>
      </xdr:nvSpPr>
      <xdr:spPr>
        <a:xfrm>
          <a:off x="9318626" y="3429000"/>
          <a:ext cx="4103688" cy="121443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31</xdr:row>
      <xdr:rowOff>39688</xdr:rowOff>
    </xdr:to>
    <xdr:sp macro="" textlink="">
      <xdr:nvSpPr>
        <xdr:cNvPr id="2" name="Textfeld 1">
          <a:extLst>
            <a:ext uri="{FF2B5EF4-FFF2-40B4-BE49-F238E27FC236}">
              <a16:creationId xmlns:a16="http://schemas.microsoft.com/office/drawing/2014/main" id="{00000000-0008-0000-0E00-000002000000}"/>
            </a:ext>
          </a:extLst>
        </xdr:cNvPr>
        <xdr:cNvSpPr txBox="1"/>
      </xdr:nvSpPr>
      <xdr:spPr>
        <a:xfrm>
          <a:off x="12850813" y="1944687"/>
          <a:ext cx="4865688" cy="174625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19</xdr:row>
      <xdr:rowOff>55563</xdr:rowOff>
    </xdr:to>
    <xdr:sp macro="" textlink="">
      <xdr:nvSpPr>
        <xdr:cNvPr id="4" name="Textfeld 3">
          <a:extLst>
            <a:ext uri="{FF2B5EF4-FFF2-40B4-BE49-F238E27FC236}">
              <a16:creationId xmlns:a16="http://schemas.microsoft.com/office/drawing/2014/main" id="{00000000-0008-0000-0F00-000004000000}"/>
            </a:ext>
          </a:extLst>
        </xdr:cNvPr>
        <xdr:cNvSpPr txBox="1"/>
      </xdr:nvSpPr>
      <xdr:spPr>
        <a:xfrm>
          <a:off x="11271249" y="1103312"/>
          <a:ext cx="2024063" cy="127000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Reform</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Bright Future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a:extLst>
            <a:ext uri="{FF2B5EF4-FFF2-40B4-BE49-F238E27FC236}">
              <a16:creationId xmlns:a16="http://schemas.microsoft.com/office/drawing/2014/main" id="{00000000-0008-0000-1000-000003000000}"/>
            </a:ext>
          </a:extLst>
        </xdr:cNvPr>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71436</xdr:rowOff>
    </xdr:from>
    <xdr:to>
      <xdr:col>43</xdr:col>
      <xdr:colOff>325437</xdr:colOff>
      <xdr:row>49</xdr:row>
      <xdr:rowOff>103188</xdr:rowOff>
    </xdr:to>
    <xdr:sp macro="" textlink="">
      <xdr:nvSpPr>
        <xdr:cNvPr id="4" name="Textfeld 3">
          <a:extLst>
            <a:ext uri="{FF2B5EF4-FFF2-40B4-BE49-F238E27FC236}">
              <a16:creationId xmlns:a16="http://schemas.microsoft.com/office/drawing/2014/main" id="{00000000-0008-0000-1100-000004000000}"/>
            </a:ext>
          </a:extLst>
        </xdr:cNvPr>
        <xdr:cNvSpPr txBox="1"/>
      </xdr:nvSpPr>
      <xdr:spPr>
        <a:xfrm>
          <a:off x="14192250" y="1277936"/>
          <a:ext cx="2619375" cy="44767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 since 2016 NCD)</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League (former 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M5S: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Five Stars Movement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a:extLst>
            <a:ext uri="{FF2B5EF4-FFF2-40B4-BE49-F238E27FC236}">
              <a16:creationId xmlns:a16="http://schemas.microsoft.com/office/drawing/2014/main" id="{00000000-0008-0000-1200-000003000000}"/>
            </a:ext>
          </a:extLst>
        </xdr:cNvPr>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44</xdr:row>
      <xdr:rowOff>3</xdr:rowOff>
    </xdr:to>
    <xdr:sp macro="" textlink="">
      <xdr:nvSpPr>
        <xdr:cNvPr id="2" name="Textfeld 1">
          <a:extLst>
            <a:ext uri="{FF2B5EF4-FFF2-40B4-BE49-F238E27FC236}">
              <a16:creationId xmlns:a16="http://schemas.microsoft.com/office/drawing/2014/main" id="{00000000-0008-0000-1300-000002000000}"/>
            </a:ext>
          </a:extLst>
        </xdr:cNvPr>
        <xdr:cNvSpPr txBox="1"/>
      </xdr:nvSpPr>
      <xdr:spPr>
        <a:xfrm>
          <a:off x="15890873" y="1849440"/>
          <a:ext cx="3079752" cy="3246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KPV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KPV LV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JKP: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Development/For!</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37</xdr:col>
      <xdr:colOff>111123</xdr:colOff>
      <xdr:row>10</xdr:row>
      <xdr:rowOff>15876</xdr:rowOff>
    </xdr:from>
    <xdr:to>
      <xdr:col>49</xdr:col>
      <xdr:colOff>79374</xdr:colOff>
      <xdr:row>33</xdr:row>
      <xdr:rowOff>63501</xdr:rowOff>
    </xdr:to>
    <xdr:sp macro="" textlink="">
      <xdr:nvSpPr>
        <xdr:cNvPr id="2" name="Textfeld 1">
          <a:extLst>
            <a:ext uri="{FF2B5EF4-FFF2-40B4-BE49-F238E27FC236}">
              <a16:creationId xmlns:a16="http://schemas.microsoft.com/office/drawing/2014/main" id="{00000000-0008-0000-1400-000002000000}"/>
            </a:ext>
          </a:extLst>
        </xdr:cNvPr>
        <xdr:cNvSpPr txBox="1"/>
      </xdr:nvSpPr>
      <xdr:spPr>
        <a:xfrm>
          <a:off x="14406561" y="1333501"/>
          <a:ext cx="4540251" cy="260350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lt-LT"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LVŽS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Farmers and Greens Union Union [former : Lithuanian Peasant’s People Union, Union for Farmers and New Democratic Party]</a:t>
          </a:r>
          <a:endPar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a:extLst>
            <a:ext uri="{FF2B5EF4-FFF2-40B4-BE49-F238E27FC236}">
              <a16:creationId xmlns:a16="http://schemas.microsoft.com/office/drawing/2014/main" id="{00000000-0008-0000-1500-000003000000}"/>
            </a:ext>
          </a:extLst>
        </xdr:cNvPr>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a:extLst>
            <a:ext uri="{FF2B5EF4-FFF2-40B4-BE49-F238E27FC236}">
              <a16:creationId xmlns:a16="http://schemas.microsoft.com/office/drawing/2014/main" id="{00000000-0008-0000-1600-000002000000}"/>
            </a:ext>
          </a:extLst>
        </xdr:cNvPr>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a:extLst>
            <a:ext uri="{FF2B5EF4-FFF2-40B4-BE49-F238E27FC236}">
              <a16:creationId xmlns:a16="http://schemas.microsoft.com/office/drawing/2014/main" id="{00000000-0008-0000-1700-000004000000}"/>
            </a:ext>
          </a:extLst>
        </xdr:cNvPr>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a:extLst>
            <a:ext uri="{FF2B5EF4-FFF2-40B4-BE49-F238E27FC236}">
              <a16:creationId xmlns:a16="http://schemas.microsoft.com/office/drawing/2014/main" id="{00000000-0008-0000-1800-000005000000}"/>
            </a:ext>
          </a:extLst>
        </xdr:cNvPr>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a:extLst>
            <a:ext uri="{FF2B5EF4-FFF2-40B4-BE49-F238E27FC236}">
              <a16:creationId xmlns:a16="http://schemas.microsoft.com/office/drawing/2014/main" id="{00000000-0008-0000-1900-000004000000}"/>
            </a:ext>
          </a:extLst>
        </xdr:cNvPr>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a:extLst>
            <a:ext uri="{FF2B5EF4-FFF2-40B4-BE49-F238E27FC236}">
              <a16:creationId xmlns:a16="http://schemas.microsoft.com/office/drawing/2014/main" id="{00000000-0008-0000-1A00-000005000000}"/>
            </a:ext>
          </a:extLst>
        </xdr:cNvPr>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33</xdr:row>
      <xdr:rowOff>87313</xdr:rowOff>
    </xdr:to>
    <xdr:sp macro="" textlink="">
      <xdr:nvSpPr>
        <xdr:cNvPr id="6" name="Textfeld 5">
          <a:extLst>
            <a:ext uri="{FF2B5EF4-FFF2-40B4-BE49-F238E27FC236}">
              <a16:creationId xmlns:a16="http://schemas.microsoft.com/office/drawing/2014/main" id="{00000000-0008-0000-1B00-000006000000}"/>
            </a:ext>
          </a:extLst>
        </xdr:cNvPr>
        <xdr:cNvSpPr txBox="1"/>
      </xdr:nvSpPr>
      <xdr:spPr>
        <a:xfrm>
          <a:off x="9723439" y="3325829"/>
          <a:ext cx="2619375" cy="63498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38</xdr:col>
      <xdr:colOff>212147</xdr:colOff>
      <xdr:row>7</xdr:row>
      <xdr:rowOff>17751</xdr:rowOff>
    </xdr:from>
    <xdr:to>
      <xdr:col>45</xdr:col>
      <xdr:colOff>16451</xdr:colOff>
      <xdr:row>32</xdr:row>
      <xdr:rowOff>39687</xdr:rowOff>
    </xdr:to>
    <xdr:sp macro="" textlink="">
      <xdr:nvSpPr>
        <xdr:cNvPr id="4" name="Textfeld 3">
          <a:extLst>
            <a:ext uri="{FF2B5EF4-FFF2-40B4-BE49-F238E27FC236}">
              <a16:creationId xmlns:a16="http://schemas.microsoft.com/office/drawing/2014/main" id="{00000000-0008-0000-1C00-000004000000}"/>
            </a:ext>
          </a:extLst>
        </xdr:cNvPr>
        <xdr:cNvSpPr txBox="1"/>
      </xdr:nvSpPr>
      <xdr:spPr>
        <a:xfrm>
          <a:off x="14888585" y="1002001"/>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ALDE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 of Liberals and Democrats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41</xdr:col>
      <xdr:colOff>108070</xdr:colOff>
      <xdr:row>14</xdr:row>
      <xdr:rowOff>103188</xdr:rowOff>
    </xdr:from>
    <xdr:to>
      <xdr:col>48</xdr:col>
      <xdr:colOff>333373</xdr:colOff>
      <xdr:row>45</xdr:row>
      <xdr:rowOff>79377</xdr:rowOff>
    </xdr:to>
    <xdr:sp macro="" textlink="">
      <xdr:nvSpPr>
        <xdr:cNvPr id="6" name="Textfeld 5">
          <a:extLst>
            <a:ext uri="{FF2B5EF4-FFF2-40B4-BE49-F238E27FC236}">
              <a16:creationId xmlns:a16="http://schemas.microsoft.com/office/drawing/2014/main" id="{00000000-0008-0000-1D00-000006000000}"/>
            </a:ext>
          </a:extLst>
        </xdr:cNvPr>
        <xdr:cNvSpPr txBox="1"/>
      </xdr:nvSpPr>
      <xdr:spPr>
        <a:xfrm>
          <a:off x="15927508" y="1865313"/>
          <a:ext cx="2892303" cy="342106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28</xdr:row>
      <xdr:rowOff>39688</xdr:rowOff>
    </xdr:to>
    <xdr:sp macro="" textlink="">
      <xdr:nvSpPr>
        <xdr:cNvPr id="4" name="Textfeld 3">
          <a:extLst>
            <a:ext uri="{FF2B5EF4-FFF2-40B4-BE49-F238E27FC236}">
              <a16:creationId xmlns:a16="http://schemas.microsoft.com/office/drawing/2014/main" id="{00000000-0008-0000-1E00-000004000000}"/>
            </a:ext>
          </a:extLst>
        </xdr:cNvPr>
        <xdr:cNvSpPr txBox="1"/>
      </xdr:nvSpPr>
      <xdr:spPr>
        <a:xfrm>
          <a:off x="14358937" y="1230312"/>
          <a:ext cx="2817813" cy="212725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800" b="1"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LMŠ: </a:t>
          </a:r>
          <a:r>
            <a:rPr kumimoji="0" lang="en-GB" sz="800" b="0"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List of Marjan Šarec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10</xdr:row>
      <xdr:rowOff>55563</xdr:rowOff>
    </xdr:to>
    <xdr:sp macro="" textlink="">
      <xdr:nvSpPr>
        <xdr:cNvPr id="4" name="Textfeld 3">
          <a:extLst>
            <a:ext uri="{FF2B5EF4-FFF2-40B4-BE49-F238E27FC236}">
              <a16:creationId xmlns:a16="http://schemas.microsoft.com/office/drawing/2014/main" id="{00000000-0008-0000-1F00-000004000000}"/>
            </a:ext>
          </a:extLst>
        </xdr:cNvPr>
        <xdr:cNvSpPr txBox="1"/>
      </xdr:nvSpPr>
      <xdr:spPr>
        <a:xfrm>
          <a:off x="9723438" y="4659313"/>
          <a:ext cx="2619375" cy="4921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a:extLst>
            <a:ext uri="{FF2B5EF4-FFF2-40B4-BE49-F238E27FC236}">
              <a16:creationId xmlns:a16="http://schemas.microsoft.com/office/drawing/2014/main" id="{00000000-0008-0000-2000-000005000000}"/>
            </a:ext>
          </a:extLst>
        </xdr:cNvPr>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a:extLst>
            <a:ext uri="{FF2B5EF4-FFF2-40B4-BE49-F238E27FC236}">
              <a16:creationId xmlns:a16="http://schemas.microsoft.com/office/drawing/2014/main" id="{00000000-0008-0000-2100-000003000000}"/>
            </a:ext>
          </a:extLst>
        </xdr:cNvPr>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a:extLst>
            <a:ext uri="{FF2B5EF4-FFF2-40B4-BE49-F238E27FC236}">
              <a16:creationId xmlns:a16="http://schemas.microsoft.com/office/drawing/2014/main" id="{00000000-0008-0000-2200-000003000000}"/>
            </a:ext>
          </a:extLst>
        </xdr:cNvPr>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a:extLst>
            <a:ext uri="{FF2B5EF4-FFF2-40B4-BE49-F238E27FC236}">
              <a16:creationId xmlns:a16="http://schemas.microsoft.com/office/drawing/2014/main" id="{00000000-0008-0000-2300-000007000000}"/>
            </a:ext>
          </a:extLst>
        </xdr:cNvPr>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204"/>
  <sheetViews>
    <sheetView tabSelected="1" zoomScale="168" zoomScaleNormal="110" workbookViewId="0">
      <pane xSplit="1" ySplit="5" topLeftCell="B6" activePane="bottomRight" state="frozen"/>
      <selection pane="topRight" activeCell="B1" sqref="B1"/>
      <selection pane="bottomLeft" activeCell="A6" sqref="A6"/>
      <selection pane="bottomRight"/>
    </sheetView>
  </sheetViews>
  <sheetFormatPr baseColWidth="10" defaultColWidth="10.6640625" defaultRowHeight="11" x14ac:dyDescent="0.15"/>
  <cols>
    <col min="1" max="1" width="5.83203125" style="4" customWidth="1"/>
    <col min="2" max="6" width="7.83203125" style="4" customWidth="1"/>
    <col min="7" max="18" width="4.5" style="4" customWidth="1"/>
    <col min="19" max="19" width="7.83203125" style="14" customWidth="1"/>
    <col min="20" max="21" width="7.83203125" style="4" customWidth="1"/>
    <col min="22" max="53" width="5.6640625" style="4" customWidth="1"/>
    <col min="54" max="16384" width="10.6640625" style="4"/>
  </cols>
  <sheetData>
    <row r="1" spans="1:53" s="1" customFormat="1" ht="15" customHeight="1" x14ac:dyDescent="0.15">
      <c r="B1" s="16" t="s">
        <v>14</v>
      </c>
      <c r="S1" s="14"/>
    </row>
    <row r="2" spans="1:53" s="1" customFormat="1" ht="15" customHeight="1" x14ac:dyDescent="0.15">
      <c r="B2" s="16" t="s">
        <v>48</v>
      </c>
      <c r="S2" s="14"/>
    </row>
    <row r="3" spans="1:53" s="13" customFormat="1" x14ac:dyDescent="0.15">
      <c r="G3" s="393"/>
      <c r="H3" s="393"/>
      <c r="I3" s="393"/>
      <c r="J3" s="393"/>
      <c r="K3" s="393"/>
      <c r="L3" s="393"/>
      <c r="M3" s="393"/>
      <c r="O3" s="393"/>
      <c r="P3" s="393"/>
      <c r="Q3" s="393"/>
      <c r="S3" s="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7" t="s">
        <v>23</v>
      </c>
      <c r="AU5" s="186" t="s">
        <v>24</v>
      </c>
      <c r="AV5" s="186" t="s">
        <v>25</v>
      </c>
      <c r="AW5" s="188" t="s">
        <v>1197</v>
      </c>
      <c r="AX5" s="186" t="s">
        <v>23</v>
      </c>
      <c r="AY5" s="186" t="s">
        <v>24</v>
      </c>
      <c r="AZ5" s="186" t="s">
        <v>25</v>
      </c>
      <c r="BA5" s="189" t="s">
        <v>1197</v>
      </c>
    </row>
    <row r="6" spans="1:53" s="140" customFormat="1" x14ac:dyDescent="0.15">
      <c r="A6" s="126">
        <v>1959</v>
      </c>
      <c r="B6" s="127"/>
      <c r="C6" s="405" t="s">
        <v>147</v>
      </c>
      <c r="D6" s="405"/>
      <c r="E6" s="126">
        <v>0</v>
      </c>
      <c r="F6" s="127"/>
      <c r="G6" s="128">
        <v>12</v>
      </c>
      <c r="H6" s="129"/>
      <c r="I6" s="129"/>
      <c r="J6" s="130">
        <v>12</v>
      </c>
      <c r="K6" s="131">
        <f>G6/J6*100</f>
        <v>100</v>
      </c>
      <c r="L6" s="131">
        <f>H6/J6*100</f>
        <v>0</v>
      </c>
      <c r="M6" s="131">
        <f>I6/J6*100</f>
        <v>0</v>
      </c>
      <c r="N6" s="132">
        <f>SUM(K6:M6)</f>
        <v>100</v>
      </c>
      <c r="O6" s="133">
        <v>63.1</v>
      </c>
      <c r="P6" s="134"/>
      <c r="Q6" s="134"/>
      <c r="R6" s="135">
        <f>SUM(O6:Q6)</f>
        <v>63.1</v>
      </c>
      <c r="S6" s="136">
        <v>2</v>
      </c>
      <c r="T6" s="137"/>
      <c r="U6" s="138"/>
      <c r="V6" s="139" t="s">
        <v>72</v>
      </c>
      <c r="W6" s="140" t="s">
        <v>74</v>
      </c>
      <c r="X6" s="140" t="s">
        <v>11</v>
      </c>
      <c r="Y6" s="141">
        <v>47.5</v>
      </c>
      <c r="Z6" s="140" t="s">
        <v>73</v>
      </c>
      <c r="AA6" s="140" t="s">
        <v>869</v>
      </c>
      <c r="AB6" s="140" t="s">
        <v>11</v>
      </c>
      <c r="AC6" s="140">
        <v>15.6</v>
      </c>
      <c r="AD6" s="139"/>
      <c r="AG6" s="141"/>
      <c r="AL6" s="139"/>
      <c r="AO6" s="141"/>
      <c r="AS6" s="141"/>
      <c r="AW6" s="141"/>
      <c r="BA6" s="142"/>
    </row>
    <row r="7" spans="1:53" s="140" customFormat="1" x14ac:dyDescent="0.15">
      <c r="A7" s="126">
        <v>1959</v>
      </c>
      <c r="B7" s="127"/>
      <c r="C7" s="405" t="s">
        <v>147</v>
      </c>
      <c r="D7" s="405"/>
      <c r="E7" s="126">
        <v>365</v>
      </c>
      <c r="F7" s="127"/>
      <c r="G7" s="128">
        <v>12</v>
      </c>
      <c r="H7" s="129"/>
      <c r="I7" s="129"/>
      <c r="J7" s="130">
        <v>12</v>
      </c>
      <c r="K7" s="131">
        <f>G7/J7*100</f>
        <v>100</v>
      </c>
      <c r="L7" s="131">
        <f>H7/J7*100</f>
        <v>0</v>
      </c>
      <c r="M7" s="131">
        <f>I7/J7*100</f>
        <v>0</v>
      </c>
      <c r="N7" s="132">
        <f>SUM(K7:M7)</f>
        <v>100</v>
      </c>
      <c r="O7" s="133">
        <v>63.1</v>
      </c>
      <c r="P7" s="134"/>
      <c r="Q7" s="134"/>
      <c r="R7" s="135">
        <f>SUM(O7:Q7)</f>
        <v>63.1</v>
      </c>
      <c r="S7" s="136">
        <v>2</v>
      </c>
      <c r="T7" s="137"/>
      <c r="U7" s="138"/>
      <c r="V7" s="139" t="s">
        <v>72</v>
      </c>
      <c r="W7" s="140" t="s">
        <v>74</v>
      </c>
      <c r="X7" s="140" t="s">
        <v>11</v>
      </c>
      <c r="Y7" s="141">
        <v>47.5</v>
      </c>
      <c r="Z7" s="140" t="s">
        <v>73</v>
      </c>
      <c r="AA7" s="140" t="s">
        <v>869</v>
      </c>
      <c r="AB7" s="140" t="s">
        <v>11</v>
      </c>
      <c r="AC7" s="140">
        <v>15.6</v>
      </c>
      <c r="AD7" s="139"/>
      <c r="AG7" s="141"/>
      <c r="AL7" s="139"/>
      <c r="AO7" s="141"/>
      <c r="AS7" s="141"/>
      <c r="AW7" s="141"/>
      <c r="BA7" s="142"/>
    </row>
    <row r="8" spans="1:53" s="51" customFormat="1" x14ac:dyDescent="0.15">
      <c r="A8" s="42">
        <v>1960</v>
      </c>
      <c r="B8" s="43"/>
      <c r="C8" s="394" t="s">
        <v>147</v>
      </c>
      <c r="D8" s="394"/>
      <c r="E8" s="42">
        <v>0</v>
      </c>
      <c r="F8" s="42"/>
      <c r="G8" s="44">
        <v>12</v>
      </c>
      <c r="H8" s="42"/>
      <c r="I8" s="42"/>
      <c r="J8" s="45">
        <v>12</v>
      </c>
      <c r="K8" s="33">
        <f>G8/J8*100</f>
        <v>100</v>
      </c>
      <c r="L8" s="33">
        <f>H8/J8*100</f>
        <v>0</v>
      </c>
      <c r="M8" s="33">
        <f>I8/J8*100</f>
        <v>0</v>
      </c>
      <c r="N8" s="34">
        <f>SUM(K8:M8)</f>
        <v>100</v>
      </c>
      <c r="O8" s="46">
        <v>63.1</v>
      </c>
      <c r="P8" s="47"/>
      <c r="Q8" s="47"/>
      <c r="R8" s="48">
        <f>SUM(O8:Q8)</f>
        <v>63.1</v>
      </c>
      <c r="S8" s="49">
        <v>2</v>
      </c>
      <c r="T8" s="50"/>
      <c r="U8" s="41"/>
      <c r="V8" s="38" t="s">
        <v>72</v>
      </c>
      <c r="W8" s="29" t="s">
        <v>74</v>
      </c>
      <c r="X8" s="29" t="s">
        <v>11</v>
      </c>
      <c r="Y8" s="39">
        <v>47.5</v>
      </c>
      <c r="Z8" s="29" t="s">
        <v>73</v>
      </c>
      <c r="AA8" s="29" t="s">
        <v>869</v>
      </c>
      <c r="AB8" s="29" t="s">
        <v>11</v>
      </c>
      <c r="AC8" s="29">
        <v>15.6</v>
      </c>
      <c r="AD8" s="38"/>
      <c r="AE8" s="29"/>
      <c r="AF8" s="29"/>
      <c r="AG8" s="39"/>
      <c r="AH8" s="29"/>
      <c r="AI8" s="29"/>
      <c r="AJ8" s="29"/>
      <c r="AK8" s="29"/>
      <c r="AL8" s="38"/>
      <c r="AM8" s="29"/>
      <c r="AN8" s="29"/>
      <c r="AO8" s="39"/>
      <c r="AP8" s="38"/>
      <c r="AQ8" s="29"/>
      <c r="AR8" s="29"/>
      <c r="AS8" s="39"/>
      <c r="AT8" s="29"/>
      <c r="AW8" s="39"/>
      <c r="BA8" s="168"/>
    </row>
    <row r="9" spans="1:53" s="51" customFormat="1" x14ac:dyDescent="0.15">
      <c r="A9" s="42">
        <v>1960</v>
      </c>
      <c r="B9" s="43"/>
      <c r="C9" s="394" t="s">
        <v>147</v>
      </c>
      <c r="D9" s="394"/>
      <c r="E9" s="42">
        <v>366</v>
      </c>
      <c r="F9" s="42"/>
      <c r="G9" s="44">
        <v>12</v>
      </c>
      <c r="H9" s="42"/>
      <c r="I9" s="42"/>
      <c r="J9" s="45">
        <v>12</v>
      </c>
      <c r="K9" s="33">
        <f t="shared" ref="K9:K15" si="0">G9/J9*100</f>
        <v>100</v>
      </c>
      <c r="L9" s="33">
        <f t="shared" ref="L9:L15" si="1">H9/J9*100</f>
        <v>0</v>
      </c>
      <c r="M9" s="33">
        <f t="shared" ref="M9:M15" si="2">I9/J9*100</f>
        <v>0</v>
      </c>
      <c r="N9" s="34">
        <f t="shared" ref="N9:N72" si="3">SUM(K9:M9)</f>
        <v>100</v>
      </c>
      <c r="O9" s="46">
        <v>63.1</v>
      </c>
      <c r="P9" s="47"/>
      <c r="Q9" s="47"/>
      <c r="R9" s="48">
        <f t="shared" ref="R9:R72" si="4">SUM(O9:Q9)</f>
        <v>63.1</v>
      </c>
      <c r="S9" s="49">
        <v>2</v>
      </c>
      <c r="T9" s="50"/>
      <c r="U9" s="41"/>
      <c r="V9" s="38" t="s">
        <v>72</v>
      </c>
      <c r="W9" s="29" t="s">
        <v>74</v>
      </c>
      <c r="X9" s="29" t="s">
        <v>11</v>
      </c>
      <c r="Y9" s="39">
        <v>47.5</v>
      </c>
      <c r="Z9" s="29" t="s">
        <v>73</v>
      </c>
      <c r="AA9" s="29" t="s">
        <v>869</v>
      </c>
      <c r="AB9" s="29" t="s">
        <v>11</v>
      </c>
      <c r="AC9" s="29">
        <v>15.6</v>
      </c>
      <c r="AD9" s="38"/>
      <c r="AE9" s="29"/>
      <c r="AF9" s="29"/>
      <c r="AG9" s="39"/>
      <c r="AH9" s="29"/>
      <c r="AI9" s="29"/>
      <c r="AJ9" s="29"/>
      <c r="AK9" s="29"/>
      <c r="AL9" s="38"/>
      <c r="AM9" s="29"/>
      <c r="AN9" s="29"/>
      <c r="AO9" s="39"/>
      <c r="AP9" s="38"/>
      <c r="AQ9" s="29"/>
      <c r="AR9" s="29"/>
      <c r="AS9" s="39"/>
      <c r="AT9" s="29"/>
      <c r="AW9" s="39"/>
      <c r="BA9" s="168"/>
    </row>
    <row r="10" spans="1:53" s="51" customFormat="1" x14ac:dyDescent="0.15">
      <c r="A10" s="42">
        <v>1961</v>
      </c>
      <c r="B10" s="43"/>
      <c r="C10" s="394" t="s">
        <v>147</v>
      </c>
      <c r="D10" s="394"/>
      <c r="E10" s="42">
        <v>356</v>
      </c>
      <c r="F10" s="42"/>
      <c r="G10" s="44">
        <v>12</v>
      </c>
      <c r="H10" s="42"/>
      <c r="I10" s="42"/>
      <c r="J10" s="45">
        <v>12</v>
      </c>
      <c r="K10" s="33">
        <f t="shared" si="0"/>
        <v>100</v>
      </c>
      <c r="L10" s="33">
        <f t="shared" si="1"/>
        <v>0</v>
      </c>
      <c r="M10" s="33">
        <f t="shared" si="2"/>
        <v>0</v>
      </c>
      <c r="N10" s="34">
        <f t="shared" si="3"/>
        <v>100</v>
      </c>
      <c r="O10" s="46">
        <v>63.1</v>
      </c>
      <c r="P10" s="47"/>
      <c r="Q10" s="47"/>
      <c r="R10" s="48">
        <f t="shared" si="4"/>
        <v>63.1</v>
      </c>
      <c r="S10" s="52">
        <v>2</v>
      </c>
      <c r="T10" s="50"/>
      <c r="U10" s="41"/>
      <c r="V10" s="38" t="s">
        <v>72</v>
      </c>
      <c r="W10" s="29" t="s">
        <v>74</v>
      </c>
      <c r="X10" s="29" t="s">
        <v>11</v>
      </c>
      <c r="Y10" s="39">
        <v>47.5</v>
      </c>
      <c r="Z10" s="29" t="s">
        <v>73</v>
      </c>
      <c r="AA10" s="29" t="s">
        <v>869</v>
      </c>
      <c r="AB10" s="29" t="s">
        <v>11</v>
      </c>
      <c r="AC10" s="29">
        <v>15.6</v>
      </c>
      <c r="AD10" s="38"/>
      <c r="AE10" s="29"/>
      <c r="AF10" s="29"/>
      <c r="AG10" s="39"/>
      <c r="AH10" s="29"/>
      <c r="AI10" s="29"/>
      <c r="AJ10" s="29"/>
      <c r="AK10" s="29"/>
      <c r="AL10" s="38"/>
      <c r="AM10" s="29"/>
      <c r="AN10" s="29"/>
      <c r="AO10" s="39"/>
      <c r="AP10" s="38"/>
      <c r="AQ10" s="29"/>
      <c r="AR10" s="29"/>
      <c r="AS10" s="39"/>
      <c r="AT10" s="29"/>
      <c r="AW10" s="39"/>
      <c r="BA10" s="168"/>
    </row>
    <row r="11" spans="1:53" s="217" customFormat="1" x14ac:dyDescent="0.15">
      <c r="A11" s="116">
        <v>1961</v>
      </c>
      <c r="B11" s="278">
        <v>22638</v>
      </c>
      <c r="C11" s="402" t="s">
        <v>148</v>
      </c>
      <c r="D11" s="402"/>
      <c r="E11" s="116">
        <f>365-E10</f>
        <v>9</v>
      </c>
      <c r="F11" s="116">
        <v>1</v>
      </c>
      <c r="G11" s="211">
        <v>12</v>
      </c>
      <c r="H11" s="116"/>
      <c r="I11" s="116"/>
      <c r="J11" s="212">
        <v>12</v>
      </c>
      <c r="K11" s="174">
        <f>G11/J11*100</f>
        <v>100</v>
      </c>
      <c r="L11" s="174">
        <f t="shared" si="1"/>
        <v>0</v>
      </c>
      <c r="M11" s="174">
        <f t="shared" si="2"/>
        <v>0</v>
      </c>
      <c r="N11" s="175">
        <f t="shared" si="3"/>
        <v>100</v>
      </c>
      <c r="O11" s="213">
        <v>50.8</v>
      </c>
      <c r="P11" s="214"/>
      <c r="Q11" s="214"/>
      <c r="R11" s="215">
        <f t="shared" si="4"/>
        <v>50.8</v>
      </c>
      <c r="S11" s="216">
        <v>2</v>
      </c>
      <c r="T11" s="285">
        <v>22624</v>
      </c>
      <c r="U11" s="285">
        <v>22638</v>
      </c>
      <c r="V11" s="178" t="s">
        <v>72</v>
      </c>
      <c r="W11" s="171" t="s">
        <v>74</v>
      </c>
      <c r="X11" s="171" t="s">
        <v>11</v>
      </c>
      <c r="Y11" s="179">
        <v>36.9</v>
      </c>
      <c r="Z11" s="171" t="s">
        <v>73</v>
      </c>
      <c r="AA11" s="171" t="s">
        <v>869</v>
      </c>
      <c r="AB11" s="171" t="s">
        <v>11</v>
      </c>
      <c r="AC11" s="171">
        <v>13.9</v>
      </c>
      <c r="AD11" s="178"/>
      <c r="AE11" s="171"/>
      <c r="AF11" s="171"/>
      <c r="AG11" s="179"/>
      <c r="AH11" s="171"/>
      <c r="AI11" s="171"/>
      <c r="AJ11" s="171"/>
      <c r="AK11" s="171"/>
      <c r="AL11" s="178"/>
      <c r="AM11" s="171"/>
      <c r="AN11" s="171"/>
      <c r="AO11" s="179"/>
      <c r="AP11" s="178"/>
      <c r="AQ11" s="171"/>
      <c r="AR11" s="171"/>
      <c r="AS11" s="179"/>
      <c r="AT11" s="171"/>
      <c r="AW11" s="179"/>
      <c r="BA11" s="218"/>
    </row>
    <row r="12" spans="1:53" s="217" customFormat="1" x14ac:dyDescent="0.15">
      <c r="A12" s="116">
        <v>1962</v>
      </c>
      <c r="B12" s="278"/>
      <c r="C12" s="402" t="s">
        <v>148</v>
      </c>
      <c r="D12" s="402"/>
      <c r="E12" s="116">
        <v>0</v>
      </c>
      <c r="F12" s="116"/>
      <c r="G12" s="211">
        <v>12</v>
      </c>
      <c r="H12" s="116"/>
      <c r="I12" s="116"/>
      <c r="J12" s="212">
        <v>12</v>
      </c>
      <c r="K12" s="174">
        <f t="shared" si="0"/>
        <v>100</v>
      </c>
      <c r="L12" s="174">
        <f t="shared" si="1"/>
        <v>0</v>
      </c>
      <c r="M12" s="174">
        <f t="shared" si="2"/>
        <v>0</v>
      </c>
      <c r="N12" s="175">
        <f t="shared" si="3"/>
        <v>100</v>
      </c>
      <c r="O12" s="213">
        <v>50.8</v>
      </c>
      <c r="P12" s="214"/>
      <c r="Q12" s="214"/>
      <c r="R12" s="215">
        <f t="shared" si="4"/>
        <v>50.8</v>
      </c>
      <c r="S12" s="216">
        <v>2</v>
      </c>
      <c r="T12" s="285"/>
      <c r="U12" s="285"/>
      <c r="V12" s="178" t="s">
        <v>72</v>
      </c>
      <c r="W12" s="171" t="s">
        <v>74</v>
      </c>
      <c r="X12" s="171" t="s">
        <v>11</v>
      </c>
      <c r="Y12" s="179">
        <v>36.9</v>
      </c>
      <c r="Z12" s="171" t="s">
        <v>73</v>
      </c>
      <c r="AA12" s="171" t="s">
        <v>869</v>
      </c>
      <c r="AB12" s="171" t="s">
        <v>11</v>
      </c>
      <c r="AC12" s="171">
        <v>13.9</v>
      </c>
      <c r="AD12" s="178"/>
      <c r="AE12" s="171"/>
      <c r="AF12" s="171"/>
      <c r="AG12" s="179"/>
      <c r="AH12" s="171"/>
      <c r="AI12" s="171"/>
      <c r="AJ12" s="171"/>
      <c r="AK12" s="171"/>
      <c r="AL12" s="178"/>
      <c r="AM12" s="171"/>
      <c r="AN12" s="171"/>
      <c r="AO12" s="179"/>
      <c r="AP12" s="178"/>
      <c r="AQ12" s="171"/>
      <c r="AR12" s="171"/>
      <c r="AS12" s="179"/>
      <c r="AT12" s="171"/>
      <c r="AW12" s="179"/>
      <c r="BA12" s="218"/>
    </row>
    <row r="13" spans="1:53" s="217" customFormat="1" x14ac:dyDescent="0.15">
      <c r="A13" s="116">
        <v>1962</v>
      </c>
      <c r="B13" s="278"/>
      <c r="C13" s="402" t="s">
        <v>148</v>
      </c>
      <c r="D13" s="402"/>
      <c r="E13" s="116">
        <f>365-E12</f>
        <v>365</v>
      </c>
      <c r="F13" s="116"/>
      <c r="G13" s="211">
        <v>12</v>
      </c>
      <c r="H13" s="116"/>
      <c r="I13" s="116"/>
      <c r="J13" s="212">
        <v>12</v>
      </c>
      <c r="K13" s="174">
        <f t="shared" si="0"/>
        <v>100</v>
      </c>
      <c r="L13" s="174">
        <f t="shared" si="1"/>
        <v>0</v>
      </c>
      <c r="M13" s="174">
        <f t="shared" si="2"/>
        <v>0</v>
      </c>
      <c r="N13" s="175">
        <f t="shared" si="3"/>
        <v>100</v>
      </c>
      <c r="O13" s="213">
        <v>50.8</v>
      </c>
      <c r="P13" s="214"/>
      <c r="Q13" s="214"/>
      <c r="R13" s="215">
        <f t="shared" si="4"/>
        <v>50.8</v>
      </c>
      <c r="S13" s="216">
        <v>2</v>
      </c>
      <c r="T13" s="285"/>
      <c r="U13" s="285"/>
      <c r="V13" s="178" t="s">
        <v>72</v>
      </c>
      <c r="W13" s="171" t="s">
        <v>74</v>
      </c>
      <c r="X13" s="171" t="s">
        <v>11</v>
      </c>
      <c r="Y13" s="179">
        <v>36.9</v>
      </c>
      <c r="Z13" s="171" t="s">
        <v>73</v>
      </c>
      <c r="AA13" s="171" t="s">
        <v>869</v>
      </c>
      <c r="AB13" s="171" t="s">
        <v>11</v>
      </c>
      <c r="AC13" s="171">
        <v>13.9</v>
      </c>
      <c r="AD13" s="178"/>
      <c r="AE13" s="171"/>
      <c r="AF13" s="171"/>
      <c r="AG13" s="179"/>
      <c r="AH13" s="171"/>
      <c r="AI13" s="171"/>
      <c r="AJ13" s="171"/>
      <c r="AK13" s="171"/>
      <c r="AL13" s="178"/>
      <c r="AM13" s="171"/>
      <c r="AN13" s="171"/>
      <c r="AO13" s="179"/>
      <c r="AP13" s="178"/>
      <c r="AQ13" s="171"/>
      <c r="AR13" s="171"/>
      <c r="AS13" s="179"/>
      <c r="AT13" s="171"/>
      <c r="AW13" s="179"/>
      <c r="BA13" s="218"/>
    </row>
    <row r="14" spans="1:53" s="217" customFormat="1" x14ac:dyDescent="0.15">
      <c r="A14" s="116">
        <v>1962.6</v>
      </c>
      <c r="B14" s="278"/>
      <c r="C14" s="402" t="s">
        <v>148</v>
      </c>
      <c r="D14" s="402"/>
      <c r="E14" s="116">
        <v>350</v>
      </c>
      <c r="F14" s="116"/>
      <c r="G14" s="211">
        <v>12</v>
      </c>
      <c r="H14" s="116"/>
      <c r="I14" s="116"/>
      <c r="J14" s="212">
        <v>12</v>
      </c>
      <c r="K14" s="174">
        <f t="shared" si="0"/>
        <v>100</v>
      </c>
      <c r="L14" s="174">
        <f t="shared" si="1"/>
        <v>0</v>
      </c>
      <c r="M14" s="174">
        <f t="shared" si="2"/>
        <v>0</v>
      </c>
      <c r="N14" s="175">
        <f t="shared" si="3"/>
        <v>100</v>
      </c>
      <c r="O14" s="213">
        <v>50.8</v>
      </c>
      <c r="P14" s="214"/>
      <c r="Q14" s="214"/>
      <c r="R14" s="215">
        <f t="shared" si="4"/>
        <v>50.8</v>
      </c>
      <c r="S14" s="216">
        <v>2</v>
      </c>
      <c r="T14" s="285"/>
      <c r="U14" s="285"/>
      <c r="V14" s="178" t="s">
        <v>72</v>
      </c>
      <c r="W14" s="171" t="s">
        <v>74</v>
      </c>
      <c r="X14" s="171" t="s">
        <v>11</v>
      </c>
      <c r="Y14" s="179">
        <v>36.9</v>
      </c>
      <c r="Z14" s="171" t="s">
        <v>73</v>
      </c>
      <c r="AA14" s="171" t="s">
        <v>869</v>
      </c>
      <c r="AB14" s="171" t="s">
        <v>11</v>
      </c>
      <c r="AC14" s="171">
        <v>13.9</v>
      </c>
      <c r="AD14" s="178"/>
      <c r="AE14" s="171"/>
      <c r="AF14" s="171"/>
      <c r="AG14" s="179"/>
      <c r="AH14" s="171"/>
      <c r="AI14" s="171"/>
      <c r="AJ14" s="171"/>
      <c r="AK14" s="171"/>
      <c r="AL14" s="178"/>
      <c r="AM14" s="171"/>
      <c r="AN14" s="171"/>
      <c r="AO14" s="179"/>
      <c r="AP14" s="178"/>
      <c r="AQ14" s="171"/>
      <c r="AR14" s="171"/>
      <c r="AS14" s="179"/>
      <c r="AT14" s="171"/>
      <c r="AW14" s="179"/>
      <c r="BA14" s="218"/>
    </row>
    <row r="15" spans="1:53" s="51" customFormat="1" x14ac:dyDescent="0.15">
      <c r="A15" s="42">
        <v>1963.05714285714</v>
      </c>
      <c r="B15" s="279">
        <v>23362</v>
      </c>
      <c r="C15" s="394" t="s">
        <v>149</v>
      </c>
      <c r="D15" s="394"/>
      <c r="E15" s="42">
        <f>365-E14</f>
        <v>15</v>
      </c>
      <c r="F15" s="42">
        <v>1</v>
      </c>
      <c r="G15" s="44">
        <v>12</v>
      </c>
      <c r="H15" s="42"/>
      <c r="I15" s="42"/>
      <c r="J15" s="45">
        <v>12</v>
      </c>
      <c r="K15" s="33">
        <f t="shared" si="0"/>
        <v>100</v>
      </c>
      <c r="L15" s="33">
        <f t="shared" si="1"/>
        <v>0</v>
      </c>
      <c r="M15" s="33">
        <f t="shared" si="2"/>
        <v>0</v>
      </c>
      <c r="N15" s="34">
        <f t="shared" si="3"/>
        <v>100</v>
      </c>
      <c r="O15" s="46">
        <v>59</v>
      </c>
      <c r="P15" s="47"/>
      <c r="Q15" s="47"/>
      <c r="R15" s="48">
        <f t="shared" si="4"/>
        <v>59</v>
      </c>
      <c r="S15" s="52">
        <v>2</v>
      </c>
      <c r="T15" s="286">
        <v>23345</v>
      </c>
      <c r="U15" s="286">
        <v>23362</v>
      </c>
      <c r="V15" s="38" t="s">
        <v>72</v>
      </c>
      <c r="W15" s="29" t="s">
        <v>74</v>
      </c>
      <c r="X15" s="29" t="s">
        <v>11</v>
      </c>
      <c r="Y15" s="39">
        <v>42.6</v>
      </c>
      <c r="Z15" s="29" t="s">
        <v>73</v>
      </c>
      <c r="AA15" s="29" t="s">
        <v>869</v>
      </c>
      <c r="AB15" s="29" t="s">
        <v>11</v>
      </c>
      <c r="AC15" s="29">
        <v>16.399999999999999</v>
      </c>
      <c r="AD15" s="38"/>
      <c r="AE15" s="29"/>
      <c r="AF15" s="29"/>
      <c r="AG15" s="39"/>
      <c r="AH15" s="29"/>
      <c r="AI15" s="29"/>
      <c r="AJ15" s="29"/>
      <c r="AK15" s="29"/>
      <c r="AL15" s="38"/>
      <c r="AM15" s="29"/>
      <c r="AN15" s="29"/>
      <c r="AO15" s="39"/>
      <c r="AP15" s="38"/>
      <c r="AQ15" s="29"/>
      <c r="AR15" s="29"/>
      <c r="AS15" s="39"/>
      <c r="AT15" s="29"/>
      <c r="AW15" s="39"/>
      <c r="BA15" s="168"/>
    </row>
    <row r="16" spans="1:53" s="51" customFormat="1" x14ac:dyDescent="0.15">
      <c r="A16" s="42">
        <v>1963.5142857142901</v>
      </c>
      <c r="B16" s="279"/>
      <c r="C16" s="394" t="s">
        <v>149</v>
      </c>
      <c r="D16" s="394"/>
      <c r="E16" s="42">
        <v>0</v>
      </c>
      <c r="F16" s="42"/>
      <c r="G16" s="44">
        <v>12</v>
      </c>
      <c r="H16" s="42"/>
      <c r="I16" s="42"/>
      <c r="J16" s="45">
        <v>12</v>
      </c>
      <c r="K16" s="33">
        <f>G16/J16*100</f>
        <v>100</v>
      </c>
      <c r="L16" s="33">
        <f>H16/J16*100</f>
        <v>0</v>
      </c>
      <c r="M16" s="33">
        <f>I16/J16*100</f>
        <v>0</v>
      </c>
      <c r="N16" s="34">
        <f t="shared" si="3"/>
        <v>100</v>
      </c>
      <c r="O16" s="46">
        <v>59</v>
      </c>
      <c r="P16" s="47"/>
      <c r="Q16" s="47"/>
      <c r="R16" s="48">
        <f t="shared" si="4"/>
        <v>59</v>
      </c>
      <c r="S16" s="52">
        <v>2</v>
      </c>
      <c r="T16" s="286"/>
      <c r="U16" s="286"/>
      <c r="V16" s="38" t="s">
        <v>72</v>
      </c>
      <c r="W16" s="29" t="s">
        <v>74</v>
      </c>
      <c r="X16" s="29" t="s">
        <v>11</v>
      </c>
      <c r="Y16" s="39">
        <v>42.6</v>
      </c>
      <c r="Z16" s="29" t="s">
        <v>73</v>
      </c>
      <c r="AA16" s="29" t="s">
        <v>869</v>
      </c>
      <c r="AB16" s="29" t="s">
        <v>11</v>
      </c>
      <c r="AC16" s="29">
        <v>16.399999999999999</v>
      </c>
      <c r="AD16" s="38"/>
      <c r="AE16" s="29"/>
      <c r="AF16" s="29"/>
      <c r="AG16" s="39"/>
      <c r="AH16" s="29"/>
      <c r="AI16" s="29"/>
      <c r="AJ16" s="29"/>
      <c r="AK16" s="29"/>
      <c r="AL16" s="38"/>
      <c r="AM16" s="29"/>
      <c r="AN16" s="29"/>
      <c r="AO16" s="39"/>
      <c r="AP16" s="38"/>
      <c r="AQ16" s="29"/>
      <c r="AR16" s="29"/>
      <c r="AS16" s="39"/>
      <c r="AT16" s="29"/>
      <c r="AW16" s="39"/>
      <c r="BA16" s="168"/>
    </row>
    <row r="17" spans="1:53" s="51" customFormat="1" x14ac:dyDescent="0.15">
      <c r="A17" s="42">
        <v>1963.9714285714299</v>
      </c>
      <c r="B17" s="279"/>
      <c r="C17" s="394" t="s">
        <v>149</v>
      </c>
      <c r="D17" s="394"/>
      <c r="E17" s="42">
        <v>366</v>
      </c>
      <c r="F17" s="42"/>
      <c r="G17" s="44">
        <v>12</v>
      </c>
      <c r="H17" s="42"/>
      <c r="I17" s="42"/>
      <c r="J17" s="45">
        <v>12</v>
      </c>
      <c r="K17" s="33">
        <f t="shared" ref="K17:K24" si="5">G17/J17*100</f>
        <v>100</v>
      </c>
      <c r="L17" s="33">
        <f t="shared" ref="L17:L24" si="6">H17/J17*100</f>
        <v>0</v>
      </c>
      <c r="M17" s="33">
        <f t="shared" ref="M17:M24" si="7">I17/J17*100</f>
        <v>0</v>
      </c>
      <c r="N17" s="34">
        <f t="shared" si="3"/>
        <v>100</v>
      </c>
      <c r="O17" s="46">
        <v>59</v>
      </c>
      <c r="P17" s="47"/>
      <c r="Q17" s="47"/>
      <c r="R17" s="48">
        <f t="shared" si="4"/>
        <v>59</v>
      </c>
      <c r="S17" s="52">
        <v>2</v>
      </c>
      <c r="T17" s="286"/>
      <c r="U17" s="286"/>
      <c r="V17" s="38" t="s">
        <v>72</v>
      </c>
      <c r="W17" s="29" t="s">
        <v>74</v>
      </c>
      <c r="X17" s="29" t="s">
        <v>11</v>
      </c>
      <c r="Y17" s="39">
        <v>42.6</v>
      </c>
      <c r="Z17" s="29" t="s">
        <v>73</v>
      </c>
      <c r="AA17" s="29" t="s">
        <v>869</v>
      </c>
      <c r="AB17" s="29" t="s">
        <v>11</v>
      </c>
      <c r="AC17" s="29">
        <v>16.399999999999999</v>
      </c>
      <c r="AD17" s="38"/>
      <c r="AE17" s="29"/>
      <c r="AF17" s="29"/>
      <c r="AG17" s="39"/>
      <c r="AH17" s="29"/>
      <c r="AI17" s="29"/>
      <c r="AJ17" s="29"/>
      <c r="AK17" s="29"/>
      <c r="AL17" s="38"/>
      <c r="AM17" s="29"/>
      <c r="AN17" s="29"/>
      <c r="AO17" s="39"/>
      <c r="AP17" s="38"/>
      <c r="AQ17" s="29"/>
      <c r="AR17" s="29"/>
      <c r="AS17" s="39"/>
      <c r="AT17" s="29"/>
      <c r="AW17" s="39"/>
      <c r="BA17" s="168"/>
    </row>
    <row r="18" spans="1:53" s="51" customFormat="1" x14ac:dyDescent="0.15">
      <c r="A18" s="42">
        <v>1965</v>
      </c>
      <c r="B18" s="279"/>
      <c r="C18" s="394" t="s">
        <v>149</v>
      </c>
      <c r="D18" s="394"/>
      <c r="E18" s="42">
        <v>0</v>
      </c>
      <c r="F18" s="42"/>
      <c r="G18" s="44">
        <v>12</v>
      </c>
      <c r="H18" s="42"/>
      <c r="I18" s="42"/>
      <c r="J18" s="45">
        <v>12</v>
      </c>
      <c r="K18" s="33">
        <f t="shared" si="5"/>
        <v>100</v>
      </c>
      <c r="L18" s="33">
        <f t="shared" si="6"/>
        <v>0</v>
      </c>
      <c r="M18" s="33">
        <f t="shared" si="7"/>
        <v>0</v>
      </c>
      <c r="N18" s="34">
        <f t="shared" si="3"/>
        <v>100</v>
      </c>
      <c r="O18" s="46">
        <v>59</v>
      </c>
      <c r="P18" s="47"/>
      <c r="Q18" s="47"/>
      <c r="R18" s="48">
        <f t="shared" si="4"/>
        <v>59</v>
      </c>
      <c r="S18" s="52">
        <v>2</v>
      </c>
      <c r="T18" s="286"/>
      <c r="U18" s="286"/>
      <c r="V18" s="38" t="s">
        <v>72</v>
      </c>
      <c r="W18" s="29" t="s">
        <v>74</v>
      </c>
      <c r="X18" s="29" t="s">
        <v>11</v>
      </c>
      <c r="Y18" s="39">
        <v>42.6</v>
      </c>
      <c r="Z18" s="29" t="s">
        <v>73</v>
      </c>
      <c r="AA18" s="29" t="s">
        <v>869</v>
      </c>
      <c r="AB18" s="29" t="s">
        <v>11</v>
      </c>
      <c r="AC18" s="29">
        <v>16.399999999999999</v>
      </c>
      <c r="AD18" s="38"/>
      <c r="AE18" s="29"/>
      <c r="AF18" s="29"/>
      <c r="AG18" s="39"/>
      <c r="AH18" s="29"/>
      <c r="AI18" s="29"/>
      <c r="AJ18" s="29"/>
      <c r="AK18" s="29"/>
      <c r="AL18" s="38"/>
      <c r="AM18" s="29"/>
      <c r="AN18" s="29"/>
      <c r="AO18" s="39"/>
      <c r="AP18" s="38"/>
      <c r="AQ18" s="29"/>
      <c r="AR18" s="29"/>
      <c r="AS18" s="39"/>
      <c r="AT18" s="29"/>
      <c r="AW18" s="39"/>
      <c r="BA18" s="168"/>
    </row>
    <row r="19" spans="1:53" s="51" customFormat="1" x14ac:dyDescent="0.15">
      <c r="A19" s="42">
        <v>1964.88571428572</v>
      </c>
      <c r="B19" s="279"/>
      <c r="C19" s="394" t="s">
        <v>149</v>
      </c>
      <c r="D19" s="394"/>
      <c r="E19" s="42">
        <f>365-E18</f>
        <v>365</v>
      </c>
      <c r="F19" s="42"/>
      <c r="G19" s="44">
        <v>12</v>
      </c>
      <c r="H19" s="42"/>
      <c r="I19" s="42"/>
      <c r="J19" s="45">
        <v>12</v>
      </c>
      <c r="K19" s="33">
        <f t="shared" si="5"/>
        <v>100</v>
      </c>
      <c r="L19" s="33">
        <f t="shared" si="6"/>
        <v>0</v>
      </c>
      <c r="M19" s="33">
        <f t="shared" si="7"/>
        <v>0</v>
      </c>
      <c r="N19" s="34">
        <f t="shared" si="3"/>
        <v>100</v>
      </c>
      <c r="O19" s="46">
        <v>59</v>
      </c>
      <c r="P19" s="47"/>
      <c r="Q19" s="47"/>
      <c r="R19" s="48">
        <f t="shared" si="4"/>
        <v>59</v>
      </c>
      <c r="S19" s="52">
        <v>2</v>
      </c>
      <c r="T19" s="286"/>
      <c r="U19" s="286"/>
      <c r="V19" s="38" t="s">
        <v>72</v>
      </c>
      <c r="W19" s="29" t="s">
        <v>74</v>
      </c>
      <c r="X19" s="29" t="s">
        <v>11</v>
      </c>
      <c r="Y19" s="39">
        <v>42.6</v>
      </c>
      <c r="Z19" s="29" t="s">
        <v>73</v>
      </c>
      <c r="AA19" s="29" t="s">
        <v>869</v>
      </c>
      <c r="AB19" s="29" t="s">
        <v>11</v>
      </c>
      <c r="AC19" s="29">
        <v>16.399999999999999</v>
      </c>
      <c r="AD19" s="38"/>
      <c r="AE19" s="29"/>
      <c r="AF19" s="29"/>
      <c r="AG19" s="39"/>
      <c r="AH19" s="29"/>
      <c r="AI19" s="29"/>
      <c r="AJ19" s="29"/>
      <c r="AK19" s="29"/>
      <c r="AL19" s="38"/>
      <c r="AM19" s="29"/>
      <c r="AN19" s="29"/>
      <c r="AO19" s="39"/>
      <c r="AP19" s="38"/>
      <c r="AQ19" s="29"/>
      <c r="AR19" s="29"/>
      <c r="AS19" s="39"/>
      <c r="AT19" s="29"/>
      <c r="AW19" s="39"/>
      <c r="BA19" s="168"/>
    </row>
    <row r="20" spans="1:53" s="51" customFormat="1" x14ac:dyDescent="0.15">
      <c r="A20" s="42">
        <v>1966</v>
      </c>
      <c r="B20" s="279"/>
      <c r="C20" s="394" t="s">
        <v>149</v>
      </c>
      <c r="D20" s="394"/>
      <c r="E20" s="42">
        <v>25</v>
      </c>
      <c r="F20" s="42"/>
      <c r="G20" s="44">
        <v>12</v>
      </c>
      <c r="H20" s="42"/>
      <c r="I20" s="42"/>
      <c r="J20" s="45">
        <v>12</v>
      </c>
      <c r="K20" s="33">
        <f t="shared" si="5"/>
        <v>100</v>
      </c>
      <c r="L20" s="33">
        <f t="shared" si="6"/>
        <v>0</v>
      </c>
      <c r="M20" s="33">
        <f t="shared" si="7"/>
        <v>0</v>
      </c>
      <c r="N20" s="34">
        <f t="shared" si="3"/>
        <v>100</v>
      </c>
      <c r="O20" s="46">
        <v>59</v>
      </c>
      <c r="P20" s="47"/>
      <c r="Q20" s="47"/>
      <c r="R20" s="48">
        <f t="shared" si="4"/>
        <v>59</v>
      </c>
      <c r="S20" s="52">
        <v>2</v>
      </c>
      <c r="T20" s="286"/>
      <c r="U20" s="286"/>
      <c r="V20" s="38" t="s">
        <v>72</v>
      </c>
      <c r="W20" s="29" t="s">
        <v>74</v>
      </c>
      <c r="X20" s="29" t="s">
        <v>11</v>
      </c>
      <c r="Y20" s="39">
        <v>42.6</v>
      </c>
      <c r="Z20" s="29" t="s">
        <v>73</v>
      </c>
      <c r="AA20" s="29" t="s">
        <v>869</v>
      </c>
      <c r="AB20" s="29" t="s">
        <v>11</v>
      </c>
      <c r="AC20" s="29">
        <v>16.399999999999999</v>
      </c>
      <c r="AD20" s="38"/>
      <c r="AE20" s="29"/>
      <c r="AF20" s="29"/>
      <c r="AG20" s="39"/>
      <c r="AH20" s="29"/>
      <c r="AI20" s="29"/>
      <c r="AJ20" s="29"/>
      <c r="AK20" s="29"/>
      <c r="AL20" s="38"/>
      <c r="AM20" s="29"/>
      <c r="AN20" s="29"/>
      <c r="AO20" s="39"/>
      <c r="AP20" s="38"/>
      <c r="AQ20" s="29"/>
      <c r="AR20" s="29"/>
      <c r="AS20" s="39"/>
      <c r="AT20" s="29"/>
      <c r="AW20" s="39"/>
      <c r="BA20" s="168"/>
    </row>
    <row r="21" spans="1:53" s="217" customFormat="1" x14ac:dyDescent="0.15">
      <c r="A21" s="116">
        <v>1965.8</v>
      </c>
      <c r="B21" s="278">
        <v>24133</v>
      </c>
      <c r="C21" s="402" t="s">
        <v>150</v>
      </c>
      <c r="D21" s="402"/>
      <c r="E21" s="116">
        <v>322</v>
      </c>
      <c r="F21" s="116">
        <v>2</v>
      </c>
      <c r="G21" s="211">
        <v>12</v>
      </c>
      <c r="H21" s="116"/>
      <c r="I21" s="116"/>
      <c r="J21" s="212">
        <v>12</v>
      </c>
      <c r="K21" s="174">
        <f>G21/J21*100</f>
        <v>100</v>
      </c>
      <c r="L21" s="174">
        <f>H21/J21*100</f>
        <v>0</v>
      </c>
      <c r="M21" s="174">
        <f>I21/J21*100</f>
        <v>0</v>
      </c>
      <c r="N21" s="175">
        <f t="shared" si="3"/>
        <v>100</v>
      </c>
      <c r="O21" s="213">
        <v>59</v>
      </c>
      <c r="P21" s="214"/>
      <c r="Q21" s="214"/>
      <c r="R21" s="215">
        <f t="shared" si="4"/>
        <v>59</v>
      </c>
      <c r="S21" s="216">
        <v>2</v>
      </c>
      <c r="T21" s="285"/>
      <c r="U21" s="285">
        <v>24130</v>
      </c>
      <c r="V21" s="178" t="s">
        <v>72</v>
      </c>
      <c r="W21" s="171" t="s">
        <v>74</v>
      </c>
      <c r="X21" s="171" t="s">
        <v>11</v>
      </c>
      <c r="Y21" s="179">
        <v>42.6</v>
      </c>
      <c r="Z21" s="171" t="s">
        <v>73</v>
      </c>
      <c r="AA21" s="171" t="s">
        <v>869</v>
      </c>
      <c r="AB21" s="171" t="s">
        <v>11</v>
      </c>
      <c r="AC21" s="171">
        <v>16.399999999999999</v>
      </c>
      <c r="AD21" s="178"/>
      <c r="AE21" s="171"/>
      <c r="AF21" s="171"/>
      <c r="AG21" s="179"/>
      <c r="AH21" s="171"/>
      <c r="AI21" s="171"/>
      <c r="AJ21" s="171"/>
      <c r="AK21" s="171"/>
      <c r="AL21" s="178"/>
      <c r="AM21" s="171"/>
      <c r="AN21" s="171"/>
      <c r="AO21" s="179"/>
      <c r="AP21" s="178"/>
      <c r="AQ21" s="171"/>
      <c r="AR21" s="171"/>
      <c r="AS21" s="179"/>
      <c r="AT21" s="171"/>
      <c r="AW21" s="179"/>
      <c r="BA21" s="218"/>
    </row>
    <row r="22" spans="1:53" s="51" customFormat="1" x14ac:dyDescent="0.15">
      <c r="A22" s="42">
        <v>1965.8</v>
      </c>
      <c r="B22" s="279">
        <v>24455</v>
      </c>
      <c r="C22" s="394" t="s">
        <v>151</v>
      </c>
      <c r="D22" s="394"/>
      <c r="E22" s="42">
        <v>18</v>
      </c>
      <c r="F22" s="42">
        <v>1</v>
      </c>
      <c r="G22" s="44">
        <v>12</v>
      </c>
      <c r="H22" s="42"/>
      <c r="I22" s="42"/>
      <c r="J22" s="45">
        <v>12</v>
      </c>
      <c r="K22" s="33">
        <f t="shared" si="5"/>
        <v>100</v>
      </c>
      <c r="L22" s="33">
        <f t="shared" si="6"/>
        <v>0</v>
      </c>
      <c r="M22" s="33">
        <f t="shared" si="7"/>
        <v>0</v>
      </c>
      <c r="N22" s="34">
        <f t="shared" si="3"/>
        <v>100</v>
      </c>
      <c r="O22" s="46">
        <v>66.099999999999994</v>
      </c>
      <c r="P22" s="47"/>
      <c r="Q22" s="47"/>
      <c r="R22" s="48">
        <f t="shared" si="4"/>
        <v>66.099999999999994</v>
      </c>
      <c r="S22" s="52">
        <v>2</v>
      </c>
      <c r="T22" s="286">
        <v>24437</v>
      </c>
      <c r="U22" s="286">
        <v>24455</v>
      </c>
      <c r="V22" s="38" t="s">
        <v>72</v>
      </c>
      <c r="W22" s="29" t="s">
        <v>74</v>
      </c>
      <c r="X22" s="29" t="s">
        <v>11</v>
      </c>
      <c r="Y22" s="39">
        <v>49.2</v>
      </c>
      <c r="Z22" s="29" t="s">
        <v>73</v>
      </c>
      <c r="AA22" s="29" t="s">
        <v>869</v>
      </c>
      <c r="AB22" s="29" t="s">
        <v>11</v>
      </c>
      <c r="AC22" s="29">
        <v>16.899999999999999</v>
      </c>
      <c r="AD22" s="38"/>
      <c r="AE22" s="29"/>
      <c r="AF22" s="29"/>
      <c r="AG22" s="39"/>
      <c r="AH22" s="29"/>
      <c r="AI22" s="29"/>
      <c r="AJ22" s="29"/>
      <c r="AK22" s="29"/>
      <c r="AL22" s="38"/>
      <c r="AM22" s="29"/>
      <c r="AN22" s="29"/>
      <c r="AO22" s="39"/>
      <c r="AP22" s="38"/>
      <c r="AQ22" s="29"/>
      <c r="AR22" s="29"/>
      <c r="AS22" s="39"/>
      <c r="AT22" s="29"/>
      <c r="AW22" s="39"/>
      <c r="BA22" s="168"/>
    </row>
    <row r="23" spans="1:53" s="51" customFormat="1" x14ac:dyDescent="0.15">
      <c r="A23" s="42">
        <v>1967</v>
      </c>
      <c r="B23" s="279"/>
      <c r="C23" s="394" t="s">
        <v>151</v>
      </c>
      <c r="D23" s="394"/>
      <c r="E23" s="42">
        <v>351</v>
      </c>
      <c r="F23" s="42"/>
      <c r="G23" s="44">
        <v>12</v>
      </c>
      <c r="H23" s="42"/>
      <c r="I23" s="42"/>
      <c r="J23" s="45">
        <v>12</v>
      </c>
      <c r="K23" s="33">
        <f t="shared" si="5"/>
        <v>100</v>
      </c>
      <c r="L23" s="33">
        <f t="shared" si="6"/>
        <v>0</v>
      </c>
      <c r="M23" s="33">
        <f t="shared" si="7"/>
        <v>0</v>
      </c>
      <c r="N23" s="34">
        <f t="shared" si="3"/>
        <v>100</v>
      </c>
      <c r="O23" s="46">
        <v>66.099999999999994</v>
      </c>
      <c r="P23" s="47"/>
      <c r="Q23" s="47"/>
      <c r="R23" s="48">
        <f t="shared" si="4"/>
        <v>66.099999999999994</v>
      </c>
      <c r="S23" s="52">
        <v>2</v>
      </c>
      <c r="T23" s="286"/>
      <c r="U23" s="286"/>
      <c r="V23" s="38" t="s">
        <v>72</v>
      </c>
      <c r="W23" s="29" t="s">
        <v>74</v>
      </c>
      <c r="X23" s="29" t="s">
        <v>11</v>
      </c>
      <c r="Y23" s="39">
        <v>49.2</v>
      </c>
      <c r="Z23" s="29" t="s">
        <v>73</v>
      </c>
      <c r="AA23" s="29" t="s">
        <v>869</v>
      </c>
      <c r="AB23" s="29" t="s">
        <v>11</v>
      </c>
      <c r="AC23" s="29">
        <v>16.899999999999999</v>
      </c>
      <c r="AD23" s="38"/>
      <c r="AE23" s="29"/>
      <c r="AF23" s="29"/>
      <c r="AG23" s="39"/>
      <c r="AH23" s="29"/>
      <c r="AI23" s="29"/>
      <c r="AJ23" s="29"/>
      <c r="AK23" s="29"/>
      <c r="AL23" s="38"/>
      <c r="AM23" s="29"/>
      <c r="AN23" s="29"/>
      <c r="AO23" s="39"/>
      <c r="AP23" s="38"/>
      <c r="AQ23" s="29"/>
      <c r="AR23" s="29"/>
      <c r="AS23" s="39"/>
      <c r="AT23" s="29"/>
      <c r="AW23" s="39"/>
      <c r="BA23" s="168"/>
    </row>
    <row r="24" spans="1:53" s="217" customFormat="1" x14ac:dyDescent="0.15">
      <c r="A24" s="116">
        <v>1966.7142857142901</v>
      </c>
      <c r="B24" s="278">
        <v>24824</v>
      </c>
      <c r="C24" s="402" t="s">
        <v>152</v>
      </c>
      <c r="D24" s="402"/>
      <c r="E24" s="116">
        <f>365-E23</f>
        <v>14</v>
      </c>
      <c r="F24" s="116">
        <v>3</v>
      </c>
      <c r="G24" s="211">
        <v>11</v>
      </c>
      <c r="H24" s="116"/>
      <c r="I24" s="116"/>
      <c r="J24" s="212">
        <v>11</v>
      </c>
      <c r="K24" s="174">
        <f t="shared" si="5"/>
        <v>100</v>
      </c>
      <c r="L24" s="174">
        <f t="shared" si="6"/>
        <v>0</v>
      </c>
      <c r="M24" s="174">
        <f t="shared" si="7"/>
        <v>0</v>
      </c>
      <c r="N24" s="175">
        <f t="shared" si="3"/>
        <v>100</v>
      </c>
      <c r="O24" s="213">
        <v>66.099999999999994</v>
      </c>
      <c r="P24" s="214"/>
      <c r="Q24" s="214"/>
      <c r="R24" s="215">
        <f t="shared" si="4"/>
        <v>66.099999999999994</v>
      </c>
      <c r="S24" s="216">
        <v>2</v>
      </c>
      <c r="T24" s="285"/>
      <c r="U24" s="285">
        <v>24824</v>
      </c>
      <c r="V24" s="178" t="s">
        <v>72</v>
      </c>
      <c r="W24" s="171" t="s">
        <v>74</v>
      </c>
      <c r="X24" s="171" t="s">
        <v>11</v>
      </c>
      <c r="Y24" s="179">
        <v>49.2</v>
      </c>
      <c r="Z24" s="171" t="s">
        <v>73</v>
      </c>
      <c r="AA24" s="171" t="s">
        <v>869</v>
      </c>
      <c r="AB24" s="171" t="s">
        <v>11</v>
      </c>
      <c r="AC24" s="171">
        <v>16.899999999999999</v>
      </c>
      <c r="AD24" s="178"/>
      <c r="AE24" s="171"/>
      <c r="AF24" s="171"/>
      <c r="AG24" s="179"/>
      <c r="AH24" s="171"/>
      <c r="AI24" s="171"/>
      <c r="AJ24" s="171"/>
      <c r="AK24" s="171"/>
      <c r="AL24" s="178"/>
      <c r="AM24" s="171"/>
      <c r="AN24" s="171"/>
      <c r="AO24" s="179"/>
      <c r="AP24" s="178"/>
      <c r="AQ24" s="171"/>
      <c r="AR24" s="171"/>
      <c r="AS24" s="179"/>
      <c r="AT24" s="171"/>
      <c r="AW24" s="179"/>
      <c r="BA24" s="218"/>
    </row>
    <row r="25" spans="1:53" s="217" customFormat="1" x14ac:dyDescent="0.15">
      <c r="A25" s="116">
        <v>1968</v>
      </c>
      <c r="B25" s="278"/>
      <c r="C25" s="402" t="s">
        <v>152</v>
      </c>
      <c r="D25" s="402"/>
      <c r="E25" s="116">
        <v>9</v>
      </c>
      <c r="F25" s="116"/>
      <c r="G25" s="211">
        <v>11</v>
      </c>
      <c r="H25" s="116"/>
      <c r="I25" s="116"/>
      <c r="J25" s="212">
        <v>11</v>
      </c>
      <c r="K25" s="174">
        <f>G25/J25*100</f>
        <v>100</v>
      </c>
      <c r="L25" s="174">
        <f>H25/J25*100</f>
        <v>0</v>
      </c>
      <c r="M25" s="174">
        <f>I25/J25*100</f>
        <v>0</v>
      </c>
      <c r="N25" s="175">
        <f t="shared" si="3"/>
        <v>100</v>
      </c>
      <c r="O25" s="213">
        <v>66.099999999999994</v>
      </c>
      <c r="P25" s="214"/>
      <c r="Q25" s="214"/>
      <c r="R25" s="215">
        <f t="shared" si="4"/>
        <v>66.099999999999994</v>
      </c>
      <c r="S25" s="216">
        <v>2</v>
      </c>
      <c r="T25" s="285"/>
      <c r="U25" s="285"/>
      <c r="V25" s="178" t="s">
        <v>72</v>
      </c>
      <c r="W25" s="171" t="s">
        <v>74</v>
      </c>
      <c r="X25" s="171" t="s">
        <v>11</v>
      </c>
      <c r="Y25" s="179">
        <v>49.2</v>
      </c>
      <c r="Z25" s="171" t="s">
        <v>73</v>
      </c>
      <c r="AA25" s="171" t="s">
        <v>869</v>
      </c>
      <c r="AB25" s="171" t="s">
        <v>11</v>
      </c>
      <c r="AC25" s="171">
        <v>16.899999999999999</v>
      </c>
      <c r="AD25" s="178"/>
      <c r="AE25" s="171"/>
      <c r="AF25" s="171"/>
      <c r="AG25" s="179"/>
      <c r="AH25" s="171"/>
      <c r="AI25" s="171"/>
      <c r="AJ25" s="171"/>
      <c r="AK25" s="171"/>
      <c r="AL25" s="178"/>
      <c r="AM25" s="171"/>
      <c r="AN25" s="171"/>
      <c r="AO25" s="179"/>
      <c r="AP25" s="178"/>
      <c r="AQ25" s="171"/>
      <c r="AR25" s="171"/>
      <c r="AS25" s="179"/>
      <c r="AT25" s="171"/>
      <c r="AW25" s="179"/>
      <c r="BA25" s="218"/>
    </row>
    <row r="26" spans="1:53" s="51" customFormat="1" x14ac:dyDescent="0.15">
      <c r="A26" s="42">
        <v>1967.62857142857</v>
      </c>
      <c r="B26" s="279">
        <v>24847</v>
      </c>
      <c r="C26" s="394" t="s">
        <v>153</v>
      </c>
      <c r="D26" s="394"/>
      <c r="E26" s="42">
        <v>49</v>
      </c>
      <c r="F26" s="42">
        <v>2</v>
      </c>
      <c r="G26" s="44">
        <v>12</v>
      </c>
      <c r="H26" s="42"/>
      <c r="I26" s="42"/>
      <c r="J26" s="45">
        <v>12</v>
      </c>
      <c r="K26" s="33">
        <f>G26/J26*100</f>
        <v>100</v>
      </c>
      <c r="L26" s="33">
        <f>H26/J26*100</f>
        <v>0</v>
      </c>
      <c r="M26" s="33">
        <f>I26/J26*100</f>
        <v>0</v>
      </c>
      <c r="N26" s="34">
        <f t="shared" si="3"/>
        <v>100</v>
      </c>
      <c r="O26" s="46">
        <v>66.099999999999994</v>
      </c>
      <c r="P26" s="47"/>
      <c r="Q26" s="47"/>
      <c r="R26" s="48">
        <f t="shared" si="4"/>
        <v>66.099999999999994</v>
      </c>
      <c r="S26" s="52">
        <v>2</v>
      </c>
      <c r="T26" s="286"/>
      <c r="U26" s="286">
        <v>24847</v>
      </c>
      <c r="V26" s="38" t="s">
        <v>72</v>
      </c>
      <c r="W26" s="29" t="s">
        <v>74</v>
      </c>
      <c r="X26" s="29" t="s">
        <v>11</v>
      </c>
      <c r="Y26" s="39">
        <v>49.2</v>
      </c>
      <c r="Z26" s="29" t="s">
        <v>73</v>
      </c>
      <c r="AA26" s="29" t="s">
        <v>869</v>
      </c>
      <c r="AB26" s="29" t="s">
        <v>11</v>
      </c>
      <c r="AC26" s="29">
        <v>16.899999999999999</v>
      </c>
      <c r="AD26" s="38"/>
      <c r="AE26" s="29"/>
      <c r="AF26" s="29"/>
      <c r="AG26" s="39"/>
      <c r="AH26" s="29"/>
      <c r="AI26" s="29"/>
      <c r="AJ26" s="29"/>
      <c r="AK26" s="29"/>
      <c r="AL26" s="38"/>
      <c r="AM26" s="29"/>
      <c r="AN26" s="29"/>
      <c r="AO26" s="39"/>
      <c r="AP26" s="38"/>
      <c r="AQ26" s="29"/>
      <c r="AR26" s="29"/>
      <c r="AS26" s="39"/>
      <c r="AT26" s="29"/>
      <c r="AW26" s="39"/>
      <c r="BA26" s="168"/>
    </row>
    <row r="27" spans="1:53" s="51" customFormat="1" x14ac:dyDescent="0.15">
      <c r="A27" s="42">
        <v>1967.62857142857</v>
      </c>
      <c r="B27" s="280">
        <v>24896</v>
      </c>
      <c r="C27" s="394" t="s">
        <v>153</v>
      </c>
      <c r="D27" s="394"/>
      <c r="E27" s="42">
        <v>308</v>
      </c>
      <c r="F27" s="58">
        <v>0</v>
      </c>
      <c r="G27" s="44">
        <v>12</v>
      </c>
      <c r="H27" s="42"/>
      <c r="I27" s="42"/>
      <c r="J27" s="45">
        <v>12</v>
      </c>
      <c r="K27" s="33">
        <f t="shared" ref="K27:K33" si="8">G27/J27*100</f>
        <v>100</v>
      </c>
      <c r="L27" s="33">
        <f t="shared" ref="L27:L33" si="9">H27/J27*100</f>
        <v>0</v>
      </c>
      <c r="M27" s="33">
        <f t="shared" ref="M27:M33" si="10">I27/J27*100</f>
        <v>0</v>
      </c>
      <c r="N27" s="34">
        <f t="shared" si="3"/>
        <v>100</v>
      </c>
      <c r="O27" s="46">
        <v>66.099999999999994</v>
      </c>
      <c r="P27" s="47"/>
      <c r="Q27" s="47"/>
      <c r="R27" s="48">
        <f t="shared" si="4"/>
        <v>66.099999999999994</v>
      </c>
      <c r="S27" s="52">
        <v>2</v>
      </c>
      <c r="T27" s="286"/>
      <c r="U27" s="286"/>
      <c r="V27" s="38" t="s">
        <v>72</v>
      </c>
      <c r="W27" s="29" t="s">
        <v>74</v>
      </c>
      <c r="X27" s="29" t="s">
        <v>11</v>
      </c>
      <c r="Y27" s="39">
        <v>49.2</v>
      </c>
      <c r="Z27" s="29" t="s">
        <v>73</v>
      </c>
      <c r="AA27" s="29" t="s">
        <v>869</v>
      </c>
      <c r="AB27" s="29" t="s">
        <v>11</v>
      </c>
      <c r="AC27" s="29">
        <v>16.899999999999999</v>
      </c>
      <c r="AD27" s="38"/>
      <c r="AE27" s="29"/>
      <c r="AF27" s="29"/>
      <c r="AG27" s="39"/>
      <c r="AH27" s="29"/>
      <c r="AI27" s="29"/>
      <c r="AJ27" s="29"/>
      <c r="AK27" s="29"/>
      <c r="AL27" s="38"/>
      <c r="AM27" s="29"/>
      <c r="AN27" s="29"/>
      <c r="AO27" s="39"/>
      <c r="AP27" s="38"/>
      <c r="AQ27" s="29"/>
      <c r="AR27" s="29"/>
      <c r="AS27" s="39"/>
      <c r="AT27" s="29"/>
      <c r="AW27" s="39"/>
      <c r="BA27" s="168"/>
    </row>
    <row r="28" spans="1:53" s="51" customFormat="1" x14ac:dyDescent="0.15">
      <c r="A28" s="42">
        <v>1969</v>
      </c>
      <c r="B28" s="279"/>
      <c r="C28" s="394" t="s">
        <v>153</v>
      </c>
      <c r="D28" s="394"/>
      <c r="E28" s="42">
        <v>314</v>
      </c>
      <c r="F28" s="42"/>
      <c r="G28" s="44">
        <v>12</v>
      </c>
      <c r="H28" s="42"/>
      <c r="I28" s="42"/>
      <c r="J28" s="45">
        <v>12</v>
      </c>
      <c r="K28" s="33">
        <f t="shared" si="8"/>
        <v>100</v>
      </c>
      <c r="L28" s="33">
        <f t="shared" si="9"/>
        <v>0</v>
      </c>
      <c r="M28" s="33">
        <f t="shared" si="10"/>
        <v>0</v>
      </c>
      <c r="N28" s="34">
        <f t="shared" si="3"/>
        <v>100</v>
      </c>
      <c r="O28" s="46">
        <v>66.099999999999994</v>
      </c>
      <c r="P28" s="47"/>
      <c r="Q28" s="47"/>
      <c r="R28" s="48">
        <f t="shared" si="4"/>
        <v>66.099999999999994</v>
      </c>
      <c r="S28" s="52">
        <v>2</v>
      </c>
      <c r="T28" s="286"/>
      <c r="U28" s="286"/>
      <c r="V28" s="38" t="s">
        <v>72</v>
      </c>
      <c r="W28" s="29" t="s">
        <v>74</v>
      </c>
      <c r="X28" s="29" t="s">
        <v>11</v>
      </c>
      <c r="Y28" s="39">
        <v>49.2</v>
      </c>
      <c r="Z28" s="29" t="s">
        <v>73</v>
      </c>
      <c r="AA28" s="29" t="s">
        <v>869</v>
      </c>
      <c r="AB28" s="29" t="s">
        <v>11</v>
      </c>
      <c r="AC28" s="29">
        <v>16.899999999999999</v>
      </c>
      <c r="AD28" s="38"/>
      <c r="AE28" s="29"/>
      <c r="AF28" s="29"/>
      <c r="AG28" s="39"/>
      <c r="AH28" s="29"/>
      <c r="AI28" s="29"/>
      <c r="AJ28" s="29"/>
      <c r="AK28" s="29"/>
      <c r="AL28" s="38"/>
      <c r="AM28" s="29"/>
      <c r="AN28" s="29"/>
      <c r="AO28" s="39"/>
      <c r="AP28" s="38"/>
      <c r="AQ28" s="29"/>
      <c r="AR28" s="29"/>
      <c r="AS28" s="39"/>
      <c r="AT28" s="29"/>
      <c r="AW28" s="39"/>
      <c r="BA28" s="168"/>
    </row>
    <row r="29" spans="1:53" s="217" customFormat="1" x14ac:dyDescent="0.15">
      <c r="A29" s="116">
        <v>1968.5428571428599</v>
      </c>
      <c r="B29" s="278">
        <v>25518</v>
      </c>
      <c r="C29" s="402" t="s">
        <v>154</v>
      </c>
      <c r="D29" s="402"/>
      <c r="E29" s="116">
        <f>365-E28</f>
        <v>51</v>
      </c>
      <c r="F29" s="116">
        <v>1</v>
      </c>
      <c r="G29" s="211">
        <v>13</v>
      </c>
      <c r="H29" s="116"/>
      <c r="I29" s="116"/>
      <c r="J29" s="212">
        <v>13</v>
      </c>
      <c r="K29" s="174">
        <f>G29/J29*100</f>
        <v>100</v>
      </c>
      <c r="L29" s="174">
        <f t="shared" si="9"/>
        <v>0</v>
      </c>
      <c r="M29" s="174">
        <f t="shared" si="10"/>
        <v>0</v>
      </c>
      <c r="N29" s="175">
        <f t="shared" si="3"/>
        <v>100</v>
      </c>
      <c r="O29" s="213">
        <v>52.8</v>
      </c>
      <c r="P29" s="214"/>
      <c r="Q29" s="214"/>
      <c r="R29" s="215">
        <f t="shared" si="4"/>
        <v>52.8</v>
      </c>
      <c r="S29" s="216">
        <v>2</v>
      </c>
      <c r="T29" s="285">
        <v>25501</v>
      </c>
      <c r="U29" s="285">
        <v>25518</v>
      </c>
      <c r="V29" s="178" t="s">
        <v>72</v>
      </c>
      <c r="W29" s="171" t="s">
        <v>74</v>
      </c>
      <c r="X29" s="171" t="s">
        <v>11</v>
      </c>
      <c r="Y29" s="179">
        <v>36.799999999999997</v>
      </c>
      <c r="Z29" s="171" t="s">
        <v>73</v>
      </c>
      <c r="AA29" s="171" t="s">
        <v>869</v>
      </c>
      <c r="AB29" s="171" t="s">
        <v>11</v>
      </c>
      <c r="AC29" s="171">
        <v>16</v>
      </c>
      <c r="AD29" s="178"/>
      <c r="AE29" s="171"/>
      <c r="AF29" s="171"/>
      <c r="AG29" s="179"/>
      <c r="AH29" s="171"/>
      <c r="AI29" s="171"/>
      <c r="AJ29" s="171"/>
      <c r="AK29" s="171"/>
      <c r="AL29" s="178"/>
      <c r="AM29" s="171"/>
      <c r="AN29" s="171"/>
      <c r="AO29" s="179"/>
      <c r="AP29" s="178"/>
      <c r="AQ29" s="171"/>
      <c r="AR29" s="171"/>
      <c r="AS29" s="179"/>
      <c r="AT29" s="171"/>
      <c r="AW29" s="179"/>
      <c r="BA29" s="218"/>
    </row>
    <row r="30" spans="1:53" s="217" customFormat="1" x14ac:dyDescent="0.15">
      <c r="A30" s="116">
        <v>1970</v>
      </c>
      <c r="B30" s="278"/>
      <c r="C30" s="402" t="s">
        <v>154</v>
      </c>
      <c r="D30" s="402"/>
      <c r="E30" s="116">
        <v>0</v>
      </c>
      <c r="F30" s="116"/>
      <c r="G30" s="211">
        <v>13</v>
      </c>
      <c r="H30" s="116"/>
      <c r="I30" s="116"/>
      <c r="J30" s="212">
        <v>13</v>
      </c>
      <c r="K30" s="174">
        <f t="shared" si="8"/>
        <v>100</v>
      </c>
      <c r="L30" s="174">
        <f t="shared" si="9"/>
        <v>0</v>
      </c>
      <c r="M30" s="174">
        <f t="shared" si="10"/>
        <v>0</v>
      </c>
      <c r="N30" s="175">
        <f t="shared" si="3"/>
        <v>100</v>
      </c>
      <c r="O30" s="213">
        <v>52.8</v>
      </c>
      <c r="P30" s="214"/>
      <c r="Q30" s="214"/>
      <c r="R30" s="215">
        <f t="shared" si="4"/>
        <v>52.8</v>
      </c>
      <c r="S30" s="216">
        <v>2</v>
      </c>
      <c r="T30" s="285"/>
      <c r="U30" s="285"/>
      <c r="V30" s="178" t="s">
        <v>72</v>
      </c>
      <c r="W30" s="171" t="s">
        <v>74</v>
      </c>
      <c r="X30" s="171" t="s">
        <v>11</v>
      </c>
      <c r="Y30" s="179">
        <v>36.799999999999997</v>
      </c>
      <c r="Z30" s="171" t="s">
        <v>73</v>
      </c>
      <c r="AA30" s="171" t="s">
        <v>869</v>
      </c>
      <c r="AB30" s="171" t="s">
        <v>11</v>
      </c>
      <c r="AC30" s="171">
        <v>16</v>
      </c>
      <c r="AD30" s="178"/>
      <c r="AE30" s="171"/>
      <c r="AF30" s="171"/>
      <c r="AG30" s="179"/>
      <c r="AH30" s="171"/>
      <c r="AI30" s="171"/>
      <c r="AJ30" s="171"/>
      <c r="AK30" s="171"/>
      <c r="AL30" s="178"/>
      <c r="AM30" s="171"/>
      <c r="AN30" s="171"/>
      <c r="AO30" s="179"/>
      <c r="AP30" s="178"/>
      <c r="AQ30" s="171"/>
      <c r="AR30" s="171"/>
      <c r="AS30" s="179"/>
      <c r="AT30" s="171"/>
      <c r="AW30" s="179"/>
      <c r="BA30" s="218"/>
    </row>
    <row r="31" spans="1:53" s="217" customFormat="1" x14ac:dyDescent="0.15">
      <c r="A31" s="116">
        <v>1970</v>
      </c>
      <c r="B31" s="278"/>
      <c r="C31" s="402" t="s">
        <v>154</v>
      </c>
      <c r="D31" s="402"/>
      <c r="E31" s="116">
        <f>365-E30</f>
        <v>365</v>
      </c>
      <c r="F31" s="116"/>
      <c r="G31" s="211">
        <v>13</v>
      </c>
      <c r="H31" s="116"/>
      <c r="I31" s="116"/>
      <c r="J31" s="212">
        <v>13</v>
      </c>
      <c r="K31" s="174">
        <f t="shared" si="8"/>
        <v>100</v>
      </c>
      <c r="L31" s="174">
        <f t="shared" si="9"/>
        <v>0</v>
      </c>
      <c r="M31" s="174">
        <f t="shared" si="10"/>
        <v>0</v>
      </c>
      <c r="N31" s="175">
        <f t="shared" si="3"/>
        <v>100</v>
      </c>
      <c r="O31" s="213">
        <v>52.8</v>
      </c>
      <c r="P31" s="214"/>
      <c r="Q31" s="214"/>
      <c r="R31" s="215">
        <f t="shared" si="4"/>
        <v>52.8</v>
      </c>
      <c r="S31" s="216">
        <v>2</v>
      </c>
      <c r="T31" s="285"/>
      <c r="U31" s="285"/>
      <c r="V31" s="178" t="s">
        <v>72</v>
      </c>
      <c r="W31" s="171" t="s">
        <v>74</v>
      </c>
      <c r="X31" s="171" t="s">
        <v>11</v>
      </c>
      <c r="Y31" s="179">
        <v>36.799999999999997</v>
      </c>
      <c r="Z31" s="171" t="s">
        <v>73</v>
      </c>
      <c r="AA31" s="171" t="s">
        <v>869</v>
      </c>
      <c r="AB31" s="171" t="s">
        <v>11</v>
      </c>
      <c r="AC31" s="171">
        <v>16</v>
      </c>
      <c r="AD31" s="178"/>
      <c r="AE31" s="171"/>
      <c r="AF31" s="171"/>
      <c r="AG31" s="179"/>
      <c r="AH31" s="171"/>
      <c r="AI31" s="171"/>
      <c r="AJ31" s="171"/>
      <c r="AK31" s="171"/>
      <c r="AL31" s="178"/>
      <c r="AM31" s="171"/>
      <c r="AN31" s="171"/>
      <c r="AO31" s="179"/>
      <c r="AP31" s="178"/>
      <c r="AQ31" s="171"/>
      <c r="AR31" s="171"/>
      <c r="AS31" s="179"/>
      <c r="AT31" s="171"/>
      <c r="AW31" s="179"/>
      <c r="BA31" s="218"/>
    </row>
    <row r="32" spans="1:53" s="217" customFormat="1" x14ac:dyDescent="0.15">
      <c r="A32" s="116">
        <v>1971</v>
      </c>
      <c r="B32" s="278"/>
      <c r="C32" s="402" t="s">
        <v>154</v>
      </c>
      <c r="D32" s="402"/>
      <c r="E32" s="116">
        <v>79</v>
      </c>
      <c r="F32" s="116"/>
      <c r="G32" s="211">
        <v>13</v>
      </c>
      <c r="H32" s="116"/>
      <c r="I32" s="116"/>
      <c r="J32" s="212">
        <v>13</v>
      </c>
      <c r="K32" s="174">
        <f t="shared" si="8"/>
        <v>100</v>
      </c>
      <c r="L32" s="174">
        <f t="shared" si="9"/>
        <v>0</v>
      </c>
      <c r="M32" s="174">
        <f t="shared" si="10"/>
        <v>0</v>
      </c>
      <c r="N32" s="175">
        <f t="shared" si="3"/>
        <v>100</v>
      </c>
      <c r="O32" s="213">
        <v>52.8</v>
      </c>
      <c r="P32" s="214"/>
      <c r="Q32" s="214"/>
      <c r="R32" s="215">
        <f t="shared" si="4"/>
        <v>52.8</v>
      </c>
      <c r="S32" s="216">
        <v>2</v>
      </c>
      <c r="T32" s="285"/>
      <c r="U32" s="285"/>
      <c r="V32" s="178" t="s">
        <v>72</v>
      </c>
      <c r="W32" s="171" t="s">
        <v>74</v>
      </c>
      <c r="X32" s="171" t="s">
        <v>11</v>
      </c>
      <c r="Y32" s="179">
        <v>36.799999999999997</v>
      </c>
      <c r="Z32" s="171" t="s">
        <v>73</v>
      </c>
      <c r="AA32" s="171" t="s">
        <v>869</v>
      </c>
      <c r="AB32" s="171" t="s">
        <v>11</v>
      </c>
      <c r="AC32" s="171">
        <v>16</v>
      </c>
      <c r="AD32" s="178"/>
      <c r="AE32" s="171"/>
      <c r="AF32" s="171"/>
      <c r="AG32" s="179"/>
      <c r="AH32" s="171"/>
      <c r="AI32" s="171"/>
      <c r="AJ32" s="171"/>
      <c r="AK32" s="171"/>
      <c r="AL32" s="178"/>
      <c r="AM32" s="171"/>
      <c r="AN32" s="171"/>
      <c r="AO32" s="179"/>
      <c r="AP32" s="178"/>
      <c r="AQ32" s="171"/>
      <c r="AR32" s="171"/>
      <c r="AS32" s="179"/>
      <c r="AT32" s="171"/>
      <c r="AW32" s="179"/>
      <c r="BA32" s="218"/>
    </row>
    <row r="33" spans="1:53" s="51" customFormat="1" x14ac:dyDescent="0.15">
      <c r="A33" s="42">
        <v>1971</v>
      </c>
      <c r="B33" s="279">
        <v>26013</v>
      </c>
      <c r="C33" s="394" t="s">
        <v>155</v>
      </c>
      <c r="D33" s="394"/>
      <c r="E33" s="42">
        <v>286</v>
      </c>
      <c r="F33" s="42">
        <v>2</v>
      </c>
      <c r="G33" s="44">
        <v>13</v>
      </c>
      <c r="H33" s="42"/>
      <c r="I33" s="42"/>
      <c r="J33" s="45">
        <v>13</v>
      </c>
      <c r="K33" s="33">
        <f t="shared" si="8"/>
        <v>100</v>
      </c>
      <c r="L33" s="33">
        <f t="shared" si="9"/>
        <v>0</v>
      </c>
      <c r="M33" s="33">
        <f t="shared" si="10"/>
        <v>0</v>
      </c>
      <c r="N33" s="34">
        <f t="shared" si="3"/>
        <v>100</v>
      </c>
      <c r="O33" s="46">
        <v>52.8</v>
      </c>
      <c r="P33" s="47"/>
      <c r="Q33" s="47"/>
      <c r="R33" s="48">
        <f t="shared" si="4"/>
        <v>52.8</v>
      </c>
      <c r="S33" s="52">
        <v>2</v>
      </c>
      <c r="T33" s="286"/>
      <c r="U33" s="286">
        <v>26013</v>
      </c>
      <c r="V33" s="38" t="s">
        <v>72</v>
      </c>
      <c r="W33" s="29" t="s">
        <v>74</v>
      </c>
      <c r="X33" s="29" t="s">
        <v>11</v>
      </c>
      <c r="Y33" s="39">
        <v>36.799999999999997</v>
      </c>
      <c r="Z33" s="29" t="s">
        <v>73</v>
      </c>
      <c r="AA33" s="29" t="s">
        <v>869</v>
      </c>
      <c r="AB33" s="29" t="s">
        <v>11</v>
      </c>
      <c r="AC33" s="29">
        <v>16</v>
      </c>
      <c r="AD33" s="38"/>
      <c r="AE33" s="29"/>
      <c r="AF33" s="29"/>
      <c r="AG33" s="39"/>
      <c r="AH33" s="29"/>
      <c r="AI33" s="29"/>
      <c r="AJ33" s="29"/>
      <c r="AK33" s="29"/>
      <c r="AL33" s="38"/>
      <c r="AM33" s="29"/>
      <c r="AN33" s="29"/>
      <c r="AO33" s="39"/>
      <c r="AP33" s="38"/>
      <c r="AQ33" s="29"/>
      <c r="AR33" s="29"/>
      <c r="AS33" s="39"/>
      <c r="AT33" s="29"/>
      <c r="AW33" s="39"/>
      <c r="BA33" s="168"/>
    </row>
    <row r="34" spans="1:53" s="51" customFormat="1" x14ac:dyDescent="0.15">
      <c r="A34" s="42">
        <v>1972</v>
      </c>
      <c r="B34" s="279"/>
      <c r="C34" s="394" t="s">
        <v>155</v>
      </c>
      <c r="D34" s="394"/>
      <c r="E34" s="42">
        <v>353</v>
      </c>
      <c r="F34" s="42"/>
      <c r="G34" s="44">
        <v>13</v>
      </c>
      <c r="H34" s="42"/>
      <c r="I34" s="42"/>
      <c r="J34" s="45">
        <v>13</v>
      </c>
      <c r="K34" s="33">
        <f t="shared" ref="K34:K41" si="11">G34/J34*100</f>
        <v>100</v>
      </c>
      <c r="L34" s="33">
        <f t="shared" ref="L34:L41" si="12">H34/J34*100</f>
        <v>0</v>
      </c>
      <c r="M34" s="33">
        <f t="shared" ref="M34:M41" si="13">I34/J34*100</f>
        <v>0</v>
      </c>
      <c r="N34" s="34">
        <f t="shared" si="3"/>
        <v>100</v>
      </c>
      <c r="O34" s="46">
        <v>52.8</v>
      </c>
      <c r="P34" s="47"/>
      <c r="Q34" s="47"/>
      <c r="R34" s="48">
        <f t="shared" si="4"/>
        <v>52.8</v>
      </c>
      <c r="S34" s="52">
        <v>2</v>
      </c>
      <c r="T34" s="286"/>
      <c r="U34" s="286"/>
      <c r="V34" s="38" t="s">
        <v>72</v>
      </c>
      <c r="W34" s="29" t="s">
        <v>74</v>
      </c>
      <c r="X34" s="29" t="s">
        <v>11</v>
      </c>
      <c r="Y34" s="39">
        <v>36.799999999999997</v>
      </c>
      <c r="Z34" s="29" t="s">
        <v>73</v>
      </c>
      <c r="AA34" s="29" t="s">
        <v>869</v>
      </c>
      <c r="AB34" s="29" t="s">
        <v>11</v>
      </c>
      <c r="AC34" s="29">
        <v>16</v>
      </c>
      <c r="AD34" s="38"/>
      <c r="AE34" s="29"/>
      <c r="AF34" s="29"/>
      <c r="AG34" s="39"/>
      <c r="AH34" s="29"/>
      <c r="AI34" s="29"/>
      <c r="AJ34" s="29"/>
      <c r="AK34" s="29"/>
      <c r="AL34" s="38"/>
      <c r="AM34" s="29"/>
      <c r="AN34" s="29"/>
      <c r="AO34" s="39"/>
      <c r="AP34" s="38"/>
      <c r="AQ34" s="29"/>
      <c r="AR34" s="29"/>
      <c r="AS34" s="39"/>
      <c r="AT34" s="29"/>
      <c r="AW34" s="39"/>
      <c r="BA34" s="168"/>
    </row>
    <row r="35" spans="1:53" s="217" customFormat="1" x14ac:dyDescent="0.15">
      <c r="A35" s="116">
        <v>1972</v>
      </c>
      <c r="B35" s="278">
        <v>26652</v>
      </c>
      <c r="C35" s="402" t="s">
        <v>156</v>
      </c>
      <c r="D35" s="402"/>
      <c r="E35" s="116">
        <v>13</v>
      </c>
      <c r="F35" s="116">
        <v>1</v>
      </c>
      <c r="G35" s="211"/>
      <c r="H35" s="116"/>
      <c r="I35" s="116">
        <v>27</v>
      </c>
      <c r="J35" s="212">
        <v>27</v>
      </c>
      <c r="K35" s="174">
        <f t="shared" si="11"/>
        <v>0</v>
      </c>
      <c r="L35" s="174">
        <f t="shared" si="12"/>
        <v>0</v>
      </c>
      <c r="M35" s="174">
        <f t="shared" si="13"/>
        <v>100</v>
      </c>
      <c r="N35" s="175">
        <f t="shared" si="3"/>
        <v>100</v>
      </c>
      <c r="O35" s="213"/>
      <c r="P35" s="214"/>
      <c r="Q35" s="214">
        <v>53.6</v>
      </c>
      <c r="R35" s="215">
        <f t="shared" si="4"/>
        <v>53.6</v>
      </c>
      <c r="S35" s="216">
        <v>1</v>
      </c>
      <c r="T35" s="285">
        <v>26635</v>
      </c>
      <c r="U35" s="285">
        <v>26652</v>
      </c>
      <c r="V35" s="178" t="s">
        <v>77</v>
      </c>
      <c r="W35" s="171" t="s">
        <v>20</v>
      </c>
      <c r="X35" s="171" t="s">
        <v>12</v>
      </c>
      <c r="Y35" s="179">
        <v>53.6</v>
      </c>
      <c r="Z35" s="171"/>
      <c r="AA35" s="171"/>
      <c r="AB35" s="171"/>
      <c r="AC35" s="171"/>
      <c r="AD35" s="178"/>
      <c r="AE35" s="171"/>
      <c r="AF35" s="171"/>
      <c r="AG35" s="179"/>
      <c r="AH35" s="171"/>
      <c r="AI35" s="171"/>
      <c r="AJ35" s="171"/>
      <c r="AK35" s="171"/>
      <c r="AL35" s="178"/>
      <c r="AM35" s="171"/>
      <c r="AN35" s="171"/>
      <c r="AO35" s="179"/>
      <c r="AP35" s="178"/>
      <c r="AQ35" s="171"/>
      <c r="AR35" s="171"/>
      <c r="AS35" s="179"/>
      <c r="AT35" s="171"/>
      <c r="AW35" s="179"/>
      <c r="BA35" s="218"/>
    </row>
    <row r="36" spans="1:53" s="217" customFormat="1" x14ac:dyDescent="0.15">
      <c r="A36" s="116">
        <v>1973</v>
      </c>
      <c r="B36" s="278"/>
      <c r="C36" s="402" t="s">
        <v>156</v>
      </c>
      <c r="D36" s="402"/>
      <c r="E36" s="116">
        <v>0</v>
      </c>
      <c r="F36" s="116"/>
      <c r="G36" s="211"/>
      <c r="H36" s="116"/>
      <c r="I36" s="116">
        <v>27</v>
      </c>
      <c r="J36" s="212">
        <v>27</v>
      </c>
      <c r="K36" s="174">
        <f t="shared" si="11"/>
        <v>0</v>
      </c>
      <c r="L36" s="174">
        <f t="shared" si="12"/>
        <v>0</v>
      </c>
      <c r="M36" s="174">
        <f t="shared" si="13"/>
        <v>100</v>
      </c>
      <c r="N36" s="175">
        <f t="shared" si="3"/>
        <v>100</v>
      </c>
      <c r="O36" s="213"/>
      <c r="P36" s="214"/>
      <c r="Q36" s="214">
        <v>53.6</v>
      </c>
      <c r="R36" s="215">
        <f t="shared" si="4"/>
        <v>53.6</v>
      </c>
      <c r="S36" s="216">
        <v>1</v>
      </c>
      <c r="T36" s="285"/>
      <c r="U36" s="285"/>
      <c r="V36" s="178" t="s">
        <v>77</v>
      </c>
      <c r="W36" s="171" t="s">
        <v>20</v>
      </c>
      <c r="X36" s="171" t="s">
        <v>12</v>
      </c>
      <c r="Y36" s="179">
        <v>53.6</v>
      </c>
      <c r="Z36" s="171"/>
      <c r="AA36" s="171"/>
      <c r="AB36" s="171"/>
      <c r="AC36" s="171"/>
      <c r="AD36" s="178"/>
      <c r="AE36" s="171"/>
      <c r="AF36" s="171"/>
      <c r="AG36" s="179"/>
      <c r="AH36" s="171"/>
      <c r="AI36" s="171"/>
      <c r="AJ36" s="171"/>
      <c r="AK36" s="171"/>
      <c r="AL36" s="178"/>
      <c r="AM36" s="171"/>
      <c r="AN36" s="171"/>
      <c r="AO36" s="179"/>
      <c r="AP36" s="178"/>
      <c r="AQ36" s="171"/>
      <c r="AR36" s="171"/>
      <c r="AS36" s="179"/>
      <c r="AT36" s="171"/>
      <c r="AW36" s="179"/>
      <c r="BA36" s="218"/>
    </row>
    <row r="37" spans="1:53" s="217" customFormat="1" x14ac:dyDescent="0.15">
      <c r="A37" s="116">
        <v>1973</v>
      </c>
      <c r="B37" s="278"/>
      <c r="C37" s="402" t="s">
        <v>156</v>
      </c>
      <c r="D37" s="402"/>
      <c r="E37" s="116">
        <f>365-E36</f>
        <v>365</v>
      </c>
      <c r="F37" s="116"/>
      <c r="G37" s="211"/>
      <c r="H37" s="116"/>
      <c r="I37" s="116">
        <v>27</v>
      </c>
      <c r="J37" s="212">
        <v>27</v>
      </c>
      <c r="K37" s="174">
        <f t="shared" si="11"/>
        <v>0</v>
      </c>
      <c r="L37" s="174">
        <f t="shared" si="12"/>
        <v>0</v>
      </c>
      <c r="M37" s="174">
        <f t="shared" si="13"/>
        <v>100</v>
      </c>
      <c r="N37" s="175">
        <f t="shared" si="3"/>
        <v>100</v>
      </c>
      <c r="O37" s="213"/>
      <c r="P37" s="214"/>
      <c r="Q37" s="214">
        <v>53.6</v>
      </c>
      <c r="R37" s="215">
        <f t="shared" si="4"/>
        <v>53.6</v>
      </c>
      <c r="S37" s="216">
        <v>1</v>
      </c>
      <c r="T37" s="285"/>
      <c r="U37" s="285"/>
      <c r="V37" s="178" t="s">
        <v>77</v>
      </c>
      <c r="W37" s="171" t="s">
        <v>20</v>
      </c>
      <c r="X37" s="171" t="s">
        <v>12</v>
      </c>
      <c r="Y37" s="179">
        <v>53.6</v>
      </c>
      <c r="Z37" s="171"/>
      <c r="AA37" s="171"/>
      <c r="AB37" s="171"/>
      <c r="AC37" s="171"/>
      <c r="AD37" s="178"/>
      <c r="AE37" s="171"/>
      <c r="AF37" s="171"/>
      <c r="AG37" s="179"/>
      <c r="AH37" s="171"/>
      <c r="AI37" s="171"/>
      <c r="AJ37" s="171"/>
      <c r="AK37" s="171"/>
      <c r="AL37" s="178"/>
      <c r="AM37" s="171"/>
      <c r="AN37" s="171"/>
      <c r="AO37" s="179"/>
      <c r="AP37" s="178"/>
      <c r="AQ37" s="171"/>
      <c r="AR37" s="171"/>
      <c r="AS37" s="179"/>
      <c r="AT37" s="171"/>
      <c r="AW37" s="179"/>
      <c r="BA37" s="218"/>
    </row>
    <row r="38" spans="1:53" s="217" customFormat="1" x14ac:dyDescent="0.15">
      <c r="A38" s="116">
        <v>1974</v>
      </c>
      <c r="B38" s="278"/>
      <c r="C38" s="402" t="s">
        <v>156</v>
      </c>
      <c r="D38" s="402"/>
      <c r="E38" s="116">
        <v>162</v>
      </c>
      <c r="F38" s="116"/>
      <c r="G38" s="211"/>
      <c r="H38" s="116"/>
      <c r="I38" s="116">
        <v>27</v>
      </c>
      <c r="J38" s="212">
        <v>27</v>
      </c>
      <c r="K38" s="174">
        <f t="shared" si="11"/>
        <v>0</v>
      </c>
      <c r="L38" s="174">
        <f t="shared" si="12"/>
        <v>0</v>
      </c>
      <c r="M38" s="174">
        <f t="shared" si="13"/>
        <v>100</v>
      </c>
      <c r="N38" s="175">
        <f t="shared" si="3"/>
        <v>100</v>
      </c>
      <c r="O38" s="213"/>
      <c r="P38" s="214"/>
      <c r="Q38" s="214">
        <v>53.6</v>
      </c>
      <c r="R38" s="215">
        <f t="shared" si="4"/>
        <v>53.6</v>
      </c>
      <c r="S38" s="216">
        <v>1</v>
      </c>
      <c r="T38" s="285"/>
      <c r="U38" s="285"/>
      <c r="V38" s="178" t="s">
        <v>77</v>
      </c>
      <c r="W38" s="171" t="s">
        <v>20</v>
      </c>
      <c r="X38" s="171" t="s">
        <v>12</v>
      </c>
      <c r="Y38" s="179">
        <v>53.6</v>
      </c>
      <c r="Z38" s="171"/>
      <c r="AA38" s="171"/>
      <c r="AB38" s="171"/>
      <c r="AC38" s="171"/>
      <c r="AD38" s="178"/>
      <c r="AE38" s="171"/>
      <c r="AF38" s="171"/>
      <c r="AG38" s="179"/>
      <c r="AH38" s="171"/>
      <c r="AI38" s="171"/>
      <c r="AJ38" s="171"/>
      <c r="AK38" s="171"/>
      <c r="AL38" s="178"/>
      <c r="AM38" s="171"/>
      <c r="AN38" s="171"/>
      <c r="AO38" s="179"/>
      <c r="AP38" s="178"/>
      <c r="AQ38" s="171"/>
      <c r="AR38" s="171"/>
      <c r="AS38" s="179"/>
      <c r="AT38" s="171"/>
      <c r="AW38" s="179"/>
      <c r="BA38" s="218"/>
    </row>
    <row r="39" spans="1:53" s="51" customFormat="1" x14ac:dyDescent="0.15">
      <c r="A39" s="42">
        <v>1974</v>
      </c>
      <c r="B39" s="279">
        <v>27192</v>
      </c>
      <c r="C39" s="394" t="s">
        <v>157</v>
      </c>
      <c r="D39" s="394"/>
      <c r="E39" s="42">
        <f>365-E38</f>
        <v>203</v>
      </c>
      <c r="F39" s="42">
        <v>1</v>
      </c>
      <c r="G39" s="44"/>
      <c r="H39" s="42"/>
      <c r="I39" s="42">
        <v>27</v>
      </c>
      <c r="J39" s="45">
        <v>27</v>
      </c>
      <c r="K39" s="33">
        <f t="shared" si="11"/>
        <v>0</v>
      </c>
      <c r="L39" s="33">
        <f t="shared" si="12"/>
        <v>0</v>
      </c>
      <c r="M39" s="33">
        <f t="shared" si="13"/>
        <v>100</v>
      </c>
      <c r="N39" s="34">
        <f t="shared" si="3"/>
        <v>100</v>
      </c>
      <c r="O39" s="46"/>
      <c r="P39" s="47"/>
      <c r="Q39" s="47">
        <v>52</v>
      </c>
      <c r="R39" s="48">
        <f t="shared" si="4"/>
        <v>52</v>
      </c>
      <c r="S39" s="52">
        <v>1</v>
      </c>
      <c r="T39" s="286">
        <v>27167</v>
      </c>
      <c r="U39" s="286">
        <v>27192</v>
      </c>
      <c r="V39" s="38" t="s">
        <v>77</v>
      </c>
      <c r="W39" s="29" t="s">
        <v>20</v>
      </c>
      <c r="X39" s="29" t="s">
        <v>12</v>
      </c>
      <c r="Y39" s="39">
        <v>52</v>
      </c>
      <c r="Z39" s="29"/>
      <c r="AA39" s="29"/>
      <c r="AB39" s="29"/>
      <c r="AC39" s="29"/>
      <c r="AD39" s="38"/>
      <c r="AE39" s="29"/>
      <c r="AF39" s="29"/>
      <c r="AG39" s="39"/>
      <c r="AH39" s="29"/>
      <c r="AI39" s="29"/>
      <c r="AJ39" s="29"/>
      <c r="AK39" s="29"/>
      <c r="AL39" s="38"/>
      <c r="AM39" s="29"/>
      <c r="AN39" s="29"/>
      <c r="AO39" s="39"/>
      <c r="AP39" s="38"/>
      <c r="AQ39" s="29"/>
      <c r="AR39" s="29"/>
      <c r="AS39" s="39"/>
      <c r="AT39" s="29"/>
      <c r="AW39" s="39"/>
      <c r="BA39" s="168"/>
    </row>
    <row r="40" spans="1:53" s="51" customFormat="1" x14ac:dyDescent="0.15">
      <c r="A40" s="42">
        <v>1975</v>
      </c>
      <c r="B40" s="279"/>
      <c r="C40" s="394" t="s">
        <v>157</v>
      </c>
      <c r="D40" s="394"/>
      <c r="E40" s="42">
        <v>315</v>
      </c>
      <c r="F40" s="42"/>
      <c r="G40" s="44"/>
      <c r="H40" s="42"/>
      <c r="I40" s="42">
        <v>27</v>
      </c>
      <c r="J40" s="45">
        <v>27</v>
      </c>
      <c r="K40" s="33">
        <f t="shared" si="11"/>
        <v>0</v>
      </c>
      <c r="L40" s="33">
        <f t="shared" si="12"/>
        <v>0</v>
      </c>
      <c r="M40" s="33">
        <f t="shared" si="13"/>
        <v>100</v>
      </c>
      <c r="N40" s="34">
        <f t="shared" si="3"/>
        <v>100</v>
      </c>
      <c r="O40" s="46"/>
      <c r="P40" s="47"/>
      <c r="Q40" s="47">
        <v>52</v>
      </c>
      <c r="R40" s="48">
        <f t="shared" si="4"/>
        <v>52</v>
      </c>
      <c r="S40" s="52">
        <v>1</v>
      </c>
      <c r="T40" s="286"/>
      <c r="U40" s="286"/>
      <c r="V40" s="38" t="s">
        <v>77</v>
      </c>
      <c r="W40" s="29" t="s">
        <v>20</v>
      </c>
      <c r="X40" s="29" t="s">
        <v>12</v>
      </c>
      <c r="Y40" s="39">
        <v>52</v>
      </c>
      <c r="Z40" s="29"/>
      <c r="AA40" s="29"/>
      <c r="AB40" s="29"/>
      <c r="AC40" s="29"/>
      <c r="AD40" s="38"/>
      <c r="AE40" s="29"/>
      <c r="AF40" s="29"/>
      <c r="AG40" s="39"/>
      <c r="AH40" s="29"/>
      <c r="AI40" s="29"/>
      <c r="AJ40" s="29"/>
      <c r="AK40" s="29"/>
      <c r="AL40" s="38"/>
      <c r="AM40" s="29"/>
      <c r="AN40" s="29"/>
      <c r="AO40" s="39"/>
      <c r="AP40" s="38"/>
      <c r="AQ40" s="29"/>
      <c r="AR40" s="29"/>
      <c r="AS40" s="39"/>
      <c r="AT40" s="29"/>
      <c r="AW40" s="39"/>
      <c r="BA40" s="168"/>
    </row>
    <row r="41" spans="1:53" s="217" customFormat="1" x14ac:dyDescent="0.15">
      <c r="A41" s="116">
        <v>1975</v>
      </c>
      <c r="B41" s="278">
        <v>27710</v>
      </c>
      <c r="C41" s="402" t="s">
        <v>158</v>
      </c>
      <c r="D41" s="402"/>
      <c r="E41" s="116">
        <v>36</v>
      </c>
      <c r="F41" s="116">
        <v>6</v>
      </c>
      <c r="G41" s="211">
        <v>15</v>
      </c>
      <c r="H41" s="116"/>
      <c r="I41" s="116"/>
      <c r="J41" s="212">
        <v>15</v>
      </c>
      <c r="K41" s="174">
        <f t="shared" si="11"/>
        <v>100</v>
      </c>
      <c r="L41" s="174">
        <f t="shared" si="12"/>
        <v>0</v>
      </c>
      <c r="M41" s="174">
        <f t="shared" si="13"/>
        <v>0</v>
      </c>
      <c r="N41" s="175">
        <f t="shared" si="3"/>
        <v>100</v>
      </c>
      <c r="O41" s="213">
        <v>48</v>
      </c>
      <c r="P41" s="214"/>
      <c r="Q41" s="214"/>
      <c r="R41" s="215">
        <f>SUM(O41:Q41)</f>
        <v>48</v>
      </c>
      <c r="S41" s="216">
        <v>5</v>
      </c>
      <c r="T41" s="285"/>
      <c r="U41" s="285">
        <v>27710</v>
      </c>
      <c r="V41" s="178" t="s">
        <v>72</v>
      </c>
      <c r="W41" s="171" t="s">
        <v>74</v>
      </c>
      <c r="X41" s="171" t="s">
        <v>11</v>
      </c>
      <c r="Y41" s="179">
        <v>31.5</v>
      </c>
      <c r="Z41" s="171" t="s">
        <v>73</v>
      </c>
      <c r="AA41" s="171" t="s">
        <v>869</v>
      </c>
      <c r="AB41" s="171" t="s">
        <v>11</v>
      </c>
      <c r="AC41" s="171">
        <v>16.5</v>
      </c>
      <c r="AD41" s="178"/>
      <c r="AE41" s="171"/>
      <c r="AF41" s="171"/>
      <c r="AG41" s="179"/>
      <c r="AH41" s="171"/>
      <c r="AI41" s="171"/>
      <c r="AJ41" s="171"/>
      <c r="AK41" s="171"/>
      <c r="AL41" s="178"/>
      <c r="AM41" s="171"/>
      <c r="AN41" s="171"/>
      <c r="AO41" s="179"/>
      <c r="AP41" s="178"/>
      <c r="AQ41" s="171"/>
      <c r="AR41" s="171"/>
      <c r="AS41" s="179"/>
      <c r="AT41" s="171"/>
      <c r="AW41" s="179"/>
      <c r="BA41" s="218"/>
    </row>
    <row r="42" spans="1:53" s="51" customFormat="1" x14ac:dyDescent="0.15">
      <c r="A42" s="42">
        <v>1975</v>
      </c>
      <c r="B42" s="279">
        <v>27746</v>
      </c>
      <c r="C42" s="394" t="s">
        <v>159</v>
      </c>
      <c r="D42" s="394"/>
      <c r="E42" s="42">
        <v>14</v>
      </c>
      <c r="F42" s="42">
        <v>1</v>
      </c>
      <c r="G42" s="44">
        <v>12</v>
      </c>
      <c r="H42" s="42"/>
      <c r="I42" s="42"/>
      <c r="J42" s="45">
        <v>12</v>
      </c>
      <c r="K42" s="33">
        <f t="shared" ref="K42:K48" si="14">G42/J42*100</f>
        <v>100</v>
      </c>
      <c r="L42" s="33">
        <f t="shared" ref="L42:L48" si="15">H42/J42*100</f>
        <v>0</v>
      </c>
      <c r="M42" s="33">
        <f t="shared" ref="M42:M48" si="16">I42/J42*100</f>
        <v>0</v>
      </c>
      <c r="N42" s="34">
        <f t="shared" si="3"/>
        <v>100</v>
      </c>
      <c r="O42" s="46">
        <v>71.599999999999994</v>
      </c>
      <c r="P42" s="47"/>
      <c r="Q42" s="47"/>
      <c r="R42" s="48">
        <f t="shared" si="4"/>
        <v>71.599999999999994</v>
      </c>
      <c r="S42" s="52">
        <v>2</v>
      </c>
      <c r="T42" s="286">
        <v>27741</v>
      </c>
      <c r="U42" s="286">
        <v>27746</v>
      </c>
      <c r="V42" s="38" t="s">
        <v>72</v>
      </c>
      <c r="W42" s="29" t="s">
        <v>74</v>
      </c>
      <c r="X42" s="29" t="s">
        <v>11</v>
      </c>
      <c r="Y42" s="39">
        <v>53.5</v>
      </c>
      <c r="Z42" s="29" t="s">
        <v>73</v>
      </c>
      <c r="AA42" s="29" t="s">
        <v>869</v>
      </c>
      <c r="AB42" s="29" t="s">
        <v>11</v>
      </c>
      <c r="AC42" s="29">
        <v>18.100000000000001</v>
      </c>
      <c r="AD42" s="38"/>
      <c r="AE42" s="29"/>
      <c r="AF42" s="29"/>
      <c r="AG42" s="39"/>
      <c r="AH42" s="29"/>
      <c r="AI42" s="29"/>
      <c r="AJ42" s="29"/>
      <c r="AK42" s="29"/>
      <c r="AL42" s="38"/>
      <c r="AM42" s="29"/>
      <c r="AN42" s="29"/>
      <c r="AO42" s="39"/>
      <c r="AP42" s="38"/>
      <c r="AQ42" s="29"/>
      <c r="AR42" s="29"/>
      <c r="AS42" s="39"/>
      <c r="AT42" s="29"/>
      <c r="AW42" s="39"/>
      <c r="BA42" s="168"/>
    </row>
    <row r="43" spans="1:53" s="51" customFormat="1" x14ac:dyDescent="0.15">
      <c r="A43" s="42">
        <v>1976</v>
      </c>
      <c r="B43" s="279"/>
      <c r="C43" s="394" t="s">
        <v>159</v>
      </c>
      <c r="D43" s="394"/>
      <c r="E43" s="42">
        <v>0</v>
      </c>
      <c r="F43" s="42"/>
      <c r="G43" s="44">
        <v>12</v>
      </c>
      <c r="H43" s="42"/>
      <c r="I43" s="42"/>
      <c r="J43" s="45">
        <v>12</v>
      </c>
      <c r="K43" s="33">
        <f t="shared" si="14"/>
        <v>100</v>
      </c>
      <c r="L43" s="33">
        <f t="shared" si="15"/>
        <v>0</v>
      </c>
      <c r="M43" s="33">
        <f t="shared" si="16"/>
        <v>0</v>
      </c>
      <c r="N43" s="34">
        <f t="shared" si="3"/>
        <v>100</v>
      </c>
      <c r="O43" s="46">
        <v>71.599999999999994</v>
      </c>
      <c r="P43" s="47"/>
      <c r="Q43" s="47"/>
      <c r="R43" s="48">
        <f t="shared" si="4"/>
        <v>71.599999999999994</v>
      </c>
      <c r="S43" s="52">
        <v>2</v>
      </c>
      <c r="T43" s="286"/>
      <c r="U43" s="286"/>
      <c r="V43" s="38" t="s">
        <v>72</v>
      </c>
      <c r="W43" s="29" t="s">
        <v>74</v>
      </c>
      <c r="X43" s="29" t="s">
        <v>11</v>
      </c>
      <c r="Y43" s="39">
        <v>53.5</v>
      </c>
      <c r="Z43" s="29" t="s">
        <v>73</v>
      </c>
      <c r="AA43" s="29" t="s">
        <v>869</v>
      </c>
      <c r="AB43" s="29" t="s">
        <v>11</v>
      </c>
      <c r="AC43" s="29">
        <v>18.100000000000001</v>
      </c>
      <c r="AD43" s="38"/>
      <c r="AE43" s="29"/>
      <c r="AF43" s="29"/>
      <c r="AG43" s="39"/>
      <c r="AH43" s="29"/>
      <c r="AI43" s="29"/>
      <c r="AJ43" s="29"/>
      <c r="AK43" s="29"/>
      <c r="AL43" s="38"/>
      <c r="AM43" s="29"/>
      <c r="AN43" s="29"/>
      <c r="AO43" s="39"/>
      <c r="AP43" s="38"/>
      <c r="AQ43" s="29"/>
      <c r="AR43" s="29"/>
      <c r="AS43" s="39"/>
      <c r="AT43" s="29"/>
      <c r="AW43" s="39"/>
      <c r="BA43" s="168"/>
    </row>
    <row r="44" spans="1:53" s="51" customFormat="1" x14ac:dyDescent="0.15">
      <c r="A44" s="42">
        <v>1976</v>
      </c>
      <c r="B44" s="279"/>
      <c r="C44" s="394" t="s">
        <v>159</v>
      </c>
      <c r="D44" s="394"/>
      <c r="E44" s="42">
        <v>366</v>
      </c>
      <c r="F44" s="42"/>
      <c r="G44" s="44">
        <v>12</v>
      </c>
      <c r="H44" s="42"/>
      <c r="I44" s="42"/>
      <c r="J44" s="45">
        <v>12</v>
      </c>
      <c r="K44" s="33">
        <f t="shared" si="14"/>
        <v>100</v>
      </c>
      <c r="L44" s="33">
        <f t="shared" si="15"/>
        <v>0</v>
      </c>
      <c r="M44" s="33">
        <f t="shared" si="16"/>
        <v>0</v>
      </c>
      <c r="N44" s="34">
        <f t="shared" si="3"/>
        <v>100</v>
      </c>
      <c r="O44" s="46">
        <v>71.599999999999994</v>
      </c>
      <c r="P44" s="47"/>
      <c r="Q44" s="47"/>
      <c r="R44" s="48">
        <f t="shared" si="4"/>
        <v>71.599999999999994</v>
      </c>
      <c r="S44" s="52">
        <v>2</v>
      </c>
      <c r="T44" s="286"/>
      <c r="U44" s="286"/>
      <c r="V44" s="38" t="s">
        <v>72</v>
      </c>
      <c r="W44" s="29" t="s">
        <v>74</v>
      </c>
      <c r="X44" s="29" t="s">
        <v>11</v>
      </c>
      <c r="Y44" s="39">
        <v>53.5</v>
      </c>
      <c r="Z44" s="29" t="s">
        <v>73</v>
      </c>
      <c r="AA44" s="29" t="s">
        <v>869</v>
      </c>
      <c r="AB44" s="29" t="s">
        <v>11</v>
      </c>
      <c r="AC44" s="29">
        <v>18.100000000000001</v>
      </c>
      <c r="AD44" s="38"/>
      <c r="AE44" s="29"/>
      <c r="AF44" s="29"/>
      <c r="AG44" s="39"/>
      <c r="AH44" s="29"/>
      <c r="AI44" s="29"/>
      <c r="AJ44" s="29"/>
      <c r="AK44" s="29"/>
      <c r="AL44" s="38"/>
      <c r="AM44" s="29"/>
      <c r="AN44" s="29"/>
      <c r="AO44" s="39"/>
      <c r="AP44" s="38"/>
      <c r="AQ44" s="29"/>
      <c r="AR44" s="29"/>
      <c r="AS44" s="39"/>
      <c r="AT44" s="29"/>
      <c r="AW44" s="39"/>
      <c r="BA44" s="168"/>
    </row>
    <row r="45" spans="1:53" s="51" customFormat="1" x14ac:dyDescent="0.15">
      <c r="A45" s="42">
        <v>1977</v>
      </c>
      <c r="B45" s="279"/>
      <c r="C45" s="394" t="s">
        <v>159</v>
      </c>
      <c r="D45" s="394"/>
      <c r="E45" s="42">
        <v>353</v>
      </c>
      <c r="F45" s="42"/>
      <c r="G45" s="44">
        <v>12</v>
      </c>
      <c r="H45" s="42"/>
      <c r="I45" s="42"/>
      <c r="J45" s="45">
        <v>12</v>
      </c>
      <c r="K45" s="33">
        <f t="shared" si="14"/>
        <v>100</v>
      </c>
      <c r="L45" s="33">
        <f t="shared" si="15"/>
        <v>0</v>
      </c>
      <c r="M45" s="33">
        <f t="shared" si="16"/>
        <v>0</v>
      </c>
      <c r="N45" s="34">
        <f t="shared" si="3"/>
        <v>100</v>
      </c>
      <c r="O45" s="46">
        <v>71.599999999999994</v>
      </c>
      <c r="P45" s="47"/>
      <c r="Q45" s="47"/>
      <c r="R45" s="48">
        <f t="shared" si="4"/>
        <v>71.599999999999994</v>
      </c>
      <c r="S45" s="52">
        <v>2</v>
      </c>
      <c r="T45" s="286"/>
      <c r="U45" s="286"/>
      <c r="V45" s="38" t="s">
        <v>72</v>
      </c>
      <c r="W45" s="29" t="s">
        <v>74</v>
      </c>
      <c r="X45" s="29" t="s">
        <v>11</v>
      </c>
      <c r="Y45" s="39">
        <v>53.5</v>
      </c>
      <c r="Z45" s="29" t="s">
        <v>73</v>
      </c>
      <c r="AA45" s="29" t="s">
        <v>869</v>
      </c>
      <c r="AB45" s="29" t="s">
        <v>11</v>
      </c>
      <c r="AC45" s="29">
        <v>18.100000000000001</v>
      </c>
      <c r="AD45" s="38"/>
      <c r="AE45" s="29"/>
      <c r="AF45" s="29"/>
      <c r="AG45" s="39"/>
      <c r="AH45" s="29"/>
      <c r="AI45" s="29"/>
      <c r="AJ45" s="29"/>
      <c r="AK45" s="29"/>
      <c r="AL45" s="38"/>
      <c r="AM45" s="29"/>
      <c r="AN45" s="29"/>
      <c r="AO45" s="39"/>
      <c r="AP45" s="38"/>
      <c r="AQ45" s="29"/>
      <c r="AR45" s="29"/>
      <c r="AS45" s="39"/>
      <c r="AT45" s="29"/>
      <c r="AW45" s="39"/>
      <c r="BA45" s="168"/>
    </row>
    <row r="46" spans="1:53" s="217" customFormat="1" x14ac:dyDescent="0.15">
      <c r="A46" s="116">
        <v>1977</v>
      </c>
      <c r="B46" s="278">
        <v>28479</v>
      </c>
      <c r="C46" s="402" t="s">
        <v>160</v>
      </c>
      <c r="D46" s="402"/>
      <c r="E46" s="116">
        <v>12</v>
      </c>
      <c r="F46" s="116">
        <v>1</v>
      </c>
      <c r="G46" s="211">
        <v>14</v>
      </c>
      <c r="H46" s="116"/>
      <c r="I46" s="116"/>
      <c r="J46" s="212">
        <v>14</v>
      </c>
      <c r="K46" s="174">
        <f t="shared" si="14"/>
        <v>100</v>
      </c>
      <c r="L46" s="174">
        <f t="shared" si="15"/>
        <v>0</v>
      </c>
      <c r="M46" s="174">
        <f t="shared" si="16"/>
        <v>0</v>
      </c>
      <c r="N46" s="175">
        <f t="shared" si="3"/>
        <v>100</v>
      </c>
      <c r="O46" s="213">
        <v>69.3</v>
      </c>
      <c r="P46" s="214"/>
      <c r="Q46" s="214"/>
      <c r="R46" s="215">
        <f t="shared" si="4"/>
        <v>69.3</v>
      </c>
      <c r="S46" s="216">
        <v>3</v>
      </c>
      <c r="T46" s="285">
        <v>28469</v>
      </c>
      <c r="U46" s="285">
        <v>28479</v>
      </c>
      <c r="V46" s="178" t="s">
        <v>72</v>
      </c>
      <c r="W46" s="171" t="s">
        <v>74</v>
      </c>
      <c r="X46" s="171" t="s">
        <v>11</v>
      </c>
      <c r="Y46" s="179">
        <v>54</v>
      </c>
      <c r="Z46" s="171" t="s">
        <v>73</v>
      </c>
      <c r="AA46" s="171" t="s">
        <v>869</v>
      </c>
      <c r="AB46" s="171" t="s">
        <v>11</v>
      </c>
      <c r="AC46" s="171">
        <v>15.3</v>
      </c>
      <c r="AD46" s="178"/>
      <c r="AE46" s="171"/>
      <c r="AF46" s="171"/>
      <c r="AG46" s="179"/>
      <c r="AH46" s="171"/>
      <c r="AI46" s="171"/>
      <c r="AJ46" s="171"/>
      <c r="AK46" s="171"/>
      <c r="AL46" s="178"/>
      <c r="AM46" s="171"/>
      <c r="AN46" s="171"/>
      <c r="AO46" s="179"/>
      <c r="AP46" s="178"/>
      <c r="AQ46" s="171"/>
      <c r="AR46" s="171"/>
      <c r="AS46" s="179"/>
      <c r="AT46" s="171"/>
      <c r="AW46" s="179"/>
      <c r="BA46" s="218"/>
    </row>
    <row r="47" spans="1:53" s="217" customFormat="1" x14ac:dyDescent="0.15">
      <c r="A47" s="116">
        <v>1978</v>
      </c>
      <c r="B47" s="278"/>
      <c r="C47" s="402" t="s">
        <v>160</v>
      </c>
      <c r="D47" s="402"/>
      <c r="E47" s="116">
        <v>0</v>
      </c>
      <c r="F47" s="116"/>
      <c r="G47" s="211">
        <v>14</v>
      </c>
      <c r="H47" s="116"/>
      <c r="I47" s="116"/>
      <c r="J47" s="212">
        <v>14</v>
      </c>
      <c r="K47" s="174">
        <f t="shared" si="14"/>
        <v>100</v>
      </c>
      <c r="L47" s="174">
        <f t="shared" si="15"/>
        <v>0</v>
      </c>
      <c r="M47" s="174">
        <f t="shared" si="16"/>
        <v>0</v>
      </c>
      <c r="N47" s="175">
        <f t="shared" si="3"/>
        <v>100</v>
      </c>
      <c r="O47" s="213">
        <v>69.3</v>
      </c>
      <c r="P47" s="214"/>
      <c r="Q47" s="214"/>
      <c r="R47" s="215">
        <f t="shared" si="4"/>
        <v>69.3</v>
      </c>
      <c r="S47" s="216">
        <v>3</v>
      </c>
      <c r="T47" s="285"/>
      <c r="U47" s="285"/>
      <c r="V47" s="178" t="s">
        <v>72</v>
      </c>
      <c r="W47" s="171" t="s">
        <v>74</v>
      </c>
      <c r="X47" s="171" t="s">
        <v>11</v>
      </c>
      <c r="Y47" s="179">
        <v>54</v>
      </c>
      <c r="Z47" s="171" t="s">
        <v>73</v>
      </c>
      <c r="AA47" s="171" t="s">
        <v>869</v>
      </c>
      <c r="AB47" s="171" t="s">
        <v>11</v>
      </c>
      <c r="AC47" s="171">
        <v>15.3</v>
      </c>
      <c r="AD47" s="178"/>
      <c r="AE47" s="171"/>
      <c r="AF47" s="171"/>
      <c r="AG47" s="179"/>
      <c r="AH47" s="171"/>
      <c r="AI47" s="171"/>
      <c r="AJ47" s="171"/>
      <c r="AK47" s="171"/>
      <c r="AL47" s="178"/>
      <c r="AM47" s="171"/>
      <c r="AN47" s="171"/>
      <c r="AO47" s="179"/>
      <c r="AP47" s="178"/>
      <c r="AQ47" s="171"/>
      <c r="AR47" s="171"/>
      <c r="AS47" s="179"/>
      <c r="AT47" s="171"/>
      <c r="AW47" s="179"/>
      <c r="BA47" s="218"/>
    </row>
    <row r="48" spans="1:53" s="217" customFormat="1" x14ac:dyDescent="0.15">
      <c r="A48" s="116">
        <v>1978</v>
      </c>
      <c r="B48" s="278"/>
      <c r="C48" s="402" t="s">
        <v>160</v>
      </c>
      <c r="D48" s="402"/>
      <c r="E48" s="116">
        <f>365-E47</f>
        <v>365</v>
      </c>
      <c r="F48" s="116"/>
      <c r="G48" s="211">
        <v>14</v>
      </c>
      <c r="H48" s="116"/>
      <c r="I48" s="116"/>
      <c r="J48" s="212">
        <v>14</v>
      </c>
      <c r="K48" s="174">
        <f t="shared" si="14"/>
        <v>100</v>
      </c>
      <c r="L48" s="174">
        <f t="shared" si="15"/>
        <v>0</v>
      </c>
      <c r="M48" s="174">
        <f t="shared" si="16"/>
        <v>0</v>
      </c>
      <c r="N48" s="175">
        <f t="shared" si="3"/>
        <v>100</v>
      </c>
      <c r="O48" s="213">
        <v>69.3</v>
      </c>
      <c r="P48" s="214"/>
      <c r="Q48" s="214"/>
      <c r="R48" s="215">
        <f t="shared" si="4"/>
        <v>69.3</v>
      </c>
      <c r="S48" s="216">
        <v>3</v>
      </c>
      <c r="T48" s="285"/>
      <c r="U48" s="285"/>
      <c r="V48" s="178" t="s">
        <v>72</v>
      </c>
      <c r="W48" s="171" t="s">
        <v>74</v>
      </c>
      <c r="X48" s="171" t="s">
        <v>11</v>
      </c>
      <c r="Y48" s="179">
        <v>54</v>
      </c>
      <c r="Z48" s="171" t="s">
        <v>73</v>
      </c>
      <c r="AA48" s="171" t="s">
        <v>869</v>
      </c>
      <c r="AB48" s="171" t="s">
        <v>11</v>
      </c>
      <c r="AC48" s="171">
        <v>15.3</v>
      </c>
      <c r="AD48" s="178"/>
      <c r="AE48" s="171"/>
      <c r="AF48" s="171"/>
      <c r="AG48" s="179"/>
      <c r="AH48" s="171"/>
      <c r="AI48" s="171"/>
      <c r="AJ48" s="171"/>
      <c r="AK48" s="171"/>
      <c r="AL48" s="178"/>
      <c r="AM48" s="171"/>
      <c r="AN48" s="171"/>
      <c r="AO48" s="179"/>
      <c r="AP48" s="178"/>
      <c r="AQ48" s="171"/>
      <c r="AR48" s="171"/>
      <c r="AS48" s="179"/>
      <c r="AT48" s="171"/>
      <c r="AW48" s="179"/>
      <c r="BA48" s="218"/>
    </row>
    <row r="49" spans="1:53" s="217" customFormat="1" x14ac:dyDescent="0.15">
      <c r="A49" s="116">
        <v>1979</v>
      </c>
      <c r="B49" s="278"/>
      <c r="C49" s="402" t="s">
        <v>160</v>
      </c>
      <c r="D49" s="402"/>
      <c r="E49" s="116">
        <v>0</v>
      </c>
      <c r="F49" s="116"/>
      <c r="G49" s="211">
        <v>14</v>
      </c>
      <c r="H49" s="116"/>
      <c r="I49" s="116"/>
      <c r="J49" s="212">
        <v>14</v>
      </c>
      <c r="K49" s="174">
        <f>G49/J49*100</f>
        <v>100</v>
      </c>
      <c r="L49" s="174">
        <f>H49/J49*100</f>
        <v>0</v>
      </c>
      <c r="M49" s="174">
        <f>I49/J49*100</f>
        <v>0</v>
      </c>
      <c r="N49" s="175">
        <f t="shared" si="3"/>
        <v>100</v>
      </c>
      <c r="O49" s="213">
        <v>69.3</v>
      </c>
      <c r="P49" s="214"/>
      <c r="Q49" s="214"/>
      <c r="R49" s="215">
        <f t="shared" si="4"/>
        <v>69.3</v>
      </c>
      <c r="S49" s="216">
        <v>3</v>
      </c>
      <c r="T49" s="285"/>
      <c r="U49" s="285"/>
      <c r="V49" s="178" t="s">
        <v>72</v>
      </c>
      <c r="W49" s="171" t="s">
        <v>74</v>
      </c>
      <c r="X49" s="171" t="s">
        <v>11</v>
      </c>
      <c r="Y49" s="179">
        <v>54</v>
      </c>
      <c r="Z49" s="171" t="s">
        <v>73</v>
      </c>
      <c r="AA49" s="171" t="s">
        <v>869</v>
      </c>
      <c r="AB49" s="171" t="s">
        <v>11</v>
      </c>
      <c r="AC49" s="171">
        <v>15.3</v>
      </c>
      <c r="AD49" s="178"/>
      <c r="AE49" s="171"/>
      <c r="AF49" s="171"/>
      <c r="AG49" s="179"/>
      <c r="AH49" s="171"/>
      <c r="AI49" s="171"/>
      <c r="AJ49" s="171"/>
      <c r="AK49" s="171"/>
      <c r="AL49" s="178"/>
      <c r="AM49" s="171"/>
      <c r="AN49" s="171"/>
      <c r="AO49" s="179"/>
      <c r="AP49" s="178"/>
      <c r="AQ49" s="171"/>
      <c r="AR49" s="171"/>
      <c r="AS49" s="179"/>
      <c r="AT49" s="171"/>
      <c r="AW49" s="179"/>
      <c r="BA49" s="218"/>
    </row>
    <row r="50" spans="1:53" s="217" customFormat="1" x14ac:dyDescent="0.15">
      <c r="A50" s="116">
        <v>1979</v>
      </c>
      <c r="B50" s="278"/>
      <c r="C50" s="402" t="s">
        <v>160</v>
      </c>
      <c r="D50" s="402"/>
      <c r="E50" s="116">
        <f>365-E49</f>
        <v>365</v>
      </c>
      <c r="F50" s="116"/>
      <c r="G50" s="211">
        <v>14</v>
      </c>
      <c r="H50" s="116"/>
      <c r="I50" s="116"/>
      <c r="J50" s="212">
        <v>14</v>
      </c>
      <c r="K50" s="174">
        <f t="shared" ref="K50:K56" si="17">G50/J50*100</f>
        <v>100</v>
      </c>
      <c r="L50" s="174">
        <f t="shared" ref="L50:L56" si="18">H50/J50*100</f>
        <v>0</v>
      </c>
      <c r="M50" s="174">
        <f t="shared" ref="M50:M56" si="19">I50/J50*100</f>
        <v>0</v>
      </c>
      <c r="N50" s="175">
        <f t="shared" si="3"/>
        <v>100</v>
      </c>
      <c r="O50" s="213">
        <v>69.3</v>
      </c>
      <c r="P50" s="214"/>
      <c r="Q50" s="214"/>
      <c r="R50" s="215">
        <f t="shared" si="4"/>
        <v>69.3</v>
      </c>
      <c r="S50" s="216">
        <v>3</v>
      </c>
      <c r="T50" s="285"/>
      <c r="U50" s="285"/>
      <c r="V50" s="178" t="s">
        <v>72</v>
      </c>
      <c r="W50" s="171" t="s">
        <v>74</v>
      </c>
      <c r="X50" s="171" t="s">
        <v>11</v>
      </c>
      <c r="Y50" s="179">
        <v>54</v>
      </c>
      <c r="Z50" s="171" t="s">
        <v>73</v>
      </c>
      <c r="AA50" s="171" t="s">
        <v>869</v>
      </c>
      <c r="AB50" s="171" t="s">
        <v>11</v>
      </c>
      <c r="AC50" s="171">
        <v>15.3</v>
      </c>
      <c r="AD50" s="178"/>
      <c r="AE50" s="171"/>
      <c r="AF50" s="171"/>
      <c r="AG50" s="179"/>
      <c r="AH50" s="171"/>
      <c r="AI50" s="171"/>
      <c r="AJ50" s="171"/>
      <c r="AK50" s="171"/>
      <c r="AL50" s="178"/>
      <c r="AM50" s="171"/>
      <c r="AN50" s="171"/>
      <c r="AO50" s="179"/>
      <c r="AP50" s="178"/>
      <c r="AQ50" s="171"/>
      <c r="AR50" s="171"/>
      <c r="AS50" s="179"/>
      <c r="AT50" s="171"/>
      <c r="AW50" s="179"/>
      <c r="BA50" s="218"/>
    </row>
    <row r="51" spans="1:53" s="217" customFormat="1" x14ac:dyDescent="0.15">
      <c r="A51" s="116">
        <v>1980</v>
      </c>
      <c r="B51" s="278"/>
      <c r="C51" s="402" t="s">
        <v>160</v>
      </c>
      <c r="D51" s="402"/>
      <c r="E51" s="116">
        <v>306</v>
      </c>
      <c r="F51" s="116"/>
      <c r="G51" s="211">
        <v>14</v>
      </c>
      <c r="H51" s="116"/>
      <c r="I51" s="116"/>
      <c r="J51" s="212">
        <v>14</v>
      </c>
      <c r="K51" s="174">
        <f t="shared" si="17"/>
        <v>100</v>
      </c>
      <c r="L51" s="174">
        <f t="shared" si="18"/>
        <v>0</v>
      </c>
      <c r="M51" s="174">
        <f t="shared" si="19"/>
        <v>0</v>
      </c>
      <c r="N51" s="175">
        <f t="shared" si="3"/>
        <v>100</v>
      </c>
      <c r="O51" s="213">
        <v>69.3</v>
      </c>
      <c r="P51" s="214"/>
      <c r="Q51" s="214"/>
      <c r="R51" s="215">
        <f t="shared" si="4"/>
        <v>69.3</v>
      </c>
      <c r="S51" s="216">
        <v>3</v>
      </c>
      <c r="T51" s="285"/>
      <c r="U51" s="285"/>
      <c r="V51" s="178" t="s">
        <v>72</v>
      </c>
      <c r="W51" s="171" t="s">
        <v>74</v>
      </c>
      <c r="X51" s="171" t="s">
        <v>11</v>
      </c>
      <c r="Y51" s="179">
        <v>54</v>
      </c>
      <c r="Z51" s="171" t="s">
        <v>73</v>
      </c>
      <c r="AA51" s="171" t="s">
        <v>869</v>
      </c>
      <c r="AB51" s="171" t="s">
        <v>11</v>
      </c>
      <c r="AC51" s="171">
        <v>15.3</v>
      </c>
      <c r="AD51" s="178"/>
      <c r="AE51" s="171"/>
      <c r="AF51" s="171"/>
      <c r="AG51" s="179"/>
      <c r="AH51" s="171"/>
      <c r="AI51" s="171"/>
      <c r="AJ51" s="171"/>
      <c r="AK51" s="171"/>
      <c r="AL51" s="178"/>
      <c r="AM51" s="171"/>
      <c r="AN51" s="171"/>
      <c r="AO51" s="179"/>
      <c r="AP51" s="178"/>
      <c r="AQ51" s="171"/>
      <c r="AR51" s="171"/>
      <c r="AS51" s="179"/>
      <c r="AT51" s="171"/>
      <c r="AW51" s="179"/>
      <c r="BA51" s="218"/>
    </row>
    <row r="52" spans="1:53" s="51" customFormat="1" x14ac:dyDescent="0.15">
      <c r="A52" s="42">
        <v>1980</v>
      </c>
      <c r="B52" s="279">
        <v>29527</v>
      </c>
      <c r="C52" s="394" t="s">
        <v>161</v>
      </c>
      <c r="D52" s="394"/>
      <c r="E52" s="42">
        <v>60</v>
      </c>
      <c r="F52" s="42">
        <v>1</v>
      </c>
      <c r="G52" s="44">
        <v>14</v>
      </c>
      <c r="H52" s="42"/>
      <c r="I52" s="42"/>
      <c r="J52" s="45">
        <v>14</v>
      </c>
      <c r="K52" s="33">
        <f t="shared" si="17"/>
        <v>100</v>
      </c>
      <c r="L52" s="33">
        <f t="shared" si="18"/>
        <v>0</v>
      </c>
      <c r="M52" s="33">
        <f t="shared" si="19"/>
        <v>0</v>
      </c>
      <c r="N52" s="34">
        <f t="shared" si="3"/>
        <v>100</v>
      </c>
      <c r="O52" s="46">
        <v>59.2</v>
      </c>
      <c r="P52" s="47"/>
      <c r="Q52" s="47"/>
      <c r="R52" s="48">
        <f t="shared" si="4"/>
        <v>59.2</v>
      </c>
      <c r="S52" s="52">
        <v>2</v>
      </c>
      <c r="T52" s="286">
        <v>29512</v>
      </c>
      <c r="U52" s="286">
        <v>29527</v>
      </c>
      <c r="V52" s="38" t="s">
        <v>72</v>
      </c>
      <c r="W52" s="29" t="s">
        <v>74</v>
      </c>
      <c r="X52" s="29" t="s">
        <v>11</v>
      </c>
      <c r="Y52" s="39">
        <v>43.2</v>
      </c>
      <c r="Z52" s="29" t="s">
        <v>73</v>
      </c>
      <c r="AA52" s="29" t="s">
        <v>869</v>
      </c>
      <c r="AB52" s="29" t="s">
        <v>11</v>
      </c>
      <c r="AC52" s="29">
        <v>16</v>
      </c>
      <c r="AD52" s="38"/>
      <c r="AE52" s="29"/>
      <c r="AF52" s="29"/>
      <c r="AG52" s="39"/>
      <c r="AH52" s="29"/>
      <c r="AI52" s="29"/>
      <c r="AJ52" s="29"/>
      <c r="AK52" s="29"/>
      <c r="AL52" s="38"/>
      <c r="AM52" s="29"/>
      <c r="AN52" s="29"/>
      <c r="AO52" s="39"/>
      <c r="AP52" s="38"/>
      <c r="AQ52" s="29"/>
      <c r="AR52" s="29"/>
      <c r="AS52" s="39"/>
      <c r="AT52" s="29"/>
      <c r="AW52" s="39"/>
      <c r="BA52" s="168"/>
    </row>
    <row r="53" spans="1:53" s="51" customFormat="1" x14ac:dyDescent="0.15">
      <c r="A53" s="42">
        <v>1981</v>
      </c>
      <c r="B53" s="279"/>
      <c r="C53" s="394" t="s">
        <v>161</v>
      </c>
      <c r="D53" s="394"/>
      <c r="E53" s="42">
        <v>0</v>
      </c>
      <c r="F53" s="42"/>
      <c r="G53" s="44">
        <v>14</v>
      </c>
      <c r="H53" s="42"/>
      <c r="I53" s="42"/>
      <c r="J53" s="45">
        <v>14</v>
      </c>
      <c r="K53" s="33">
        <f t="shared" si="17"/>
        <v>100</v>
      </c>
      <c r="L53" s="33">
        <f t="shared" si="18"/>
        <v>0</v>
      </c>
      <c r="M53" s="33">
        <f t="shared" si="19"/>
        <v>0</v>
      </c>
      <c r="N53" s="34">
        <f t="shared" si="3"/>
        <v>100</v>
      </c>
      <c r="O53" s="46">
        <v>59.2</v>
      </c>
      <c r="P53" s="47"/>
      <c r="Q53" s="47"/>
      <c r="R53" s="48">
        <f t="shared" si="4"/>
        <v>59.2</v>
      </c>
      <c r="S53" s="52">
        <v>2</v>
      </c>
      <c r="T53" s="286"/>
      <c r="U53" s="286"/>
      <c r="V53" s="38" t="s">
        <v>72</v>
      </c>
      <c r="W53" s="29" t="s">
        <v>74</v>
      </c>
      <c r="X53" s="29" t="s">
        <v>11</v>
      </c>
      <c r="Y53" s="39">
        <v>43.2</v>
      </c>
      <c r="Z53" s="29" t="s">
        <v>73</v>
      </c>
      <c r="AA53" s="29" t="s">
        <v>869</v>
      </c>
      <c r="AB53" s="29" t="s">
        <v>11</v>
      </c>
      <c r="AC53" s="29">
        <v>16</v>
      </c>
      <c r="AD53" s="38"/>
      <c r="AE53" s="29"/>
      <c r="AF53" s="29"/>
      <c r="AG53" s="39"/>
      <c r="AH53" s="29"/>
      <c r="AI53" s="29"/>
      <c r="AJ53" s="29"/>
      <c r="AK53" s="29"/>
      <c r="AL53" s="38"/>
      <c r="AM53" s="29"/>
      <c r="AN53" s="29"/>
      <c r="AO53" s="39"/>
      <c r="AP53" s="38"/>
      <c r="AQ53" s="29"/>
      <c r="AR53" s="29"/>
      <c r="AS53" s="39"/>
      <c r="AT53" s="29"/>
      <c r="AW53" s="39"/>
      <c r="BA53" s="168"/>
    </row>
    <row r="54" spans="1:53" s="51" customFormat="1" x14ac:dyDescent="0.15">
      <c r="A54" s="42">
        <v>1981</v>
      </c>
      <c r="B54" s="279"/>
      <c r="C54" s="394" t="s">
        <v>161</v>
      </c>
      <c r="D54" s="394"/>
      <c r="E54" s="42">
        <f>365-E53</f>
        <v>365</v>
      </c>
      <c r="F54" s="42"/>
      <c r="G54" s="44">
        <v>14</v>
      </c>
      <c r="H54" s="42"/>
      <c r="I54" s="42"/>
      <c r="J54" s="45">
        <v>14</v>
      </c>
      <c r="K54" s="33">
        <f t="shared" si="17"/>
        <v>100</v>
      </c>
      <c r="L54" s="33">
        <f t="shared" si="18"/>
        <v>0</v>
      </c>
      <c r="M54" s="33">
        <f t="shared" si="19"/>
        <v>0</v>
      </c>
      <c r="N54" s="34">
        <f t="shared" si="3"/>
        <v>100</v>
      </c>
      <c r="O54" s="46">
        <v>59.2</v>
      </c>
      <c r="P54" s="47"/>
      <c r="Q54" s="47"/>
      <c r="R54" s="48">
        <f t="shared" si="4"/>
        <v>59.2</v>
      </c>
      <c r="S54" s="52">
        <v>2</v>
      </c>
      <c r="T54" s="286"/>
      <c r="U54" s="286"/>
      <c r="V54" s="38" t="s">
        <v>72</v>
      </c>
      <c r="W54" s="29" t="s">
        <v>74</v>
      </c>
      <c r="X54" s="29" t="s">
        <v>11</v>
      </c>
      <c r="Y54" s="39">
        <v>43.2</v>
      </c>
      <c r="Z54" s="29" t="s">
        <v>73</v>
      </c>
      <c r="AA54" s="29" t="s">
        <v>869</v>
      </c>
      <c r="AB54" s="29" t="s">
        <v>11</v>
      </c>
      <c r="AC54" s="29">
        <v>16</v>
      </c>
      <c r="AD54" s="38"/>
      <c r="AE54" s="29"/>
      <c r="AF54" s="29"/>
      <c r="AG54" s="39"/>
      <c r="AH54" s="29"/>
      <c r="AI54" s="29"/>
      <c r="AJ54" s="29"/>
      <c r="AK54" s="29"/>
      <c r="AL54" s="38"/>
      <c r="AM54" s="29"/>
      <c r="AN54" s="29"/>
      <c r="AO54" s="39"/>
      <c r="AP54" s="38"/>
      <c r="AQ54" s="29"/>
      <c r="AR54" s="29"/>
      <c r="AS54" s="39"/>
      <c r="AT54" s="29"/>
      <c r="AW54" s="39"/>
      <c r="BA54" s="168"/>
    </row>
    <row r="55" spans="1:53" s="51" customFormat="1" x14ac:dyDescent="0.15">
      <c r="A55" s="42">
        <v>1982</v>
      </c>
      <c r="B55" s="279"/>
      <c r="C55" s="394" t="s">
        <v>161</v>
      </c>
      <c r="D55" s="394"/>
      <c r="E55" s="42">
        <v>0</v>
      </c>
      <c r="F55" s="42"/>
      <c r="G55" s="44">
        <v>14</v>
      </c>
      <c r="H55" s="42"/>
      <c r="I55" s="42"/>
      <c r="J55" s="45">
        <v>14</v>
      </c>
      <c r="K55" s="33">
        <f t="shared" si="17"/>
        <v>100</v>
      </c>
      <c r="L55" s="33">
        <f t="shared" si="18"/>
        <v>0</v>
      </c>
      <c r="M55" s="33">
        <f t="shared" si="19"/>
        <v>0</v>
      </c>
      <c r="N55" s="34">
        <f t="shared" si="3"/>
        <v>100</v>
      </c>
      <c r="O55" s="46">
        <v>59.2</v>
      </c>
      <c r="P55" s="47"/>
      <c r="Q55" s="47"/>
      <c r="R55" s="48">
        <f t="shared" si="4"/>
        <v>59.2</v>
      </c>
      <c r="S55" s="52">
        <v>2</v>
      </c>
      <c r="T55" s="286"/>
      <c r="U55" s="286"/>
      <c r="V55" s="38" t="s">
        <v>72</v>
      </c>
      <c r="W55" s="29" t="s">
        <v>74</v>
      </c>
      <c r="X55" s="29" t="s">
        <v>11</v>
      </c>
      <c r="Y55" s="39">
        <v>43.2</v>
      </c>
      <c r="Z55" s="29" t="s">
        <v>73</v>
      </c>
      <c r="AA55" s="29" t="s">
        <v>869</v>
      </c>
      <c r="AB55" s="29" t="s">
        <v>11</v>
      </c>
      <c r="AC55" s="29">
        <v>16</v>
      </c>
      <c r="AD55" s="38"/>
      <c r="AE55" s="29"/>
      <c r="AF55" s="29"/>
      <c r="AG55" s="39"/>
      <c r="AH55" s="29"/>
      <c r="AI55" s="29"/>
      <c r="AJ55" s="29"/>
      <c r="AK55" s="29"/>
      <c r="AL55" s="38"/>
      <c r="AM55" s="29"/>
      <c r="AN55" s="29"/>
      <c r="AO55" s="39"/>
      <c r="AP55" s="38"/>
      <c r="AQ55" s="29"/>
      <c r="AR55" s="29"/>
      <c r="AS55" s="39"/>
      <c r="AT55" s="29"/>
      <c r="AW55" s="39"/>
      <c r="BA55" s="168"/>
    </row>
    <row r="56" spans="1:53" s="51" customFormat="1" x14ac:dyDescent="0.15">
      <c r="A56" s="42">
        <v>1982</v>
      </c>
      <c r="B56" s="279"/>
      <c r="C56" s="394" t="s">
        <v>161</v>
      </c>
      <c r="D56" s="394"/>
      <c r="E56" s="42">
        <f>365-E55</f>
        <v>365</v>
      </c>
      <c r="F56" s="42"/>
      <c r="G56" s="44">
        <v>14</v>
      </c>
      <c r="H56" s="42"/>
      <c r="I56" s="42"/>
      <c r="J56" s="45">
        <v>14</v>
      </c>
      <c r="K56" s="33">
        <f t="shared" si="17"/>
        <v>100</v>
      </c>
      <c r="L56" s="33">
        <f t="shared" si="18"/>
        <v>0</v>
      </c>
      <c r="M56" s="33">
        <f t="shared" si="19"/>
        <v>0</v>
      </c>
      <c r="N56" s="34">
        <f t="shared" si="3"/>
        <v>100</v>
      </c>
      <c r="O56" s="46">
        <v>59.2</v>
      </c>
      <c r="P56" s="47"/>
      <c r="Q56" s="47"/>
      <c r="R56" s="48">
        <f t="shared" si="4"/>
        <v>59.2</v>
      </c>
      <c r="S56" s="52">
        <v>2</v>
      </c>
      <c r="T56" s="286"/>
      <c r="U56" s="286"/>
      <c r="V56" s="38" t="s">
        <v>72</v>
      </c>
      <c r="W56" s="29" t="s">
        <v>74</v>
      </c>
      <c r="X56" s="29" t="s">
        <v>11</v>
      </c>
      <c r="Y56" s="39">
        <v>43.2</v>
      </c>
      <c r="Z56" s="29" t="s">
        <v>73</v>
      </c>
      <c r="AA56" s="29" t="s">
        <v>869</v>
      </c>
      <c r="AB56" s="29" t="s">
        <v>11</v>
      </c>
      <c r="AC56" s="29">
        <v>16</v>
      </c>
      <c r="AD56" s="38"/>
      <c r="AE56" s="29"/>
      <c r="AF56" s="29"/>
      <c r="AG56" s="39"/>
      <c r="AH56" s="29"/>
      <c r="AI56" s="29"/>
      <c r="AJ56" s="29"/>
      <c r="AK56" s="29"/>
      <c r="AL56" s="38"/>
      <c r="AM56" s="29"/>
      <c r="AN56" s="29"/>
      <c r="AO56" s="39"/>
      <c r="AP56" s="38"/>
      <c r="AQ56" s="29"/>
      <c r="AR56" s="29"/>
      <c r="AS56" s="39"/>
      <c r="AT56" s="29"/>
      <c r="AW56" s="39"/>
      <c r="BA56" s="168"/>
    </row>
    <row r="57" spans="1:53" s="51" customFormat="1" x14ac:dyDescent="0.15">
      <c r="A57" s="42">
        <v>1983</v>
      </c>
      <c r="B57" s="279"/>
      <c r="C57" s="394" t="s">
        <v>161</v>
      </c>
      <c r="D57" s="394"/>
      <c r="E57" s="42">
        <v>69</v>
      </c>
      <c r="F57" s="42"/>
      <c r="G57" s="44">
        <v>14</v>
      </c>
      <c r="H57" s="42"/>
      <c r="I57" s="42"/>
      <c r="J57" s="45">
        <v>14</v>
      </c>
      <c r="K57" s="33">
        <f>G57/J57*100</f>
        <v>100</v>
      </c>
      <c r="L57" s="33">
        <f>H57/J57*100</f>
        <v>0</v>
      </c>
      <c r="M57" s="33">
        <f>I57/J57*100</f>
        <v>0</v>
      </c>
      <c r="N57" s="34">
        <f>SUM(K57:M57)</f>
        <v>100</v>
      </c>
      <c r="O57" s="46">
        <v>59.2</v>
      </c>
      <c r="P57" s="47"/>
      <c r="Q57" s="47"/>
      <c r="R57" s="48">
        <f t="shared" si="4"/>
        <v>59.2</v>
      </c>
      <c r="S57" s="52">
        <v>2</v>
      </c>
      <c r="T57" s="286"/>
      <c r="U57" s="286"/>
      <c r="V57" s="38" t="s">
        <v>72</v>
      </c>
      <c r="W57" s="29" t="s">
        <v>74</v>
      </c>
      <c r="X57" s="29" t="s">
        <v>11</v>
      </c>
      <c r="Y57" s="39">
        <v>43.2</v>
      </c>
      <c r="Z57" s="29" t="s">
        <v>73</v>
      </c>
      <c r="AA57" s="29" t="s">
        <v>869</v>
      </c>
      <c r="AB57" s="29" t="s">
        <v>11</v>
      </c>
      <c r="AC57" s="29">
        <v>16</v>
      </c>
      <c r="AD57" s="38"/>
      <c r="AE57" s="29"/>
      <c r="AF57" s="29"/>
      <c r="AG57" s="39"/>
      <c r="AH57" s="29"/>
      <c r="AI57" s="29"/>
      <c r="AJ57" s="29"/>
      <c r="AK57" s="29"/>
      <c r="AL57" s="38"/>
      <c r="AM57" s="29"/>
      <c r="AN57" s="29"/>
      <c r="AO57" s="39"/>
      <c r="AP57" s="38"/>
      <c r="AQ57" s="29"/>
      <c r="AR57" s="29"/>
      <c r="AS57" s="39"/>
      <c r="AT57" s="29"/>
      <c r="AW57" s="39"/>
      <c r="BA57" s="168"/>
    </row>
    <row r="58" spans="1:53" s="217" customFormat="1" x14ac:dyDescent="0.15">
      <c r="A58" s="116">
        <v>1983</v>
      </c>
      <c r="B58" s="278">
        <v>30386</v>
      </c>
      <c r="C58" s="402" t="s">
        <v>162</v>
      </c>
      <c r="D58" s="402"/>
      <c r="E58" s="116">
        <f>365-E57</f>
        <v>296</v>
      </c>
      <c r="F58" s="116">
        <v>1</v>
      </c>
      <c r="G58" s="211"/>
      <c r="H58" s="116"/>
      <c r="I58" s="116">
        <v>13</v>
      </c>
      <c r="J58" s="212">
        <v>13</v>
      </c>
      <c r="K58" s="174">
        <f t="shared" ref="K58:K64" si="20">G58/J58*100</f>
        <v>0</v>
      </c>
      <c r="L58" s="174">
        <f t="shared" ref="L58:L64" si="21">H58/J58*100</f>
        <v>0</v>
      </c>
      <c r="M58" s="174">
        <f t="shared" ref="M58:M64" si="22">I58/J58*100</f>
        <v>100</v>
      </c>
      <c r="N58" s="175">
        <f t="shared" si="3"/>
        <v>100</v>
      </c>
      <c r="O58" s="213"/>
      <c r="P58" s="214"/>
      <c r="Q58" s="214">
        <v>60</v>
      </c>
      <c r="R58" s="215">
        <f t="shared" si="4"/>
        <v>60</v>
      </c>
      <c r="S58" s="216">
        <v>1</v>
      </c>
      <c r="T58" s="285">
        <v>30380</v>
      </c>
      <c r="U58" s="285">
        <v>30386</v>
      </c>
      <c r="V58" s="178" t="s">
        <v>77</v>
      </c>
      <c r="W58" s="171" t="s">
        <v>20</v>
      </c>
      <c r="X58" s="171" t="s">
        <v>12</v>
      </c>
      <c r="Y58" s="179">
        <v>60</v>
      </c>
      <c r="Z58" s="171"/>
      <c r="AA58" s="171"/>
      <c r="AB58" s="171"/>
      <c r="AC58" s="171"/>
      <c r="AD58" s="178"/>
      <c r="AE58" s="171"/>
      <c r="AF58" s="171"/>
      <c r="AG58" s="179"/>
      <c r="AH58" s="171"/>
      <c r="AI58" s="171"/>
      <c r="AJ58" s="171"/>
      <c r="AK58" s="171"/>
      <c r="AL58" s="178"/>
      <c r="AM58" s="171"/>
      <c r="AN58" s="171"/>
      <c r="AO58" s="179"/>
      <c r="AP58" s="178"/>
      <c r="AQ58" s="171"/>
      <c r="AR58" s="171"/>
      <c r="AS58" s="179"/>
      <c r="AT58" s="171"/>
      <c r="AW58" s="179"/>
      <c r="BA58" s="218"/>
    </row>
    <row r="59" spans="1:53" s="217" customFormat="1" x14ac:dyDescent="0.15">
      <c r="A59" s="116">
        <v>1984</v>
      </c>
      <c r="B59" s="278"/>
      <c r="C59" s="402" t="s">
        <v>162</v>
      </c>
      <c r="D59" s="402"/>
      <c r="E59" s="116">
        <v>347</v>
      </c>
      <c r="F59" s="116"/>
      <c r="G59" s="211"/>
      <c r="H59" s="116"/>
      <c r="I59" s="116">
        <v>13</v>
      </c>
      <c r="J59" s="212">
        <v>13</v>
      </c>
      <c r="K59" s="174">
        <f t="shared" si="20"/>
        <v>0</v>
      </c>
      <c r="L59" s="174">
        <f t="shared" si="21"/>
        <v>0</v>
      </c>
      <c r="M59" s="174">
        <f t="shared" si="22"/>
        <v>100</v>
      </c>
      <c r="N59" s="175">
        <f t="shared" si="3"/>
        <v>100</v>
      </c>
      <c r="O59" s="213"/>
      <c r="P59" s="214"/>
      <c r="Q59" s="214">
        <v>60</v>
      </c>
      <c r="R59" s="215">
        <f t="shared" si="4"/>
        <v>60</v>
      </c>
      <c r="S59" s="216">
        <v>1</v>
      </c>
      <c r="T59" s="285"/>
      <c r="U59" s="285"/>
      <c r="V59" s="178" t="s">
        <v>77</v>
      </c>
      <c r="W59" s="171" t="s">
        <v>20</v>
      </c>
      <c r="X59" s="171" t="s">
        <v>12</v>
      </c>
      <c r="Y59" s="179">
        <v>60</v>
      </c>
      <c r="Z59" s="171"/>
      <c r="AA59" s="171"/>
      <c r="AB59" s="171"/>
      <c r="AC59" s="171"/>
      <c r="AD59" s="178"/>
      <c r="AE59" s="171"/>
      <c r="AF59" s="171"/>
      <c r="AG59" s="179"/>
      <c r="AH59" s="171"/>
      <c r="AI59" s="171"/>
      <c r="AJ59" s="171"/>
      <c r="AK59" s="171"/>
      <c r="AL59" s="178"/>
      <c r="AM59" s="171"/>
      <c r="AN59" s="171"/>
      <c r="AO59" s="179"/>
      <c r="AP59" s="178"/>
      <c r="AQ59" s="171"/>
      <c r="AR59" s="171"/>
      <c r="AS59" s="179"/>
      <c r="AT59" s="171"/>
      <c r="AW59" s="179"/>
      <c r="BA59" s="218"/>
    </row>
    <row r="60" spans="1:53" s="51" customFormat="1" x14ac:dyDescent="0.15">
      <c r="A60" s="42">
        <v>1984</v>
      </c>
      <c r="B60" s="279">
        <v>31029</v>
      </c>
      <c r="C60" s="394" t="s">
        <v>163</v>
      </c>
      <c r="D60" s="394"/>
      <c r="E60" s="42">
        <v>19</v>
      </c>
      <c r="F60" s="42">
        <v>1</v>
      </c>
      <c r="G60" s="44"/>
      <c r="H60" s="42"/>
      <c r="I60" s="42">
        <v>17</v>
      </c>
      <c r="J60" s="45">
        <v>17</v>
      </c>
      <c r="K60" s="33">
        <f t="shared" si="20"/>
        <v>0</v>
      </c>
      <c r="L60" s="33">
        <f t="shared" si="21"/>
        <v>0</v>
      </c>
      <c r="M60" s="33">
        <f t="shared" si="22"/>
        <v>100</v>
      </c>
      <c r="N60" s="34">
        <f t="shared" si="3"/>
        <v>100</v>
      </c>
      <c r="O60" s="46"/>
      <c r="P60" s="47"/>
      <c r="Q60" s="47">
        <v>55.4</v>
      </c>
      <c r="R60" s="48">
        <f t="shared" si="4"/>
        <v>55.4</v>
      </c>
      <c r="S60" s="52">
        <v>1</v>
      </c>
      <c r="T60" s="286">
        <v>31017</v>
      </c>
      <c r="U60" s="286">
        <v>31029</v>
      </c>
      <c r="V60" s="38" t="s">
        <v>77</v>
      </c>
      <c r="W60" s="29" t="s">
        <v>20</v>
      </c>
      <c r="X60" s="29" t="s">
        <v>12</v>
      </c>
      <c r="Y60" s="39">
        <v>55.4</v>
      </c>
      <c r="Z60" s="29"/>
      <c r="AA60" s="29"/>
      <c r="AB60" s="29"/>
      <c r="AC60" s="29"/>
      <c r="AD60" s="38"/>
      <c r="AE60" s="29"/>
      <c r="AF60" s="29"/>
      <c r="AG60" s="39"/>
      <c r="AH60" s="29"/>
      <c r="AI60" s="29"/>
      <c r="AJ60" s="29"/>
      <c r="AK60" s="29"/>
      <c r="AL60" s="38"/>
      <c r="AM60" s="29"/>
      <c r="AN60" s="29"/>
      <c r="AO60" s="39"/>
      <c r="AP60" s="38"/>
      <c r="AQ60" s="29"/>
      <c r="AR60" s="29"/>
      <c r="AS60" s="39"/>
      <c r="AT60" s="29"/>
      <c r="AW60" s="39"/>
      <c r="BA60" s="168"/>
    </row>
    <row r="61" spans="1:53" s="51" customFormat="1" x14ac:dyDescent="0.15">
      <c r="A61" s="42">
        <v>1985</v>
      </c>
      <c r="B61" s="279"/>
      <c r="C61" s="394" t="s">
        <v>163</v>
      </c>
      <c r="D61" s="394"/>
      <c r="E61" s="42">
        <v>0</v>
      </c>
      <c r="F61" s="42"/>
      <c r="G61" s="44"/>
      <c r="H61" s="42"/>
      <c r="I61" s="42">
        <v>17</v>
      </c>
      <c r="J61" s="45">
        <v>17</v>
      </c>
      <c r="K61" s="33">
        <f t="shared" si="20"/>
        <v>0</v>
      </c>
      <c r="L61" s="33">
        <f t="shared" si="21"/>
        <v>0</v>
      </c>
      <c r="M61" s="33">
        <f t="shared" si="22"/>
        <v>100</v>
      </c>
      <c r="N61" s="34">
        <f t="shared" si="3"/>
        <v>100</v>
      </c>
      <c r="O61" s="46"/>
      <c r="P61" s="47"/>
      <c r="Q61" s="47">
        <v>55.4</v>
      </c>
      <c r="R61" s="48">
        <f t="shared" si="4"/>
        <v>55.4</v>
      </c>
      <c r="S61" s="52">
        <v>1</v>
      </c>
      <c r="T61" s="286"/>
      <c r="U61" s="286"/>
      <c r="V61" s="38" t="s">
        <v>77</v>
      </c>
      <c r="W61" s="29" t="s">
        <v>20</v>
      </c>
      <c r="X61" s="29" t="s">
        <v>12</v>
      </c>
      <c r="Y61" s="39">
        <v>55.4</v>
      </c>
      <c r="Z61" s="29"/>
      <c r="AA61" s="29"/>
      <c r="AB61" s="29"/>
      <c r="AC61" s="29"/>
      <c r="AD61" s="38"/>
      <c r="AE61" s="29"/>
      <c r="AF61" s="29"/>
      <c r="AG61" s="39"/>
      <c r="AH61" s="29"/>
      <c r="AI61" s="29"/>
      <c r="AJ61" s="29"/>
      <c r="AK61" s="29"/>
      <c r="AL61" s="38"/>
      <c r="AM61" s="29"/>
      <c r="AN61" s="29"/>
      <c r="AO61" s="39"/>
      <c r="AP61" s="38"/>
      <c r="AQ61" s="29"/>
      <c r="AR61" s="29"/>
      <c r="AS61" s="39"/>
      <c r="AT61" s="29"/>
      <c r="AW61" s="39"/>
      <c r="BA61" s="168"/>
    </row>
    <row r="62" spans="1:53" s="51" customFormat="1" x14ac:dyDescent="0.15">
      <c r="A62" s="42">
        <v>1985</v>
      </c>
      <c r="B62" s="279"/>
      <c r="C62" s="394" t="s">
        <v>163</v>
      </c>
      <c r="D62" s="394"/>
      <c r="E62" s="42">
        <f>365-E61</f>
        <v>365</v>
      </c>
      <c r="F62" s="42"/>
      <c r="G62" s="44"/>
      <c r="H62" s="42"/>
      <c r="I62" s="42">
        <v>17</v>
      </c>
      <c r="J62" s="45">
        <v>17</v>
      </c>
      <c r="K62" s="33">
        <f t="shared" si="20"/>
        <v>0</v>
      </c>
      <c r="L62" s="33">
        <f t="shared" si="21"/>
        <v>0</v>
      </c>
      <c r="M62" s="33">
        <f t="shared" si="22"/>
        <v>100</v>
      </c>
      <c r="N62" s="34">
        <f t="shared" si="3"/>
        <v>100</v>
      </c>
      <c r="O62" s="46"/>
      <c r="P62" s="47"/>
      <c r="Q62" s="47">
        <v>55.4</v>
      </c>
      <c r="R62" s="48">
        <f t="shared" si="4"/>
        <v>55.4</v>
      </c>
      <c r="S62" s="52">
        <v>1</v>
      </c>
      <c r="T62" s="286"/>
      <c r="U62" s="286"/>
      <c r="V62" s="38" t="s">
        <v>77</v>
      </c>
      <c r="W62" s="29" t="s">
        <v>20</v>
      </c>
      <c r="X62" s="29" t="s">
        <v>12</v>
      </c>
      <c r="Y62" s="39">
        <v>55.4</v>
      </c>
      <c r="Z62" s="29"/>
      <c r="AA62" s="29"/>
      <c r="AB62" s="29"/>
      <c r="AC62" s="29"/>
      <c r="AD62" s="38"/>
      <c r="AE62" s="29"/>
      <c r="AF62" s="29"/>
      <c r="AG62" s="39"/>
      <c r="AH62" s="29"/>
      <c r="AI62" s="29"/>
      <c r="AJ62" s="29"/>
      <c r="AK62" s="29"/>
      <c r="AL62" s="38"/>
      <c r="AM62" s="29"/>
      <c r="AN62" s="29"/>
      <c r="AO62" s="39"/>
      <c r="AP62" s="38"/>
      <c r="AQ62" s="29"/>
      <c r="AR62" s="29"/>
      <c r="AS62" s="39"/>
      <c r="AT62" s="29"/>
      <c r="AW62" s="39"/>
      <c r="BA62" s="168"/>
    </row>
    <row r="63" spans="1:53" s="51" customFormat="1" x14ac:dyDescent="0.15">
      <c r="A63" s="42">
        <v>1986</v>
      </c>
      <c r="B63" s="279"/>
      <c r="C63" s="394" t="s">
        <v>163</v>
      </c>
      <c r="D63" s="394"/>
      <c r="E63" s="42">
        <v>0</v>
      </c>
      <c r="F63" s="42"/>
      <c r="G63" s="44"/>
      <c r="H63" s="42"/>
      <c r="I63" s="42">
        <v>17</v>
      </c>
      <c r="J63" s="45">
        <v>17</v>
      </c>
      <c r="K63" s="33">
        <f t="shared" si="20"/>
        <v>0</v>
      </c>
      <c r="L63" s="33">
        <f t="shared" si="21"/>
        <v>0</v>
      </c>
      <c r="M63" s="33">
        <f t="shared" si="22"/>
        <v>100</v>
      </c>
      <c r="N63" s="34">
        <f t="shared" si="3"/>
        <v>100</v>
      </c>
      <c r="O63" s="46"/>
      <c r="P63" s="47"/>
      <c r="Q63" s="47">
        <v>55.4</v>
      </c>
      <c r="R63" s="48">
        <f t="shared" si="4"/>
        <v>55.4</v>
      </c>
      <c r="S63" s="52">
        <v>1</v>
      </c>
      <c r="T63" s="286"/>
      <c r="U63" s="286"/>
      <c r="V63" s="38" t="s">
        <v>77</v>
      </c>
      <c r="W63" s="29" t="s">
        <v>20</v>
      </c>
      <c r="X63" s="29" t="s">
        <v>12</v>
      </c>
      <c r="Y63" s="39">
        <v>55.4</v>
      </c>
      <c r="Z63" s="29"/>
      <c r="AA63" s="29"/>
      <c r="AB63" s="29"/>
      <c r="AC63" s="29"/>
      <c r="AD63" s="38"/>
      <c r="AE63" s="29"/>
      <c r="AF63" s="29"/>
      <c r="AG63" s="39"/>
      <c r="AH63" s="29"/>
      <c r="AI63" s="29"/>
      <c r="AJ63" s="29"/>
      <c r="AK63" s="29"/>
      <c r="AL63" s="38"/>
      <c r="AM63" s="29"/>
      <c r="AN63" s="29"/>
      <c r="AO63" s="39"/>
      <c r="AP63" s="38"/>
      <c r="AQ63" s="29"/>
      <c r="AR63" s="29"/>
      <c r="AS63" s="39"/>
      <c r="AT63" s="29"/>
      <c r="AW63" s="39"/>
      <c r="BA63" s="168"/>
    </row>
    <row r="64" spans="1:53" s="51" customFormat="1" x14ac:dyDescent="0.15">
      <c r="A64" s="42">
        <v>1986</v>
      </c>
      <c r="B64" s="279"/>
      <c r="C64" s="394" t="s">
        <v>163</v>
      </c>
      <c r="D64" s="394"/>
      <c r="E64" s="42">
        <f>365-E63</f>
        <v>365</v>
      </c>
      <c r="F64" s="42"/>
      <c r="G64" s="44"/>
      <c r="H64" s="42"/>
      <c r="I64" s="42">
        <v>17</v>
      </c>
      <c r="J64" s="45">
        <v>17</v>
      </c>
      <c r="K64" s="33">
        <f t="shared" si="20"/>
        <v>0</v>
      </c>
      <c r="L64" s="33">
        <f t="shared" si="21"/>
        <v>0</v>
      </c>
      <c r="M64" s="33">
        <f t="shared" si="22"/>
        <v>100</v>
      </c>
      <c r="N64" s="34">
        <f t="shared" si="3"/>
        <v>100</v>
      </c>
      <c r="O64" s="46"/>
      <c r="P64" s="47"/>
      <c r="Q64" s="47">
        <v>55.4</v>
      </c>
      <c r="R64" s="48">
        <f t="shared" si="4"/>
        <v>55.4</v>
      </c>
      <c r="S64" s="52">
        <v>1</v>
      </c>
      <c r="T64" s="286"/>
      <c r="U64" s="286"/>
      <c r="V64" s="38" t="s">
        <v>77</v>
      </c>
      <c r="W64" s="29" t="s">
        <v>20</v>
      </c>
      <c r="X64" s="29" t="s">
        <v>12</v>
      </c>
      <c r="Y64" s="39">
        <v>55.4</v>
      </c>
      <c r="Z64" s="29"/>
      <c r="AA64" s="29"/>
      <c r="AB64" s="29"/>
      <c r="AC64" s="29"/>
      <c r="AD64" s="38"/>
      <c r="AE64" s="29"/>
      <c r="AF64" s="29"/>
      <c r="AG64" s="39"/>
      <c r="AH64" s="29"/>
      <c r="AI64" s="29"/>
      <c r="AJ64" s="29"/>
      <c r="AK64" s="29"/>
      <c r="AL64" s="38"/>
      <c r="AM64" s="29"/>
      <c r="AN64" s="29"/>
      <c r="AO64" s="39"/>
      <c r="AP64" s="38"/>
      <c r="AQ64" s="29"/>
      <c r="AR64" s="29"/>
      <c r="AS64" s="39"/>
      <c r="AT64" s="29"/>
      <c r="AW64" s="39"/>
      <c r="BA64" s="168"/>
    </row>
    <row r="65" spans="1:53" s="51" customFormat="1" x14ac:dyDescent="0.15">
      <c r="A65" s="42">
        <v>1987</v>
      </c>
      <c r="B65" s="279"/>
      <c r="C65" s="394" t="s">
        <v>163</v>
      </c>
      <c r="D65" s="394"/>
      <c r="E65" s="42">
        <v>202</v>
      </c>
      <c r="F65" s="42"/>
      <c r="G65" s="44"/>
      <c r="H65" s="42"/>
      <c r="I65" s="42">
        <v>17</v>
      </c>
      <c r="J65" s="45">
        <v>17</v>
      </c>
      <c r="K65" s="33">
        <f t="shared" ref="K65:K76" si="23">G65/J65*100</f>
        <v>0</v>
      </c>
      <c r="L65" s="33">
        <f t="shared" ref="L65:L76" si="24">H65/J65*100</f>
        <v>0</v>
      </c>
      <c r="M65" s="33">
        <f t="shared" ref="M65:M76" si="25">I65/J65*100</f>
        <v>100</v>
      </c>
      <c r="N65" s="34">
        <f t="shared" si="3"/>
        <v>100</v>
      </c>
      <c r="O65" s="46"/>
      <c r="P65" s="47"/>
      <c r="Q65" s="47">
        <v>55.4</v>
      </c>
      <c r="R65" s="48">
        <f t="shared" si="4"/>
        <v>55.4</v>
      </c>
      <c r="S65" s="52">
        <v>1</v>
      </c>
      <c r="T65" s="286"/>
      <c r="U65" s="286"/>
      <c r="V65" s="38" t="s">
        <v>77</v>
      </c>
      <c r="W65" s="29" t="s">
        <v>20</v>
      </c>
      <c r="X65" s="29" t="s">
        <v>12</v>
      </c>
      <c r="Y65" s="39">
        <v>55.4</v>
      </c>
      <c r="Z65" s="29"/>
      <c r="AA65" s="29"/>
      <c r="AB65" s="29"/>
      <c r="AC65" s="29"/>
      <c r="AD65" s="38"/>
      <c r="AE65" s="29"/>
      <c r="AF65" s="29"/>
      <c r="AG65" s="39"/>
      <c r="AH65" s="29"/>
      <c r="AI65" s="29"/>
      <c r="AJ65" s="29"/>
      <c r="AK65" s="29"/>
      <c r="AL65" s="38"/>
      <c r="AM65" s="29"/>
      <c r="AN65" s="29"/>
      <c r="AO65" s="39"/>
      <c r="AP65" s="38"/>
      <c r="AQ65" s="29"/>
      <c r="AR65" s="29"/>
      <c r="AS65" s="39"/>
      <c r="AT65" s="29"/>
      <c r="AW65" s="39"/>
      <c r="BA65" s="168"/>
    </row>
    <row r="66" spans="1:53" s="217" customFormat="1" x14ac:dyDescent="0.15">
      <c r="A66" s="116">
        <v>1987</v>
      </c>
      <c r="B66" s="278">
        <v>31980</v>
      </c>
      <c r="C66" s="402" t="s">
        <v>164</v>
      </c>
      <c r="D66" s="402"/>
      <c r="E66" s="116">
        <f>365-E65</f>
        <v>163</v>
      </c>
      <c r="F66" s="116">
        <v>1</v>
      </c>
      <c r="G66" s="211"/>
      <c r="H66" s="116"/>
      <c r="I66" s="116">
        <v>16</v>
      </c>
      <c r="J66" s="212">
        <v>16</v>
      </c>
      <c r="K66" s="174">
        <f t="shared" si="23"/>
        <v>0</v>
      </c>
      <c r="L66" s="174">
        <f t="shared" si="24"/>
        <v>0</v>
      </c>
      <c r="M66" s="174">
        <f t="shared" si="25"/>
        <v>100</v>
      </c>
      <c r="N66" s="175">
        <f t="shared" si="3"/>
        <v>100</v>
      </c>
      <c r="O66" s="213"/>
      <c r="P66" s="214"/>
      <c r="Q66" s="214">
        <v>58.1</v>
      </c>
      <c r="R66" s="215">
        <f t="shared" si="4"/>
        <v>58.1</v>
      </c>
      <c r="S66" s="216">
        <v>1</v>
      </c>
      <c r="T66" s="285">
        <v>31969</v>
      </c>
      <c r="U66" s="285">
        <v>31980</v>
      </c>
      <c r="V66" s="178" t="s">
        <v>77</v>
      </c>
      <c r="W66" s="171" t="s">
        <v>20</v>
      </c>
      <c r="X66" s="171" t="s">
        <v>12</v>
      </c>
      <c r="Y66" s="179">
        <v>58.1</v>
      </c>
      <c r="Z66" s="171"/>
      <c r="AA66" s="171"/>
      <c r="AB66" s="171"/>
      <c r="AC66" s="171"/>
      <c r="AD66" s="178"/>
      <c r="AE66" s="171"/>
      <c r="AF66" s="171"/>
      <c r="AG66" s="179"/>
      <c r="AH66" s="171"/>
      <c r="AI66" s="171"/>
      <c r="AJ66" s="171"/>
      <c r="AK66" s="171"/>
      <c r="AL66" s="178"/>
      <c r="AM66" s="171"/>
      <c r="AN66" s="171"/>
      <c r="AO66" s="179"/>
      <c r="AP66" s="178"/>
      <c r="AQ66" s="171"/>
      <c r="AR66" s="171"/>
      <c r="AS66" s="179"/>
      <c r="AT66" s="171"/>
      <c r="AW66" s="179"/>
      <c r="BA66" s="218"/>
    </row>
    <row r="67" spans="1:53" s="217" customFormat="1" x14ac:dyDescent="0.15">
      <c r="A67" s="116">
        <v>1988</v>
      </c>
      <c r="B67" s="278"/>
      <c r="C67" s="402" t="s">
        <v>164</v>
      </c>
      <c r="D67" s="402"/>
      <c r="E67" s="116">
        <v>0</v>
      </c>
      <c r="F67" s="116"/>
      <c r="G67" s="211"/>
      <c r="H67" s="116"/>
      <c r="I67" s="116">
        <v>16</v>
      </c>
      <c r="J67" s="212">
        <v>16</v>
      </c>
      <c r="K67" s="174">
        <f t="shared" si="23"/>
        <v>0</v>
      </c>
      <c r="L67" s="174">
        <f t="shared" si="24"/>
        <v>0</v>
      </c>
      <c r="M67" s="174">
        <f t="shared" si="25"/>
        <v>100</v>
      </c>
      <c r="N67" s="175">
        <f t="shared" si="3"/>
        <v>100</v>
      </c>
      <c r="O67" s="213"/>
      <c r="P67" s="214"/>
      <c r="Q67" s="214">
        <v>58.1</v>
      </c>
      <c r="R67" s="215">
        <f t="shared" si="4"/>
        <v>58.1</v>
      </c>
      <c r="S67" s="216">
        <v>1</v>
      </c>
      <c r="T67" s="285"/>
      <c r="U67" s="285"/>
      <c r="V67" s="178" t="s">
        <v>77</v>
      </c>
      <c r="W67" s="171" t="s">
        <v>20</v>
      </c>
      <c r="X67" s="171" t="s">
        <v>12</v>
      </c>
      <c r="Y67" s="179">
        <v>58.1</v>
      </c>
      <c r="Z67" s="171"/>
      <c r="AA67" s="171"/>
      <c r="AB67" s="171"/>
      <c r="AC67" s="171"/>
      <c r="AD67" s="178"/>
      <c r="AE67" s="171"/>
      <c r="AF67" s="171"/>
      <c r="AG67" s="179"/>
      <c r="AH67" s="171"/>
      <c r="AI67" s="171"/>
      <c r="AJ67" s="171"/>
      <c r="AK67" s="171"/>
      <c r="AL67" s="178"/>
      <c r="AM67" s="171"/>
      <c r="AN67" s="171"/>
      <c r="AO67" s="179"/>
      <c r="AP67" s="178"/>
      <c r="AQ67" s="171"/>
      <c r="AR67" s="171"/>
      <c r="AS67" s="179"/>
      <c r="AT67" s="171"/>
      <c r="AW67" s="179"/>
      <c r="BA67" s="218"/>
    </row>
    <row r="68" spans="1:53" s="217" customFormat="1" x14ac:dyDescent="0.15">
      <c r="A68" s="116">
        <v>1988</v>
      </c>
      <c r="B68" s="278"/>
      <c r="C68" s="402" t="s">
        <v>164</v>
      </c>
      <c r="D68" s="402"/>
      <c r="E68" s="116">
        <v>366</v>
      </c>
      <c r="F68" s="116"/>
      <c r="G68" s="211"/>
      <c r="H68" s="116"/>
      <c r="I68" s="116">
        <v>16</v>
      </c>
      <c r="J68" s="212">
        <v>16</v>
      </c>
      <c r="K68" s="174">
        <f t="shared" si="23"/>
        <v>0</v>
      </c>
      <c r="L68" s="174">
        <f t="shared" si="24"/>
        <v>0</v>
      </c>
      <c r="M68" s="174">
        <f t="shared" si="25"/>
        <v>100</v>
      </c>
      <c r="N68" s="175">
        <f t="shared" si="3"/>
        <v>100</v>
      </c>
      <c r="O68" s="213"/>
      <c r="P68" s="214"/>
      <c r="Q68" s="214">
        <v>58.1</v>
      </c>
      <c r="R68" s="215">
        <f t="shared" si="4"/>
        <v>58.1</v>
      </c>
      <c r="S68" s="216">
        <v>1</v>
      </c>
      <c r="T68" s="285"/>
      <c r="U68" s="285"/>
      <c r="V68" s="178" t="s">
        <v>77</v>
      </c>
      <c r="W68" s="171" t="s">
        <v>20</v>
      </c>
      <c r="X68" s="171" t="s">
        <v>12</v>
      </c>
      <c r="Y68" s="179">
        <v>58.1</v>
      </c>
      <c r="Z68" s="171"/>
      <c r="AA68" s="171"/>
      <c r="AB68" s="171"/>
      <c r="AC68" s="171"/>
      <c r="AD68" s="178"/>
      <c r="AE68" s="171"/>
      <c r="AF68" s="171"/>
      <c r="AG68" s="179"/>
      <c r="AH68" s="171"/>
      <c r="AI68" s="171"/>
      <c r="AJ68" s="171"/>
      <c r="AK68" s="171"/>
      <c r="AL68" s="178"/>
      <c r="AM68" s="171"/>
      <c r="AN68" s="171"/>
      <c r="AO68" s="179"/>
      <c r="AP68" s="178"/>
      <c r="AQ68" s="171"/>
      <c r="AR68" s="171"/>
      <c r="AS68" s="179"/>
      <c r="AT68" s="171"/>
      <c r="AW68" s="179"/>
      <c r="BA68" s="218"/>
    </row>
    <row r="69" spans="1:53" s="217" customFormat="1" x14ac:dyDescent="0.15">
      <c r="A69" s="116">
        <v>1989</v>
      </c>
      <c r="B69" s="278"/>
      <c r="C69" s="402" t="s">
        <v>164</v>
      </c>
      <c r="D69" s="402"/>
      <c r="E69" s="116">
        <v>0</v>
      </c>
      <c r="F69" s="116"/>
      <c r="G69" s="211"/>
      <c r="H69" s="116"/>
      <c r="I69" s="116">
        <v>16</v>
      </c>
      <c r="J69" s="212">
        <v>16</v>
      </c>
      <c r="K69" s="174">
        <f t="shared" si="23"/>
        <v>0</v>
      </c>
      <c r="L69" s="174">
        <f t="shared" si="24"/>
        <v>0</v>
      </c>
      <c r="M69" s="174">
        <f t="shared" si="25"/>
        <v>100</v>
      </c>
      <c r="N69" s="175">
        <f t="shared" si="3"/>
        <v>100</v>
      </c>
      <c r="O69" s="213"/>
      <c r="P69" s="214"/>
      <c r="Q69" s="214">
        <v>58.1</v>
      </c>
      <c r="R69" s="215">
        <f t="shared" si="4"/>
        <v>58.1</v>
      </c>
      <c r="S69" s="216">
        <v>1</v>
      </c>
      <c r="T69" s="285"/>
      <c r="U69" s="285"/>
      <c r="V69" s="178" t="s">
        <v>77</v>
      </c>
      <c r="W69" s="171" t="s">
        <v>20</v>
      </c>
      <c r="X69" s="171" t="s">
        <v>12</v>
      </c>
      <c r="Y69" s="179">
        <v>58.1</v>
      </c>
      <c r="Z69" s="171"/>
      <c r="AA69" s="171"/>
      <c r="AB69" s="171"/>
      <c r="AC69" s="171"/>
      <c r="AD69" s="178"/>
      <c r="AE69" s="171"/>
      <c r="AF69" s="171"/>
      <c r="AG69" s="179"/>
      <c r="AH69" s="171"/>
      <c r="AI69" s="171"/>
      <c r="AJ69" s="171"/>
      <c r="AK69" s="171"/>
      <c r="AL69" s="178"/>
      <c r="AM69" s="171"/>
      <c r="AN69" s="171"/>
      <c r="AO69" s="179"/>
      <c r="AP69" s="178"/>
      <c r="AQ69" s="171"/>
      <c r="AR69" s="171"/>
      <c r="AS69" s="179"/>
      <c r="AT69" s="171"/>
      <c r="AW69" s="179"/>
      <c r="BA69" s="218"/>
    </row>
    <row r="70" spans="1:53" s="119" customFormat="1" x14ac:dyDescent="0.15">
      <c r="A70" s="120">
        <v>1989</v>
      </c>
      <c r="B70" s="281"/>
      <c r="C70" s="406" t="s">
        <v>164</v>
      </c>
      <c r="D70" s="406"/>
      <c r="E70" s="120">
        <f>365-E69</f>
        <v>365</v>
      </c>
      <c r="F70" s="120"/>
      <c r="G70" s="221"/>
      <c r="H70" s="120"/>
      <c r="I70" s="120">
        <v>16</v>
      </c>
      <c r="J70" s="222">
        <v>16</v>
      </c>
      <c r="K70" s="223">
        <f t="shared" si="23"/>
        <v>0</v>
      </c>
      <c r="L70" s="223">
        <f t="shared" si="24"/>
        <v>0</v>
      </c>
      <c r="M70" s="223">
        <f t="shared" si="25"/>
        <v>100</v>
      </c>
      <c r="N70" s="224">
        <f t="shared" si="3"/>
        <v>100</v>
      </c>
      <c r="O70" s="225"/>
      <c r="P70" s="226"/>
      <c r="Q70" s="226">
        <v>58.1</v>
      </c>
      <c r="R70" s="227">
        <f t="shared" si="4"/>
        <v>58.1</v>
      </c>
      <c r="S70" s="118">
        <v>1</v>
      </c>
      <c r="T70" s="287"/>
      <c r="U70" s="287"/>
      <c r="V70" s="55" t="s">
        <v>77</v>
      </c>
      <c r="W70" s="54" t="s">
        <v>20</v>
      </c>
      <c r="X70" s="54" t="s">
        <v>12</v>
      </c>
      <c r="Y70" s="56">
        <v>58.1</v>
      </c>
      <c r="Z70" s="54"/>
      <c r="AA70" s="54"/>
      <c r="AB70" s="54"/>
      <c r="AC70" s="54"/>
      <c r="AD70" s="55"/>
      <c r="AE70" s="54"/>
      <c r="AF70" s="54"/>
      <c r="AG70" s="56"/>
      <c r="AH70" s="54"/>
      <c r="AI70" s="54"/>
      <c r="AJ70" s="54"/>
      <c r="AK70" s="54"/>
      <c r="AL70" s="55"/>
      <c r="AM70" s="54"/>
      <c r="AN70" s="54"/>
      <c r="AO70" s="56"/>
      <c r="AP70" s="55"/>
      <c r="AQ70" s="54"/>
      <c r="AR70" s="54"/>
      <c r="AS70" s="56"/>
      <c r="AT70" s="54"/>
      <c r="AW70" s="56"/>
      <c r="BA70" s="228"/>
    </row>
    <row r="71" spans="1:53" s="217" customFormat="1" x14ac:dyDescent="0.15">
      <c r="A71" s="116">
        <v>1990</v>
      </c>
      <c r="B71" s="278"/>
      <c r="C71" s="402" t="s">
        <v>164</v>
      </c>
      <c r="D71" s="402"/>
      <c r="E71" s="116">
        <v>93</v>
      </c>
      <c r="F71" s="116"/>
      <c r="G71" s="211"/>
      <c r="H71" s="116"/>
      <c r="I71" s="116">
        <v>16</v>
      </c>
      <c r="J71" s="212">
        <v>16</v>
      </c>
      <c r="K71" s="174">
        <f t="shared" si="23"/>
        <v>0</v>
      </c>
      <c r="L71" s="174">
        <f t="shared" si="24"/>
        <v>0</v>
      </c>
      <c r="M71" s="174">
        <f t="shared" si="25"/>
        <v>100</v>
      </c>
      <c r="N71" s="175">
        <f t="shared" si="3"/>
        <v>100</v>
      </c>
      <c r="O71" s="213"/>
      <c r="P71" s="214"/>
      <c r="Q71" s="214">
        <v>58.1</v>
      </c>
      <c r="R71" s="215">
        <f>SUM(O71:Q71)</f>
        <v>58.1</v>
      </c>
      <c r="S71" s="216">
        <v>1</v>
      </c>
      <c r="T71" s="285"/>
      <c r="U71" s="285"/>
      <c r="V71" s="178" t="s">
        <v>77</v>
      </c>
      <c r="W71" s="171" t="s">
        <v>20</v>
      </c>
      <c r="X71" s="171" t="s">
        <v>12</v>
      </c>
      <c r="Y71" s="179">
        <v>58.1</v>
      </c>
      <c r="Z71" s="171"/>
      <c r="AA71" s="171"/>
      <c r="AB71" s="171"/>
      <c r="AC71" s="171"/>
      <c r="AD71" s="178"/>
      <c r="AE71" s="171"/>
      <c r="AF71" s="171"/>
      <c r="AG71" s="179"/>
      <c r="AH71" s="171"/>
      <c r="AI71" s="171"/>
      <c r="AJ71" s="171"/>
      <c r="AK71" s="171"/>
      <c r="AL71" s="178"/>
      <c r="AM71" s="171"/>
      <c r="AN71" s="171"/>
      <c r="AO71" s="179"/>
      <c r="AP71" s="178"/>
      <c r="AQ71" s="171"/>
      <c r="AR71" s="171"/>
      <c r="AS71" s="179"/>
      <c r="AT71" s="171"/>
      <c r="AW71" s="179"/>
      <c r="BA71" s="218"/>
    </row>
    <row r="72" spans="1:53" s="51" customFormat="1" x14ac:dyDescent="0.15">
      <c r="A72" s="42">
        <v>1990</v>
      </c>
      <c r="B72" s="279">
        <v>32967</v>
      </c>
      <c r="C72" s="394" t="s">
        <v>165</v>
      </c>
      <c r="D72" s="394"/>
      <c r="E72" s="42">
        <f>365-E71</f>
        <v>272</v>
      </c>
      <c r="F72" s="42">
        <v>1</v>
      </c>
      <c r="G72" s="44"/>
      <c r="H72" s="42"/>
      <c r="I72" s="42">
        <v>17</v>
      </c>
      <c r="J72" s="45">
        <v>17</v>
      </c>
      <c r="K72" s="33">
        <f t="shared" si="23"/>
        <v>0</v>
      </c>
      <c r="L72" s="33">
        <f t="shared" si="24"/>
        <v>0</v>
      </c>
      <c r="M72" s="33">
        <f t="shared" si="25"/>
        <v>100</v>
      </c>
      <c r="N72" s="34">
        <f t="shared" si="3"/>
        <v>100</v>
      </c>
      <c r="O72" s="46"/>
      <c r="P72" s="47"/>
      <c r="Q72" s="47">
        <v>52.7</v>
      </c>
      <c r="R72" s="48">
        <f t="shared" si="4"/>
        <v>52.7</v>
      </c>
      <c r="S72" s="52">
        <v>1</v>
      </c>
      <c r="T72" s="286">
        <v>32956</v>
      </c>
      <c r="U72" s="286">
        <v>32967</v>
      </c>
      <c r="V72" s="38" t="s">
        <v>77</v>
      </c>
      <c r="W72" s="29" t="s">
        <v>20</v>
      </c>
      <c r="X72" s="29" t="s">
        <v>12</v>
      </c>
      <c r="Y72" s="39">
        <v>52.7</v>
      </c>
      <c r="Z72" s="29"/>
      <c r="AA72" s="29"/>
      <c r="AB72" s="29"/>
      <c r="AC72" s="29"/>
      <c r="AD72" s="38"/>
      <c r="AE72" s="29"/>
      <c r="AF72" s="29"/>
      <c r="AG72" s="39"/>
      <c r="AH72" s="29"/>
      <c r="AI72" s="29"/>
      <c r="AJ72" s="29"/>
      <c r="AK72" s="29"/>
      <c r="AL72" s="38"/>
      <c r="AM72" s="29"/>
      <c r="AN72" s="29"/>
      <c r="AO72" s="39"/>
      <c r="AP72" s="38"/>
      <c r="AQ72" s="29"/>
      <c r="AR72" s="29"/>
      <c r="AS72" s="39"/>
      <c r="AT72" s="29"/>
      <c r="AW72" s="39"/>
      <c r="BA72" s="168"/>
    </row>
    <row r="73" spans="1:53" s="51" customFormat="1" x14ac:dyDescent="0.15">
      <c r="A73" s="42">
        <v>1991</v>
      </c>
      <c r="B73" s="279"/>
      <c r="C73" s="394" t="s">
        <v>165</v>
      </c>
      <c r="D73" s="394"/>
      <c r="E73" s="42">
        <v>360</v>
      </c>
      <c r="F73" s="42"/>
      <c r="G73" s="44"/>
      <c r="H73" s="42"/>
      <c r="I73" s="42">
        <v>17</v>
      </c>
      <c r="J73" s="45">
        <v>17</v>
      </c>
      <c r="K73" s="33">
        <f t="shared" si="23"/>
        <v>0</v>
      </c>
      <c r="L73" s="33">
        <f t="shared" si="24"/>
        <v>0</v>
      </c>
      <c r="M73" s="33">
        <f t="shared" si="25"/>
        <v>100</v>
      </c>
      <c r="N73" s="34">
        <f t="shared" ref="N73:N126" si="26">SUM(K73:M73)</f>
        <v>100</v>
      </c>
      <c r="O73" s="46"/>
      <c r="P73" s="47"/>
      <c r="Q73" s="47">
        <v>52.7</v>
      </c>
      <c r="R73" s="48">
        <f t="shared" ref="R73:R123" si="27">SUM(O73:Q73)</f>
        <v>52.7</v>
      </c>
      <c r="S73" s="52">
        <v>1</v>
      </c>
      <c r="T73" s="286"/>
      <c r="U73" s="286"/>
      <c r="V73" s="38" t="s">
        <v>77</v>
      </c>
      <c r="W73" s="29" t="s">
        <v>20</v>
      </c>
      <c r="X73" s="29" t="s">
        <v>12</v>
      </c>
      <c r="Y73" s="39">
        <v>52.7</v>
      </c>
      <c r="Z73" s="29"/>
      <c r="AA73" s="29"/>
      <c r="AB73" s="29"/>
      <c r="AC73" s="29"/>
      <c r="AD73" s="38"/>
      <c r="AE73" s="29"/>
      <c r="AF73" s="29"/>
      <c r="AG73" s="39"/>
      <c r="AH73" s="29"/>
      <c r="AI73" s="29"/>
      <c r="AJ73" s="29"/>
      <c r="AK73" s="29"/>
      <c r="AL73" s="38"/>
      <c r="AM73" s="29"/>
      <c r="AN73" s="29"/>
      <c r="AO73" s="39"/>
      <c r="AP73" s="38"/>
      <c r="AQ73" s="29"/>
      <c r="AR73" s="29"/>
      <c r="AS73" s="39"/>
      <c r="AT73" s="29"/>
      <c r="AW73" s="39"/>
      <c r="BA73" s="168"/>
    </row>
    <row r="74" spans="1:53" s="217" customFormat="1" x14ac:dyDescent="0.15">
      <c r="A74" s="116">
        <v>1991</v>
      </c>
      <c r="B74" s="278">
        <v>33599</v>
      </c>
      <c r="C74" s="407" t="s">
        <v>167</v>
      </c>
      <c r="D74" s="407"/>
      <c r="E74" s="116">
        <f>365-E73</f>
        <v>5</v>
      </c>
      <c r="F74" s="116">
        <v>2</v>
      </c>
      <c r="G74" s="211"/>
      <c r="H74" s="116"/>
      <c r="I74" s="116">
        <v>18</v>
      </c>
      <c r="J74" s="212">
        <v>18</v>
      </c>
      <c r="K74" s="174">
        <f t="shared" si="23"/>
        <v>0</v>
      </c>
      <c r="L74" s="174">
        <f t="shared" si="24"/>
        <v>0</v>
      </c>
      <c r="M74" s="174">
        <f t="shared" si="25"/>
        <v>100</v>
      </c>
      <c r="N74" s="175">
        <f t="shared" si="26"/>
        <v>100</v>
      </c>
      <c r="O74" s="213"/>
      <c r="P74" s="214"/>
      <c r="Q74" s="214">
        <v>52.7</v>
      </c>
      <c r="R74" s="215">
        <f t="shared" si="27"/>
        <v>52.7</v>
      </c>
      <c r="S74" s="216">
        <v>1</v>
      </c>
      <c r="T74" s="285"/>
      <c r="U74" s="285">
        <v>33599</v>
      </c>
      <c r="V74" s="178" t="s">
        <v>77</v>
      </c>
      <c r="W74" s="171" t="s">
        <v>20</v>
      </c>
      <c r="X74" s="171" t="s">
        <v>12</v>
      </c>
      <c r="Y74" s="179">
        <v>52.7</v>
      </c>
      <c r="Z74" s="171"/>
      <c r="AA74" s="171"/>
      <c r="AB74" s="171"/>
      <c r="AC74" s="171"/>
      <c r="AD74" s="178"/>
      <c r="AE74" s="171"/>
      <c r="AF74" s="171"/>
      <c r="AG74" s="179"/>
      <c r="AH74" s="171"/>
      <c r="AI74" s="171"/>
      <c r="AJ74" s="171"/>
      <c r="AK74" s="171"/>
      <c r="AL74" s="178"/>
      <c r="AM74" s="171"/>
      <c r="AN74" s="171"/>
      <c r="AO74" s="179"/>
      <c r="AP74" s="178"/>
      <c r="AQ74" s="171"/>
      <c r="AR74" s="171"/>
      <c r="AS74" s="179"/>
      <c r="AT74" s="171"/>
      <c r="AW74" s="179"/>
      <c r="BA74" s="218"/>
    </row>
    <row r="75" spans="1:53" s="217" customFormat="1" x14ac:dyDescent="0.15">
      <c r="A75" s="116">
        <v>1992</v>
      </c>
      <c r="B75" s="278"/>
      <c r="C75" s="407" t="s">
        <v>167</v>
      </c>
      <c r="D75" s="407"/>
      <c r="E75" s="116">
        <v>0</v>
      </c>
      <c r="F75" s="116"/>
      <c r="G75" s="211"/>
      <c r="H75" s="116"/>
      <c r="I75" s="116">
        <v>19</v>
      </c>
      <c r="J75" s="212">
        <v>19</v>
      </c>
      <c r="K75" s="174">
        <f t="shared" si="23"/>
        <v>0</v>
      </c>
      <c r="L75" s="174">
        <f t="shared" si="24"/>
        <v>0</v>
      </c>
      <c r="M75" s="174">
        <f t="shared" si="25"/>
        <v>100</v>
      </c>
      <c r="N75" s="175">
        <f t="shared" si="26"/>
        <v>100</v>
      </c>
      <c r="O75" s="213"/>
      <c r="P75" s="214"/>
      <c r="Q75" s="214">
        <v>52.7</v>
      </c>
      <c r="R75" s="215">
        <f t="shared" si="27"/>
        <v>52.7</v>
      </c>
      <c r="S75" s="216">
        <v>1</v>
      </c>
      <c r="T75" s="285"/>
      <c r="U75" s="285"/>
      <c r="V75" s="178" t="s">
        <v>77</v>
      </c>
      <c r="W75" s="171" t="s">
        <v>20</v>
      </c>
      <c r="X75" s="171" t="s">
        <v>12</v>
      </c>
      <c r="Y75" s="179">
        <v>52.7</v>
      </c>
      <c r="Z75" s="171"/>
      <c r="AA75" s="171"/>
      <c r="AB75" s="171"/>
      <c r="AC75" s="171"/>
      <c r="AD75" s="178"/>
      <c r="AE75" s="171"/>
      <c r="AF75" s="171"/>
      <c r="AG75" s="179"/>
      <c r="AH75" s="171"/>
      <c r="AI75" s="171"/>
      <c r="AJ75" s="171"/>
      <c r="AK75" s="171"/>
      <c r="AL75" s="178"/>
      <c r="AM75" s="171"/>
      <c r="AN75" s="171"/>
      <c r="AO75" s="179"/>
      <c r="AP75" s="178"/>
      <c r="AQ75" s="171"/>
      <c r="AR75" s="171"/>
      <c r="AS75" s="179"/>
      <c r="AT75" s="171"/>
      <c r="AW75" s="179"/>
      <c r="BA75" s="218"/>
    </row>
    <row r="76" spans="1:53" s="217" customFormat="1" x14ac:dyDescent="0.15">
      <c r="A76" s="116">
        <v>1992</v>
      </c>
      <c r="B76" s="278"/>
      <c r="C76" s="407" t="s">
        <v>167</v>
      </c>
      <c r="D76" s="407"/>
      <c r="E76" s="116">
        <v>366</v>
      </c>
      <c r="F76" s="116"/>
      <c r="G76" s="211"/>
      <c r="H76" s="116"/>
      <c r="I76" s="116">
        <v>19</v>
      </c>
      <c r="J76" s="212">
        <v>19</v>
      </c>
      <c r="K76" s="174">
        <f t="shared" si="23"/>
        <v>0</v>
      </c>
      <c r="L76" s="174">
        <f t="shared" si="24"/>
        <v>0</v>
      </c>
      <c r="M76" s="174">
        <f t="shared" si="25"/>
        <v>100</v>
      </c>
      <c r="N76" s="175">
        <f t="shared" si="26"/>
        <v>100</v>
      </c>
      <c r="O76" s="213"/>
      <c r="P76" s="214"/>
      <c r="Q76" s="214">
        <v>52.7</v>
      </c>
      <c r="R76" s="215">
        <f t="shared" si="27"/>
        <v>52.7</v>
      </c>
      <c r="S76" s="216">
        <v>1</v>
      </c>
      <c r="T76" s="285"/>
      <c r="U76" s="285"/>
      <c r="V76" s="178" t="s">
        <v>77</v>
      </c>
      <c r="W76" s="171" t="s">
        <v>20</v>
      </c>
      <c r="X76" s="171" t="s">
        <v>12</v>
      </c>
      <c r="Y76" s="179">
        <v>52.7</v>
      </c>
      <c r="Z76" s="171"/>
      <c r="AA76" s="171"/>
      <c r="AB76" s="171"/>
      <c r="AC76" s="171"/>
      <c r="AD76" s="178"/>
      <c r="AE76" s="171"/>
      <c r="AF76" s="171"/>
      <c r="AG76" s="179"/>
      <c r="AH76" s="171"/>
      <c r="AI76" s="171"/>
      <c r="AJ76" s="171"/>
      <c r="AK76" s="171"/>
      <c r="AL76" s="178"/>
      <c r="AM76" s="171"/>
      <c r="AN76" s="171"/>
      <c r="AO76" s="179"/>
      <c r="AP76" s="178"/>
      <c r="AQ76" s="171"/>
      <c r="AR76" s="171"/>
      <c r="AS76" s="179"/>
      <c r="AT76" s="171"/>
      <c r="AW76" s="179"/>
      <c r="BA76" s="218"/>
    </row>
    <row r="77" spans="1:53" s="217" customFormat="1" x14ac:dyDescent="0.15">
      <c r="A77" s="116">
        <v>1993</v>
      </c>
      <c r="B77" s="278"/>
      <c r="C77" s="407" t="s">
        <v>167</v>
      </c>
      <c r="D77" s="407"/>
      <c r="E77" s="116">
        <v>357</v>
      </c>
      <c r="F77" s="116"/>
      <c r="G77" s="211"/>
      <c r="H77" s="116"/>
      <c r="I77" s="116">
        <v>19</v>
      </c>
      <c r="J77" s="212">
        <v>19</v>
      </c>
      <c r="K77" s="174">
        <f t="shared" ref="K77:K98" si="28">G77/J77*100</f>
        <v>0</v>
      </c>
      <c r="L77" s="174">
        <f t="shared" ref="L77:L98" si="29">H77/J77*100</f>
        <v>0</v>
      </c>
      <c r="M77" s="174">
        <f t="shared" ref="M77:M98" si="30">I77/J77*100</f>
        <v>100</v>
      </c>
      <c r="N77" s="175">
        <f t="shared" si="26"/>
        <v>100</v>
      </c>
      <c r="O77" s="213"/>
      <c r="P77" s="214"/>
      <c r="Q77" s="214">
        <v>52.7</v>
      </c>
      <c r="R77" s="215">
        <f t="shared" si="27"/>
        <v>52.7</v>
      </c>
      <c r="S77" s="216">
        <v>1</v>
      </c>
      <c r="T77" s="285"/>
      <c r="U77" s="285"/>
      <c r="V77" s="178" t="s">
        <v>77</v>
      </c>
      <c r="W77" s="171" t="s">
        <v>20</v>
      </c>
      <c r="X77" s="171" t="s">
        <v>12</v>
      </c>
      <c r="Y77" s="179">
        <v>52.7</v>
      </c>
      <c r="Z77" s="171"/>
      <c r="AA77" s="171"/>
      <c r="AB77" s="171"/>
      <c r="AC77" s="171"/>
      <c r="AD77" s="178"/>
      <c r="AE77" s="171"/>
      <c r="AF77" s="171"/>
      <c r="AG77" s="179"/>
      <c r="AH77" s="171"/>
      <c r="AI77" s="171"/>
      <c r="AJ77" s="171"/>
      <c r="AK77" s="171"/>
      <c r="AL77" s="178"/>
      <c r="AM77" s="171"/>
      <c r="AN77" s="171"/>
      <c r="AO77" s="179"/>
      <c r="AP77" s="178"/>
      <c r="AQ77" s="171"/>
      <c r="AR77" s="171"/>
      <c r="AS77" s="179"/>
      <c r="AT77" s="171"/>
      <c r="AW77" s="179"/>
      <c r="BA77" s="218"/>
    </row>
    <row r="78" spans="1:53" s="51" customFormat="1" x14ac:dyDescent="0.15">
      <c r="A78" s="42">
        <v>1993</v>
      </c>
      <c r="B78" s="279">
        <v>34327</v>
      </c>
      <c r="C78" s="408" t="s">
        <v>166</v>
      </c>
      <c r="D78" s="408"/>
      <c r="E78" s="42">
        <f>365-E77</f>
        <v>8</v>
      </c>
      <c r="F78" s="42">
        <v>1</v>
      </c>
      <c r="G78" s="44"/>
      <c r="H78" s="42"/>
      <c r="I78" s="42">
        <v>18</v>
      </c>
      <c r="J78" s="45">
        <v>18</v>
      </c>
      <c r="K78" s="33">
        <f t="shared" si="28"/>
        <v>0</v>
      </c>
      <c r="L78" s="33">
        <f t="shared" si="29"/>
        <v>0</v>
      </c>
      <c r="M78" s="33">
        <f t="shared" si="30"/>
        <v>100</v>
      </c>
      <c r="N78" s="34">
        <f t="shared" si="26"/>
        <v>100</v>
      </c>
      <c r="O78" s="46"/>
      <c r="P78" s="47"/>
      <c r="Q78" s="47">
        <v>54.4</v>
      </c>
      <c r="R78" s="48">
        <f t="shared" si="27"/>
        <v>54.4</v>
      </c>
      <c r="S78" s="52">
        <v>1</v>
      </c>
      <c r="T78" s="286">
        <v>34041</v>
      </c>
      <c r="U78" s="286">
        <v>34327</v>
      </c>
      <c r="V78" s="38" t="s">
        <v>77</v>
      </c>
      <c r="W78" s="29" t="s">
        <v>20</v>
      </c>
      <c r="X78" s="29" t="s">
        <v>12</v>
      </c>
      <c r="Y78" s="39">
        <v>54.4</v>
      </c>
      <c r="Z78" s="29"/>
      <c r="AA78" s="29"/>
      <c r="AB78" s="29"/>
      <c r="AC78" s="29"/>
      <c r="AD78" s="38"/>
      <c r="AE78" s="29"/>
      <c r="AF78" s="29"/>
      <c r="AG78" s="39"/>
      <c r="AH78" s="29"/>
      <c r="AI78" s="29"/>
      <c r="AJ78" s="29"/>
      <c r="AK78" s="29"/>
      <c r="AL78" s="38"/>
      <c r="AM78" s="29"/>
      <c r="AN78" s="29"/>
      <c r="AO78" s="39"/>
      <c r="AP78" s="38"/>
      <c r="AQ78" s="29"/>
      <c r="AR78" s="29"/>
      <c r="AS78" s="39"/>
      <c r="AT78" s="29"/>
      <c r="AW78" s="39"/>
      <c r="BA78" s="168"/>
    </row>
    <row r="79" spans="1:53" s="51" customFormat="1" x14ac:dyDescent="0.15">
      <c r="A79" s="42">
        <v>1994</v>
      </c>
      <c r="B79" s="279"/>
      <c r="C79" s="408" t="s">
        <v>166</v>
      </c>
      <c r="D79" s="408"/>
      <c r="E79" s="42">
        <v>0</v>
      </c>
      <c r="F79" s="42"/>
      <c r="G79" s="44"/>
      <c r="H79" s="42"/>
      <c r="I79" s="42">
        <v>17</v>
      </c>
      <c r="J79" s="45">
        <v>17</v>
      </c>
      <c r="K79" s="33">
        <f t="shared" si="28"/>
        <v>0</v>
      </c>
      <c r="L79" s="33">
        <f t="shared" si="29"/>
        <v>0</v>
      </c>
      <c r="M79" s="33">
        <f t="shared" si="30"/>
        <v>100</v>
      </c>
      <c r="N79" s="34">
        <f t="shared" si="26"/>
        <v>100</v>
      </c>
      <c r="O79" s="46"/>
      <c r="P79" s="47"/>
      <c r="Q79" s="47">
        <v>54.4</v>
      </c>
      <c r="R79" s="48">
        <f t="shared" si="27"/>
        <v>54.4</v>
      </c>
      <c r="S79" s="52">
        <v>1</v>
      </c>
      <c r="T79" s="286"/>
      <c r="U79" s="286"/>
      <c r="V79" s="38" t="s">
        <v>77</v>
      </c>
      <c r="W79" s="29" t="s">
        <v>20</v>
      </c>
      <c r="X79" s="29" t="s">
        <v>12</v>
      </c>
      <c r="Y79" s="39">
        <v>54.4</v>
      </c>
      <c r="Z79" s="29"/>
      <c r="AA79" s="29"/>
      <c r="AB79" s="29"/>
      <c r="AC79" s="29"/>
      <c r="AD79" s="38"/>
      <c r="AE79" s="29"/>
      <c r="AF79" s="29"/>
      <c r="AG79" s="39"/>
      <c r="AH79" s="29"/>
      <c r="AI79" s="29"/>
      <c r="AJ79" s="29"/>
      <c r="AK79" s="29"/>
      <c r="AL79" s="38"/>
      <c r="AM79" s="29"/>
      <c r="AN79" s="29"/>
      <c r="AO79" s="39"/>
      <c r="AP79" s="38"/>
      <c r="AQ79" s="29"/>
      <c r="AR79" s="29"/>
      <c r="AS79" s="39"/>
      <c r="AT79" s="29"/>
      <c r="AW79" s="39"/>
      <c r="BA79" s="168"/>
    </row>
    <row r="80" spans="1:53" s="51" customFormat="1" x14ac:dyDescent="0.15">
      <c r="A80" s="42">
        <v>1994</v>
      </c>
      <c r="B80" s="279"/>
      <c r="C80" s="408" t="s">
        <v>166</v>
      </c>
      <c r="D80" s="408"/>
      <c r="E80" s="42">
        <f>365-E79</f>
        <v>365</v>
      </c>
      <c r="F80" s="42"/>
      <c r="G80" s="44"/>
      <c r="H80" s="42"/>
      <c r="I80" s="42">
        <v>17</v>
      </c>
      <c r="J80" s="45">
        <v>17</v>
      </c>
      <c r="K80" s="33">
        <f t="shared" si="28"/>
        <v>0</v>
      </c>
      <c r="L80" s="33">
        <f t="shared" si="29"/>
        <v>0</v>
      </c>
      <c r="M80" s="33">
        <f t="shared" si="30"/>
        <v>100</v>
      </c>
      <c r="N80" s="34">
        <f t="shared" si="26"/>
        <v>100</v>
      </c>
      <c r="O80" s="46"/>
      <c r="P80" s="47"/>
      <c r="Q80" s="47">
        <v>54.4</v>
      </c>
      <c r="R80" s="48">
        <f t="shared" si="27"/>
        <v>54.4</v>
      </c>
      <c r="S80" s="52">
        <v>1</v>
      </c>
      <c r="T80" s="286"/>
      <c r="U80" s="286"/>
      <c r="V80" s="38" t="s">
        <v>77</v>
      </c>
      <c r="W80" s="29" t="s">
        <v>20</v>
      </c>
      <c r="X80" s="29" t="s">
        <v>12</v>
      </c>
      <c r="Y80" s="39">
        <v>54.4</v>
      </c>
      <c r="Z80" s="29"/>
      <c r="AA80" s="29"/>
      <c r="AB80" s="29"/>
      <c r="AC80" s="29"/>
      <c r="AD80" s="38"/>
      <c r="AE80" s="29"/>
      <c r="AF80" s="29"/>
      <c r="AG80" s="39"/>
      <c r="AH80" s="29"/>
      <c r="AI80" s="29"/>
      <c r="AJ80" s="29"/>
      <c r="AK80" s="29"/>
      <c r="AL80" s="38"/>
      <c r="AM80" s="29"/>
      <c r="AN80" s="29"/>
      <c r="AO80" s="39"/>
      <c r="AP80" s="38"/>
      <c r="AQ80" s="29"/>
      <c r="AR80" s="29"/>
      <c r="AS80" s="39"/>
      <c r="AT80" s="29"/>
      <c r="AW80" s="39"/>
      <c r="BA80" s="168"/>
    </row>
    <row r="81" spans="1:53" s="51" customFormat="1" x14ac:dyDescent="0.15">
      <c r="A81" s="42">
        <v>1995</v>
      </c>
      <c r="B81" s="279"/>
      <c r="C81" s="408" t="s">
        <v>166</v>
      </c>
      <c r="D81" s="408"/>
      <c r="E81" s="42">
        <v>0</v>
      </c>
      <c r="F81" s="42"/>
      <c r="G81" s="44"/>
      <c r="H81" s="42"/>
      <c r="I81" s="42">
        <v>17</v>
      </c>
      <c r="J81" s="45">
        <v>17</v>
      </c>
      <c r="K81" s="33">
        <f t="shared" si="28"/>
        <v>0</v>
      </c>
      <c r="L81" s="33">
        <f t="shared" si="29"/>
        <v>0</v>
      </c>
      <c r="M81" s="33">
        <f t="shared" si="30"/>
        <v>100</v>
      </c>
      <c r="N81" s="34">
        <f t="shared" si="26"/>
        <v>100</v>
      </c>
      <c r="O81" s="46"/>
      <c r="P81" s="47"/>
      <c r="Q81" s="47">
        <v>54.4</v>
      </c>
      <c r="R81" s="48">
        <f t="shared" si="27"/>
        <v>54.4</v>
      </c>
      <c r="S81" s="52">
        <v>1</v>
      </c>
      <c r="T81" s="286"/>
      <c r="U81" s="286"/>
      <c r="V81" s="38" t="s">
        <v>77</v>
      </c>
      <c r="W81" s="29" t="s">
        <v>20</v>
      </c>
      <c r="X81" s="29" t="s">
        <v>12</v>
      </c>
      <c r="Y81" s="39">
        <v>54.4</v>
      </c>
      <c r="Z81" s="29"/>
      <c r="AA81" s="29"/>
      <c r="AB81" s="29"/>
      <c r="AC81" s="29"/>
      <c r="AD81" s="38"/>
      <c r="AE81" s="29"/>
      <c r="AF81" s="29"/>
      <c r="AG81" s="39"/>
      <c r="AH81" s="29"/>
      <c r="AI81" s="29"/>
      <c r="AJ81" s="29"/>
      <c r="AK81" s="29"/>
      <c r="AL81" s="38"/>
      <c r="AM81" s="29"/>
      <c r="AN81" s="29"/>
      <c r="AO81" s="39"/>
      <c r="AP81" s="38"/>
      <c r="AQ81" s="29"/>
      <c r="AR81" s="29"/>
      <c r="AS81" s="39"/>
      <c r="AT81" s="29"/>
      <c r="AW81" s="39"/>
      <c r="BA81" s="168"/>
    </row>
    <row r="82" spans="1:53" s="51" customFormat="1" x14ac:dyDescent="0.15">
      <c r="A82" s="42">
        <v>1995</v>
      </c>
      <c r="B82" s="279"/>
      <c r="C82" s="408" t="s">
        <v>166</v>
      </c>
      <c r="D82" s="408"/>
      <c r="E82" s="42">
        <f>365-E81</f>
        <v>365</v>
      </c>
      <c r="F82" s="42"/>
      <c r="G82" s="44"/>
      <c r="H82" s="42"/>
      <c r="I82" s="42">
        <v>17</v>
      </c>
      <c r="J82" s="45">
        <v>17</v>
      </c>
      <c r="K82" s="33">
        <f t="shared" si="28"/>
        <v>0</v>
      </c>
      <c r="L82" s="33">
        <f t="shared" si="29"/>
        <v>0</v>
      </c>
      <c r="M82" s="33">
        <f t="shared" si="30"/>
        <v>100</v>
      </c>
      <c r="N82" s="34">
        <f t="shared" si="26"/>
        <v>100</v>
      </c>
      <c r="O82" s="46"/>
      <c r="P82" s="47"/>
      <c r="Q82" s="47">
        <v>54.4</v>
      </c>
      <c r="R82" s="48">
        <f t="shared" si="27"/>
        <v>54.4</v>
      </c>
      <c r="S82" s="52">
        <v>1</v>
      </c>
      <c r="T82" s="286"/>
      <c r="U82" s="286"/>
      <c r="V82" s="38" t="s">
        <v>77</v>
      </c>
      <c r="W82" s="29" t="s">
        <v>20</v>
      </c>
      <c r="X82" s="29" t="s">
        <v>12</v>
      </c>
      <c r="Y82" s="39">
        <v>54.4</v>
      </c>
      <c r="Z82" s="29"/>
      <c r="AA82" s="29"/>
      <c r="AB82" s="29"/>
      <c r="AC82" s="29"/>
      <c r="AD82" s="38"/>
      <c r="AE82" s="29"/>
      <c r="AF82" s="29"/>
      <c r="AG82" s="39"/>
      <c r="AH82" s="29"/>
      <c r="AI82" s="29"/>
      <c r="AJ82" s="29"/>
      <c r="AK82" s="29"/>
      <c r="AL82" s="38"/>
      <c r="AM82" s="29"/>
      <c r="AN82" s="29"/>
      <c r="AO82" s="39"/>
      <c r="AP82" s="38"/>
      <c r="AQ82" s="29"/>
      <c r="AR82" s="29"/>
      <c r="AS82" s="39"/>
      <c r="AT82" s="29"/>
      <c r="AW82" s="39"/>
      <c r="BA82" s="168"/>
    </row>
    <row r="83" spans="1:53" s="51" customFormat="1" x14ac:dyDescent="0.15">
      <c r="A83" s="42">
        <v>1996</v>
      </c>
      <c r="B83" s="279"/>
      <c r="C83" s="408" t="s">
        <v>166</v>
      </c>
      <c r="D83" s="408"/>
      <c r="E83" s="42">
        <v>70</v>
      </c>
      <c r="F83" s="42"/>
      <c r="G83" s="44"/>
      <c r="H83" s="42"/>
      <c r="I83" s="42">
        <v>17</v>
      </c>
      <c r="J83" s="45">
        <v>17</v>
      </c>
      <c r="K83" s="33">
        <f t="shared" si="28"/>
        <v>0</v>
      </c>
      <c r="L83" s="33">
        <f t="shared" si="29"/>
        <v>0</v>
      </c>
      <c r="M83" s="33">
        <f t="shared" si="30"/>
        <v>100</v>
      </c>
      <c r="N83" s="34">
        <f t="shared" si="26"/>
        <v>100</v>
      </c>
      <c r="O83" s="46"/>
      <c r="P83" s="47"/>
      <c r="Q83" s="47">
        <v>54.4</v>
      </c>
      <c r="R83" s="48">
        <f t="shared" si="27"/>
        <v>54.4</v>
      </c>
      <c r="S83" s="52">
        <v>1</v>
      </c>
      <c r="T83" s="286"/>
      <c r="U83" s="286"/>
      <c r="V83" s="38" t="s">
        <v>77</v>
      </c>
      <c r="W83" s="29" t="s">
        <v>20</v>
      </c>
      <c r="X83" s="29" t="s">
        <v>12</v>
      </c>
      <c r="Y83" s="39">
        <v>54.4</v>
      </c>
      <c r="Z83" s="29"/>
      <c r="AA83" s="29"/>
      <c r="AB83" s="29"/>
      <c r="AC83" s="29"/>
      <c r="AD83" s="38"/>
      <c r="AE83" s="29"/>
      <c r="AF83" s="29"/>
      <c r="AG83" s="39"/>
      <c r="AH83" s="29"/>
      <c r="AI83" s="29"/>
      <c r="AJ83" s="29"/>
      <c r="AK83" s="29"/>
      <c r="AL83" s="38"/>
      <c r="AM83" s="29"/>
      <c r="AN83" s="29"/>
      <c r="AO83" s="39"/>
      <c r="AP83" s="38"/>
      <c r="AQ83" s="29"/>
      <c r="AR83" s="29"/>
      <c r="AS83" s="39"/>
      <c r="AT83" s="29"/>
      <c r="AW83" s="39"/>
      <c r="BA83" s="168"/>
    </row>
    <row r="84" spans="1:53" s="217" customFormat="1" x14ac:dyDescent="0.15">
      <c r="A84" s="116">
        <v>1996</v>
      </c>
      <c r="B84" s="278">
        <v>35135</v>
      </c>
      <c r="C84" s="407" t="s">
        <v>168</v>
      </c>
      <c r="D84" s="407"/>
      <c r="E84" s="116">
        <v>296</v>
      </c>
      <c r="F84" s="116">
        <v>1</v>
      </c>
      <c r="G84" s="211">
        <v>15</v>
      </c>
      <c r="H84" s="116"/>
      <c r="I84" s="116"/>
      <c r="J84" s="212">
        <v>15</v>
      </c>
      <c r="K84" s="174">
        <f t="shared" si="28"/>
        <v>100</v>
      </c>
      <c r="L84" s="174">
        <f t="shared" si="29"/>
        <v>0</v>
      </c>
      <c r="M84" s="174">
        <f t="shared" si="30"/>
        <v>0</v>
      </c>
      <c r="N84" s="175">
        <f t="shared" si="26"/>
        <v>100</v>
      </c>
      <c r="O84" s="213">
        <v>63.5</v>
      </c>
      <c r="P84" s="214"/>
      <c r="Q84" s="214"/>
      <c r="R84" s="215">
        <f t="shared" si="27"/>
        <v>63.5</v>
      </c>
      <c r="S84" s="216">
        <v>3</v>
      </c>
      <c r="T84" s="285">
        <v>35126</v>
      </c>
      <c r="U84" s="285">
        <v>35135</v>
      </c>
      <c r="V84" s="178" t="s">
        <v>72</v>
      </c>
      <c r="W84" s="171" t="s">
        <v>74</v>
      </c>
      <c r="X84" s="171" t="s">
        <v>11</v>
      </c>
      <c r="Y84" s="179">
        <v>51.3</v>
      </c>
      <c r="Z84" s="171" t="s">
        <v>73</v>
      </c>
      <c r="AA84" s="171" t="s">
        <v>869</v>
      </c>
      <c r="AB84" s="171" t="s">
        <v>11</v>
      </c>
      <c r="AC84" s="171">
        <v>12.2</v>
      </c>
      <c r="AD84" s="178"/>
      <c r="AE84" s="171"/>
      <c r="AF84" s="171"/>
      <c r="AG84" s="179"/>
      <c r="AH84" s="171"/>
      <c r="AI84" s="171"/>
      <c r="AJ84" s="171"/>
      <c r="AK84" s="171"/>
      <c r="AL84" s="178"/>
      <c r="AM84" s="171"/>
      <c r="AN84" s="171"/>
      <c r="AO84" s="179"/>
      <c r="AP84" s="178"/>
      <c r="AQ84" s="171"/>
      <c r="AR84" s="171"/>
      <c r="AS84" s="179"/>
      <c r="AT84" s="171"/>
      <c r="AW84" s="179"/>
      <c r="BA84" s="218"/>
    </row>
    <row r="85" spans="1:53" s="217" customFormat="1" x14ac:dyDescent="0.15">
      <c r="A85" s="116">
        <v>1997</v>
      </c>
      <c r="B85" s="278"/>
      <c r="C85" s="407" t="s">
        <v>168</v>
      </c>
      <c r="D85" s="407"/>
      <c r="E85" s="116">
        <v>0</v>
      </c>
      <c r="F85" s="116"/>
      <c r="G85" s="211">
        <v>16</v>
      </c>
      <c r="H85" s="116"/>
      <c r="I85" s="116"/>
      <c r="J85" s="212">
        <v>16</v>
      </c>
      <c r="K85" s="174">
        <f t="shared" si="28"/>
        <v>100</v>
      </c>
      <c r="L85" s="174">
        <f t="shared" si="29"/>
        <v>0</v>
      </c>
      <c r="M85" s="174">
        <f t="shared" si="30"/>
        <v>0</v>
      </c>
      <c r="N85" s="175">
        <f t="shared" si="26"/>
        <v>100</v>
      </c>
      <c r="O85" s="213">
        <v>63.5</v>
      </c>
      <c r="P85" s="214"/>
      <c r="Q85" s="214"/>
      <c r="R85" s="215">
        <f t="shared" si="27"/>
        <v>63.5</v>
      </c>
      <c r="S85" s="216">
        <v>3</v>
      </c>
      <c r="T85" s="285"/>
      <c r="U85" s="285"/>
      <c r="V85" s="178" t="s">
        <v>72</v>
      </c>
      <c r="W85" s="171" t="s">
        <v>74</v>
      </c>
      <c r="X85" s="171" t="s">
        <v>11</v>
      </c>
      <c r="Y85" s="179">
        <v>51.3</v>
      </c>
      <c r="Z85" s="171" t="s">
        <v>73</v>
      </c>
      <c r="AA85" s="171" t="s">
        <v>869</v>
      </c>
      <c r="AB85" s="171" t="s">
        <v>11</v>
      </c>
      <c r="AC85" s="171">
        <v>12.2</v>
      </c>
      <c r="AD85" s="178"/>
      <c r="AE85" s="171"/>
      <c r="AF85" s="171"/>
      <c r="AG85" s="179"/>
      <c r="AH85" s="171"/>
      <c r="AI85" s="171"/>
      <c r="AJ85" s="171"/>
      <c r="AK85" s="171"/>
      <c r="AL85" s="178"/>
      <c r="AM85" s="171"/>
      <c r="AN85" s="171"/>
      <c r="AO85" s="179"/>
      <c r="AP85" s="178"/>
      <c r="AQ85" s="171"/>
      <c r="AR85" s="171"/>
      <c r="AS85" s="179"/>
      <c r="AT85" s="171"/>
      <c r="AW85" s="179"/>
      <c r="BA85" s="218"/>
    </row>
    <row r="86" spans="1:53" s="217" customFormat="1" x14ac:dyDescent="0.15">
      <c r="A86" s="116">
        <v>1997</v>
      </c>
      <c r="B86" s="278"/>
      <c r="C86" s="407" t="s">
        <v>168</v>
      </c>
      <c r="D86" s="407"/>
      <c r="E86" s="116">
        <f>365-E85</f>
        <v>365</v>
      </c>
      <c r="F86" s="116"/>
      <c r="G86" s="211">
        <v>16</v>
      </c>
      <c r="H86" s="116"/>
      <c r="I86" s="116"/>
      <c r="J86" s="212">
        <v>16</v>
      </c>
      <c r="K86" s="174">
        <f t="shared" si="28"/>
        <v>100</v>
      </c>
      <c r="L86" s="174">
        <f t="shared" si="29"/>
        <v>0</v>
      </c>
      <c r="M86" s="174">
        <f t="shared" si="30"/>
        <v>0</v>
      </c>
      <c r="N86" s="175">
        <f t="shared" si="26"/>
        <v>100</v>
      </c>
      <c r="O86" s="213">
        <v>63.5</v>
      </c>
      <c r="P86" s="214"/>
      <c r="Q86" s="214"/>
      <c r="R86" s="215">
        <f t="shared" si="27"/>
        <v>63.5</v>
      </c>
      <c r="S86" s="216">
        <v>3</v>
      </c>
      <c r="T86" s="285"/>
      <c r="U86" s="285"/>
      <c r="V86" s="178" t="s">
        <v>72</v>
      </c>
      <c r="W86" s="171" t="s">
        <v>74</v>
      </c>
      <c r="X86" s="171" t="s">
        <v>11</v>
      </c>
      <c r="Y86" s="179">
        <v>51.3</v>
      </c>
      <c r="Z86" s="171" t="s">
        <v>73</v>
      </c>
      <c r="AA86" s="171" t="s">
        <v>869</v>
      </c>
      <c r="AB86" s="171" t="s">
        <v>11</v>
      </c>
      <c r="AC86" s="171">
        <v>12.2</v>
      </c>
      <c r="AD86" s="178"/>
      <c r="AE86" s="171"/>
      <c r="AF86" s="171"/>
      <c r="AG86" s="179"/>
      <c r="AH86" s="171"/>
      <c r="AI86" s="171"/>
      <c r="AJ86" s="171"/>
      <c r="AK86" s="171"/>
      <c r="AL86" s="178"/>
      <c r="AM86" s="171"/>
      <c r="AN86" s="171"/>
      <c r="AO86" s="179"/>
      <c r="AP86" s="178"/>
      <c r="AQ86" s="171"/>
      <c r="AR86" s="171"/>
      <c r="AS86" s="179"/>
      <c r="AT86" s="171"/>
      <c r="AW86" s="179"/>
      <c r="BA86" s="218"/>
    </row>
    <row r="87" spans="1:53" s="217" customFormat="1" x14ac:dyDescent="0.15">
      <c r="A87" s="116">
        <v>1998</v>
      </c>
      <c r="B87" s="278"/>
      <c r="C87" s="407" t="s">
        <v>168</v>
      </c>
      <c r="D87" s="407"/>
      <c r="E87" s="116">
        <v>293</v>
      </c>
      <c r="F87" s="116"/>
      <c r="G87" s="211">
        <v>16</v>
      </c>
      <c r="H87" s="116"/>
      <c r="I87" s="116"/>
      <c r="J87" s="212">
        <v>16</v>
      </c>
      <c r="K87" s="174">
        <f t="shared" si="28"/>
        <v>100</v>
      </c>
      <c r="L87" s="174">
        <f t="shared" si="29"/>
        <v>0</v>
      </c>
      <c r="M87" s="174">
        <f t="shared" si="30"/>
        <v>0</v>
      </c>
      <c r="N87" s="175">
        <f t="shared" si="26"/>
        <v>100</v>
      </c>
      <c r="O87" s="213">
        <v>63.5</v>
      </c>
      <c r="P87" s="214"/>
      <c r="Q87" s="214"/>
      <c r="R87" s="215">
        <f t="shared" si="27"/>
        <v>63.5</v>
      </c>
      <c r="S87" s="216">
        <v>3</v>
      </c>
      <c r="T87" s="285"/>
      <c r="U87" s="285"/>
      <c r="V87" s="178" t="s">
        <v>72</v>
      </c>
      <c r="W87" s="171" t="s">
        <v>74</v>
      </c>
      <c r="X87" s="171" t="s">
        <v>11</v>
      </c>
      <c r="Y87" s="179">
        <v>51.3</v>
      </c>
      <c r="Z87" s="171" t="s">
        <v>73</v>
      </c>
      <c r="AA87" s="171" t="s">
        <v>869</v>
      </c>
      <c r="AB87" s="171" t="s">
        <v>11</v>
      </c>
      <c r="AC87" s="171">
        <v>12.2</v>
      </c>
      <c r="AD87" s="178"/>
      <c r="AE87" s="171"/>
      <c r="AF87" s="171"/>
      <c r="AG87" s="179"/>
      <c r="AH87" s="171"/>
      <c r="AI87" s="171"/>
      <c r="AJ87" s="171"/>
      <c r="AK87" s="171"/>
      <c r="AL87" s="178"/>
      <c r="AM87" s="171"/>
      <c r="AN87" s="171"/>
      <c r="AO87" s="179"/>
      <c r="AP87" s="178"/>
      <c r="AQ87" s="171"/>
      <c r="AR87" s="171"/>
      <c r="AS87" s="179"/>
      <c r="AT87" s="171"/>
      <c r="AW87" s="179"/>
      <c r="BA87" s="218"/>
    </row>
    <row r="88" spans="1:53" s="51" customFormat="1" x14ac:dyDescent="0.15">
      <c r="A88" s="42">
        <v>1998</v>
      </c>
      <c r="B88" s="279">
        <v>36089</v>
      </c>
      <c r="C88" s="408" t="s">
        <v>169</v>
      </c>
      <c r="D88" s="408"/>
      <c r="E88" s="42">
        <f>365-E87</f>
        <v>72</v>
      </c>
      <c r="F88" s="42">
        <v>1</v>
      </c>
      <c r="G88" s="44">
        <v>16</v>
      </c>
      <c r="H88" s="42"/>
      <c r="I88" s="42"/>
      <c r="J88" s="45">
        <v>16</v>
      </c>
      <c r="K88" s="33">
        <f t="shared" si="28"/>
        <v>100</v>
      </c>
      <c r="L88" s="33">
        <f t="shared" si="29"/>
        <v>0</v>
      </c>
      <c r="M88" s="33">
        <f t="shared" si="30"/>
        <v>0</v>
      </c>
      <c r="N88" s="34">
        <f t="shared" si="26"/>
        <v>100</v>
      </c>
      <c r="O88" s="46">
        <v>54</v>
      </c>
      <c r="P88" s="47"/>
      <c r="Q88" s="47"/>
      <c r="R88" s="48">
        <f t="shared" si="27"/>
        <v>54</v>
      </c>
      <c r="S88" s="52">
        <v>2</v>
      </c>
      <c r="T88" s="286">
        <v>36071</v>
      </c>
      <c r="U88" s="286">
        <v>36089</v>
      </c>
      <c r="V88" s="38" t="s">
        <v>72</v>
      </c>
      <c r="W88" s="29" t="s">
        <v>74</v>
      </c>
      <c r="X88" s="29" t="s">
        <v>11</v>
      </c>
      <c r="Y88" s="39">
        <v>43.2</v>
      </c>
      <c r="Z88" s="29" t="s">
        <v>73</v>
      </c>
      <c r="AA88" s="29" t="s">
        <v>869</v>
      </c>
      <c r="AB88" s="29" t="s">
        <v>11</v>
      </c>
      <c r="AC88" s="29">
        <v>10.8</v>
      </c>
      <c r="AD88" s="38"/>
      <c r="AE88" s="29"/>
      <c r="AF88" s="29"/>
      <c r="AG88" s="39"/>
      <c r="AH88" s="29"/>
      <c r="AI88" s="29"/>
      <c r="AJ88" s="29"/>
      <c r="AK88" s="29"/>
      <c r="AL88" s="38"/>
      <c r="AM88" s="29"/>
      <c r="AN88" s="29"/>
      <c r="AO88" s="39"/>
      <c r="AP88" s="38"/>
      <c r="AQ88" s="29"/>
      <c r="AR88" s="29"/>
      <c r="AS88" s="39"/>
      <c r="AT88" s="29"/>
      <c r="AW88" s="39"/>
      <c r="BA88" s="168"/>
    </row>
    <row r="89" spans="1:53" s="51" customFormat="1" x14ac:dyDescent="0.15">
      <c r="A89" s="42">
        <v>1999</v>
      </c>
      <c r="B89" s="279"/>
      <c r="C89" s="408" t="s">
        <v>169</v>
      </c>
      <c r="D89" s="408"/>
      <c r="E89" s="42">
        <v>0</v>
      </c>
      <c r="F89" s="42"/>
      <c r="G89" s="44">
        <v>16</v>
      </c>
      <c r="H89" s="42"/>
      <c r="I89" s="42"/>
      <c r="J89" s="45">
        <v>16</v>
      </c>
      <c r="K89" s="33">
        <f t="shared" si="28"/>
        <v>100</v>
      </c>
      <c r="L89" s="33">
        <f t="shared" si="29"/>
        <v>0</v>
      </c>
      <c r="M89" s="33">
        <f t="shared" si="30"/>
        <v>0</v>
      </c>
      <c r="N89" s="34">
        <f t="shared" si="26"/>
        <v>100</v>
      </c>
      <c r="O89" s="46">
        <v>54</v>
      </c>
      <c r="P89" s="47"/>
      <c r="Q89" s="47"/>
      <c r="R89" s="48">
        <f t="shared" si="27"/>
        <v>54</v>
      </c>
      <c r="S89" s="52">
        <v>2</v>
      </c>
      <c r="T89" s="286"/>
      <c r="U89" s="286"/>
      <c r="V89" s="38" t="s">
        <v>72</v>
      </c>
      <c r="W89" s="29" t="s">
        <v>74</v>
      </c>
      <c r="X89" s="29" t="s">
        <v>11</v>
      </c>
      <c r="Y89" s="39">
        <v>43.2</v>
      </c>
      <c r="Z89" s="29" t="s">
        <v>73</v>
      </c>
      <c r="AA89" s="29" t="s">
        <v>869</v>
      </c>
      <c r="AB89" s="29" t="s">
        <v>11</v>
      </c>
      <c r="AC89" s="29">
        <v>10.8</v>
      </c>
      <c r="AD89" s="38"/>
      <c r="AE89" s="29"/>
      <c r="AF89" s="29"/>
      <c r="AG89" s="39"/>
      <c r="AH89" s="29"/>
      <c r="AI89" s="29"/>
      <c r="AJ89" s="29"/>
      <c r="AK89" s="29"/>
      <c r="AL89" s="38"/>
      <c r="AM89" s="29"/>
      <c r="AN89" s="29"/>
      <c r="AO89" s="39"/>
      <c r="AP89" s="38"/>
      <c r="AQ89" s="29"/>
      <c r="AR89" s="29"/>
      <c r="AS89" s="39"/>
      <c r="AT89" s="29"/>
      <c r="AW89" s="39"/>
      <c r="BA89" s="168"/>
    </row>
    <row r="90" spans="1:53" s="51" customFormat="1" x14ac:dyDescent="0.15">
      <c r="A90" s="42">
        <v>1999</v>
      </c>
      <c r="B90" s="279"/>
      <c r="C90" s="408" t="s">
        <v>169</v>
      </c>
      <c r="D90" s="408"/>
      <c r="E90" s="42">
        <f>365-E89</f>
        <v>365</v>
      </c>
      <c r="F90" s="42"/>
      <c r="G90" s="44">
        <v>16</v>
      </c>
      <c r="H90" s="42"/>
      <c r="I90" s="42"/>
      <c r="J90" s="45">
        <v>16</v>
      </c>
      <c r="K90" s="33">
        <f t="shared" si="28"/>
        <v>100</v>
      </c>
      <c r="L90" s="33">
        <f t="shared" si="29"/>
        <v>0</v>
      </c>
      <c r="M90" s="33">
        <f t="shared" si="30"/>
        <v>0</v>
      </c>
      <c r="N90" s="34">
        <f t="shared" si="26"/>
        <v>100</v>
      </c>
      <c r="O90" s="46">
        <v>54</v>
      </c>
      <c r="P90" s="47"/>
      <c r="Q90" s="47"/>
      <c r="R90" s="48">
        <f t="shared" si="27"/>
        <v>54</v>
      </c>
      <c r="S90" s="52">
        <v>2</v>
      </c>
      <c r="T90" s="286"/>
      <c r="U90" s="286"/>
      <c r="V90" s="38" t="s">
        <v>72</v>
      </c>
      <c r="W90" s="29" t="s">
        <v>74</v>
      </c>
      <c r="X90" s="29" t="s">
        <v>11</v>
      </c>
      <c r="Y90" s="39">
        <v>43.2</v>
      </c>
      <c r="Z90" s="29" t="s">
        <v>73</v>
      </c>
      <c r="AA90" s="29" t="s">
        <v>869</v>
      </c>
      <c r="AB90" s="29" t="s">
        <v>11</v>
      </c>
      <c r="AC90" s="29">
        <v>10.8</v>
      </c>
      <c r="AD90" s="38"/>
      <c r="AE90" s="29"/>
      <c r="AF90" s="29"/>
      <c r="AG90" s="39"/>
      <c r="AH90" s="29"/>
      <c r="AI90" s="29"/>
      <c r="AJ90" s="29"/>
      <c r="AK90" s="29"/>
      <c r="AL90" s="38"/>
      <c r="AM90" s="29"/>
      <c r="AN90" s="29"/>
      <c r="AO90" s="39"/>
      <c r="AP90" s="38"/>
      <c r="AQ90" s="29"/>
      <c r="AR90" s="29"/>
      <c r="AS90" s="39"/>
      <c r="AT90" s="29"/>
      <c r="AW90" s="39"/>
      <c r="BA90" s="168"/>
    </row>
    <row r="91" spans="1:53" s="51" customFormat="1" x14ac:dyDescent="0.15">
      <c r="A91" s="42">
        <v>2000</v>
      </c>
      <c r="B91" s="279"/>
      <c r="C91" s="408" t="s">
        <v>169</v>
      </c>
      <c r="D91" s="408"/>
      <c r="E91" s="42">
        <v>0</v>
      </c>
      <c r="F91" s="42"/>
      <c r="G91" s="44">
        <v>16</v>
      </c>
      <c r="H91" s="42"/>
      <c r="I91" s="42"/>
      <c r="J91" s="45">
        <v>16</v>
      </c>
      <c r="K91" s="33">
        <f t="shared" si="28"/>
        <v>100</v>
      </c>
      <c r="L91" s="33">
        <f t="shared" si="29"/>
        <v>0</v>
      </c>
      <c r="M91" s="33">
        <f t="shared" si="30"/>
        <v>0</v>
      </c>
      <c r="N91" s="34">
        <f t="shared" si="26"/>
        <v>100</v>
      </c>
      <c r="O91" s="46">
        <v>54</v>
      </c>
      <c r="P91" s="47"/>
      <c r="Q91" s="47"/>
      <c r="R91" s="48">
        <f t="shared" si="27"/>
        <v>54</v>
      </c>
      <c r="S91" s="52">
        <v>2</v>
      </c>
      <c r="T91" s="286"/>
      <c r="U91" s="286"/>
      <c r="V91" s="38" t="s">
        <v>72</v>
      </c>
      <c r="W91" s="29" t="s">
        <v>74</v>
      </c>
      <c r="X91" s="29" t="s">
        <v>11</v>
      </c>
      <c r="Y91" s="39">
        <v>43.2</v>
      </c>
      <c r="Z91" s="29" t="s">
        <v>73</v>
      </c>
      <c r="AA91" s="29" t="s">
        <v>869</v>
      </c>
      <c r="AB91" s="29" t="s">
        <v>11</v>
      </c>
      <c r="AC91" s="29">
        <v>10.8</v>
      </c>
      <c r="AD91" s="38"/>
      <c r="AE91" s="29"/>
      <c r="AF91" s="29"/>
      <c r="AG91" s="39"/>
      <c r="AH91" s="29"/>
      <c r="AI91" s="29"/>
      <c r="AJ91" s="29"/>
      <c r="AK91" s="29"/>
      <c r="AL91" s="38"/>
      <c r="AM91" s="29"/>
      <c r="AN91" s="29"/>
      <c r="AO91" s="39"/>
      <c r="AP91" s="38"/>
      <c r="AQ91" s="29"/>
      <c r="AR91" s="29"/>
      <c r="AS91" s="39"/>
      <c r="AT91" s="29"/>
      <c r="AW91" s="39"/>
      <c r="BA91" s="168"/>
    </row>
    <row r="92" spans="1:53" s="51" customFormat="1" x14ac:dyDescent="0.15">
      <c r="A92" s="42">
        <v>2000</v>
      </c>
      <c r="B92" s="279"/>
      <c r="C92" s="408" t="s">
        <v>169</v>
      </c>
      <c r="D92" s="408"/>
      <c r="E92" s="42">
        <v>366</v>
      </c>
      <c r="F92" s="42"/>
      <c r="G92" s="44">
        <v>16</v>
      </c>
      <c r="H92" s="42"/>
      <c r="I92" s="42"/>
      <c r="J92" s="45">
        <v>16</v>
      </c>
      <c r="K92" s="33">
        <f t="shared" si="28"/>
        <v>100</v>
      </c>
      <c r="L92" s="33">
        <f t="shared" si="29"/>
        <v>0</v>
      </c>
      <c r="M92" s="33">
        <f t="shared" si="30"/>
        <v>0</v>
      </c>
      <c r="N92" s="34">
        <f t="shared" si="26"/>
        <v>100</v>
      </c>
      <c r="O92" s="46">
        <v>54</v>
      </c>
      <c r="P92" s="47"/>
      <c r="Q92" s="47"/>
      <c r="R92" s="48">
        <f t="shared" si="27"/>
        <v>54</v>
      </c>
      <c r="S92" s="52">
        <v>2</v>
      </c>
      <c r="T92" s="286"/>
      <c r="U92" s="286"/>
      <c r="V92" s="38" t="s">
        <v>72</v>
      </c>
      <c r="W92" s="29" t="s">
        <v>74</v>
      </c>
      <c r="X92" s="29" t="s">
        <v>11</v>
      </c>
      <c r="Y92" s="39">
        <v>43.2</v>
      </c>
      <c r="Z92" s="29" t="s">
        <v>73</v>
      </c>
      <c r="AA92" s="29" t="s">
        <v>869</v>
      </c>
      <c r="AB92" s="29" t="s">
        <v>11</v>
      </c>
      <c r="AC92" s="29">
        <v>10.8</v>
      </c>
      <c r="AD92" s="38"/>
      <c r="AE92" s="29"/>
      <c r="AF92" s="29"/>
      <c r="AG92" s="39"/>
      <c r="AH92" s="29"/>
      <c r="AI92" s="29"/>
      <c r="AJ92" s="29"/>
      <c r="AK92" s="29"/>
      <c r="AL92" s="38"/>
      <c r="AM92" s="29"/>
      <c r="AN92" s="29"/>
      <c r="AO92" s="39"/>
      <c r="AP92" s="38"/>
      <c r="AQ92" s="29"/>
      <c r="AR92" s="29"/>
      <c r="AS92" s="39"/>
      <c r="AT92" s="29"/>
      <c r="AW92" s="39"/>
      <c r="BA92" s="168"/>
    </row>
    <row r="93" spans="1:53" s="51" customFormat="1" x14ac:dyDescent="0.15">
      <c r="A93" s="42">
        <v>2001</v>
      </c>
      <c r="B93" s="279"/>
      <c r="C93" s="408" t="s">
        <v>169</v>
      </c>
      <c r="D93" s="408"/>
      <c r="E93" s="42">
        <v>329</v>
      </c>
      <c r="F93" s="42"/>
      <c r="G93" s="44">
        <v>16</v>
      </c>
      <c r="H93" s="42"/>
      <c r="I93" s="42"/>
      <c r="J93" s="45">
        <v>16</v>
      </c>
      <c r="K93" s="33">
        <f t="shared" si="28"/>
        <v>100</v>
      </c>
      <c r="L93" s="33">
        <f t="shared" si="29"/>
        <v>0</v>
      </c>
      <c r="M93" s="33">
        <f t="shared" si="30"/>
        <v>0</v>
      </c>
      <c r="N93" s="34">
        <f t="shared" si="26"/>
        <v>100</v>
      </c>
      <c r="O93" s="46">
        <v>54</v>
      </c>
      <c r="P93" s="47"/>
      <c r="Q93" s="47"/>
      <c r="R93" s="48">
        <f t="shared" si="27"/>
        <v>54</v>
      </c>
      <c r="S93" s="52">
        <v>2</v>
      </c>
      <c r="T93" s="286"/>
      <c r="U93" s="286"/>
      <c r="V93" s="38" t="s">
        <v>72</v>
      </c>
      <c r="W93" s="29" t="s">
        <v>74</v>
      </c>
      <c r="X93" s="29" t="s">
        <v>11</v>
      </c>
      <c r="Y93" s="39">
        <v>43.2</v>
      </c>
      <c r="Z93" s="29" t="s">
        <v>73</v>
      </c>
      <c r="AA93" s="29" t="s">
        <v>869</v>
      </c>
      <c r="AB93" s="29" t="s">
        <v>11</v>
      </c>
      <c r="AC93" s="29">
        <v>10.8</v>
      </c>
      <c r="AD93" s="38"/>
      <c r="AE93" s="29"/>
      <c r="AF93" s="29"/>
      <c r="AG93" s="39"/>
      <c r="AH93" s="29"/>
      <c r="AI93" s="29"/>
      <c r="AJ93" s="29"/>
      <c r="AK93" s="29"/>
      <c r="AL93" s="38"/>
      <c r="AM93" s="29"/>
      <c r="AN93" s="29"/>
      <c r="AO93" s="39"/>
      <c r="AP93" s="38"/>
      <c r="AQ93" s="29"/>
      <c r="AR93" s="29"/>
      <c r="AS93" s="39"/>
      <c r="AT93" s="29"/>
      <c r="AW93" s="39"/>
      <c r="BA93" s="168"/>
    </row>
    <row r="94" spans="1:53" s="217" customFormat="1" x14ac:dyDescent="0.15">
      <c r="A94" s="116">
        <v>2001</v>
      </c>
      <c r="B94" s="278">
        <v>37221</v>
      </c>
      <c r="C94" s="407" t="s">
        <v>170</v>
      </c>
      <c r="D94" s="407"/>
      <c r="E94" s="116">
        <f>365-E93</f>
        <v>36</v>
      </c>
      <c r="F94" s="116">
        <v>1</v>
      </c>
      <c r="G94" s="211">
        <v>16</v>
      </c>
      <c r="H94" s="116"/>
      <c r="I94" s="116"/>
      <c r="J94" s="212">
        <v>16</v>
      </c>
      <c r="K94" s="174">
        <f t="shared" si="28"/>
        <v>100</v>
      </c>
      <c r="L94" s="174">
        <f t="shared" si="29"/>
        <v>0</v>
      </c>
      <c r="M94" s="174">
        <f t="shared" si="30"/>
        <v>0</v>
      </c>
      <c r="N94" s="175">
        <f t="shared" si="26"/>
        <v>100</v>
      </c>
      <c r="O94" s="213">
        <v>54.7</v>
      </c>
      <c r="P94" s="214"/>
      <c r="Q94" s="214"/>
      <c r="R94" s="215">
        <f t="shared" si="27"/>
        <v>54.7</v>
      </c>
      <c r="S94" s="216">
        <v>2</v>
      </c>
      <c r="T94" s="285">
        <v>37205</v>
      </c>
      <c r="U94" s="285">
        <v>37221</v>
      </c>
      <c r="V94" s="178" t="s">
        <v>72</v>
      </c>
      <c r="W94" s="171" t="s">
        <v>74</v>
      </c>
      <c r="X94" s="171" t="s">
        <v>11</v>
      </c>
      <c r="Y94" s="179">
        <v>46</v>
      </c>
      <c r="Z94" s="171" t="s">
        <v>73</v>
      </c>
      <c r="AA94" s="171" t="s">
        <v>869</v>
      </c>
      <c r="AB94" s="171" t="s">
        <v>11</v>
      </c>
      <c r="AC94" s="171">
        <v>8.6999999999999993</v>
      </c>
      <c r="AD94" s="178"/>
      <c r="AE94" s="171"/>
      <c r="AF94" s="171"/>
      <c r="AG94" s="179"/>
      <c r="AH94" s="171"/>
      <c r="AI94" s="171"/>
      <c r="AJ94" s="171"/>
      <c r="AK94" s="171"/>
      <c r="AL94" s="178"/>
      <c r="AM94" s="171"/>
      <c r="AN94" s="171"/>
      <c r="AO94" s="179"/>
      <c r="AP94" s="178"/>
      <c r="AQ94" s="171"/>
      <c r="AR94" s="171"/>
      <c r="AS94" s="179"/>
      <c r="AT94" s="171"/>
      <c r="AW94" s="179"/>
      <c r="BA94" s="218"/>
    </row>
    <row r="95" spans="1:53" s="217" customFormat="1" x14ac:dyDescent="0.15">
      <c r="A95" s="116">
        <v>2002</v>
      </c>
      <c r="B95" s="278"/>
      <c r="C95" s="407" t="s">
        <v>170</v>
      </c>
      <c r="D95" s="407"/>
      <c r="E95" s="116">
        <v>0</v>
      </c>
      <c r="F95" s="116"/>
      <c r="G95" s="211">
        <v>16</v>
      </c>
      <c r="H95" s="116"/>
      <c r="I95" s="116"/>
      <c r="J95" s="212">
        <v>16</v>
      </c>
      <c r="K95" s="174">
        <f t="shared" si="28"/>
        <v>100</v>
      </c>
      <c r="L95" s="174">
        <f t="shared" si="29"/>
        <v>0</v>
      </c>
      <c r="M95" s="174">
        <f t="shared" si="30"/>
        <v>0</v>
      </c>
      <c r="N95" s="175">
        <f t="shared" si="26"/>
        <v>100</v>
      </c>
      <c r="O95" s="213">
        <v>54.7</v>
      </c>
      <c r="P95" s="214"/>
      <c r="Q95" s="214"/>
      <c r="R95" s="215">
        <f t="shared" si="27"/>
        <v>54.7</v>
      </c>
      <c r="S95" s="216">
        <v>2</v>
      </c>
      <c r="T95" s="285"/>
      <c r="U95" s="285"/>
      <c r="V95" s="178" t="s">
        <v>72</v>
      </c>
      <c r="W95" s="171" t="s">
        <v>74</v>
      </c>
      <c r="X95" s="171" t="s">
        <v>11</v>
      </c>
      <c r="Y95" s="179">
        <v>46</v>
      </c>
      <c r="Z95" s="171" t="s">
        <v>73</v>
      </c>
      <c r="AA95" s="171" t="s">
        <v>869</v>
      </c>
      <c r="AB95" s="171" t="s">
        <v>11</v>
      </c>
      <c r="AC95" s="171">
        <v>8.6999999999999993</v>
      </c>
      <c r="AD95" s="178"/>
      <c r="AE95" s="171"/>
      <c r="AF95" s="171"/>
      <c r="AG95" s="179"/>
      <c r="AH95" s="171"/>
      <c r="AI95" s="171"/>
      <c r="AJ95" s="171"/>
      <c r="AK95" s="171"/>
      <c r="AL95" s="178"/>
      <c r="AM95" s="171"/>
      <c r="AN95" s="171"/>
      <c r="AO95" s="179"/>
      <c r="AP95" s="178"/>
      <c r="AQ95" s="171"/>
      <c r="AR95" s="171"/>
      <c r="AS95" s="179"/>
      <c r="AT95" s="171"/>
      <c r="AW95" s="179"/>
      <c r="BA95" s="218"/>
    </row>
    <row r="96" spans="1:53" s="217" customFormat="1" x14ac:dyDescent="0.15">
      <c r="A96" s="116">
        <v>2002</v>
      </c>
      <c r="B96" s="278"/>
      <c r="C96" s="407" t="s">
        <v>170</v>
      </c>
      <c r="D96" s="407"/>
      <c r="E96" s="116">
        <f>365-E95</f>
        <v>365</v>
      </c>
      <c r="F96" s="116"/>
      <c r="G96" s="211">
        <v>16</v>
      </c>
      <c r="H96" s="116"/>
      <c r="I96" s="116"/>
      <c r="J96" s="212">
        <v>16</v>
      </c>
      <c r="K96" s="174">
        <f t="shared" si="28"/>
        <v>100</v>
      </c>
      <c r="L96" s="174">
        <f t="shared" si="29"/>
        <v>0</v>
      </c>
      <c r="M96" s="174">
        <f t="shared" si="30"/>
        <v>0</v>
      </c>
      <c r="N96" s="175">
        <f t="shared" si="26"/>
        <v>100</v>
      </c>
      <c r="O96" s="213">
        <v>54.7</v>
      </c>
      <c r="P96" s="214"/>
      <c r="Q96" s="214"/>
      <c r="R96" s="215">
        <f t="shared" si="27"/>
        <v>54.7</v>
      </c>
      <c r="S96" s="216">
        <v>2</v>
      </c>
      <c r="T96" s="285"/>
      <c r="U96" s="285"/>
      <c r="V96" s="178" t="s">
        <v>72</v>
      </c>
      <c r="W96" s="171" t="s">
        <v>74</v>
      </c>
      <c r="X96" s="171" t="s">
        <v>11</v>
      </c>
      <c r="Y96" s="179">
        <v>46</v>
      </c>
      <c r="Z96" s="171" t="s">
        <v>73</v>
      </c>
      <c r="AA96" s="171" t="s">
        <v>869</v>
      </c>
      <c r="AB96" s="171" t="s">
        <v>11</v>
      </c>
      <c r="AC96" s="171">
        <v>8.6999999999999993</v>
      </c>
      <c r="AD96" s="178"/>
      <c r="AE96" s="171"/>
      <c r="AF96" s="171"/>
      <c r="AG96" s="179"/>
      <c r="AH96" s="171"/>
      <c r="AI96" s="171"/>
      <c r="AJ96" s="171"/>
      <c r="AK96" s="171"/>
      <c r="AL96" s="178"/>
      <c r="AM96" s="171"/>
      <c r="AN96" s="171"/>
      <c r="AO96" s="179"/>
      <c r="AP96" s="178"/>
      <c r="AQ96" s="171"/>
      <c r="AR96" s="171"/>
      <c r="AS96" s="179"/>
      <c r="AT96" s="171"/>
      <c r="AW96" s="179"/>
      <c r="BA96" s="218"/>
    </row>
    <row r="97" spans="1:53" s="217" customFormat="1" x14ac:dyDescent="0.15">
      <c r="A97" s="116">
        <v>2003</v>
      </c>
      <c r="B97" s="278"/>
      <c r="C97" s="407" t="s">
        <v>170</v>
      </c>
      <c r="D97" s="407"/>
      <c r="E97" s="116">
        <v>0</v>
      </c>
      <c r="F97" s="116"/>
      <c r="G97" s="211">
        <v>16</v>
      </c>
      <c r="H97" s="116"/>
      <c r="I97" s="116"/>
      <c r="J97" s="212">
        <v>16</v>
      </c>
      <c r="K97" s="174">
        <f t="shared" si="28"/>
        <v>100</v>
      </c>
      <c r="L97" s="174">
        <f t="shared" si="29"/>
        <v>0</v>
      </c>
      <c r="M97" s="174">
        <f t="shared" si="30"/>
        <v>0</v>
      </c>
      <c r="N97" s="175">
        <f t="shared" si="26"/>
        <v>100</v>
      </c>
      <c r="O97" s="213">
        <v>54.7</v>
      </c>
      <c r="P97" s="214"/>
      <c r="Q97" s="214"/>
      <c r="R97" s="215">
        <f t="shared" si="27"/>
        <v>54.7</v>
      </c>
      <c r="S97" s="216">
        <v>2</v>
      </c>
      <c r="T97" s="285"/>
      <c r="U97" s="285"/>
      <c r="V97" s="178" t="s">
        <v>72</v>
      </c>
      <c r="W97" s="171" t="s">
        <v>74</v>
      </c>
      <c r="X97" s="171" t="s">
        <v>11</v>
      </c>
      <c r="Y97" s="179">
        <v>46</v>
      </c>
      <c r="Z97" s="171" t="s">
        <v>73</v>
      </c>
      <c r="AA97" s="171" t="s">
        <v>869</v>
      </c>
      <c r="AB97" s="171" t="s">
        <v>11</v>
      </c>
      <c r="AC97" s="171">
        <v>8.6999999999999993</v>
      </c>
      <c r="AD97" s="178"/>
      <c r="AE97" s="171"/>
      <c r="AF97" s="171"/>
      <c r="AG97" s="179"/>
      <c r="AH97" s="171"/>
      <c r="AI97" s="171"/>
      <c r="AJ97" s="171"/>
      <c r="AK97" s="171"/>
      <c r="AL97" s="178"/>
      <c r="AM97" s="171"/>
      <c r="AN97" s="171"/>
      <c r="AO97" s="179"/>
      <c r="AP97" s="178"/>
      <c r="AQ97" s="171"/>
      <c r="AR97" s="171"/>
      <c r="AS97" s="179"/>
      <c r="AT97" s="171"/>
      <c r="AW97" s="179"/>
      <c r="BA97" s="218"/>
    </row>
    <row r="98" spans="1:53" s="217" customFormat="1" x14ac:dyDescent="0.15">
      <c r="A98" s="116">
        <v>2003</v>
      </c>
      <c r="B98" s="278"/>
      <c r="C98" s="407" t="s">
        <v>170</v>
      </c>
      <c r="D98" s="407"/>
      <c r="E98" s="116">
        <f>365-E97</f>
        <v>365</v>
      </c>
      <c r="F98" s="116"/>
      <c r="G98" s="211">
        <v>16</v>
      </c>
      <c r="H98" s="116"/>
      <c r="I98" s="116"/>
      <c r="J98" s="212">
        <v>16</v>
      </c>
      <c r="K98" s="174">
        <f t="shared" si="28"/>
        <v>100</v>
      </c>
      <c r="L98" s="174">
        <f t="shared" si="29"/>
        <v>0</v>
      </c>
      <c r="M98" s="174">
        <f t="shared" si="30"/>
        <v>0</v>
      </c>
      <c r="N98" s="175">
        <f t="shared" si="26"/>
        <v>100</v>
      </c>
      <c r="O98" s="213">
        <v>54.7</v>
      </c>
      <c r="P98" s="214"/>
      <c r="Q98" s="214"/>
      <c r="R98" s="215">
        <f t="shared" si="27"/>
        <v>54.7</v>
      </c>
      <c r="S98" s="216">
        <v>2</v>
      </c>
      <c r="T98" s="285"/>
      <c r="U98" s="285"/>
      <c r="V98" s="178" t="s">
        <v>72</v>
      </c>
      <c r="W98" s="171" t="s">
        <v>74</v>
      </c>
      <c r="X98" s="171" t="s">
        <v>11</v>
      </c>
      <c r="Y98" s="179">
        <v>46</v>
      </c>
      <c r="Z98" s="171" t="s">
        <v>73</v>
      </c>
      <c r="AA98" s="171" t="s">
        <v>869</v>
      </c>
      <c r="AB98" s="171" t="s">
        <v>11</v>
      </c>
      <c r="AC98" s="171">
        <v>8.6999999999999993</v>
      </c>
      <c r="AD98" s="178"/>
      <c r="AE98" s="171"/>
      <c r="AF98" s="171"/>
      <c r="AG98" s="179"/>
      <c r="AH98" s="171"/>
      <c r="AI98" s="171"/>
      <c r="AJ98" s="171"/>
      <c r="AK98" s="171"/>
      <c r="AL98" s="178"/>
      <c r="AM98" s="171"/>
      <c r="AN98" s="171"/>
      <c r="AO98" s="179"/>
      <c r="AP98" s="178"/>
      <c r="AQ98" s="171"/>
      <c r="AR98" s="171"/>
      <c r="AS98" s="179"/>
      <c r="AT98" s="171"/>
      <c r="AW98" s="179"/>
      <c r="BA98" s="218"/>
    </row>
    <row r="99" spans="1:53" s="217" customFormat="1" x14ac:dyDescent="0.15">
      <c r="A99" s="116">
        <v>2004</v>
      </c>
      <c r="B99" s="278"/>
      <c r="C99" s="407" t="s">
        <v>170</v>
      </c>
      <c r="D99" s="407"/>
      <c r="E99" s="116">
        <v>299</v>
      </c>
      <c r="F99" s="116"/>
      <c r="G99" s="211">
        <v>17</v>
      </c>
      <c r="H99" s="116"/>
      <c r="I99" s="116"/>
      <c r="J99" s="212">
        <v>17</v>
      </c>
      <c r="K99" s="174">
        <f t="shared" ref="K99:K104" si="31">G99/J99*100</f>
        <v>100</v>
      </c>
      <c r="L99" s="174">
        <f t="shared" ref="L99:L104" si="32">H99/J99*100</f>
        <v>0</v>
      </c>
      <c r="M99" s="174">
        <f t="shared" ref="M99:M104" si="33">I99/J99*100</f>
        <v>0</v>
      </c>
      <c r="N99" s="175">
        <f t="shared" si="26"/>
        <v>100</v>
      </c>
      <c r="O99" s="213">
        <v>54.7</v>
      </c>
      <c r="P99" s="214"/>
      <c r="Q99" s="214"/>
      <c r="R99" s="215">
        <f t="shared" si="27"/>
        <v>54.7</v>
      </c>
      <c r="S99" s="216">
        <v>2</v>
      </c>
      <c r="T99" s="285"/>
      <c r="U99" s="285"/>
      <c r="V99" s="178" t="s">
        <v>72</v>
      </c>
      <c r="W99" s="171" t="s">
        <v>74</v>
      </c>
      <c r="X99" s="171" t="s">
        <v>11</v>
      </c>
      <c r="Y99" s="179">
        <v>46</v>
      </c>
      <c r="Z99" s="171" t="s">
        <v>73</v>
      </c>
      <c r="AA99" s="171" t="s">
        <v>869</v>
      </c>
      <c r="AB99" s="171" t="s">
        <v>11</v>
      </c>
      <c r="AC99" s="171">
        <v>8.6999999999999993</v>
      </c>
      <c r="AD99" s="178"/>
      <c r="AE99" s="171"/>
      <c r="AF99" s="171"/>
      <c r="AG99" s="179"/>
      <c r="AH99" s="171"/>
      <c r="AI99" s="171"/>
      <c r="AJ99" s="171"/>
      <c r="AK99" s="171"/>
      <c r="AL99" s="178"/>
      <c r="AM99" s="171"/>
      <c r="AN99" s="171"/>
      <c r="AO99" s="179"/>
      <c r="AP99" s="178"/>
      <c r="AQ99" s="171"/>
      <c r="AR99" s="171"/>
      <c r="AS99" s="179"/>
      <c r="AT99" s="171"/>
      <c r="AW99" s="179"/>
      <c r="BA99" s="218"/>
    </row>
    <row r="100" spans="1:53" s="51" customFormat="1" x14ac:dyDescent="0.15">
      <c r="A100" s="42">
        <v>2004</v>
      </c>
      <c r="B100" s="279">
        <v>38286</v>
      </c>
      <c r="C100" s="408" t="s">
        <v>171</v>
      </c>
      <c r="D100" s="408"/>
      <c r="E100" s="42">
        <v>67</v>
      </c>
      <c r="F100" s="42">
        <v>1</v>
      </c>
      <c r="G100" s="44">
        <v>17</v>
      </c>
      <c r="H100" s="42"/>
      <c r="I100" s="42"/>
      <c r="J100" s="45">
        <v>17</v>
      </c>
      <c r="K100" s="33">
        <f t="shared" si="31"/>
        <v>100</v>
      </c>
      <c r="L100" s="33">
        <f t="shared" si="32"/>
        <v>0</v>
      </c>
      <c r="M100" s="33">
        <f t="shared" si="33"/>
        <v>0</v>
      </c>
      <c r="N100" s="34">
        <f t="shared" si="26"/>
        <v>100</v>
      </c>
      <c r="O100" s="46">
        <v>58</v>
      </c>
      <c r="P100" s="47"/>
      <c r="Q100" s="47"/>
      <c r="R100" s="48">
        <f t="shared" si="27"/>
        <v>58</v>
      </c>
      <c r="S100" s="52">
        <v>2</v>
      </c>
      <c r="T100" s="286">
        <v>38269</v>
      </c>
      <c r="U100" s="286">
        <v>38286</v>
      </c>
      <c r="V100" s="38" t="s">
        <v>72</v>
      </c>
      <c r="W100" s="29" t="s">
        <v>74</v>
      </c>
      <c r="X100" s="29" t="s">
        <v>11</v>
      </c>
      <c r="Y100" s="39">
        <v>50</v>
      </c>
      <c r="Z100" s="29" t="s">
        <v>73</v>
      </c>
      <c r="AA100" s="29" t="s">
        <v>869</v>
      </c>
      <c r="AB100" s="29" t="s">
        <v>11</v>
      </c>
      <c r="AC100" s="29">
        <v>8</v>
      </c>
      <c r="AD100" s="38"/>
      <c r="AE100" s="29"/>
      <c r="AF100" s="29"/>
      <c r="AG100" s="39"/>
      <c r="AH100" s="29"/>
      <c r="AI100" s="29"/>
      <c r="AJ100" s="29"/>
      <c r="AK100" s="29"/>
      <c r="AL100" s="38"/>
      <c r="AM100" s="29"/>
      <c r="AN100" s="29"/>
      <c r="AO100" s="39"/>
      <c r="AP100" s="38"/>
      <c r="AQ100" s="29"/>
      <c r="AR100" s="29"/>
      <c r="AS100" s="39"/>
      <c r="AT100" s="29"/>
      <c r="AW100" s="39"/>
      <c r="BA100" s="168"/>
    </row>
    <row r="101" spans="1:53" s="65" customFormat="1" x14ac:dyDescent="0.15">
      <c r="A101" s="59">
        <v>2005</v>
      </c>
      <c r="B101" s="282"/>
      <c r="C101" s="408" t="s">
        <v>171</v>
      </c>
      <c r="D101" s="408"/>
      <c r="E101" s="59">
        <v>0</v>
      </c>
      <c r="F101" s="59"/>
      <c r="G101" s="60">
        <v>17</v>
      </c>
      <c r="H101" s="59"/>
      <c r="I101" s="59"/>
      <c r="J101" s="61">
        <v>17</v>
      </c>
      <c r="K101" s="33">
        <f t="shared" si="31"/>
        <v>100</v>
      </c>
      <c r="L101" s="33">
        <f t="shared" si="32"/>
        <v>0</v>
      </c>
      <c r="M101" s="33">
        <f t="shared" si="33"/>
        <v>0</v>
      </c>
      <c r="N101" s="34">
        <f t="shared" si="26"/>
        <v>100</v>
      </c>
      <c r="O101" s="46">
        <v>58</v>
      </c>
      <c r="P101" s="47"/>
      <c r="Q101" s="47"/>
      <c r="R101" s="48">
        <f t="shared" si="27"/>
        <v>58</v>
      </c>
      <c r="S101" s="52">
        <v>2</v>
      </c>
      <c r="T101" s="286"/>
      <c r="U101" s="286"/>
      <c r="V101" s="38" t="s">
        <v>72</v>
      </c>
      <c r="W101" s="29" t="s">
        <v>74</v>
      </c>
      <c r="X101" s="29" t="s">
        <v>11</v>
      </c>
      <c r="Y101" s="39">
        <v>50</v>
      </c>
      <c r="Z101" s="29" t="s">
        <v>73</v>
      </c>
      <c r="AA101" s="29" t="s">
        <v>869</v>
      </c>
      <c r="AB101" s="29" t="s">
        <v>11</v>
      </c>
      <c r="AC101" s="29">
        <v>8</v>
      </c>
      <c r="AD101" s="62"/>
      <c r="AE101" s="63"/>
      <c r="AF101" s="63"/>
      <c r="AG101" s="64"/>
      <c r="AH101" s="63"/>
      <c r="AI101" s="63"/>
      <c r="AJ101" s="63"/>
      <c r="AK101" s="63"/>
      <c r="AL101" s="62"/>
      <c r="AM101" s="63"/>
      <c r="AN101" s="63"/>
      <c r="AO101" s="64"/>
      <c r="AP101" s="62"/>
      <c r="AQ101" s="63"/>
      <c r="AR101" s="63"/>
      <c r="AS101" s="64"/>
      <c r="AT101" s="63"/>
      <c r="AW101" s="64"/>
      <c r="BA101" s="169"/>
    </row>
    <row r="102" spans="1:53" s="65" customFormat="1" x14ac:dyDescent="0.15">
      <c r="A102" s="59">
        <v>2005</v>
      </c>
      <c r="B102" s="282"/>
      <c r="C102" s="408" t="s">
        <v>171</v>
      </c>
      <c r="D102" s="408"/>
      <c r="E102" s="59">
        <v>365</v>
      </c>
      <c r="F102" s="59"/>
      <c r="G102" s="60">
        <v>17</v>
      </c>
      <c r="H102" s="59"/>
      <c r="I102" s="59"/>
      <c r="J102" s="61">
        <v>17</v>
      </c>
      <c r="K102" s="33">
        <f t="shared" si="31"/>
        <v>100</v>
      </c>
      <c r="L102" s="33">
        <f t="shared" si="32"/>
        <v>0</v>
      </c>
      <c r="M102" s="33">
        <f t="shared" si="33"/>
        <v>0</v>
      </c>
      <c r="N102" s="34">
        <f t="shared" si="26"/>
        <v>100</v>
      </c>
      <c r="O102" s="46">
        <v>58</v>
      </c>
      <c r="P102" s="47"/>
      <c r="Q102" s="47"/>
      <c r="R102" s="48">
        <f t="shared" si="27"/>
        <v>58</v>
      </c>
      <c r="S102" s="52">
        <v>2</v>
      </c>
      <c r="T102" s="286"/>
      <c r="U102" s="286"/>
      <c r="V102" s="38" t="s">
        <v>72</v>
      </c>
      <c r="W102" s="29" t="s">
        <v>74</v>
      </c>
      <c r="X102" s="29" t="s">
        <v>11</v>
      </c>
      <c r="Y102" s="39">
        <v>50</v>
      </c>
      <c r="Z102" s="29" t="s">
        <v>73</v>
      </c>
      <c r="AA102" s="29" t="s">
        <v>869</v>
      </c>
      <c r="AB102" s="29" t="s">
        <v>11</v>
      </c>
      <c r="AC102" s="29">
        <v>8</v>
      </c>
      <c r="AD102" s="62"/>
      <c r="AE102" s="63"/>
      <c r="AF102" s="63"/>
      <c r="AG102" s="64"/>
      <c r="AH102" s="63"/>
      <c r="AI102" s="63"/>
      <c r="AJ102" s="63"/>
      <c r="AK102" s="63"/>
      <c r="AL102" s="62"/>
      <c r="AM102" s="63"/>
      <c r="AN102" s="63"/>
      <c r="AO102" s="64"/>
      <c r="AP102" s="62"/>
      <c r="AQ102" s="63"/>
      <c r="AR102" s="63"/>
      <c r="AS102" s="64"/>
      <c r="AT102" s="63"/>
      <c r="AW102" s="64"/>
      <c r="BA102" s="169"/>
    </row>
    <row r="103" spans="1:53" s="63" customFormat="1" x14ac:dyDescent="0.15">
      <c r="A103" s="63">
        <v>2006</v>
      </c>
      <c r="B103" s="282"/>
      <c r="C103" s="408" t="s">
        <v>171</v>
      </c>
      <c r="D103" s="408"/>
      <c r="E103" s="59">
        <v>0</v>
      </c>
      <c r="F103" s="59"/>
      <c r="G103" s="60">
        <v>17</v>
      </c>
      <c r="H103" s="59"/>
      <c r="I103" s="59"/>
      <c r="J103" s="61">
        <v>17</v>
      </c>
      <c r="K103" s="33">
        <f t="shared" si="31"/>
        <v>100</v>
      </c>
      <c r="L103" s="33">
        <f t="shared" si="32"/>
        <v>0</v>
      </c>
      <c r="M103" s="33">
        <f t="shared" si="33"/>
        <v>0</v>
      </c>
      <c r="N103" s="34">
        <f t="shared" si="26"/>
        <v>100</v>
      </c>
      <c r="O103" s="46">
        <v>58</v>
      </c>
      <c r="P103" s="47"/>
      <c r="Q103" s="47"/>
      <c r="R103" s="48">
        <f t="shared" si="27"/>
        <v>58</v>
      </c>
      <c r="S103" s="52">
        <v>2</v>
      </c>
      <c r="T103" s="286"/>
      <c r="U103" s="286"/>
      <c r="V103" s="38" t="s">
        <v>72</v>
      </c>
      <c r="W103" s="29" t="s">
        <v>74</v>
      </c>
      <c r="X103" s="29" t="s">
        <v>11</v>
      </c>
      <c r="Y103" s="39">
        <v>50</v>
      </c>
      <c r="Z103" s="29" t="s">
        <v>73</v>
      </c>
      <c r="AA103" s="29" t="s">
        <v>869</v>
      </c>
      <c r="AB103" s="29" t="s">
        <v>11</v>
      </c>
      <c r="AC103" s="29">
        <v>8</v>
      </c>
      <c r="AD103" s="62"/>
      <c r="AG103" s="64"/>
      <c r="AL103" s="62"/>
      <c r="AO103" s="64"/>
      <c r="AP103" s="62"/>
      <c r="AS103" s="64"/>
      <c r="AW103" s="64"/>
      <c r="BA103" s="170"/>
    </row>
    <row r="104" spans="1:53" s="63" customFormat="1" x14ac:dyDescent="0.15">
      <c r="A104" s="63">
        <v>2006</v>
      </c>
      <c r="B104" s="282"/>
      <c r="C104" s="408" t="s">
        <v>171</v>
      </c>
      <c r="D104" s="408"/>
      <c r="E104" s="59">
        <v>365</v>
      </c>
      <c r="F104" s="59"/>
      <c r="G104" s="60">
        <v>17</v>
      </c>
      <c r="H104" s="59"/>
      <c r="I104" s="59"/>
      <c r="J104" s="61">
        <v>17</v>
      </c>
      <c r="K104" s="33">
        <f t="shared" si="31"/>
        <v>100</v>
      </c>
      <c r="L104" s="33">
        <f t="shared" si="32"/>
        <v>0</v>
      </c>
      <c r="M104" s="33">
        <f t="shared" si="33"/>
        <v>0</v>
      </c>
      <c r="N104" s="34">
        <f t="shared" si="26"/>
        <v>100</v>
      </c>
      <c r="O104" s="46">
        <v>58</v>
      </c>
      <c r="P104" s="47"/>
      <c r="Q104" s="47"/>
      <c r="R104" s="48">
        <f>SUM(O104:Q104)</f>
        <v>58</v>
      </c>
      <c r="S104" s="52">
        <v>2</v>
      </c>
      <c r="T104" s="286"/>
      <c r="U104" s="286"/>
      <c r="V104" s="38" t="s">
        <v>72</v>
      </c>
      <c r="W104" s="29" t="s">
        <v>74</v>
      </c>
      <c r="X104" s="29" t="s">
        <v>11</v>
      </c>
      <c r="Y104" s="39">
        <v>50</v>
      </c>
      <c r="Z104" s="29" t="s">
        <v>73</v>
      </c>
      <c r="AA104" s="29" t="s">
        <v>869</v>
      </c>
      <c r="AB104" s="29" t="s">
        <v>11</v>
      </c>
      <c r="AC104" s="29">
        <v>8</v>
      </c>
      <c r="AD104" s="62"/>
      <c r="AG104" s="64"/>
      <c r="AL104" s="62"/>
      <c r="AO104" s="64"/>
      <c r="AP104" s="62"/>
      <c r="AS104" s="64"/>
      <c r="AW104" s="64"/>
      <c r="BA104" s="170"/>
    </row>
    <row r="105" spans="1:53" s="63" customFormat="1" x14ac:dyDescent="0.15">
      <c r="A105" s="42">
        <v>2006.73170731707</v>
      </c>
      <c r="B105" s="279"/>
      <c r="C105" s="408" t="s">
        <v>171</v>
      </c>
      <c r="D105" s="408"/>
      <c r="E105" s="42">
        <v>336</v>
      </c>
      <c r="F105" s="42"/>
      <c r="G105" s="44">
        <v>17</v>
      </c>
      <c r="H105" s="42"/>
      <c r="I105" s="42"/>
      <c r="J105" s="45">
        <v>17</v>
      </c>
      <c r="K105" s="33">
        <f t="shared" ref="K105:K128" si="34">G105/J105*100</f>
        <v>100</v>
      </c>
      <c r="L105" s="33">
        <f t="shared" ref="L105:L126" si="35">H105/J105*100</f>
        <v>0</v>
      </c>
      <c r="M105" s="33">
        <f t="shared" ref="M105:M126" si="36">I105/J105*100</f>
        <v>0</v>
      </c>
      <c r="N105" s="34">
        <f t="shared" si="26"/>
        <v>100</v>
      </c>
      <c r="O105" s="46">
        <v>58</v>
      </c>
      <c r="P105" s="47"/>
      <c r="Q105" s="47"/>
      <c r="R105" s="48">
        <f t="shared" si="27"/>
        <v>58</v>
      </c>
      <c r="S105" s="52">
        <v>2</v>
      </c>
      <c r="T105" s="286"/>
      <c r="U105" s="286"/>
      <c r="V105" s="38" t="s">
        <v>72</v>
      </c>
      <c r="W105" s="29" t="s">
        <v>74</v>
      </c>
      <c r="X105" s="29" t="s">
        <v>11</v>
      </c>
      <c r="Y105" s="39">
        <v>50</v>
      </c>
      <c r="Z105" s="29" t="s">
        <v>73</v>
      </c>
      <c r="AA105" s="29" t="s">
        <v>869</v>
      </c>
      <c r="AB105" s="29" t="s">
        <v>11</v>
      </c>
      <c r="AC105" s="29">
        <v>8</v>
      </c>
      <c r="AD105" s="62"/>
      <c r="AG105" s="64"/>
      <c r="AL105" s="62"/>
      <c r="AO105" s="64"/>
      <c r="AP105" s="62"/>
      <c r="AS105" s="64"/>
      <c r="AW105" s="64"/>
      <c r="BA105" s="170"/>
    </row>
    <row r="106" spans="1:53" s="229" customFormat="1" x14ac:dyDescent="0.15">
      <c r="A106" s="116">
        <v>2007.23085649461</v>
      </c>
      <c r="B106" s="278">
        <v>39419</v>
      </c>
      <c r="C106" s="407" t="s">
        <v>172</v>
      </c>
      <c r="D106" s="407"/>
      <c r="E106" s="116">
        <f>365-E105</f>
        <v>29</v>
      </c>
      <c r="F106" s="116">
        <v>1</v>
      </c>
      <c r="G106" s="211"/>
      <c r="H106" s="116"/>
      <c r="I106" s="116">
        <v>20</v>
      </c>
      <c r="J106" s="212">
        <v>20</v>
      </c>
      <c r="K106" s="174">
        <f t="shared" si="34"/>
        <v>0</v>
      </c>
      <c r="L106" s="174">
        <f t="shared" si="35"/>
        <v>0</v>
      </c>
      <c r="M106" s="174">
        <f t="shared" si="36"/>
        <v>100</v>
      </c>
      <c r="N106" s="175">
        <f t="shared" si="26"/>
        <v>100</v>
      </c>
      <c r="O106" s="213"/>
      <c r="P106" s="214"/>
      <c r="Q106" s="214">
        <v>55.3</v>
      </c>
      <c r="R106" s="215">
        <f t="shared" si="27"/>
        <v>55.3</v>
      </c>
      <c r="S106" s="216">
        <v>1</v>
      </c>
      <c r="T106" s="285">
        <v>39410</v>
      </c>
      <c r="U106" s="285">
        <v>39419</v>
      </c>
      <c r="V106" s="178" t="s">
        <v>77</v>
      </c>
      <c r="W106" s="171" t="s">
        <v>20</v>
      </c>
      <c r="X106" s="171" t="s">
        <v>12</v>
      </c>
      <c r="Y106" s="179">
        <v>55.3</v>
      </c>
      <c r="AD106" s="230"/>
      <c r="AG106" s="231"/>
      <c r="AL106" s="230"/>
      <c r="AO106" s="231"/>
      <c r="AP106" s="230"/>
      <c r="AS106" s="231"/>
      <c r="AW106" s="231"/>
      <c r="BA106" s="232"/>
    </row>
    <row r="107" spans="1:53" s="217" customFormat="1" x14ac:dyDescent="0.15">
      <c r="A107" s="116">
        <v>2008</v>
      </c>
      <c r="B107" s="278"/>
      <c r="C107" s="407" t="s">
        <v>172</v>
      </c>
      <c r="D107" s="407"/>
      <c r="E107" s="116">
        <v>0</v>
      </c>
      <c r="F107" s="116"/>
      <c r="G107" s="211"/>
      <c r="H107" s="116"/>
      <c r="I107" s="116">
        <v>20</v>
      </c>
      <c r="J107" s="212">
        <v>20</v>
      </c>
      <c r="K107" s="174">
        <f t="shared" si="34"/>
        <v>0</v>
      </c>
      <c r="L107" s="174">
        <f t="shared" si="35"/>
        <v>0</v>
      </c>
      <c r="M107" s="174">
        <f t="shared" si="36"/>
        <v>100</v>
      </c>
      <c r="N107" s="175">
        <f t="shared" si="26"/>
        <v>100</v>
      </c>
      <c r="O107" s="213"/>
      <c r="P107" s="214"/>
      <c r="Q107" s="214">
        <v>55.3</v>
      </c>
      <c r="R107" s="215">
        <f t="shared" si="27"/>
        <v>55.3</v>
      </c>
      <c r="S107" s="216">
        <v>1</v>
      </c>
      <c r="T107" s="285"/>
      <c r="U107" s="285"/>
      <c r="V107" s="178" t="s">
        <v>77</v>
      </c>
      <c r="W107" s="171" t="s">
        <v>20</v>
      </c>
      <c r="X107" s="171" t="s">
        <v>12</v>
      </c>
      <c r="Y107" s="179">
        <v>55.3</v>
      </c>
      <c r="Z107" s="171"/>
      <c r="AA107" s="171"/>
      <c r="AB107" s="171"/>
      <c r="AC107" s="171"/>
      <c r="AD107" s="178"/>
      <c r="AE107" s="171"/>
      <c r="AF107" s="171"/>
      <c r="AG107" s="179"/>
      <c r="AH107" s="171"/>
      <c r="AI107" s="171"/>
      <c r="AJ107" s="171"/>
      <c r="AK107" s="171"/>
      <c r="AL107" s="178"/>
      <c r="AM107" s="171"/>
      <c r="AN107" s="171"/>
      <c r="AO107" s="179"/>
      <c r="AP107" s="178"/>
      <c r="AQ107" s="171"/>
      <c r="AR107" s="171"/>
      <c r="AS107" s="179"/>
      <c r="AT107" s="171"/>
      <c r="AW107" s="179"/>
      <c r="BA107" s="218"/>
    </row>
    <row r="108" spans="1:53" s="217" customFormat="1" x14ac:dyDescent="0.15">
      <c r="A108" s="116">
        <v>2008</v>
      </c>
      <c r="B108" s="278"/>
      <c r="C108" s="407" t="s">
        <v>172</v>
      </c>
      <c r="D108" s="407"/>
      <c r="E108" s="116">
        <v>366</v>
      </c>
      <c r="F108" s="116"/>
      <c r="G108" s="211"/>
      <c r="H108" s="116"/>
      <c r="I108" s="116">
        <v>20</v>
      </c>
      <c r="J108" s="212">
        <v>20</v>
      </c>
      <c r="K108" s="174">
        <f t="shared" si="34"/>
        <v>0</v>
      </c>
      <c r="L108" s="174">
        <f t="shared" si="35"/>
        <v>0</v>
      </c>
      <c r="M108" s="174">
        <f t="shared" si="36"/>
        <v>100</v>
      </c>
      <c r="N108" s="175">
        <f t="shared" si="26"/>
        <v>100</v>
      </c>
      <c r="O108" s="213"/>
      <c r="P108" s="214"/>
      <c r="Q108" s="214">
        <v>55.3</v>
      </c>
      <c r="R108" s="215">
        <f t="shared" si="27"/>
        <v>55.3</v>
      </c>
      <c r="S108" s="216">
        <v>1</v>
      </c>
      <c r="T108" s="285"/>
      <c r="U108" s="285"/>
      <c r="V108" s="178" t="s">
        <v>77</v>
      </c>
      <c r="W108" s="171" t="s">
        <v>20</v>
      </c>
      <c r="X108" s="171" t="s">
        <v>12</v>
      </c>
      <c r="Y108" s="179">
        <v>55.3</v>
      </c>
      <c r="Z108" s="171"/>
      <c r="AA108" s="171"/>
      <c r="AB108" s="171"/>
      <c r="AC108" s="171"/>
      <c r="AD108" s="178"/>
      <c r="AE108" s="171"/>
      <c r="AF108" s="171"/>
      <c r="AG108" s="179"/>
      <c r="AH108" s="171"/>
      <c r="AI108" s="171"/>
      <c r="AJ108" s="171"/>
      <c r="AK108" s="171"/>
      <c r="AL108" s="178"/>
      <c r="AM108" s="171"/>
      <c r="AN108" s="171"/>
      <c r="AO108" s="179"/>
      <c r="AP108" s="178"/>
      <c r="AQ108" s="171"/>
      <c r="AR108" s="171"/>
      <c r="AS108" s="179"/>
      <c r="AT108" s="171"/>
      <c r="AW108" s="179"/>
      <c r="BA108" s="218"/>
    </row>
    <row r="109" spans="1:53" s="217" customFormat="1" x14ac:dyDescent="0.15">
      <c r="A109" s="116">
        <v>2009</v>
      </c>
      <c r="B109" s="278"/>
      <c r="C109" s="407" t="s">
        <v>172</v>
      </c>
      <c r="D109" s="407"/>
      <c r="E109" s="116">
        <v>0</v>
      </c>
      <c r="F109" s="116"/>
      <c r="G109" s="211"/>
      <c r="H109" s="116"/>
      <c r="I109" s="116">
        <v>20</v>
      </c>
      <c r="J109" s="212">
        <v>20</v>
      </c>
      <c r="K109" s="174">
        <f t="shared" si="34"/>
        <v>0</v>
      </c>
      <c r="L109" s="174">
        <f t="shared" si="35"/>
        <v>0</v>
      </c>
      <c r="M109" s="174">
        <f t="shared" si="36"/>
        <v>100</v>
      </c>
      <c r="N109" s="175">
        <f t="shared" si="26"/>
        <v>100</v>
      </c>
      <c r="O109" s="213"/>
      <c r="P109" s="214"/>
      <c r="Q109" s="214">
        <v>55.3</v>
      </c>
      <c r="R109" s="215">
        <f t="shared" si="27"/>
        <v>55.3</v>
      </c>
      <c r="S109" s="216">
        <v>1</v>
      </c>
      <c r="T109" s="285"/>
      <c r="U109" s="285"/>
      <c r="V109" s="178" t="s">
        <v>77</v>
      </c>
      <c r="W109" s="171" t="s">
        <v>20</v>
      </c>
      <c r="X109" s="171" t="s">
        <v>12</v>
      </c>
      <c r="Y109" s="179">
        <v>55.3</v>
      </c>
      <c r="Z109" s="171"/>
      <c r="AA109" s="171"/>
      <c r="AB109" s="171"/>
      <c r="AC109" s="171"/>
      <c r="AD109" s="178"/>
      <c r="AE109" s="171"/>
      <c r="AF109" s="171"/>
      <c r="AG109" s="179"/>
      <c r="AH109" s="171"/>
      <c r="AI109" s="171"/>
      <c r="AJ109" s="171"/>
      <c r="AK109" s="171"/>
      <c r="AL109" s="178"/>
      <c r="AM109" s="171"/>
      <c r="AN109" s="171"/>
      <c r="AO109" s="179"/>
      <c r="AP109" s="178"/>
      <c r="AQ109" s="171"/>
      <c r="AR109" s="171"/>
      <c r="AS109" s="179"/>
      <c r="AT109" s="171"/>
      <c r="AW109" s="179"/>
      <c r="BA109" s="218"/>
    </row>
    <row r="110" spans="1:53" s="217" customFormat="1" x14ac:dyDescent="0.15">
      <c r="A110" s="116">
        <v>2009</v>
      </c>
      <c r="B110" s="283"/>
      <c r="C110" s="407" t="s">
        <v>172</v>
      </c>
      <c r="D110" s="407"/>
      <c r="E110" s="116">
        <v>365</v>
      </c>
      <c r="F110" s="116"/>
      <c r="G110" s="211"/>
      <c r="H110" s="116"/>
      <c r="I110" s="116">
        <v>20</v>
      </c>
      <c r="J110" s="212">
        <v>20</v>
      </c>
      <c r="K110" s="174">
        <f t="shared" si="34"/>
        <v>0</v>
      </c>
      <c r="L110" s="174">
        <f t="shared" si="35"/>
        <v>0</v>
      </c>
      <c r="M110" s="174">
        <f t="shared" si="36"/>
        <v>100</v>
      </c>
      <c r="N110" s="175">
        <f t="shared" si="26"/>
        <v>100</v>
      </c>
      <c r="O110" s="213"/>
      <c r="P110" s="214"/>
      <c r="Q110" s="214">
        <v>55.3</v>
      </c>
      <c r="R110" s="215">
        <f t="shared" si="27"/>
        <v>55.3</v>
      </c>
      <c r="S110" s="216">
        <v>1</v>
      </c>
      <c r="T110" s="285"/>
      <c r="U110" s="285"/>
      <c r="V110" s="178" t="s">
        <v>77</v>
      </c>
      <c r="W110" s="171" t="s">
        <v>20</v>
      </c>
      <c r="X110" s="171" t="s">
        <v>12</v>
      </c>
      <c r="Y110" s="179">
        <v>55.3</v>
      </c>
      <c r="Z110" s="171"/>
      <c r="AA110" s="171"/>
      <c r="AB110" s="171"/>
      <c r="AC110" s="171"/>
      <c r="AD110" s="178"/>
      <c r="AE110" s="171"/>
      <c r="AF110" s="171"/>
      <c r="AG110" s="179"/>
      <c r="AH110" s="171"/>
      <c r="AI110" s="171"/>
      <c r="AJ110" s="171"/>
      <c r="AK110" s="171"/>
      <c r="AL110" s="178"/>
      <c r="AM110" s="171"/>
      <c r="AN110" s="171"/>
      <c r="AO110" s="179"/>
      <c r="AP110" s="178"/>
      <c r="AQ110" s="171"/>
      <c r="AR110" s="171"/>
      <c r="AS110" s="179"/>
      <c r="AT110" s="171"/>
      <c r="AW110" s="179"/>
      <c r="BA110" s="218"/>
    </row>
    <row r="111" spans="1:53" s="217" customFormat="1" x14ac:dyDescent="0.15">
      <c r="A111" s="116">
        <v>2010</v>
      </c>
      <c r="B111" s="283"/>
      <c r="C111" s="407" t="s">
        <v>172</v>
      </c>
      <c r="D111" s="407"/>
      <c r="E111" s="116">
        <v>174</v>
      </c>
      <c r="F111" s="116"/>
      <c r="G111" s="211"/>
      <c r="H111" s="116"/>
      <c r="I111" s="116">
        <v>20</v>
      </c>
      <c r="J111" s="212">
        <v>20</v>
      </c>
      <c r="K111" s="174">
        <f t="shared" si="34"/>
        <v>0</v>
      </c>
      <c r="L111" s="174">
        <f t="shared" si="35"/>
        <v>0</v>
      </c>
      <c r="M111" s="174">
        <f t="shared" si="36"/>
        <v>100</v>
      </c>
      <c r="N111" s="175">
        <f t="shared" si="26"/>
        <v>100</v>
      </c>
      <c r="O111" s="213"/>
      <c r="P111" s="214"/>
      <c r="Q111" s="214">
        <v>55.3</v>
      </c>
      <c r="R111" s="215">
        <f t="shared" si="27"/>
        <v>55.3</v>
      </c>
      <c r="S111" s="216">
        <v>1</v>
      </c>
      <c r="T111" s="285"/>
      <c r="U111" s="285"/>
      <c r="V111" s="178" t="s">
        <v>77</v>
      </c>
      <c r="W111" s="171" t="s">
        <v>20</v>
      </c>
      <c r="X111" s="171" t="s">
        <v>12</v>
      </c>
      <c r="Y111" s="179">
        <v>55.3</v>
      </c>
      <c r="Z111" s="171"/>
      <c r="AA111" s="171"/>
      <c r="AB111" s="171"/>
      <c r="AC111" s="171"/>
      <c r="AD111" s="178"/>
      <c r="AE111" s="171"/>
      <c r="AF111" s="171"/>
      <c r="AG111" s="179"/>
      <c r="AH111" s="171"/>
      <c r="AI111" s="171"/>
      <c r="AJ111" s="171"/>
      <c r="AK111" s="171"/>
      <c r="AL111" s="178"/>
      <c r="AM111" s="171"/>
      <c r="AN111" s="171"/>
      <c r="AO111" s="179"/>
      <c r="AP111" s="178"/>
      <c r="AQ111" s="171"/>
      <c r="AR111" s="171"/>
      <c r="AS111" s="179"/>
      <c r="AT111" s="171"/>
      <c r="AW111" s="179"/>
      <c r="BA111" s="218"/>
    </row>
    <row r="112" spans="1:53" s="51" customFormat="1" x14ac:dyDescent="0.15">
      <c r="A112" s="42">
        <v>2010</v>
      </c>
      <c r="B112" s="279">
        <v>40353</v>
      </c>
      <c r="C112" s="408" t="s">
        <v>173</v>
      </c>
      <c r="D112" s="408"/>
      <c r="E112" s="42">
        <f>365-E111-E113</f>
        <v>82</v>
      </c>
      <c r="F112" s="42">
        <v>2</v>
      </c>
      <c r="G112" s="44"/>
      <c r="H112" s="42"/>
      <c r="I112" s="42">
        <v>20</v>
      </c>
      <c r="J112" s="45">
        <v>20</v>
      </c>
      <c r="K112" s="33">
        <f t="shared" si="34"/>
        <v>0</v>
      </c>
      <c r="L112" s="33">
        <f t="shared" si="35"/>
        <v>0</v>
      </c>
      <c r="M112" s="33">
        <f t="shared" si="36"/>
        <v>100</v>
      </c>
      <c r="N112" s="34">
        <f t="shared" si="26"/>
        <v>100</v>
      </c>
      <c r="O112" s="46"/>
      <c r="P112" s="47"/>
      <c r="Q112" s="47">
        <v>55.3</v>
      </c>
      <c r="R112" s="48">
        <f t="shared" si="27"/>
        <v>55.3</v>
      </c>
      <c r="S112" s="52">
        <v>1</v>
      </c>
      <c r="T112" s="286"/>
      <c r="U112" s="286">
        <v>40353</v>
      </c>
      <c r="V112" s="38" t="s">
        <v>77</v>
      </c>
      <c r="W112" s="29" t="s">
        <v>20</v>
      </c>
      <c r="X112" s="29" t="s">
        <v>12</v>
      </c>
      <c r="Y112" s="39">
        <v>55.3</v>
      </c>
      <c r="Z112" s="29"/>
      <c r="AA112" s="29"/>
      <c r="AB112" s="29"/>
      <c r="AC112" s="29"/>
      <c r="AD112" s="38"/>
      <c r="AE112" s="29"/>
      <c r="AF112" s="29"/>
      <c r="AG112" s="39"/>
      <c r="AH112" s="29"/>
      <c r="AI112" s="29"/>
      <c r="AJ112" s="29"/>
      <c r="AK112" s="29"/>
      <c r="AL112" s="38"/>
      <c r="AM112" s="29"/>
      <c r="AN112" s="29"/>
      <c r="AO112" s="39"/>
      <c r="AP112" s="38"/>
      <c r="AQ112" s="29"/>
      <c r="AR112" s="29"/>
      <c r="AS112" s="39"/>
      <c r="AT112" s="29"/>
      <c r="AW112" s="39"/>
      <c r="BA112" s="168"/>
    </row>
    <row r="113" spans="1:53" s="217" customFormat="1" x14ac:dyDescent="0.15">
      <c r="A113" s="116">
        <v>2010</v>
      </c>
      <c r="B113" s="278">
        <v>40435</v>
      </c>
      <c r="C113" s="407" t="s">
        <v>174</v>
      </c>
      <c r="D113" s="407"/>
      <c r="E113" s="116">
        <v>109</v>
      </c>
      <c r="F113" s="116">
        <v>1</v>
      </c>
      <c r="G113" s="211"/>
      <c r="H113" s="116"/>
      <c r="I113" s="116">
        <v>20</v>
      </c>
      <c r="J113" s="212">
        <v>20</v>
      </c>
      <c r="K113" s="174">
        <f t="shared" si="34"/>
        <v>0</v>
      </c>
      <c r="L113" s="174">
        <f t="shared" si="35"/>
        <v>0</v>
      </c>
      <c r="M113" s="174">
        <f t="shared" si="36"/>
        <v>100</v>
      </c>
      <c r="N113" s="175">
        <f t="shared" si="26"/>
        <v>100</v>
      </c>
      <c r="O113" s="213"/>
      <c r="P113" s="214"/>
      <c r="Q113" s="214">
        <v>48</v>
      </c>
      <c r="R113" s="215">
        <f t="shared" si="27"/>
        <v>48</v>
      </c>
      <c r="S113" s="216">
        <v>4</v>
      </c>
      <c r="T113" s="285">
        <v>40411</v>
      </c>
      <c r="U113" s="285">
        <v>40435</v>
      </c>
      <c r="V113" s="178" t="s">
        <v>77</v>
      </c>
      <c r="W113" s="171" t="s">
        <v>20</v>
      </c>
      <c r="X113" s="171" t="s">
        <v>12</v>
      </c>
      <c r="Y113" s="179">
        <v>48</v>
      </c>
      <c r="Z113" s="171"/>
      <c r="AA113" s="171"/>
      <c r="AB113" s="171"/>
      <c r="AC113" s="171"/>
      <c r="AD113" s="178"/>
      <c r="AE113" s="171"/>
      <c r="AF113" s="171"/>
      <c r="AG113" s="179"/>
      <c r="AH113" s="171"/>
      <c r="AI113" s="171"/>
      <c r="AJ113" s="171"/>
      <c r="AK113" s="171"/>
      <c r="AL113" s="178"/>
      <c r="AM113" s="171"/>
      <c r="AN113" s="171"/>
      <c r="AO113" s="179"/>
      <c r="AP113" s="178"/>
      <c r="AQ113" s="171"/>
      <c r="AR113" s="171"/>
      <c r="AS113" s="179"/>
      <c r="AT113" s="171"/>
      <c r="AW113" s="179"/>
      <c r="BA113" s="218"/>
    </row>
    <row r="114" spans="1:53" s="217" customFormat="1" x14ac:dyDescent="0.15">
      <c r="A114" s="116">
        <v>2011</v>
      </c>
      <c r="B114" s="283"/>
      <c r="C114" s="407" t="s">
        <v>174</v>
      </c>
      <c r="D114" s="407"/>
      <c r="E114" s="116">
        <v>347</v>
      </c>
      <c r="F114" s="116"/>
      <c r="G114" s="211"/>
      <c r="H114" s="116"/>
      <c r="I114" s="116">
        <v>20</v>
      </c>
      <c r="J114" s="212">
        <v>20</v>
      </c>
      <c r="K114" s="174">
        <f t="shared" si="34"/>
        <v>0</v>
      </c>
      <c r="L114" s="174">
        <f t="shared" si="35"/>
        <v>0</v>
      </c>
      <c r="M114" s="174">
        <f t="shared" si="36"/>
        <v>100</v>
      </c>
      <c r="N114" s="175">
        <f t="shared" si="26"/>
        <v>100</v>
      </c>
      <c r="O114" s="213"/>
      <c r="P114" s="214"/>
      <c r="Q114" s="214">
        <v>48</v>
      </c>
      <c r="R114" s="215">
        <f t="shared" si="27"/>
        <v>48</v>
      </c>
      <c r="S114" s="216">
        <v>4</v>
      </c>
      <c r="T114" s="285"/>
      <c r="U114" s="285"/>
      <c r="V114" s="178" t="s">
        <v>77</v>
      </c>
      <c r="W114" s="171" t="s">
        <v>20</v>
      </c>
      <c r="X114" s="171" t="s">
        <v>12</v>
      </c>
      <c r="Y114" s="179">
        <v>48</v>
      </c>
      <c r="Z114" s="171"/>
      <c r="AA114" s="171"/>
      <c r="AB114" s="171"/>
      <c r="AC114" s="171"/>
      <c r="AD114" s="178"/>
      <c r="AE114" s="171"/>
      <c r="AF114" s="171"/>
      <c r="AG114" s="179"/>
      <c r="AH114" s="171"/>
      <c r="AI114" s="171"/>
      <c r="AJ114" s="171"/>
      <c r="AK114" s="171"/>
      <c r="AL114" s="178"/>
      <c r="AM114" s="171"/>
      <c r="AN114" s="171"/>
      <c r="AO114" s="179"/>
      <c r="AP114" s="178"/>
      <c r="AQ114" s="171"/>
      <c r="AR114" s="171"/>
      <c r="AS114" s="179"/>
      <c r="AT114" s="171"/>
      <c r="AW114" s="179"/>
      <c r="BA114" s="218"/>
    </row>
    <row r="115" spans="1:53" s="217" customFormat="1" x14ac:dyDescent="0.15">
      <c r="A115" s="116">
        <v>2011</v>
      </c>
      <c r="B115" s="284">
        <v>40891</v>
      </c>
      <c r="C115" s="407" t="s">
        <v>174</v>
      </c>
      <c r="D115" s="407"/>
      <c r="E115" s="116">
        <f>365-E114</f>
        <v>18</v>
      </c>
      <c r="F115" s="219">
        <v>0</v>
      </c>
      <c r="G115" s="211"/>
      <c r="H115" s="116"/>
      <c r="I115" s="116">
        <v>22</v>
      </c>
      <c r="J115" s="212">
        <v>22</v>
      </c>
      <c r="K115" s="174">
        <f t="shared" si="34"/>
        <v>0</v>
      </c>
      <c r="L115" s="174">
        <f t="shared" si="35"/>
        <v>0</v>
      </c>
      <c r="M115" s="174">
        <f t="shared" si="36"/>
        <v>100</v>
      </c>
      <c r="N115" s="177">
        <f t="shared" si="26"/>
        <v>100</v>
      </c>
      <c r="O115" s="214"/>
      <c r="P115" s="214"/>
      <c r="Q115" s="214">
        <v>48</v>
      </c>
      <c r="R115" s="215">
        <f t="shared" si="27"/>
        <v>48</v>
      </c>
      <c r="S115" s="220">
        <v>4</v>
      </c>
      <c r="T115" s="285"/>
      <c r="U115" s="285"/>
      <c r="V115" s="178" t="s">
        <v>77</v>
      </c>
      <c r="W115" s="171" t="s">
        <v>20</v>
      </c>
      <c r="X115" s="171" t="s">
        <v>12</v>
      </c>
      <c r="Y115" s="179">
        <v>48</v>
      </c>
      <c r="Z115" s="171"/>
      <c r="AA115" s="171"/>
      <c r="AB115" s="171"/>
      <c r="AC115" s="171"/>
      <c r="AD115" s="178"/>
      <c r="AE115" s="171"/>
      <c r="AF115" s="171"/>
      <c r="AG115" s="179"/>
      <c r="AH115" s="171"/>
      <c r="AI115" s="171"/>
      <c r="AJ115" s="171"/>
      <c r="AK115" s="171"/>
      <c r="AL115" s="178"/>
      <c r="AM115" s="171"/>
      <c r="AN115" s="171"/>
      <c r="AO115" s="179"/>
      <c r="AP115" s="178"/>
      <c r="AQ115" s="171"/>
      <c r="AR115" s="171"/>
      <c r="AS115" s="179"/>
      <c r="AT115" s="171"/>
      <c r="AW115" s="179"/>
      <c r="BA115" s="218"/>
    </row>
    <row r="116" spans="1:53" s="217" customFormat="1" x14ac:dyDescent="0.15">
      <c r="A116" s="116">
        <v>2012</v>
      </c>
      <c r="B116" s="283"/>
      <c r="C116" s="407" t="s">
        <v>174</v>
      </c>
      <c r="D116" s="407"/>
      <c r="E116" s="116">
        <v>0</v>
      </c>
      <c r="F116" s="116"/>
      <c r="G116" s="211"/>
      <c r="H116" s="116"/>
      <c r="I116" s="116">
        <v>22</v>
      </c>
      <c r="J116" s="212">
        <v>22</v>
      </c>
      <c r="K116" s="174">
        <f t="shared" si="34"/>
        <v>0</v>
      </c>
      <c r="L116" s="174">
        <f t="shared" si="35"/>
        <v>0</v>
      </c>
      <c r="M116" s="174">
        <f t="shared" si="36"/>
        <v>100</v>
      </c>
      <c r="N116" s="175">
        <f t="shared" si="26"/>
        <v>100</v>
      </c>
      <c r="O116" s="213"/>
      <c r="P116" s="214"/>
      <c r="Q116" s="214">
        <v>48</v>
      </c>
      <c r="R116" s="215">
        <f t="shared" si="27"/>
        <v>48</v>
      </c>
      <c r="S116" s="216">
        <v>4</v>
      </c>
      <c r="T116" s="285"/>
      <c r="U116" s="285"/>
      <c r="V116" s="178" t="s">
        <v>77</v>
      </c>
      <c r="W116" s="171" t="s">
        <v>20</v>
      </c>
      <c r="X116" s="171" t="s">
        <v>12</v>
      </c>
      <c r="Y116" s="179">
        <v>48</v>
      </c>
      <c r="Z116" s="171"/>
      <c r="AA116" s="171"/>
      <c r="AB116" s="171"/>
      <c r="AC116" s="171"/>
      <c r="AD116" s="178"/>
      <c r="AE116" s="171"/>
      <c r="AF116" s="171"/>
      <c r="AG116" s="179"/>
      <c r="AH116" s="171"/>
      <c r="AI116" s="171"/>
      <c r="AJ116" s="171"/>
      <c r="AK116" s="171"/>
      <c r="AL116" s="178"/>
      <c r="AM116" s="171"/>
      <c r="AN116" s="171"/>
      <c r="AO116" s="179"/>
      <c r="AP116" s="178"/>
      <c r="AQ116" s="171"/>
      <c r="AR116" s="171"/>
      <c r="AS116" s="179"/>
      <c r="AT116" s="171"/>
      <c r="AW116" s="179"/>
      <c r="BA116" s="218"/>
    </row>
    <row r="117" spans="1:53" s="217" customFormat="1" x14ac:dyDescent="0.15">
      <c r="A117" s="116">
        <v>2012</v>
      </c>
      <c r="B117" s="284"/>
      <c r="C117" s="407" t="s">
        <v>174</v>
      </c>
      <c r="D117" s="407"/>
      <c r="E117" s="116">
        <v>366</v>
      </c>
      <c r="F117" s="219"/>
      <c r="G117" s="211"/>
      <c r="H117" s="116"/>
      <c r="I117" s="116">
        <v>22</v>
      </c>
      <c r="J117" s="212">
        <v>22</v>
      </c>
      <c r="K117" s="174">
        <f>G117/J117*100</f>
        <v>0</v>
      </c>
      <c r="L117" s="174">
        <f t="shared" si="35"/>
        <v>0</v>
      </c>
      <c r="M117" s="174">
        <f t="shared" si="36"/>
        <v>100</v>
      </c>
      <c r="N117" s="177">
        <f t="shared" si="26"/>
        <v>100</v>
      </c>
      <c r="O117" s="214"/>
      <c r="P117" s="214"/>
      <c r="Q117" s="214">
        <v>48</v>
      </c>
      <c r="R117" s="215">
        <f t="shared" si="27"/>
        <v>48</v>
      </c>
      <c r="S117" s="220">
        <v>4</v>
      </c>
      <c r="T117" s="285"/>
      <c r="U117" s="285"/>
      <c r="V117" s="178" t="s">
        <v>77</v>
      </c>
      <c r="W117" s="171" t="s">
        <v>20</v>
      </c>
      <c r="X117" s="171" t="s">
        <v>12</v>
      </c>
      <c r="Y117" s="179">
        <v>48</v>
      </c>
      <c r="Z117" s="171"/>
      <c r="AA117" s="171"/>
      <c r="AB117" s="171"/>
      <c r="AC117" s="171"/>
      <c r="AD117" s="178"/>
      <c r="AE117" s="171"/>
      <c r="AF117" s="171"/>
      <c r="AG117" s="179"/>
      <c r="AH117" s="171"/>
      <c r="AI117" s="171"/>
      <c r="AJ117" s="171"/>
      <c r="AK117" s="171"/>
      <c r="AL117" s="178"/>
      <c r="AM117" s="171"/>
      <c r="AN117" s="171"/>
      <c r="AO117" s="179"/>
      <c r="AP117" s="178"/>
      <c r="AQ117" s="171"/>
      <c r="AR117" s="171"/>
      <c r="AS117" s="179"/>
      <c r="AT117" s="171"/>
      <c r="AW117" s="179"/>
      <c r="BA117" s="218"/>
    </row>
    <row r="118" spans="1:53" s="217" customFormat="1" x14ac:dyDescent="0.15">
      <c r="A118" s="116">
        <v>2013</v>
      </c>
      <c r="B118" s="284"/>
      <c r="C118" s="407" t="s">
        <v>174</v>
      </c>
      <c r="D118" s="407"/>
      <c r="E118" s="116">
        <v>83</v>
      </c>
      <c r="F118" s="219"/>
      <c r="G118" s="211"/>
      <c r="H118" s="116"/>
      <c r="I118" s="116">
        <v>22</v>
      </c>
      <c r="J118" s="212">
        <v>22</v>
      </c>
      <c r="K118" s="174">
        <f t="shared" si="34"/>
        <v>0</v>
      </c>
      <c r="L118" s="174">
        <f t="shared" si="35"/>
        <v>0</v>
      </c>
      <c r="M118" s="174">
        <f t="shared" si="36"/>
        <v>100</v>
      </c>
      <c r="N118" s="177">
        <f t="shared" si="26"/>
        <v>100</v>
      </c>
      <c r="O118" s="214"/>
      <c r="P118" s="214"/>
      <c r="Q118" s="214">
        <v>48</v>
      </c>
      <c r="R118" s="215">
        <f t="shared" si="27"/>
        <v>48</v>
      </c>
      <c r="S118" s="220">
        <v>4</v>
      </c>
      <c r="T118" s="285"/>
      <c r="U118" s="285"/>
      <c r="V118" s="178" t="s">
        <v>77</v>
      </c>
      <c r="W118" s="171" t="s">
        <v>20</v>
      </c>
      <c r="X118" s="171" t="s">
        <v>12</v>
      </c>
      <c r="Y118" s="179">
        <v>48</v>
      </c>
      <c r="Z118" s="171"/>
      <c r="AA118" s="171"/>
      <c r="AB118" s="171"/>
      <c r="AC118" s="171"/>
      <c r="AD118" s="178"/>
      <c r="AE118" s="171"/>
      <c r="AF118" s="171"/>
      <c r="AG118" s="179"/>
      <c r="AH118" s="171"/>
      <c r="AI118" s="171"/>
      <c r="AJ118" s="171"/>
      <c r="AK118" s="171"/>
      <c r="AL118" s="178"/>
      <c r="AM118" s="171"/>
      <c r="AN118" s="171"/>
      <c r="AO118" s="179"/>
      <c r="AP118" s="178"/>
      <c r="AQ118" s="171"/>
      <c r="AR118" s="171"/>
      <c r="AS118" s="179"/>
      <c r="AT118" s="171"/>
      <c r="AW118" s="179"/>
      <c r="BA118" s="218"/>
    </row>
    <row r="119" spans="1:53" s="217" customFormat="1" x14ac:dyDescent="0.15">
      <c r="A119" s="116">
        <v>2013</v>
      </c>
      <c r="B119" s="284">
        <v>41358</v>
      </c>
      <c r="C119" s="407" t="s">
        <v>174</v>
      </c>
      <c r="D119" s="407"/>
      <c r="E119" s="116">
        <v>94</v>
      </c>
      <c r="F119" s="219">
        <v>0</v>
      </c>
      <c r="G119" s="211"/>
      <c r="H119" s="116"/>
      <c r="I119" s="116">
        <v>20</v>
      </c>
      <c r="J119" s="212">
        <v>20</v>
      </c>
      <c r="K119" s="174">
        <f t="shared" si="34"/>
        <v>0</v>
      </c>
      <c r="L119" s="174">
        <f t="shared" si="35"/>
        <v>0</v>
      </c>
      <c r="M119" s="174">
        <f t="shared" si="36"/>
        <v>100</v>
      </c>
      <c r="N119" s="177">
        <f t="shared" si="26"/>
        <v>100</v>
      </c>
      <c r="O119" s="214"/>
      <c r="P119" s="214"/>
      <c r="Q119" s="214">
        <v>48</v>
      </c>
      <c r="R119" s="215">
        <f t="shared" si="27"/>
        <v>48</v>
      </c>
      <c r="S119" s="220">
        <v>4</v>
      </c>
      <c r="T119" s="285"/>
      <c r="U119" s="285"/>
      <c r="V119" s="178" t="s">
        <v>77</v>
      </c>
      <c r="W119" s="171" t="s">
        <v>20</v>
      </c>
      <c r="X119" s="171" t="s">
        <v>12</v>
      </c>
      <c r="Y119" s="179">
        <v>48</v>
      </c>
      <c r="Z119" s="171"/>
      <c r="AA119" s="171"/>
      <c r="AB119" s="171"/>
      <c r="AC119" s="171"/>
      <c r="AD119" s="178"/>
      <c r="AE119" s="171"/>
      <c r="AF119" s="171"/>
      <c r="AG119" s="179"/>
      <c r="AH119" s="171"/>
      <c r="AI119" s="171"/>
      <c r="AJ119" s="171"/>
      <c r="AK119" s="171"/>
      <c r="AL119" s="178"/>
      <c r="AM119" s="171"/>
      <c r="AN119" s="171"/>
      <c r="AO119" s="179"/>
      <c r="AP119" s="178"/>
      <c r="AQ119" s="171"/>
      <c r="AR119" s="171"/>
      <c r="AS119" s="179"/>
      <c r="AT119" s="171"/>
      <c r="AW119" s="179"/>
      <c r="BA119" s="218"/>
    </row>
    <row r="120" spans="1:53" s="63" customFormat="1" x14ac:dyDescent="0.15">
      <c r="A120" s="63">
        <v>2013</v>
      </c>
      <c r="B120" s="282">
        <v>41452</v>
      </c>
      <c r="C120" s="408" t="s">
        <v>1236</v>
      </c>
      <c r="D120" s="408"/>
      <c r="E120" s="59">
        <v>83</v>
      </c>
      <c r="F120" s="59">
        <v>2</v>
      </c>
      <c r="G120" s="60"/>
      <c r="H120" s="59"/>
      <c r="I120" s="59">
        <v>20</v>
      </c>
      <c r="J120" s="61">
        <v>20</v>
      </c>
      <c r="K120" s="33">
        <f t="shared" si="34"/>
        <v>0</v>
      </c>
      <c r="L120" s="33">
        <f t="shared" si="35"/>
        <v>0</v>
      </c>
      <c r="M120" s="33">
        <f t="shared" si="36"/>
        <v>100</v>
      </c>
      <c r="N120" s="36">
        <f t="shared" si="26"/>
        <v>100</v>
      </c>
      <c r="O120" s="47"/>
      <c r="P120" s="47"/>
      <c r="Q120" s="47">
        <v>47.3</v>
      </c>
      <c r="R120" s="48">
        <f>SUM(O120:Q120)</f>
        <v>47.3</v>
      </c>
      <c r="S120" s="52">
        <v>4</v>
      </c>
      <c r="T120" s="286"/>
      <c r="U120" s="286">
        <v>41452</v>
      </c>
      <c r="V120" s="38" t="s">
        <v>77</v>
      </c>
      <c r="W120" s="29" t="s">
        <v>20</v>
      </c>
      <c r="X120" s="29" t="s">
        <v>12</v>
      </c>
      <c r="Y120" s="39">
        <v>47.3</v>
      </c>
      <c r="Z120" s="29"/>
      <c r="AA120" s="29"/>
      <c r="AB120" s="29"/>
      <c r="AC120" s="29"/>
      <c r="AD120" s="62"/>
      <c r="AG120" s="64"/>
      <c r="AL120" s="62"/>
      <c r="AO120" s="64"/>
      <c r="AP120" s="62"/>
      <c r="AS120" s="64"/>
      <c r="AW120" s="64"/>
      <c r="BA120" s="170"/>
    </row>
    <row r="121" spans="1:53" s="217" customFormat="1" x14ac:dyDescent="0.15">
      <c r="A121" s="116">
        <v>2013</v>
      </c>
      <c r="B121" s="278">
        <v>41535</v>
      </c>
      <c r="C121" s="407" t="s">
        <v>1237</v>
      </c>
      <c r="D121" s="407"/>
      <c r="E121" s="116">
        <f>365-E120-E119-E118</f>
        <v>105</v>
      </c>
      <c r="F121" s="116">
        <v>1</v>
      </c>
      <c r="G121" s="211">
        <v>19</v>
      </c>
      <c r="H121" s="116"/>
      <c r="I121" s="116"/>
      <c r="J121" s="212">
        <v>19</v>
      </c>
      <c r="K121" s="174">
        <f t="shared" si="34"/>
        <v>100</v>
      </c>
      <c r="L121" s="174">
        <f t="shared" si="35"/>
        <v>0</v>
      </c>
      <c r="M121" s="174">
        <f t="shared" si="36"/>
        <v>0</v>
      </c>
      <c r="N121" s="175">
        <f t="shared" si="26"/>
        <v>100</v>
      </c>
      <c r="O121" s="213">
        <v>60</v>
      </c>
      <c r="P121" s="214"/>
      <c r="Q121" s="214"/>
      <c r="R121" s="215">
        <f t="shared" si="27"/>
        <v>60</v>
      </c>
      <c r="S121" s="216">
        <v>2</v>
      </c>
      <c r="T121" s="285">
        <v>41524</v>
      </c>
      <c r="U121" s="285">
        <v>41535</v>
      </c>
      <c r="V121" s="178" t="s">
        <v>72</v>
      </c>
      <c r="W121" s="171" t="s">
        <v>74</v>
      </c>
      <c r="X121" s="171" t="s">
        <v>11</v>
      </c>
      <c r="Y121" s="179">
        <v>50</v>
      </c>
      <c r="Z121" s="171" t="s">
        <v>73</v>
      </c>
      <c r="AA121" s="171" t="s">
        <v>869</v>
      </c>
      <c r="AB121" s="171" t="s">
        <v>11</v>
      </c>
      <c r="AC121" s="171">
        <v>10</v>
      </c>
      <c r="AD121" s="178"/>
      <c r="AE121" s="171"/>
      <c r="AF121" s="171"/>
      <c r="AG121" s="179"/>
      <c r="AH121" s="171"/>
      <c r="AI121" s="171"/>
      <c r="AJ121" s="171"/>
      <c r="AK121" s="171"/>
      <c r="AL121" s="178"/>
      <c r="AM121" s="171"/>
      <c r="AN121" s="171"/>
      <c r="AO121" s="179"/>
      <c r="AP121" s="178"/>
      <c r="AQ121" s="171"/>
      <c r="AR121" s="171"/>
      <c r="AS121" s="179"/>
      <c r="AT121" s="171"/>
      <c r="AW121" s="179"/>
      <c r="BA121" s="218"/>
    </row>
    <row r="122" spans="1:53" s="217" customFormat="1" x14ac:dyDescent="0.15">
      <c r="A122" s="116">
        <v>2014</v>
      </c>
      <c r="B122" s="278"/>
      <c r="C122" s="407" t="s">
        <v>1237</v>
      </c>
      <c r="D122" s="407"/>
      <c r="E122" s="116">
        <v>0</v>
      </c>
      <c r="F122" s="116"/>
      <c r="G122" s="211">
        <v>19</v>
      </c>
      <c r="H122" s="116"/>
      <c r="I122" s="116"/>
      <c r="J122" s="212">
        <v>19</v>
      </c>
      <c r="K122" s="174">
        <f t="shared" si="34"/>
        <v>100</v>
      </c>
      <c r="L122" s="174">
        <f t="shared" si="35"/>
        <v>0</v>
      </c>
      <c r="M122" s="174">
        <f t="shared" si="36"/>
        <v>0</v>
      </c>
      <c r="N122" s="175">
        <f t="shared" si="26"/>
        <v>100</v>
      </c>
      <c r="O122" s="213">
        <v>60</v>
      </c>
      <c r="P122" s="214"/>
      <c r="Q122" s="214"/>
      <c r="R122" s="215">
        <f t="shared" si="27"/>
        <v>60</v>
      </c>
      <c r="S122" s="216">
        <v>2</v>
      </c>
      <c r="T122" s="285"/>
      <c r="U122" s="285"/>
      <c r="V122" s="178" t="s">
        <v>72</v>
      </c>
      <c r="W122" s="171" t="s">
        <v>74</v>
      </c>
      <c r="X122" s="171" t="s">
        <v>11</v>
      </c>
      <c r="Y122" s="179">
        <v>50</v>
      </c>
      <c r="Z122" s="171" t="s">
        <v>73</v>
      </c>
      <c r="AA122" s="171" t="s">
        <v>869</v>
      </c>
      <c r="AB122" s="171" t="s">
        <v>11</v>
      </c>
      <c r="AC122" s="171">
        <v>10</v>
      </c>
      <c r="AD122" s="178"/>
      <c r="AE122" s="171"/>
      <c r="AF122" s="171"/>
      <c r="AG122" s="179"/>
      <c r="AH122" s="171"/>
      <c r="AI122" s="171"/>
      <c r="AJ122" s="171"/>
      <c r="AK122" s="171"/>
      <c r="AL122" s="178"/>
      <c r="AM122" s="171"/>
      <c r="AN122" s="171"/>
      <c r="AO122" s="179"/>
      <c r="AP122" s="178"/>
      <c r="AQ122" s="171"/>
      <c r="AR122" s="171"/>
      <c r="AS122" s="179"/>
      <c r="AT122" s="171"/>
      <c r="AW122" s="179"/>
      <c r="BA122" s="218"/>
    </row>
    <row r="123" spans="1:53" s="217" customFormat="1" x14ac:dyDescent="0.15">
      <c r="A123" s="116">
        <v>2014</v>
      </c>
      <c r="B123" s="278"/>
      <c r="C123" s="407" t="s">
        <v>1237</v>
      </c>
      <c r="D123" s="407"/>
      <c r="E123" s="116">
        <v>365</v>
      </c>
      <c r="F123" s="116"/>
      <c r="G123" s="211">
        <v>19</v>
      </c>
      <c r="H123" s="116"/>
      <c r="I123" s="116"/>
      <c r="J123" s="212">
        <v>19</v>
      </c>
      <c r="K123" s="174">
        <f t="shared" si="34"/>
        <v>100</v>
      </c>
      <c r="L123" s="174">
        <f t="shared" si="35"/>
        <v>0</v>
      </c>
      <c r="M123" s="174">
        <f t="shared" si="36"/>
        <v>0</v>
      </c>
      <c r="N123" s="175">
        <f t="shared" si="26"/>
        <v>100</v>
      </c>
      <c r="O123" s="213">
        <v>60</v>
      </c>
      <c r="P123" s="214"/>
      <c r="Q123" s="214"/>
      <c r="R123" s="215">
        <f t="shared" si="27"/>
        <v>60</v>
      </c>
      <c r="S123" s="216">
        <v>2</v>
      </c>
      <c r="T123" s="285"/>
      <c r="U123" s="285"/>
      <c r="V123" s="178" t="s">
        <v>72</v>
      </c>
      <c r="W123" s="171" t="s">
        <v>74</v>
      </c>
      <c r="X123" s="171" t="s">
        <v>11</v>
      </c>
      <c r="Y123" s="179">
        <v>50</v>
      </c>
      <c r="Z123" s="171" t="s">
        <v>73</v>
      </c>
      <c r="AA123" s="171" t="s">
        <v>869</v>
      </c>
      <c r="AB123" s="171" t="s">
        <v>11</v>
      </c>
      <c r="AC123" s="171">
        <v>10</v>
      </c>
      <c r="AD123" s="178"/>
      <c r="AE123" s="171"/>
      <c r="AF123" s="171"/>
      <c r="AG123" s="179"/>
      <c r="AH123" s="171"/>
      <c r="AI123" s="171"/>
      <c r="AJ123" s="171"/>
      <c r="AK123" s="171"/>
      <c r="AL123" s="178"/>
      <c r="AM123" s="171"/>
      <c r="AN123" s="171"/>
      <c r="AO123" s="179"/>
      <c r="AP123" s="178"/>
      <c r="AQ123" s="171"/>
      <c r="AR123" s="171"/>
      <c r="AS123" s="179"/>
      <c r="AT123" s="171"/>
      <c r="AW123" s="179"/>
      <c r="BA123" s="218"/>
    </row>
    <row r="124" spans="1:53" s="217" customFormat="1" x14ac:dyDescent="0.15">
      <c r="A124" s="116">
        <v>2015</v>
      </c>
      <c r="B124" s="278"/>
      <c r="C124" s="407" t="s">
        <v>1237</v>
      </c>
      <c r="D124" s="407"/>
      <c r="E124" s="116">
        <v>257</v>
      </c>
      <c r="F124" s="116"/>
      <c r="G124" s="211">
        <v>19</v>
      </c>
      <c r="H124" s="116"/>
      <c r="I124" s="116"/>
      <c r="J124" s="212">
        <v>19</v>
      </c>
      <c r="K124" s="174">
        <f t="shared" si="34"/>
        <v>100</v>
      </c>
      <c r="L124" s="174">
        <f t="shared" si="35"/>
        <v>0</v>
      </c>
      <c r="M124" s="174">
        <f t="shared" si="36"/>
        <v>0</v>
      </c>
      <c r="N124" s="175">
        <f t="shared" si="26"/>
        <v>100</v>
      </c>
      <c r="O124" s="213">
        <v>60</v>
      </c>
      <c r="P124" s="214"/>
      <c r="Q124" s="214"/>
      <c r="R124" s="215">
        <f t="shared" ref="R124:R126" si="37">SUM(O124:Q124)</f>
        <v>60</v>
      </c>
      <c r="S124" s="216">
        <v>2</v>
      </c>
      <c r="T124" s="285"/>
      <c r="U124" s="285"/>
      <c r="V124" s="178" t="s">
        <v>72</v>
      </c>
      <c r="W124" s="171" t="s">
        <v>74</v>
      </c>
      <c r="X124" s="171" t="s">
        <v>11</v>
      </c>
      <c r="Y124" s="179">
        <v>50</v>
      </c>
      <c r="Z124" s="171" t="s">
        <v>73</v>
      </c>
      <c r="AA124" s="171" t="s">
        <v>869</v>
      </c>
      <c r="AB124" s="171" t="s">
        <v>11</v>
      </c>
      <c r="AC124" s="171">
        <v>10</v>
      </c>
      <c r="AD124" s="178"/>
      <c r="AE124" s="171"/>
      <c r="AF124" s="171"/>
      <c r="AG124" s="179"/>
      <c r="AH124" s="171"/>
      <c r="AI124" s="171"/>
      <c r="AJ124" s="171"/>
      <c r="AK124" s="171"/>
      <c r="AL124" s="178"/>
      <c r="AM124" s="171"/>
      <c r="AN124" s="171"/>
      <c r="AO124" s="179"/>
      <c r="AP124" s="178"/>
      <c r="AQ124" s="171"/>
      <c r="AR124" s="171"/>
      <c r="AS124" s="179"/>
      <c r="AT124" s="171"/>
      <c r="AW124" s="179"/>
      <c r="BA124" s="218"/>
    </row>
    <row r="125" spans="1:53" s="63" customFormat="1" x14ac:dyDescent="0.15">
      <c r="A125" s="63">
        <v>2015</v>
      </c>
      <c r="B125" s="282">
        <v>42262</v>
      </c>
      <c r="C125" s="408" t="s">
        <v>1313</v>
      </c>
      <c r="D125" s="408"/>
      <c r="E125" s="59">
        <v>108</v>
      </c>
      <c r="F125" s="59">
        <v>5</v>
      </c>
      <c r="G125" s="60">
        <v>21</v>
      </c>
      <c r="H125" s="59"/>
      <c r="I125" s="59"/>
      <c r="J125" s="61">
        <v>21</v>
      </c>
      <c r="K125" s="33">
        <f t="shared" si="34"/>
        <v>100</v>
      </c>
      <c r="L125" s="33">
        <f t="shared" si="35"/>
        <v>0</v>
      </c>
      <c r="M125" s="33">
        <f t="shared" si="36"/>
        <v>0</v>
      </c>
      <c r="N125" s="36">
        <f t="shared" si="26"/>
        <v>100</v>
      </c>
      <c r="O125" s="47">
        <v>60</v>
      </c>
      <c r="P125" s="47"/>
      <c r="Q125" s="47"/>
      <c r="R125" s="48">
        <f t="shared" si="37"/>
        <v>60</v>
      </c>
      <c r="S125" s="52">
        <v>2</v>
      </c>
      <c r="T125" s="286"/>
      <c r="U125" s="286">
        <v>42262</v>
      </c>
      <c r="V125" s="38" t="s">
        <v>72</v>
      </c>
      <c r="W125" s="29" t="s">
        <v>74</v>
      </c>
      <c r="X125" s="29" t="s">
        <v>11</v>
      </c>
      <c r="Y125" s="39">
        <v>50</v>
      </c>
      <c r="Z125" s="29" t="s">
        <v>73</v>
      </c>
      <c r="AA125" s="29" t="s">
        <v>869</v>
      </c>
      <c r="AB125" s="29" t="s">
        <v>11</v>
      </c>
      <c r="AC125" s="29">
        <v>10</v>
      </c>
      <c r="AD125" s="62"/>
      <c r="AG125" s="64"/>
      <c r="AL125" s="62"/>
      <c r="AO125" s="64"/>
      <c r="AP125" s="62"/>
      <c r="AS125" s="64"/>
      <c r="AW125" s="64"/>
      <c r="BA125" s="170"/>
    </row>
    <row r="126" spans="1:53" s="63" customFormat="1" x14ac:dyDescent="0.15">
      <c r="A126" s="63">
        <v>2016</v>
      </c>
      <c r="B126" s="282"/>
      <c r="C126" s="408" t="s">
        <v>1313</v>
      </c>
      <c r="D126" s="408"/>
      <c r="E126" s="59">
        <v>42</v>
      </c>
      <c r="F126" s="59">
        <v>0</v>
      </c>
      <c r="G126" s="60">
        <v>22</v>
      </c>
      <c r="H126" s="59"/>
      <c r="I126" s="59"/>
      <c r="J126" s="61">
        <v>22</v>
      </c>
      <c r="K126" s="33">
        <f t="shared" si="34"/>
        <v>100</v>
      </c>
      <c r="L126" s="33">
        <f t="shared" si="35"/>
        <v>0</v>
      </c>
      <c r="M126" s="33">
        <f t="shared" si="36"/>
        <v>0</v>
      </c>
      <c r="N126" s="36">
        <f t="shared" si="26"/>
        <v>100</v>
      </c>
      <c r="O126" s="47">
        <v>60</v>
      </c>
      <c r="P126" s="47"/>
      <c r="Q126" s="47"/>
      <c r="R126" s="48">
        <f t="shared" si="37"/>
        <v>60</v>
      </c>
      <c r="S126" s="52">
        <v>2</v>
      </c>
      <c r="T126" s="286"/>
      <c r="U126" s="286"/>
      <c r="V126" s="38" t="s">
        <v>72</v>
      </c>
      <c r="W126" s="29" t="s">
        <v>74</v>
      </c>
      <c r="X126" s="29" t="s">
        <v>11</v>
      </c>
      <c r="Y126" s="39">
        <v>50</v>
      </c>
      <c r="Z126" s="29" t="s">
        <v>73</v>
      </c>
      <c r="AA126" s="29" t="s">
        <v>869</v>
      </c>
      <c r="AB126" s="29" t="s">
        <v>11</v>
      </c>
      <c r="AC126" s="29">
        <v>10</v>
      </c>
      <c r="AD126" s="62"/>
      <c r="AG126" s="64"/>
      <c r="AL126" s="62"/>
      <c r="AO126" s="64"/>
      <c r="AP126" s="62"/>
      <c r="AS126" s="64"/>
      <c r="AW126" s="64"/>
      <c r="BA126" s="170"/>
    </row>
    <row r="127" spans="1:53" s="63" customFormat="1" x14ac:dyDescent="0.15">
      <c r="A127" s="63">
        <v>2016</v>
      </c>
      <c r="B127" s="280">
        <v>42412</v>
      </c>
      <c r="C127" s="408" t="s">
        <v>1313</v>
      </c>
      <c r="D127" s="408"/>
      <c r="E127" s="59">
        <v>158</v>
      </c>
      <c r="F127" s="272"/>
      <c r="G127" s="60">
        <v>23</v>
      </c>
      <c r="H127" s="59"/>
      <c r="I127" s="59"/>
      <c r="J127" s="61">
        <v>23</v>
      </c>
      <c r="K127" s="33">
        <f t="shared" ref="K127" si="38">G127/J127*100</f>
        <v>100</v>
      </c>
      <c r="L127" s="33">
        <f t="shared" ref="L127:L128" si="39">H127/J127*100</f>
        <v>0</v>
      </c>
      <c r="M127" s="33">
        <f t="shared" ref="M127:M128" si="40">I127/J127*100</f>
        <v>0</v>
      </c>
      <c r="N127" s="36">
        <f t="shared" ref="N127" si="41">SUM(K127:M127)</f>
        <v>100</v>
      </c>
      <c r="O127" s="47">
        <v>60</v>
      </c>
      <c r="P127" s="47"/>
      <c r="Q127" s="47"/>
      <c r="R127" s="48">
        <f t="shared" ref="R127" si="42">SUM(O127:Q127)</f>
        <v>60</v>
      </c>
      <c r="S127" s="52">
        <v>2</v>
      </c>
      <c r="T127" s="286"/>
      <c r="U127" s="286"/>
      <c r="V127" s="38" t="s">
        <v>72</v>
      </c>
      <c r="W127" s="29" t="s">
        <v>74</v>
      </c>
      <c r="X127" s="29" t="s">
        <v>11</v>
      </c>
      <c r="Y127" s="39">
        <v>50</v>
      </c>
      <c r="Z127" s="29" t="s">
        <v>73</v>
      </c>
      <c r="AA127" s="29" t="s">
        <v>869</v>
      </c>
      <c r="AB127" s="29" t="s">
        <v>11</v>
      </c>
      <c r="AC127" s="29">
        <v>10</v>
      </c>
      <c r="AD127" s="62"/>
      <c r="AG127" s="64"/>
      <c r="AL127" s="62"/>
      <c r="AO127" s="64"/>
      <c r="AP127" s="62"/>
      <c r="AS127" s="64"/>
      <c r="AW127" s="64"/>
      <c r="BA127" s="170"/>
    </row>
    <row r="128" spans="1:53" s="217" customFormat="1" x14ac:dyDescent="0.15">
      <c r="A128" s="116">
        <v>2016</v>
      </c>
      <c r="B128" s="278">
        <v>42570</v>
      </c>
      <c r="C128" s="407" t="s">
        <v>1362</v>
      </c>
      <c r="D128" s="407"/>
      <c r="E128" s="116">
        <v>166</v>
      </c>
      <c r="F128" s="116">
        <v>1</v>
      </c>
      <c r="G128" s="211">
        <v>23</v>
      </c>
      <c r="H128" s="116"/>
      <c r="I128" s="116"/>
      <c r="J128" s="212">
        <v>23</v>
      </c>
      <c r="K128" s="174">
        <f t="shared" si="34"/>
        <v>100</v>
      </c>
      <c r="L128" s="174">
        <f t="shared" si="39"/>
        <v>0</v>
      </c>
      <c r="M128" s="174">
        <f t="shared" si="40"/>
        <v>0</v>
      </c>
      <c r="N128" s="175">
        <f t="shared" ref="N128" si="43">SUM(K128:M128)</f>
        <v>100</v>
      </c>
      <c r="O128" s="213">
        <v>50.7</v>
      </c>
      <c r="P128" s="214"/>
      <c r="Q128" s="214"/>
      <c r="R128" s="215">
        <f t="shared" ref="R128" si="44">SUM(O128:Q128)</f>
        <v>50.7</v>
      </c>
      <c r="S128" s="216">
        <v>2</v>
      </c>
      <c r="T128" s="288">
        <v>42553</v>
      </c>
      <c r="U128" s="285">
        <v>42570</v>
      </c>
      <c r="V128" s="171" t="s">
        <v>72</v>
      </c>
      <c r="W128" s="171" t="s">
        <v>74</v>
      </c>
      <c r="X128" s="171" t="s">
        <v>11</v>
      </c>
      <c r="Y128" s="179">
        <v>44</v>
      </c>
      <c r="Z128" s="171" t="s">
        <v>73</v>
      </c>
      <c r="AA128" s="171" t="s">
        <v>869</v>
      </c>
      <c r="AB128" s="171" t="s">
        <v>11</v>
      </c>
      <c r="AC128" s="171">
        <v>6.7</v>
      </c>
      <c r="AD128" s="178"/>
      <c r="AE128" s="171"/>
      <c r="AF128" s="171"/>
      <c r="AG128" s="179"/>
      <c r="AH128" s="171"/>
      <c r="AI128" s="171"/>
      <c r="AJ128" s="171"/>
      <c r="AK128" s="171"/>
      <c r="AL128" s="178"/>
      <c r="AM128" s="171"/>
      <c r="AN128" s="171"/>
      <c r="AO128" s="179"/>
      <c r="AP128" s="178"/>
      <c r="AQ128" s="171"/>
      <c r="AR128" s="171"/>
      <c r="AS128" s="179"/>
      <c r="AT128" s="171"/>
      <c r="AW128" s="179"/>
      <c r="BA128" s="218"/>
    </row>
    <row r="129" spans="1:54" s="217" customFormat="1" x14ac:dyDescent="0.15">
      <c r="A129" s="116">
        <v>2017</v>
      </c>
      <c r="B129" s="278"/>
      <c r="C129" s="407" t="s">
        <v>1362</v>
      </c>
      <c r="D129" s="407"/>
      <c r="E129" s="116">
        <v>0</v>
      </c>
      <c r="F129" s="116"/>
      <c r="G129" s="211">
        <v>23</v>
      </c>
      <c r="H129" s="116"/>
      <c r="I129" s="116"/>
      <c r="J129" s="212">
        <v>23</v>
      </c>
      <c r="K129" s="174">
        <f t="shared" ref="K129:K132" si="45">G129/J129*100</f>
        <v>100</v>
      </c>
      <c r="L129" s="174">
        <f t="shared" ref="L129:L132" si="46">H129/J129*100</f>
        <v>0</v>
      </c>
      <c r="M129" s="174">
        <f t="shared" ref="M129:M132" si="47">I129/J129*100</f>
        <v>0</v>
      </c>
      <c r="N129" s="175">
        <f t="shared" ref="N129:N132" si="48">SUM(K129:M129)</f>
        <v>100</v>
      </c>
      <c r="O129" s="213">
        <v>50.7</v>
      </c>
      <c r="P129" s="214"/>
      <c r="Q129" s="214"/>
      <c r="R129" s="215">
        <f t="shared" ref="R129:R136" si="49">SUM(O129:Q129)</f>
        <v>50.7</v>
      </c>
      <c r="S129" s="216">
        <v>2</v>
      </c>
      <c r="T129" s="285"/>
      <c r="U129" s="285"/>
      <c r="V129" s="178" t="s">
        <v>72</v>
      </c>
      <c r="W129" s="171" t="s">
        <v>74</v>
      </c>
      <c r="X129" s="171" t="s">
        <v>11</v>
      </c>
      <c r="Y129" s="179">
        <v>44</v>
      </c>
      <c r="Z129" s="171" t="s">
        <v>73</v>
      </c>
      <c r="AA129" s="171" t="s">
        <v>869</v>
      </c>
      <c r="AB129" s="171" t="s">
        <v>11</v>
      </c>
      <c r="AC129" s="171">
        <v>6.7</v>
      </c>
      <c r="AD129" s="178"/>
      <c r="AE129" s="171"/>
      <c r="AF129" s="171"/>
      <c r="AG129" s="179"/>
      <c r="AH129" s="171"/>
      <c r="AI129" s="171"/>
      <c r="AJ129" s="171"/>
      <c r="AK129" s="171"/>
      <c r="AL129" s="178"/>
      <c r="AM129" s="171"/>
      <c r="AN129" s="171"/>
      <c r="AO129" s="179"/>
      <c r="AP129" s="178"/>
      <c r="AQ129" s="171"/>
      <c r="AR129" s="171"/>
      <c r="AS129" s="179"/>
      <c r="AT129" s="171"/>
      <c r="AW129" s="179"/>
      <c r="BA129" s="218"/>
    </row>
    <row r="130" spans="1:54" s="217" customFormat="1" x14ac:dyDescent="0.15">
      <c r="A130" s="116">
        <v>2017</v>
      </c>
      <c r="B130" s="278"/>
      <c r="C130" s="407" t="s">
        <v>1362</v>
      </c>
      <c r="D130" s="407"/>
      <c r="E130" s="116">
        <v>365</v>
      </c>
      <c r="F130" s="116"/>
      <c r="G130" s="211">
        <v>23</v>
      </c>
      <c r="H130" s="116"/>
      <c r="I130" s="116"/>
      <c r="J130" s="212">
        <v>23</v>
      </c>
      <c r="K130" s="174">
        <f t="shared" si="45"/>
        <v>100</v>
      </c>
      <c r="L130" s="174">
        <f t="shared" si="46"/>
        <v>0</v>
      </c>
      <c r="M130" s="174">
        <f t="shared" si="47"/>
        <v>0</v>
      </c>
      <c r="N130" s="175">
        <f t="shared" si="48"/>
        <v>100</v>
      </c>
      <c r="O130" s="213">
        <v>50.7</v>
      </c>
      <c r="P130" s="214"/>
      <c r="Q130" s="214"/>
      <c r="R130" s="215">
        <f t="shared" si="49"/>
        <v>50.7</v>
      </c>
      <c r="S130" s="216">
        <v>2</v>
      </c>
      <c r="T130" s="285"/>
      <c r="U130" s="285"/>
      <c r="V130" s="178" t="s">
        <v>72</v>
      </c>
      <c r="W130" s="171" t="s">
        <v>74</v>
      </c>
      <c r="X130" s="171" t="s">
        <v>11</v>
      </c>
      <c r="Y130" s="179">
        <v>44</v>
      </c>
      <c r="Z130" s="171" t="s">
        <v>73</v>
      </c>
      <c r="AA130" s="171" t="s">
        <v>869</v>
      </c>
      <c r="AB130" s="171" t="s">
        <v>11</v>
      </c>
      <c r="AC130" s="171">
        <v>6.7</v>
      </c>
      <c r="AD130" s="178"/>
      <c r="AE130" s="171"/>
      <c r="AF130" s="171"/>
      <c r="AG130" s="179"/>
      <c r="AH130" s="171"/>
      <c r="AI130" s="171"/>
      <c r="AJ130" s="171"/>
      <c r="AK130" s="171"/>
      <c r="AL130" s="178"/>
      <c r="AM130" s="171"/>
      <c r="AN130" s="171"/>
      <c r="AO130" s="179"/>
      <c r="AP130" s="178"/>
      <c r="AQ130" s="171"/>
      <c r="AR130" s="171"/>
      <c r="AS130" s="179"/>
      <c r="AT130" s="171"/>
      <c r="AW130" s="179"/>
      <c r="BA130" s="218"/>
    </row>
    <row r="131" spans="1:54" s="217" customFormat="1" x14ac:dyDescent="0.15">
      <c r="A131" s="116">
        <v>2018</v>
      </c>
      <c r="B131" s="278"/>
      <c r="C131" s="407" t="s">
        <v>1362</v>
      </c>
      <c r="D131" s="407"/>
      <c r="E131" s="116">
        <v>239</v>
      </c>
      <c r="F131" s="116"/>
      <c r="G131" s="211">
        <v>23</v>
      </c>
      <c r="H131" s="116"/>
      <c r="I131" s="116"/>
      <c r="J131" s="212">
        <v>23</v>
      </c>
      <c r="K131" s="174">
        <f t="shared" si="45"/>
        <v>100</v>
      </c>
      <c r="L131" s="174">
        <f t="shared" si="46"/>
        <v>0</v>
      </c>
      <c r="M131" s="174">
        <f t="shared" si="47"/>
        <v>0</v>
      </c>
      <c r="N131" s="175">
        <f t="shared" si="48"/>
        <v>100</v>
      </c>
      <c r="O131" s="213">
        <v>50.7</v>
      </c>
      <c r="P131" s="214"/>
      <c r="Q131" s="214"/>
      <c r="R131" s="215">
        <f t="shared" si="49"/>
        <v>50.7</v>
      </c>
      <c r="S131" s="216">
        <v>2</v>
      </c>
      <c r="T131" s="285"/>
      <c r="U131" s="285"/>
      <c r="V131" s="233" t="s">
        <v>72</v>
      </c>
      <c r="W131" s="171" t="s">
        <v>74</v>
      </c>
      <c r="X131" s="171" t="s">
        <v>11</v>
      </c>
      <c r="Y131" s="179">
        <v>44</v>
      </c>
      <c r="Z131" s="171" t="s">
        <v>73</v>
      </c>
      <c r="AA131" s="171" t="s">
        <v>869</v>
      </c>
      <c r="AB131" s="171" t="s">
        <v>11</v>
      </c>
      <c r="AC131" s="171">
        <v>6.7</v>
      </c>
      <c r="AD131" s="178"/>
      <c r="AE131" s="171"/>
      <c r="AF131" s="171"/>
      <c r="AG131" s="179"/>
      <c r="AH131" s="171"/>
      <c r="AI131" s="171"/>
      <c r="AJ131" s="171"/>
      <c r="AK131" s="171"/>
      <c r="AL131" s="178"/>
      <c r="AM131" s="171"/>
      <c r="AN131" s="171"/>
      <c r="AO131" s="179"/>
      <c r="AP131" s="178"/>
      <c r="AQ131" s="171"/>
      <c r="AR131" s="171"/>
      <c r="AS131" s="179"/>
      <c r="AT131" s="171"/>
      <c r="AW131" s="179"/>
      <c r="BA131" s="218"/>
    </row>
    <row r="132" spans="1:54" s="63" customFormat="1" x14ac:dyDescent="0.15">
      <c r="A132" s="63">
        <v>2018</v>
      </c>
      <c r="B132" s="282">
        <v>43340</v>
      </c>
      <c r="C132" s="408" t="s">
        <v>1388</v>
      </c>
      <c r="D132" s="408"/>
      <c r="E132" s="59">
        <v>126</v>
      </c>
      <c r="F132" s="59">
        <v>2</v>
      </c>
      <c r="G132" s="60">
        <v>23</v>
      </c>
      <c r="H132" s="59"/>
      <c r="I132" s="59"/>
      <c r="J132" s="61">
        <v>23</v>
      </c>
      <c r="K132" s="33">
        <f t="shared" si="45"/>
        <v>100</v>
      </c>
      <c r="L132" s="33">
        <f t="shared" si="46"/>
        <v>0</v>
      </c>
      <c r="M132" s="33">
        <f t="shared" si="47"/>
        <v>0</v>
      </c>
      <c r="N132" s="36">
        <f t="shared" si="48"/>
        <v>100</v>
      </c>
      <c r="O132" s="47">
        <v>50.7</v>
      </c>
      <c r="P132" s="47"/>
      <c r="Q132" s="47"/>
      <c r="R132" s="48">
        <f t="shared" si="49"/>
        <v>50.7</v>
      </c>
      <c r="S132" s="52">
        <v>2</v>
      </c>
      <c r="T132" s="286"/>
      <c r="U132" s="286">
        <v>43340</v>
      </c>
      <c r="V132" s="38" t="s">
        <v>72</v>
      </c>
      <c r="W132" s="29" t="s">
        <v>74</v>
      </c>
      <c r="X132" s="29" t="s">
        <v>11</v>
      </c>
      <c r="Y132" s="39">
        <v>40</v>
      </c>
      <c r="Z132" s="29" t="s">
        <v>73</v>
      </c>
      <c r="AA132" s="29" t="s">
        <v>869</v>
      </c>
      <c r="AB132" s="29" t="s">
        <v>11</v>
      </c>
      <c r="AC132" s="29">
        <v>10.7</v>
      </c>
      <c r="AD132" s="62"/>
      <c r="AG132" s="64"/>
      <c r="AL132" s="62"/>
      <c r="AO132" s="64"/>
      <c r="AP132" s="62"/>
      <c r="AS132" s="64"/>
      <c r="AW132" s="64"/>
      <c r="BA132" s="170"/>
    </row>
    <row r="133" spans="1:54" s="63" customFormat="1" x14ac:dyDescent="0.15">
      <c r="A133" s="63">
        <v>2019</v>
      </c>
      <c r="B133" s="282"/>
      <c r="C133" s="408" t="s">
        <v>1388</v>
      </c>
      <c r="D133" s="408"/>
      <c r="E133" s="59">
        <v>148</v>
      </c>
      <c r="F133" s="319"/>
      <c r="G133" s="59">
        <v>23</v>
      </c>
      <c r="H133" s="59"/>
      <c r="I133" s="59"/>
      <c r="J133" s="61">
        <v>23</v>
      </c>
      <c r="K133" s="33">
        <f t="shared" ref="K133:K136" si="50">G133/J133*100</f>
        <v>100</v>
      </c>
      <c r="L133" s="33">
        <f t="shared" ref="L133:L136" si="51">H133/J133*100</f>
        <v>0</v>
      </c>
      <c r="M133" s="33">
        <f t="shared" ref="M133:M136" si="52">I133/J133*100</f>
        <v>0</v>
      </c>
      <c r="N133" s="36">
        <f t="shared" ref="N133:N136" si="53">SUM(K133:M133)</f>
        <v>100</v>
      </c>
      <c r="O133" s="47">
        <v>50.7</v>
      </c>
      <c r="P133" s="47"/>
      <c r="Q133" s="47"/>
      <c r="R133" s="68">
        <f t="shared" si="49"/>
        <v>50.7</v>
      </c>
      <c r="S133" s="69">
        <v>2</v>
      </c>
      <c r="T133" s="321"/>
      <c r="U133" s="286"/>
      <c r="V133" s="38" t="s">
        <v>72</v>
      </c>
      <c r="W133" s="29" t="s">
        <v>74</v>
      </c>
      <c r="X133" s="29" t="s">
        <v>11</v>
      </c>
      <c r="Y133" s="39">
        <v>40</v>
      </c>
      <c r="Z133" s="29" t="s">
        <v>73</v>
      </c>
      <c r="AA133" s="29" t="s">
        <v>869</v>
      </c>
      <c r="AB133" s="29" t="s">
        <v>11</v>
      </c>
      <c r="AC133" s="29">
        <v>10.7</v>
      </c>
      <c r="AD133" s="62"/>
      <c r="AG133" s="64"/>
      <c r="AL133" s="62"/>
      <c r="AO133" s="64"/>
      <c r="AP133" s="62"/>
      <c r="AS133" s="64"/>
      <c r="AW133" s="64"/>
      <c r="BA133" s="170"/>
    </row>
    <row r="134" spans="1:54" s="217" customFormat="1" x14ac:dyDescent="0.15">
      <c r="A134" s="116">
        <v>2019</v>
      </c>
      <c r="B134" s="278">
        <v>43614</v>
      </c>
      <c r="C134" s="407" t="s">
        <v>1407</v>
      </c>
      <c r="D134" s="407"/>
      <c r="E134" s="116">
        <v>217</v>
      </c>
      <c r="F134" s="320">
        <v>1</v>
      </c>
      <c r="G134" s="116">
        <v>23</v>
      </c>
      <c r="H134" s="116"/>
      <c r="I134" s="116"/>
      <c r="J134" s="212">
        <v>23</v>
      </c>
      <c r="K134" s="174">
        <f t="shared" si="50"/>
        <v>100</v>
      </c>
      <c r="L134" s="174">
        <f t="shared" si="51"/>
        <v>0</v>
      </c>
      <c r="M134" s="174">
        <f t="shared" si="52"/>
        <v>0</v>
      </c>
      <c r="N134" s="175">
        <f t="shared" si="53"/>
        <v>100</v>
      </c>
      <c r="O134" s="213">
        <v>49.4</v>
      </c>
      <c r="P134" s="214"/>
      <c r="Q134" s="214"/>
      <c r="R134" s="235">
        <f t="shared" si="49"/>
        <v>49.4</v>
      </c>
      <c r="S134" s="220">
        <v>5</v>
      </c>
      <c r="T134" s="285">
        <v>43603</v>
      </c>
      <c r="U134" s="285">
        <v>43614</v>
      </c>
      <c r="V134" s="171" t="s">
        <v>72</v>
      </c>
      <c r="W134" s="171" t="s">
        <v>74</v>
      </c>
      <c r="X134" s="171" t="s">
        <v>11</v>
      </c>
      <c r="Y134" s="179">
        <v>38.700000000000003</v>
      </c>
      <c r="Z134" s="171" t="s">
        <v>73</v>
      </c>
      <c r="AA134" s="171" t="s">
        <v>869</v>
      </c>
      <c r="AB134" s="171" t="s">
        <v>11</v>
      </c>
      <c r="AC134" s="171">
        <v>10.7</v>
      </c>
      <c r="AD134" s="178"/>
      <c r="AE134" s="171"/>
      <c r="AF134" s="171"/>
      <c r="AG134" s="179"/>
      <c r="AH134" s="171"/>
      <c r="AI134" s="171"/>
      <c r="AJ134" s="171"/>
      <c r="AK134" s="171"/>
      <c r="AL134" s="178"/>
      <c r="AM134" s="171"/>
      <c r="AN134" s="171"/>
      <c r="AO134" s="179"/>
      <c r="AP134" s="178"/>
      <c r="AQ134" s="171"/>
      <c r="AR134" s="171"/>
      <c r="AS134" s="179"/>
      <c r="AT134" s="171"/>
      <c r="AW134" s="179"/>
      <c r="BA134" s="218"/>
    </row>
    <row r="135" spans="1:54" s="217" customFormat="1" x14ac:dyDescent="0.15">
      <c r="A135" s="116">
        <v>2020</v>
      </c>
      <c r="B135" s="278"/>
      <c r="C135" s="407" t="s">
        <v>1407</v>
      </c>
      <c r="D135" s="407"/>
      <c r="E135" s="116">
        <v>355</v>
      </c>
      <c r="F135" s="320"/>
      <c r="G135" s="116">
        <v>23</v>
      </c>
      <c r="H135" s="116"/>
      <c r="I135" s="116"/>
      <c r="J135" s="212">
        <v>23</v>
      </c>
      <c r="K135" s="174">
        <f t="shared" si="50"/>
        <v>100</v>
      </c>
      <c r="L135" s="174">
        <f t="shared" si="51"/>
        <v>0</v>
      </c>
      <c r="M135" s="174">
        <f t="shared" si="52"/>
        <v>0</v>
      </c>
      <c r="N135" s="177">
        <f t="shared" si="53"/>
        <v>100</v>
      </c>
      <c r="O135" s="214">
        <v>49.4</v>
      </c>
      <c r="P135" s="214"/>
      <c r="Q135" s="214"/>
      <c r="R135" s="235">
        <f t="shared" si="49"/>
        <v>49.4</v>
      </c>
      <c r="S135" s="220">
        <v>5</v>
      </c>
      <c r="T135" s="285"/>
      <c r="U135" s="285"/>
      <c r="V135" s="171" t="s">
        <v>72</v>
      </c>
      <c r="W135" s="171" t="s">
        <v>75</v>
      </c>
      <c r="X135" s="171" t="s">
        <v>11</v>
      </c>
      <c r="Y135" s="179">
        <v>38.700000000000003</v>
      </c>
      <c r="Z135" s="171" t="s">
        <v>73</v>
      </c>
      <c r="AA135" s="171" t="s">
        <v>869</v>
      </c>
      <c r="AB135" s="171" t="s">
        <v>11</v>
      </c>
      <c r="AC135" s="179">
        <v>10.7</v>
      </c>
      <c r="AD135" s="171"/>
      <c r="AE135" s="171"/>
      <c r="AF135" s="171"/>
      <c r="AG135" s="179"/>
      <c r="AH135" s="171"/>
      <c r="AI135" s="171"/>
      <c r="AJ135" s="171"/>
      <c r="AK135" s="179"/>
      <c r="AL135" s="171"/>
      <c r="AM135" s="171"/>
      <c r="AN135" s="171"/>
      <c r="AO135" s="171"/>
      <c r="AP135" s="178"/>
      <c r="AQ135" s="171"/>
      <c r="AR135" s="171"/>
      <c r="AS135" s="179"/>
      <c r="AT135" s="171"/>
      <c r="AW135" s="179"/>
      <c r="BB135" s="323"/>
    </row>
    <row r="136" spans="1:54" s="217" customFormat="1" x14ac:dyDescent="0.15">
      <c r="A136" s="116">
        <v>2020</v>
      </c>
      <c r="B136" s="284">
        <v>44187</v>
      </c>
      <c r="C136" s="407" t="s">
        <v>1407</v>
      </c>
      <c r="D136" s="407"/>
      <c r="E136" s="116">
        <v>11</v>
      </c>
      <c r="F136" s="355">
        <v>0</v>
      </c>
      <c r="G136" s="116">
        <v>22</v>
      </c>
      <c r="H136" s="116"/>
      <c r="I136" s="116"/>
      <c r="J136" s="212">
        <v>22</v>
      </c>
      <c r="K136" s="174">
        <f t="shared" si="50"/>
        <v>100</v>
      </c>
      <c r="L136" s="174">
        <f t="shared" si="51"/>
        <v>0</v>
      </c>
      <c r="M136" s="174">
        <f t="shared" si="52"/>
        <v>0</v>
      </c>
      <c r="N136" s="177">
        <f t="shared" si="53"/>
        <v>100</v>
      </c>
      <c r="O136" s="214">
        <v>49.4</v>
      </c>
      <c r="P136" s="214"/>
      <c r="Q136" s="214"/>
      <c r="R136" s="235">
        <f t="shared" si="49"/>
        <v>49.4</v>
      </c>
      <c r="S136" s="220">
        <v>5</v>
      </c>
      <c r="T136" s="285"/>
      <c r="U136" s="285"/>
      <c r="V136" s="171" t="s">
        <v>72</v>
      </c>
      <c r="W136" s="171" t="s">
        <v>76</v>
      </c>
      <c r="X136" s="171" t="s">
        <v>11</v>
      </c>
      <c r="Y136" s="179">
        <v>38.700000000000003</v>
      </c>
      <c r="Z136" s="171" t="s">
        <v>73</v>
      </c>
      <c r="AA136" s="171" t="s">
        <v>869</v>
      </c>
      <c r="AB136" s="171" t="s">
        <v>11</v>
      </c>
      <c r="AC136" s="179">
        <v>10.7</v>
      </c>
      <c r="AD136" s="171"/>
      <c r="AE136" s="171"/>
      <c r="AF136" s="171"/>
      <c r="AG136" s="179"/>
      <c r="AH136" s="171"/>
      <c r="AI136" s="171"/>
      <c r="AJ136" s="171"/>
      <c r="AK136" s="171"/>
      <c r="AL136" s="178"/>
      <c r="AM136" s="171"/>
      <c r="AN136" s="171"/>
      <c r="AO136" s="171"/>
      <c r="AP136" s="178"/>
      <c r="AQ136" s="171"/>
      <c r="AR136" s="171"/>
      <c r="AS136" s="179"/>
      <c r="AT136" s="171"/>
      <c r="AW136" s="171"/>
      <c r="AX136" s="322"/>
      <c r="BB136" s="323"/>
    </row>
    <row r="137" spans="1:54" x14ac:dyDescent="0.15">
      <c r="A137" s="14"/>
    </row>
    <row r="138" spans="1:54" s="1" customFormat="1" ht="18" customHeight="1" x14ac:dyDescent="0.15">
      <c r="B138" s="16" t="s">
        <v>1264</v>
      </c>
      <c r="S138" s="14"/>
    </row>
    <row r="139" spans="1:54" s="1" customFormat="1" ht="9" customHeight="1" x14ac:dyDescent="0.15">
      <c r="S139" s="14"/>
    </row>
    <row r="140" spans="1:54" s="195" customFormat="1" ht="9" customHeight="1" x14ac:dyDescent="0.15">
      <c r="A140" s="193"/>
      <c r="B140" s="194" t="s">
        <v>1215</v>
      </c>
      <c r="C140" s="194"/>
      <c r="D140" s="194"/>
      <c r="E140" s="194"/>
      <c r="F140" s="194"/>
      <c r="G140" s="194" t="s">
        <v>1216</v>
      </c>
      <c r="H140" s="194"/>
      <c r="I140" s="194"/>
      <c r="J140" s="194"/>
      <c r="K140" s="194"/>
      <c r="L140" s="194"/>
      <c r="M140" s="194"/>
      <c r="N140" s="194"/>
      <c r="R140" s="388" t="s">
        <v>1217</v>
      </c>
      <c r="S140" s="388"/>
      <c r="T140" s="388"/>
      <c r="U140" s="388"/>
      <c r="V140" s="388"/>
      <c r="W140" s="388"/>
      <c r="X140" s="196"/>
      <c r="Y140" s="196"/>
      <c r="AA140" s="196"/>
      <c r="AB140" s="196"/>
      <c r="AC140" s="196"/>
      <c r="AD140" s="196"/>
    </row>
    <row r="141" spans="1:54" s="200" customFormat="1" ht="9" customHeight="1" x14ac:dyDescent="0.15">
      <c r="A141" s="197"/>
      <c r="B141" s="198" t="s">
        <v>1219</v>
      </c>
      <c r="C141" s="199"/>
      <c r="D141" s="199"/>
      <c r="E141" s="199"/>
      <c r="F141" s="199"/>
      <c r="G141" s="198" t="s">
        <v>1218</v>
      </c>
      <c r="H141" s="199"/>
      <c r="I141" s="199"/>
      <c r="J141" s="199"/>
      <c r="K141" s="199"/>
      <c r="L141" s="199"/>
      <c r="M141" s="199"/>
      <c r="N141" s="199"/>
      <c r="R141" s="201" t="s">
        <v>1220</v>
      </c>
      <c r="S141" s="202"/>
      <c r="T141" s="203"/>
      <c r="U141" s="203"/>
      <c r="V141" s="203"/>
      <c r="W141" s="201" t="s">
        <v>1221</v>
      </c>
      <c r="X141" s="203"/>
      <c r="Y141" s="203"/>
      <c r="AA141" s="203"/>
      <c r="AB141" s="203"/>
      <c r="AC141" s="203"/>
      <c r="AD141" s="203"/>
    </row>
    <row r="142" spans="1:54" s="186" customFormat="1" ht="12" customHeight="1" x14ac:dyDescent="0.15">
      <c r="A142" s="204" t="s">
        <v>3</v>
      </c>
      <c r="B142" s="205" t="s">
        <v>8</v>
      </c>
      <c r="C142" s="205" t="s">
        <v>9</v>
      </c>
      <c r="D142" s="205" t="s">
        <v>10</v>
      </c>
      <c r="E142" s="206" t="s">
        <v>1195</v>
      </c>
      <c r="F142" s="205"/>
      <c r="G142" s="186" t="s">
        <v>3</v>
      </c>
      <c r="H142" s="389" t="s">
        <v>0</v>
      </c>
      <c r="I142" s="389"/>
      <c r="J142" s="389" t="s">
        <v>1</v>
      </c>
      <c r="K142" s="389"/>
      <c r="L142" s="389" t="s">
        <v>2</v>
      </c>
      <c r="M142" s="389"/>
      <c r="N142" s="390" t="s">
        <v>1195</v>
      </c>
      <c r="O142" s="390"/>
      <c r="P142" s="207"/>
      <c r="Q142" s="207"/>
      <c r="R142" s="208" t="s">
        <v>3</v>
      </c>
      <c r="S142" s="209" t="s">
        <v>135</v>
      </c>
      <c r="T142" s="207" t="s">
        <v>133</v>
      </c>
      <c r="U142" s="205" t="s">
        <v>134</v>
      </c>
      <c r="V142" s="207"/>
      <c r="W142" s="210" t="s">
        <v>26</v>
      </c>
    </row>
    <row r="143" spans="1:54" s="145" customFormat="1" x14ac:dyDescent="0.15">
      <c r="A143" s="126">
        <v>1959</v>
      </c>
      <c r="B143" s="143">
        <f>(K6*($E6/365)) + (K7*($E7/365))</f>
        <v>100</v>
      </c>
      <c r="C143" s="143">
        <f>(L6*($E6/365)) + (L7*($E7/365))</f>
        <v>0</v>
      </c>
      <c r="D143" s="143">
        <f>(M6*($E6/365)) + (M7*($E7/365))</f>
        <v>0</v>
      </c>
      <c r="E143" s="144">
        <f>B143+C143+C144</f>
        <v>100</v>
      </c>
      <c r="G143" s="126">
        <v>1959</v>
      </c>
      <c r="H143" s="391">
        <f>(O6/$R6*100*($E6/365))+(O7/$R7*100*($E7/365))</f>
        <v>100</v>
      </c>
      <c r="I143" s="391"/>
      <c r="J143" s="391">
        <f>(P6/$R6*100*($E6/365))+(P7/$R7*100*($E7/365))</f>
        <v>0</v>
      </c>
      <c r="K143" s="391"/>
      <c r="L143" s="391">
        <f>(Q6/$R6*100*($E6/365))+(Q7/$R7*100*($E7/365))</f>
        <v>0</v>
      </c>
      <c r="M143" s="391"/>
      <c r="N143" s="392">
        <f>H143+J143+K143</f>
        <v>100</v>
      </c>
      <c r="O143" s="392"/>
      <c r="R143" s="126">
        <v>1959</v>
      </c>
      <c r="S143" s="143">
        <f>(O6*($E6/365)) + (O7*($E7/365))</f>
        <v>63.1</v>
      </c>
      <c r="T143" s="143">
        <f>(P6*($E6/365)) + (P7*($E7/365))</f>
        <v>0</v>
      </c>
      <c r="U143" s="143">
        <f>(Q6*($E6/365)) + (Q7*($E7/365))</f>
        <v>0</v>
      </c>
      <c r="W143" s="143">
        <f>S143+T143+U143</f>
        <v>63.1</v>
      </c>
    </row>
    <row r="144" spans="1:54" x14ac:dyDescent="0.15">
      <c r="A144" s="6">
        <v>1960</v>
      </c>
      <c r="B144" s="5">
        <f>(K8*($E8/366)) + (K9*($E9/366))</f>
        <v>100</v>
      </c>
      <c r="C144" s="5">
        <f>(L8*($E8/366)) + (L9*($E9/366))</f>
        <v>0</v>
      </c>
      <c r="D144" s="5">
        <f>(M8*($E8/366)) + (M9*($E9/366))</f>
        <v>0</v>
      </c>
      <c r="E144" s="18">
        <f t="shared" ref="E144:E173" si="54">SUM(B144:D144)</f>
        <v>100</v>
      </c>
      <c r="G144" s="6">
        <v>1960</v>
      </c>
      <c r="H144" s="380">
        <f>(O8/$R8*100*($E8/366))+(O9/$R9*100*($E9/366))</f>
        <v>100</v>
      </c>
      <c r="I144" s="380"/>
      <c r="J144" s="380">
        <f>(P8/$R8*100*($E8/366))+(P9/$R9*100*($E9/366))</f>
        <v>0</v>
      </c>
      <c r="K144" s="380"/>
      <c r="L144" s="380">
        <f>(Q8/$R8*100*($E8/366))+(Q9/$R9*100*($E9/366))</f>
        <v>0</v>
      </c>
      <c r="M144" s="380"/>
      <c r="N144" s="379">
        <f t="shared" ref="N144:N173" si="55">SUM(H144:M144)</f>
        <v>100</v>
      </c>
      <c r="O144" s="379"/>
      <c r="R144" s="6">
        <v>1960</v>
      </c>
      <c r="S144" s="5">
        <f>(O8*($E8/366)) + (O9*($E9/366))</f>
        <v>63.1</v>
      </c>
      <c r="T144" s="5">
        <f>(P8*($E8/366)) + (P9*($E9/366))</f>
        <v>0</v>
      </c>
      <c r="U144" s="5">
        <f>(Q8*($E8/366)) + (Q9*($E9/366))</f>
        <v>0</v>
      </c>
      <c r="W144" s="5">
        <f>R8*(E8/366) + R9*(E9/366)</f>
        <v>63.1</v>
      </c>
    </row>
    <row r="145" spans="1:23" x14ac:dyDescent="0.15">
      <c r="A145" s="6">
        <v>1961</v>
      </c>
      <c r="B145" s="5">
        <f>(K10*($E10/365)) + (K11*($E11/365))</f>
        <v>100</v>
      </c>
      <c r="C145" s="5">
        <f>(L10*($E10/365)) + (L11*($E11/365))</f>
        <v>0</v>
      </c>
      <c r="D145" s="5">
        <f>(M10*($E10/365)) + (M11*($E11/365))</f>
        <v>0</v>
      </c>
      <c r="E145" s="18">
        <f t="shared" si="54"/>
        <v>100</v>
      </c>
      <c r="G145" s="6">
        <v>1961</v>
      </c>
      <c r="H145" s="380">
        <f>(O10/$R10*100*($E10/365))+(O11/$R11*100*($E11/365))</f>
        <v>100</v>
      </c>
      <c r="I145" s="380"/>
      <c r="J145" s="380">
        <f>(P10/$R10*100*($E10/365))+(P11/$R11*100*($E11/365))</f>
        <v>0</v>
      </c>
      <c r="K145" s="380"/>
      <c r="L145" s="380">
        <f>(Q10/$R10*100*($E10/365))+(Q11/$R11*100*($E11/365))</f>
        <v>0</v>
      </c>
      <c r="M145" s="380"/>
      <c r="N145" s="379">
        <f t="shared" si="55"/>
        <v>100</v>
      </c>
      <c r="O145" s="379"/>
      <c r="R145" s="6">
        <v>1961</v>
      </c>
      <c r="S145" s="5">
        <f>(O10*($E10/365)) + (O11*($E11/365))</f>
        <v>62.796712328767128</v>
      </c>
      <c r="T145" s="5">
        <f>(P10*($E10/365)) + (P11*($E11/365))</f>
        <v>0</v>
      </c>
      <c r="U145" s="5">
        <f>(Q10*($E10/365)) + (Q11*($E11/365))</f>
        <v>0</v>
      </c>
      <c r="W145" s="5">
        <f>R10*(E10/365) + R11*(E11/365)</f>
        <v>62.796712328767128</v>
      </c>
    </row>
    <row r="146" spans="1:23" x14ac:dyDescent="0.15">
      <c r="A146" s="6">
        <v>1962</v>
      </c>
      <c r="B146" s="5">
        <f>(K12*($E12/365)) + (K13*($E13/365))</f>
        <v>100</v>
      </c>
      <c r="C146" s="5">
        <f>(L12*($E12/365)) + (L13*($E13/365))</f>
        <v>0</v>
      </c>
      <c r="D146" s="5">
        <f>(M12*($E12/365)) + (M13*($E13/365))</f>
        <v>0</v>
      </c>
      <c r="E146" s="18">
        <f t="shared" si="54"/>
        <v>100</v>
      </c>
      <c r="G146" s="6">
        <v>1962</v>
      </c>
      <c r="H146" s="380">
        <f>(O12/$R12*100*($E12/365))+(O13/$R13*100*($E13/365))</f>
        <v>100</v>
      </c>
      <c r="I146" s="380"/>
      <c r="J146" s="380">
        <f>(P12/$R12*100*($E12/365))+(P13/$R13*100*($E13/365))</f>
        <v>0</v>
      </c>
      <c r="K146" s="380"/>
      <c r="L146" s="380">
        <f>(Q12/$R12*100*($E12/365))+(Q13/$R13*100*($E13/365))</f>
        <v>0</v>
      </c>
      <c r="M146" s="380"/>
      <c r="N146" s="379">
        <f t="shared" si="55"/>
        <v>100</v>
      </c>
      <c r="O146" s="379"/>
      <c r="R146" s="6">
        <v>1962</v>
      </c>
      <c r="S146" s="5">
        <f>(O12*($E12/365)) + (O13*($E13/365))</f>
        <v>50.8</v>
      </c>
      <c r="T146" s="5">
        <f>(P12*($E12/365)) + (P13*($E13/365))</f>
        <v>0</v>
      </c>
      <c r="U146" s="5">
        <f>(Q12*($E12/365)) + (Q13*($E13/365))</f>
        <v>0</v>
      </c>
      <c r="W146" s="5">
        <f>R12*(E12/365) + R13*(E13/365)</f>
        <v>50.8</v>
      </c>
    </row>
    <row r="147" spans="1:23" x14ac:dyDescent="0.15">
      <c r="A147" s="6">
        <v>1963</v>
      </c>
      <c r="B147" s="5">
        <f>(K14*($E14/365)) + (K15*($E15/365))</f>
        <v>99.999999999999986</v>
      </c>
      <c r="C147" s="5">
        <f>(L14*($E14/365)) + (L15*($E15/365))</f>
        <v>0</v>
      </c>
      <c r="D147" s="5">
        <f>(M14*($E14/365)) + (M15*($E15/365))</f>
        <v>0</v>
      </c>
      <c r="E147" s="18">
        <f t="shared" si="54"/>
        <v>99.999999999999986</v>
      </c>
      <c r="G147" s="6">
        <v>1963</v>
      </c>
      <c r="H147" s="380">
        <f>(O14/$R14*100*($E14/365))+(O15/$R15*100*($E15/365))</f>
        <v>99.999999999999986</v>
      </c>
      <c r="I147" s="380"/>
      <c r="J147" s="380">
        <f>(P14/$R14*100*($E14/365))+(P15/$R15*100*($E15/365))</f>
        <v>0</v>
      </c>
      <c r="K147" s="380"/>
      <c r="L147" s="380">
        <f>(Q14/$R14*100*($E14/365))+(Q15/$R15*100*($E15/365))</f>
        <v>0</v>
      </c>
      <c r="M147" s="380"/>
      <c r="N147" s="379">
        <f t="shared" si="55"/>
        <v>99.999999999999986</v>
      </c>
      <c r="O147" s="379"/>
      <c r="R147" s="6">
        <v>1963</v>
      </c>
      <c r="S147" s="5">
        <f>(O14*($E14/365)) + (O15*($E15/365))</f>
        <v>51.136986301369859</v>
      </c>
      <c r="T147" s="5">
        <f>(P14*($E14/365)) + (P15*($E15/365))</f>
        <v>0</v>
      </c>
      <c r="U147" s="5">
        <f>(Q14*($E14/365)) + (Q15*($E15/365))</f>
        <v>0</v>
      </c>
      <c r="W147" s="5">
        <f xml:space="preserve"> R14*(E14/365) + R15*(E15/365)</f>
        <v>51.136986301369859</v>
      </c>
    </row>
    <row r="148" spans="1:23" x14ac:dyDescent="0.15">
      <c r="A148" s="6">
        <v>1964</v>
      </c>
      <c r="B148" s="5">
        <f>(K16*($E16/366)) + (K17*($E17/366))</f>
        <v>100</v>
      </c>
      <c r="C148" s="5">
        <f>(L16*($E16/366)) + (L17*($E17/366))</f>
        <v>0</v>
      </c>
      <c r="D148" s="5">
        <f>(M16*($E16/366)) + (M17*($E17/366))</f>
        <v>0</v>
      </c>
      <c r="E148" s="18">
        <f t="shared" si="54"/>
        <v>100</v>
      </c>
      <c r="G148" s="6">
        <v>1964</v>
      </c>
      <c r="H148" s="380">
        <f>(O16/$R16*100*($E16/366))+(O17/$R17*100*($E17/366))</f>
        <v>100</v>
      </c>
      <c r="I148" s="380"/>
      <c r="J148" s="380">
        <f>(P16/$R16*100*($E16/366))+(P17/$R17*100*($E17/366))</f>
        <v>0</v>
      </c>
      <c r="K148" s="380"/>
      <c r="L148" s="380">
        <f>(Q16/$R16*100*($E16/366))+(Q17/$R17*100*($E17/366))</f>
        <v>0</v>
      </c>
      <c r="M148" s="380"/>
      <c r="N148" s="379">
        <f t="shared" si="55"/>
        <v>100</v>
      </c>
      <c r="O148" s="379"/>
      <c r="R148" s="6">
        <v>1964</v>
      </c>
      <c r="S148" s="5">
        <f>(O16*($E16/366)) + (O17*($E17/366))</f>
        <v>59</v>
      </c>
      <c r="T148" s="5">
        <f>(P16*($E16/366)) + (P17*($E17/366))</f>
        <v>0</v>
      </c>
      <c r="U148" s="5">
        <f>(Q16*($E16/366)) + (Q17*($E17/366))</f>
        <v>0</v>
      </c>
      <c r="W148" s="5">
        <f xml:space="preserve"> R16*(E16/366) + R17*(E17/366)</f>
        <v>59</v>
      </c>
    </row>
    <row r="149" spans="1:23" x14ac:dyDescent="0.15">
      <c r="A149" s="6">
        <v>1965</v>
      </c>
      <c r="B149" s="5">
        <f>(K18*($E18/365)) + (K19*($E19/365))</f>
        <v>100</v>
      </c>
      <c r="C149" s="5">
        <f>(L18*($E18/365)) + (L19*($E19/365))</f>
        <v>0</v>
      </c>
      <c r="D149" s="5">
        <f>(M18*($E18/365)) + (M19*($E19/365))</f>
        <v>0</v>
      </c>
      <c r="E149" s="18">
        <f t="shared" si="54"/>
        <v>100</v>
      </c>
      <c r="G149" s="6">
        <v>1965</v>
      </c>
      <c r="H149" s="380">
        <f>(O18/$R18*100*($E18/365))+(O19/$R19*100*($E19/365))</f>
        <v>100</v>
      </c>
      <c r="I149" s="380"/>
      <c r="J149" s="380">
        <f>(P18/$R18*100*($E18/365))+(P19/$R19*100*($E19/365))</f>
        <v>0</v>
      </c>
      <c r="K149" s="380"/>
      <c r="L149" s="380">
        <f>(Q18/$R18*100*($E18/365))+(Q19/$R19*100*($E19/365))</f>
        <v>0</v>
      </c>
      <c r="M149" s="380"/>
      <c r="N149" s="379">
        <f t="shared" si="55"/>
        <v>100</v>
      </c>
      <c r="O149" s="379"/>
      <c r="R149" s="6">
        <v>1965</v>
      </c>
      <c r="S149" s="5">
        <f>(O18*($E18/365)) + (O19*($E19/365))</f>
        <v>59</v>
      </c>
      <c r="T149" s="5">
        <f>(P18*($E18/365)) + (P19*($E19/365))</f>
        <v>0</v>
      </c>
      <c r="U149" s="5">
        <f>(Q18*($E18/365)) + (Q19*($E19/365))</f>
        <v>0</v>
      </c>
      <c r="W149" s="5">
        <f xml:space="preserve"> R18*(E18/365) + R19*(E19/365)</f>
        <v>59</v>
      </c>
    </row>
    <row r="150" spans="1:23" x14ac:dyDescent="0.15">
      <c r="A150" s="6">
        <v>1966</v>
      </c>
      <c r="B150" s="5">
        <f>(K20*($E20/365)) + (K21*($E21/365)) + (K22*($E22/365))</f>
        <v>100.00000000000001</v>
      </c>
      <c r="C150" s="5">
        <f>(L20*($E20/365)) + (L21*($E21/365)) + (L22*($E22/365))</f>
        <v>0</v>
      </c>
      <c r="D150" s="5">
        <f>(M20*($E20/365)) + (M21*($E21/365)) + (M22*($E22/365))</f>
        <v>0</v>
      </c>
      <c r="E150" s="18">
        <f t="shared" si="54"/>
        <v>100.00000000000001</v>
      </c>
      <c r="G150" s="6">
        <v>1966</v>
      </c>
      <c r="H150" s="380">
        <f>(O20/$R20*100*($E20/365))+(O21/$R21*100*($E21/365))+(O22/$R22*100*($E22/365))</f>
        <v>100.00000000000001</v>
      </c>
      <c r="I150" s="380"/>
      <c r="J150" s="380">
        <f>(P20/$R20*100*($E20/365))+(P21/$R21*100*($E21/365))+(P22/$R22*100*($E22/365))</f>
        <v>0</v>
      </c>
      <c r="K150" s="380"/>
      <c r="L150" s="380">
        <f>(Q20/$R20*100*($E20/365))+(Q21/$R21*100*($E21/365))+(Q22/$R22*100*($E22/365))</f>
        <v>0</v>
      </c>
      <c r="M150" s="380"/>
      <c r="N150" s="379">
        <f t="shared" si="55"/>
        <v>100.00000000000001</v>
      </c>
      <c r="O150" s="379"/>
      <c r="R150" s="6">
        <v>1966</v>
      </c>
      <c r="S150" s="5">
        <f>(O20*($E20/365)) + (O21*($E21/365)) + (O22*($E22/365))</f>
        <v>59.350136986301365</v>
      </c>
      <c r="T150" s="5">
        <f>(P20*($E20/365)) + (P21*($E21/365)) + (P22*($E22/365))</f>
        <v>0</v>
      </c>
      <c r="U150" s="5">
        <f>(Q20*($E20/365)) + (Q21*($E21/365)) + (Q22*($E22/365))</f>
        <v>0</v>
      </c>
      <c r="W150" s="5">
        <f xml:space="preserve"> R20*(E20/365) + R21*(E21/365) + R22*(E22/365)</f>
        <v>59.350136986301365</v>
      </c>
    </row>
    <row r="151" spans="1:23" x14ac:dyDescent="0.15">
      <c r="A151" s="6">
        <v>1967</v>
      </c>
      <c r="B151" s="5">
        <f>(K23*($E23/365)) + (K24*($E24/365))</f>
        <v>100.00000000000001</v>
      </c>
      <c r="C151" s="5">
        <f>(L23*($E23/365)) + (L24*($E24/365))</f>
        <v>0</v>
      </c>
      <c r="D151" s="5">
        <f>(M23*($E23/365)) + (M24*($E24/365))</f>
        <v>0</v>
      </c>
      <c r="E151" s="18">
        <f t="shared" si="54"/>
        <v>100.00000000000001</v>
      </c>
      <c r="G151" s="6">
        <v>1967</v>
      </c>
      <c r="H151" s="380">
        <f>(O23/$R23*100*($E23/365))+(O24/$R24*100*($E24/365))</f>
        <v>100.00000000000001</v>
      </c>
      <c r="I151" s="380"/>
      <c r="J151" s="380">
        <f>(P23/$R23*100*($E23/365))+(P24/$R24*100*($E24/365))</f>
        <v>0</v>
      </c>
      <c r="K151" s="380"/>
      <c r="L151" s="380">
        <f>(Q23/$R23*100*($E23/365))+(Q24/$R24*100*($E24/365))</f>
        <v>0</v>
      </c>
      <c r="M151" s="380"/>
      <c r="N151" s="379">
        <f t="shared" si="55"/>
        <v>100.00000000000001</v>
      </c>
      <c r="O151" s="379"/>
      <c r="R151" s="6">
        <v>1967</v>
      </c>
      <c r="S151" s="5">
        <f>(O23*($E23/365)) + (O24*($E24/365))</f>
        <v>66.099999999999994</v>
      </c>
      <c r="T151" s="5">
        <f>(P23*($E23/365)) + (P24*($E24/365))</f>
        <v>0</v>
      </c>
      <c r="U151" s="5">
        <f>(Q23*($E23/365)) + (Q24*($E24/365))</f>
        <v>0</v>
      </c>
      <c r="W151" s="5">
        <f xml:space="preserve"> R23*(E23/365) + R24*(E24/365)</f>
        <v>66.099999999999994</v>
      </c>
    </row>
    <row r="152" spans="1:23" x14ac:dyDescent="0.15">
      <c r="A152" s="6">
        <v>1968</v>
      </c>
      <c r="B152" s="5">
        <f>(K25*($E25/366)) + (K26*($E26/366)) + (K27*($E27/366))</f>
        <v>100.00000000000001</v>
      </c>
      <c r="C152" s="5">
        <f>(L25*($E25/366)) + (L26*($E26/366)) + (L27*($E27/366))</f>
        <v>0</v>
      </c>
      <c r="D152" s="5">
        <f>(M25*($E25/366)) + (M26*($E26/366)) + (M27*($E27/366))</f>
        <v>0</v>
      </c>
      <c r="E152" s="18">
        <f t="shared" si="54"/>
        <v>100.00000000000001</v>
      </c>
      <c r="G152" s="6">
        <v>1968</v>
      </c>
      <c r="H152" s="380">
        <f>(O25/$R25*100*($E25/366))+(O26/$R26*100*($E26/366))+(O27/$R27*100*($E27/366))</f>
        <v>100.00000000000001</v>
      </c>
      <c r="I152" s="380"/>
      <c r="J152" s="380">
        <f>(P25/$R25*100*($E25/366))+(P26/$R26*100*($E26/366))+(P27/$R27*100*($E27/366))</f>
        <v>0</v>
      </c>
      <c r="K152" s="380"/>
      <c r="L152" s="380">
        <f>(Q25/$R25*100*($E25/366))+(Q26/$R26*100*($E26/366))+(Q27/$R27*100*($E27/366))</f>
        <v>0</v>
      </c>
      <c r="M152" s="380"/>
      <c r="N152" s="379">
        <f t="shared" si="55"/>
        <v>100.00000000000001</v>
      </c>
      <c r="O152" s="379"/>
      <c r="R152" s="6">
        <v>1968</v>
      </c>
      <c r="S152" s="5">
        <f>(O25*($E25/366)) + (O26*($E26/366)) + (O27*($E27/366))</f>
        <v>66.099999999999994</v>
      </c>
      <c r="T152" s="5">
        <f>(P25*($E25/366)) + (P26*($E26/366)) + (P27*($E27/366))</f>
        <v>0</v>
      </c>
      <c r="U152" s="5">
        <f>(Q25*($E25/366)) + (Q26*($E26/366)) + (Q27*($E27/366))</f>
        <v>0</v>
      </c>
      <c r="W152" s="5">
        <f xml:space="preserve"> R25*(E25/366) + R26*(E26/366) + R27*(E27/366)</f>
        <v>66.099999999999994</v>
      </c>
    </row>
    <row r="153" spans="1:23" x14ac:dyDescent="0.15">
      <c r="A153" s="6">
        <v>1969</v>
      </c>
      <c r="B153" s="5">
        <f>(K28*($E28/365)) + (K29*($E29/365))</f>
        <v>100</v>
      </c>
      <c r="C153" s="5">
        <f>(L28*($E28/365)) + (L29*($E29/365))</f>
        <v>0</v>
      </c>
      <c r="D153" s="5">
        <f>(M28*($E28/365)) + (M29*($E29/365))</f>
        <v>0</v>
      </c>
      <c r="E153" s="18">
        <f t="shared" si="54"/>
        <v>100</v>
      </c>
      <c r="G153" s="6">
        <v>1969</v>
      </c>
      <c r="H153" s="380">
        <f>(O28/$R28*100*($E28/365))+(O29/$R29*100*($E29/365))</f>
        <v>100</v>
      </c>
      <c r="I153" s="380"/>
      <c r="J153" s="380">
        <f>(P28/$R28*100*($E28/365))+(P29/$R29*100*($E29/365))</f>
        <v>0</v>
      </c>
      <c r="K153" s="380"/>
      <c r="L153" s="380">
        <f>(Q28/$R28*100*($E28/365))+(Q29/$R29*100*($E29/365))</f>
        <v>0</v>
      </c>
      <c r="M153" s="380"/>
      <c r="N153" s="379">
        <f t="shared" si="55"/>
        <v>100</v>
      </c>
      <c r="O153" s="379"/>
      <c r="R153" s="6">
        <v>1969</v>
      </c>
      <c r="S153" s="5">
        <f>(O28*($E28/365)) + (O29*($E29/365))</f>
        <v>64.241643835616429</v>
      </c>
      <c r="T153" s="5">
        <f>(P28*($E28/365)) + (P29*($E29/365))</f>
        <v>0</v>
      </c>
      <c r="U153" s="5">
        <f>(Q28*($E28/365)) + (Q29*($E29/365))</f>
        <v>0</v>
      </c>
      <c r="W153" s="5">
        <f xml:space="preserve"> R28*(E28/365) + R29*(E29/365)</f>
        <v>64.241643835616429</v>
      </c>
    </row>
    <row r="154" spans="1:23" x14ac:dyDescent="0.15">
      <c r="A154" s="6">
        <v>1970</v>
      </c>
      <c r="B154" s="5">
        <f>(K30*($E30/365)) + (K31*($E31/365))</f>
        <v>100</v>
      </c>
      <c r="C154" s="5">
        <f>(L30*($E30/365)) + (L31*($E31/365))</f>
        <v>0</v>
      </c>
      <c r="D154" s="5">
        <f>(M30*($E30/365)) + (M31*($E31/365))</f>
        <v>0</v>
      </c>
      <c r="E154" s="18">
        <f t="shared" si="54"/>
        <v>100</v>
      </c>
      <c r="G154" s="6">
        <v>1970</v>
      </c>
      <c r="H154" s="380">
        <f>(O30/$R30*100*($E30/365))+(O31/$R31*100*($E31/365))</f>
        <v>100</v>
      </c>
      <c r="I154" s="380"/>
      <c r="J154" s="380">
        <f>(P30/$R30*100*($E30/365))+(P31/$R31*100*($E31/365))</f>
        <v>0</v>
      </c>
      <c r="K154" s="380"/>
      <c r="L154" s="380">
        <f>(Q30/$R30*100*($E30/365))+(Q31/$R31*100*($E31/365))</f>
        <v>0</v>
      </c>
      <c r="M154" s="380"/>
      <c r="N154" s="379">
        <f t="shared" si="55"/>
        <v>100</v>
      </c>
      <c r="O154" s="379"/>
      <c r="R154" s="6">
        <v>1970</v>
      </c>
      <c r="S154" s="5">
        <f>(O30*($E30/365)) + (O31*($E31/365))</f>
        <v>52.8</v>
      </c>
      <c r="T154" s="5">
        <f>(P30*($E30/365)) + (P31*($E31/365))</f>
        <v>0</v>
      </c>
      <c r="U154" s="5">
        <f>(Q30*($E30/365)) + (Q31*($E31/365))</f>
        <v>0</v>
      </c>
      <c r="W154" s="5">
        <f xml:space="preserve"> R30*(E30/365) + R31*(E31/365)</f>
        <v>52.8</v>
      </c>
    </row>
    <row r="155" spans="1:23" x14ac:dyDescent="0.15">
      <c r="A155" s="6">
        <v>1971</v>
      </c>
      <c r="B155" s="5">
        <f>(K32*($E32/365)) + (K33*($E33/365))</f>
        <v>100</v>
      </c>
      <c r="C155" s="5">
        <f>(L32*($E32/365)) + (L33*($E33/365))</f>
        <v>0</v>
      </c>
      <c r="D155" s="5">
        <f>(M32*($E32/365)) + (M33*($E33/365))</f>
        <v>0</v>
      </c>
      <c r="E155" s="18">
        <f t="shared" si="54"/>
        <v>100</v>
      </c>
      <c r="G155" s="6">
        <v>1971</v>
      </c>
      <c r="H155" s="380">
        <f>(O32/$R32*100*($E32/365))+(O33/$R33*100*($E33/365))</f>
        <v>100</v>
      </c>
      <c r="I155" s="380"/>
      <c r="J155" s="380">
        <f>(P32/$R32*100*($E32/365))+(P33/$R33*100*($E33/365))</f>
        <v>0</v>
      </c>
      <c r="K155" s="380"/>
      <c r="L155" s="380">
        <f>(Q32/$R32*100*($E32/365))+(Q33/$R33*100*($E33/365))</f>
        <v>0</v>
      </c>
      <c r="M155" s="380"/>
      <c r="N155" s="379">
        <f t="shared" si="55"/>
        <v>100</v>
      </c>
      <c r="O155" s="379"/>
      <c r="R155" s="6">
        <v>1971</v>
      </c>
      <c r="S155" s="5">
        <f>(O32*($E32/365)) + (O33*($E33/365))</f>
        <v>52.8</v>
      </c>
      <c r="T155" s="5">
        <f>(P32*($E32/365)) + (P33*($E33/365))</f>
        <v>0</v>
      </c>
      <c r="U155" s="5">
        <f>(Q32*($E32/365)) + (Q33*($E33/365))</f>
        <v>0</v>
      </c>
      <c r="W155" s="5">
        <f xml:space="preserve"> R32*(E32/365) + R33*(E33/365)</f>
        <v>52.8</v>
      </c>
    </row>
    <row r="156" spans="1:23" x14ac:dyDescent="0.15">
      <c r="A156" s="6">
        <v>1972</v>
      </c>
      <c r="B156" s="5">
        <f>(K34*($E34/366)) + (K35*($E35/366))</f>
        <v>96.448087431693992</v>
      </c>
      <c r="C156" s="5">
        <f>(L34*($E34/366)) + (L35*($E35/366))</f>
        <v>0</v>
      </c>
      <c r="D156" s="5">
        <f>(M34*($E34/366)) + (M35*($E35/366))</f>
        <v>3.5519125683060109</v>
      </c>
      <c r="E156" s="18">
        <f t="shared" si="54"/>
        <v>100</v>
      </c>
      <c r="G156" s="6">
        <v>1972</v>
      </c>
      <c r="H156" s="380">
        <f>(O34/$R34*100*($E34/366))+(O35/$R35*100*($E35/366))</f>
        <v>96.448087431693992</v>
      </c>
      <c r="I156" s="380"/>
      <c r="J156" s="380">
        <f>(P34/$R34*100*($E34/366))+(P35/$R35*100*($E35/366))</f>
        <v>0</v>
      </c>
      <c r="K156" s="380"/>
      <c r="L156" s="380">
        <f>(Q34/$R34*100*($E34/366))+(Q35/$R35*100*($E35/366))</f>
        <v>3.5519125683060109</v>
      </c>
      <c r="M156" s="380"/>
      <c r="N156" s="379">
        <f t="shared" si="55"/>
        <v>100</v>
      </c>
      <c r="O156" s="379"/>
      <c r="R156" s="6">
        <v>1972</v>
      </c>
      <c r="S156" s="5">
        <f>(O34*($E34/366)) + (O35*($E35/366))</f>
        <v>50.924590163934418</v>
      </c>
      <c r="T156" s="5">
        <f>(P34*($E34/366)) + (P35*($E35/366))</f>
        <v>0</v>
      </c>
      <c r="U156" s="5">
        <f>(Q34*($E34/366)) + (Q35*($E35/366))</f>
        <v>1.9038251366120218</v>
      </c>
      <c r="W156" s="5">
        <f xml:space="preserve"> R34*(E34/366) + R35*(E35/366)</f>
        <v>52.828415300546439</v>
      </c>
    </row>
    <row r="157" spans="1:23" x14ac:dyDescent="0.15">
      <c r="A157" s="6">
        <v>1973</v>
      </c>
      <c r="B157" s="5">
        <f>(K36*($E36/365)) + (K37*($E37/365))</f>
        <v>0</v>
      </c>
      <c r="C157" s="5">
        <f>(L36*($E36/365)) + (L37*($E37/365))</f>
        <v>0</v>
      </c>
      <c r="D157" s="5">
        <f>(M36*($E36/365)) + (M37*($E37/365))</f>
        <v>100</v>
      </c>
      <c r="E157" s="18">
        <f t="shared" si="54"/>
        <v>100</v>
      </c>
      <c r="G157" s="6">
        <v>1973</v>
      </c>
      <c r="H157" s="380">
        <f>(O36/$R36*100*($E36/365))+(O37/$R37*100*($E37/365))</f>
        <v>0</v>
      </c>
      <c r="I157" s="380"/>
      <c r="J157" s="380">
        <f>(P36/$R36*100*($E36/365))+(P37/$R37*100*($E37/365))</f>
        <v>0</v>
      </c>
      <c r="K157" s="380"/>
      <c r="L157" s="380">
        <f>(Q36/$R36*100*($E36/365))+(Q37/$R37*100*($E37/365))</f>
        <v>100</v>
      </c>
      <c r="M157" s="380"/>
      <c r="N157" s="379">
        <f t="shared" si="55"/>
        <v>100</v>
      </c>
      <c r="O157" s="379"/>
      <c r="R157" s="6">
        <v>1973</v>
      </c>
      <c r="S157" s="5">
        <f>(O36*($E36/365)) + (O37*($E37/365))</f>
        <v>0</v>
      </c>
      <c r="T157" s="5">
        <f>(P36*($E36/365)) + (P37*($E37/365))</f>
        <v>0</v>
      </c>
      <c r="U157" s="5">
        <f>(Q36*($E36/365)) + (Q37*($E37/365))</f>
        <v>53.6</v>
      </c>
      <c r="W157" s="5">
        <f xml:space="preserve"> R36*(E36/365) + R37*(E37/365)</f>
        <v>53.6</v>
      </c>
    </row>
    <row r="158" spans="1:23" x14ac:dyDescent="0.15">
      <c r="A158" s="6">
        <v>1974</v>
      </c>
      <c r="B158" s="5">
        <f>(K38*($E38/365)) + (K39*($E39/365))</f>
        <v>0</v>
      </c>
      <c r="C158" s="5">
        <f>(L38*($E38/365)) + (L39*($E39/365))</f>
        <v>0</v>
      </c>
      <c r="D158" s="5">
        <f>(M38*($E38/365)) + (M39*($E39/365))</f>
        <v>100</v>
      </c>
      <c r="E158" s="18">
        <f t="shared" si="54"/>
        <v>100</v>
      </c>
      <c r="G158" s="6">
        <v>1974</v>
      </c>
      <c r="H158" s="380">
        <f>(O38/$R38*100*($E38/365))+(O39/$R39*100*($E39/365))</f>
        <v>0</v>
      </c>
      <c r="I158" s="380"/>
      <c r="J158" s="380">
        <f>(P38/$R38*100*($E38/365))+(P39/$R39*100*($E39/365))</f>
        <v>0</v>
      </c>
      <c r="K158" s="380"/>
      <c r="L158" s="380">
        <f>(Q38/$R38*100*($E38/365))+(Q39/$R39*100*($E39/365))</f>
        <v>100</v>
      </c>
      <c r="M158" s="380"/>
      <c r="N158" s="379">
        <f t="shared" si="55"/>
        <v>100</v>
      </c>
      <c r="O158" s="379"/>
      <c r="R158" s="6">
        <v>1974</v>
      </c>
      <c r="S158" s="5">
        <f>(O38*($E38/365)) + (O39*($E39/365))</f>
        <v>0</v>
      </c>
      <c r="T158" s="5">
        <f>(P38*($E38/365)) + (P39*($E39/365))</f>
        <v>0</v>
      </c>
      <c r="U158" s="5">
        <f>(Q38*($E38/365)) + (Q39*($E39/365))</f>
        <v>52.710136986301372</v>
      </c>
      <c r="W158" s="5">
        <f xml:space="preserve"> R38*(E38/365) + R39*(E39/365)</f>
        <v>52.710136986301372</v>
      </c>
    </row>
    <row r="159" spans="1:23" x14ac:dyDescent="0.15">
      <c r="A159" s="6">
        <v>1975</v>
      </c>
      <c r="B159" s="5">
        <f>(K40*($E40/365)) + (K41*($E41/365)) + (K42*($E42/365))</f>
        <v>13.698630136986303</v>
      </c>
      <c r="C159" s="5">
        <f>(L40*($E40/365)) + (L41*($E41/365)) + (L42*($E42/365))</f>
        <v>0</v>
      </c>
      <c r="D159" s="5">
        <f>(M40*($E40/365)) + (M41*($E41/365)) + (M42*($E42/365))</f>
        <v>86.301369863013704</v>
      </c>
      <c r="E159" s="18">
        <f t="shared" si="54"/>
        <v>100</v>
      </c>
      <c r="G159" s="6">
        <v>1975</v>
      </c>
      <c r="H159" s="380">
        <f>(O40/$R40*100*($E40/365))+(O41/$R41*100*($E41/365))+(O42/$R42*100*($E42/365))</f>
        <v>13.698630136986303</v>
      </c>
      <c r="I159" s="380"/>
      <c r="J159" s="380">
        <f>(P40/$R40*100*($E40/365))+(P41/$R41*100*($E41/365))+(P42/$R42*100*($E42/365))</f>
        <v>0</v>
      </c>
      <c r="K159" s="380"/>
      <c r="L159" s="380">
        <f>(Q40/$R40*100*($E40/365))+(Q41/$R41*100*($E41/365))+(Q42/$R42*100*($E42/365))</f>
        <v>86.301369863013704</v>
      </c>
      <c r="M159" s="380"/>
      <c r="N159" s="379">
        <f t="shared" si="55"/>
        <v>100</v>
      </c>
      <c r="O159" s="379"/>
      <c r="R159" s="6">
        <v>1975</v>
      </c>
      <c r="S159" s="5">
        <f>(O40*($E40/365)) + (O41*($E41/365)) + (O42*($E42/365))</f>
        <v>7.4805479452054797</v>
      </c>
      <c r="T159" s="5">
        <f>(P40*($E40/365)) + (P41*($E41/365)) + (P42*($E42/365))</f>
        <v>0</v>
      </c>
      <c r="U159" s="5">
        <f>(Q40*($E40/365)) + (Q41*($E41/365)) + (Q42*($E42/365))</f>
        <v>44.876712328767127</v>
      </c>
      <c r="W159" s="5">
        <f xml:space="preserve"> R40*(E40/365) + R41*(E41/365) + R42*(E42/365)</f>
        <v>52.357260273972607</v>
      </c>
    </row>
    <row r="160" spans="1:23" x14ac:dyDescent="0.15">
      <c r="A160" s="6">
        <v>1976</v>
      </c>
      <c r="B160" s="5">
        <f>(K43*($E43/366)) + (K44*($E44/366))</f>
        <v>100</v>
      </c>
      <c r="C160" s="5">
        <f>(L43*($E43/366)) + (L44*($E44/366))</f>
        <v>0</v>
      </c>
      <c r="D160" s="5">
        <f>(M43*($E43/366)) + (M44*($E44/366))</f>
        <v>0</v>
      </c>
      <c r="E160" s="18">
        <f t="shared" si="54"/>
        <v>100</v>
      </c>
      <c r="G160" s="6">
        <v>1976</v>
      </c>
      <c r="H160" s="380">
        <f>(O43/$R43*100*($E43/366))+(O44/$R44*100*($E44/366))</f>
        <v>100</v>
      </c>
      <c r="I160" s="380"/>
      <c r="J160" s="380">
        <f>(P43/$R43*100*($E43/366))+(P44/$R44*100*($E44/366))</f>
        <v>0</v>
      </c>
      <c r="K160" s="380"/>
      <c r="L160" s="380">
        <f>(Q43/$R43*100*($E43/366))+(Q44/$R44*100*($E44/366))</f>
        <v>0</v>
      </c>
      <c r="M160" s="380"/>
      <c r="N160" s="379">
        <f t="shared" si="55"/>
        <v>100</v>
      </c>
      <c r="O160" s="379"/>
      <c r="R160" s="6">
        <v>1976</v>
      </c>
      <c r="S160" s="5">
        <f>(O43*($E43/366)) + (O44*($E44/366))</f>
        <v>71.599999999999994</v>
      </c>
      <c r="T160" s="5">
        <f>(P43*($E43/366)) + (P44*($E44/366))</f>
        <v>0</v>
      </c>
      <c r="U160" s="5">
        <f>(Q43*($E43/366)) + (Q44*($E44/366))</f>
        <v>0</v>
      </c>
      <c r="W160" s="5">
        <f xml:space="preserve"> R43*(E43/366) + R44*(E44/366)</f>
        <v>71.599999999999994</v>
      </c>
    </row>
    <row r="161" spans="1:29" s="5" customFormat="1" x14ac:dyDescent="0.15">
      <c r="A161" s="6">
        <v>1977</v>
      </c>
      <c r="B161" s="5">
        <f>(K45*($E45/365)) + (K46*($E46/365))</f>
        <v>100.00000000000001</v>
      </c>
      <c r="C161" s="5">
        <f>(L45*($E45/365)) + (L46*($E46/365))</f>
        <v>0</v>
      </c>
      <c r="D161" s="5">
        <f>(M45*($E45/365)) + (M46*($E46/365))</f>
        <v>0</v>
      </c>
      <c r="E161" s="18">
        <f t="shared" si="54"/>
        <v>100.00000000000001</v>
      </c>
      <c r="G161" s="6">
        <v>1977</v>
      </c>
      <c r="H161" s="380">
        <f>(O45/$R45*100*($E45/365))+(O46/$R46*100*($E46/365))</f>
        <v>100.00000000000001</v>
      </c>
      <c r="I161" s="380"/>
      <c r="J161" s="380">
        <f>(P45/$R45*100*($E45/365))+(P46/$R46*100*($E46/365))</f>
        <v>0</v>
      </c>
      <c r="K161" s="380"/>
      <c r="L161" s="380">
        <f>(Q45/$R45*100*($E45/365))+(Q46/$R46*100*($E46/365))</f>
        <v>0</v>
      </c>
      <c r="M161" s="380"/>
      <c r="N161" s="379">
        <f t="shared" si="55"/>
        <v>100.00000000000001</v>
      </c>
      <c r="O161" s="379"/>
      <c r="R161" s="6">
        <v>1977</v>
      </c>
      <c r="S161" s="5">
        <f>(O45*($E45/365)) + (O46*($E46/365))</f>
        <v>71.52438356164383</v>
      </c>
      <c r="T161" s="5">
        <f>(P45*($E45/365)) + (P46*($E46/365))</f>
        <v>0</v>
      </c>
      <c r="U161" s="5">
        <f>(Q45*($E45/365)) + (Q46*($E46/365))</f>
        <v>0</v>
      </c>
      <c r="W161" s="5">
        <f xml:space="preserve"> R45*(E45/365) + R46*(E46/365)</f>
        <v>71.52438356164383</v>
      </c>
    </row>
    <row r="162" spans="1:29" x14ac:dyDescent="0.15">
      <c r="A162" s="6">
        <v>1978</v>
      </c>
      <c r="B162" s="5">
        <f>(K47*($E47/365)) + (K48*($E48/365))</f>
        <v>100</v>
      </c>
      <c r="C162" s="5">
        <f>(L47*($E47/365)) + (L48*($E48/365))</f>
        <v>0</v>
      </c>
      <c r="D162" s="5">
        <f>(M47*($E47/365)) + (M48*($E48/365))</f>
        <v>0</v>
      </c>
      <c r="E162" s="18">
        <f t="shared" si="54"/>
        <v>100</v>
      </c>
      <c r="G162" s="6">
        <v>1978</v>
      </c>
      <c r="H162" s="380">
        <f>(O47/$R47*100*($E47/365))+(O48/$R48*100*($E48/365))</f>
        <v>100</v>
      </c>
      <c r="I162" s="380"/>
      <c r="J162" s="380">
        <f>(P47/$R47*100*($E47/365))+(P48/$R48*100*($E48/365))</f>
        <v>0</v>
      </c>
      <c r="K162" s="380"/>
      <c r="L162" s="380">
        <f>(Q47/$R47*100*($E47/365))+(Q48/$R48*100*($E48/365))</f>
        <v>0</v>
      </c>
      <c r="M162" s="380"/>
      <c r="N162" s="379">
        <f t="shared" si="55"/>
        <v>100</v>
      </c>
      <c r="O162" s="379"/>
      <c r="R162" s="6">
        <v>1978</v>
      </c>
      <c r="S162" s="5">
        <f>(O47*($E47/365)) + (O48*($E48/365))</f>
        <v>69.3</v>
      </c>
      <c r="T162" s="5">
        <f>(P47*($E47/365)) + (P48*($E48/365))</f>
        <v>0</v>
      </c>
      <c r="U162" s="5">
        <f>(Q47*($E47/365)) + (Q48*($E48/365))</f>
        <v>0</v>
      </c>
      <c r="W162" s="5">
        <f xml:space="preserve"> R47*(E47/365) + R48*(E48/365)</f>
        <v>69.3</v>
      </c>
    </row>
    <row r="163" spans="1:29" x14ac:dyDescent="0.15">
      <c r="A163" s="6">
        <v>1979</v>
      </c>
      <c r="B163" s="5">
        <f>(K49*($E49/365)) + (K50*($E50/365))</f>
        <v>100</v>
      </c>
      <c r="C163" s="5">
        <f>(L49*($E49/365)) + (L50*($E50/365))</f>
        <v>0</v>
      </c>
      <c r="D163" s="5">
        <f>(M49*($E49/365)) + (M50*($E50/365))</f>
        <v>0</v>
      </c>
      <c r="E163" s="18">
        <f t="shared" si="54"/>
        <v>100</v>
      </c>
      <c r="G163" s="6">
        <v>1979</v>
      </c>
      <c r="H163" s="380">
        <f>(O49/$R49*100*($E49/365))+(O50/$R50*100*($E50/365))</f>
        <v>100</v>
      </c>
      <c r="I163" s="380"/>
      <c r="J163" s="380">
        <f>(P49/$R49*100*($E49/365))+(P50/$R50*100*($E50/365))</f>
        <v>0</v>
      </c>
      <c r="K163" s="380"/>
      <c r="L163" s="380">
        <f>(Q49/$R49*100*($E49/365))+(Q50/$R50*100*($E50/365))</f>
        <v>0</v>
      </c>
      <c r="M163" s="380"/>
      <c r="N163" s="379">
        <f t="shared" si="55"/>
        <v>100</v>
      </c>
      <c r="O163" s="379"/>
      <c r="R163" s="6">
        <v>1979</v>
      </c>
      <c r="S163" s="5">
        <f>(O49*($E49/365)) + (O50*($E50/365))</f>
        <v>69.3</v>
      </c>
      <c r="T163" s="5">
        <f>(P49*($E49/365)) + (P50*($E50/365))</f>
        <v>0</v>
      </c>
      <c r="U163" s="5">
        <f>(Q49*($E49/365)) + (Q50*($E50/365))</f>
        <v>0</v>
      </c>
      <c r="W163" s="5">
        <f xml:space="preserve"> R49*(E49/365) + R50*(E50/365)</f>
        <v>69.3</v>
      </c>
    </row>
    <row r="164" spans="1:29" x14ac:dyDescent="0.15">
      <c r="A164" s="6">
        <v>1980</v>
      </c>
      <c r="B164" s="5">
        <f>(K51*($E51/366)) + (K52*($E52/366))</f>
        <v>100</v>
      </c>
      <c r="C164" s="5">
        <f>(L51*($E51/366)) + (L52*($E52/366))</f>
        <v>0</v>
      </c>
      <c r="D164" s="5">
        <f>(M51*($E51/366)) + (M52*($E52/366))</f>
        <v>0</v>
      </c>
      <c r="E164" s="18">
        <f t="shared" si="54"/>
        <v>100</v>
      </c>
      <c r="G164" s="6">
        <v>1980</v>
      </c>
      <c r="H164" s="380">
        <f>(O51/$R51*100*($E51/366))+(O52/$R52*100*($E52/366))</f>
        <v>100</v>
      </c>
      <c r="I164" s="380"/>
      <c r="J164" s="380">
        <f>(P51/$R51*100*($E51/366))+(P52/$R52*100*($E52/366))</f>
        <v>0</v>
      </c>
      <c r="K164" s="380"/>
      <c r="L164" s="380">
        <f>(Q51/$R51*100*($E51/366))+(Q52/$R52*100*($E52/366))</f>
        <v>0</v>
      </c>
      <c r="M164" s="380"/>
      <c r="N164" s="379">
        <f t="shared" si="55"/>
        <v>100</v>
      </c>
      <c r="O164" s="379"/>
      <c r="R164" s="6">
        <v>1980</v>
      </c>
      <c r="S164" s="5">
        <f>(O51*($E51/366)) + (O52*($E52/366))</f>
        <v>67.644262295081973</v>
      </c>
      <c r="T164" s="5">
        <f>(P51*($E51/366)) + (P52*($E52/366))</f>
        <v>0</v>
      </c>
      <c r="U164" s="5">
        <f>(Q51*($E51/366)) + (Q52*($E52/366))</f>
        <v>0</v>
      </c>
      <c r="W164" s="5">
        <f xml:space="preserve"> R51*(E51/366) + R52*(E52/366)</f>
        <v>67.644262295081973</v>
      </c>
    </row>
    <row r="165" spans="1:29" x14ac:dyDescent="0.15">
      <c r="A165" s="6">
        <v>1981</v>
      </c>
      <c r="B165" s="5">
        <f>(K53*($E53/365)) + (K54*($E54/365))</f>
        <v>100</v>
      </c>
      <c r="C165" s="5">
        <f>(L53*($E53/365)) + (L54*($E54/365))</f>
        <v>0</v>
      </c>
      <c r="D165" s="5">
        <f>(M53*($E53/365)) + (M54*($E54/365))</f>
        <v>0</v>
      </c>
      <c r="E165" s="18">
        <f t="shared" si="54"/>
        <v>100</v>
      </c>
      <c r="G165" s="6">
        <v>1981</v>
      </c>
      <c r="H165" s="380">
        <f>(O53/$R53*100*($E53/365))+(O54/$R54*100*($E54/365))</f>
        <v>100</v>
      </c>
      <c r="I165" s="380"/>
      <c r="J165" s="380">
        <f>(P53/$R53*100*($E53/365))+(P54/$R54*100*($E54/365))</f>
        <v>0</v>
      </c>
      <c r="K165" s="380"/>
      <c r="L165" s="380">
        <f>(Q53/$R53*100*($E53/365))+(Q54/$R54*100*($E54/365))</f>
        <v>0</v>
      </c>
      <c r="M165" s="380"/>
      <c r="N165" s="379">
        <f t="shared" si="55"/>
        <v>100</v>
      </c>
      <c r="O165" s="379"/>
      <c r="R165" s="6">
        <v>1981</v>
      </c>
      <c r="S165" s="5">
        <f>(O53*($E53/365)) + (O54*($E54/365))</f>
        <v>59.2</v>
      </c>
      <c r="T165" s="5">
        <f>(P53*($E53/365)) + (P54*($E54/365))</f>
        <v>0</v>
      </c>
      <c r="U165" s="5">
        <f>(Q53*($E53/365)) + (Q54*($E54/365))</f>
        <v>0</v>
      </c>
      <c r="W165" s="5">
        <f xml:space="preserve"> R53*(E53/365) + R54*(E54/365)</f>
        <v>59.2</v>
      </c>
    </row>
    <row r="166" spans="1:29" x14ac:dyDescent="0.15">
      <c r="A166" s="6">
        <v>1982</v>
      </c>
      <c r="B166" s="5">
        <f>(K55*($E55/365)) + (K56*($E56/365))</f>
        <v>100</v>
      </c>
      <c r="C166" s="5">
        <f>(L55*($E55/365)) + (L56*($E56/365))</f>
        <v>0</v>
      </c>
      <c r="D166" s="5">
        <f>(M55*($E55/365)) + (M56*($E56/365))</f>
        <v>0</v>
      </c>
      <c r="E166" s="18">
        <f t="shared" si="54"/>
        <v>100</v>
      </c>
      <c r="G166" s="6">
        <v>1982</v>
      </c>
      <c r="H166" s="380">
        <f>(O55/$R55*100*($E55/365))+(O56/$R56*100*($E56/365))</f>
        <v>100</v>
      </c>
      <c r="I166" s="380"/>
      <c r="J166" s="380">
        <f>(P55/$R55*100*($E55/365))+(P56/$R56*100*($E56/365))</f>
        <v>0</v>
      </c>
      <c r="K166" s="380"/>
      <c r="L166" s="380">
        <f>(Q55/$R55*100*($E55/365))+(Q56/$R56*100*($E56/365))</f>
        <v>0</v>
      </c>
      <c r="M166" s="380"/>
      <c r="N166" s="379">
        <f t="shared" si="55"/>
        <v>100</v>
      </c>
      <c r="O166" s="379"/>
      <c r="R166" s="6">
        <v>1982</v>
      </c>
      <c r="S166" s="5">
        <f>(O55*($E55/365)) + (O56*($E56/365))</f>
        <v>59.2</v>
      </c>
      <c r="T166" s="5">
        <f>(P55*($E55/365)) + (P56*($E56/365))</f>
        <v>0</v>
      </c>
      <c r="U166" s="5">
        <f>(Q55*($E55/365)) + (Q56*($E56/365))</f>
        <v>0</v>
      </c>
      <c r="W166" s="5">
        <f xml:space="preserve"> R55*(E55/365) + R56*(E56/365)</f>
        <v>59.2</v>
      </c>
      <c r="AA166" s="5"/>
      <c r="AB166" s="5"/>
      <c r="AC166" s="5"/>
    </row>
    <row r="167" spans="1:29" x14ac:dyDescent="0.15">
      <c r="A167" s="6">
        <v>1983</v>
      </c>
      <c r="B167" s="5">
        <f>(K57*($E57/365)) + (K58*($E58/365))</f>
        <v>18.904109589041095</v>
      </c>
      <c r="C167" s="5">
        <f>(L57*($E57/365)) + (L58*($E58/365))</f>
        <v>0</v>
      </c>
      <c r="D167" s="5">
        <f>(M57*($E57/365)) + (M58*($E58/365))</f>
        <v>81.095890410958901</v>
      </c>
      <c r="E167" s="18">
        <f t="shared" si="54"/>
        <v>100</v>
      </c>
      <c r="G167" s="6">
        <v>1983</v>
      </c>
      <c r="H167" s="380">
        <f>(O57/$R57*100*($E57/365))+(O58/$R58*100*($E58/365))</f>
        <v>18.904109589041095</v>
      </c>
      <c r="I167" s="380"/>
      <c r="J167" s="380">
        <f>(P57/$R57*100*($E57/365))+(P58/$R58*100*($E58/365))</f>
        <v>0</v>
      </c>
      <c r="K167" s="380"/>
      <c r="L167" s="380">
        <f>(Q57/$R57*100*($E57/365))+(Q58/$R58*100*($E58/365))</f>
        <v>81.095890410958901</v>
      </c>
      <c r="M167" s="380"/>
      <c r="N167" s="379">
        <f t="shared" si="55"/>
        <v>100</v>
      </c>
      <c r="O167" s="379"/>
      <c r="R167" s="6">
        <v>1983</v>
      </c>
      <c r="S167" s="5">
        <f>(O57*($E57/365)) + (O58*($E58/365))</f>
        <v>11.191232876712329</v>
      </c>
      <c r="T167" s="5">
        <f>(P57*($E57/365)) + (P58*($E58/365))</f>
        <v>0</v>
      </c>
      <c r="U167" s="5">
        <f>(Q57*($E57/365)) + (Q58*($E58/365))</f>
        <v>48.657534246575345</v>
      </c>
      <c r="W167" s="5">
        <f xml:space="preserve"> R57*(E57/365) + R58*(E58/365)</f>
        <v>59.848767123287672</v>
      </c>
    </row>
    <row r="168" spans="1:29" x14ac:dyDescent="0.15">
      <c r="A168" s="14">
        <v>1984</v>
      </c>
      <c r="B168" s="5">
        <f>(K59*($E59/366)) + (K60*($E60/366))</f>
        <v>0</v>
      </c>
      <c r="C168" s="5">
        <f>(L59*($E59/366)) + (L60*($E60/366))</f>
        <v>0</v>
      </c>
      <c r="D168" s="5">
        <f>(M59*($E59/366)) + (M60*($E60/366))</f>
        <v>100</v>
      </c>
      <c r="E168" s="18">
        <f t="shared" si="54"/>
        <v>100</v>
      </c>
      <c r="G168" s="6">
        <v>1984</v>
      </c>
      <c r="H168" s="380">
        <f>(O59/$R59*100*($E59/366))+(O60/$R60*100*($E60/366))</f>
        <v>0</v>
      </c>
      <c r="I168" s="380"/>
      <c r="J168" s="380">
        <f>(P59/$R59*100*($E59/366))+(P60/$R60*100*($E60/366))</f>
        <v>0</v>
      </c>
      <c r="K168" s="380"/>
      <c r="L168" s="380">
        <f>(Q59/$R59*100*($E59/366))+(Q60/$R60*100*($E60/366))</f>
        <v>100</v>
      </c>
      <c r="M168" s="380"/>
      <c r="N168" s="379">
        <f t="shared" si="55"/>
        <v>100</v>
      </c>
      <c r="O168" s="379"/>
      <c r="R168" s="6">
        <v>1984</v>
      </c>
      <c r="S168" s="5">
        <f>(O59*($E59/366)) + (O60*($E60/366))</f>
        <v>0</v>
      </c>
      <c r="T168" s="5">
        <f>(P59*($E59/366)) + (P60*($E60/366))</f>
        <v>0</v>
      </c>
      <c r="U168" s="5">
        <f>(Q59*($E59/366)) + (Q60*($E60/366))</f>
        <v>59.761202185792357</v>
      </c>
      <c r="W168" s="5">
        <f xml:space="preserve"> R59*(E59/366) + R60*(E60/366)</f>
        <v>59.761202185792357</v>
      </c>
    </row>
    <row r="169" spans="1:29" x14ac:dyDescent="0.15">
      <c r="A169" s="14">
        <v>1985</v>
      </c>
      <c r="B169" s="5">
        <f>(K61*($E61/365)) + (K62*($E62/365))</f>
        <v>0</v>
      </c>
      <c r="C169" s="5">
        <f>(L61*($E61/365)) + (L62*($E62/365))</f>
        <v>0</v>
      </c>
      <c r="D169" s="5">
        <f>(M61*($E61/365)) + (M62*($E62/365))</f>
        <v>100</v>
      </c>
      <c r="E169" s="18">
        <f t="shared" si="54"/>
        <v>100</v>
      </c>
      <c r="G169" s="6">
        <v>1985</v>
      </c>
      <c r="H169" s="380">
        <f>(O61/$R61*100*($E61/365))+(O62/$R62*100*($E62/365))</f>
        <v>0</v>
      </c>
      <c r="I169" s="380"/>
      <c r="J169" s="380">
        <f>(P61/$R61*100*($E61/365))+(P62/$R62*100*($E62/365))</f>
        <v>0</v>
      </c>
      <c r="K169" s="380"/>
      <c r="L169" s="380">
        <f>(Q61/$R61*100*($E61/365))+(Q62/$R62*100*($E62/365))</f>
        <v>100</v>
      </c>
      <c r="M169" s="380"/>
      <c r="N169" s="379">
        <f t="shared" si="55"/>
        <v>100</v>
      </c>
      <c r="O169" s="379"/>
      <c r="R169" s="6">
        <v>1985</v>
      </c>
      <c r="S169" s="5">
        <f>(O61*($E61/365)) + (O62*($E62/365))</f>
        <v>0</v>
      </c>
      <c r="T169" s="5">
        <f>(P61*($E61/365)) + (P62*($E62/365))</f>
        <v>0</v>
      </c>
      <c r="U169" s="5">
        <f>(Q61*($E61/365)) + (Q62*($E62/365))</f>
        <v>55.4</v>
      </c>
      <c r="W169" s="5">
        <f xml:space="preserve"> R61*(E61/365) + R62*(E62/365)</f>
        <v>55.4</v>
      </c>
    </row>
    <row r="170" spans="1:29" x14ac:dyDescent="0.15">
      <c r="A170" s="14">
        <v>1986</v>
      </c>
      <c r="B170" s="5">
        <f>(K63*($E63/365)) + (K64*($E64/365))</f>
        <v>0</v>
      </c>
      <c r="C170" s="5">
        <f>(L63*($E63/365)) + (L64*($E64/365))</f>
        <v>0</v>
      </c>
      <c r="D170" s="5">
        <f>(M63*($E63/365)) + (M64*($E64/365))</f>
        <v>100</v>
      </c>
      <c r="E170" s="18">
        <f t="shared" si="54"/>
        <v>100</v>
      </c>
      <c r="G170" s="6">
        <v>1986</v>
      </c>
      <c r="H170" s="380">
        <f>(O63/$R63*100*($E63/365))+(O64/$R64*100*($E64/365))</f>
        <v>0</v>
      </c>
      <c r="I170" s="380"/>
      <c r="J170" s="380">
        <f>(P63/$R63*100*($E63/365))+(P64/$R64*100*($E64/365))</f>
        <v>0</v>
      </c>
      <c r="K170" s="380"/>
      <c r="L170" s="380">
        <f>(Q63/$R63*100*($E63/365))+(Q64/$R64*100*($E64/365))</f>
        <v>100</v>
      </c>
      <c r="M170" s="380"/>
      <c r="N170" s="379">
        <f t="shared" si="55"/>
        <v>100</v>
      </c>
      <c r="O170" s="379"/>
      <c r="R170" s="6">
        <v>1986</v>
      </c>
      <c r="S170" s="5">
        <f>(O63*($E63/365)) + (O64*($E64/365))</f>
        <v>0</v>
      </c>
      <c r="T170" s="5">
        <f>(P63*($E63/365)) + (P64*($E64/365))</f>
        <v>0</v>
      </c>
      <c r="U170" s="5">
        <f>(Q63*($E63/365)) + (Q64*($E64/365))</f>
        <v>55.4</v>
      </c>
      <c r="W170" s="5">
        <f xml:space="preserve"> R63*(E63/365) + R64*(E64/365)</f>
        <v>55.4</v>
      </c>
    </row>
    <row r="171" spans="1:29" x14ac:dyDescent="0.15">
      <c r="A171" s="14">
        <v>1987</v>
      </c>
      <c r="B171" s="5">
        <f>(K65*($E65/365)) + (K66*($E66/365))</f>
        <v>0</v>
      </c>
      <c r="C171" s="5">
        <f>(L65*($E65/365)) + (L66*($E66/365))</f>
        <v>0</v>
      </c>
      <c r="D171" s="5">
        <f>(M65*($E65/365)) + (M66*($E66/365))</f>
        <v>100</v>
      </c>
      <c r="E171" s="18">
        <f t="shared" si="54"/>
        <v>100</v>
      </c>
      <c r="G171" s="6">
        <v>1987</v>
      </c>
      <c r="H171" s="380">
        <f>(O65/$R65*100*($E65/365))+(O66/$R66*100*($E66/365))</f>
        <v>0</v>
      </c>
      <c r="I171" s="380"/>
      <c r="J171" s="380">
        <f>(P65/$R65*100*($E65/365))+(P66/$R66*100*($E66/365))</f>
        <v>0</v>
      </c>
      <c r="K171" s="380"/>
      <c r="L171" s="380">
        <f>(Q65/$R65*100*($E65/365))+(Q66/$R66*100*($E66/365))</f>
        <v>100</v>
      </c>
      <c r="M171" s="380"/>
      <c r="N171" s="379">
        <f t="shared" si="55"/>
        <v>100</v>
      </c>
      <c r="O171" s="379"/>
      <c r="R171" s="6">
        <v>1987</v>
      </c>
      <c r="S171" s="5">
        <f>(O65*($E65/365)) + (O66*($E66/365))</f>
        <v>0</v>
      </c>
      <c r="T171" s="5">
        <f>(P65*($E65/365)) + (P66*($E66/365))</f>
        <v>0</v>
      </c>
      <c r="U171" s="5">
        <f>(Q65*($E65/365)) + (Q66*($E66/365))</f>
        <v>56.605753424657529</v>
      </c>
      <c r="W171" s="5">
        <f xml:space="preserve"> R65*(E65/365) + R66*(E66/365)</f>
        <v>56.605753424657529</v>
      </c>
    </row>
    <row r="172" spans="1:29" x14ac:dyDescent="0.15">
      <c r="A172" s="14">
        <v>1988</v>
      </c>
      <c r="B172" s="5">
        <f>(K67*($E67/366)) + (K68*($E68/366))</f>
        <v>0</v>
      </c>
      <c r="C172" s="5">
        <f>(L67*($E67/366)) + (L68*($E68/366))</f>
        <v>0</v>
      </c>
      <c r="D172" s="5">
        <f>(M67*($E67/366)) + (M68*($E68/366))</f>
        <v>100</v>
      </c>
      <c r="E172" s="18">
        <f t="shared" si="54"/>
        <v>100</v>
      </c>
      <c r="G172" s="6">
        <v>1988</v>
      </c>
      <c r="H172" s="380">
        <f>(O67/$R67*100*($E67/366))+(O68/$R68*100*($E68/366))</f>
        <v>0</v>
      </c>
      <c r="I172" s="380"/>
      <c r="J172" s="380">
        <f>(P67/$R67*100*($E67/366))+(P68/$R68*100*($E68/366))</f>
        <v>0</v>
      </c>
      <c r="K172" s="380"/>
      <c r="L172" s="380">
        <f>(Q67/$R67*100*($E67/366))+(Q68/$R68*100*($E68/366))</f>
        <v>100</v>
      </c>
      <c r="M172" s="380"/>
      <c r="N172" s="379">
        <f t="shared" si="55"/>
        <v>100</v>
      </c>
      <c r="O172" s="379"/>
      <c r="R172" s="6">
        <v>1988</v>
      </c>
      <c r="S172" s="5">
        <f>(O67*($E67/366)) + (O68*($E68/366))</f>
        <v>0</v>
      </c>
      <c r="T172" s="5">
        <f>(P67*($E67/366)) + (P68*($E68/366))</f>
        <v>0</v>
      </c>
      <c r="U172" s="5">
        <f>(Q67*($E67/366)) + (Q68*($E68/366))</f>
        <v>58.1</v>
      </c>
      <c r="W172" s="5">
        <f xml:space="preserve"> R67*(E67/366) + R68*(E68/366)</f>
        <v>58.1</v>
      </c>
    </row>
    <row r="173" spans="1:29" s="13" customFormat="1" x14ac:dyDescent="0.15">
      <c r="A173" s="15">
        <v>1989</v>
      </c>
      <c r="B173" s="8">
        <f>(K69*($E69/365)) + (K70*($E70/365))</f>
        <v>0</v>
      </c>
      <c r="C173" s="8">
        <f>(L69*($E69/365)) + (L70*($E70/365))</f>
        <v>0</v>
      </c>
      <c r="D173" s="8">
        <f>(M69*($E69/365)) + (M70*($E70/365))</f>
        <v>100</v>
      </c>
      <c r="E173" s="19">
        <f t="shared" si="54"/>
        <v>100</v>
      </c>
      <c r="G173" s="7">
        <v>1989</v>
      </c>
      <c r="H173" s="385">
        <f>(O69/$R69*100*($E69/365))+(O70/$R70*100*($E70/365))</f>
        <v>0</v>
      </c>
      <c r="I173" s="385"/>
      <c r="J173" s="385">
        <f>(P69/$R69*100*($E69/365))+(P70/$R70*100*($E70/365))</f>
        <v>0</v>
      </c>
      <c r="K173" s="385"/>
      <c r="L173" s="385">
        <f>(Q69/$R69*100*($E69/365))+(Q70/$R70*100*($E70/365))</f>
        <v>100</v>
      </c>
      <c r="M173" s="385"/>
      <c r="N173" s="386">
        <f t="shared" si="55"/>
        <v>100</v>
      </c>
      <c r="O173" s="386"/>
      <c r="R173" s="7">
        <v>1989</v>
      </c>
      <c r="S173" s="8">
        <f>(O69*($E69/365)) + (O70*($E70/365))</f>
        <v>0</v>
      </c>
      <c r="T173" s="8">
        <f>(P69*($E69/365)) + (P70*($E70/365))</f>
        <v>0</v>
      </c>
      <c r="U173" s="8">
        <f>(Q69*($E69/365)) + (Q70*($E70/365))</f>
        <v>58.1</v>
      </c>
      <c r="W173" s="8">
        <f xml:space="preserve"> R69*(E69/365) + R70*(E70/365)</f>
        <v>58.1</v>
      </c>
    </row>
    <row r="174" spans="1:29" x14ac:dyDescent="0.15">
      <c r="A174" s="14">
        <v>1990</v>
      </c>
      <c r="B174" s="5">
        <f>(K71*($E71/365))+(K72*($E72/365))</f>
        <v>0</v>
      </c>
      <c r="C174" s="5">
        <f>(L71*($E71/365))+(L72*($E72/365))</f>
        <v>0</v>
      </c>
      <c r="D174" s="5">
        <f>(M71*($E71/365))+(M72*($E72/365))</f>
        <v>100</v>
      </c>
      <c r="E174" s="18">
        <f>SUM(B174:D174)</f>
        <v>100</v>
      </c>
      <c r="G174" s="6">
        <v>1990</v>
      </c>
      <c r="H174" s="387">
        <f>(O71/$R71*100*($E71/365))+(O72/$R72*100*($E72/365))</f>
        <v>0</v>
      </c>
      <c r="I174" s="387"/>
      <c r="J174" s="387">
        <f>(P71/$R71*100*($E71/365))+(P72/$R72*100*($E72/365))</f>
        <v>0</v>
      </c>
      <c r="K174" s="387"/>
      <c r="L174" s="387">
        <f>(Q71/$R71*100*($E71/365))+(Q72/$R72*100*($E72/365))</f>
        <v>100</v>
      </c>
      <c r="M174" s="387"/>
      <c r="N174" s="379">
        <f t="shared" ref="N174:N196" si="56">SUM(H174:M174)</f>
        <v>100</v>
      </c>
      <c r="O174" s="379"/>
      <c r="R174" s="6">
        <v>1990</v>
      </c>
      <c r="S174" s="5">
        <f>(O71*($E71/365))+(O72*($E72/365))</f>
        <v>0</v>
      </c>
      <c r="T174" s="5">
        <f>(P71*($E71/365))+(P72*($E72/365))</f>
        <v>0</v>
      </c>
      <c r="U174" s="5">
        <f>(Q71*($E71/365))+(Q72*($E72/365))</f>
        <v>54.075890410958905</v>
      </c>
      <c r="W174" s="5">
        <f xml:space="preserve"> R71*(E71/365) + R72*(E72/365)</f>
        <v>54.075890410958905</v>
      </c>
    </row>
    <row r="175" spans="1:29" x14ac:dyDescent="0.15">
      <c r="A175" s="14">
        <v>1991</v>
      </c>
      <c r="B175" s="5">
        <f>(K73*($E73/365))+(K74*($E74/365))</f>
        <v>0</v>
      </c>
      <c r="C175" s="5">
        <f>(L73*($E73/365))+(L74*($E74/365))</f>
        <v>0</v>
      </c>
      <c r="D175" s="5">
        <f>(M73*($E73/365))+(M74*($E74/365))</f>
        <v>100</v>
      </c>
      <c r="E175" s="18">
        <f t="shared" ref="E175:E196" si="57">SUM(B175:D175)</f>
        <v>100</v>
      </c>
      <c r="G175" s="6">
        <v>1991</v>
      </c>
      <c r="H175" s="380">
        <f>(O73/$R73*100*($E73/365))+(O74/$R74*100*($E74/365))</f>
        <v>0</v>
      </c>
      <c r="I175" s="380"/>
      <c r="J175" s="380">
        <f>(P73/$R73*100*($E73/365))+(P74/$R74*100*($E74/365))</f>
        <v>0</v>
      </c>
      <c r="K175" s="380"/>
      <c r="L175" s="380">
        <f>(Q73/$R73*100*($E73/365))+(Q74/$R74*100*($E74/365))</f>
        <v>100</v>
      </c>
      <c r="M175" s="380"/>
      <c r="N175" s="379">
        <f t="shared" si="56"/>
        <v>100</v>
      </c>
      <c r="O175" s="379"/>
      <c r="R175" s="6">
        <v>1991</v>
      </c>
      <c r="S175" s="5">
        <f>(O73*($E73/365))+(O74*($E74/365))</f>
        <v>0</v>
      </c>
      <c r="T175" s="5">
        <f>(P73*($E73/365))+(P74*($E74/365))</f>
        <v>0</v>
      </c>
      <c r="U175" s="5">
        <f>(Q73*($E73/365))+(Q74*($E74/365))</f>
        <v>52.699999999999996</v>
      </c>
      <c r="W175" s="5">
        <f xml:space="preserve"> R73*(E73/365) + R74*(E74/365)</f>
        <v>52.699999999999996</v>
      </c>
    </row>
    <row r="176" spans="1:29" x14ac:dyDescent="0.15">
      <c r="A176" s="14">
        <v>1992</v>
      </c>
      <c r="B176" s="5">
        <f>(K75*($E75/366))+(K76*($E76/366))</f>
        <v>0</v>
      </c>
      <c r="C176" s="5">
        <f>(L75*($E75/366))+(L76*($E76/366))</f>
        <v>0</v>
      </c>
      <c r="D176" s="5">
        <f>(M75*($E75/366))+(M76*($E76/366))</f>
        <v>100</v>
      </c>
      <c r="E176" s="18">
        <f t="shared" si="57"/>
        <v>100</v>
      </c>
      <c r="G176" s="6">
        <v>1992</v>
      </c>
      <c r="H176" s="380">
        <f>(O75/$R75*100*($E75/366))+(O76/$R76*100*($E76/366))</f>
        <v>0</v>
      </c>
      <c r="I176" s="380"/>
      <c r="J176" s="380">
        <f>(P75/$R75*100*($E75/366))+(P76/$R76*100*($E76/366))</f>
        <v>0</v>
      </c>
      <c r="K176" s="380"/>
      <c r="L176" s="380">
        <f>(Q75/$R75*100*($E75/366))+(Q76/$R76*100*($E76/366))</f>
        <v>100</v>
      </c>
      <c r="M176" s="380"/>
      <c r="N176" s="379">
        <f t="shared" si="56"/>
        <v>100</v>
      </c>
      <c r="O176" s="379"/>
      <c r="R176" s="6">
        <v>1992</v>
      </c>
      <c r="S176" s="5">
        <f>(O75*($E75/366))+(O76*($E76/366))</f>
        <v>0</v>
      </c>
      <c r="T176" s="5">
        <f>(P75*($E75/366))+(P76*($E76/366))</f>
        <v>0</v>
      </c>
      <c r="U176" s="5">
        <f>(Q75*($E75/366))+(Q76*($E76/366))</f>
        <v>52.7</v>
      </c>
      <c r="W176" s="5">
        <f xml:space="preserve"> R75*(E75/366) + R76*(E76/366)</f>
        <v>52.7</v>
      </c>
    </row>
    <row r="177" spans="1:23" x14ac:dyDescent="0.15">
      <c r="A177" s="14">
        <v>1993</v>
      </c>
      <c r="B177" s="5">
        <f>(K77*($E77/365))+(K78*($E78/365))</f>
        <v>0</v>
      </c>
      <c r="C177" s="5">
        <f>(L77*($E77/365))+(L78*($E78/365))</f>
        <v>0</v>
      </c>
      <c r="D177" s="5">
        <f>(M77*($E77/365))+(M78*($E78/365))</f>
        <v>99.999999999999986</v>
      </c>
      <c r="E177" s="18">
        <f t="shared" si="57"/>
        <v>99.999999999999986</v>
      </c>
      <c r="G177" s="6">
        <v>1993</v>
      </c>
      <c r="H177" s="380">
        <f>(O77/$R77*100*($E77/365))+(O78/$R78*100*($E78/365))</f>
        <v>0</v>
      </c>
      <c r="I177" s="380"/>
      <c r="J177" s="380">
        <f>(P77/$R77*100*($E77/365))+(P78/$R78*100*($E78/365))</f>
        <v>0</v>
      </c>
      <c r="K177" s="380"/>
      <c r="L177" s="380">
        <f>(Q77/$R77*100*($E77/365))+(Q78/$R78*100*($E78/365))</f>
        <v>99.999999999999986</v>
      </c>
      <c r="M177" s="380"/>
      <c r="N177" s="379">
        <f t="shared" si="56"/>
        <v>99.999999999999986</v>
      </c>
      <c r="O177" s="379"/>
      <c r="R177" s="6">
        <v>1993</v>
      </c>
      <c r="S177" s="5">
        <f>(O77*($E77/365))+(O78*($E78/365))</f>
        <v>0</v>
      </c>
      <c r="T177" s="5">
        <f>(P77*($E77/365))+(P78*($E78/365))</f>
        <v>0</v>
      </c>
      <c r="U177" s="5">
        <f>(Q77*($E77/365))+(Q78*($E78/365))</f>
        <v>52.737260273972602</v>
      </c>
      <c r="W177" s="5">
        <f xml:space="preserve"> R77*(E77/365) + R78*(E78/365)</f>
        <v>52.737260273972602</v>
      </c>
    </row>
    <row r="178" spans="1:23" x14ac:dyDescent="0.15">
      <c r="A178" s="14">
        <v>1994</v>
      </c>
      <c r="B178" s="5">
        <f>(K79*($E79/365))+(K80*($E80/365))</f>
        <v>0</v>
      </c>
      <c r="C178" s="5">
        <f>(L79*($E79/365))+(L80*($E80/365))</f>
        <v>0</v>
      </c>
      <c r="D178" s="5">
        <f>(M79*($E79/365))+(M80*($E80/365))</f>
        <v>100</v>
      </c>
      <c r="E178" s="18">
        <f t="shared" si="57"/>
        <v>100</v>
      </c>
      <c r="G178" s="6">
        <v>1994</v>
      </c>
      <c r="H178" s="380">
        <f>(O79/$R79*100*($E79/365))+(O80/$R80*100*($E80/365))</f>
        <v>0</v>
      </c>
      <c r="I178" s="380"/>
      <c r="J178" s="380">
        <f>(P79/$R79*100*($E79/365))+(P80/$R80*100*($E80/365))</f>
        <v>0</v>
      </c>
      <c r="K178" s="380"/>
      <c r="L178" s="380">
        <f>(Q79/$R79*100*($E79/365))+(Q80/$R80*100*($E80/365))</f>
        <v>100</v>
      </c>
      <c r="M178" s="380"/>
      <c r="N178" s="379">
        <f t="shared" si="56"/>
        <v>100</v>
      </c>
      <c r="O178" s="379"/>
      <c r="R178" s="6">
        <v>1994</v>
      </c>
      <c r="S178" s="5">
        <f>(O79*($E79/365))+(O80*($E80/365))</f>
        <v>0</v>
      </c>
      <c r="T178" s="5">
        <f>(P79*($E79/365))+(P80*($E80/365))</f>
        <v>0</v>
      </c>
      <c r="U178" s="5">
        <f>(Q79*($E79/365))+(Q80*($E80/365))</f>
        <v>54.4</v>
      </c>
      <c r="W178" s="5">
        <f xml:space="preserve"> R79*(E79/365) + R80*(E80/365)</f>
        <v>54.4</v>
      </c>
    </row>
    <row r="179" spans="1:23" x14ac:dyDescent="0.15">
      <c r="A179" s="14">
        <v>1995</v>
      </c>
      <c r="B179" s="5">
        <f>(K81*($E81/365))+(K82*($E82/365))</f>
        <v>0</v>
      </c>
      <c r="C179" s="5">
        <f>(L81*($E81/365))+(L82*($E82/365))</f>
        <v>0</v>
      </c>
      <c r="D179" s="5">
        <f>(M81*($E81/365))+(M82*($E82/365))</f>
        <v>100</v>
      </c>
      <c r="E179" s="18">
        <f t="shared" si="57"/>
        <v>100</v>
      </c>
      <c r="G179" s="6">
        <v>1995</v>
      </c>
      <c r="H179" s="380">
        <f>(O81/$R81*100*($E81/365))+(O82/$R82*100*($E82/365))</f>
        <v>0</v>
      </c>
      <c r="I179" s="380"/>
      <c r="J179" s="380">
        <f>(P81/$R81*100*($E81/365))+(P82/$R82*100*($E82/365))</f>
        <v>0</v>
      </c>
      <c r="K179" s="380"/>
      <c r="L179" s="380">
        <f>(Q81/$R81*100*($E81/365))+(Q82/$R82*100*($E82/365))</f>
        <v>100</v>
      </c>
      <c r="M179" s="380"/>
      <c r="N179" s="379">
        <f t="shared" si="56"/>
        <v>100</v>
      </c>
      <c r="O179" s="379"/>
      <c r="R179" s="6">
        <v>1995</v>
      </c>
      <c r="S179" s="5">
        <f>(O81*($E81/365))+(O82*($E82/365))</f>
        <v>0</v>
      </c>
      <c r="T179" s="5">
        <f>(P81*($E81/365))+(P82*($E82/365))</f>
        <v>0</v>
      </c>
      <c r="U179" s="5">
        <f>(Q81*($E81/365))+(Q82*($E82/365))</f>
        <v>54.4</v>
      </c>
      <c r="W179" s="5">
        <f xml:space="preserve"> R81*(E81/365) + R82*(E82/365)</f>
        <v>54.4</v>
      </c>
    </row>
    <row r="180" spans="1:23" x14ac:dyDescent="0.15">
      <c r="A180" s="14">
        <v>1996</v>
      </c>
      <c r="B180" s="5">
        <f>(K83*($E83/366))+(K84*($E84/366))</f>
        <v>80.874316939890718</v>
      </c>
      <c r="C180" s="5">
        <f>(L83*($E83/366))+(L84*($E84/366))</f>
        <v>0</v>
      </c>
      <c r="D180" s="5">
        <f>(M83*($E83/366))+(M84*($E84/366))</f>
        <v>19.125683060109289</v>
      </c>
      <c r="E180" s="18">
        <f t="shared" si="57"/>
        <v>100</v>
      </c>
      <c r="G180" s="6">
        <v>1996</v>
      </c>
      <c r="H180" s="380">
        <f>(O83/$R83*100*($E83/366))+(O84/$R84*100*($E84/366))</f>
        <v>80.874316939890718</v>
      </c>
      <c r="I180" s="380"/>
      <c r="J180" s="380">
        <f>(P83/$R83*100*($E83/366))+(P84/$R84*100*($E84/366))</f>
        <v>0</v>
      </c>
      <c r="K180" s="380"/>
      <c r="L180" s="380">
        <f>(Q83/$R83*100*($E83/366))+(Q84/$R84*100*($E84/366))</f>
        <v>19.125683060109289</v>
      </c>
      <c r="M180" s="380"/>
      <c r="N180" s="379">
        <f t="shared" si="56"/>
        <v>100</v>
      </c>
      <c r="O180" s="379"/>
      <c r="R180" s="6">
        <v>1996</v>
      </c>
      <c r="S180" s="5">
        <f>(O83*($E83/366))+(O84*($E84/366))</f>
        <v>51.355191256830601</v>
      </c>
      <c r="T180" s="5">
        <f>(P83*($E83/366))+(P84*($E84/366))</f>
        <v>0</v>
      </c>
      <c r="U180" s="5">
        <f>(Q83*($E83/366))+(Q84*($E84/366))</f>
        <v>10.404371584699453</v>
      </c>
      <c r="W180" s="5">
        <f xml:space="preserve"> R83*(E83/366) + R84*(E84/366)</f>
        <v>61.759562841530055</v>
      </c>
    </row>
    <row r="181" spans="1:23" x14ac:dyDescent="0.15">
      <c r="A181" s="14">
        <v>1997</v>
      </c>
      <c r="B181" s="5">
        <f>(K85*($E85/365))+(K86*($E86/365))</f>
        <v>100</v>
      </c>
      <c r="C181" s="5">
        <f>(L85*($E85/365))+(L86*($E86/365))</f>
        <v>0</v>
      </c>
      <c r="D181" s="5">
        <f>(M85*($E85/365))+(M86*($E86/365))</f>
        <v>0</v>
      </c>
      <c r="E181" s="18">
        <f t="shared" si="57"/>
        <v>100</v>
      </c>
      <c r="G181" s="6">
        <v>1997</v>
      </c>
      <c r="H181" s="380">
        <f>(O85/$R85*100*($E85/365))+(O86/$R86*100*($E86/365))</f>
        <v>100</v>
      </c>
      <c r="I181" s="380"/>
      <c r="J181" s="380">
        <f>(P85/$R85*100*($E85/365))+(P86/$R86*100*($E86/365))</f>
        <v>0</v>
      </c>
      <c r="K181" s="380"/>
      <c r="L181" s="380">
        <f>(Q85/$R85*100*($E85/365))+(Q86/$R86*100*($E86/365))</f>
        <v>0</v>
      </c>
      <c r="M181" s="380"/>
      <c r="N181" s="379">
        <f t="shared" si="56"/>
        <v>100</v>
      </c>
      <c r="O181" s="379"/>
      <c r="R181" s="6">
        <v>1997</v>
      </c>
      <c r="S181" s="5">
        <f>(O85*($E85/365))+(O86*($E86/365))</f>
        <v>63.5</v>
      </c>
      <c r="T181" s="5">
        <f>(P85*($E85/365))+(P86*($E86/365))</f>
        <v>0</v>
      </c>
      <c r="U181" s="5">
        <f>(Q85*($E85/365))+(Q86*($E86/365))</f>
        <v>0</v>
      </c>
      <c r="W181" s="5">
        <f xml:space="preserve"> R85*(E85/365) + R86*(E86/365)</f>
        <v>63.5</v>
      </c>
    </row>
    <row r="182" spans="1:23" x14ac:dyDescent="0.15">
      <c r="A182" s="14">
        <v>1998</v>
      </c>
      <c r="B182" s="5">
        <f>(K87*($E87/365))+(K88*($E88/365))</f>
        <v>100</v>
      </c>
      <c r="C182" s="5">
        <f>(L87*($E87/365))+(L88*($E88/365))</f>
        <v>0</v>
      </c>
      <c r="D182" s="5">
        <f>(M87*($E87/365))+(M88*($E88/365))</f>
        <v>0</v>
      </c>
      <c r="E182" s="18">
        <f t="shared" si="57"/>
        <v>100</v>
      </c>
      <c r="G182" s="6">
        <v>1998</v>
      </c>
      <c r="H182" s="380">
        <f>(O87/$R87*100*($E87/365))+(O88/$R88*100*($E88/365))</f>
        <v>100</v>
      </c>
      <c r="I182" s="380"/>
      <c r="J182" s="380">
        <f>(P87/$R87*100*($E87/365))+(P88/$R88*100*($E88/365))</f>
        <v>0</v>
      </c>
      <c r="K182" s="380"/>
      <c r="L182" s="380">
        <f>(Q87/$R87*100*($E87/365))+(Q88/$R88*100*($E88/365))</f>
        <v>0</v>
      </c>
      <c r="M182" s="380"/>
      <c r="N182" s="379">
        <f t="shared" si="56"/>
        <v>100</v>
      </c>
      <c r="O182" s="379"/>
      <c r="R182" s="6">
        <v>1998</v>
      </c>
      <c r="S182" s="5">
        <f>(O87*($E87/365))+(O88*($E88/365))</f>
        <v>61.626027397260273</v>
      </c>
      <c r="T182" s="5">
        <f>(P87*($E87/365))+(P88*($E88/365))</f>
        <v>0</v>
      </c>
      <c r="U182" s="5">
        <f>(Q87*($E87/365))+(Q88*($E88/365))</f>
        <v>0</v>
      </c>
      <c r="W182" s="5">
        <f xml:space="preserve"> R87*(E87/365) + R88*(E88/365)</f>
        <v>61.626027397260273</v>
      </c>
    </row>
    <row r="183" spans="1:23" x14ac:dyDescent="0.15">
      <c r="A183" s="14">
        <v>1999</v>
      </c>
      <c r="B183" s="5">
        <f>(K89*($E89/365))+(K90*($E90/365))</f>
        <v>100</v>
      </c>
      <c r="C183" s="5">
        <f>(L89*($E89/365))+(L90*($E90/365))</f>
        <v>0</v>
      </c>
      <c r="D183" s="5">
        <f>(M89*($E89/365))+(M90*($E90/365))</f>
        <v>0</v>
      </c>
      <c r="E183" s="18">
        <f t="shared" si="57"/>
        <v>100</v>
      </c>
      <c r="G183" s="6">
        <v>1999</v>
      </c>
      <c r="H183" s="380">
        <f>(O89/$R89*100*($E89/365))+(O90/$R90*100*($E90/365))</f>
        <v>100</v>
      </c>
      <c r="I183" s="380"/>
      <c r="J183" s="380">
        <f>(P89/$R89*100*($E89/365))+(P90/$R90*100*($E90/365))</f>
        <v>0</v>
      </c>
      <c r="K183" s="380"/>
      <c r="L183" s="380">
        <f>(Q89/$R89*100*($E89/365))+(Q90/$R90*100*($E90/365))</f>
        <v>0</v>
      </c>
      <c r="M183" s="380"/>
      <c r="N183" s="379">
        <f t="shared" si="56"/>
        <v>100</v>
      </c>
      <c r="O183" s="379"/>
      <c r="R183" s="6">
        <v>1999</v>
      </c>
      <c r="S183" s="5">
        <f>(O89*($E89/365))+(O90*($E90/365))</f>
        <v>54</v>
      </c>
      <c r="T183" s="5">
        <f>(P89*($E89/365))+(P90*($E90/365))</f>
        <v>0</v>
      </c>
      <c r="U183" s="5">
        <f>(Q89*($E89/365))+(Q90*($E90/365))</f>
        <v>0</v>
      </c>
      <c r="W183" s="5">
        <f xml:space="preserve"> R89*(E89/365) + R90*(E90/365)</f>
        <v>54</v>
      </c>
    </row>
    <row r="184" spans="1:23" x14ac:dyDescent="0.15">
      <c r="A184" s="14">
        <v>2000</v>
      </c>
      <c r="B184" s="5">
        <f>(K91*($E91/366))+(K92*($E92/366))</f>
        <v>100</v>
      </c>
      <c r="C184" s="5">
        <f>(L91*($E91/366))+(L92*($E92/366))</f>
        <v>0</v>
      </c>
      <c r="D184" s="5">
        <f>(M91*($E91/366))+(M92*($E92/366))</f>
        <v>0</v>
      </c>
      <c r="E184" s="18">
        <f t="shared" si="57"/>
        <v>100</v>
      </c>
      <c r="G184" s="6">
        <v>2000</v>
      </c>
      <c r="H184" s="380">
        <f>(O91/$R91*100*($E91/366))+(O92/$R92*100*($E92/366))</f>
        <v>100</v>
      </c>
      <c r="I184" s="380"/>
      <c r="J184" s="380">
        <f>(P91/$R91*100*($E91/366))+(P92/$R92*100*($E92/366))</f>
        <v>0</v>
      </c>
      <c r="K184" s="380"/>
      <c r="L184" s="380">
        <f>(Q91/$R91*100*($E91/366))+(Q92/$R92*100*($E92/366))</f>
        <v>0</v>
      </c>
      <c r="M184" s="380"/>
      <c r="N184" s="379">
        <f t="shared" si="56"/>
        <v>100</v>
      </c>
      <c r="O184" s="379"/>
      <c r="R184" s="6">
        <v>2000</v>
      </c>
      <c r="S184" s="5">
        <f>(O91*($E91/366))+(O92*($E92/366))</f>
        <v>54</v>
      </c>
      <c r="T184" s="5">
        <f>(P91*($E91/366))+(P92*($E92/366))</f>
        <v>0</v>
      </c>
      <c r="U184" s="5">
        <f>(Q91*($E91/366))+(Q92*($E92/366))</f>
        <v>0</v>
      </c>
      <c r="W184" s="5">
        <f xml:space="preserve"> R91*(E91/366) + R92*(E92/366)</f>
        <v>54</v>
      </c>
    </row>
    <row r="185" spans="1:23" x14ac:dyDescent="0.15">
      <c r="A185" s="14">
        <v>2001</v>
      </c>
      <c r="B185" s="5">
        <f>(K93*($E93/365))+(K94*($E94/365))</f>
        <v>100</v>
      </c>
      <c r="C185" s="5">
        <f>(L93*($E93/365))+(L94*($E94/365))</f>
        <v>0</v>
      </c>
      <c r="D185" s="5">
        <f>(M93*($E93/365))+(M94*($E94/365))</f>
        <v>0</v>
      </c>
      <c r="E185" s="18">
        <f t="shared" si="57"/>
        <v>100</v>
      </c>
      <c r="G185" s="6">
        <v>2001</v>
      </c>
      <c r="H185" s="380">
        <f>(O93/$R93*100*($E93/365))+(O94/$R94*100*($E94/365))</f>
        <v>100</v>
      </c>
      <c r="I185" s="380"/>
      <c r="J185" s="380">
        <f>(P93/$R93*100*($E93/365))+(P94/$R94*100*($E94/365))</f>
        <v>0</v>
      </c>
      <c r="K185" s="380"/>
      <c r="L185" s="380">
        <f>(Q93/$R93*100*($E93/365))+(Q94/$R94*100*($E94/365))</f>
        <v>0</v>
      </c>
      <c r="M185" s="380"/>
      <c r="N185" s="379">
        <f t="shared" si="56"/>
        <v>100</v>
      </c>
      <c r="O185" s="379"/>
      <c r="R185" s="6">
        <v>2001</v>
      </c>
      <c r="S185" s="5">
        <f>(O93*($E93/365))+(O94*($E94/365))</f>
        <v>54.069041095890412</v>
      </c>
      <c r="T185" s="5">
        <f>(P93*($E93/365))+(P94*($E94/365))</f>
        <v>0</v>
      </c>
      <c r="U185" s="5">
        <f>(Q93*($E93/365))+(Q94*($E94/365))</f>
        <v>0</v>
      </c>
      <c r="W185" s="5">
        <f xml:space="preserve"> R93*(E93/365) + R94*(E94/365)</f>
        <v>54.069041095890412</v>
      </c>
    </row>
    <row r="186" spans="1:23" x14ac:dyDescent="0.15">
      <c r="A186" s="14">
        <v>2002</v>
      </c>
      <c r="B186" s="5">
        <f>(K95*($E95/365))+(K96*($E96/365))</f>
        <v>100</v>
      </c>
      <c r="C186" s="5">
        <f>(L95*($E95/365))+(L96*($E96/365))</f>
        <v>0</v>
      </c>
      <c r="D186" s="5">
        <f>(M95*($E95/365))+(M96*($E96/365))</f>
        <v>0</v>
      </c>
      <c r="E186" s="18">
        <f t="shared" si="57"/>
        <v>100</v>
      </c>
      <c r="G186" s="6">
        <v>2002</v>
      </c>
      <c r="H186" s="380">
        <f>(O95/$R95*100*($E95/365))+(O96/$R96*100*($E96/365))</f>
        <v>100</v>
      </c>
      <c r="I186" s="380"/>
      <c r="J186" s="380">
        <f>(P95/$R95*100*($E95/365))+(P96/$R96*100*($E96/365))</f>
        <v>0</v>
      </c>
      <c r="K186" s="380"/>
      <c r="L186" s="380">
        <f>(Q95/$R95*100*($E95/365))+(Q96/$R96*100*($E96/365))</f>
        <v>0</v>
      </c>
      <c r="M186" s="380"/>
      <c r="N186" s="379">
        <f t="shared" si="56"/>
        <v>100</v>
      </c>
      <c r="O186" s="379"/>
      <c r="R186" s="6">
        <v>2002</v>
      </c>
      <c r="S186" s="5">
        <f>(O95*($E95/365))+(O96*($E96/365))</f>
        <v>54.7</v>
      </c>
      <c r="T186" s="5">
        <f>(P95*($E95/365))+(P96*($E96/365))</f>
        <v>0</v>
      </c>
      <c r="U186" s="5">
        <f>(Q95*($E95/365))+(Q96*($E96/365))</f>
        <v>0</v>
      </c>
      <c r="W186" s="5">
        <f xml:space="preserve"> R95*(E95/365) + R96*(E96/365)</f>
        <v>54.7</v>
      </c>
    </row>
    <row r="187" spans="1:23" x14ac:dyDescent="0.15">
      <c r="A187" s="14">
        <v>2003</v>
      </c>
      <c r="B187" s="5">
        <f>(K97*($E97/365))+(K98*($E98/365))</f>
        <v>100</v>
      </c>
      <c r="C187" s="5">
        <f>(L97*($E97/365))+(L98*($E98/365))</f>
        <v>0</v>
      </c>
      <c r="D187" s="5">
        <f>(M97*($E97/365))+(M98*($E98/365))</f>
        <v>0</v>
      </c>
      <c r="E187" s="18">
        <f t="shared" si="57"/>
        <v>100</v>
      </c>
      <c r="G187" s="6">
        <v>2003</v>
      </c>
      <c r="H187" s="380">
        <f>(O97/$R97*100*($E97/365))+(O98/$R98*100*($E98/365))</f>
        <v>100</v>
      </c>
      <c r="I187" s="380"/>
      <c r="J187" s="380">
        <f>(P97/$R97*100*($E97/365))+(P98/$R98*100*($E98/365))</f>
        <v>0</v>
      </c>
      <c r="K187" s="380"/>
      <c r="L187" s="380">
        <f>(Q97/$R97*100*($E97/365))+(Q98/$R98*100*($E98/365))</f>
        <v>0</v>
      </c>
      <c r="M187" s="380"/>
      <c r="N187" s="379">
        <f t="shared" si="56"/>
        <v>100</v>
      </c>
      <c r="O187" s="379"/>
      <c r="R187" s="6">
        <v>2003</v>
      </c>
      <c r="S187" s="5">
        <f>(O97*($E97/365))+(O98*($E98/365))</f>
        <v>54.7</v>
      </c>
      <c r="T187" s="5">
        <f>(P97*($E97/365))+(P98*($E98/365))</f>
        <v>0</v>
      </c>
      <c r="U187" s="5">
        <f>(Q97*($E97/365))+(Q98*($E98/365))</f>
        <v>0</v>
      </c>
      <c r="W187" s="5">
        <f xml:space="preserve"> R97*(E97/365) + R98*(E98/365)</f>
        <v>54.7</v>
      </c>
    </row>
    <row r="188" spans="1:23" x14ac:dyDescent="0.15">
      <c r="A188" s="14">
        <v>2004</v>
      </c>
      <c r="B188" s="5">
        <f>(K99*($E99/366))+(K100*($E100/366))</f>
        <v>100.00000000000001</v>
      </c>
      <c r="C188" s="5">
        <f>(L99*($E99/366))+(L100*($E100/366))</f>
        <v>0</v>
      </c>
      <c r="D188" s="5">
        <f>(M99*($E99/366))+(M100*($E100/366))</f>
        <v>0</v>
      </c>
      <c r="E188" s="18">
        <f t="shared" si="57"/>
        <v>100.00000000000001</v>
      </c>
      <c r="G188" s="6">
        <v>2004</v>
      </c>
      <c r="H188" s="380">
        <f>(O99/$R99*100*($E99/366))+(O100/$R100*100*($E100/366))</f>
        <v>100.00000000000001</v>
      </c>
      <c r="I188" s="380"/>
      <c r="J188" s="380">
        <f>(P99/$R99*100*($E99/366))+(P100/$R100*100*($E100/366))</f>
        <v>0</v>
      </c>
      <c r="K188" s="380"/>
      <c r="L188" s="380">
        <f>(Q99/$R99*100*($E99/366))+(Q100/$R100*100*($E100/366))</f>
        <v>0</v>
      </c>
      <c r="M188" s="380"/>
      <c r="N188" s="379">
        <f t="shared" si="56"/>
        <v>100.00000000000001</v>
      </c>
      <c r="O188" s="379"/>
      <c r="R188" s="6">
        <v>2004</v>
      </c>
      <c r="S188" s="5">
        <f>(O99*($E99/366))+(O100*($E100/366))</f>
        <v>55.304098360655743</v>
      </c>
      <c r="T188" s="5">
        <f>(P99*($E99/366))+(P100*($E100/366))</f>
        <v>0</v>
      </c>
      <c r="U188" s="5">
        <f>(Q99*($E99/366))+(Q100*($E100/366))</f>
        <v>0</v>
      </c>
      <c r="W188" s="5">
        <f xml:space="preserve"> R99*(E99/366) + R100*(E100/366)</f>
        <v>55.304098360655743</v>
      </c>
    </row>
    <row r="189" spans="1:23" x14ac:dyDescent="0.15">
      <c r="A189" s="14">
        <v>2005</v>
      </c>
      <c r="B189" s="5">
        <f>(K101*($E101/365))+(K102*($E102/365))</f>
        <v>100</v>
      </c>
      <c r="C189" s="5">
        <f>(L101*($E101/365))+(L102*($E102/365))</f>
        <v>0</v>
      </c>
      <c r="D189" s="5">
        <f>(M101*($E101/365))+(M102*($E102/365))</f>
        <v>0</v>
      </c>
      <c r="E189" s="18">
        <f t="shared" si="57"/>
        <v>100</v>
      </c>
      <c r="G189" s="6">
        <v>2005</v>
      </c>
      <c r="H189" s="380">
        <f>(O101/$R101*100*($E101/365))+(O102/$R102*100*($E102/365))</f>
        <v>100</v>
      </c>
      <c r="I189" s="380"/>
      <c r="J189" s="380">
        <f>(P101/$R101*100*($E101/365))+(P102/$R102*100*($E102/365))</f>
        <v>0</v>
      </c>
      <c r="K189" s="380"/>
      <c r="L189" s="380">
        <f>(Q101/$R101*100*($E101/365))+(Q102/$R102*100*($E102/365))</f>
        <v>0</v>
      </c>
      <c r="M189" s="380"/>
      <c r="N189" s="379">
        <f t="shared" si="56"/>
        <v>100</v>
      </c>
      <c r="O189" s="379"/>
      <c r="R189" s="6">
        <v>2005</v>
      </c>
      <c r="S189" s="5">
        <f>(O101*($E101/365))+(O102*($E102/365))</f>
        <v>58</v>
      </c>
      <c r="T189" s="5">
        <f>(P101*($E101/365))+(P102*($E102/365))</f>
        <v>0</v>
      </c>
      <c r="U189" s="5">
        <f>(Q101*($E101/365))+(Q102*($E102/365))</f>
        <v>0</v>
      </c>
      <c r="W189" s="5">
        <f xml:space="preserve"> R101*(E101/365) + R102*(E102/365)</f>
        <v>58</v>
      </c>
    </row>
    <row r="190" spans="1:23" x14ac:dyDescent="0.15">
      <c r="A190" s="1">
        <v>2006</v>
      </c>
      <c r="B190" s="5">
        <f>(K103*($E103/365))+(K104*($E104/365))</f>
        <v>100</v>
      </c>
      <c r="C190" s="5">
        <f>(L103*($E103/365))+(L104*($E104/365))</f>
        <v>0</v>
      </c>
      <c r="D190" s="5">
        <f>(M103*($E103/365))+(M104*($E104/365))</f>
        <v>0</v>
      </c>
      <c r="E190" s="18">
        <f t="shared" si="57"/>
        <v>100</v>
      </c>
      <c r="G190" s="6">
        <v>2006</v>
      </c>
      <c r="H190" s="380">
        <f>(O103/$R103*100*($E103/365))+(O104/$R104*100*($E104/365))</f>
        <v>100</v>
      </c>
      <c r="I190" s="380"/>
      <c r="J190" s="380">
        <f>(P103/$R103*100*($E103/365))+(P104/$R104*100*($E104/365))</f>
        <v>0</v>
      </c>
      <c r="K190" s="380"/>
      <c r="L190" s="380">
        <f>(Q103/$R103*100*($E103/365))+(Q104/$R104*100*($E104/365))</f>
        <v>0</v>
      </c>
      <c r="M190" s="380"/>
      <c r="N190" s="379">
        <f t="shared" si="56"/>
        <v>100</v>
      </c>
      <c r="O190" s="379"/>
      <c r="R190" s="6">
        <v>2006</v>
      </c>
      <c r="S190" s="5">
        <f>(O103*($E103/365))+(O104*($E104/365))</f>
        <v>58</v>
      </c>
      <c r="T190" s="5">
        <f>(P103*($E103/365))+(P104*($E104/365))</f>
        <v>0</v>
      </c>
      <c r="U190" s="5">
        <f>(Q103*($E103/365))+(Q104*($E104/365))</f>
        <v>0</v>
      </c>
      <c r="W190" s="5">
        <f xml:space="preserve"> R103*(E103/365) + R104*(E104/365)</f>
        <v>58</v>
      </c>
    </row>
    <row r="191" spans="1:23" x14ac:dyDescent="0.15">
      <c r="A191" s="1">
        <v>2007</v>
      </c>
      <c r="B191" s="5">
        <f>(K105*($E105/365))+(K106*($E106/365))</f>
        <v>92.054794520547944</v>
      </c>
      <c r="C191" s="5">
        <f>(L105*($E105/365))+(L106*($E106/365))</f>
        <v>0</v>
      </c>
      <c r="D191" s="5">
        <f>(M105*($E105/365))+(M106*($E106/365))</f>
        <v>7.9452054794520555</v>
      </c>
      <c r="E191" s="18">
        <f t="shared" si="57"/>
        <v>100</v>
      </c>
      <c r="G191" s="6">
        <v>2007</v>
      </c>
      <c r="H191" s="380">
        <f>(O105/$R105*100*($E105/365))+(O106/$R106*100*($E106/365))</f>
        <v>92.054794520547944</v>
      </c>
      <c r="I191" s="380"/>
      <c r="J191" s="380">
        <f>(P105/$R105*100*($E105/365))+(P106/$R106*100*($E106/365))</f>
        <v>0</v>
      </c>
      <c r="K191" s="380"/>
      <c r="L191" s="380">
        <f>(Q105/$R105*100*($E105/365))+(Q106/$R106*100*($E106/365))</f>
        <v>7.9452054794520555</v>
      </c>
      <c r="M191" s="380"/>
      <c r="N191" s="379">
        <f t="shared" si="56"/>
        <v>100</v>
      </c>
      <c r="O191" s="379"/>
      <c r="R191" s="6">
        <v>2007</v>
      </c>
      <c r="S191" s="5">
        <f>(O105*($E105/365))+(O106*($E106/365))</f>
        <v>53.391780821917806</v>
      </c>
      <c r="T191" s="5">
        <f>(P105*($E105/365))+(P106*($E106/365))</f>
        <v>0</v>
      </c>
      <c r="U191" s="5">
        <f>(Q105*($E105/365))+(Q106*($E106/365))</f>
        <v>4.3936986301369867</v>
      </c>
      <c r="W191" s="5">
        <f xml:space="preserve"> R105*(E105/365) + R106*(E106/365)</f>
        <v>57.785479452054794</v>
      </c>
    </row>
    <row r="192" spans="1:23" x14ac:dyDescent="0.15">
      <c r="A192" s="14">
        <v>2008</v>
      </c>
      <c r="B192" s="5">
        <f>(K107*($E107/366))+(K108*($E108/366))</f>
        <v>0</v>
      </c>
      <c r="C192" s="5">
        <f>(L107*($E107/366))+(L108*($E108/366))</f>
        <v>0</v>
      </c>
      <c r="D192" s="5">
        <f>(M107*($E107/366))+(M108*($E108/366))</f>
        <v>100</v>
      </c>
      <c r="E192" s="18">
        <f t="shared" si="57"/>
        <v>100</v>
      </c>
      <c r="G192" s="6">
        <v>2008</v>
      </c>
      <c r="H192" s="380">
        <f>(O107/$R107*100*($E107/366))+(O108/$R108*100*($E108/366))</f>
        <v>0</v>
      </c>
      <c r="I192" s="380"/>
      <c r="J192" s="380">
        <f>(P107/$R107*100*($E107/366))+(P108/$R108*100*($E108/366))</f>
        <v>0</v>
      </c>
      <c r="K192" s="380"/>
      <c r="L192" s="380">
        <f>(Q107/$R107*100*($E107/366))+(Q108/$R108*100*($E108/366))</f>
        <v>100</v>
      </c>
      <c r="M192" s="380"/>
      <c r="N192" s="379">
        <f t="shared" si="56"/>
        <v>100</v>
      </c>
      <c r="O192" s="379"/>
      <c r="R192" s="6">
        <v>2008</v>
      </c>
      <c r="S192" s="5">
        <f>(O107*($E107/366))+(O108*($E108/366))</f>
        <v>0</v>
      </c>
      <c r="T192" s="5">
        <f>(P107*($E107/366))+(P108*($E108/366))</f>
        <v>0</v>
      </c>
      <c r="U192" s="5">
        <f>(Q107*($E107/366))+(Q108*($E108/366))</f>
        <v>55.3</v>
      </c>
      <c r="W192" s="5">
        <f xml:space="preserve"> R107*(E107/366) + R108*(E108/366)</f>
        <v>55.3</v>
      </c>
    </row>
    <row r="193" spans="1:23" x14ac:dyDescent="0.15">
      <c r="A193" s="14">
        <v>2009</v>
      </c>
      <c r="B193" s="5">
        <f>(K109*($E109/365))+(K110*($E110/365))</f>
        <v>0</v>
      </c>
      <c r="C193" s="5">
        <f>(L109*($E109/365))+(L110*($E110/365))</f>
        <v>0</v>
      </c>
      <c r="D193" s="5">
        <f>(M109*($E109/365))+(M110*($E110/365))</f>
        <v>100</v>
      </c>
      <c r="E193" s="18">
        <f t="shared" si="57"/>
        <v>100</v>
      </c>
      <c r="G193" s="6">
        <v>2009</v>
      </c>
      <c r="H193" s="380">
        <f>(O109/$R109*100*($E109/365))+(O110/$R110*100*($E110/365))</f>
        <v>0</v>
      </c>
      <c r="I193" s="380"/>
      <c r="J193" s="380">
        <f>(P109/$R109*100*($E109/365))+(P110/$R110*100*($E110/365))</f>
        <v>0</v>
      </c>
      <c r="K193" s="380"/>
      <c r="L193" s="380">
        <f>(Q109/$R109*100*($E109/365))+(Q110/$R110*100*($E110/365))</f>
        <v>100</v>
      </c>
      <c r="M193" s="380"/>
      <c r="N193" s="379">
        <f t="shared" si="56"/>
        <v>100</v>
      </c>
      <c r="O193" s="379"/>
      <c r="R193" s="6">
        <v>2009</v>
      </c>
      <c r="S193" s="5">
        <f>(O109*($E109/365))+(O110*($E110/365))</f>
        <v>0</v>
      </c>
      <c r="T193" s="5">
        <f>(P109*($E109/365))+(P110*($E110/365))</f>
        <v>0</v>
      </c>
      <c r="U193" s="5">
        <f>(Q109*($E109/365))+(Q110*($E110/365))</f>
        <v>55.3</v>
      </c>
      <c r="W193" s="5">
        <f xml:space="preserve"> R109*(E109/365) + R110*(E110/365)</f>
        <v>55.3</v>
      </c>
    </row>
    <row r="194" spans="1:23" x14ac:dyDescent="0.15">
      <c r="A194" s="14">
        <v>2010</v>
      </c>
      <c r="B194" s="5">
        <f>(K111*($E111/365))+(K112*($E112/365))+(K113*($E113/365))</f>
        <v>0</v>
      </c>
      <c r="C194" s="5">
        <f>(L111*($E111/365))+(L112*($E112/365))+(L113*($E113/365))</f>
        <v>0</v>
      </c>
      <c r="D194" s="5">
        <f>(M111*($E111/365))+(M112*($E112/365))+(M113*($E113/365))</f>
        <v>100</v>
      </c>
      <c r="E194" s="18">
        <f t="shared" si="57"/>
        <v>100</v>
      </c>
      <c r="G194" s="6">
        <v>2010</v>
      </c>
      <c r="H194" s="380">
        <f>(O111/$R111*100*($E111/365))+(O112/$R112*100*($E112/365))+(O113/$R113*100*($E113/365))</f>
        <v>0</v>
      </c>
      <c r="I194" s="380"/>
      <c r="J194" s="380">
        <f>(P111/$R111*100*($E111/365))+(P112/$R112*100*($E112/365))+(P113/$R113*100*($E113/365))</f>
        <v>0</v>
      </c>
      <c r="K194" s="380"/>
      <c r="L194" s="380">
        <f>(Q111/$R111*100*($E111/365))+(Q112/$R112*100*($E112/365))+(Q113/$R113*100*($E113/365))</f>
        <v>100</v>
      </c>
      <c r="M194" s="380"/>
      <c r="N194" s="379">
        <f t="shared" si="56"/>
        <v>100</v>
      </c>
      <c r="O194" s="379"/>
      <c r="R194" s="6">
        <v>2010</v>
      </c>
      <c r="S194" s="5">
        <f>(O111*($E111/365))+(O112*($E112/365))+(O113*($E113/365))</f>
        <v>0</v>
      </c>
      <c r="T194" s="5">
        <f>(P111*($E111/365))+(P112*($E112/365))+(P113*($E113/365))</f>
        <v>0</v>
      </c>
      <c r="U194" s="5">
        <f>(Q111*($E111/365))+(Q112*($E112/365))+(Q113*($E113/365))</f>
        <v>53.11999999999999</v>
      </c>
      <c r="W194" s="5">
        <f xml:space="preserve"> R111*(E111/365) + R112*(E112/365) + R113*(E113/365)</f>
        <v>53.11999999999999</v>
      </c>
    </row>
    <row r="195" spans="1:23" x14ac:dyDescent="0.15">
      <c r="A195" s="14">
        <v>2011</v>
      </c>
      <c r="B195" s="5">
        <f>(K114*($E114/365))+(K115*($E115/365))</f>
        <v>0</v>
      </c>
      <c r="C195" s="5">
        <f>(L114*($E114/365))+(L115*($E115/365))</f>
        <v>0</v>
      </c>
      <c r="D195" s="5">
        <f>(M114*($E114/365))+(M115*($E115/365))</f>
        <v>100</v>
      </c>
      <c r="E195" s="18">
        <f t="shared" si="57"/>
        <v>100</v>
      </c>
      <c r="G195" s="6">
        <v>2011</v>
      </c>
      <c r="H195" s="380">
        <f>(O114/$R114*100*($E114/365))+(O115/$R115*100*($E115/365))</f>
        <v>0</v>
      </c>
      <c r="I195" s="380"/>
      <c r="J195" s="380">
        <f>(P114/$R114*100*($E114/365))+(P115/$R115*100*($E115/365))</f>
        <v>0</v>
      </c>
      <c r="K195" s="380"/>
      <c r="L195" s="380">
        <f>(Q114/$R114*100*($E114/365))+(Q115/$R115*100*($E115/365))</f>
        <v>100</v>
      </c>
      <c r="M195" s="380"/>
      <c r="N195" s="379">
        <f t="shared" si="56"/>
        <v>100</v>
      </c>
      <c r="O195" s="379"/>
      <c r="R195" s="6">
        <v>2011</v>
      </c>
      <c r="S195" s="5">
        <f>(O114*($E114/365))+(O115*($E115/365))</f>
        <v>0</v>
      </c>
      <c r="T195" s="5">
        <f>(P114*($E114/365))+(P115*($E115/365))</f>
        <v>0</v>
      </c>
      <c r="U195" s="5">
        <f>(Q114*($E114/365))+(Q115*($E115/365))</f>
        <v>48</v>
      </c>
      <c r="W195" s="5">
        <f xml:space="preserve"> R114*(E114/365) + R115*(E115/365)</f>
        <v>48</v>
      </c>
    </row>
    <row r="196" spans="1:23" x14ac:dyDescent="0.15">
      <c r="A196" s="14">
        <v>2012</v>
      </c>
      <c r="B196" s="5">
        <f>(K116*($E116/366))+(K117*($E117/366))</f>
        <v>0</v>
      </c>
      <c r="C196" s="5">
        <f>(L116*($E116/366))+(L117*($E117/366))</f>
        <v>0</v>
      </c>
      <c r="D196" s="5">
        <f>(M116*($E116/366))+(M117*($E117/366))</f>
        <v>100</v>
      </c>
      <c r="E196" s="18">
        <f t="shared" si="57"/>
        <v>100</v>
      </c>
      <c r="G196" s="6">
        <v>2012</v>
      </c>
      <c r="H196" s="380">
        <f>(O116/$R116*100*($E116/366))+(O117/$R117*100*($E117/366))</f>
        <v>0</v>
      </c>
      <c r="I196" s="380"/>
      <c r="J196" s="380">
        <f>(P116/$R116*100*($E116/366))+(P117/$R117*100*($E117/366))</f>
        <v>0</v>
      </c>
      <c r="K196" s="380"/>
      <c r="L196" s="380">
        <f>(Q116/$R116*100*($E116/366))+(Q117/$R117*100*($E117/366))</f>
        <v>100</v>
      </c>
      <c r="M196" s="380"/>
      <c r="N196" s="379">
        <f t="shared" si="56"/>
        <v>100</v>
      </c>
      <c r="O196" s="379"/>
      <c r="R196" s="6">
        <v>2012</v>
      </c>
      <c r="S196" s="5">
        <f>(O116*($E116/366))+(O117*($E117/366))</f>
        <v>0</v>
      </c>
      <c r="T196" s="5">
        <f>(P116*($E116/366))+(P117*($E117/366))</f>
        <v>0</v>
      </c>
      <c r="U196" s="5">
        <f>(Q116*($E116/366))+(Q117*($E117/366))</f>
        <v>48</v>
      </c>
      <c r="W196" s="5">
        <f xml:space="preserve"> R116*(E116/366) + R117*(E117/366)</f>
        <v>48</v>
      </c>
    </row>
    <row r="197" spans="1:23" x14ac:dyDescent="0.15">
      <c r="A197" s="14">
        <v>2013</v>
      </c>
      <c r="B197" s="5">
        <f>(K118*($E118/365))+(K119*($E119/365))+(K120*($E120/365))+(K121*($E121/365))</f>
        <v>28.767123287671232</v>
      </c>
      <c r="C197" s="5">
        <f>(L118*($E118/365))+(L119*($E119/365))+(L120*($E120/365))+(L121*($E121/365))</f>
        <v>0</v>
      </c>
      <c r="D197" s="5">
        <f>(M118*($E118/365))+(M119*($E119/365))+(M120*($E120/365))+(M121*($E121/365))</f>
        <v>71.232876712328761</v>
      </c>
      <c r="E197" s="18">
        <f>SUM(B197:D197)</f>
        <v>100</v>
      </c>
      <c r="G197" s="6">
        <v>2013</v>
      </c>
      <c r="H197" s="380">
        <f>(O118/$R118*100*($E118/365))+(O119/$R119*100*($E119/365))+(O120/$R120*100*($E120/365))+(O121/$R121*100*($E121/365))</f>
        <v>28.767123287671232</v>
      </c>
      <c r="I197" s="380"/>
      <c r="J197" s="380">
        <f>(P118/$R118*100*($E118/365))+(P119/$R119*100*($E119/365))+(P120/$R120*100*($E120/365))+(P121/$R121*100*($E121/365))</f>
        <v>0</v>
      </c>
      <c r="K197" s="380"/>
      <c r="L197" s="380">
        <f>(Q118/$R118*100*($E118/365))+(Q119/$R119*100*($E119/365))+(Q120/$R120*100*($E120/365))+(Q121/$R121*100*($E121/365))</f>
        <v>71.232876712328761</v>
      </c>
      <c r="M197" s="380"/>
      <c r="N197" s="379">
        <f t="shared" ref="N197:N201" si="58">SUM(H197:M197)</f>
        <v>100</v>
      </c>
      <c r="O197" s="379"/>
      <c r="R197" s="6">
        <v>2013</v>
      </c>
      <c r="S197" s="5">
        <f>(O118*($E118/365))+(O119*($E119/365))+(O120*($E120/365))+(O121*($E121/365))</f>
        <v>17.260273972602739</v>
      </c>
      <c r="T197" s="5">
        <f>(P118*($E118/365))+(P119*($E119/365))+(P120*($E120/365))+(P121*($E121/365))</f>
        <v>0</v>
      </c>
      <c r="U197" s="5">
        <f>(Q118*($E118/365))+(Q119*($E119/365))+(Q120*($E120/365))+(Q121*($E121/365))</f>
        <v>34.032602739726023</v>
      </c>
      <c r="W197" s="5">
        <f xml:space="preserve"> R118*(E118/365) + R119*(E119/365) + R120*(E120/365) + R121*(E121/365)</f>
        <v>51.292876712328763</v>
      </c>
    </row>
    <row r="198" spans="1:23" x14ac:dyDescent="0.15">
      <c r="A198" s="14">
        <v>2014</v>
      </c>
      <c r="B198" s="5">
        <f>(K122*($E122/365))+(K123*($E123/365))</f>
        <v>100</v>
      </c>
      <c r="C198" s="5">
        <f>(L122*($E122/365))+(L123*($E123/365))</f>
        <v>0</v>
      </c>
      <c r="D198" s="5">
        <f>(M122*($E122/365))+(M123*($E123/365))</f>
        <v>0</v>
      </c>
      <c r="E198" s="18">
        <f>SUM(B198:D198)</f>
        <v>100</v>
      </c>
      <c r="G198" s="6">
        <v>2014</v>
      </c>
      <c r="H198" s="380">
        <f>(O122/$R122*100*($E122/365))+(O123/$R123*100*($E123/365))</f>
        <v>100</v>
      </c>
      <c r="I198" s="380"/>
      <c r="J198" s="380">
        <f>(P122/$R122*100*($E122/365))+(P123/$R123*100*($E123/365))</f>
        <v>0</v>
      </c>
      <c r="K198" s="380"/>
      <c r="L198" s="380">
        <f>(Q122/$R122*100*($E122/365))+(Q123/$R123*100*($E123/365))</f>
        <v>0</v>
      </c>
      <c r="M198" s="380"/>
      <c r="N198" s="379">
        <f t="shared" si="58"/>
        <v>100</v>
      </c>
      <c r="O198" s="379"/>
      <c r="R198" s="6">
        <v>2014</v>
      </c>
      <c r="S198" s="5">
        <f>(O122*($E122/365))+(O123*($E123/365))</f>
        <v>60</v>
      </c>
      <c r="T198" s="5">
        <f>(P122*($E122/365))+(P123*($E123/365))</f>
        <v>0</v>
      </c>
      <c r="U198" s="5">
        <f>(Q122*($E122/365))+(Q123*($E123/365))</f>
        <v>0</v>
      </c>
      <c r="W198" s="5">
        <f xml:space="preserve"> R122*(E122/365) + R123*(E123/365)</f>
        <v>60</v>
      </c>
    </row>
    <row r="199" spans="1:23" x14ac:dyDescent="0.15">
      <c r="A199" s="14">
        <v>2015</v>
      </c>
      <c r="B199" s="5">
        <f>(K124*($E124/365))+(K125*($E125/365))</f>
        <v>100</v>
      </c>
      <c r="C199" s="5">
        <f>(L124*($E124/365))+(L125*($E125/365))</f>
        <v>0</v>
      </c>
      <c r="D199" s="5">
        <f>(M124*($E124/365))+(M125*($E125/365))</f>
        <v>0</v>
      </c>
      <c r="E199" s="18">
        <f>SUM(B199:D199)</f>
        <v>100</v>
      </c>
      <c r="G199" s="6">
        <v>2015</v>
      </c>
      <c r="H199" s="380">
        <f>(O124/$R124*100*($E124/365))+(O125/$R125*100*($E125/365))</f>
        <v>100</v>
      </c>
      <c r="I199" s="380"/>
      <c r="J199" s="380">
        <f>(P124/$R124*100*($E124/365))+(P125/$R125*100*($E125/365))</f>
        <v>0</v>
      </c>
      <c r="K199" s="380"/>
      <c r="L199" s="380">
        <f>(Q124/$R124*100*($E124/365))+(Q125/$R125*100*($E125/365))</f>
        <v>0</v>
      </c>
      <c r="M199" s="380"/>
      <c r="N199" s="379">
        <f t="shared" si="58"/>
        <v>100</v>
      </c>
      <c r="O199" s="379"/>
      <c r="R199" s="6">
        <v>2015</v>
      </c>
      <c r="S199" s="5">
        <f>(O124*($E124/365))+(O125*($E125/365))</f>
        <v>60</v>
      </c>
      <c r="T199" s="5">
        <f>(P124*($E124/365))+(P125*($E125/365))</f>
        <v>0</v>
      </c>
      <c r="U199" s="5">
        <f>(Q124*($E124/365))+(Q125*($E125/365))</f>
        <v>0</v>
      </c>
      <c r="W199" s="5">
        <f xml:space="preserve"> R124*(E124/365) + R125*(E125/365)</f>
        <v>60</v>
      </c>
    </row>
    <row r="200" spans="1:23" x14ac:dyDescent="0.15">
      <c r="A200" s="14">
        <v>2016</v>
      </c>
      <c r="B200" s="5">
        <f>(K126*($E126/366))+(K127*($E127/366))+(K128*($E128/366))</f>
        <v>100</v>
      </c>
      <c r="C200" s="5">
        <f>(L126*($E126/366))+(L127*($E127/366))+(L128*($E128/366))</f>
        <v>0</v>
      </c>
      <c r="D200" s="5">
        <f>(M126*($E126/366))+(M127*($E127/366))+(M128*($E128/366))</f>
        <v>0</v>
      </c>
      <c r="E200" s="18">
        <f>SUM(B200:D200)</f>
        <v>100</v>
      </c>
      <c r="G200" s="6">
        <v>2016</v>
      </c>
      <c r="H200" s="380">
        <f>(O126/$R126*100*($E126/366))+(O127/$R127*100*($E127/366))+(O128/$R128*100*($E128/366))</f>
        <v>100</v>
      </c>
      <c r="I200" s="380"/>
      <c r="J200" s="380">
        <f>(P126/$R126*100*($E126/366))+(P127/$R127*100*($E127/366))+(P128/$R128*100*($E128/366))</f>
        <v>0</v>
      </c>
      <c r="K200" s="380"/>
      <c r="L200" s="380">
        <f>(Q126/$R126*100*($E126/366))+(Q127/$R127*100*($E127/366))+(Q128/$R128*100*($E128/366))</f>
        <v>0</v>
      </c>
      <c r="M200" s="380"/>
      <c r="N200" s="379">
        <f t="shared" si="58"/>
        <v>100</v>
      </c>
      <c r="O200" s="379"/>
      <c r="R200" s="6">
        <v>2016</v>
      </c>
      <c r="S200" s="5">
        <f>(O126*($E126/366))+(O127*($E127/366))+(O128*($E128/366))</f>
        <v>55.781967213114754</v>
      </c>
      <c r="T200" s="5">
        <f>(P126*($E126/366))+(P127*($E127/366))+(P128*($E128/366))</f>
        <v>0</v>
      </c>
      <c r="U200" s="5">
        <f>(Q126*($E126/366))+(Q127*($E127/366))+(Q128*($E128/366))</f>
        <v>0</v>
      </c>
      <c r="W200" s="5">
        <f xml:space="preserve"> R126*(E126/366) + R127*(E127/366)+R128*(E128/366)</f>
        <v>55.781967213114754</v>
      </c>
    </row>
    <row r="201" spans="1:23" x14ac:dyDescent="0.15">
      <c r="A201" s="14">
        <v>2017</v>
      </c>
      <c r="B201" s="5">
        <f>(K129*($E129/365))+(K130*($E130/365))</f>
        <v>100</v>
      </c>
      <c r="C201" s="5">
        <f>(L129*($E129/365))+(L130*($E130/365))</f>
        <v>0</v>
      </c>
      <c r="D201" s="5">
        <f>(M129*($E129/365))+(M130*($E130/365))</f>
        <v>0</v>
      </c>
      <c r="E201" s="18">
        <f>(N129*($E129/365))+(N130*($E130/365))</f>
        <v>100</v>
      </c>
      <c r="G201" s="6">
        <v>2017</v>
      </c>
      <c r="H201" s="380">
        <f>(O129/$R129*100*($E129/365))+(O130/$R130*100*($E130/365))</f>
        <v>100</v>
      </c>
      <c r="I201" s="380"/>
      <c r="J201" s="380">
        <f>(P129/$R129*100*($E129/365))+(P130/$R130*100*($E130/365))</f>
        <v>0</v>
      </c>
      <c r="K201" s="380"/>
      <c r="L201" s="380">
        <f>(Q129/$R129*100*($E129/365))+(Q130/$R130*100*($E130/365))</f>
        <v>0</v>
      </c>
      <c r="M201" s="380"/>
      <c r="N201" s="379">
        <f t="shared" si="58"/>
        <v>100</v>
      </c>
      <c r="O201" s="379"/>
      <c r="R201" s="6">
        <v>2017</v>
      </c>
      <c r="S201" s="5">
        <f>(O129*($E129/365))+(O130*($E130/365))</f>
        <v>50.7</v>
      </c>
      <c r="T201" s="5">
        <f t="shared" ref="T201:U201" si="59">(P129*($E129/365))+(P130*($E130/365))</f>
        <v>0</v>
      </c>
      <c r="U201" s="5">
        <f t="shared" si="59"/>
        <v>0</v>
      </c>
      <c r="W201" s="5">
        <f xml:space="preserve"> R129*(E129/365) + R130*(E130/365)</f>
        <v>50.7</v>
      </c>
    </row>
    <row r="202" spans="1:23" x14ac:dyDescent="0.15">
      <c r="A202" s="14">
        <v>2018</v>
      </c>
      <c r="B202" s="5">
        <f>(K131*($E131/365))+(K132*($E132/365))</f>
        <v>100</v>
      </c>
      <c r="C202" s="5">
        <f>(L131*($E131/365))+(L132*($E132/365))</f>
        <v>0</v>
      </c>
      <c r="D202" s="5">
        <f>(M131*($E131/365))+(M132*($E132/365))</f>
        <v>0</v>
      </c>
      <c r="E202" s="18">
        <f>(N131*($E131/365))+(N132*($E132/365))</f>
        <v>100</v>
      </c>
      <c r="G202" s="6">
        <v>2018</v>
      </c>
      <c r="H202" s="380">
        <f>(O131/$R131*100*($E131/365))+(O132/$R132*100*($E132/365))</f>
        <v>100</v>
      </c>
      <c r="I202" s="380"/>
      <c r="J202" s="380">
        <f>(P131/$R131*100*($E131/365))+(P132/$R132*100*($E132/365))</f>
        <v>0</v>
      </c>
      <c r="K202" s="380"/>
      <c r="L202" s="380">
        <f>(Q131/$R131*100*($E131/365))+(Q132/$R132*100*($E132/365))</f>
        <v>0</v>
      </c>
      <c r="M202" s="380"/>
      <c r="N202" s="379">
        <f>SUM(H202:M202)</f>
        <v>100</v>
      </c>
      <c r="O202" s="379"/>
      <c r="R202" s="6">
        <v>2018</v>
      </c>
      <c r="S202" s="5">
        <f>(O131*($E131/365))+(O132*($E132/365))</f>
        <v>50.7</v>
      </c>
      <c r="T202" s="5">
        <f>(P131*($E131/365))+(P132*($E132/365))</f>
        <v>0</v>
      </c>
      <c r="U202" s="5">
        <f>(Q131*($E131/365))+(Q132*($E132/365))</f>
        <v>0</v>
      </c>
      <c r="W202" s="5">
        <f xml:space="preserve"> R131*(E131/365) + R132*(E132/365)</f>
        <v>50.7</v>
      </c>
    </row>
    <row r="203" spans="1:23" x14ac:dyDescent="0.15">
      <c r="A203" s="14">
        <v>2019</v>
      </c>
      <c r="B203" s="5">
        <f>(K133*($E133/365))+(K134*($E134/365))</f>
        <v>100</v>
      </c>
      <c r="C203" s="5">
        <f>(L133*($E133/365))+(L134*($E134/365))</f>
        <v>0</v>
      </c>
      <c r="D203" s="5">
        <f>(M133*($E133/365))+(M134*($E134/365))</f>
        <v>0</v>
      </c>
      <c r="E203" s="18">
        <f>(N133*($E133/365))+(N134*($E134/365))</f>
        <v>100</v>
      </c>
      <c r="G203" s="6">
        <v>2019</v>
      </c>
      <c r="H203" s="380">
        <f>(O133/$R133*100*($E133/365))+(O134/$R134*100*($E134/365))</f>
        <v>100</v>
      </c>
      <c r="I203" s="380"/>
      <c r="J203" s="380">
        <f>(P133/$R133*100*($E133/365))+(P134/$R134*100*($E134/365))</f>
        <v>0</v>
      </c>
      <c r="K203" s="380"/>
      <c r="L203" s="380">
        <f>(Q133/$R133*100*($E133/365))+(Q134/$R134*100*($E134/365))</f>
        <v>0</v>
      </c>
      <c r="M203" s="380"/>
      <c r="N203" s="379">
        <f>SUM(H203:M203)</f>
        <v>100</v>
      </c>
      <c r="O203" s="379"/>
      <c r="R203" s="6">
        <v>2019</v>
      </c>
      <c r="S203" s="5">
        <f>(O133*($E133/365))+(O134*($E134/365))</f>
        <v>49.927123287671236</v>
      </c>
      <c r="T203" s="5">
        <f>(P133*($E133/365))+(P134*($E134/365))</f>
        <v>0</v>
      </c>
      <c r="U203" s="5">
        <f>(Q133*($E133/365))+(Q134*($E134/365))</f>
        <v>0</v>
      </c>
      <c r="W203" s="5">
        <f xml:space="preserve"> R133*(E133/365) + R134*(E134/365)</f>
        <v>49.927123287671236</v>
      </c>
    </row>
    <row r="204" spans="1:23" x14ac:dyDescent="0.15">
      <c r="A204" s="1">
        <v>2020</v>
      </c>
      <c r="B204" s="5">
        <f>(K135*($E135/366))+(K136*($E136/366))</f>
        <v>100</v>
      </c>
      <c r="C204" s="5">
        <f>(L135*($E135/366))+(L136*($E136/366))</f>
        <v>0</v>
      </c>
      <c r="D204" s="5">
        <f>(M135*($E135/366))+(M136*($E136/366))</f>
        <v>0</v>
      </c>
      <c r="E204" s="18">
        <f>(N135*($E135/366))+(N136*($E136/366))</f>
        <v>100</v>
      </c>
      <c r="G204" s="9">
        <v>2020</v>
      </c>
      <c r="H204" s="380">
        <f>(O135/$R135*100*($E135/366))+(O136/$R136*100*($E136/366))</f>
        <v>100</v>
      </c>
      <c r="I204" s="380"/>
      <c r="J204" s="380">
        <f>(P135/$R135*100*($E135/366))+(P136/$R136*100*($E136/366))</f>
        <v>0</v>
      </c>
      <c r="K204" s="380"/>
      <c r="L204" s="380">
        <f>(Q135/$R135*100*($E135/366))+(Q136/$R136*100*($E136/366))</f>
        <v>0</v>
      </c>
      <c r="M204" s="380"/>
      <c r="N204" s="379">
        <f>SUM(H204:M204)</f>
        <v>100</v>
      </c>
      <c r="O204" s="379"/>
      <c r="R204" s="9">
        <v>2020</v>
      </c>
      <c r="S204" s="5">
        <f>(O135*($E135/366))+(O136*($E136/366))</f>
        <v>49.4</v>
      </c>
      <c r="T204" s="5">
        <f>(P135*($E135/366))+(P136*($E136/366))</f>
        <v>0</v>
      </c>
      <c r="U204" s="5">
        <f>(Q135*($E135/366))+(Q136*($E136/366))</f>
        <v>0</v>
      </c>
      <c r="W204" s="5">
        <f xml:space="preserve"> R135*(E135/366) + R136*(E136/366)</f>
        <v>49.4</v>
      </c>
    </row>
  </sheetData>
  <mergeCells count="405">
    <mergeCell ref="H204:I204"/>
    <mergeCell ref="J204:K204"/>
    <mergeCell ref="L204:M204"/>
    <mergeCell ref="N204:O204"/>
    <mergeCell ref="H203:I203"/>
    <mergeCell ref="J203:K203"/>
    <mergeCell ref="L203:M203"/>
    <mergeCell ref="N203:O203"/>
    <mergeCell ref="H180:I180"/>
    <mergeCell ref="J190:K190"/>
    <mergeCell ref="L193:M193"/>
    <mergeCell ref="L194:M194"/>
    <mergeCell ref="L190:M190"/>
    <mergeCell ref="N180:O180"/>
    <mergeCell ref="N182:O182"/>
    <mergeCell ref="N187:O187"/>
    <mergeCell ref="N188:O188"/>
    <mergeCell ref="N189:O189"/>
    <mergeCell ref="N191:O191"/>
    <mergeCell ref="N190:O190"/>
    <mergeCell ref="N196:O196"/>
    <mergeCell ref="L196:M196"/>
    <mergeCell ref="N198:O198"/>
    <mergeCell ref="N197:O197"/>
    <mergeCell ref="H177:I177"/>
    <mergeCell ref="H178:I178"/>
    <mergeCell ref="H202:I202"/>
    <mergeCell ref="J202:K202"/>
    <mergeCell ref="L202:M202"/>
    <mergeCell ref="N202:O202"/>
    <mergeCell ref="J194:K194"/>
    <mergeCell ref="L186:M186"/>
    <mergeCell ref="L187:M187"/>
    <mergeCell ref="H191:I191"/>
    <mergeCell ref="H192:I192"/>
    <mergeCell ref="H193:I193"/>
    <mergeCell ref="H194:I194"/>
    <mergeCell ref="H195:I195"/>
    <mergeCell ref="H187:I187"/>
    <mergeCell ref="H188:I188"/>
    <mergeCell ref="H189:I189"/>
    <mergeCell ref="H190:I190"/>
    <mergeCell ref="J192:K192"/>
    <mergeCell ref="L191:M191"/>
    <mergeCell ref="J193:K193"/>
    <mergeCell ref="J195:K195"/>
    <mergeCell ref="L188:M188"/>
    <mergeCell ref="L184:M184"/>
    <mergeCell ref="H158:I158"/>
    <mergeCell ref="H159:I159"/>
    <mergeCell ref="H160:I160"/>
    <mergeCell ref="J168:K168"/>
    <mergeCell ref="J191:K191"/>
    <mergeCell ref="J167:K167"/>
    <mergeCell ref="J169:K169"/>
    <mergeCell ref="J170:K170"/>
    <mergeCell ref="J171:K171"/>
    <mergeCell ref="H185:I185"/>
    <mergeCell ref="H186:I186"/>
    <mergeCell ref="J176:K176"/>
    <mergeCell ref="J173:K173"/>
    <mergeCell ref="J174:K174"/>
    <mergeCell ref="J178:K178"/>
    <mergeCell ref="H161:I161"/>
    <mergeCell ref="H182:I182"/>
    <mergeCell ref="H183:I183"/>
    <mergeCell ref="H171:I171"/>
    <mergeCell ref="H172:I172"/>
    <mergeCell ref="H173:I173"/>
    <mergeCell ref="H181:I181"/>
    <mergeCell ref="H179:I179"/>
    <mergeCell ref="H184:I184"/>
    <mergeCell ref="H151:I151"/>
    <mergeCell ref="H148:I148"/>
    <mergeCell ref="H149:I149"/>
    <mergeCell ref="C118:D118"/>
    <mergeCell ref="C119:D119"/>
    <mergeCell ref="C122:D122"/>
    <mergeCell ref="C123:D123"/>
    <mergeCell ref="C120:D120"/>
    <mergeCell ref="C121:D121"/>
    <mergeCell ref="H145:I145"/>
    <mergeCell ref="H146:I146"/>
    <mergeCell ref="H147:I147"/>
    <mergeCell ref="C129:D129"/>
    <mergeCell ref="C126:D126"/>
    <mergeCell ref="C124:D124"/>
    <mergeCell ref="C125:D125"/>
    <mergeCell ref="C128:D128"/>
    <mergeCell ref="C135:D135"/>
    <mergeCell ref="C136:D136"/>
    <mergeCell ref="C117:D117"/>
    <mergeCell ref="C111:D111"/>
    <mergeCell ref="C112:D112"/>
    <mergeCell ref="C113:D113"/>
    <mergeCell ref="C114:D114"/>
    <mergeCell ref="C127:D127"/>
    <mergeCell ref="H176:I176"/>
    <mergeCell ref="C130:D130"/>
    <mergeCell ref="C131:D131"/>
    <mergeCell ref="C132:D132"/>
    <mergeCell ref="C133:D133"/>
    <mergeCell ref="C134:D134"/>
    <mergeCell ref="H152:I152"/>
    <mergeCell ref="H153:I153"/>
    <mergeCell ref="H165:I165"/>
    <mergeCell ref="H166:I166"/>
    <mergeCell ref="H167:I167"/>
    <mergeCell ref="H168:I168"/>
    <mergeCell ref="H169:I169"/>
    <mergeCell ref="H170:I170"/>
    <mergeCell ref="H162:I162"/>
    <mergeCell ref="H157:I157"/>
    <mergeCell ref="H175:I175"/>
    <mergeCell ref="H163:I163"/>
    <mergeCell ref="H164:I164"/>
    <mergeCell ref="H154:I154"/>
    <mergeCell ref="H155:I155"/>
    <mergeCell ref="H156:I156"/>
    <mergeCell ref="H174:I174"/>
    <mergeCell ref="H150:I150"/>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5:D115"/>
    <mergeCell ref="C116:D116"/>
    <mergeCell ref="C103:D103"/>
    <mergeCell ref="C104:D104"/>
    <mergeCell ref="C105:D105"/>
    <mergeCell ref="C106:D106"/>
    <mergeCell ref="C107:D107"/>
    <mergeCell ref="C108:D108"/>
    <mergeCell ref="C109:D109"/>
    <mergeCell ref="C110:D110"/>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O3:Q3"/>
    <mergeCell ref="G3:M3"/>
    <mergeCell ref="C9:D9"/>
    <mergeCell ref="C10:D10"/>
    <mergeCell ref="A4:A5"/>
    <mergeCell ref="B4:B5"/>
    <mergeCell ref="C4:D5"/>
    <mergeCell ref="E4:E5"/>
    <mergeCell ref="F4:F5"/>
    <mergeCell ref="G4:J4"/>
    <mergeCell ref="R140:W140"/>
    <mergeCell ref="H142:I142"/>
    <mergeCell ref="J142:K142"/>
    <mergeCell ref="L142:M142"/>
    <mergeCell ref="N142:O142"/>
    <mergeCell ref="H144:I144"/>
    <mergeCell ref="J144:K144"/>
    <mergeCell ref="L144:M144"/>
    <mergeCell ref="H143:I143"/>
    <mergeCell ref="J143:K143"/>
    <mergeCell ref="N143:O143"/>
    <mergeCell ref="L143:M143"/>
    <mergeCell ref="N144:O144"/>
    <mergeCell ref="J145:K145"/>
    <mergeCell ref="J146:K146"/>
    <mergeCell ref="J147:K147"/>
    <mergeCell ref="J148:K148"/>
    <mergeCell ref="J149:K149"/>
    <mergeCell ref="J150:K150"/>
    <mergeCell ref="L145:M145"/>
    <mergeCell ref="L146:M146"/>
    <mergeCell ref="L147:M147"/>
    <mergeCell ref="L148:M148"/>
    <mergeCell ref="L149:M149"/>
    <mergeCell ref="L178:M178"/>
    <mergeCell ref="L185:M185"/>
    <mergeCell ref="N195:O195"/>
    <mergeCell ref="N179:O179"/>
    <mergeCell ref="J151:K151"/>
    <mergeCell ref="J152:K152"/>
    <mergeCell ref="J153:K153"/>
    <mergeCell ref="J154:K154"/>
    <mergeCell ref="L150:M150"/>
    <mergeCell ref="L151:M151"/>
    <mergeCell ref="L163:M163"/>
    <mergeCell ref="L164:M164"/>
    <mergeCell ref="J155:K155"/>
    <mergeCell ref="J161:K161"/>
    <mergeCell ref="J162:K162"/>
    <mergeCell ref="J163:K163"/>
    <mergeCell ref="J164:K164"/>
    <mergeCell ref="J159:K159"/>
    <mergeCell ref="J160:K160"/>
    <mergeCell ref="J172:K172"/>
    <mergeCell ref="N194:O194"/>
    <mergeCell ref="L195:M195"/>
    <mergeCell ref="L192:M192"/>
    <mergeCell ref="J188:K188"/>
    <mergeCell ref="L179:M179"/>
    <mergeCell ref="L181:M181"/>
    <mergeCell ref="L182:M182"/>
    <mergeCell ref="L183:M183"/>
    <mergeCell ref="J179:K179"/>
    <mergeCell ref="J180:K180"/>
    <mergeCell ref="J181:K181"/>
    <mergeCell ref="J182:K182"/>
    <mergeCell ref="J189:K189"/>
    <mergeCell ref="J183:K183"/>
    <mergeCell ref="J184:K184"/>
    <mergeCell ref="J185:K185"/>
    <mergeCell ref="J186:K186"/>
    <mergeCell ref="J187:K187"/>
    <mergeCell ref="L180:M180"/>
    <mergeCell ref="N152:O152"/>
    <mergeCell ref="N155:O155"/>
    <mergeCell ref="N156:O156"/>
    <mergeCell ref="N163:O163"/>
    <mergeCell ref="N149:O149"/>
    <mergeCell ref="N164:O164"/>
    <mergeCell ref="N177:O177"/>
    <mergeCell ref="N165:O165"/>
    <mergeCell ref="L174:M174"/>
    <mergeCell ref="L175:M175"/>
    <mergeCell ref="L176:M176"/>
    <mergeCell ref="L157:M157"/>
    <mergeCell ref="L166:M166"/>
    <mergeCell ref="L167:M167"/>
    <mergeCell ref="L168:M168"/>
    <mergeCell ref="N158:O158"/>
    <mergeCell ref="N146:O146"/>
    <mergeCell ref="N147:O147"/>
    <mergeCell ref="N148:O148"/>
    <mergeCell ref="L165:M165"/>
    <mergeCell ref="J177:K177"/>
    <mergeCell ref="J165:K165"/>
    <mergeCell ref="J166:K166"/>
    <mergeCell ref="N159:O159"/>
    <mergeCell ref="N160:O160"/>
    <mergeCell ref="N161:O161"/>
    <mergeCell ref="N162:O162"/>
    <mergeCell ref="J157:K157"/>
    <mergeCell ref="J158:K158"/>
    <mergeCell ref="J156:K156"/>
    <mergeCell ref="L152:M152"/>
    <mergeCell ref="L153:M153"/>
    <mergeCell ref="L154:M154"/>
    <mergeCell ref="L155:M155"/>
    <mergeCell ref="L156:M156"/>
    <mergeCell ref="N150:O150"/>
    <mergeCell ref="N176:O176"/>
    <mergeCell ref="L169:M169"/>
    <mergeCell ref="J175:K175"/>
    <mergeCell ref="L177:M177"/>
    <mergeCell ref="AT4:AW4"/>
    <mergeCell ref="AX4:BA4"/>
    <mergeCell ref="N184:O184"/>
    <mergeCell ref="N193:O193"/>
    <mergeCell ref="L158:M158"/>
    <mergeCell ref="L159:M159"/>
    <mergeCell ref="L160:M160"/>
    <mergeCell ref="L161:M161"/>
    <mergeCell ref="L162:M162"/>
    <mergeCell ref="N151:O151"/>
    <mergeCell ref="L170:M170"/>
    <mergeCell ref="L171:M171"/>
    <mergeCell ref="L172:M172"/>
    <mergeCell ref="L173:M173"/>
    <mergeCell ref="L189:M189"/>
    <mergeCell ref="N157:O157"/>
    <mergeCell ref="N183:O183"/>
    <mergeCell ref="N172:O172"/>
    <mergeCell ref="N173:O173"/>
    <mergeCell ref="N153:O153"/>
    <mergeCell ref="N154:O154"/>
    <mergeCell ref="N192:O192"/>
    <mergeCell ref="N145:O145"/>
    <mergeCell ref="N175:O175"/>
    <mergeCell ref="N178:O178"/>
    <mergeCell ref="N166:O166"/>
    <mergeCell ref="N167:O167"/>
    <mergeCell ref="N168:O168"/>
    <mergeCell ref="N169:O169"/>
    <mergeCell ref="N170:O170"/>
    <mergeCell ref="N171:O171"/>
    <mergeCell ref="N185:O185"/>
    <mergeCell ref="N186:O186"/>
    <mergeCell ref="N174:O174"/>
    <mergeCell ref="N181:O181"/>
    <mergeCell ref="H197:I197"/>
    <mergeCell ref="J197:K197"/>
    <mergeCell ref="L197:M197"/>
    <mergeCell ref="H198:I198"/>
    <mergeCell ref="J198:K198"/>
    <mergeCell ref="L198:M198"/>
    <mergeCell ref="H196:I196"/>
    <mergeCell ref="J196:K196"/>
    <mergeCell ref="H201:I201"/>
    <mergeCell ref="J201:K201"/>
    <mergeCell ref="L201:M201"/>
    <mergeCell ref="N201:O201"/>
    <mergeCell ref="H199:I199"/>
    <mergeCell ref="H200:I200"/>
    <mergeCell ref="J200:K200"/>
    <mergeCell ref="L200:M200"/>
    <mergeCell ref="N200:O200"/>
    <mergeCell ref="J199:K199"/>
    <mergeCell ref="L199:M199"/>
    <mergeCell ref="N199:O19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A199"/>
  <sheetViews>
    <sheetView zoomScale="125" zoomScaleNormal="140" workbookViewId="0">
      <pane xSplit="1" ySplit="5" topLeftCell="B56" activePane="bottomRight" state="frozen"/>
      <selection pane="topRight" activeCell="B1" sqref="B1"/>
      <selection pane="bottomLeft" activeCell="A5" sqref="A5"/>
      <selection pane="bottomRight" activeCell="B2" sqref="B2"/>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15</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7" t="s">
        <v>23</v>
      </c>
      <c r="AU5" s="186" t="s">
        <v>24</v>
      </c>
      <c r="AV5" s="186" t="s">
        <v>25</v>
      </c>
      <c r="AW5" s="188" t="s">
        <v>1197</v>
      </c>
      <c r="AX5" s="186" t="s">
        <v>23</v>
      </c>
      <c r="AY5" s="186" t="s">
        <v>24</v>
      </c>
      <c r="AZ5" s="186" t="s">
        <v>25</v>
      </c>
      <c r="BA5" s="189" t="s">
        <v>1197</v>
      </c>
    </row>
    <row r="6" spans="1:53" s="140" customFormat="1" x14ac:dyDescent="0.15">
      <c r="A6" s="146">
        <v>1959</v>
      </c>
      <c r="B6" s="147"/>
      <c r="C6" s="416" t="s">
        <v>1226</v>
      </c>
      <c r="D6" s="416"/>
      <c r="E6" s="140">
        <v>196</v>
      </c>
      <c r="G6" s="148"/>
      <c r="H6" s="140">
        <v>7</v>
      </c>
      <c r="I6" s="140">
        <v>5</v>
      </c>
      <c r="J6" s="149">
        <v>12</v>
      </c>
      <c r="K6" s="133">
        <f>G6/J6*100</f>
        <v>0</v>
      </c>
      <c r="L6" s="134">
        <f>H6/J6*100</f>
        <v>58.333333333333336</v>
      </c>
      <c r="M6" s="134">
        <f>I6/J6*100</f>
        <v>41.666666666666671</v>
      </c>
      <c r="N6" s="135">
        <f>K6+L6+M6</f>
        <v>100</v>
      </c>
      <c r="O6" s="134"/>
      <c r="P6" s="134">
        <v>49.7</v>
      </c>
      <c r="Q6" s="134">
        <v>44.8</v>
      </c>
      <c r="R6" s="150">
        <f>P6+Q6</f>
        <v>94.5</v>
      </c>
      <c r="S6" s="151">
        <v>2</v>
      </c>
      <c r="T6" s="138"/>
      <c r="U6" s="152"/>
      <c r="V6" s="140" t="s">
        <v>16</v>
      </c>
      <c r="W6" s="140" t="s">
        <v>17</v>
      </c>
      <c r="X6" s="140" t="s">
        <v>18</v>
      </c>
      <c r="Y6" s="140">
        <v>49.7</v>
      </c>
      <c r="Z6" s="139" t="s">
        <v>19</v>
      </c>
      <c r="AA6" s="140" t="s">
        <v>20</v>
      </c>
      <c r="AB6" s="140" t="s">
        <v>12</v>
      </c>
      <c r="AC6" s="141">
        <v>44.8</v>
      </c>
      <c r="AD6" s="139"/>
      <c r="AG6" s="141"/>
      <c r="AL6" s="139"/>
      <c r="AO6" s="141"/>
      <c r="AS6" s="166"/>
      <c r="AW6" s="166"/>
      <c r="BA6" s="142"/>
    </row>
    <row r="7" spans="1:53" s="140" customFormat="1" x14ac:dyDescent="0.15">
      <c r="A7" s="146">
        <v>1959</v>
      </c>
      <c r="B7" s="289">
        <v>21747</v>
      </c>
      <c r="C7" s="416" t="s">
        <v>28</v>
      </c>
      <c r="D7" s="416"/>
      <c r="E7" s="140">
        <f xml:space="preserve"> 365-E6</f>
        <v>169</v>
      </c>
      <c r="F7" s="140">
        <v>1</v>
      </c>
      <c r="G7" s="148"/>
      <c r="H7" s="140">
        <v>6</v>
      </c>
      <c r="I7" s="140">
        <v>6</v>
      </c>
      <c r="J7" s="149">
        <v>12</v>
      </c>
      <c r="K7" s="133">
        <f>G7/J7*100</f>
        <v>0</v>
      </c>
      <c r="L7" s="134">
        <f>H7/J7*100</f>
        <v>50</v>
      </c>
      <c r="M7" s="134">
        <f>I7/J7*100</f>
        <v>50</v>
      </c>
      <c r="N7" s="135">
        <f>SUM(K7:M7)</f>
        <v>100</v>
      </c>
      <c r="O7" s="134"/>
      <c r="P7" s="134">
        <v>47.9</v>
      </c>
      <c r="Q7" s="134">
        <v>47.3</v>
      </c>
      <c r="R7" s="150">
        <f>SUM(O7:Q7)</f>
        <v>95.199999999999989</v>
      </c>
      <c r="S7" s="151">
        <v>2</v>
      </c>
      <c r="T7" s="296">
        <v>21680</v>
      </c>
      <c r="U7" s="297">
        <v>21747</v>
      </c>
      <c r="V7" s="140" t="s">
        <v>16</v>
      </c>
      <c r="W7" s="140" t="s">
        <v>17</v>
      </c>
      <c r="X7" s="140" t="s">
        <v>18</v>
      </c>
      <c r="Y7" s="140">
        <v>47.9</v>
      </c>
      <c r="Z7" s="139" t="s">
        <v>19</v>
      </c>
      <c r="AA7" s="140" t="s">
        <v>20</v>
      </c>
      <c r="AB7" s="140" t="s">
        <v>12</v>
      </c>
      <c r="AC7" s="141">
        <v>47.3</v>
      </c>
      <c r="AD7" s="139"/>
      <c r="AG7" s="141"/>
      <c r="AL7" s="139"/>
      <c r="AO7" s="141"/>
      <c r="AS7" s="141"/>
      <c r="AW7" s="141"/>
      <c r="BA7" s="142"/>
    </row>
    <row r="8" spans="1:53" s="29" customFormat="1" x14ac:dyDescent="0.15">
      <c r="A8" s="52">
        <v>1960</v>
      </c>
      <c r="B8" s="279"/>
      <c r="C8" s="411" t="s">
        <v>28</v>
      </c>
      <c r="D8" s="411"/>
      <c r="E8" s="29">
        <v>308</v>
      </c>
      <c r="G8" s="66"/>
      <c r="H8" s="29">
        <v>6</v>
      </c>
      <c r="I8" s="29">
        <v>6</v>
      </c>
      <c r="J8" s="67">
        <v>12</v>
      </c>
      <c r="K8" s="46">
        <f>G8/J8*100</f>
        <v>0</v>
      </c>
      <c r="L8" s="47">
        <f>H8/J8*100</f>
        <v>50</v>
      </c>
      <c r="M8" s="47">
        <f>I8/J8*100</f>
        <v>50</v>
      </c>
      <c r="N8" s="48">
        <f>SUM(K8:M8)</f>
        <v>100</v>
      </c>
      <c r="O8" s="47"/>
      <c r="P8" s="47">
        <v>47.9</v>
      </c>
      <c r="Q8" s="47">
        <v>47.3</v>
      </c>
      <c r="R8" s="68">
        <f>SUM(O8:Q8)</f>
        <v>95.199999999999989</v>
      </c>
      <c r="S8" s="69">
        <v>2</v>
      </c>
      <c r="T8" s="295"/>
      <c r="U8" s="292"/>
      <c r="V8" s="29" t="s">
        <v>16</v>
      </c>
      <c r="W8" s="29" t="s">
        <v>17</v>
      </c>
      <c r="X8" s="29" t="s">
        <v>18</v>
      </c>
      <c r="Y8" s="29">
        <v>47.9</v>
      </c>
      <c r="Z8" s="38" t="s">
        <v>19</v>
      </c>
      <c r="AA8" s="29" t="s">
        <v>20</v>
      </c>
      <c r="AB8" s="29" t="s">
        <v>12</v>
      </c>
      <c r="AC8" s="39">
        <v>47.3</v>
      </c>
      <c r="AD8" s="38"/>
      <c r="AG8" s="39"/>
      <c r="AL8" s="38"/>
      <c r="AO8" s="39"/>
      <c r="AS8" s="39"/>
      <c r="AW8" s="39"/>
      <c r="BA8" s="40"/>
    </row>
    <row r="9" spans="1:53" s="29" customFormat="1" x14ac:dyDescent="0.15">
      <c r="A9" s="52">
        <v>1960</v>
      </c>
      <c r="B9" s="290">
        <v>22224</v>
      </c>
      <c r="C9" s="411" t="s">
        <v>28</v>
      </c>
      <c r="D9" s="411"/>
      <c r="E9" s="29">
        <v>58</v>
      </c>
      <c r="F9" s="70">
        <v>0</v>
      </c>
      <c r="G9" s="66"/>
      <c r="H9" s="29">
        <v>6</v>
      </c>
      <c r="I9" s="29">
        <v>6</v>
      </c>
      <c r="J9" s="67">
        <v>12</v>
      </c>
      <c r="K9" s="46">
        <f t="shared" ref="K9:K15" si="0">G9/J9*100</f>
        <v>0</v>
      </c>
      <c r="L9" s="47">
        <f t="shared" ref="L9:L15" si="1">H9/J9*100</f>
        <v>50</v>
      </c>
      <c r="M9" s="47">
        <f t="shared" ref="M9:M15" si="2">I9/J9*100</f>
        <v>50</v>
      </c>
      <c r="N9" s="48">
        <f t="shared" ref="N9:N72" si="3">SUM(K9:M9)</f>
        <v>100</v>
      </c>
      <c r="O9" s="47"/>
      <c r="P9" s="47">
        <v>47.9</v>
      </c>
      <c r="Q9" s="47">
        <v>47.3</v>
      </c>
      <c r="R9" s="68">
        <f t="shared" ref="R9:R72" si="4">SUM(O9:Q9)</f>
        <v>95.199999999999989</v>
      </c>
      <c r="S9" s="69">
        <v>2</v>
      </c>
      <c r="T9" s="295"/>
      <c r="U9" s="292"/>
      <c r="V9" s="29" t="s">
        <v>16</v>
      </c>
      <c r="W9" s="29" t="s">
        <v>17</v>
      </c>
      <c r="X9" s="29" t="s">
        <v>18</v>
      </c>
      <c r="Y9" s="29">
        <v>47.9</v>
      </c>
      <c r="Z9" s="38" t="s">
        <v>19</v>
      </c>
      <c r="AA9" s="29" t="s">
        <v>20</v>
      </c>
      <c r="AB9" s="29" t="s">
        <v>12</v>
      </c>
      <c r="AC9" s="39">
        <v>47.3</v>
      </c>
      <c r="AD9" s="38"/>
      <c r="AG9" s="39"/>
      <c r="AL9" s="38"/>
      <c r="AO9" s="39"/>
      <c r="AS9" s="39"/>
      <c r="AW9" s="39"/>
      <c r="BA9" s="40"/>
    </row>
    <row r="10" spans="1:53" s="29" customFormat="1" x14ac:dyDescent="0.15">
      <c r="A10" s="52">
        <v>1961</v>
      </c>
      <c r="B10" s="279"/>
      <c r="C10" s="411" t="s">
        <v>28</v>
      </c>
      <c r="D10" s="411"/>
      <c r="E10" s="29">
        <v>101</v>
      </c>
      <c r="F10" s="40"/>
      <c r="G10" s="66"/>
      <c r="H10" s="29">
        <v>6</v>
      </c>
      <c r="I10" s="29">
        <v>6</v>
      </c>
      <c r="J10" s="71">
        <v>12</v>
      </c>
      <c r="K10" s="46">
        <f t="shared" si="0"/>
        <v>0</v>
      </c>
      <c r="L10" s="47">
        <f t="shared" si="1"/>
        <v>50</v>
      </c>
      <c r="M10" s="47">
        <f t="shared" si="2"/>
        <v>50</v>
      </c>
      <c r="N10" s="48">
        <f t="shared" si="3"/>
        <v>100</v>
      </c>
      <c r="O10" s="47"/>
      <c r="P10" s="47">
        <v>47.9</v>
      </c>
      <c r="Q10" s="47">
        <v>47.3</v>
      </c>
      <c r="R10" s="68">
        <f t="shared" si="4"/>
        <v>95.199999999999989</v>
      </c>
      <c r="S10" s="69">
        <v>2</v>
      </c>
      <c r="T10" s="295"/>
      <c r="U10" s="292"/>
      <c r="V10" s="29" t="s">
        <v>16</v>
      </c>
      <c r="W10" s="29" t="s">
        <v>17</v>
      </c>
      <c r="X10" s="29" t="s">
        <v>18</v>
      </c>
      <c r="Y10" s="29">
        <v>47.9</v>
      </c>
      <c r="Z10" s="38" t="s">
        <v>19</v>
      </c>
      <c r="AA10" s="29" t="s">
        <v>20</v>
      </c>
      <c r="AB10" s="29" t="s">
        <v>12</v>
      </c>
      <c r="AC10" s="39">
        <v>47.3</v>
      </c>
      <c r="AD10" s="38"/>
      <c r="AG10" s="39"/>
      <c r="AL10" s="38"/>
      <c r="AO10" s="39"/>
      <c r="AS10" s="39"/>
      <c r="AW10" s="39"/>
      <c r="BA10" s="40"/>
    </row>
    <row r="11" spans="1:53" s="171" customFormat="1" x14ac:dyDescent="0.15">
      <c r="A11" s="216">
        <v>1961</v>
      </c>
      <c r="B11" s="278">
        <v>22383</v>
      </c>
      <c r="C11" s="410" t="s">
        <v>29</v>
      </c>
      <c r="D11" s="410"/>
      <c r="E11" s="171">
        <v>264</v>
      </c>
      <c r="F11" s="180">
        <v>3</v>
      </c>
      <c r="G11" s="233"/>
      <c r="H11" s="171">
        <v>6</v>
      </c>
      <c r="I11" s="171">
        <v>6</v>
      </c>
      <c r="J11" s="234">
        <v>12</v>
      </c>
      <c r="K11" s="213">
        <f t="shared" si="0"/>
        <v>0</v>
      </c>
      <c r="L11" s="214">
        <f t="shared" si="1"/>
        <v>50</v>
      </c>
      <c r="M11" s="214">
        <f t="shared" si="2"/>
        <v>50</v>
      </c>
      <c r="N11" s="215">
        <f t="shared" si="3"/>
        <v>100</v>
      </c>
      <c r="O11" s="214"/>
      <c r="P11" s="214">
        <v>47.9</v>
      </c>
      <c r="Q11" s="214">
        <v>47.3</v>
      </c>
      <c r="R11" s="235">
        <f t="shared" si="4"/>
        <v>95.199999999999989</v>
      </c>
      <c r="S11" s="220">
        <v>2</v>
      </c>
      <c r="T11" s="283"/>
      <c r="U11" s="298">
        <v>22383</v>
      </c>
      <c r="V11" s="171" t="s">
        <v>16</v>
      </c>
      <c r="W11" s="171" t="s">
        <v>17</v>
      </c>
      <c r="X11" s="171" t="s">
        <v>18</v>
      </c>
      <c r="Y11" s="171">
        <v>47.9</v>
      </c>
      <c r="Z11" s="178" t="s">
        <v>19</v>
      </c>
      <c r="AA11" s="171" t="s">
        <v>20</v>
      </c>
      <c r="AB11" s="171" t="s">
        <v>12</v>
      </c>
      <c r="AC11" s="179">
        <v>47.3</v>
      </c>
      <c r="AD11" s="178"/>
      <c r="AG11" s="179"/>
      <c r="AL11" s="178"/>
      <c r="AO11" s="179"/>
      <c r="AS11" s="179"/>
      <c r="AW11" s="179"/>
      <c r="BA11" s="180"/>
    </row>
    <row r="12" spans="1:53" s="171" customFormat="1" x14ac:dyDescent="0.15">
      <c r="A12" s="216">
        <v>1962</v>
      </c>
      <c r="B12" s="278"/>
      <c r="C12" s="410" t="s">
        <v>29</v>
      </c>
      <c r="D12" s="410"/>
      <c r="E12" s="171">
        <v>0</v>
      </c>
      <c r="F12" s="180"/>
      <c r="G12" s="233"/>
      <c r="H12" s="171">
        <v>6</v>
      </c>
      <c r="I12" s="171">
        <v>6</v>
      </c>
      <c r="J12" s="234">
        <v>12</v>
      </c>
      <c r="K12" s="213">
        <f t="shared" si="0"/>
        <v>0</v>
      </c>
      <c r="L12" s="214">
        <f t="shared" si="1"/>
        <v>50</v>
      </c>
      <c r="M12" s="214">
        <f t="shared" si="2"/>
        <v>50</v>
      </c>
      <c r="N12" s="215">
        <f t="shared" si="3"/>
        <v>100</v>
      </c>
      <c r="O12" s="214"/>
      <c r="P12" s="214">
        <v>47.9</v>
      </c>
      <c r="Q12" s="214">
        <v>47.3</v>
      </c>
      <c r="R12" s="235">
        <f t="shared" si="4"/>
        <v>95.199999999999989</v>
      </c>
      <c r="S12" s="220">
        <v>2</v>
      </c>
      <c r="T12" s="283"/>
      <c r="U12" s="298"/>
      <c r="V12" s="171" t="s">
        <v>16</v>
      </c>
      <c r="W12" s="171" t="s">
        <v>17</v>
      </c>
      <c r="X12" s="171" t="s">
        <v>18</v>
      </c>
      <c r="Y12" s="171">
        <v>47.9</v>
      </c>
      <c r="Z12" s="178" t="s">
        <v>19</v>
      </c>
      <c r="AA12" s="171" t="s">
        <v>20</v>
      </c>
      <c r="AB12" s="171" t="s">
        <v>12</v>
      </c>
      <c r="AC12" s="179">
        <v>47.3</v>
      </c>
      <c r="AD12" s="178"/>
      <c r="AG12" s="179"/>
      <c r="AL12" s="178"/>
      <c r="AO12" s="179"/>
      <c r="AS12" s="179"/>
      <c r="AW12" s="179"/>
      <c r="BA12" s="180"/>
    </row>
    <row r="13" spans="1:53" s="171" customFormat="1" x14ac:dyDescent="0.15">
      <c r="A13" s="216">
        <v>1962</v>
      </c>
      <c r="B13" s="278"/>
      <c r="C13" s="410" t="s">
        <v>29</v>
      </c>
      <c r="D13" s="410"/>
      <c r="E13" s="171">
        <v>365</v>
      </c>
      <c r="F13" s="180"/>
      <c r="G13" s="233"/>
      <c r="H13" s="171">
        <v>6</v>
      </c>
      <c r="I13" s="171">
        <v>6</v>
      </c>
      <c r="J13" s="234">
        <v>12</v>
      </c>
      <c r="K13" s="213">
        <f t="shared" si="0"/>
        <v>0</v>
      </c>
      <c r="L13" s="214">
        <f t="shared" si="1"/>
        <v>50</v>
      </c>
      <c r="M13" s="214">
        <f t="shared" si="2"/>
        <v>50</v>
      </c>
      <c r="N13" s="215">
        <f t="shared" si="3"/>
        <v>100</v>
      </c>
      <c r="O13" s="214"/>
      <c r="P13" s="214">
        <v>47.9</v>
      </c>
      <c r="Q13" s="214">
        <v>47.3</v>
      </c>
      <c r="R13" s="235">
        <f t="shared" si="4"/>
        <v>95.199999999999989</v>
      </c>
      <c r="S13" s="220">
        <v>2</v>
      </c>
      <c r="T13" s="283">
        <v>22968</v>
      </c>
      <c r="U13" s="298"/>
      <c r="V13" s="171" t="s">
        <v>16</v>
      </c>
      <c r="W13" s="171" t="s">
        <v>17</v>
      </c>
      <c r="X13" s="171" t="s">
        <v>18</v>
      </c>
      <c r="Y13" s="171">
        <v>47.9</v>
      </c>
      <c r="Z13" s="178" t="s">
        <v>19</v>
      </c>
      <c r="AA13" s="171" t="s">
        <v>20</v>
      </c>
      <c r="AB13" s="171" t="s">
        <v>12</v>
      </c>
      <c r="AC13" s="179">
        <v>47.3</v>
      </c>
      <c r="AD13" s="178"/>
      <c r="AG13" s="179"/>
      <c r="AL13" s="178"/>
      <c r="AO13" s="179"/>
      <c r="AS13" s="179"/>
      <c r="AW13" s="179"/>
      <c r="BA13" s="180"/>
    </row>
    <row r="14" spans="1:53" s="171" customFormat="1" x14ac:dyDescent="0.15">
      <c r="A14" s="216">
        <v>1962.6</v>
      </c>
      <c r="B14" s="278"/>
      <c r="C14" s="410" t="s">
        <v>29</v>
      </c>
      <c r="D14" s="410"/>
      <c r="E14" s="171">
        <v>82</v>
      </c>
      <c r="F14" s="180"/>
      <c r="G14" s="233"/>
      <c r="H14" s="171">
        <v>6</v>
      </c>
      <c r="I14" s="171">
        <v>6</v>
      </c>
      <c r="J14" s="234">
        <v>12</v>
      </c>
      <c r="K14" s="213">
        <f t="shared" si="0"/>
        <v>0</v>
      </c>
      <c r="L14" s="214">
        <f t="shared" si="1"/>
        <v>50</v>
      </c>
      <c r="M14" s="214">
        <f t="shared" si="2"/>
        <v>50</v>
      </c>
      <c r="N14" s="215">
        <f t="shared" si="3"/>
        <v>100</v>
      </c>
      <c r="O14" s="214"/>
      <c r="P14" s="214">
        <v>47.9</v>
      </c>
      <c r="Q14" s="214">
        <v>47.3</v>
      </c>
      <c r="R14" s="235">
        <f t="shared" si="4"/>
        <v>95.199999999999989</v>
      </c>
      <c r="S14" s="220">
        <v>2</v>
      </c>
      <c r="T14" s="283"/>
      <c r="U14" s="298"/>
      <c r="V14" s="171" t="s">
        <v>16</v>
      </c>
      <c r="W14" s="171" t="s">
        <v>17</v>
      </c>
      <c r="X14" s="171" t="s">
        <v>18</v>
      </c>
      <c r="Y14" s="171">
        <v>47.9</v>
      </c>
      <c r="Z14" s="178" t="s">
        <v>19</v>
      </c>
      <c r="AA14" s="171" t="s">
        <v>20</v>
      </c>
      <c r="AB14" s="171" t="s">
        <v>12</v>
      </c>
      <c r="AC14" s="179">
        <v>47.3</v>
      </c>
      <c r="AD14" s="178"/>
      <c r="AG14" s="179"/>
      <c r="AL14" s="178"/>
      <c r="AO14" s="179"/>
      <c r="AS14" s="179"/>
      <c r="AW14" s="179"/>
      <c r="BA14" s="180"/>
    </row>
    <row r="15" spans="1:53" s="29" customFormat="1" x14ac:dyDescent="0.15">
      <c r="A15" s="52">
        <v>1963.05714285714</v>
      </c>
      <c r="B15" s="279">
        <v>23094</v>
      </c>
      <c r="C15" s="411" t="s">
        <v>30</v>
      </c>
      <c r="D15" s="411"/>
      <c r="E15" s="29">
        <v>283</v>
      </c>
      <c r="F15" s="40">
        <v>1</v>
      </c>
      <c r="G15" s="66"/>
      <c r="H15" s="29">
        <v>6</v>
      </c>
      <c r="I15" s="29">
        <v>6</v>
      </c>
      <c r="J15" s="71">
        <v>12</v>
      </c>
      <c r="K15" s="46">
        <f t="shared" si="0"/>
        <v>0</v>
      </c>
      <c r="L15" s="47">
        <f t="shared" si="1"/>
        <v>50</v>
      </c>
      <c r="M15" s="47">
        <f t="shared" si="2"/>
        <v>50</v>
      </c>
      <c r="N15" s="48">
        <f t="shared" si="3"/>
        <v>100</v>
      </c>
      <c r="O15" s="47"/>
      <c r="P15" s="47">
        <v>49.1</v>
      </c>
      <c r="Q15" s="47">
        <v>46.1</v>
      </c>
      <c r="R15" s="68">
        <f t="shared" si="4"/>
        <v>95.2</v>
      </c>
      <c r="S15" s="69">
        <v>2</v>
      </c>
      <c r="T15" s="295"/>
      <c r="U15" s="292">
        <v>23094</v>
      </c>
      <c r="V15" s="29" t="s">
        <v>16</v>
      </c>
      <c r="W15" s="29" t="s">
        <v>17</v>
      </c>
      <c r="X15" s="29" t="s">
        <v>18</v>
      </c>
      <c r="Y15" s="29">
        <v>49.1</v>
      </c>
      <c r="Z15" s="38" t="s">
        <v>19</v>
      </c>
      <c r="AA15" s="29" t="s">
        <v>20</v>
      </c>
      <c r="AB15" s="29" t="s">
        <v>12</v>
      </c>
      <c r="AC15" s="39">
        <v>46.1</v>
      </c>
      <c r="AD15" s="38"/>
      <c r="AG15" s="39"/>
      <c r="AL15" s="38"/>
      <c r="AO15" s="39"/>
      <c r="AS15" s="39"/>
      <c r="AW15" s="39"/>
      <c r="BA15" s="40"/>
    </row>
    <row r="16" spans="1:53" s="29" customFormat="1" x14ac:dyDescent="0.15">
      <c r="A16" s="52">
        <v>1963.5142857142901</v>
      </c>
      <c r="B16" s="279"/>
      <c r="C16" s="411" t="s">
        <v>30</v>
      </c>
      <c r="D16" s="411"/>
      <c r="E16" s="29">
        <v>93</v>
      </c>
      <c r="F16" s="40"/>
      <c r="G16" s="66"/>
      <c r="H16" s="29">
        <v>6</v>
      </c>
      <c r="I16" s="29">
        <v>6</v>
      </c>
      <c r="J16" s="71">
        <v>12</v>
      </c>
      <c r="K16" s="46">
        <f>G16/J16*100</f>
        <v>0</v>
      </c>
      <c r="L16" s="47">
        <f>H16/J16*100</f>
        <v>50</v>
      </c>
      <c r="M16" s="47">
        <f>I16/J16*100</f>
        <v>50</v>
      </c>
      <c r="N16" s="48">
        <f t="shared" si="3"/>
        <v>100</v>
      </c>
      <c r="O16" s="47"/>
      <c r="P16" s="47">
        <v>49.1</v>
      </c>
      <c r="Q16" s="47">
        <v>46.1</v>
      </c>
      <c r="R16" s="68">
        <f t="shared" si="4"/>
        <v>95.2</v>
      </c>
      <c r="S16" s="69">
        <v>2</v>
      </c>
      <c r="T16" s="295"/>
      <c r="U16" s="292"/>
      <c r="V16" s="29" t="s">
        <v>16</v>
      </c>
      <c r="W16" s="29" t="s">
        <v>17</v>
      </c>
      <c r="X16" s="29" t="s">
        <v>18</v>
      </c>
      <c r="Y16" s="29">
        <v>49.1</v>
      </c>
      <c r="Z16" s="38" t="s">
        <v>19</v>
      </c>
      <c r="AA16" s="29" t="s">
        <v>20</v>
      </c>
      <c r="AB16" s="29" t="s">
        <v>12</v>
      </c>
      <c r="AC16" s="39">
        <v>46.1</v>
      </c>
      <c r="AD16" s="38"/>
      <c r="AG16" s="39"/>
      <c r="AL16" s="38"/>
      <c r="AO16" s="39"/>
      <c r="AS16" s="39"/>
      <c r="AW16" s="39"/>
      <c r="BA16" s="40"/>
    </row>
    <row r="17" spans="1:53" s="171" customFormat="1" x14ac:dyDescent="0.15">
      <c r="A17" s="216">
        <v>1963.9714285714299</v>
      </c>
      <c r="B17" s="278">
        <v>23470</v>
      </c>
      <c r="C17" s="402" t="s">
        <v>31</v>
      </c>
      <c r="D17" s="402"/>
      <c r="E17" s="171">
        <v>273</v>
      </c>
      <c r="F17" s="180">
        <v>2</v>
      </c>
      <c r="G17" s="233"/>
      <c r="H17" s="171">
        <v>6</v>
      </c>
      <c r="I17" s="171">
        <v>6</v>
      </c>
      <c r="J17" s="234">
        <v>12</v>
      </c>
      <c r="K17" s="213">
        <f t="shared" ref="K17:K23" si="5">G17/J17*100</f>
        <v>0</v>
      </c>
      <c r="L17" s="214">
        <f t="shared" ref="L17:L23" si="6">H17/J17*100</f>
        <v>50</v>
      </c>
      <c r="M17" s="214">
        <f t="shared" ref="M17:M23" si="7">I17/J17*100</f>
        <v>50</v>
      </c>
      <c r="N17" s="215">
        <f t="shared" si="3"/>
        <v>100</v>
      </c>
      <c r="O17" s="214"/>
      <c r="P17" s="214">
        <v>49.1</v>
      </c>
      <c r="Q17" s="214">
        <v>46.1</v>
      </c>
      <c r="R17" s="235">
        <f t="shared" si="4"/>
        <v>95.2</v>
      </c>
      <c r="S17" s="220">
        <v>2</v>
      </c>
      <c r="T17" s="283"/>
      <c r="U17" s="298">
        <v>23470</v>
      </c>
      <c r="V17" s="171" t="s">
        <v>16</v>
      </c>
      <c r="W17" s="171" t="s">
        <v>17</v>
      </c>
      <c r="X17" s="171" t="s">
        <v>18</v>
      </c>
      <c r="Y17" s="171">
        <v>49.1</v>
      </c>
      <c r="Z17" s="178" t="s">
        <v>19</v>
      </c>
      <c r="AA17" s="171" t="s">
        <v>20</v>
      </c>
      <c r="AB17" s="171" t="s">
        <v>12</v>
      </c>
      <c r="AC17" s="179">
        <v>46.1</v>
      </c>
      <c r="AD17" s="178"/>
      <c r="AG17" s="179"/>
      <c r="AL17" s="178"/>
      <c r="AO17" s="179"/>
      <c r="AS17" s="179"/>
      <c r="AW17" s="179"/>
      <c r="BA17" s="180"/>
    </row>
    <row r="18" spans="1:53" s="171" customFormat="1" x14ac:dyDescent="0.15">
      <c r="A18" s="216">
        <v>1965</v>
      </c>
      <c r="B18" s="278"/>
      <c r="C18" s="402" t="s">
        <v>31</v>
      </c>
      <c r="D18" s="402"/>
      <c r="E18" s="171">
        <v>295</v>
      </c>
      <c r="F18" s="180"/>
      <c r="G18" s="233"/>
      <c r="H18" s="171">
        <v>6</v>
      </c>
      <c r="I18" s="171">
        <v>6</v>
      </c>
      <c r="J18" s="234">
        <v>12</v>
      </c>
      <c r="K18" s="213">
        <f t="shared" si="5"/>
        <v>0</v>
      </c>
      <c r="L18" s="214">
        <f t="shared" si="6"/>
        <v>50</v>
      </c>
      <c r="M18" s="214">
        <f t="shared" si="7"/>
        <v>50</v>
      </c>
      <c r="N18" s="215">
        <f t="shared" si="3"/>
        <v>100</v>
      </c>
      <c r="O18" s="214"/>
      <c r="P18" s="214">
        <v>49.1</v>
      </c>
      <c r="Q18" s="214">
        <v>46.1</v>
      </c>
      <c r="R18" s="235">
        <f t="shared" si="4"/>
        <v>95.2</v>
      </c>
      <c r="S18" s="220">
        <v>2</v>
      </c>
      <c r="T18" s="283"/>
      <c r="U18" s="298"/>
      <c r="V18" s="171" t="s">
        <v>16</v>
      </c>
      <c r="W18" s="171" t="s">
        <v>17</v>
      </c>
      <c r="X18" s="171" t="s">
        <v>18</v>
      </c>
      <c r="Y18" s="171">
        <v>49.1</v>
      </c>
      <c r="Z18" s="178" t="s">
        <v>19</v>
      </c>
      <c r="AA18" s="171" t="s">
        <v>20</v>
      </c>
      <c r="AB18" s="171" t="s">
        <v>12</v>
      </c>
      <c r="AC18" s="179">
        <v>46.1</v>
      </c>
      <c r="AD18" s="178"/>
      <c r="AG18" s="179"/>
      <c r="AL18" s="178"/>
      <c r="AO18" s="179"/>
      <c r="AS18" s="179"/>
      <c r="AW18" s="179"/>
      <c r="BA18" s="180"/>
    </row>
    <row r="19" spans="1:53" s="171" customFormat="1" x14ac:dyDescent="0.15">
      <c r="A19" s="216">
        <v>1964.88571428572</v>
      </c>
      <c r="B19" s="291">
        <v>24038</v>
      </c>
      <c r="C19" s="402" t="s">
        <v>31</v>
      </c>
      <c r="D19" s="402"/>
      <c r="E19" s="171">
        <v>70</v>
      </c>
      <c r="F19" s="236">
        <v>0</v>
      </c>
      <c r="G19" s="233"/>
      <c r="H19" s="171">
        <v>6</v>
      </c>
      <c r="I19" s="171">
        <v>6</v>
      </c>
      <c r="J19" s="234">
        <v>12</v>
      </c>
      <c r="K19" s="213">
        <f t="shared" si="5"/>
        <v>0</v>
      </c>
      <c r="L19" s="214">
        <f t="shared" si="6"/>
        <v>50</v>
      </c>
      <c r="M19" s="214">
        <f t="shared" si="7"/>
        <v>50</v>
      </c>
      <c r="N19" s="215">
        <f t="shared" si="3"/>
        <v>100</v>
      </c>
      <c r="O19" s="214"/>
      <c r="P19" s="214">
        <v>49.1</v>
      </c>
      <c r="Q19" s="214">
        <v>46.1</v>
      </c>
      <c r="R19" s="235">
        <f t="shared" si="4"/>
        <v>95.2</v>
      </c>
      <c r="S19" s="220">
        <v>2</v>
      </c>
      <c r="T19" s="283"/>
      <c r="U19" s="298"/>
      <c r="V19" s="171" t="s">
        <v>16</v>
      </c>
      <c r="W19" s="171" t="s">
        <v>17</v>
      </c>
      <c r="X19" s="171" t="s">
        <v>18</v>
      </c>
      <c r="Y19" s="171">
        <v>49.1</v>
      </c>
      <c r="Z19" s="178" t="s">
        <v>19</v>
      </c>
      <c r="AA19" s="171" t="s">
        <v>20</v>
      </c>
      <c r="AB19" s="171" t="s">
        <v>12</v>
      </c>
      <c r="AC19" s="179">
        <v>46.1</v>
      </c>
      <c r="AD19" s="178"/>
      <c r="AG19" s="179"/>
      <c r="AL19" s="178"/>
      <c r="AO19" s="179"/>
      <c r="AS19" s="179"/>
      <c r="AW19" s="179"/>
      <c r="BA19" s="180"/>
    </row>
    <row r="20" spans="1:53" s="171" customFormat="1" x14ac:dyDescent="0.15">
      <c r="A20" s="216">
        <v>1966</v>
      </c>
      <c r="B20" s="278"/>
      <c r="C20" s="402" t="s">
        <v>31</v>
      </c>
      <c r="D20" s="402"/>
      <c r="E20" s="171">
        <v>108</v>
      </c>
      <c r="F20" s="180"/>
      <c r="G20" s="233"/>
      <c r="H20" s="171">
        <v>6</v>
      </c>
      <c r="I20" s="171">
        <v>6</v>
      </c>
      <c r="J20" s="234">
        <v>12</v>
      </c>
      <c r="K20" s="213">
        <f t="shared" si="5"/>
        <v>0</v>
      </c>
      <c r="L20" s="214">
        <f t="shared" si="6"/>
        <v>50</v>
      </c>
      <c r="M20" s="214">
        <f t="shared" si="7"/>
        <v>50</v>
      </c>
      <c r="N20" s="215">
        <f t="shared" si="3"/>
        <v>100</v>
      </c>
      <c r="O20" s="214"/>
      <c r="P20" s="214">
        <v>49.1</v>
      </c>
      <c r="Q20" s="214">
        <v>46.1</v>
      </c>
      <c r="R20" s="235">
        <f t="shared" si="4"/>
        <v>95.2</v>
      </c>
      <c r="S20" s="220">
        <v>2</v>
      </c>
      <c r="T20" s="283"/>
      <c r="U20" s="298"/>
      <c r="V20" s="171" t="s">
        <v>16</v>
      </c>
      <c r="W20" s="171" t="s">
        <v>17</v>
      </c>
      <c r="X20" s="171" t="s">
        <v>18</v>
      </c>
      <c r="Y20" s="171">
        <v>49.1</v>
      </c>
      <c r="Z20" s="178" t="s">
        <v>19</v>
      </c>
      <c r="AA20" s="171" t="s">
        <v>20</v>
      </c>
      <c r="AB20" s="171" t="s">
        <v>12</v>
      </c>
      <c r="AC20" s="179">
        <v>46.1</v>
      </c>
      <c r="AD20" s="178"/>
      <c r="AG20" s="179"/>
      <c r="AL20" s="178"/>
      <c r="AO20" s="179"/>
      <c r="AS20" s="179"/>
      <c r="AW20" s="179"/>
      <c r="BA20" s="180"/>
    </row>
    <row r="21" spans="1:53" s="29" customFormat="1" x14ac:dyDescent="0.15">
      <c r="A21" s="52">
        <v>1965.8</v>
      </c>
      <c r="B21" s="279">
        <v>24216</v>
      </c>
      <c r="C21" s="394" t="s">
        <v>32</v>
      </c>
      <c r="D21" s="394"/>
      <c r="E21" s="29">
        <v>257</v>
      </c>
      <c r="F21" s="40">
        <v>1</v>
      </c>
      <c r="G21" s="66"/>
      <c r="H21" s="29">
        <v>13</v>
      </c>
      <c r="J21" s="71">
        <v>13</v>
      </c>
      <c r="K21" s="46">
        <f t="shared" si="5"/>
        <v>0</v>
      </c>
      <c r="L21" s="47">
        <f t="shared" si="6"/>
        <v>100</v>
      </c>
      <c r="M21" s="47">
        <f t="shared" si="7"/>
        <v>0</v>
      </c>
      <c r="N21" s="48">
        <f t="shared" si="3"/>
        <v>100</v>
      </c>
      <c r="O21" s="47"/>
      <c r="P21" s="47">
        <v>51.5</v>
      </c>
      <c r="Q21" s="47"/>
      <c r="R21" s="68">
        <f t="shared" si="4"/>
        <v>51.5</v>
      </c>
      <c r="S21" s="69">
        <v>1</v>
      </c>
      <c r="T21" s="295">
        <v>24172</v>
      </c>
      <c r="U21" s="292">
        <v>24216</v>
      </c>
      <c r="V21" s="29" t="s">
        <v>16</v>
      </c>
      <c r="W21" s="29" t="s">
        <v>17</v>
      </c>
      <c r="X21" s="29" t="s">
        <v>18</v>
      </c>
      <c r="Y21" s="29">
        <v>51.5</v>
      </c>
      <c r="Z21" s="38"/>
      <c r="AC21" s="39"/>
      <c r="AD21" s="38"/>
      <c r="AG21" s="39"/>
      <c r="AL21" s="38"/>
      <c r="AO21" s="39"/>
      <c r="AS21" s="39"/>
      <c r="AW21" s="39"/>
      <c r="BA21" s="40"/>
    </row>
    <row r="22" spans="1:53" s="29" customFormat="1" x14ac:dyDescent="0.15">
      <c r="A22" s="52">
        <v>1967</v>
      </c>
      <c r="B22" s="279"/>
      <c r="C22" s="394" t="s">
        <v>32</v>
      </c>
      <c r="D22" s="394"/>
      <c r="E22" s="29">
        <v>0</v>
      </c>
      <c r="F22" s="40"/>
      <c r="G22" s="66"/>
      <c r="H22" s="29">
        <v>13</v>
      </c>
      <c r="J22" s="71">
        <v>13</v>
      </c>
      <c r="K22" s="46">
        <f t="shared" si="5"/>
        <v>0</v>
      </c>
      <c r="L22" s="47">
        <f t="shared" si="6"/>
        <v>100</v>
      </c>
      <c r="M22" s="47">
        <f t="shared" si="7"/>
        <v>0</v>
      </c>
      <c r="N22" s="48">
        <f t="shared" si="3"/>
        <v>100</v>
      </c>
      <c r="O22" s="47"/>
      <c r="P22" s="47">
        <v>51.5</v>
      </c>
      <c r="Q22" s="47"/>
      <c r="R22" s="68">
        <f t="shared" si="4"/>
        <v>51.5</v>
      </c>
      <c r="S22" s="69">
        <v>1</v>
      </c>
      <c r="T22" s="295"/>
      <c r="U22" s="292"/>
      <c r="V22" s="29" t="s">
        <v>16</v>
      </c>
      <c r="W22" s="29" t="s">
        <v>17</v>
      </c>
      <c r="X22" s="29" t="s">
        <v>18</v>
      </c>
      <c r="Y22" s="29">
        <v>51.5</v>
      </c>
      <c r="Z22" s="38"/>
      <c r="AC22" s="39"/>
      <c r="AD22" s="38"/>
      <c r="AG22" s="39"/>
      <c r="AL22" s="38"/>
      <c r="AO22" s="39"/>
      <c r="AS22" s="39"/>
      <c r="AW22" s="39"/>
      <c r="BA22" s="40"/>
    </row>
    <row r="23" spans="1:53" s="29" customFormat="1" x14ac:dyDescent="0.15">
      <c r="A23" s="52">
        <v>1966.7142857142901</v>
      </c>
      <c r="B23" s="279"/>
      <c r="C23" s="394" t="s">
        <v>32</v>
      </c>
      <c r="D23" s="394"/>
      <c r="E23" s="29">
        <v>365</v>
      </c>
      <c r="F23" s="40"/>
      <c r="G23" s="66"/>
      <c r="H23" s="29">
        <v>13</v>
      </c>
      <c r="J23" s="71">
        <v>13</v>
      </c>
      <c r="K23" s="46">
        <f t="shared" si="5"/>
        <v>0</v>
      </c>
      <c r="L23" s="47">
        <f t="shared" si="6"/>
        <v>100</v>
      </c>
      <c r="M23" s="47">
        <f t="shared" si="7"/>
        <v>0</v>
      </c>
      <c r="N23" s="48">
        <f t="shared" si="3"/>
        <v>100</v>
      </c>
      <c r="O23" s="47"/>
      <c r="P23" s="47">
        <v>51.5</v>
      </c>
      <c r="Q23" s="47"/>
      <c r="R23" s="68">
        <f t="shared" si="4"/>
        <v>51.5</v>
      </c>
      <c r="S23" s="69">
        <v>1</v>
      </c>
      <c r="T23" s="295"/>
      <c r="U23" s="292"/>
      <c r="V23" s="29" t="s">
        <v>16</v>
      </c>
      <c r="W23" s="29" t="s">
        <v>17</v>
      </c>
      <c r="X23" s="29" t="s">
        <v>18</v>
      </c>
      <c r="Y23" s="29">
        <v>51.5</v>
      </c>
      <c r="Z23" s="38"/>
      <c r="AC23" s="39"/>
      <c r="AD23" s="38"/>
      <c r="AG23" s="39"/>
      <c r="AL23" s="38"/>
      <c r="AO23" s="39"/>
      <c r="AS23" s="39"/>
      <c r="AW23" s="39"/>
      <c r="BA23" s="40"/>
    </row>
    <row r="24" spans="1:53" s="29" customFormat="1" x14ac:dyDescent="0.15">
      <c r="A24" s="52">
        <v>1968</v>
      </c>
      <c r="B24" s="279"/>
      <c r="C24" s="394" t="s">
        <v>32</v>
      </c>
      <c r="D24" s="394"/>
      <c r="E24" s="29">
        <v>0</v>
      </c>
      <c r="F24" s="40"/>
      <c r="G24" s="66"/>
      <c r="H24" s="29">
        <v>13</v>
      </c>
      <c r="J24" s="71">
        <v>13</v>
      </c>
      <c r="K24" s="46">
        <f>G24/J24*100</f>
        <v>0</v>
      </c>
      <c r="L24" s="47">
        <f>H24/J24*100</f>
        <v>100</v>
      </c>
      <c r="M24" s="47">
        <f>I24/J24*100</f>
        <v>0</v>
      </c>
      <c r="N24" s="48">
        <f t="shared" si="3"/>
        <v>100</v>
      </c>
      <c r="O24" s="47"/>
      <c r="P24" s="47">
        <v>51.5</v>
      </c>
      <c r="Q24" s="47"/>
      <c r="R24" s="68">
        <f t="shared" si="4"/>
        <v>51.5</v>
      </c>
      <c r="S24" s="69">
        <v>1</v>
      </c>
      <c r="T24" s="295"/>
      <c r="U24" s="292"/>
      <c r="V24" s="29" t="s">
        <v>16</v>
      </c>
      <c r="W24" s="29" t="s">
        <v>17</v>
      </c>
      <c r="X24" s="29" t="s">
        <v>18</v>
      </c>
      <c r="Y24" s="29">
        <v>51.5</v>
      </c>
      <c r="Z24" s="38"/>
      <c r="AC24" s="39"/>
      <c r="AD24" s="38"/>
      <c r="AG24" s="39"/>
      <c r="AL24" s="38"/>
      <c r="AO24" s="39"/>
      <c r="AS24" s="39"/>
      <c r="AW24" s="39"/>
      <c r="BA24" s="40"/>
    </row>
    <row r="25" spans="1:53" s="29" customFormat="1" x14ac:dyDescent="0.15">
      <c r="A25" s="52">
        <v>1967.62857142857</v>
      </c>
      <c r="B25" s="279"/>
      <c r="C25" s="394" t="s">
        <v>32</v>
      </c>
      <c r="D25" s="394"/>
      <c r="E25" s="29">
        <v>366</v>
      </c>
      <c r="F25" s="40"/>
      <c r="G25" s="66"/>
      <c r="H25" s="29">
        <v>13</v>
      </c>
      <c r="J25" s="71">
        <v>13</v>
      </c>
      <c r="K25" s="46">
        <f t="shared" ref="K25:K31" si="8">G25/J25*100</f>
        <v>0</v>
      </c>
      <c r="L25" s="47">
        <f t="shared" ref="L25:L31" si="9">H25/J25*100</f>
        <v>100</v>
      </c>
      <c r="M25" s="47">
        <f t="shared" ref="M25:M31" si="10">I25/J25*100</f>
        <v>0</v>
      </c>
      <c r="N25" s="48">
        <f t="shared" si="3"/>
        <v>100</v>
      </c>
      <c r="O25" s="47"/>
      <c r="P25" s="47">
        <v>51.5</v>
      </c>
      <c r="Q25" s="47"/>
      <c r="R25" s="68">
        <f t="shared" si="4"/>
        <v>51.5</v>
      </c>
      <c r="S25" s="69">
        <v>1</v>
      </c>
      <c r="T25" s="295"/>
      <c r="U25" s="292"/>
      <c r="V25" s="29" t="s">
        <v>16</v>
      </c>
      <c r="W25" s="29" t="s">
        <v>17</v>
      </c>
      <c r="X25" s="29" t="s">
        <v>18</v>
      </c>
      <c r="Y25" s="29">
        <v>51.5</v>
      </c>
      <c r="Z25" s="38"/>
      <c r="AC25" s="39"/>
      <c r="AD25" s="38"/>
      <c r="AG25" s="39"/>
      <c r="AL25" s="38"/>
      <c r="AO25" s="39"/>
      <c r="AS25" s="39"/>
      <c r="AW25" s="39"/>
      <c r="BA25" s="40"/>
    </row>
    <row r="26" spans="1:53" s="29" customFormat="1" x14ac:dyDescent="0.15">
      <c r="A26" s="52">
        <v>1969</v>
      </c>
      <c r="B26" s="279"/>
      <c r="C26" s="394" t="s">
        <v>32</v>
      </c>
      <c r="D26" s="394"/>
      <c r="E26" s="29">
        <v>0</v>
      </c>
      <c r="F26" s="40"/>
      <c r="G26" s="66"/>
      <c r="H26" s="29">
        <v>13</v>
      </c>
      <c r="J26" s="71">
        <v>13</v>
      </c>
      <c r="K26" s="46">
        <f t="shared" si="8"/>
        <v>0</v>
      </c>
      <c r="L26" s="47">
        <f t="shared" si="9"/>
        <v>100</v>
      </c>
      <c r="M26" s="47">
        <f t="shared" si="10"/>
        <v>0</v>
      </c>
      <c r="N26" s="48">
        <f t="shared" si="3"/>
        <v>100</v>
      </c>
      <c r="O26" s="47"/>
      <c r="P26" s="47">
        <v>51.5</v>
      </c>
      <c r="Q26" s="47"/>
      <c r="R26" s="68">
        <f t="shared" si="4"/>
        <v>51.5</v>
      </c>
      <c r="S26" s="69">
        <v>1</v>
      </c>
      <c r="T26" s="295"/>
      <c r="U26" s="292"/>
      <c r="V26" s="29" t="s">
        <v>16</v>
      </c>
      <c r="W26" s="29" t="s">
        <v>17</v>
      </c>
      <c r="X26" s="29" t="s">
        <v>18</v>
      </c>
      <c r="Y26" s="29">
        <v>51.5</v>
      </c>
      <c r="Z26" s="38"/>
      <c r="AC26" s="39"/>
      <c r="AD26" s="38"/>
      <c r="AG26" s="39"/>
      <c r="AL26" s="38"/>
      <c r="AO26" s="39"/>
      <c r="AS26" s="39"/>
      <c r="AW26" s="39"/>
      <c r="BA26" s="40"/>
    </row>
    <row r="27" spans="1:53" s="29" customFormat="1" x14ac:dyDescent="0.15">
      <c r="A27" s="52">
        <v>1968.5428571428599</v>
      </c>
      <c r="B27" s="279"/>
      <c r="C27" s="394" t="s">
        <v>32</v>
      </c>
      <c r="D27" s="394"/>
      <c r="E27" s="29">
        <v>365</v>
      </c>
      <c r="F27" s="40"/>
      <c r="G27" s="66"/>
      <c r="H27" s="29">
        <v>13</v>
      </c>
      <c r="J27" s="71">
        <v>13</v>
      </c>
      <c r="K27" s="46">
        <f t="shared" si="8"/>
        <v>0</v>
      </c>
      <c r="L27" s="47">
        <f t="shared" si="9"/>
        <v>100</v>
      </c>
      <c r="M27" s="47">
        <f t="shared" si="10"/>
        <v>0</v>
      </c>
      <c r="N27" s="48">
        <f t="shared" si="3"/>
        <v>100</v>
      </c>
      <c r="O27" s="47"/>
      <c r="P27" s="47">
        <v>51.5</v>
      </c>
      <c r="Q27" s="47"/>
      <c r="R27" s="68">
        <f t="shared" si="4"/>
        <v>51.5</v>
      </c>
      <c r="S27" s="69">
        <v>1</v>
      </c>
      <c r="T27" s="295"/>
      <c r="U27" s="292"/>
      <c r="V27" s="29" t="s">
        <v>16</v>
      </c>
      <c r="W27" s="29" t="s">
        <v>17</v>
      </c>
      <c r="X27" s="29" t="s">
        <v>18</v>
      </c>
      <c r="Y27" s="29">
        <v>51.5</v>
      </c>
      <c r="Z27" s="38"/>
      <c r="AC27" s="39"/>
      <c r="AD27" s="38"/>
      <c r="AG27" s="39"/>
      <c r="AL27" s="38"/>
      <c r="AO27" s="39"/>
      <c r="AS27" s="39"/>
      <c r="AW27" s="39"/>
      <c r="BA27" s="40"/>
    </row>
    <row r="28" spans="1:53" s="29" customFormat="1" x14ac:dyDescent="0.15">
      <c r="A28" s="52">
        <v>1970</v>
      </c>
      <c r="B28" s="279"/>
      <c r="C28" s="394" t="s">
        <v>32</v>
      </c>
      <c r="D28" s="394"/>
      <c r="E28" s="29">
        <v>111</v>
      </c>
      <c r="F28" s="40"/>
      <c r="G28" s="66"/>
      <c r="H28" s="29">
        <v>13</v>
      </c>
      <c r="J28" s="71">
        <v>13</v>
      </c>
      <c r="K28" s="46">
        <f t="shared" si="8"/>
        <v>0</v>
      </c>
      <c r="L28" s="47">
        <f t="shared" si="9"/>
        <v>100</v>
      </c>
      <c r="M28" s="47">
        <f t="shared" si="10"/>
        <v>0</v>
      </c>
      <c r="N28" s="48">
        <f t="shared" si="3"/>
        <v>100</v>
      </c>
      <c r="O28" s="47"/>
      <c r="P28" s="47">
        <v>51.5</v>
      </c>
      <c r="Q28" s="47"/>
      <c r="R28" s="68">
        <f t="shared" si="4"/>
        <v>51.5</v>
      </c>
      <c r="S28" s="69">
        <v>1</v>
      </c>
      <c r="T28" s="295"/>
      <c r="U28" s="292"/>
      <c r="V28" s="29" t="s">
        <v>16</v>
      </c>
      <c r="W28" s="29" t="s">
        <v>17</v>
      </c>
      <c r="X28" s="29" t="s">
        <v>18</v>
      </c>
      <c r="Y28" s="29">
        <v>51.5</v>
      </c>
      <c r="Z28" s="38"/>
      <c r="AC28" s="39"/>
      <c r="AD28" s="38"/>
      <c r="AG28" s="39"/>
      <c r="AL28" s="38"/>
      <c r="AO28" s="39"/>
      <c r="AS28" s="39"/>
      <c r="AW28" s="39"/>
      <c r="BA28" s="40"/>
    </row>
    <row r="29" spans="1:53" s="171" customFormat="1" x14ac:dyDescent="0.15">
      <c r="A29" s="216">
        <v>1970</v>
      </c>
      <c r="B29" s="278">
        <v>25680</v>
      </c>
      <c r="C29" s="402" t="s">
        <v>33</v>
      </c>
      <c r="D29" s="402"/>
      <c r="E29" s="171">
        <v>254</v>
      </c>
      <c r="F29" s="180">
        <v>1</v>
      </c>
      <c r="G29" s="233"/>
      <c r="I29" s="171">
        <v>12</v>
      </c>
      <c r="J29" s="234">
        <v>13</v>
      </c>
      <c r="K29" s="213">
        <f t="shared" si="8"/>
        <v>0</v>
      </c>
      <c r="L29" s="214">
        <f t="shared" si="9"/>
        <v>0</v>
      </c>
      <c r="M29" s="214">
        <f t="shared" si="10"/>
        <v>92.307692307692307</v>
      </c>
      <c r="N29" s="215">
        <f t="shared" si="3"/>
        <v>92.307692307692307</v>
      </c>
      <c r="O29" s="214"/>
      <c r="P29" s="214"/>
      <c r="Q29" s="214">
        <v>49.1</v>
      </c>
      <c r="R29" s="235">
        <f t="shared" si="4"/>
        <v>49.1</v>
      </c>
      <c r="S29" s="220">
        <v>4</v>
      </c>
      <c r="T29" s="283">
        <v>25628</v>
      </c>
      <c r="U29" s="298">
        <v>25680</v>
      </c>
      <c r="V29" s="171" t="s">
        <v>19</v>
      </c>
      <c r="W29" s="171" t="s">
        <v>20</v>
      </c>
      <c r="X29" s="171" t="s">
        <v>12</v>
      </c>
      <c r="Y29" s="171">
        <v>49.1</v>
      </c>
      <c r="Z29" s="178"/>
      <c r="AC29" s="179"/>
      <c r="AD29" s="178"/>
      <c r="AG29" s="179"/>
      <c r="AL29" s="178"/>
      <c r="AO29" s="179"/>
      <c r="AS29" s="179"/>
      <c r="AW29" s="179"/>
      <c r="BA29" s="180"/>
    </row>
    <row r="30" spans="1:53" s="171" customFormat="1" x14ac:dyDescent="0.15">
      <c r="A30" s="216">
        <v>1971</v>
      </c>
      <c r="B30" s="278"/>
      <c r="C30" s="402" t="s">
        <v>33</v>
      </c>
      <c r="D30" s="402"/>
      <c r="E30" s="171">
        <v>294</v>
      </c>
      <c r="F30" s="180"/>
      <c r="G30" s="216"/>
      <c r="H30" s="216"/>
      <c r="I30" s="216">
        <v>12</v>
      </c>
      <c r="J30" s="234">
        <v>13</v>
      </c>
      <c r="K30" s="213">
        <f t="shared" si="8"/>
        <v>0</v>
      </c>
      <c r="L30" s="214">
        <f t="shared" si="9"/>
        <v>0</v>
      </c>
      <c r="M30" s="214">
        <f t="shared" si="10"/>
        <v>92.307692307692307</v>
      </c>
      <c r="N30" s="215">
        <f t="shared" si="3"/>
        <v>92.307692307692307</v>
      </c>
      <c r="O30" s="214"/>
      <c r="P30" s="214"/>
      <c r="Q30" s="214">
        <v>49.1</v>
      </c>
      <c r="R30" s="235">
        <f t="shared" si="4"/>
        <v>49.1</v>
      </c>
      <c r="S30" s="220">
        <v>4</v>
      </c>
      <c r="T30" s="283"/>
      <c r="U30" s="298"/>
      <c r="V30" s="171" t="s">
        <v>19</v>
      </c>
      <c r="W30" s="171" t="s">
        <v>20</v>
      </c>
      <c r="X30" s="171" t="s">
        <v>12</v>
      </c>
      <c r="Y30" s="171">
        <v>49.1</v>
      </c>
      <c r="Z30" s="178"/>
      <c r="AC30" s="179"/>
      <c r="AD30" s="178"/>
      <c r="AG30" s="179"/>
      <c r="AL30" s="178"/>
      <c r="AO30" s="179"/>
      <c r="AS30" s="179"/>
      <c r="AW30" s="179"/>
      <c r="BA30" s="180"/>
    </row>
    <row r="31" spans="1:53" s="29" customFormat="1" x14ac:dyDescent="0.15">
      <c r="A31" s="52">
        <v>1971</v>
      </c>
      <c r="B31" s="279">
        <v>26228</v>
      </c>
      <c r="C31" s="394" t="s">
        <v>34</v>
      </c>
      <c r="D31" s="394"/>
      <c r="E31" s="29">
        <v>71</v>
      </c>
      <c r="F31" s="40">
        <v>1</v>
      </c>
      <c r="G31" s="66"/>
      <c r="H31" s="52"/>
      <c r="I31" s="52">
        <v>12</v>
      </c>
      <c r="J31" s="71">
        <v>14</v>
      </c>
      <c r="K31" s="46">
        <f t="shared" si="8"/>
        <v>0</v>
      </c>
      <c r="L31" s="47">
        <f t="shared" si="9"/>
        <v>0</v>
      </c>
      <c r="M31" s="47">
        <f t="shared" si="10"/>
        <v>85.714285714285708</v>
      </c>
      <c r="N31" s="48">
        <f t="shared" si="3"/>
        <v>85.714285714285708</v>
      </c>
      <c r="O31" s="47"/>
      <c r="P31" s="47"/>
      <c r="Q31" s="47">
        <v>50.8</v>
      </c>
      <c r="R31" s="68">
        <f t="shared" si="4"/>
        <v>50.8</v>
      </c>
      <c r="S31" s="69">
        <v>1</v>
      </c>
      <c r="T31" s="295">
        <v>26216</v>
      </c>
      <c r="U31" s="292">
        <v>26228</v>
      </c>
      <c r="V31" s="29" t="s">
        <v>19</v>
      </c>
      <c r="W31" s="29" t="s">
        <v>20</v>
      </c>
      <c r="X31" s="29" t="s">
        <v>12</v>
      </c>
      <c r="Y31" s="29">
        <v>50.8</v>
      </c>
      <c r="Z31" s="38"/>
      <c r="AC31" s="39"/>
      <c r="AD31" s="38"/>
      <c r="AG31" s="39"/>
      <c r="AL31" s="38"/>
      <c r="AO31" s="39"/>
      <c r="AS31" s="39"/>
      <c r="AW31" s="39"/>
      <c r="BA31" s="40"/>
    </row>
    <row r="32" spans="1:53" s="29" customFormat="1" x14ac:dyDescent="0.15">
      <c r="A32" s="52">
        <v>1972</v>
      </c>
      <c r="B32" s="279"/>
      <c r="C32" s="394" t="s">
        <v>34</v>
      </c>
      <c r="D32" s="394"/>
      <c r="E32" s="29">
        <v>0</v>
      </c>
      <c r="F32" s="40"/>
      <c r="G32" s="66"/>
      <c r="I32" s="52">
        <v>12</v>
      </c>
      <c r="J32" s="71">
        <v>14</v>
      </c>
      <c r="K32" s="46">
        <f>G32/J32*100</f>
        <v>0</v>
      </c>
      <c r="L32" s="47">
        <f>H32/J32*100</f>
        <v>0</v>
      </c>
      <c r="M32" s="47">
        <f>I32/J32*100</f>
        <v>85.714285714285708</v>
      </c>
      <c r="N32" s="48">
        <f t="shared" si="3"/>
        <v>85.714285714285708</v>
      </c>
      <c r="O32" s="47"/>
      <c r="P32" s="47"/>
      <c r="Q32" s="47">
        <v>50.8</v>
      </c>
      <c r="R32" s="68">
        <f t="shared" si="4"/>
        <v>50.8</v>
      </c>
      <c r="S32" s="69">
        <v>1</v>
      </c>
      <c r="T32" s="295"/>
      <c r="U32" s="292"/>
      <c r="V32" s="29" t="s">
        <v>19</v>
      </c>
      <c r="W32" s="29" t="s">
        <v>20</v>
      </c>
      <c r="X32" s="29" t="s">
        <v>12</v>
      </c>
      <c r="Y32" s="29">
        <v>50.8</v>
      </c>
      <c r="Z32" s="38"/>
      <c r="AC32" s="39"/>
      <c r="AD32" s="38"/>
      <c r="AG32" s="39"/>
      <c r="AL32" s="38"/>
      <c r="AO32" s="39"/>
      <c r="AS32" s="39"/>
      <c r="AW32" s="39"/>
      <c r="BA32" s="40"/>
    </row>
    <row r="33" spans="1:53" s="29" customFormat="1" x14ac:dyDescent="0.15">
      <c r="A33" s="52">
        <v>1972</v>
      </c>
      <c r="B33" s="279"/>
      <c r="C33" s="394" t="s">
        <v>34</v>
      </c>
      <c r="D33" s="394"/>
      <c r="E33" s="29">
        <v>366</v>
      </c>
      <c r="F33" s="40"/>
      <c r="G33" s="52"/>
      <c r="H33" s="52"/>
      <c r="I33" s="52">
        <v>12</v>
      </c>
      <c r="J33" s="71">
        <v>14</v>
      </c>
      <c r="K33" s="46">
        <f t="shared" ref="K33:K39" si="11">G33/J33*100</f>
        <v>0</v>
      </c>
      <c r="L33" s="47">
        <f t="shared" ref="L33:L39" si="12">H33/J33*100</f>
        <v>0</v>
      </c>
      <c r="M33" s="47">
        <f t="shared" ref="M33:M39" si="13">I33/J33*100</f>
        <v>85.714285714285708</v>
      </c>
      <c r="N33" s="48">
        <f t="shared" si="3"/>
        <v>85.714285714285708</v>
      </c>
      <c r="O33" s="47"/>
      <c r="P33" s="47"/>
      <c r="Q33" s="47">
        <v>50.8</v>
      </c>
      <c r="R33" s="68">
        <f t="shared" si="4"/>
        <v>50.8</v>
      </c>
      <c r="S33" s="69">
        <v>1</v>
      </c>
      <c r="T33" s="295"/>
      <c r="U33" s="292"/>
      <c r="V33" s="29" t="s">
        <v>19</v>
      </c>
      <c r="W33" s="29" t="s">
        <v>20</v>
      </c>
      <c r="X33" s="29" t="s">
        <v>12</v>
      </c>
      <c r="Y33" s="29">
        <v>50.8</v>
      </c>
      <c r="Z33" s="38"/>
      <c r="AC33" s="39"/>
      <c r="AD33" s="38"/>
      <c r="AG33" s="39"/>
      <c r="AL33" s="38"/>
      <c r="AO33" s="39"/>
      <c r="AS33" s="39"/>
      <c r="AW33" s="39"/>
      <c r="BA33" s="40"/>
    </row>
    <row r="34" spans="1:53" s="29" customFormat="1" x14ac:dyDescent="0.15">
      <c r="A34" s="52">
        <v>1973</v>
      </c>
      <c r="B34" s="279"/>
      <c r="C34" s="394" t="s">
        <v>34</v>
      </c>
      <c r="D34" s="394"/>
      <c r="E34" s="29">
        <v>0</v>
      </c>
      <c r="F34" s="40"/>
      <c r="G34" s="66"/>
      <c r="H34" s="52"/>
      <c r="I34" s="52">
        <v>12</v>
      </c>
      <c r="J34" s="71">
        <v>14</v>
      </c>
      <c r="K34" s="46">
        <f t="shared" si="11"/>
        <v>0</v>
      </c>
      <c r="L34" s="47">
        <f t="shared" si="12"/>
        <v>0</v>
      </c>
      <c r="M34" s="47">
        <f t="shared" si="13"/>
        <v>85.714285714285708</v>
      </c>
      <c r="N34" s="48">
        <f t="shared" si="3"/>
        <v>85.714285714285708</v>
      </c>
      <c r="O34" s="47"/>
      <c r="P34" s="47"/>
      <c r="Q34" s="47">
        <v>50.8</v>
      </c>
      <c r="R34" s="68">
        <f t="shared" si="4"/>
        <v>50.8</v>
      </c>
      <c r="S34" s="69">
        <v>1</v>
      </c>
      <c r="T34" s="295"/>
      <c r="U34" s="292"/>
      <c r="V34" s="29" t="s">
        <v>19</v>
      </c>
      <c r="W34" s="29" t="s">
        <v>20</v>
      </c>
      <c r="X34" s="29" t="s">
        <v>12</v>
      </c>
      <c r="Y34" s="29">
        <v>50.8</v>
      </c>
      <c r="Z34" s="38"/>
      <c r="AC34" s="39"/>
      <c r="AD34" s="38"/>
      <c r="AG34" s="39"/>
      <c r="AL34" s="38"/>
      <c r="AO34" s="39"/>
      <c r="AS34" s="39"/>
      <c r="AW34" s="39"/>
      <c r="BA34" s="40"/>
    </row>
    <row r="35" spans="1:53" s="29" customFormat="1" x14ac:dyDescent="0.15">
      <c r="A35" s="52">
        <v>1973</v>
      </c>
      <c r="B35" s="279"/>
      <c r="C35" s="394" t="s">
        <v>34</v>
      </c>
      <c r="D35" s="394"/>
      <c r="E35" s="29">
        <v>365</v>
      </c>
      <c r="F35" s="40"/>
      <c r="G35" s="66"/>
      <c r="I35" s="52">
        <v>12</v>
      </c>
      <c r="J35" s="71">
        <v>14</v>
      </c>
      <c r="K35" s="46">
        <f t="shared" si="11"/>
        <v>0</v>
      </c>
      <c r="L35" s="47">
        <f t="shared" si="12"/>
        <v>0</v>
      </c>
      <c r="M35" s="47">
        <f t="shared" si="13"/>
        <v>85.714285714285708</v>
      </c>
      <c r="N35" s="48">
        <f t="shared" si="3"/>
        <v>85.714285714285708</v>
      </c>
      <c r="O35" s="47"/>
      <c r="P35" s="47"/>
      <c r="Q35" s="47">
        <v>50.8</v>
      </c>
      <c r="R35" s="68">
        <f t="shared" si="4"/>
        <v>50.8</v>
      </c>
      <c r="S35" s="69">
        <v>1</v>
      </c>
      <c r="T35" s="295"/>
      <c r="U35" s="292"/>
      <c r="V35" s="29" t="s">
        <v>19</v>
      </c>
      <c r="W35" s="29" t="s">
        <v>20</v>
      </c>
      <c r="X35" s="29" t="s">
        <v>12</v>
      </c>
      <c r="Y35" s="29">
        <v>50.8</v>
      </c>
      <c r="Z35" s="38"/>
      <c r="AC35" s="39"/>
      <c r="AD35" s="38"/>
      <c r="AG35" s="39"/>
      <c r="AL35" s="38"/>
      <c r="AO35" s="39"/>
      <c r="AS35" s="39"/>
      <c r="AW35" s="39"/>
      <c r="BA35" s="40"/>
    </row>
    <row r="36" spans="1:53" s="29" customFormat="1" x14ac:dyDescent="0.15">
      <c r="A36" s="52">
        <v>1974</v>
      </c>
      <c r="B36" s="279"/>
      <c r="C36" s="394" t="s">
        <v>34</v>
      </c>
      <c r="D36" s="394"/>
      <c r="E36" s="29">
        <v>0</v>
      </c>
      <c r="F36" s="40"/>
      <c r="G36" s="52"/>
      <c r="H36" s="52"/>
      <c r="I36" s="52">
        <v>12</v>
      </c>
      <c r="J36" s="71">
        <v>14</v>
      </c>
      <c r="K36" s="46">
        <f t="shared" si="11"/>
        <v>0</v>
      </c>
      <c r="L36" s="47">
        <f t="shared" si="12"/>
        <v>0</v>
      </c>
      <c r="M36" s="47">
        <f t="shared" si="13"/>
        <v>85.714285714285708</v>
      </c>
      <c r="N36" s="48">
        <f t="shared" si="3"/>
        <v>85.714285714285708</v>
      </c>
      <c r="O36" s="47"/>
      <c r="P36" s="47"/>
      <c r="Q36" s="47">
        <v>50.8</v>
      </c>
      <c r="R36" s="68">
        <f t="shared" si="4"/>
        <v>50.8</v>
      </c>
      <c r="S36" s="69">
        <v>1</v>
      </c>
      <c r="T36" s="295"/>
      <c r="U36" s="292"/>
      <c r="V36" s="29" t="s">
        <v>19</v>
      </c>
      <c r="W36" s="29" t="s">
        <v>20</v>
      </c>
      <c r="X36" s="29" t="s">
        <v>12</v>
      </c>
      <c r="Y36" s="29">
        <v>50.8</v>
      </c>
      <c r="Z36" s="38"/>
      <c r="AC36" s="39"/>
      <c r="AD36" s="38"/>
      <c r="AG36" s="39"/>
      <c r="AL36" s="38"/>
      <c r="AO36" s="39"/>
      <c r="AS36" s="39"/>
      <c r="AW36" s="39"/>
      <c r="BA36" s="40"/>
    </row>
    <row r="37" spans="1:53" s="29" customFormat="1" x14ac:dyDescent="0.15">
      <c r="A37" s="52">
        <v>1974</v>
      </c>
      <c r="B37" s="279"/>
      <c r="C37" s="394" t="s">
        <v>34</v>
      </c>
      <c r="D37" s="394"/>
      <c r="E37" s="29">
        <v>365</v>
      </c>
      <c r="F37" s="40"/>
      <c r="G37" s="66"/>
      <c r="H37" s="52"/>
      <c r="I37" s="52">
        <v>12</v>
      </c>
      <c r="J37" s="71">
        <v>14</v>
      </c>
      <c r="K37" s="46">
        <f t="shared" si="11"/>
        <v>0</v>
      </c>
      <c r="L37" s="47">
        <f t="shared" si="12"/>
        <v>0</v>
      </c>
      <c r="M37" s="47">
        <f t="shared" si="13"/>
        <v>85.714285714285708</v>
      </c>
      <c r="N37" s="48">
        <f t="shared" si="3"/>
        <v>85.714285714285708</v>
      </c>
      <c r="O37" s="47"/>
      <c r="P37" s="47"/>
      <c r="Q37" s="47">
        <v>50.8</v>
      </c>
      <c r="R37" s="68">
        <f t="shared" si="4"/>
        <v>50.8</v>
      </c>
      <c r="S37" s="69">
        <v>1</v>
      </c>
      <c r="T37" s="295"/>
      <c r="U37" s="292"/>
      <c r="V37" s="29" t="s">
        <v>19</v>
      </c>
      <c r="W37" s="29" t="s">
        <v>20</v>
      </c>
      <c r="X37" s="29" t="s">
        <v>12</v>
      </c>
      <c r="Y37" s="29">
        <v>50.8</v>
      </c>
      <c r="Z37" s="38"/>
      <c r="AC37" s="39"/>
      <c r="AD37" s="38"/>
      <c r="AG37" s="39"/>
      <c r="AL37" s="38"/>
      <c r="AO37" s="39"/>
      <c r="AS37" s="39"/>
      <c r="AW37" s="39"/>
      <c r="BA37" s="40"/>
    </row>
    <row r="38" spans="1:53" s="29" customFormat="1" x14ac:dyDescent="0.15">
      <c r="A38" s="52">
        <v>1975</v>
      </c>
      <c r="B38" s="279"/>
      <c r="C38" s="394" t="s">
        <v>34</v>
      </c>
      <c r="D38" s="394"/>
      <c r="E38" s="29">
        <v>301</v>
      </c>
      <c r="F38" s="40"/>
      <c r="G38" s="66"/>
      <c r="I38" s="52">
        <v>12</v>
      </c>
      <c r="J38" s="71">
        <v>14</v>
      </c>
      <c r="K38" s="46">
        <f t="shared" si="11"/>
        <v>0</v>
      </c>
      <c r="L38" s="47">
        <f t="shared" si="12"/>
        <v>0</v>
      </c>
      <c r="M38" s="47">
        <f t="shared" si="13"/>
        <v>85.714285714285708</v>
      </c>
      <c r="N38" s="48">
        <f t="shared" si="3"/>
        <v>85.714285714285708</v>
      </c>
      <c r="O38" s="47"/>
      <c r="P38" s="47"/>
      <c r="Q38" s="47">
        <v>50.8</v>
      </c>
      <c r="R38" s="68">
        <f t="shared" si="4"/>
        <v>50.8</v>
      </c>
      <c r="S38" s="69">
        <v>1</v>
      </c>
      <c r="T38" s="295"/>
      <c r="U38" s="292"/>
      <c r="V38" s="29" t="s">
        <v>19</v>
      </c>
      <c r="W38" s="29" t="s">
        <v>20</v>
      </c>
      <c r="X38" s="29" t="s">
        <v>12</v>
      </c>
      <c r="Y38" s="29">
        <v>50.8</v>
      </c>
      <c r="Z38" s="38"/>
      <c r="AC38" s="39"/>
      <c r="AD38" s="38"/>
      <c r="AG38" s="39"/>
      <c r="AL38" s="38"/>
      <c r="AO38" s="39"/>
      <c r="AS38" s="39"/>
      <c r="AW38" s="39"/>
      <c r="BA38" s="40"/>
    </row>
    <row r="39" spans="1:53" s="171" customFormat="1" x14ac:dyDescent="0.15">
      <c r="A39" s="216">
        <v>1975</v>
      </c>
      <c r="B39" s="278">
        <v>27696</v>
      </c>
      <c r="C39" s="402" t="s">
        <v>35</v>
      </c>
      <c r="D39" s="402"/>
      <c r="E39" s="171">
        <v>64</v>
      </c>
      <c r="F39" s="180">
        <v>1</v>
      </c>
      <c r="G39" s="216"/>
      <c r="H39" s="216"/>
      <c r="I39" s="216">
        <v>12</v>
      </c>
      <c r="J39" s="234">
        <v>14</v>
      </c>
      <c r="K39" s="213">
        <f t="shared" si="11"/>
        <v>0</v>
      </c>
      <c r="L39" s="214">
        <f t="shared" si="12"/>
        <v>0</v>
      </c>
      <c r="M39" s="214">
        <f t="shared" si="13"/>
        <v>85.714285714285708</v>
      </c>
      <c r="N39" s="215">
        <f t="shared" si="3"/>
        <v>85.714285714285708</v>
      </c>
      <c r="O39" s="214"/>
      <c r="P39" s="214"/>
      <c r="Q39" s="214">
        <v>50.8</v>
      </c>
      <c r="R39" s="235">
        <f t="shared" si="4"/>
        <v>50.8</v>
      </c>
      <c r="S39" s="220">
        <v>1</v>
      </c>
      <c r="T39" s="283">
        <v>27672</v>
      </c>
      <c r="U39" s="298">
        <v>27696</v>
      </c>
      <c r="V39" s="171" t="s">
        <v>19</v>
      </c>
      <c r="W39" s="171" t="s">
        <v>20</v>
      </c>
      <c r="X39" s="171" t="s">
        <v>12</v>
      </c>
      <c r="Y39" s="171">
        <v>50.8</v>
      </c>
      <c r="Z39" s="178"/>
      <c r="AC39" s="179"/>
      <c r="AD39" s="178"/>
      <c r="AG39" s="179"/>
      <c r="AL39" s="178"/>
      <c r="AO39" s="179"/>
      <c r="AS39" s="179"/>
      <c r="AW39" s="179"/>
      <c r="BA39" s="180"/>
    </row>
    <row r="40" spans="1:53" s="171" customFormat="1" x14ac:dyDescent="0.15">
      <c r="A40" s="216">
        <v>1976</v>
      </c>
      <c r="B40" s="278"/>
      <c r="C40" s="402" t="s">
        <v>35</v>
      </c>
      <c r="D40" s="402"/>
      <c r="E40" s="171">
        <v>0</v>
      </c>
      <c r="F40" s="180"/>
      <c r="G40" s="233"/>
      <c r="H40" s="216"/>
      <c r="I40" s="216">
        <v>12</v>
      </c>
      <c r="J40" s="234">
        <v>14</v>
      </c>
      <c r="K40" s="213">
        <f>G40/J40*100</f>
        <v>0</v>
      </c>
      <c r="L40" s="214">
        <f>H40/J40*100</f>
        <v>0</v>
      </c>
      <c r="M40" s="214">
        <f>I40/J40*100</f>
        <v>85.714285714285708</v>
      </c>
      <c r="N40" s="215">
        <f t="shared" si="3"/>
        <v>85.714285714285708</v>
      </c>
      <c r="O40" s="214"/>
      <c r="P40" s="214"/>
      <c r="Q40" s="214">
        <v>50.8</v>
      </c>
      <c r="R40" s="235">
        <f t="shared" si="4"/>
        <v>50.8</v>
      </c>
      <c r="S40" s="220">
        <v>1</v>
      </c>
      <c r="T40" s="283"/>
      <c r="U40" s="298"/>
      <c r="V40" s="171" t="s">
        <v>19</v>
      </c>
      <c r="W40" s="171" t="s">
        <v>20</v>
      </c>
      <c r="X40" s="171" t="s">
        <v>12</v>
      </c>
      <c r="Y40" s="171">
        <v>50.8</v>
      </c>
      <c r="Z40" s="178"/>
      <c r="AC40" s="179"/>
      <c r="AD40" s="178"/>
      <c r="AG40" s="179"/>
      <c r="AL40" s="178"/>
      <c r="AO40" s="179"/>
      <c r="AS40" s="179"/>
      <c r="AW40" s="179"/>
      <c r="BA40" s="180"/>
    </row>
    <row r="41" spans="1:53" s="171" customFormat="1" x14ac:dyDescent="0.15">
      <c r="A41" s="216">
        <v>1976</v>
      </c>
      <c r="B41" s="278"/>
      <c r="C41" s="402" t="s">
        <v>35</v>
      </c>
      <c r="D41" s="402"/>
      <c r="E41" s="171">
        <v>366</v>
      </c>
      <c r="F41" s="180"/>
      <c r="G41" s="233"/>
      <c r="I41" s="216">
        <v>12</v>
      </c>
      <c r="J41" s="234">
        <v>14</v>
      </c>
      <c r="K41" s="213">
        <f t="shared" ref="K41:K47" si="14">G41/J41*100</f>
        <v>0</v>
      </c>
      <c r="L41" s="214">
        <f t="shared" ref="L41:L47" si="15">H41/J41*100</f>
        <v>0</v>
      </c>
      <c r="M41" s="214">
        <f t="shared" ref="M41:M47" si="16">I41/J41*100</f>
        <v>85.714285714285708</v>
      </c>
      <c r="N41" s="215">
        <f t="shared" si="3"/>
        <v>85.714285714285708</v>
      </c>
      <c r="O41" s="214"/>
      <c r="P41" s="214"/>
      <c r="Q41" s="214">
        <v>50.8</v>
      </c>
      <c r="R41" s="235">
        <f t="shared" si="4"/>
        <v>50.8</v>
      </c>
      <c r="S41" s="220">
        <v>1</v>
      </c>
      <c r="T41" s="283"/>
      <c r="U41" s="298"/>
      <c r="V41" s="171" t="s">
        <v>19</v>
      </c>
      <c r="W41" s="171" t="s">
        <v>20</v>
      </c>
      <c r="X41" s="171" t="s">
        <v>12</v>
      </c>
      <c r="Y41" s="171">
        <v>50.8</v>
      </c>
      <c r="Z41" s="178"/>
      <c r="AC41" s="179"/>
      <c r="AD41" s="178"/>
      <c r="AG41" s="179"/>
      <c r="AL41" s="178"/>
      <c r="AO41" s="179"/>
      <c r="AS41" s="179"/>
      <c r="AW41" s="179"/>
      <c r="BA41" s="180"/>
    </row>
    <row r="42" spans="1:53" s="171" customFormat="1" x14ac:dyDescent="0.15">
      <c r="A42" s="216">
        <v>1977</v>
      </c>
      <c r="B42" s="278"/>
      <c r="C42" s="402" t="s">
        <v>35</v>
      </c>
      <c r="D42" s="402"/>
      <c r="E42" s="171">
        <v>0</v>
      </c>
      <c r="F42" s="180"/>
      <c r="G42" s="216"/>
      <c r="H42" s="216"/>
      <c r="I42" s="216">
        <v>12</v>
      </c>
      <c r="J42" s="234">
        <v>14</v>
      </c>
      <c r="K42" s="213">
        <f t="shared" si="14"/>
        <v>0</v>
      </c>
      <c r="L42" s="214">
        <f t="shared" si="15"/>
        <v>0</v>
      </c>
      <c r="M42" s="214">
        <f t="shared" si="16"/>
        <v>85.714285714285708</v>
      </c>
      <c r="N42" s="215">
        <f t="shared" si="3"/>
        <v>85.714285714285708</v>
      </c>
      <c r="O42" s="214"/>
      <c r="P42" s="214"/>
      <c r="Q42" s="214">
        <v>50.8</v>
      </c>
      <c r="R42" s="235">
        <f t="shared" si="4"/>
        <v>50.8</v>
      </c>
      <c r="S42" s="220">
        <v>1</v>
      </c>
      <c r="T42" s="283"/>
      <c r="U42" s="298"/>
      <c r="V42" s="171" t="s">
        <v>19</v>
      </c>
      <c r="W42" s="171" t="s">
        <v>20</v>
      </c>
      <c r="X42" s="171" t="s">
        <v>12</v>
      </c>
      <c r="Y42" s="171">
        <v>50.8</v>
      </c>
      <c r="Z42" s="178"/>
      <c r="AC42" s="179"/>
      <c r="AD42" s="178"/>
      <c r="AG42" s="179"/>
      <c r="AL42" s="178"/>
      <c r="AO42" s="179"/>
      <c r="AS42" s="179"/>
      <c r="AW42" s="179"/>
      <c r="BA42" s="180"/>
    </row>
    <row r="43" spans="1:53" s="171" customFormat="1" x14ac:dyDescent="0.15">
      <c r="A43" s="216">
        <v>1977</v>
      </c>
      <c r="B43" s="278"/>
      <c r="C43" s="402" t="s">
        <v>35</v>
      </c>
      <c r="D43" s="402"/>
      <c r="E43" s="171">
        <v>365</v>
      </c>
      <c r="F43" s="180"/>
      <c r="G43" s="233"/>
      <c r="H43" s="216"/>
      <c r="I43" s="216">
        <v>12</v>
      </c>
      <c r="J43" s="234">
        <v>14</v>
      </c>
      <c r="K43" s="213">
        <f t="shared" si="14"/>
        <v>0</v>
      </c>
      <c r="L43" s="214">
        <f t="shared" si="15"/>
        <v>0</v>
      </c>
      <c r="M43" s="214">
        <f t="shared" si="16"/>
        <v>85.714285714285708</v>
      </c>
      <c r="N43" s="215">
        <f t="shared" si="3"/>
        <v>85.714285714285708</v>
      </c>
      <c r="O43" s="214"/>
      <c r="P43" s="214"/>
      <c r="Q43" s="214">
        <v>50.8</v>
      </c>
      <c r="R43" s="235">
        <f t="shared" si="4"/>
        <v>50.8</v>
      </c>
      <c r="S43" s="220">
        <v>1</v>
      </c>
      <c r="T43" s="283"/>
      <c r="U43" s="298"/>
      <c r="V43" s="171" t="s">
        <v>19</v>
      </c>
      <c r="W43" s="171" t="s">
        <v>20</v>
      </c>
      <c r="X43" s="171" t="s">
        <v>12</v>
      </c>
      <c r="Y43" s="171">
        <v>50.8</v>
      </c>
      <c r="Z43" s="178"/>
      <c r="AC43" s="179"/>
      <c r="AD43" s="178"/>
      <c r="AG43" s="179"/>
      <c r="AL43" s="178"/>
      <c r="AO43" s="179"/>
      <c r="AS43" s="179"/>
      <c r="AW43" s="179"/>
      <c r="BA43" s="180"/>
    </row>
    <row r="44" spans="1:53" s="171" customFormat="1" x14ac:dyDescent="0.15">
      <c r="A44" s="216">
        <v>1978</v>
      </c>
      <c r="B44" s="278"/>
      <c r="C44" s="402" t="s">
        <v>35</v>
      </c>
      <c r="D44" s="402"/>
      <c r="E44" s="171">
        <v>0</v>
      </c>
      <c r="F44" s="180"/>
      <c r="G44" s="233"/>
      <c r="I44" s="216">
        <v>12</v>
      </c>
      <c r="J44" s="234">
        <v>14</v>
      </c>
      <c r="K44" s="213">
        <f t="shared" si="14"/>
        <v>0</v>
      </c>
      <c r="L44" s="214">
        <f t="shared" si="15"/>
        <v>0</v>
      </c>
      <c r="M44" s="214">
        <f t="shared" si="16"/>
        <v>85.714285714285708</v>
      </c>
      <c r="N44" s="215">
        <f t="shared" si="3"/>
        <v>85.714285714285708</v>
      </c>
      <c r="O44" s="214"/>
      <c r="P44" s="214"/>
      <c r="Q44" s="214">
        <v>50.8</v>
      </c>
      <c r="R44" s="235">
        <f t="shared" si="4"/>
        <v>50.8</v>
      </c>
      <c r="S44" s="220">
        <v>1</v>
      </c>
      <c r="T44" s="283"/>
      <c r="U44" s="298"/>
      <c r="V44" s="171" t="s">
        <v>19</v>
      </c>
      <c r="W44" s="171" t="s">
        <v>20</v>
      </c>
      <c r="X44" s="171" t="s">
        <v>12</v>
      </c>
      <c r="Y44" s="171">
        <v>50.8</v>
      </c>
      <c r="Z44" s="178"/>
      <c r="AC44" s="179"/>
      <c r="AD44" s="178"/>
      <c r="AG44" s="179"/>
      <c r="AL44" s="178"/>
      <c r="AO44" s="179"/>
      <c r="AS44" s="179"/>
      <c r="AW44" s="179"/>
      <c r="BA44" s="180"/>
    </row>
    <row r="45" spans="1:53" s="171" customFormat="1" x14ac:dyDescent="0.15">
      <c r="A45" s="216">
        <v>1978</v>
      </c>
      <c r="B45" s="278"/>
      <c r="C45" s="402" t="s">
        <v>35</v>
      </c>
      <c r="D45" s="402"/>
      <c r="E45" s="171">
        <v>365</v>
      </c>
      <c r="F45" s="180"/>
      <c r="G45" s="216"/>
      <c r="H45" s="216"/>
      <c r="I45" s="216">
        <v>12</v>
      </c>
      <c r="J45" s="234">
        <v>14</v>
      </c>
      <c r="K45" s="213">
        <f t="shared" si="14"/>
        <v>0</v>
      </c>
      <c r="L45" s="214">
        <f t="shared" si="15"/>
        <v>0</v>
      </c>
      <c r="M45" s="214">
        <f t="shared" si="16"/>
        <v>85.714285714285708</v>
      </c>
      <c r="N45" s="215">
        <f t="shared" si="3"/>
        <v>85.714285714285708</v>
      </c>
      <c r="O45" s="214"/>
      <c r="P45" s="214"/>
      <c r="Q45" s="214">
        <v>50.8</v>
      </c>
      <c r="R45" s="235">
        <f t="shared" si="4"/>
        <v>50.8</v>
      </c>
      <c r="S45" s="220">
        <v>1</v>
      </c>
      <c r="T45" s="283"/>
      <c r="U45" s="298"/>
      <c r="V45" s="171" t="s">
        <v>19</v>
      </c>
      <c r="W45" s="171" t="s">
        <v>20</v>
      </c>
      <c r="X45" s="171" t="s">
        <v>12</v>
      </c>
      <c r="Y45" s="171">
        <v>50.8</v>
      </c>
      <c r="Z45" s="178"/>
      <c r="AC45" s="179"/>
      <c r="AD45" s="178"/>
      <c r="AG45" s="179"/>
      <c r="AL45" s="178"/>
      <c r="AO45" s="179"/>
      <c r="AS45" s="179"/>
      <c r="AW45" s="179"/>
      <c r="BA45" s="180"/>
    </row>
    <row r="46" spans="1:53" s="171" customFormat="1" x14ac:dyDescent="0.15">
      <c r="A46" s="216">
        <v>1979</v>
      </c>
      <c r="B46" s="278"/>
      <c r="C46" s="402" t="s">
        <v>35</v>
      </c>
      <c r="D46" s="402"/>
      <c r="E46" s="171">
        <v>129</v>
      </c>
      <c r="F46" s="180"/>
      <c r="G46" s="233"/>
      <c r="H46" s="216"/>
      <c r="I46" s="216">
        <v>12</v>
      </c>
      <c r="J46" s="234">
        <v>14</v>
      </c>
      <c r="K46" s="213">
        <f t="shared" si="14"/>
        <v>0</v>
      </c>
      <c r="L46" s="214">
        <f t="shared" si="15"/>
        <v>0</v>
      </c>
      <c r="M46" s="214">
        <f t="shared" si="16"/>
        <v>85.714285714285708</v>
      </c>
      <c r="N46" s="215">
        <f t="shared" si="3"/>
        <v>85.714285714285708</v>
      </c>
      <c r="O46" s="214"/>
      <c r="P46" s="214"/>
      <c r="Q46" s="214">
        <v>50.8</v>
      </c>
      <c r="R46" s="235">
        <f t="shared" si="4"/>
        <v>50.8</v>
      </c>
      <c r="S46" s="220">
        <v>1</v>
      </c>
      <c r="T46" s="283"/>
      <c r="U46" s="298"/>
      <c r="V46" s="171" t="s">
        <v>19</v>
      </c>
      <c r="W46" s="171" t="s">
        <v>20</v>
      </c>
      <c r="X46" s="171" t="s">
        <v>12</v>
      </c>
      <c r="Y46" s="171">
        <v>50.8</v>
      </c>
      <c r="Z46" s="178"/>
      <c r="AC46" s="179"/>
      <c r="AD46" s="178"/>
      <c r="AG46" s="179"/>
      <c r="AL46" s="178"/>
      <c r="AO46" s="179"/>
      <c r="AS46" s="179"/>
      <c r="AW46" s="179"/>
      <c r="BA46" s="180"/>
    </row>
    <row r="47" spans="1:53" s="29" customFormat="1" x14ac:dyDescent="0.15">
      <c r="A47" s="52">
        <v>1979</v>
      </c>
      <c r="B47" s="292">
        <v>29011</v>
      </c>
      <c r="C47" s="394" t="s">
        <v>36</v>
      </c>
      <c r="D47" s="394"/>
      <c r="E47" s="29">
        <v>236</v>
      </c>
      <c r="F47" s="40">
        <v>1</v>
      </c>
      <c r="G47" s="66"/>
      <c r="I47" s="52">
        <v>15</v>
      </c>
      <c r="J47" s="71">
        <v>15</v>
      </c>
      <c r="K47" s="46">
        <f t="shared" si="14"/>
        <v>0</v>
      </c>
      <c r="L47" s="47">
        <f t="shared" si="15"/>
        <v>0</v>
      </c>
      <c r="M47" s="47">
        <f t="shared" si="16"/>
        <v>100</v>
      </c>
      <c r="N47" s="48">
        <f t="shared" si="3"/>
        <v>100</v>
      </c>
      <c r="O47" s="47"/>
      <c r="P47" s="47"/>
      <c r="Q47" s="47">
        <v>51.9</v>
      </c>
      <c r="R47" s="68">
        <f t="shared" si="4"/>
        <v>51.9</v>
      </c>
      <c r="S47" s="69">
        <v>1</v>
      </c>
      <c r="T47" s="295">
        <v>28981</v>
      </c>
      <c r="U47" s="292">
        <v>29011</v>
      </c>
      <c r="V47" s="29" t="s">
        <v>19</v>
      </c>
      <c r="W47" s="29" t="s">
        <v>20</v>
      </c>
      <c r="X47" s="29" t="s">
        <v>12</v>
      </c>
      <c r="Y47" s="29">
        <v>51.9</v>
      </c>
      <c r="Z47" s="38"/>
      <c r="AC47" s="39"/>
      <c r="AD47" s="38"/>
      <c r="AG47" s="39"/>
      <c r="AL47" s="38"/>
      <c r="AO47" s="39"/>
      <c r="AS47" s="39"/>
      <c r="AW47" s="39"/>
      <c r="BA47" s="40"/>
    </row>
    <row r="48" spans="1:53" s="29" customFormat="1" x14ac:dyDescent="0.15">
      <c r="A48" s="52">
        <v>1980</v>
      </c>
      <c r="B48" s="279"/>
      <c r="C48" s="394" t="s">
        <v>36</v>
      </c>
      <c r="D48" s="394"/>
      <c r="E48" s="29">
        <v>0</v>
      </c>
      <c r="F48" s="40"/>
      <c r="G48" s="52"/>
      <c r="H48" s="52"/>
      <c r="I48" s="52">
        <v>15</v>
      </c>
      <c r="J48" s="71">
        <v>15</v>
      </c>
      <c r="K48" s="46">
        <f>G48/J48*100</f>
        <v>0</v>
      </c>
      <c r="L48" s="47">
        <f>H48/J48*100</f>
        <v>0</v>
      </c>
      <c r="M48" s="47">
        <f>I48/J48*100</f>
        <v>100</v>
      </c>
      <c r="N48" s="48">
        <f t="shared" si="3"/>
        <v>100</v>
      </c>
      <c r="O48" s="47"/>
      <c r="P48" s="47"/>
      <c r="Q48" s="47">
        <v>51.9</v>
      </c>
      <c r="R48" s="68">
        <f t="shared" si="4"/>
        <v>51.9</v>
      </c>
      <c r="S48" s="69">
        <v>1</v>
      </c>
      <c r="T48" s="295"/>
      <c r="U48" s="292"/>
      <c r="V48" s="29" t="s">
        <v>19</v>
      </c>
      <c r="W48" s="29" t="s">
        <v>20</v>
      </c>
      <c r="X48" s="29" t="s">
        <v>12</v>
      </c>
      <c r="Y48" s="29">
        <v>51.9</v>
      </c>
      <c r="Z48" s="38"/>
      <c r="AC48" s="39"/>
      <c r="AD48" s="38"/>
      <c r="AG48" s="39"/>
      <c r="AL48" s="38"/>
      <c r="AO48" s="39"/>
      <c r="AS48" s="39"/>
      <c r="AW48" s="39"/>
      <c r="BA48" s="40"/>
    </row>
    <row r="49" spans="1:53" s="29" customFormat="1" x14ac:dyDescent="0.15">
      <c r="A49" s="52">
        <v>1980</v>
      </c>
      <c r="B49" s="279"/>
      <c r="C49" s="394" t="s">
        <v>36</v>
      </c>
      <c r="D49" s="394"/>
      <c r="E49" s="29">
        <v>366</v>
      </c>
      <c r="F49" s="40"/>
      <c r="G49" s="66"/>
      <c r="H49" s="52"/>
      <c r="I49" s="52">
        <v>15</v>
      </c>
      <c r="J49" s="71">
        <v>15</v>
      </c>
      <c r="K49" s="46">
        <f t="shared" ref="K49:K55" si="17">G49/J49*100</f>
        <v>0</v>
      </c>
      <c r="L49" s="47">
        <f t="shared" ref="L49:L55" si="18">H49/J49*100</f>
        <v>0</v>
      </c>
      <c r="M49" s="47">
        <f t="shared" ref="M49:M55" si="19">I49/J49*100</f>
        <v>100</v>
      </c>
      <c r="N49" s="48">
        <f t="shared" si="3"/>
        <v>100</v>
      </c>
      <c r="O49" s="47"/>
      <c r="P49" s="47"/>
      <c r="Q49" s="47">
        <v>51.9</v>
      </c>
      <c r="R49" s="68">
        <f t="shared" si="4"/>
        <v>51.9</v>
      </c>
      <c r="S49" s="69">
        <v>1</v>
      </c>
      <c r="T49" s="295"/>
      <c r="U49" s="292"/>
      <c r="V49" s="29" t="s">
        <v>19</v>
      </c>
      <c r="W49" s="29" t="s">
        <v>20</v>
      </c>
      <c r="X49" s="29" t="s">
        <v>12</v>
      </c>
      <c r="Y49" s="29">
        <v>51.9</v>
      </c>
      <c r="Z49" s="38"/>
      <c r="AC49" s="39"/>
      <c r="AD49" s="38"/>
      <c r="AG49" s="39"/>
      <c r="AL49" s="38"/>
      <c r="AO49" s="39"/>
      <c r="AS49" s="39"/>
      <c r="AW49" s="39"/>
      <c r="BA49" s="40"/>
    </row>
    <row r="50" spans="1:53" s="29" customFormat="1" x14ac:dyDescent="0.15">
      <c r="A50" s="52">
        <v>1981</v>
      </c>
      <c r="B50" s="279"/>
      <c r="C50" s="394" t="s">
        <v>36</v>
      </c>
      <c r="D50" s="394"/>
      <c r="E50" s="29">
        <v>0</v>
      </c>
      <c r="F50" s="40"/>
      <c r="G50" s="66"/>
      <c r="I50" s="52">
        <v>15</v>
      </c>
      <c r="J50" s="71">
        <v>15</v>
      </c>
      <c r="K50" s="46">
        <f t="shared" si="17"/>
        <v>0</v>
      </c>
      <c r="L50" s="47">
        <f t="shared" si="18"/>
        <v>0</v>
      </c>
      <c r="M50" s="47">
        <f t="shared" si="19"/>
        <v>100</v>
      </c>
      <c r="N50" s="48">
        <f t="shared" si="3"/>
        <v>100</v>
      </c>
      <c r="O50" s="47"/>
      <c r="P50" s="47"/>
      <c r="Q50" s="47">
        <v>51.9</v>
      </c>
      <c r="R50" s="68">
        <f t="shared" si="4"/>
        <v>51.9</v>
      </c>
      <c r="S50" s="69">
        <v>1</v>
      </c>
      <c r="T50" s="295"/>
      <c r="U50" s="292"/>
      <c r="V50" s="29" t="s">
        <v>19</v>
      </c>
      <c r="W50" s="29" t="s">
        <v>20</v>
      </c>
      <c r="X50" s="29" t="s">
        <v>12</v>
      </c>
      <c r="Y50" s="29">
        <v>51.9</v>
      </c>
      <c r="Z50" s="38"/>
      <c r="AC50" s="39"/>
      <c r="AD50" s="38"/>
      <c r="AG50" s="39"/>
      <c r="AL50" s="38"/>
      <c r="AO50" s="39"/>
      <c r="AS50" s="39"/>
      <c r="AW50" s="39"/>
      <c r="BA50" s="40"/>
    </row>
    <row r="51" spans="1:53" s="29" customFormat="1" x14ac:dyDescent="0.15">
      <c r="A51" s="52">
        <v>1981</v>
      </c>
      <c r="B51" s="279"/>
      <c r="C51" s="394" t="s">
        <v>36</v>
      </c>
      <c r="D51" s="394"/>
      <c r="E51" s="29">
        <v>365</v>
      </c>
      <c r="F51" s="40"/>
      <c r="G51" s="52"/>
      <c r="H51" s="52"/>
      <c r="I51" s="52">
        <v>15</v>
      </c>
      <c r="J51" s="71">
        <v>15</v>
      </c>
      <c r="K51" s="46">
        <f t="shared" si="17"/>
        <v>0</v>
      </c>
      <c r="L51" s="47">
        <f t="shared" si="18"/>
        <v>0</v>
      </c>
      <c r="M51" s="47">
        <f t="shared" si="19"/>
        <v>100</v>
      </c>
      <c r="N51" s="48">
        <f t="shared" si="3"/>
        <v>100</v>
      </c>
      <c r="O51" s="47"/>
      <c r="P51" s="47"/>
      <c r="Q51" s="47">
        <v>51.9</v>
      </c>
      <c r="R51" s="68">
        <f t="shared" si="4"/>
        <v>51.9</v>
      </c>
      <c r="S51" s="69">
        <v>1</v>
      </c>
      <c r="T51" s="295"/>
      <c r="U51" s="292"/>
      <c r="V51" s="29" t="s">
        <v>19</v>
      </c>
      <c r="W51" s="29" t="s">
        <v>20</v>
      </c>
      <c r="X51" s="29" t="s">
        <v>12</v>
      </c>
      <c r="Y51" s="29">
        <v>51.9</v>
      </c>
      <c r="Z51" s="38"/>
      <c r="AC51" s="39"/>
      <c r="AD51" s="38"/>
      <c r="AG51" s="39"/>
      <c r="AL51" s="38"/>
      <c r="AO51" s="39"/>
      <c r="AS51" s="39"/>
      <c r="AW51" s="39"/>
      <c r="BA51" s="40"/>
    </row>
    <row r="52" spans="1:53" s="29" customFormat="1" x14ac:dyDescent="0.15">
      <c r="A52" s="52">
        <v>1982</v>
      </c>
      <c r="B52" s="279"/>
      <c r="C52" s="394" t="s">
        <v>36</v>
      </c>
      <c r="D52" s="394"/>
      <c r="E52" s="29">
        <v>0</v>
      </c>
      <c r="F52" s="40"/>
      <c r="G52" s="66"/>
      <c r="H52" s="52"/>
      <c r="I52" s="52">
        <v>15</v>
      </c>
      <c r="J52" s="71">
        <v>15</v>
      </c>
      <c r="K52" s="46">
        <f t="shared" si="17"/>
        <v>0</v>
      </c>
      <c r="L52" s="47">
        <f t="shared" si="18"/>
        <v>0</v>
      </c>
      <c r="M52" s="47">
        <f t="shared" si="19"/>
        <v>100</v>
      </c>
      <c r="N52" s="48">
        <f t="shared" si="3"/>
        <v>100</v>
      </c>
      <c r="O52" s="47"/>
      <c r="P52" s="47"/>
      <c r="Q52" s="47">
        <v>51.9</v>
      </c>
      <c r="R52" s="68">
        <f t="shared" si="4"/>
        <v>51.9</v>
      </c>
      <c r="S52" s="69">
        <v>1</v>
      </c>
      <c r="T52" s="295"/>
      <c r="U52" s="292"/>
      <c r="V52" s="29" t="s">
        <v>19</v>
      </c>
      <c r="W52" s="29" t="s">
        <v>20</v>
      </c>
      <c r="X52" s="29" t="s">
        <v>12</v>
      </c>
      <c r="Y52" s="29">
        <v>51.9</v>
      </c>
      <c r="Z52" s="38"/>
      <c r="AC52" s="39"/>
      <c r="AD52" s="38"/>
      <c r="AG52" s="39"/>
      <c r="AL52" s="38"/>
      <c r="AO52" s="39"/>
      <c r="AS52" s="39"/>
      <c r="AW52" s="39"/>
      <c r="BA52" s="40"/>
    </row>
    <row r="53" spans="1:53" s="29" customFormat="1" x14ac:dyDescent="0.15">
      <c r="A53" s="52">
        <v>1982</v>
      </c>
      <c r="B53" s="279"/>
      <c r="C53" s="394" t="s">
        <v>36</v>
      </c>
      <c r="D53" s="394"/>
      <c r="E53" s="29">
        <v>365</v>
      </c>
      <c r="F53" s="40"/>
      <c r="G53" s="66"/>
      <c r="I53" s="52">
        <v>15</v>
      </c>
      <c r="J53" s="71">
        <v>15</v>
      </c>
      <c r="K53" s="46">
        <f t="shared" si="17"/>
        <v>0</v>
      </c>
      <c r="L53" s="47">
        <f t="shared" si="18"/>
        <v>0</v>
      </c>
      <c r="M53" s="47">
        <f t="shared" si="19"/>
        <v>100</v>
      </c>
      <c r="N53" s="48">
        <f t="shared" si="3"/>
        <v>100</v>
      </c>
      <c r="O53" s="47"/>
      <c r="P53" s="47"/>
      <c r="Q53" s="47">
        <v>51.9</v>
      </c>
      <c r="R53" s="68">
        <f t="shared" si="4"/>
        <v>51.9</v>
      </c>
      <c r="S53" s="69">
        <v>1</v>
      </c>
      <c r="T53" s="295"/>
      <c r="U53" s="292"/>
      <c r="V53" s="29" t="s">
        <v>19</v>
      </c>
      <c r="W53" s="29" t="s">
        <v>20</v>
      </c>
      <c r="X53" s="29" t="s">
        <v>12</v>
      </c>
      <c r="Y53" s="29">
        <v>51.9</v>
      </c>
      <c r="Z53" s="38"/>
      <c r="AC53" s="39"/>
      <c r="AD53" s="38"/>
      <c r="AG53" s="39"/>
      <c r="AL53" s="38"/>
      <c r="AO53" s="39"/>
      <c r="AS53" s="39"/>
      <c r="AW53" s="39"/>
      <c r="BA53" s="40"/>
    </row>
    <row r="54" spans="1:53" s="29" customFormat="1" x14ac:dyDescent="0.15">
      <c r="A54" s="52">
        <v>1983</v>
      </c>
      <c r="B54" s="279"/>
      <c r="C54" s="394" t="s">
        <v>36</v>
      </c>
      <c r="D54" s="394"/>
      <c r="E54" s="29">
        <v>143</v>
      </c>
      <c r="F54" s="40"/>
      <c r="G54" s="52"/>
      <c r="H54" s="52"/>
      <c r="I54" s="52">
        <v>15</v>
      </c>
      <c r="J54" s="71">
        <v>15</v>
      </c>
      <c r="K54" s="46">
        <f t="shared" si="17"/>
        <v>0</v>
      </c>
      <c r="L54" s="47">
        <f t="shared" si="18"/>
        <v>0</v>
      </c>
      <c r="M54" s="47">
        <f t="shared" si="19"/>
        <v>100</v>
      </c>
      <c r="N54" s="48">
        <f t="shared" si="3"/>
        <v>100</v>
      </c>
      <c r="O54" s="47"/>
      <c r="P54" s="47"/>
      <c r="Q54" s="47">
        <v>51.9</v>
      </c>
      <c r="R54" s="68">
        <f t="shared" si="4"/>
        <v>51.9</v>
      </c>
      <c r="S54" s="69">
        <v>1</v>
      </c>
      <c r="T54" s="295"/>
      <c r="U54" s="292"/>
      <c r="V54" s="29" t="s">
        <v>19</v>
      </c>
      <c r="W54" s="29" t="s">
        <v>20</v>
      </c>
      <c r="X54" s="29" t="s">
        <v>12</v>
      </c>
      <c r="Y54" s="29">
        <v>51.9</v>
      </c>
      <c r="Z54" s="38"/>
      <c r="AC54" s="39"/>
      <c r="AD54" s="38"/>
      <c r="AG54" s="39"/>
      <c r="AL54" s="38"/>
      <c r="AO54" s="39"/>
      <c r="AS54" s="39"/>
      <c r="AW54" s="39"/>
      <c r="BA54" s="40"/>
    </row>
    <row r="55" spans="1:53" s="171" customFormat="1" x14ac:dyDescent="0.15">
      <c r="A55" s="216">
        <v>1983</v>
      </c>
      <c r="B55" s="278">
        <v>30460</v>
      </c>
      <c r="C55" s="410" t="s">
        <v>38</v>
      </c>
      <c r="D55" s="410"/>
      <c r="E55" s="171">
        <v>222</v>
      </c>
      <c r="F55" s="180">
        <v>1</v>
      </c>
      <c r="G55" s="216">
        <v>3</v>
      </c>
      <c r="H55" s="216"/>
      <c r="I55" s="216">
        <v>12</v>
      </c>
      <c r="J55" s="234">
        <v>15</v>
      </c>
      <c r="K55" s="213">
        <f t="shared" si="17"/>
        <v>20</v>
      </c>
      <c r="L55" s="214">
        <f t="shared" si="18"/>
        <v>0</v>
      </c>
      <c r="M55" s="214">
        <f t="shared" si="19"/>
        <v>80</v>
      </c>
      <c r="N55" s="215">
        <f t="shared" si="3"/>
        <v>100</v>
      </c>
      <c r="O55" s="214">
        <v>6.6</v>
      </c>
      <c r="P55" s="214"/>
      <c r="Q55" s="214">
        <v>49.2</v>
      </c>
      <c r="R55" s="235">
        <f t="shared" si="4"/>
        <v>55.800000000000004</v>
      </c>
      <c r="S55" s="220">
        <v>2</v>
      </c>
      <c r="T55" s="283">
        <v>30430</v>
      </c>
      <c r="U55" s="298">
        <v>30460</v>
      </c>
      <c r="V55" s="171" t="s">
        <v>19</v>
      </c>
      <c r="W55" s="171" t="s">
        <v>20</v>
      </c>
      <c r="X55" s="171" t="s">
        <v>12</v>
      </c>
      <c r="Y55" s="171">
        <v>49.2</v>
      </c>
      <c r="Z55" s="178" t="s">
        <v>21</v>
      </c>
      <c r="AA55" s="171" t="s">
        <v>22</v>
      </c>
      <c r="AB55" s="171" t="s">
        <v>11</v>
      </c>
      <c r="AC55" s="179">
        <v>6.6</v>
      </c>
      <c r="AD55" s="178"/>
      <c r="AG55" s="179"/>
      <c r="AL55" s="178"/>
      <c r="AO55" s="179"/>
      <c r="AS55" s="179"/>
      <c r="AW55" s="179"/>
      <c r="BA55" s="180"/>
    </row>
    <row r="56" spans="1:53" s="171" customFormat="1" x14ac:dyDescent="0.15">
      <c r="A56" s="216">
        <v>1984</v>
      </c>
      <c r="B56" s="278"/>
      <c r="C56" s="410" t="s">
        <v>38</v>
      </c>
      <c r="D56" s="410"/>
      <c r="E56" s="171">
        <v>0</v>
      </c>
      <c r="F56" s="180"/>
      <c r="G56" s="216">
        <v>3</v>
      </c>
      <c r="I56" s="216">
        <v>12</v>
      </c>
      <c r="J56" s="234">
        <v>15</v>
      </c>
      <c r="K56" s="213">
        <f>G56/J56*100</f>
        <v>20</v>
      </c>
      <c r="L56" s="214">
        <f>H56/J56*100</f>
        <v>0</v>
      </c>
      <c r="M56" s="214">
        <f>I56/J56*100</f>
        <v>80</v>
      </c>
      <c r="N56" s="215">
        <f t="shared" si="3"/>
        <v>100</v>
      </c>
      <c r="O56" s="214">
        <v>6.6</v>
      </c>
      <c r="P56" s="214"/>
      <c r="Q56" s="214">
        <v>49.2</v>
      </c>
      <c r="R56" s="235">
        <f t="shared" si="4"/>
        <v>55.800000000000004</v>
      </c>
      <c r="S56" s="220">
        <v>2</v>
      </c>
      <c r="T56" s="283"/>
      <c r="U56" s="298"/>
      <c r="V56" s="171" t="s">
        <v>19</v>
      </c>
      <c r="W56" s="171" t="s">
        <v>20</v>
      </c>
      <c r="X56" s="171" t="s">
        <v>12</v>
      </c>
      <c r="Y56" s="171">
        <v>49.2</v>
      </c>
      <c r="Z56" s="178" t="s">
        <v>21</v>
      </c>
      <c r="AA56" s="171" t="s">
        <v>22</v>
      </c>
      <c r="AB56" s="171" t="s">
        <v>11</v>
      </c>
      <c r="AC56" s="179">
        <v>6.6</v>
      </c>
      <c r="AD56" s="178"/>
      <c r="AG56" s="179"/>
      <c r="AL56" s="178"/>
      <c r="AO56" s="179"/>
      <c r="AS56" s="179"/>
      <c r="AW56" s="179"/>
      <c r="BA56" s="180"/>
    </row>
    <row r="57" spans="1:53" s="171" customFormat="1" x14ac:dyDescent="0.15">
      <c r="A57" s="216">
        <v>1984</v>
      </c>
      <c r="B57" s="278"/>
      <c r="C57" s="410" t="s">
        <v>38</v>
      </c>
      <c r="D57" s="410"/>
      <c r="E57" s="171">
        <v>366</v>
      </c>
      <c r="F57" s="180"/>
      <c r="G57" s="216">
        <v>3</v>
      </c>
      <c r="H57" s="216"/>
      <c r="I57" s="216">
        <v>12</v>
      </c>
      <c r="J57" s="234">
        <v>15</v>
      </c>
      <c r="K57" s="213">
        <f t="shared" ref="K57:K63" si="20">G57/J57*100</f>
        <v>20</v>
      </c>
      <c r="L57" s="214">
        <f t="shared" ref="L57:L63" si="21">H57/J57*100</f>
        <v>0</v>
      </c>
      <c r="M57" s="214">
        <f t="shared" ref="M57:M63" si="22">I57/J57*100</f>
        <v>80</v>
      </c>
      <c r="N57" s="215">
        <f t="shared" si="3"/>
        <v>100</v>
      </c>
      <c r="O57" s="214">
        <v>6.6</v>
      </c>
      <c r="P57" s="214"/>
      <c r="Q57" s="214">
        <v>49.2</v>
      </c>
      <c r="R57" s="235">
        <f t="shared" si="4"/>
        <v>55.800000000000004</v>
      </c>
      <c r="S57" s="220">
        <v>2</v>
      </c>
      <c r="T57" s="283"/>
      <c r="U57" s="298"/>
      <c r="V57" s="171" t="s">
        <v>19</v>
      </c>
      <c r="W57" s="171" t="s">
        <v>20</v>
      </c>
      <c r="X57" s="171" t="s">
        <v>12</v>
      </c>
      <c r="Y57" s="171">
        <v>49.2</v>
      </c>
      <c r="Z57" s="178" t="s">
        <v>21</v>
      </c>
      <c r="AA57" s="171" t="s">
        <v>22</v>
      </c>
      <c r="AB57" s="171" t="s">
        <v>11</v>
      </c>
      <c r="AC57" s="179">
        <v>6.6</v>
      </c>
      <c r="AD57" s="178"/>
      <c r="AG57" s="179"/>
      <c r="AL57" s="178"/>
      <c r="AO57" s="179"/>
      <c r="AS57" s="179"/>
      <c r="AW57" s="179"/>
      <c r="BA57" s="180"/>
    </row>
    <row r="58" spans="1:53" s="171" customFormat="1" x14ac:dyDescent="0.15">
      <c r="A58" s="216">
        <v>1985</v>
      </c>
      <c r="B58" s="278"/>
      <c r="C58" s="410" t="s">
        <v>38</v>
      </c>
      <c r="D58" s="410"/>
      <c r="E58" s="171">
        <v>0</v>
      </c>
      <c r="F58" s="180"/>
      <c r="G58" s="216">
        <v>3</v>
      </c>
      <c r="H58" s="216"/>
      <c r="I58" s="216">
        <v>12</v>
      </c>
      <c r="J58" s="234">
        <v>15</v>
      </c>
      <c r="K58" s="213">
        <f t="shared" si="20"/>
        <v>20</v>
      </c>
      <c r="L58" s="214">
        <f t="shared" si="21"/>
        <v>0</v>
      </c>
      <c r="M58" s="214">
        <f t="shared" si="22"/>
        <v>80</v>
      </c>
      <c r="N58" s="215">
        <f t="shared" si="3"/>
        <v>100</v>
      </c>
      <c r="O58" s="214">
        <v>6.6</v>
      </c>
      <c r="P58" s="214"/>
      <c r="Q58" s="214">
        <v>49.2</v>
      </c>
      <c r="R58" s="235">
        <f t="shared" si="4"/>
        <v>55.800000000000004</v>
      </c>
      <c r="S58" s="220">
        <v>2</v>
      </c>
      <c r="T58" s="283"/>
      <c r="U58" s="298"/>
      <c r="V58" s="171" t="s">
        <v>19</v>
      </c>
      <c r="W58" s="171" t="s">
        <v>20</v>
      </c>
      <c r="X58" s="171" t="s">
        <v>12</v>
      </c>
      <c r="Y58" s="171">
        <v>49.2</v>
      </c>
      <c r="Z58" s="178" t="s">
        <v>21</v>
      </c>
      <c r="AA58" s="171" t="s">
        <v>22</v>
      </c>
      <c r="AB58" s="171" t="s">
        <v>11</v>
      </c>
      <c r="AC58" s="179">
        <v>6.6</v>
      </c>
      <c r="AD58" s="178"/>
      <c r="AG58" s="179"/>
      <c r="AL58" s="178"/>
      <c r="AO58" s="179"/>
      <c r="AS58" s="179"/>
      <c r="AW58" s="179"/>
      <c r="BA58" s="180"/>
    </row>
    <row r="59" spans="1:53" s="171" customFormat="1" x14ac:dyDescent="0.15">
      <c r="A59" s="216">
        <v>1985</v>
      </c>
      <c r="B59" s="278"/>
      <c r="C59" s="410" t="s">
        <v>38</v>
      </c>
      <c r="D59" s="410"/>
      <c r="E59" s="171">
        <v>365</v>
      </c>
      <c r="F59" s="180"/>
      <c r="G59" s="216">
        <v>3</v>
      </c>
      <c r="I59" s="216">
        <v>12</v>
      </c>
      <c r="J59" s="234">
        <v>15</v>
      </c>
      <c r="K59" s="213">
        <f t="shared" si="20"/>
        <v>20</v>
      </c>
      <c r="L59" s="214">
        <f t="shared" si="21"/>
        <v>0</v>
      </c>
      <c r="M59" s="214">
        <f t="shared" si="22"/>
        <v>80</v>
      </c>
      <c r="N59" s="215">
        <f t="shared" si="3"/>
        <v>100</v>
      </c>
      <c r="O59" s="214">
        <v>6.6</v>
      </c>
      <c r="P59" s="214"/>
      <c r="Q59" s="214">
        <v>49.2</v>
      </c>
      <c r="R59" s="235">
        <f t="shared" si="4"/>
        <v>55.800000000000004</v>
      </c>
      <c r="S59" s="220">
        <v>2</v>
      </c>
      <c r="T59" s="283"/>
      <c r="U59" s="298"/>
      <c r="V59" s="171" t="s">
        <v>19</v>
      </c>
      <c r="W59" s="171" t="s">
        <v>20</v>
      </c>
      <c r="X59" s="171" t="s">
        <v>12</v>
      </c>
      <c r="Y59" s="171">
        <v>49.2</v>
      </c>
      <c r="Z59" s="178" t="s">
        <v>21</v>
      </c>
      <c r="AA59" s="171" t="s">
        <v>22</v>
      </c>
      <c r="AB59" s="171" t="s">
        <v>11</v>
      </c>
      <c r="AC59" s="179">
        <v>6.6</v>
      </c>
      <c r="AD59" s="178"/>
      <c r="AG59" s="179"/>
      <c r="AL59" s="178"/>
      <c r="AO59" s="179"/>
      <c r="AS59" s="179"/>
      <c r="AW59" s="179"/>
      <c r="BA59" s="180"/>
    </row>
    <row r="60" spans="1:53" s="171" customFormat="1" x14ac:dyDescent="0.15">
      <c r="A60" s="216">
        <v>1986</v>
      </c>
      <c r="B60" s="278"/>
      <c r="C60" s="410" t="s">
        <v>38</v>
      </c>
      <c r="D60" s="410"/>
      <c r="E60" s="171">
        <v>166</v>
      </c>
      <c r="F60" s="180"/>
      <c r="G60" s="216">
        <v>3</v>
      </c>
      <c r="H60" s="216"/>
      <c r="I60" s="216">
        <v>12</v>
      </c>
      <c r="J60" s="234">
        <v>15</v>
      </c>
      <c r="K60" s="213">
        <f t="shared" si="20"/>
        <v>20</v>
      </c>
      <c r="L60" s="214">
        <f t="shared" si="21"/>
        <v>0</v>
      </c>
      <c r="M60" s="214">
        <f t="shared" si="22"/>
        <v>80</v>
      </c>
      <c r="N60" s="215">
        <f t="shared" si="3"/>
        <v>100</v>
      </c>
      <c r="O60" s="214">
        <v>6.6</v>
      </c>
      <c r="P60" s="214"/>
      <c r="Q60" s="214">
        <v>49.2</v>
      </c>
      <c r="R60" s="235">
        <f t="shared" si="4"/>
        <v>55.800000000000004</v>
      </c>
      <c r="S60" s="220">
        <v>2</v>
      </c>
      <c r="T60" s="283"/>
      <c r="U60" s="298"/>
      <c r="V60" s="171" t="s">
        <v>19</v>
      </c>
      <c r="W60" s="171" t="s">
        <v>20</v>
      </c>
      <c r="X60" s="171" t="s">
        <v>12</v>
      </c>
      <c r="Y60" s="171">
        <v>49.2</v>
      </c>
      <c r="Z60" s="178" t="s">
        <v>21</v>
      </c>
      <c r="AA60" s="171" t="s">
        <v>22</v>
      </c>
      <c r="AB60" s="171" t="s">
        <v>11</v>
      </c>
      <c r="AC60" s="179">
        <v>6.6</v>
      </c>
      <c r="AD60" s="178"/>
      <c r="AG60" s="179"/>
      <c r="AL60" s="178"/>
      <c r="AO60" s="179"/>
      <c r="AS60" s="179"/>
      <c r="AW60" s="179"/>
      <c r="BA60" s="180"/>
    </row>
    <row r="61" spans="1:53" s="29" customFormat="1" x14ac:dyDescent="0.15">
      <c r="A61" s="52">
        <v>1986</v>
      </c>
      <c r="B61" s="279">
        <v>31579</v>
      </c>
      <c r="C61" s="411" t="s">
        <v>37</v>
      </c>
      <c r="D61" s="411"/>
      <c r="E61" s="29">
        <v>199</v>
      </c>
      <c r="F61" s="40">
        <v>2</v>
      </c>
      <c r="G61" s="52">
        <v>3</v>
      </c>
      <c r="H61" s="52"/>
      <c r="I61" s="52">
        <v>13</v>
      </c>
      <c r="J61" s="71">
        <v>16</v>
      </c>
      <c r="K61" s="46">
        <f t="shared" si="20"/>
        <v>18.75</v>
      </c>
      <c r="L61" s="47">
        <f t="shared" si="21"/>
        <v>0</v>
      </c>
      <c r="M61" s="47">
        <f t="shared" si="22"/>
        <v>81.25</v>
      </c>
      <c r="N61" s="48">
        <f t="shared" si="3"/>
        <v>100</v>
      </c>
      <c r="O61" s="47">
        <v>6.6</v>
      </c>
      <c r="P61" s="47"/>
      <c r="Q61" s="47">
        <v>49.2</v>
      </c>
      <c r="R61" s="68">
        <f t="shared" si="4"/>
        <v>55.800000000000004</v>
      </c>
      <c r="S61" s="69">
        <v>2</v>
      </c>
      <c r="T61" s="295"/>
      <c r="U61" s="292">
        <v>31579</v>
      </c>
      <c r="V61" s="29" t="s">
        <v>19</v>
      </c>
      <c r="W61" s="29" t="s">
        <v>20</v>
      </c>
      <c r="X61" s="29" t="s">
        <v>12</v>
      </c>
      <c r="Y61" s="29">
        <v>49.2</v>
      </c>
      <c r="Z61" s="38" t="s">
        <v>21</v>
      </c>
      <c r="AA61" s="29" t="s">
        <v>22</v>
      </c>
      <c r="AB61" s="29" t="s">
        <v>11</v>
      </c>
      <c r="AC61" s="39">
        <v>6.6</v>
      </c>
      <c r="AD61" s="38"/>
      <c r="AG61" s="39"/>
      <c r="AL61" s="38"/>
      <c r="AO61" s="39"/>
      <c r="AS61" s="39"/>
      <c r="AW61" s="39"/>
      <c r="BA61" s="40"/>
    </row>
    <row r="62" spans="1:53" s="29" customFormat="1" x14ac:dyDescent="0.15">
      <c r="A62" s="52">
        <v>1987</v>
      </c>
      <c r="B62" s="279"/>
      <c r="C62" s="411" t="s">
        <v>37</v>
      </c>
      <c r="D62" s="411"/>
      <c r="E62" s="29">
        <v>20</v>
      </c>
      <c r="F62" s="40"/>
      <c r="G62" s="52">
        <v>3</v>
      </c>
      <c r="I62" s="52">
        <v>13</v>
      </c>
      <c r="J62" s="71">
        <v>16</v>
      </c>
      <c r="K62" s="46">
        <f t="shared" si="20"/>
        <v>18.75</v>
      </c>
      <c r="L62" s="47">
        <f t="shared" si="21"/>
        <v>0</v>
      </c>
      <c r="M62" s="47">
        <f t="shared" si="22"/>
        <v>81.25</v>
      </c>
      <c r="N62" s="48">
        <f t="shared" si="3"/>
        <v>100</v>
      </c>
      <c r="O62" s="47">
        <v>6.6</v>
      </c>
      <c r="P62" s="47"/>
      <c r="Q62" s="47">
        <v>49.2</v>
      </c>
      <c r="R62" s="68">
        <f t="shared" si="4"/>
        <v>55.800000000000004</v>
      </c>
      <c r="S62" s="69">
        <v>2</v>
      </c>
      <c r="T62" s="295">
        <v>31739</v>
      </c>
      <c r="U62" s="292"/>
      <c r="V62" s="29" t="s">
        <v>19</v>
      </c>
      <c r="W62" s="29" t="s">
        <v>20</v>
      </c>
      <c r="X62" s="29" t="s">
        <v>12</v>
      </c>
      <c r="Y62" s="29">
        <v>49.2</v>
      </c>
      <c r="Z62" s="38" t="s">
        <v>21</v>
      </c>
      <c r="AA62" s="29" t="s">
        <v>22</v>
      </c>
      <c r="AB62" s="29" t="s">
        <v>11</v>
      </c>
      <c r="AC62" s="39">
        <v>6.6</v>
      </c>
      <c r="AD62" s="38"/>
      <c r="AG62" s="39"/>
      <c r="AL62" s="38"/>
      <c r="AO62" s="39"/>
      <c r="AS62" s="39"/>
      <c r="AW62" s="39"/>
      <c r="BA62" s="40"/>
    </row>
    <row r="63" spans="1:53" s="171" customFormat="1" x14ac:dyDescent="0.15">
      <c r="A63" s="216">
        <v>1987</v>
      </c>
      <c r="B63" s="278">
        <v>31798</v>
      </c>
      <c r="C63" s="410" t="s">
        <v>39</v>
      </c>
      <c r="D63" s="410"/>
      <c r="E63" s="171">
        <v>345</v>
      </c>
      <c r="F63" s="180">
        <v>1</v>
      </c>
      <c r="G63" s="216"/>
      <c r="H63" s="216">
        <v>7</v>
      </c>
      <c r="I63" s="216">
        <v>7</v>
      </c>
      <c r="J63" s="234">
        <v>15</v>
      </c>
      <c r="K63" s="213">
        <f t="shared" si="20"/>
        <v>0</v>
      </c>
      <c r="L63" s="214">
        <f t="shared" si="21"/>
        <v>46.666666666666664</v>
      </c>
      <c r="M63" s="214">
        <f t="shared" si="22"/>
        <v>46.666666666666664</v>
      </c>
      <c r="N63" s="215">
        <f t="shared" si="3"/>
        <v>93.333333333333329</v>
      </c>
      <c r="O63" s="214"/>
      <c r="P63" s="214">
        <v>42.1</v>
      </c>
      <c r="Q63" s="214">
        <v>43.7</v>
      </c>
      <c r="R63" s="235">
        <f t="shared" si="4"/>
        <v>85.800000000000011</v>
      </c>
      <c r="S63" s="220">
        <v>2</v>
      </c>
      <c r="T63" s="283"/>
      <c r="U63" s="298">
        <v>31798</v>
      </c>
      <c r="V63" s="171" t="s">
        <v>19</v>
      </c>
      <c r="W63" s="171" t="s">
        <v>20</v>
      </c>
      <c r="X63" s="171" t="s">
        <v>12</v>
      </c>
      <c r="Y63" s="171">
        <v>43.7</v>
      </c>
      <c r="Z63" s="178" t="s">
        <v>16</v>
      </c>
      <c r="AA63" s="171" t="s">
        <v>17</v>
      </c>
      <c r="AB63" s="171" t="s">
        <v>18</v>
      </c>
      <c r="AC63" s="179">
        <v>42.1</v>
      </c>
      <c r="AD63" s="178"/>
      <c r="AG63" s="179"/>
      <c r="AL63" s="178"/>
      <c r="AO63" s="179"/>
      <c r="AS63" s="179"/>
      <c r="AW63" s="179"/>
      <c r="BA63" s="180"/>
    </row>
    <row r="64" spans="1:53" s="171" customFormat="1" x14ac:dyDescent="0.15">
      <c r="A64" s="216">
        <v>1988</v>
      </c>
      <c r="B64" s="278"/>
      <c r="C64" s="410" t="s">
        <v>39</v>
      </c>
      <c r="D64" s="410"/>
      <c r="E64" s="171">
        <v>0</v>
      </c>
      <c r="F64" s="180"/>
      <c r="G64" s="216"/>
      <c r="H64" s="216">
        <v>7</v>
      </c>
      <c r="I64" s="216">
        <v>7</v>
      </c>
      <c r="J64" s="234">
        <v>15</v>
      </c>
      <c r="K64" s="213">
        <f>G64/J64*100</f>
        <v>0</v>
      </c>
      <c r="L64" s="214">
        <f>H64/J64*100</f>
        <v>46.666666666666664</v>
      </c>
      <c r="M64" s="214">
        <f>I64/J64*100</f>
        <v>46.666666666666664</v>
      </c>
      <c r="N64" s="215">
        <f t="shared" si="3"/>
        <v>93.333333333333329</v>
      </c>
      <c r="O64" s="214"/>
      <c r="P64" s="214">
        <v>42.1</v>
      </c>
      <c r="Q64" s="214">
        <v>43.7</v>
      </c>
      <c r="R64" s="235">
        <f t="shared" si="4"/>
        <v>85.800000000000011</v>
      </c>
      <c r="S64" s="220">
        <v>2</v>
      </c>
      <c r="T64" s="283"/>
      <c r="U64" s="298"/>
      <c r="V64" s="171" t="s">
        <v>19</v>
      </c>
      <c r="W64" s="171" t="s">
        <v>20</v>
      </c>
      <c r="X64" s="171" t="s">
        <v>12</v>
      </c>
      <c r="Y64" s="171">
        <v>43.7</v>
      </c>
      <c r="Z64" s="178" t="s">
        <v>16</v>
      </c>
      <c r="AA64" s="171" t="s">
        <v>17</v>
      </c>
      <c r="AB64" s="171" t="s">
        <v>18</v>
      </c>
      <c r="AC64" s="179">
        <v>42.1</v>
      </c>
      <c r="AD64" s="178"/>
      <c r="AG64" s="179"/>
      <c r="AL64" s="178"/>
      <c r="AO64" s="179"/>
      <c r="AS64" s="179"/>
      <c r="AW64" s="179"/>
      <c r="BA64" s="180"/>
    </row>
    <row r="65" spans="1:53" s="171" customFormat="1" x14ac:dyDescent="0.15">
      <c r="A65" s="216">
        <v>1988</v>
      </c>
      <c r="B65" s="278"/>
      <c r="C65" s="410" t="s">
        <v>39</v>
      </c>
      <c r="D65" s="410"/>
      <c r="E65" s="171">
        <v>366</v>
      </c>
      <c r="F65" s="180"/>
      <c r="G65" s="216"/>
      <c r="H65" s="216">
        <v>7</v>
      </c>
      <c r="I65" s="216">
        <v>7</v>
      </c>
      <c r="J65" s="234">
        <v>15</v>
      </c>
      <c r="K65" s="213">
        <f>G65/J65*100</f>
        <v>0</v>
      </c>
      <c r="L65" s="214">
        <f>H65/J65*100</f>
        <v>46.666666666666664</v>
      </c>
      <c r="M65" s="214">
        <f>I65/J65*100</f>
        <v>46.666666666666664</v>
      </c>
      <c r="N65" s="215">
        <f t="shared" si="3"/>
        <v>93.333333333333329</v>
      </c>
      <c r="O65" s="214"/>
      <c r="P65" s="214">
        <v>42.1</v>
      </c>
      <c r="Q65" s="214">
        <v>43.7</v>
      </c>
      <c r="R65" s="235">
        <f t="shared" si="4"/>
        <v>85.800000000000011</v>
      </c>
      <c r="S65" s="220">
        <v>2</v>
      </c>
      <c r="T65" s="283"/>
      <c r="U65" s="298"/>
      <c r="V65" s="171" t="s">
        <v>19</v>
      </c>
      <c r="W65" s="171" t="s">
        <v>20</v>
      </c>
      <c r="X65" s="171" t="s">
        <v>12</v>
      </c>
      <c r="Y65" s="171">
        <v>43.7</v>
      </c>
      <c r="Z65" s="178" t="s">
        <v>16</v>
      </c>
      <c r="AA65" s="171" t="s">
        <v>17</v>
      </c>
      <c r="AB65" s="171" t="s">
        <v>18</v>
      </c>
      <c r="AC65" s="179">
        <v>42.1</v>
      </c>
      <c r="AD65" s="178"/>
      <c r="AG65" s="179"/>
      <c r="AL65" s="178"/>
      <c r="AO65" s="179"/>
      <c r="AS65" s="179"/>
      <c r="AW65" s="179"/>
      <c r="BA65" s="180"/>
    </row>
    <row r="66" spans="1:53" s="171" customFormat="1" x14ac:dyDescent="0.15">
      <c r="A66" s="216">
        <v>1989</v>
      </c>
      <c r="B66" s="278"/>
      <c r="C66" s="410" t="s">
        <v>39</v>
      </c>
      <c r="D66" s="410"/>
      <c r="E66" s="171">
        <v>0</v>
      </c>
      <c r="F66" s="180"/>
      <c r="G66" s="216"/>
      <c r="H66" s="216">
        <v>7</v>
      </c>
      <c r="I66" s="216">
        <v>7</v>
      </c>
      <c r="J66" s="234">
        <v>15</v>
      </c>
      <c r="K66" s="213">
        <f>G66/J66*100</f>
        <v>0</v>
      </c>
      <c r="L66" s="214">
        <f>H66/J66*100</f>
        <v>46.666666666666664</v>
      </c>
      <c r="M66" s="214">
        <f>I66/J66*100</f>
        <v>46.666666666666664</v>
      </c>
      <c r="N66" s="215">
        <f t="shared" si="3"/>
        <v>93.333333333333329</v>
      </c>
      <c r="O66" s="214"/>
      <c r="P66" s="214">
        <v>42.1</v>
      </c>
      <c r="Q66" s="214">
        <v>43.7</v>
      </c>
      <c r="R66" s="235">
        <f t="shared" si="4"/>
        <v>85.800000000000011</v>
      </c>
      <c r="S66" s="220">
        <v>2</v>
      </c>
      <c r="T66" s="283"/>
      <c r="U66" s="298"/>
      <c r="V66" s="171" t="s">
        <v>19</v>
      </c>
      <c r="W66" s="171" t="s">
        <v>20</v>
      </c>
      <c r="X66" s="171" t="s">
        <v>12</v>
      </c>
      <c r="Y66" s="171">
        <v>43.7</v>
      </c>
      <c r="Z66" s="178" t="s">
        <v>16</v>
      </c>
      <c r="AA66" s="171" t="s">
        <v>17</v>
      </c>
      <c r="AB66" s="171" t="s">
        <v>18</v>
      </c>
      <c r="AC66" s="179">
        <v>42.1</v>
      </c>
      <c r="AD66" s="178"/>
      <c r="AG66" s="179"/>
      <c r="AL66" s="178"/>
      <c r="AO66" s="179"/>
      <c r="AS66" s="179"/>
      <c r="AW66" s="179"/>
      <c r="BA66" s="180"/>
    </row>
    <row r="67" spans="1:53" s="54" customFormat="1" x14ac:dyDescent="0.15">
      <c r="A67" s="118">
        <v>1989</v>
      </c>
      <c r="B67" s="293"/>
      <c r="C67" s="414" t="s">
        <v>39</v>
      </c>
      <c r="D67" s="414"/>
      <c r="E67" s="54">
        <v>365</v>
      </c>
      <c r="F67" s="57"/>
      <c r="G67" s="118"/>
      <c r="H67" s="118">
        <v>7</v>
      </c>
      <c r="I67" s="118">
        <v>7</v>
      </c>
      <c r="J67" s="237">
        <v>15</v>
      </c>
      <c r="K67" s="225">
        <f>G67/J67*100</f>
        <v>0</v>
      </c>
      <c r="L67" s="226">
        <f>H67/J67*100</f>
        <v>46.666666666666664</v>
      </c>
      <c r="M67" s="226">
        <f>I67/J67*100</f>
        <v>46.666666666666664</v>
      </c>
      <c r="N67" s="227">
        <f t="shared" si="3"/>
        <v>93.333333333333329</v>
      </c>
      <c r="O67" s="226"/>
      <c r="P67" s="226">
        <v>42.1</v>
      </c>
      <c r="Q67" s="226">
        <v>43.7</v>
      </c>
      <c r="R67" s="238">
        <f>SUM(O67:Q67)</f>
        <v>85.800000000000011</v>
      </c>
      <c r="S67" s="239">
        <v>2</v>
      </c>
      <c r="T67" s="293"/>
      <c r="U67" s="299"/>
      <c r="V67" s="54" t="s">
        <v>19</v>
      </c>
      <c r="W67" s="54" t="s">
        <v>20</v>
      </c>
      <c r="X67" s="54" t="s">
        <v>12</v>
      </c>
      <c r="Y67" s="54">
        <v>43.7</v>
      </c>
      <c r="Z67" s="55" t="s">
        <v>16</v>
      </c>
      <c r="AA67" s="54" t="s">
        <v>17</v>
      </c>
      <c r="AB67" s="54" t="s">
        <v>18</v>
      </c>
      <c r="AC67" s="56">
        <v>42.1</v>
      </c>
      <c r="AD67" s="55"/>
      <c r="AG67" s="56"/>
      <c r="AL67" s="55"/>
      <c r="AO67" s="56"/>
      <c r="AS67" s="56"/>
      <c r="AW67" s="56"/>
      <c r="BA67" s="57"/>
    </row>
    <row r="68" spans="1:53" s="171" customFormat="1" x14ac:dyDescent="0.15">
      <c r="A68" s="171">
        <v>1990</v>
      </c>
      <c r="B68" s="283"/>
      <c r="C68" s="410" t="s">
        <v>39</v>
      </c>
      <c r="D68" s="410"/>
      <c r="E68" s="171">
        <v>350</v>
      </c>
      <c r="F68" s="180"/>
      <c r="H68" s="171">
        <v>7</v>
      </c>
      <c r="I68" s="171">
        <v>7</v>
      </c>
      <c r="J68" s="240">
        <v>15</v>
      </c>
      <c r="K68" s="213">
        <v>0</v>
      </c>
      <c r="L68" s="214">
        <v>46.7</v>
      </c>
      <c r="M68" s="214">
        <v>46.7</v>
      </c>
      <c r="N68" s="215">
        <f t="shared" si="3"/>
        <v>93.4</v>
      </c>
      <c r="O68" s="214"/>
      <c r="P68" s="214">
        <v>42.1</v>
      </c>
      <c r="Q68" s="214">
        <v>43.7</v>
      </c>
      <c r="R68" s="235">
        <f>SUM(O68:Q68)</f>
        <v>85.800000000000011</v>
      </c>
      <c r="S68" s="220">
        <v>2</v>
      </c>
      <c r="T68" s="283"/>
      <c r="U68" s="298"/>
      <c r="V68" s="171" t="s">
        <v>19</v>
      </c>
      <c r="W68" s="171" t="s">
        <v>20</v>
      </c>
      <c r="X68" s="171" t="s">
        <v>12</v>
      </c>
      <c r="Y68" s="171">
        <v>43.7</v>
      </c>
      <c r="Z68" s="178" t="s">
        <v>16</v>
      </c>
      <c r="AA68" s="171" t="s">
        <v>17</v>
      </c>
      <c r="AB68" s="171" t="s">
        <v>18</v>
      </c>
      <c r="AC68" s="179">
        <v>42.1</v>
      </c>
      <c r="AD68" s="178"/>
      <c r="AG68" s="179"/>
      <c r="AL68" s="178"/>
      <c r="AO68" s="179"/>
      <c r="AS68" s="179"/>
      <c r="AW68" s="179"/>
      <c r="BA68" s="180"/>
    </row>
    <row r="69" spans="1:53" s="29" customFormat="1" x14ac:dyDescent="0.15">
      <c r="A69" s="29">
        <v>1990</v>
      </c>
      <c r="B69" s="279">
        <v>33224</v>
      </c>
      <c r="C69" s="411" t="s">
        <v>40</v>
      </c>
      <c r="D69" s="411"/>
      <c r="E69" s="29">
        <v>15</v>
      </c>
      <c r="F69" s="40">
        <v>1</v>
      </c>
      <c r="H69" s="29">
        <v>8</v>
      </c>
      <c r="I69" s="29">
        <v>8</v>
      </c>
      <c r="J69" s="72">
        <v>17</v>
      </c>
      <c r="K69" s="46">
        <f>G69/J69*100</f>
        <v>0</v>
      </c>
      <c r="L69" s="47">
        <f>H69/J69*100</f>
        <v>47.058823529411761</v>
      </c>
      <c r="M69" s="47">
        <f>I69/J69*100</f>
        <v>47.058823529411761</v>
      </c>
      <c r="N69" s="48">
        <f t="shared" si="3"/>
        <v>94.117647058823522</v>
      </c>
      <c r="O69" s="47"/>
      <c r="P69" s="47">
        <v>32.799999999999997</v>
      </c>
      <c r="Q69" s="47">
        <v>43.7</v>
      </c>
      <c r="R69" s="68">
        <f t="shared" si="4"/>
        <v>76.5</v>
      </c>
      <c r="S69" s="69">
        <v>2</v>
      </c>
      <c r="T69" s="295">
        <v>33153</v>
      </c>
      <c r="U69" s="292">
        <v>33224</v>
      </c>
      <c r="V69" s="29" t="s">
        <v>19</v>
      </c>
      <c r="W69" s="29" t="s">
        <v>20</v>
      </c>
      <c r="X69" s="29" t="s">
        <v>12</v>
      </c>
      <c r="Y69" s="29">
        <v>43.7</v>
      </c>
      <c r="Z69" s="38" t="s">
        <v>16</v>
      </c>
      <c r="AA69" s="29" t="s">
        <v>17</v>
      </c>
      <c r="AB69" s="29" t="s">
        <v>18</v>
      </c>
      <c r="AC69" s="39">
        <v>32.799999999999997</v>
      </c>
      <c r="AD69" s="38"/>
      <c r="AG69" s="39"/>
      <c r="AL69" s="38"/>
      <c r="AO69" s="39"/>
      <c r="AS69" s="39"/>
      <c r="AW69" s="39"/>
      <c r="BA69" s="40"/>
    </row>
    <row r="70" spans="1:53" s="29" customFormat="1" x14ac:dyDescent="0.15">
      <c r="A70" s="29">
        <v>1991</v>
      </c>
      <c r="B70" s="279"/>
      <c r="C70" s="411" t="s">
        <v>40</v>
      </c>
      <c r="D70" s="411"/>
      <c r="E70" s="29">
        <v>0</v>
      </c>
      <c r="F70" s="40"/>
      <c r="H70" s="29">
        <v>8</v>
      </c>
      <c r="I70" s="29">
        <v>8</v>
      </c>
      <c r="J70" s="72">
        <v>17</v>
      </c>
      <c r="K70" s="46">
        <f>G70/J70*100</f>
        <v>0</v>
      </c>
      <c r="L70" s="47">
        <f>H70/J70*100</f>
        <v>47.058823529411761</v>
      </c>
      <c r="M70" s="47">
        <f>I70/J70*100</f>
        <v>47.058823529411761</v>
      </c>
      <c r="N70" s="48">
        <f t="shared" si="3"/>
        <v>94.117647058823522</v>
      </c>
      <c r="O70" s="47"/>
      <c r="P70" s="47">
        <v>32.799999999999997</v>
      </c>
      <c r="Q70" s="47">
        <v>43.7</v>
      </c>
      <c r="R70" s="68">
        <f t="shared" si="4"/>
        <v>76.5</v>
      </c>
      <c r="S70" s="69">
        <v>2</v>
      </c>
      <c r="T70" s="295"/>
      <c r="U70" s="292"/>
      <c r="V70" s="29" t="s">
        <v>19</v>
      </c>
      <c r="W70" s="29" t="s">
        <v>20</v>
      </c>
      <c r="X70" s="29" t="s">
        <v>12</v>
      </c>
      <c r="Y70" s="29">
        <v>43.7</v>
      </c>
      <c r="Z70" s="38" t="s">
        <v>16</v>
      </c>
      <c r="AA70" s="29" t="s">
        <v>17</v>
      </c>
      <c r="AB70" s="29" t="s">
        <v>18</v>
      </c>
      <c r="AC70" s="39">
        <v>32.799999999999997</v>
      </c>
      <c r="AD70" s="38"/>
      <c r="AG70" s="39"/>
      <c r="AL70" s="38"/>
      <c r="AO70" s="39"/>
      <c r="AS70" s="39"/>
      <c r="AW70" s="39"/>
      <c r="BA70" s="40"/>
    </row>
    <row r="71" spans="1:53" s="29" customFormat="1" x14ac:dyDescent="0.15">
      <c r="A71" s="29">
        <v>1991</v>
      </c>
      <c r="B71" s="279"/>
      <c r="C71" s="411" t="s">
        <v>40</v>
      </c>
      <c r="D71" s="411"/>
      <c r="E71" s="29">
        <v>365</v>
      </c>
      <c r="F71" s="40"/>
      <c r="H71" s="29">
        <v>8</v>
      </c>
      <c r="I71" s="29">
        <v>8</v>
      </c>
      <c r="J71" s="72">
        <v>17</v>
      </c>
      <c r="K71" s="46">
        <f>G71/J71*100</f>
        <v>0</v>
      </c>
      <c r="L71" s="47">
        <f>H71/J71*100</f>
        <v>47.058823529411761</v>
      </c>
      <c r="M71" s="47">
        <f>I71/J71*100</f>
        <v>47.058823529411761</v>
      </c>
      <c r="N71" s="48">
        <f t="shared" si="3"/>
        <v>94.117647058823522</v>
      </c>
      <c r="O71" s="47"/>
      <c r="P71" s="47">
        <v>32.799999999999997</v>
      </c>
      <c r="Q71" s="47">
        <v>43.7</v>
      </c>
      <c r="R71" s="68">
        <f t="shared" si="4"/>
        <v>76.5</v>
      </c>
      <c r="S71" s="69">
        <v>2</v>
      </c>
      <c r="T71" s="295"/>
      <c r="U71" s="292"/>
      <c r="V71" s="29" t="s">
        <v>19</v>
      </c>
      <c r="W71" s="29" t="s">
        <v>20</v>
      </c>
      <c r="X71" s="29" t="s">
        <v>12</v>
      </c>
      <c r="Y71" s="29">
        <v>43.7</v>
      </c>
      <c r="Z71" s="38" t="s">
        <v>16</v>
      </c>
      <c r="AA71" s="29" t="s">
        <v>17</v>
      </c>
      <c r="AB71" s="29" t="s">
        <v>18</v>
      </c>
      <c r="AC71" s="39">
        <v>32.799999999999997</v>
      </c>
      <c r="AD71" s="38"/>
      <c r="AG71" s="39"/>
      <c r="AL71" s="38"/>
      <c r="AO71" s="39"/>
      <c r="AS71" s="39"/>
      <c r="AW71" s="39"/>
      <c r="BA71" s="40"/>
    </row>
    <row r="72" spans="1:53" s="29" customFormat="1" x14ac:dyDescent="0.15">
      <c r="A72" s="29">
        <v>1992</v>
      </c>
      <c r="B72" s="279"/>
      <c r="C72" s="411" t="s">
        <v>40</v>
      </c>
      <c r="D72" s="411"/>
      <c r="E72" s="29">
        <v>0</v>
      </c>
      <c r="F72" s="40"/>
      <c r="H72" s="29">
        <v>7</v>
      </c>
      <c r="I72" s="29">
        <v>8</v>
      </c>
      <c r="J72" s="72">
        <v>16</v>
      </c>
      <c r="K72" s="46">
        <f>G72/J72*100</f>
        <v>0</v>
      </c>
      <c r="L72" s="47">
        <f>H72/J72*100</f>
        <v>43.75</v>
      </c>
      <c r="M72" s="47">
        <f>I72/J72*100</f>
        <v>50</v>
      </c>
      <c r="N72" s="48">
        <f t="shared" si="3"/>
        <v>93.75</v>
      </c>
      <c r="O72" s="47"/>
      <c r="P72" s="47">
        <v>32.799999999999997</v>
      </c>
      <c r="Q72" s="47">
        <v>43.7</v>
      </c>
      <c r="R72" s="68">
        <f t="shared" si="4"/>
        <v>76.5</v>
      </c>
      <c r="S72" s="69">
        <v>2</v>
      </c>
      <c r="T72" s="295"/>
      <c r="U72" s="292"/>
      <c r="V72" s="29" t="s">
        <v>19</v>
      </c>
      <c r="W72" s="29" t="s">
        <v>20</v>
      </c>
      <c r="X72" s="29" t="s">
        <v>12</v>
      </c>
      <c r="Y72" s="29">
        <v>43.7</v>
      </c>
      <c r="Z72" s="38" t="s">
        <v>16</v>
      </c>
      <c r="AA72" s="29" t="s">
        <v>17</v>
      </c>
      <c r="AB72" s="29" t="s">
        <v>18</v>
      </c>
      <c r="AC72" s="39">
        <v>32.799999999999997</v>
      </c>
      <c r="AD72" s="38"/>
      <c r="AG72" s="39"/>
      <c r="AL72" s="38"/>
      <c r="AO72" s="39"/>
      <c r="AS72" s="39"/>
      <c r="AW72" s="39"/>
      <c r="BA72" s="40"/>
    </row>
    <row r="73" spans="1:53" s="29" customFormat="1" x14ac:dyDescent="0.15">
      <c r="A73" s="29">
        <v>1992</v>
      </c>
      <c r="B73" s="279"/>
      <c r="C73" s="411" t="s">
        <v>40</v>
      </c>
      <c r="D73" s="411"/>
      <c r="E73" s="29">
        <v>366</v>
      </c>
      <c r="F73" s="40"/>
      <c r="H73" s="29">
        <v>7</v>
      </c>
      <c r="I73" s="29">
        <v>8</v>
      </c>
      <c r="J73" s="72">
        <v>16</v>
      </c>
      <c r="K73" s="46">
        <f>G73/J73*100</f>
        <v>0</v>
      </c>
      <c r="L73" s="47">
        <f>H73/J73*100</f>
        <v>43.75</v>
      </c>
      <c r="M73" s="47">
        <f>I73/J73*100</f>
        <v>50</v>
      </c>
      <c r="N73" s="48">
        <f t="shared" ref="N73:N116" si="23">SUM(K73:M73)</f>
        <v>93.75</v>
      </c>
      <c r="O73" s="47"/>
      <c r="P73" s="47">
        <v>32.799999999999997</v>
      </c>
      <c r="Q73" s="47">
        <v>43.7</v>
      </c>
      <c r="R73" s="68">
        <f t="shared" ref="R73:R117" si="24">SUM(O73:Q73)</f>
        <v>76.5</v>
      </c>
      <c r="S73" s="69">
        <v>2</v>
      </c>
      <c r="T73" s="295"/>
      <c r="U73" s="292"/>
      <c r="V73" s="29" t="s">
        <v>19</v>
      </c>
      <c r="W73" s="29" t="s">
        <v>20</v>
      </c>
      <c r="X73" s="29" t="s">
        <v>12</v>
      </c>
      <c r="Y73" s="29">
        <v>43.7</v>
      </c>
      <c r="Z73" s="38" t="s">
        <v>16</v>
      </c>
      <c r="AA73" s="29" t="s">
        <v>17</v>
      </c>
      <c r="AB73" s="29" t="s">
        <v>18</v>
      </c>
      <c r="AC73" s="39">
        <v>32.799999999999997</v>
      </c>
      <c r="AD73" s="38"/>
      <c r="AG73" s="39"/>
      <c r="AL73" s="38"/>
      <c r="AO73" s="39"/>
      <c r="AS73" s="39"/>
      <c r="AW73" s="39"/>
      <c r="BA73" s="40"/>
    </row>
    <row r="74" spans="1:53" s="29" customFormat="1" x14ac:dyDescent="0.15">
      <c r="A74" s="29">
        <v>1993</v>
      </c>
      <c r="B74" s="279"/>
      <c r="C74" s="411" t="s">
        <v>40</v>
      </c>
      <c r="D74" s="411"/>
      <c r="E74" s="29">
        <v>0</v>
      </c>
      <c r="F74" s="40"/>
      <c r="H74" s="29">
        <v>7</v>
      </c>
      <c r="I74" s="29">
        <v>8</v>
      </c>
      <c r="J74" s="72">
        <v>16</v>
      </c>
      <c r="K74" s="46">
        <f t="shared" ref="K74:K97" si="25">G74/J74*100</f>
        <v>0</v>
      </c>
      <c r="L74" s="47">
        <f t="shared" ref="L74:L97" si="26">H74/J74*100</f>
        <v>43.75</v>
      </c>
      <c r="M74" s="47">
        <f t="shared" ref="M74:M97" si="27">I74/J74*100</f>
        <v>50</v>
      </c>
      <c r="N74" s="48">
        <f t="shared" si="23"/>
        <v>93.75</v>
      </c>
      <c r="O74" s="47"/>
      <c r="P74" s="47">
        <v>32.799999999999997</v>
      </c>
      <c r="Q74" s="47">
        <v>43.7</v>
      </c>
      <c r="R74" s="68">
        <f t="shared" si="24"/>
        <v>76.5</v>
      </c>
      <c r="S74" s="69">
        <v>2</v>
      </c>
      <c r="T74" s="295"/>
      <c r="U74" s="292"/>
      <c r="V74" s="29" t="s">
        <v>19</v>
      </c>
      <c r="W74" s="29" t="s">
        <v>20</v>
      </c>
      <c r="X74" s="29" t="s">
        <v>12</v>
      </c>
      <c r="Y74" s="29">
        <v>43.7</v>
      </c>
      <c r="Z74" s="38" t="s">
        <v>16</v>
      </c>
      <c r="AA74" s="29" t="s">
        <v>17</v>
      </c>
      <c r="AB74" s="29" t="s">
        <v>18</v>
      </c>
      <c r="AC74" s="39">
        <v>32.799999999999997</v>
      </c>
      <c r="AD74" s="38"/>
      <c r="AG74" s="39"/>
      <c r="AL74" s="38"/>
      <c r="AO74" s="39"/>
      <c r="AS74" s="39"/>
      <c r="AW74" s="39"/>
      <c r="BA74" s="40"/>
    </row>
    <row r="75" spans="1:53" s="29" customFormat="1" x14ac:dyDescent="0.15">
      <c r="A75" s="29">
        <v>1993</v>
      </c>
      <c r="B75" s="279"/>
      <c r="C75" s="411" t="s">
        <v>40</v>
      </c>
      <c r="D75" s="411"/>
      <c r="E75" s="29">
        <v>365</v>
      </c>
      <c r="F75" s="40"/>
      <c r="H75" s="29">
        <v>7</v>
      </c>
      <c r="I75" s="29">
        <v>8</v>
      </c>
      <c r="J75" s="72">
        <v>16</v>
      </c>
      <c r="K75" s="46">
        <f t="shared" si="25"/>
        <v>0</v>
      </c>
      <c r="L75" s="47">
        <f t="shared" si="26"/>
        <v>43.75</v>
      </c>
      <c r="M75" s="47">
        <f t="shared" si="27"/>
        <v>50</v>
      </c>
      <c r="N75" s="48">
        <f t="shared" si="23"/>
        <v>93.75</v>
      </c>
      <c r="O75" s="47"/>
      <c r="P75" s="47">
        <v>32.799999999999997</v>
      </c>
      <c r="Q75" s="47">
        <v>43.7</v>
      </c>
      <c r="R75" s="68">
        <f t="shared" si="24"/>
        <v>76.5</v>
      </c>
      <c r="S75" s="69">
        <v>2</v>
      </c>
      <c r="T75" s="295"/>
      <c r="U75" s="292"/>
      <c r="V75" s="29" t="s">
        <v>19</v>
      </c>
      <c r="W75" s="29" t="s">
        <v>20</v>
      </c>
      <c r="X75" s="29" t="s">
        <v>12</v>
      </c>
      <c r="Y75" s="29">
        <v>43.7</v>
      </c>
      <c r="Z75" s="38" t="s">
        <v>16</v>
      </c>
      <c r="AA75" s="29" t="s">
        <v>17</v>
      </c>
      <c r="AB75" s="29" t="s">
        <v>18</v>
      </c>
      <c r="AC75" s="39">
        <v>32.799999999999997</v>
      </c>
      <c r="AD75" s="38"/>
      <c r="AG75" s="39"/>
      <c r="AL75" s="38"/>
      <c r="AO75" s="39"/>
      <c r="AS75" s="39"/>
      <c r="AW75" s="39"/>
      <c r="BA75" s="40"/>
    </row>
    <row r="76" spans="1:53" s="29" customFormat="1" x14ac:dyDescent="0.15">
      <c r="A76" s="29">
        <v>1994</v>
      </c>
      <c r="B76" s="279"/>
      <c r="C76" s="411" t="s">
        <v>40</v>
      </c>
      <c r="D76" s="411"/>
      <c r="E76" s="29">
        <v>332</v>
      </c>
      <c r="F76" s="40"/>
      <c r="H76" s="29">
        <v>7</v>
      </c>
      <c r="I76" s="29">
        <v>8</v>
      </c>
      <c r="J76" s="72">
        <v>16</v>
      </c>
      <c r="K76" s="46">
        <f t="shared" si="25"/>
        <v>0</v>
      </c>
      <c r="L76" s="47">
        <f t="shared" si="26"/>
        <v>43.75</v>
      </c>
      <c r="M76" s="47">
        <f t="shared" si="27"/>
        <v>50</v>
      </c>
      <c r="N76" s="48">
        <f t="shared" si="23"/>
        <v>93.75</v>
      </c>
      <c r="O76" s="47"/>
      <c r="P76" s="47">
        <v>32.799999999999997</v>
      </c>
      <c r="Q76" s="47">
        <v>43.7</v>
      </c>
      <c r="R76" s="68">
        <f t="shared" si="24"/>
        <v>76.5</v>
      </c>
      <c r="S76" s="69">
        <v>2</v>
      </c>
      <c r="T76" s="295"/>
      <c r="U76" s="292"/>
      <c r="V76" s="29" t="s">
        <v>19</v>
      </c>
      <c r="W76" s="29" t="s">
        <v>20</v>
      </c>
      <c r="X76" s="29" t="s">
        <v>12</v>
      </c>
      <c r="Y76" s="29">
        <v>43.7</v>
      </c>
      <c r="Z76" s="38" t="s">
        <v>16</v>
      </c>
      <c r="AA76" s="29" t="s">
        <v>17</v>
      </c>
      <c r="AB76" s="29" t="s">
        <v>18</v>
      </c>
      <c r="AC76" s="39">
        <v>32.799999999999997</v>
      </c>
      <c r="AD76" s="38"/>
      <c r="AG76" s="39"/>
      <c r="AL76" s="38"/>
      <c r="AO76" s="39"/>
      <c r="AS76" s="39"/>
      <c r="AW76" s="39"/>
      <c r="BA76" s="40"/>
    </row>
    <row r="77" spans="1:53" s="171" customFormat="1" x14ac:dyDescent="0.15">
      <c r="A77" s="171">
        <v>1994</v>
      </c>
      <c r="B77" s="278">
        <v>34667</v>
      </c>
      <c r="C77" s="410" t="s">
        <v>41</v>
      </c>
      <c r="D77" s="410"/>
      <c r="E77" s="171">
        <v>33</v>
      </c>
      <c r="F77" s="180">
        <v>1</v>
      </c>
      <c r="H77" s="171">
        <v>7</v>
      </c>
      <c r="I77" s="171">
        <v>8</v>
      </c>
      <c r="J77" s="240">
        <v>16</v>
      </c>
      <c r="K77" s="213">
        <f t="shared" si="25"/>
        <v>0</v>
      </c>
      <c r="L77" s="214">
        <f t="shared" si="26"/>
        <v>43.75</v>
      </c>
      <c r="M77" s="214">
        <f t="shared" si="27"/>
        <v>50</v>
      </c>
      <c r="N77" s="215">
        <f t="shared" si="23"/>
        <v>93.75</v>
      </c>
      <c r="O77" s="214"/>
      <c r="P77" s="214">
        <v>28.4</v>
      </c>
      <c r="Q77" s="214">
        <v>35.5</v>
      </c>
      <c r="R77" s="235">
        <f t="shared" si="24"/>
        <v>63.9</v>
      </c>
      <c r="S77" s="220">
        <v>2</v>
      </c>
      <c r="T77" s="283">
        <v>34616</v>
      </c>
      <c r="U77" s="298">
        <v>34667</v>
      </c>
      <c r="V77" s="171" t="s">
        <v>19</v>
      </c>
      <c r="W77" s="171" t="s">
        <v>20</v>
      </c>
      <c r="X77" s="171" t="s">
        <v>12</v>
      </c>
      <c r="Y77" s="171">
        <v>35.5</v>
      </c>
      <c r="Z77" s="178" t="s">
        <v>16</v>
      </c>
      <c r="AA77" s="171" t="s">
        <v>17</v>
      </c>
      <c r="AB77" s="171" t="s">
        <v>18</v>
      </c>
      <c r="AC77" s="179">
        <v>28.4</v>
      </c>
      <c r="AD77" s="178"/>
      <c r="AG77" s="179"/>
      <c r="AL77" s="178"/>
      <c r="AO77" s="179"/>
      <c r="AS77" s="179"/>
      <c r="AW77" s="179"/>
      <c r="BA77" s="180"/>
    </row>
    <row r="78" spans="1:53" s="171" customFormat="1" x14ac:dyDescent="0.15">
      <c r="A78" s="171">
        <v>1995</v>
      </c>
      <c r="B78" s="278"/>
      <c r="C78" s="410" t="s">
        <v>41</v>
      </c>
      <c r="D78" s="410"/>
      <c r="E78" s="171">
        <v>0</v>
      </c>
      <c r="F78" s="180"/>
      <c r="H78" s="171">
        <v>7</v>
      </c>
      <c r="I78" s="171">
        <v>8</v>
      </c>
      <c r="J78" s="240">
        <v>16</v>
      </c>
      <c r="K78" s="213">
        <f t="shared" si="25"/>
        <v>0</v>
      </c>
      <c r="L78" s="214">
        <f t="shared" si="26"/>
        <v>43.75</v>
      </c>
      <c r="M78" s="214">
        <f t="shared" si="27"/>
        <v>50</v>
      </c>
      <c r="N78" s="215">
        <f t="shared" si="23"/>
        <v>93.75</v>
      </c>
      <c r="O78" s="214"/>
      <c r="P78" s="214">
        <v>28.4</v>
      </c>
      <c r="Q78" s="214">
        <v>35.5</v>
      </c>
      <c r="R78" s="235">
        <f t="shared" si="24"/>
        <v>63.9</v>
      </c>
      <c r="S78" s="220">
        <v>2</v>
      </c>
      <c r="T78" s="283"/>
      <c r="U78" s="298"/>
      <c r="V78" s="171" t="s">
        <v>19</v>
      </c>
      <c r="W78" s="171" t="s">
        <v>20</v>
      </c>
      <c r="X78" s="171" t="s">
        <v>12</v>
      </c>
      <c r="Y78" s="171">
        <v>35.5</v>
      </c>
      <c r="Z78" s="178" t="s">
        <v>16</v>
      </c>
      <c r="AA78" s="171" t="s">
        <v>17</v>
      </c>
      <c r="AB78" s="171" t="s">
        <v>18</v>
      </c>
      <c r="AC78" s="179">
        <v>28.4</v>
      </c>
      <c r="AD78" s="178"/>
      <c r="AG78" s="179"/>
      <c r="AL78" s="178"/>
      <c r="AO78" s="179"/>
      <c r="AS78" s="179"/>
      <c r="AW78" s="179"/>
      <c r="BA78" s="180"/>
    </row>
    <row r="79" spans="1:53" s="171" customFormat="1" x14ac:dyDescent="0.15">
      <c r="A79" s="171">
        <v>1995</v>
      </c>
      <c r="B79" s="278"/>
      <c r="C79" s="410" t="s">
        <v>41</v>
      </c>
      <c r="D79" s="410"/>
      <c r="E79" s="171">
        <v>365</v>
      </c>
      <c r="F79" s="180"/>
      <c r="H79" s="171">
        <v>7</v>
      </c>
      <c r="I79" s="171">
        <v>8</v>
      </c>
      <c r="J79" s="240">
        <v>16</v>
      </c>
      <c r="K79" s="213">
        <f t="shared" si="25"/>
        <v>0</v>
      </c>
      <c r="L79" s="214">
        <f t="shared" si="26"/>
        <v>43.75</v>
      </c>
      <c r="M79" s="214">
        <f t="shared" si="27"/>
        <v>50</v>
      </c>
      <c r="N79" s="215">
        <f t="shared" si="23"/>
        <v>93.75</v>
      </c>
      <c r="O79" s="214"/>
      <c r="P79" s="214">
        <v>28.4</v>
      </c>
      <c r="Q79" s="214">
        <v>35.5</v>
      </c>
      <c r="R79" s="235">
        <f t="shared" si="24"/>
        <v>63.9</v>
      </c>
      <c r="S79" s="220">
        <v>2</v>
      </c>
      <c r="T79" s="283">
        <v>35050</v>
      </c>
      <c r="U79" s="298"/>
      <c r="V79" s="171" t="s">
        <v>19</v>
      </c>
      <c r="W79" s="171" t="s">
        <v>20</v>
      </c>
      <c r="X79" s="171" t="s">
        <v>12</v>
      </c>
      <c r="Y79" s="171">
        <v>35.5</v>
      </c>
      <c r="Z79" s="178" t="s">
        <v>16</v>
      </c>
      <c r="AA79" s="171" t="s">
        <v>17</v>
      </c>
      <c r="AB79" s="171" t="s">
        <v>18</v>
      </c>
      <c r="AC79" s="179">
        <v>28.4</v>
      </c>
      <c r="AD79" s="178"/>
      <c r="AG79" s="179"/>
      <c r="AL79" s="178"/>
      <c r="AO79" s="179"/>
      <c r="AS79" s="179"/>
      <c r="AW79" s="179"/>
      <c r="BA79" s="180"/>
    </row>
    <row r="80" spans="1:53" s="171" customFormat="1" x14ac:dyDescent="0.15">
      <c r="A80" s="171">
        <v>1996</v>
      </c>
      <c r="B80" s="278"/>
      <c r="C80" s="410" t="s">
        <v>41</v>
      </c>
      <c r="D80" s="410"/>
      <c r="E80" s="171">
        <v>71</v>
      </c>
      <c r="F80" s="180"/>
      <c r="H80" s="171">
        <v>7</v>
      </c>
      <c r="I80" s="171">
        <v>8</v>
      </c>
      <c r="J80" s="240">
        <v>16</v>
      </c>
      <c r="K80" s="213">
        <f t="shared" si="25"/>
        <v>0</v>
      </c>
      <c r="L80" s="214">
        <f t="shared" si="26"/>
        <v>43.75</v>
      </c>
      <c r="M80" s="214">
        <f t="shared" si="27"/>
        <v>50</v>
      </c>
      <c r="N80" s="215">
        <f t="shared" si="23"/>
        <v>93.75</v>
      </c>
      <c r="O80" s="214"/>
      <c r="P80" s="214">
        <v>28.4</v>
      </c>
      <c r="Q80" s="214">
        <v>35.5</v>
      </c>
      <c r="R80" s="235">
        <f t="shared" si="24"/>
        <v>63.9</v>
      </c>
      <c r="S80" s="220">
        <v>2</v>
      </c>
      <c r="T80" s="283"/>
      <c r="U80" s="298"/>
      <c r="V80" s="171" t="s">
        <v>19</v>
      </c>
      <c r="W80" s="171" t="s">
        <v>20</v>
      </c>
      <c r="X80" s="171" t="s">
        <v>12</v>
      </c>
      <c r="Y80" s="171">
        <v>35.5</v>
      </c>
      <c r="Z80" s="178" t="s">
        <v>16</v>
      </c>
      <c r="AA80" s="171" t="s">
        <v>17</v>
      </c>
      <c r="AB80" s="171" t="s">
        <v>18</v>
      </c>
      <c r="AC80" s="179">
        <v>28.4</v>
      </c>
      <c r="AD80" s="178"/>
      <c r="AG80" s="179"/>
      <c r="AL80" s="178"/>
      <c r="AO80" s="179"/>
      <c r="AS80" s="179"/>
      <c r="AW80" s="179"/>
      <c r="BA80" s="180"/>
    </row>
    <row r="81" spans="1:53" s="29" customFormat="1" x14ac:dyDescent="0.15">
      <c r="A81" s="29">
        <v>1996</v>
      </c>
      <c r="B81" s="279">
        <v>35136</v>
      </c>
      <c r="C81" s="411" t="s">
        <v>42</v>
      </c>
      <c r="D81" s="411"/>
      <c r="E81" s="29">
        <v>295</v>
      </c>
      <c r="F81" s="40">
        <v>1</v>
      </c>
      <c r="H81" s="29">
        <v>6</v>
      </c>
      <c r="I81" s="29">
        <v>7</v>
      </c>
      <c r="J81" s="72">
        <v>14</v>
      </c>
      <c r="K81" s="46">
        <f t="shared" si="25"/>
        <v>0</v>
      </c>
      <c r="L81" s="47">
        <f t="shared" si="26"/>
        <v>42.857142857142854</v>
      </c>
      <c r="M81" s="47">
        <f t="shared" si="27"/>
        <v>50</v>
      </c>
      <c r="N81" s="48">
        <f t="shared" si="23"/>
        <v>92.857142857142861</v>
      </c>
      <c r="O81" s="47"/>
      <c r="P81" s="47">
        <v>28.4</v>
      </c>
      <c r="Q81" s="47">
        <v>38.799999999999997</v>
      </c>
      <c r="R81" s="68">
        <f t="shared" si="24"/>
        <v>67.199999999999989</v>
      </c>
      <c r="S81" s="69">
        <v>2</v>
      </c>
      <c r="T81" s="295"/>
      <c r="U81" s="292">
        <v>35136</v>
      </c>
      <c r="V81" s="29" t="s">
        <v>19</v>
      </c>
      <c r="W81" s="29" t="s">
        <v>20</v>
      </c>
      <c r="X81" s="29" t="s">
        <v>12</v>
      </c>
      <c r="Y81" s="29">
        <v>38.799999999999997</v>
      </c>
      <c r="Z81" s="38" t="s">
        <v>16</v>
      </c>
      <c r="AA81" s="29" t="s">
        <v>17</v>
      </c>
      <c r="AB81" s="29" t="s">
        <v>18</v>
      </c>
      <c r="AC81" s="39">
        <v>28.4</v>
      </c>
      <c r="AD81" s="38"/>
      <c r="AG81" s="39"/>
      <c r="AL81" s="38"/>
      <c r="AO81" s="39"/>
      <c r="AS81" s="39"/>
      <c r="AW81" s="39"/>
      <c r="BA81" s="40"/>
    </row>
    <row r="82" spans="1:53" s="29" customFormat="1" x14ac:dyDescent="0.15">
      <c r="A82" s="29">
        <v>1997</v>
      </c>
      <c r="B82" s="279"/>
      <c r="C82" s="411" t="s">
        <v>42</v>
      </c>
      <c r="D82" s="411"/>
      <c r="E82" s="29">
        <v>27</v>
      </c>
      <c r="F82" s="40"/>
      <c r="H82" s="29">
        <v>6</v>
      </c>
      <c r="I82" s="29">
        <v>7</v>
      </c>
      <c r="J82" s="72">
        <v>14</v>
      </c>
      <c r="K82" s="46">
        <f t="shared" si="25"/>
        <v>0</v>
      </c>
      <c r="L82" s="47">
        <f t="shared" si="26"/>
        <v>42.857142857142854</v>
      </c>
      <c r="M82" s="47">
        <f t="shared" si="27"/>
        <v>50</v>
      </c>
      <c r="N82" s="48">
        <f t="shared" si="23"/>
        <v>92.857142857142861</v>
      </c>
      <c r="O82" s="47"/>
      <c r="P82" s="47">
        <v>28.4</v>
      </c>
      <c r="Q82" s="47">
        <v>38.799999999999997</v>
      </c>
      <c r="R82" s="68">
        <f t="shared" si="24"/>
        <v>67.199999999999989</v>
      </c>
      <c r="S82" s="69">
        <v>2</v>
      </c>
      <c r="T82" s="295"/>
      <c r="U82" s="292"/>
      <c r="V82" s="29" t="s">
        <v>19</v>
      </c>
      <c r="W82" s="29" t="s">
        <v>20</v>
      </c>
      <c r="X82" s="29" t="s">
        <v>12</v>
      </c>
      <c r="Y82" s="29">
        <v>38.799999999999997</v>
      </c>
      <c r="Z82" s="38" t="s">
        <v>16</v>
      </c>
      <c r="AA82" s="29" t="s">
        <v>17</v>
      </c>
      <c r="AB82" s="29" t="s">
        <v>18</v>
      </c>
      <c r="AC82" s="39">
        <v>28.4</v>
      </c>
      <c r="AD82" s="38"/>
      <c r="AG82" s="39"/>
      <c r="AL82" s="38"/>
      <c r="AO82" s="39"/>
      <c r="AS82" s="39"/>
      <c r="AW82" s="39"/>
      <c r="BA82" s="40"/>
    </row>
    <row r="83" spans="1:53" s="171" customFormat="1" x14ac:dyDescent="0.15">
      <c r="A83" s="171">
        <v>1997</v>
      </c>
      <c r="B83" s="278">
        <v>35458</v>
      </c>
      <c r="C83" s="410" t="s">
        <v>43</v>
      </c>
      <c r="D83" s="410"/>
      <c r="E83" s="171">
        <v>338</v>
      </c>
      <c r="F83" s="180">
        <v>2</v>
      </c>
      <c r="H83" s="171">
        <v>6</v>
      </c>
      <c r="I83" s="171">
        <v>6</v>
      </c>
      <c r="J83" s="240">
        <v>13</v>
      </c>
      <c r="K83" s="213">
        <f t="shared" si="25"/>
        <v>0</v>
      </c>
      <c r="L83" s="214">
        <f t="shared" si="26"/>
        <v>46.153846153846153</v>
      </c>
      <c r="M83" s="214">
        <f t="shared" si="27"/>
        <v>46.153846153846153</v>
      </c>
      <c r="N83" s="215">
        <f t="shared" si="23"/>
        <v>92.307692307692307</v>
      </c>
      <c r="O83" s="214"/>
      <c r="P83" s="214">
        <v>28.4</v>
      </c>
      <c r="Q83" s="214">
        <v>38.799999999999997</v>
      </c>
      <c r="R83" s="235">
        <f t="shared" si="24"/>
        <v>67.199999999999989</v>
      </c>
      <c r="S83" s="220">
        <v>2</v>
      </c>
      <c r="T83" s="283"/>
      <c r="U83" s="298">
        <v>35458</v>
      </c>
      <c r="V83" s="171" t="s">
        <v>19</v>
      </c>
      <c r="W83" s="171" t="s">
        <v>20</v>
      </c>
      <c r="X83" s="171" t="s">
        <v>12</v>
      </c>
      <c r="Y83" s="171">
        <v>38.799999999999997</v>
      </c>
      <c r="Z83" s="178" t="s">
        <v>16</v>
      </c>
      <c r="AA83" s="171" t="s">
        <v>17</v>
      </c>
      <c r="AB83" s="171" t="s">
        <v>18</v>
      </c>
      <c r="AC83" s="179">
        <v>28.4</v>
      </c>
      <c r="AD83" s="178"/>
      <c r="AG83" s="179"/>
      <c r="AL83" s="178"/>
      <c r="AO83" s="179"/>
      <c r="AS83" s="179"/>
      <c r="AW83" s="179"/>
      <c r="BA83" s="180"/>
    </row>
    <row r="84" spans="1:53" s="171" customFormat="1" x14ac:dyDescent="0.15">
      <c r="A84" s="171">
        <v>1998</v>
      </c>
      <c r="B84" s="278"/>
      <c r="C84" s="410" t="s">
        <v>43</v>
      </c>
      <c r="D84" s="410"/>
      <c r="E84" s="171">
        <v>0</v>
      </c>
      <c r="F84" s="180"/>
      <c r="H84" s="171">
        <v>6</v>
      </c>
      <c r="I84" s="171">
        <v>6</v>
      </c>
      <c r="J84" s="240">
        <v>13</v>
      </c>
      <c r="K84" s="213">
        <f t="shared" si="25"/>
        <v>0</v>
      </c>
      <c r="L84" s="214">
        <f t="shared" si="26"/>
        <v>46.153846153846153</v>
      </c>
      <c r="M84" s="214">
        <f t="shared" si="27"/>
        <v>46.153846153846153</v>
      </c>
      <c r="N84" s="215">
        <f t="shared" si="23"/>
        <v>92.307692307692307</v>
      </c>
      <c r="O84" s="214"/>
      <c r="P84" s="214">
        <v>28.4</v>
      </c>
      <c r="Q84" s="214">
        <v>38.799999999999997</v>
      </c>
      <c r="R84" s="235">
        <f t="shared" si="24"/>
        <v>67.199999999999989</v>
      </c>
      <c r="S84" s="220">
        <v>2</v>
      </c>
      <c r="T84" s="283"/>
      <c r="U84" s="298"/>
      <c r="V84" s="171" t="s">
        <v>19</v>
      </c>
      <c r="W84" s="171" t="s">
        <v>20</v>
      </c>
      <c r="X84" s="171" t="s">
        <v>12</v>
      </c>
      <c r="Y84" s="171">
        <v>38.799999999999997</v>
      </c>
      <c r="Z84" s="178" t="s">
        <v>16</v>
      </c>
      <c r="AA84" s="171" t="s">
        <v>17</v>
      </c>
      <c r="AB84" s="171" t="s">
        <v>18</v>
      </c>
      <c r="AC84" s="179">
        <v>28.4</v>
      </c>
      <c r="AD84" s="178"/>
      <c r="AG84" s="179"/>
      <c r="AL84" s="178"/>
      <c r="AO84" s="179"/>
      <c r="AS84" s="179"/>
      <c r="AW84" s="179"/>
      <c r="BA84" s="180"/>
    </row>
    <row r="85" spans="1:53" s="171" customFormat="1" x14ac:dyDescent="0.15">
      <c r="A85" s="171">
        <v>1998</v>
      </c>
      <c r="B85" s="278"/>
      <c r="C85" s="410" t="s">
        <v>43</v>
      </c>
      <c r="D85" s="410"/>
      <c r="E85" s="171">
        <v>365</v>
      </c>
      <c r="F85" s="180"/>
      <c r="H85" s="171">
        <v>6</v>
      </c>
      <c r="I85" s="171">
        <v>6</v>
      </c>
      <c r="J85" s="240">
        <v>13</v>
      </c>
      <c r="K85" s="213">
        <f t="shared" si="25"/>
        <v>0</v>
      </c>
      <c r="L85" s="214">
        <f t="shared" si="26"/>
        <v>46.153846153846153</v>
      </c>
      <c r="M85" s="214">
        <f t="shared" si="27"/>
        <v>46.153846153846153</v>
      </c>
      <c r="N85" s="215">
        <f t="shared" si="23"/>
        <v>92.307692307692307</v>
      </c>
      <c r="O85" s="214"/>
      <c r="P85" s="214">
        <v>28.4</v>
      </c>
      <c r="Q85" s="214">
        <v>38.799999999999997</v>
      </c>
      <c r="R85" s="235">
        <f t="shared" si="24"/>
        <v>67.199999999999989</v>
      </c>
      <c r="S85" s="220">
        <v>2</v>
      </c>
      <c r="T85" s="283"/>
      <c r="U85" s="298"/>
      <c r="V85" s="171" t="s">
        <v>19</v>
      </c>
      <c r="W85" s="171" t="s">
        <v>20</v>
      </c>
      <c r="X85" s="171" t="s">
        <v>12</v>
      </c>
      <c r="Y85" s="171">
        <v>38.799999999999997</v>
      </c>
      <c r="Z85" s="178" t="s">
        <v>16</v>
      </c>
      <c r="AA85" s="171" t="s">
        <v>17</v>
      </c>
      <c r="AB85" s="171" t="s">
        <v>18</v>
      </c>
      <c r="AC85" s="179">
        <v>28.4</v>
      </c>
      <c r="AD85" s="178"/>
      <c r="AG85" s="179"/>
      <c r="AL85" s="178"/>
      <c r="AO85" s="179"/>
      <c r="AS85" s="179"/>
      <c r="AW85" s="179"/>
      <c r="BA85" s="180"/>
    </row>
    <row r="86" spans="1:53" s="171" customFormat="1" x14ac:dyDescent="0.15">
      <c r="A86" s="171">
        <v>1999</v>
      </c>
      <c r="B86" s="278"/>
      <c r="C86" s="410" t="s">
        <v>43</v>
      </c>
      <c r="D86" s="410"/>
      <c r="E86" s="171">
        <v>0</v>
      </c>
      <c r="F86" s="180"/>
      <c r="H86" s="171">
        <v>6</v>
      </c>
      <c r="I86" s="171">
        <v>6</v>
      </c>
      <c r="J86" s="240">
        <v>13</v>
      </c>
      <c r="K86" s="213">
        <f t="shared" si="25"/>
        <v>0</v>
      </c>
      <c r="L86" s="214">
        <f t="shared" si="26"/>
        <v>46.153846153846153</v>
      </c>
      <c r="M86" s="214">
        <f t="shared" si="27"/>
        <v>46.153846153846153</v>
      </c>
      <c r="N86" s="215">
        <f t="shared" si="23"/>
        <v>92.307692307692307</v>
      </c>
      <c r="O86" s="214"/>
      <c r="P86" s="214">
        <v>28.4</v>
      </c>
      <c r="Q86" s="214">
        <v>38.799999999999997</v>
      </c>
      <c r="R86" s="235">
        <f t="shared" si="24"/>
        <v>67.199999999999989</v>
      </c>
      <c r="S86" s="220">
        <v>2</v>
      </c>
      <c r="T86" s="283"/>
      <c r="U86" s="298"/>
      <c r="V86" s="171" t="s">
        <v>19</v>
      </c>
      <c r="W86" s="171" t="s">
        <v>20</v>
      </c>
      <c r="X86" s="171" t="s">
        <v>12</v>
      </c>
      <c r="Y86" s="171">
        <v>38.799999999999997</v>
      </c>
      <c r="Z86" s="178" t="s">
        <v>16</v>
      </c>
      <c r="AA86" s="171" t="s">
        <v>17</v>
      </c>
      <c r="AB86" s="171" t="s">
        <v>18</v>
      </c>
      <c r="AC86" s="179">
        <v>28.4</v>
      </c>
      <c r="AD86" s="178"/>
      <c r="AG86" s="179"/>
      <c r="AL86" s="178"/>
      <c r="AO86" s="179"/>
      <c r="AS86" s="179"/>
      <c r="AW86" s="179"/>
      <c r="BA86" s="180"/>
    </row>
    <row r="87" spans="1:53" s="171" customFormat="1" x14ac:dyDescent="0.15">
      <c r="A87" s="171">
        <v>1999</v>
      </c>
      <c r="B87" s="278"/>
      <c r="C87" s="410" t="s">
        <v>43</v>
      </c>
      <c r="D87" s="410"/>
      <c r="E87" s="171">
        <v>365</v>
      </c>
      <c r="F87" s="180"/>
      <c r="H87" s="171">
        <v>6</v>
      </c>
      <c r="I87" s="171">
        <v>6</v>
      </c>
      <c r="J87" s="240">
        <v>13</v>
      </c>
      <c r="K87" s="213">
        <f t="shared" si="25"/>
        <v>0</v>
      </c>
      <c r="L87" s="214">
        <f t="shared" si="26"/>
        <v>46.153846153846153</v>
      </c>
      <c r="M87" s="214">
        <f t="shared" si="27"/>
        <v>46.153846153846153</v>
      </c>
      <c r="N87" s="215">
        <f t="shared" si="23"/>
        <v>92.307692307692307</v>
      </c>
      <c r="O87" s="214"/>
      <c r="P87" s="214">
        <v>28.4</v>
      </c>
      <c r="Q87" s="214">
        <v>38.799999999999997</v>
      </c>
      <c r="R87" s="235">
        <f t="shared" si="24"/>
        <v>67.199999999999989</v>
      </c>
      <c r="S87" s="220">
        <v>2</v>
      </c>
      <c r="T87" s="283">
        <v>36436</v>
      </c>
      <c r="U87" s="298"/>
      <c r="V87" s="171" t="s">
        <v>19</v>
      </c>
      <c r="W87" s="171" t="s">
        <v>20</v>
      </c>
      <c r="X87" s="171" t="s">
        <v>12</v>
      </c>
      <c r="Y87" s="171">
        <v>38.799999999999997</v>
      </c>
      <c r="Z87" s="178" t="s">
        <v>16</v>
      </c>
      <c r="AA87" s="171" t="s">
        <v>17</v>
      </c>
      <c r="AB87" s="171" t="s">
        <v>18</v>
      </c>
      <c r="AC87" s="179">
        <v>28.4</v>
      </c>
      <c r="AD87" s="178"/>
      <c r="AG87" s="179"/>
      <c r="AL87" s="178"/>
      <c r="AO87" s="179"/>
      <c r="AS87" s="179"/>
      <c r="AW87" s="179"/>
      <c r="BA87" s="180"/>
    </row>
    <row r="88" spans="1:53" s="171" customFormat="1" x14ac:dyDescent="0.15">
      <c r="A88" s="171">
        <v>2000</v>
      </c>
      <c r="B88" s="278"/>
      <c r="C88" s="410" t="s">
        <v>43</v>
      </c>
      <c r="D88" s="410"/>
      <c r="E88" s="171">
        <v>34</v>
      </c>
      <c r="F88" s="180"/>
      <c r="H88" s="171">
        <v>6</v>
      </c>
      <c r="I88" s="171">
        <v>6</v>
      </c>
      <c r="J88" s="240">
        <v>13</v>
      </c>
      <c r="K88" s="213">
        <f t="shared" si="25"/>
        <v>0</v>
      </c>
      <c r="L88" s="214">
        <f t="shared" si="26"/>
        <v>46.153846153846153</v>
      </c>
      <c r="M88" s="214">
        <f t="shared" si="27"/>
        <v>46.153846153846153</v>
      </c>
      <c r="N88" s="215">
        <f t="shared" si="23"/>
        <v>92.307692307692307</v>
      </c>
      <c r="O88" s="214"/>
      <c r="P88" s="214">
        <v>28.4</v>
      </c>
      <c r="Q88" s="214">
        <v>38.799999999999997</v>
      </c>
      <c r="R88" s="235">
        <f t="shared" si="24"/>
        <v>67.199999999999989</v>
      </c>
      <c r="S88" s="220">
        <v>2</v>
      </c>
      <c r="T88" s="283"/>
      <c r="U88" s="298"/>
      <c r="V88" s="171" t="s">
        <v>19</v>
      </c>
      <c r="W88" s="171" t="s">
        <v>20</v>
      </c>
      <c r="X88" s="171" t="s">
        <v>12</v>
      </c>
      <c r="Y88" s="171">
        <v>38.799999999999997</v>
      </c>
      <c r="Z88" s="178" t="s">
        <v>16</v>
      </c>
      <c r="AA88" s="171" t="s">
        <v>17</v>
      </c>
      <c r="AB88" s="171" t="s">
        <v>18</v>
      </c>
      <c r="AC88" s="179">
        <v>28.4</v>
      </c>
      <c r="AD88" s="178"/>
      <c r="AG88" s="179"/>
      <c r="AL88" s="178"/>
      <c r="AO88" s="179"/>
      <c r="AS88" s="179"/>
      <c r="AW88" s="179"/>
      <c r="BA88" s="180"/>
    </row>
    <row r="89" spans="1:53" s="29" customFormat="1" x14ac:dyDescent="0.15">
      <c r="A89" s="29">
        <v>2000</v>
      </c>
      <c r="B89" s="279">
        <v>36560</v>
      </c>
      <c r="C89" s="411" t="s">
        <v>44</v>
      </c>
      <c r="D89" s="411"/>
      <c r="E89" s="29">
        <v>332</v>
      </c>
      <c r="F89" s="40">
        <v>1</v>
      </c>
      <c r="G89" s="29">
        <v>6</v>
      </c>
      <c r="H89" s="29">
        <v>6</v>
      </c>
      <c r="J89" s="72">
        <v>12</v>
      </c>
      <c r="K89" s="46">
        <f t="shared" si="25"/>
        <v>50</v>
      </c>
      <c r="L89" s="47">
        <f t="shared" si="26"/>
        <v>50</v>
      </c>
      <c r="M89" s="47">
        <f t="shared" si="27"/>
        <v>0</v>
      </c>
      <c r="N89" s="48">
        <f t="shared" si="23"/>
        <v>100</v>
      </c>
      <c r="O89" s="47">
        <v>28.4</v>
      </c>
      <c r="P89" s="47">
        <v>28.4</v>
      </c>
      <c r="Q89" s="47"/>
      <c r="R89" s="68">
        <f t="shared" si="24"/>
        <v>56.8</v>
      </c>
      <c r="S89" s="69">
        <v>2</v>
      </c>
      <c r="T89" s="295"/>
      <c r="U89" s="292">
        <v>36560</v>
      </c>
      <c r="V89" s="29" t="s">
        <v>16</v>
      </c>
      <c r="W89" s="29" t="s">
        <v>17</v>
      </c>
      <c r="X89" s="29" t="s">
        <v>18</v>
      </c>
      <c r="Y89" s="29">
        <v>28.4</v>
      </c>
      <c r="Z89" s="38" t="s">
        <v>21</v>
      </c>
      <c r="AA89" s="29" t="s">
        <v>27</v>
      </c>
      <c r="AB89" s="29" t="s">
        <v>11</v>
      </c>
      <c r="AC89" s="39">
        <v>28.4</v>
      </c>
      <c r="AD89" s="38"/>
      <c r="AG89" s="39"/>
      <c r="AL89" s="38"/>
      <c r="AO89" s="39"/>
      <c r="AS89" s="39"/>
      <c r="AW89" s="39"/>
      <c r="BA89" s="40"/>
    </row>
    <row r="90" spans="1:53" s="29" customFormat="1" x14ac:dyDescent="0.15">
      <c r="A90" s="29">
        <v>2001</v>
      </c>
      <c r="B90" s="279"/>
      <c r="C90" s="411" t="s">
        <v>44</v>
      </c>
      <c r="D90" s="411"/>
      <c r="E90" s="29">
        <v>0</v>
      </c>
      <c r="F90" s="40"/>
      <c r="G90" s="29">
        <v>6</v>
      </c>
      <c r="H90" s="29">
        <v>6</v>
      </c>
      <c r="J90" s="72">
        <v>12</v>
      </c>
      <c r="K90" s="46">
        <f t="shared" si="25"/>
        <v>50</v>
      </c>
      <c r="L90" s="47">
        <f t="shared" si="26"/>
        <v>50</v>
      </c>
      <c r="M90" s="47">
        <f t="shared" si="27"/>
        <v>0</v>
      </c>
      <c r="N90" s="48">
        <f t="shared" si="23"/>
        <v>100</v>
      </c>
      <c r="O90" s="47">
        <v>28.4</v>
      </c>
      <c r="P90" s="47">
        <v>28.4</v>
      </c>
      <c r="Q90" s="47"/>
      <c r="R90" s="68">
        <f t="shared" si="24"/>
        <v>56.8</v>
      </c>
      <c r="S90" s="69">
        <v>2</v>
      </c>
      <c r="T90" s="295"/>
      <c r="U90" s="292"/>
      <c r="V90" s="29" t="s">
        <v>16</v>
      </c>
      <c r="W90" s="29" t="s">
        <v>17</v>
      </c>
      <c r="X90" s="29" t="s">
        <v>18</v>
      </c>
      <c r="Y90" s="29">
        <v>28.4</v>
      </c>
      <c r="Z90" s="38" t="s">
        <v>21</v>
      </c>
      <c r="AA90" s="29" t="s">
        <v>27</v>
      </c>
      <c r="AB90" s="29" t="s">
        <v>11</v>
      </c>
      <c r="AC90" s="39">
        <v>28.4</v>
      </c>
      <c r="AD90" s="38"/>
      <c r="AG90" s="39"/>
      <c r="AL90" s="38"/>
      <c r="AO90" s="39"/>
      <c r="AS90" s="39"/>
      <c r="AW90" s="39"/>
      <c r="BA90" s="40"/>
    </row>
    <row r="91" spans="1:53" s="29" customFormat="1" x14ac:dyDescent="0.15">
      <c r="A91" s="29">
        <v>2001</v>
      </c>
      <c r="B91" s="279"/>
      <c r="C91" s="411" t="s">
        <v>44</v>
      </c>
      <c r="D91" s="411"/>
      <c r="E91" s="29">
        <v>365</v>
      </c>
      <c r="F91" s="40"/>
      <c r="G91" s="29">
        <v>6</v>
      </c>
      <c r="H91" s="29">
        <v>6</v>
      </c>
      <c r="J91" s="72">
        <v>12</v>
      </c>
      <c r="K91" s="46">
        <f t="shared" si="25"/>
        <v>50</v>
      </c>
      <c r="L91" s="47">
        <f t="shared" si="26"/>
        <v>50</v>
      </c>
      <c r="M91" s="47">
        <f t="shared" si="27"/>
        <v>0</v>
      </c>
      <c r="N91" s="48">
        <f t="shared" si="23"/>
        <v>100</v>
      </c>
      <c r="O91" s="47">
        <v>28.4</v>
      </c>
      <c r="P91" s="47">
        <v>28.4</v>
      </c>
      <c r="Q91" s="47"/>
      <c r="R91" s="68">
        <f t="shared" si="24"/>
        <v>56.8</v>
      </c>
      <c r="S91" s="69">
        <v>2</v>
      </c>
      <c r="T91" s="295"/>
      <c r="U91" s="292"/>
      <c r="V91" s="29" t="s">
        <v>16</v>
      </c>
      <c r="W91" s="29" t="s">
        <v>17</v>
      </c>
      <c r="X91" s="29" t="s">
        <v>18</v>
      </c>
      <c r="Y91" s="29">
        <v>28.4</v>
      </c>
      <c r="Z91" s="38" t="s">
        <v>21</v>
      </c>
      <c r="AA91" s="29" t="s">
        <v>27</v>
      </c>
      <c r="AB91" s="29" t="s">
        <v>11</v>
      </c>
      <c r="AC91" s="39">
        <v>28.4</v>
      </c>
      <c r="AD91" s="38"/>
      <c r="AG91" s="39"/>
      <c r="AL91" s="38"/>
      <c r="AO91" s="39"/>
      <c r="AS91" s="39"/>
      <c r="AW91" s="39"/>
      <c r="BA91" s="40"/>
    </row>
    <row r="92" spans="1:53" s="29" customFormat="1" x14ac:dyDescent="0.15">
      <c r="A92" s="29">
        <v>2002</v>
      </c>
      <c r="B92" s="279"/>
      <c r="C92" s="411" t="s">
        <v>44</v>
      </c>
      <c r="D92" s="411"/>
      <c r="E92" s="29">
        <v>0</v>
      </c>
      <c r="F92" s="40"/>
      <c r="G92" s="29">
        <v>6</v>
      </c>
      <c r="H92" s="29">
        <v>6</v>
      </c>
      <c r="J92" s="72">
        <v>12</v>
      </c>
      <c r="K92" s="46">
        <f t="shared" si="25"/>
        <v>50</v>
      </c>
      <c r="L92" s="47">
        <f t="shared" si="26"/>
        <v>50</v>
      </c>
      <c r="M92" s="47">
        <f t="shared" si="27"/>
        <v>0</v>
      </c>
      <c r="N92" s="48">
        <f t="shared" si="23"/>
        <v>100</v>
      </c>
      <c r="O92" s="47">
        <v>28.4</v>
      </c>
      <c r="P92" s="47">
        <v>28.4</v>
      </c>
      <c r="Q92" s="47"/>
      <c r="R92" s="68">
        <f t="shared" si="24"/>
        <v>56.8</v>
      </c>
      <c r="S92" s="69">
        <v>2</v>
      </c>
      <c r="T92" s="295"/>
      <c r="U92" s="292"/>
      <c r="V92" s="29" t="s">
        <v>16</v>
      </c>
      <c r="W92" s="29" t="s">
        <v>17</v>
      </c>
      <c r="X92" s="29" t="s">
        <v>18</v>
      </c>
      <c r="Y92" s="29">
        <v>28.4</v>
      </c>
      <c r="Z92" s="38" t="s">
        <v>21</v>
      </c>
      <c r="AA92" s="29" t="s">
        <v>27</v>
      </c>
      <c r="AB92" s="29" t="s">
        <v>11</v>
      </c>
      <c r="AC92" s="39">
        <v>28.4</v>
      </c>
      <c r="AD92" s="38"/>
      <c r="AG92" s="39"/>
      <c r="AL92" s="38"/>
      <c r="AO92" s="39"/>
      <c r="AS92" s="39"/>
      <c r="AW92" s="39"/>
      <c r="BA92" s="40"/>
    </row>
    <row r="93" spans="1:53" s="29" customFormat="1" ht="11" customHeight="1" x14ac:dyDescent="0.15">
      <c r="A93" s="29">
        <v>2002</v>
      </c>
      <c r="B93" s="279"/>
      <c r="C93" s="411" t="s">
        <v>44</v>
      </c>
      <c r="D93" s="411"/>
      <c r="E93" s="29">
        <v>365</v>
      </c>
      <c r="F93" s="40"/>
      <c r="G93" s="29">
        <v>6</v>
      </c>
      <c r="H93" s="29">
        <v>6</v>
      </c>
      <c r="J93" s="72">
        <v>12</v>
      </c>
      <c r="K93" s="46">
        <f t="shared" si="25"/>
        <v>50</v>
      </c>
      <c r="L93" s="47">
        <f t="shared" si="26"/>
        <v>50</v>
      </c>
      <c r="M93" s="47">
        <f t="shared" si="27"/>
        <v>0</v>
      </c>
      <c r="N93" s="48">
        <f t="shared" si="23"/>
        <v>100</v>
      </c>
      <c r="O93" s="47">
        <v>28.4</v>
      </c>
      <c r="P93" s="47">
        <v>28.4</v>
      </c>
      <c r="Q93" s="47"/>
      <c r="R93" s="68">
        <f t="shared" si="24"/>
        <v>56.8</v>
      </c>
      <c r="S93" s="69">
        <v>2</v>
      </c>
      <c r="T93" s="295">
        <v>37584</v>
      </c>
      <c r="U93" s="292"/>
      <c r="V93" s="29" t="s">
        <v>16</v>
      </c>
      <c r="W93" s="29" t="s">
        <v>17</v>
      </c>
      <c r="X93" s="29" t="s">
        <v>18</v>
      </c>
      <c r="Y93" s="29">
        <v>28.4</v>
      </c>
      <c r="Z93" s="38" t="s">
        <v>21</v>
      </c>
      <c r="AA93" s="29" t="s">
        <v>27</v>
      </c>
      <c r="AB93" s="29" t="s">
        <v>11</v>
      </c>
      <c r="AC93" s="39">
        <v>28.4</v>
      </c>
      <c r="AD93" s="38"/>
      <c r="AG93" s="39"/>
      <c r="AL93" s="38"/>
      <c r="AO93" s="39"/>
      <c r="AS93" s="39"/>
      <c r="AW93" s="39"/>
      <c r="BA93" s="40"/>
    </row>
    <row r="94" spans="1:53" s="29" customFormat="1" ht="11" customHeight="1" x14ac:dyDescent="0.15">
      <c r="A94" s="29">
        <v>2003</v>
      </c>
      <c r="B94" s="279"/>
      <c r="C94" s="411" t="s">
        <v>44</v>
      </c>
      <c r="D94" s="411"/>
      <c r="E94" s="29">
        <v>58</v>
      </c>
      <c r="F94" s="40"/>
      <c r="G94" s="29">
        <v>6</v>
      </c>
      <c r="H94" s="29">
        <v>6</v>
      </c>
      <c r="J94" s="72">
        <v>12</v>
      </c>
      <c r="K94" s="46">
        <f t="shared" si="25"/>
        <v>50</v>
      </c>
      <c r="L94" s="47">
        <f t="shared" si="26"/>
        <v>50</v>
      </c>
      <c r="M94" s="47">
        <f t="shared" si="27"/>
        <v>0</v>
      </c>
      <c r="N94" s="48">
        <f t="shared" si="23"/>
        <v>100</v>
      </c>
      <c r="O94" s="47">
        <v>28.4</v>
      </c>
      <c r="P94" s="47">
        <v>28.4</v>
      </c>
      <c r="Q94" s="47"/>
      <c r="R94" s="68">
        <f t="shared" si="24"/>
        <v>56.8</v>
      </c>
      <c r="S94" s="69">
        <v>2</v>
      </c>
      <c r="T94" s="295"/>
      <c r="U94" s="292"/>
      <c r="V94" s="29" t="s">
        <v>16</v>
      </c>
      <c r="W94" s="29" t="s">
        <v>17</v>
      </c>
      <c r="X94" s="29" t="s">
        <v>18</v>
      </c>
      <c r="Y94" s="29">
        <v>28.4</v>
      </c>
      <c r="Z94" s="38" t="s">
        <v>21</v>
      </c>
      <c r="AA94" s="29" t="s">
        <v>27</v>
      </c>
      <c r="AB94" s="29" t="s">
        <v>11</v>
      </c>
      <c r="AC94" s="39">
        <v>28.4</v>
      </c>
      <c r="AD94" s="38"/>
      <c r="AG94" s="39"/>
      <c r="AL94" s="38"/>
      <c r="AO94" s="39"/>
      <c r="AS94" s="39"/>
      <c r="AW94" s="39"/>
      <c r="BA94" s="40"/>
    </row>
    <row r="95" spans="1:53" s="171" customFormat="1" ht="11" customHeight="1" x14ac:dyDescent="0.15">
      <c r="A95" s="171">
        <v>2003</v>
      </c>
      <c r="B95" s="278">
        <v>37680</v>
      </c>
      <c r="C95" s="410" t="s">
        <v>45</v>
      </c>
      <c r="D95" s="410"/>
      <c r="E95" s="171">
        <v>307</v>
      </c>
      <c r="F95" s="180">
        <v>1</v>
      </c>
      <c r="G95" s="171">
        <v>3</v>
      </c>
      <c r="H95" s="171">
        <v>8</v>
      </c>
      <c r="J95" s="240">
        <v>12</v>
      </c>
      <c r="K95" s="213">
        <f t="shared" si="25"/>
        <v>25</v>
      </c>
      <c r="L95" s="214">
        <f t="shared" si="26"/>
        <v>66.666666666666657</v>
      </c>
      <c r="M95" s="214">
        <f t="shared" si="27"/>
        <v>0</v>
      </c>
      <c r="N95" s="215">
        <f t="shared" si="23"/>
        <v>91.666666666666657</v>
      </c>
      <c r="O95" s="214">
        <v>9.8000000000000007</v>
      </c>
      <c r="P95" s="214">
        <v>43.2</v>
      </c>
      <c r="Q95" s="214"/>
      <c r="R95" s="235">
        <f t="shared" si="24"/>
        <v>53</v>
      </c>
      <c r="S95" s="220">
        <v>2</v>
      </c>
      <c r="T95" s="283"/>
      <c r="U95" s="298">
        <v>37680</v>
      </c>
      <c r="V95" s="171" t="s">
        <v>16</v>
      </c>
      <c r="W95" s="171" t="s">
        <v>17</v>
      </c>
      <c r="X95" s="171" t="s">
        <v>18</v>
      </c>
      <c r="Y95" s="171">
        <v>43.2</v>
      </c>
      <c r="Z95" s="178" t="s">
        <v>21</v>
      </c>
      <c r="AA95" s="171" t="s">
        <v>27</v>
      </c>
      <c r="AB95" s="171" t="s">
        <v>11</v>
      </c>
      <c r="AC95" s="179">
        <v>9.8000000000000007</v>
      </c>
      <c r="AD95" s="178"/>
      <c r="AG95" s="179"/>
      <c r="AL95" s="178"/>
      <c r="AO95" s="179"/>
      <c r="AS95" s="179"/>
      <c r="AW95" s="179"/>
      <c r="BA95" s="180"/>
    </row>
    <row r="96" spans="1:53" s="171" customFormat="1" ht="11" customHeight="1" x14ac:dyDescent="0.15">
      <c r="A96" s="171">
        <v>2004</v>
      </c>
      <c r="B96" s="278"/>
      <c r="C96" s="410" t="s">
        <v>45</v>
      </c>
      <c r="D96" s="410"/>
      <c r="E96" s="171">
        <v>0</v>
      </c>
      <c r="F96" s="180"/>
      <c r="G96" s="171">
        <v>3</v>
      </c>
      <c r="H96" s="171">
        <v>8</v>
      </c>
      <c r="J96" s="240">
        <v>12</v>
      </c>
      <c r="K96" s="213">
        <f t="shared" si="25"/>
        <v>25</v>
      </c>
      <c r="L96" s="214">
        <f t="shared" si="26"/>
        <v>66.666666666666657</v>
      </c>
      <c r="M96" s="214">
        <f t="shared" si="27"/>
        <v>0</v>
      </c>
      <c r="N96" s="215">
        <f t="shared" si="23"/>
        <v>91.666666666666657</v>
      </c>
      <c r="O96" s="214">
        <v>9.8000000000000007</v>
      </c>
      <c r="P96" s="214">
        <v>43.2</v>
      </c>
      <c r="Q96" s="214"/>
      <c r="R96" s="235">
        <f t="shared" si="24"/>
        <v>53</v>
      </c>
      <c r="S96" s="220">
        <v>2</v>
      </c>
      <c r="T96" s="283"/>
      <c r="U96" s="298"/>
      <c r="V96" s="171" t="s">
        <v>16</v>
      </c>
      <c r="W96" s="171" t="s">
        <v>17</v>
      </c>
      <c r="X96" s="171" t="s">
        <v>18</v>
      </c>
      <c r="Y96" s="171">
        <v>43.2</v>
      </c>
      <c r="Z96" s="178" t="s">
        <v>21</v>
      </c>
      <c r="AA96" s="171" t="s">
        <v>27</v>
      </c>
      <c r="AB96" s="171" t="s">
        <v>11</v>
      </c>
      <c r="AC96" s="179">
        <v>9.8000000000000007</v>
      </c>
      <c r="AD96" s="178"/>
      <c r="AG96" s="179"/>
      <c r="AL96" s="178"/>
      <c r="AO96" s="179"/>
      <c r="AS96" s="179"/>
      <c r="AW96" s="179"/>
      <c r="BA96" s="180"/>
    </row>
    <row r="97" spans="1:53" s="171" customFormat="1" ht="11" customHeight="1" x14ac:dyDescent="0.15">
      <c r="A97" s="171">
        <v>2004</v>
      </c>
      <c r="B97" s="278"/>
      <c r="C97" s="410" t="s">
        <v>45</v>
      </c>
      <c r="D97" s="410"/>
      <c r="E97" s="171">
        <v>366</v>
      </c>
      <c r="F97" s="180"/>
      <c r="G97" s="171">
        <v>3</v>
      </c>
      <c r="H97" s="171">
        <v>8</v>
      </c>
      <c r="J97" s="240">
        <v>12</v>
      </c>
      <c r="K97" s="213">
        <f t="shared" si="25"/>
        <v>25</v>
      </c>
      <c r="L97" s="214">
        <f t="shared" si="26"/>
        <v>66.666666666666657</v>
      </c>
      <c r="M97" s="214">
        <f t="shared" si="27"/>
        <v>0</v>
      </c>
      <c r="N97" s="215">
        <f t="shared" si="23"/>
        <v>91.666666666666657</v>
      </c>
      <c r="O97" s="214">
        <v>9.8000000000000007</v>
      </c>
      <c r="P97" s="214">
        <v>43.2</v>
      </c>
      <c r="Q97" s="214"/>
      <c r="R97" s="235">
        <f t="shared" si="24"/>
        <v>53</v>
      </c>
      <c r="S97" s="220">
        <v>2</v>
      </c>
      <c r="T97" s="283"/>
      <c r="U97" s="298"/>
      <c r="V97" s="171" t="s">
        <v>16</v>
      </c>
      <c r="W97" s="171" t="s">
        <v>17</v>
      </c>
      <c r="X97" s="171" t="s">
        <v>18</v>
      </c>
      <c r="Y97" s="171">
        <v>43.2</v>
      </c>
      <c r="Z97" s="178" t="s">
        <v>21</v>
      </c>
      <c r="AA97" s="171" t="s">
        <v>27</v>
      </c>
      <c r="AB97" s="171" t="s">
        <v>11</v>
      </c>
      <c r="AC97" s="179">
        <v>9.8000000000000007</v>
      </c>
      <c r="AD97" s="178"/>
      <c r="AG97" s="179"/>
      <c r="AL97" s="178"/>
      <c r="AO97" s="179"/>
      <c r="AS97" s="179"/>
      <c r="AW97" s="179"/>
      <c r="BA97" s="180"/>
    </row>
    <row r="98" spans="1:53" s="229" customFormat="1" ht="11" customHeight="1" x14ac:dyDescent="0.15">
      <c r="A98" s="171">
        <v>2005</v>
      </c>
      <c r="B98" s="294"/>
      <c r="C98" s="410" t="s">
        <v>45</v>
      </c>
      <c r="D98" s="410"/>
      <c r="E98" s="171">
        <v>94</v>
      </c>
      <c r="F98" s="180"/>
      <c r="G98" s="171">
        <v>3</v>
      </c>
      <c r="H98" s="171">
        <v>8</v>
      </c>
      <c r="I98" s="171"/>
      <c r="J98" s="240">
        <v>12</v>
      </c>
      <c r="K98" s="213">
        <f t="shared" ref="K98:K111" si="28">G98/J98*100</f>
        <v>25</v>
      </c>
      <c r="L98" s="214">
        <f t="shared" ref="L98:L111" si="29">H98/J98*100</f>
        <v>66.666666666666657</v>
      </c>
      <c r="M98" s="214">
        <f t="shared" ref="M98:M111" si="30">I98/J98*100</f>
        <v>0</v>
      </c>
      <c r="N98" s="215">
        <f t="shared" si="23"/>
        <v>91.666666666666657</v>
      </c>
      <c r="O98" s="214">
        <v>9.8000000000000007</v>
      </c>
      <c r="P98" s="214">
        <v>43.2</v>
      </c>
      <c r="Q98" s="214"/>
      <c r="R98" s="235">
        <f t="shared" si="24"/>
        <v>53</v>
      </c>
      <c r="S98" s="220">
        <v>2</v>
      </c>
      <c r="T98" s="283"/>
      <c r="U98" s="298"/>
      <c r="V98" s="171" t="s">
        <v>16</v>
      </c>
      <c r="W98" s="171" t="s">
        <v>17</v>
      </c>
      <c r="X98" s="171" t="s">
        <v>18</v>
      </c>
      <c r="Y98" s="171">
        <v>43.2</v>
      </c>
      <c r="Z98" s="178" t="s">
        <v>21</v>
      </c>
      <c r="AA98" s="171" t="s">
        <v>27</v>
      </c>
      <c r="AB98" s="171" t="s">
        <v>11</v>
      </c>
      <c r="AC98" s="179">
        <v>9.8000000000000007</v>
      </c>
      <c r="AD98" s="230"/>
      <c r="AG98" s="231"/>
      <c r="AL98" s="230"/>
      <c r="AO98" s="231"/>
      <c r="AS98" s="231"/>
      <c r="AW98" s="231"/>
      <c r="BA98" s="232"/>
    </row>
    <row r="99" spans="1:53" s="229" customFormat="1" ht="11" customHeight="1" x14ac:dyDescent="0.15">
      <c r="A99" s="171">
        <v>2005</v>
      </c>
      <c r="B99" s="291">
        <v>38447</v>
      </c>
      <c r="C99" s="410" t="s">
        <v>45</v>
      </c>
      <c r="D99" s="410"/>
      <c r="E99" s="171">
        <v>271</v>
      </c>
      <c r="F99" s="236">
        <v>0</v>
      </c>
      <c r="G99" s="171">
        <v>3</v>
      </c>
      <c r="H99" s="171">
        <v>8</v>
      </c>
      <c r="I99" s="171"/>
      <c r="J99" s="240">
        <v>12</v>
      </c>
      <c r="K99" s="213">
        <f t="shared" ref="K99" si="31">G99/J99*100</f>
        <v>25</v>
      </c>
      <c r="L99" s="214">
        <f t="shared" ref="L99" si="32">H99/J99*100</f>
        <v>66.666666666666657</v>
      </c>
      <c r="M99" s="214">
        <f t="shared" ref="M99" si="33">I99/J99*100</f>
        <v>0</v>
      </c>
      <c r="N99" s="215">
        <f t="shared" ref="N99" si="34">SUM(K99:M99)</f>
        <v>91.666666666666657</v>
      </c>
      <c r="O99" s="214">
        <v>6.6</v>
      </c>
      <c r="P99" s="214">
        <v>43.2</v>
      </c>
      <c r="Q99" s="214"/>
      <c r="R99" s="235">
        <f t="shared" ref="R99" si="35">SUM(O99:Q99)</f>
        <v>49.800000000000004</v>
      </c>
      <c r="S99" s="220">
        <v>5</v>
      </c>
      <c r="T99" s="283"/>
      <c r="U99" s="298"/>
      <c r="V99" s="171" t="s">
        <v>16</v>
      </c>
      <c r="W99" s="171" t="s">
        <v>17</v>
      </c>
      <c r="X99" s="171" t="s">
        <v>18</v>
      </c>
      <c r="Y99" s="171">
        <v>43.2</v>
      </c>
      <c r="Z99" s="178" t="s">
        <v>1437</v>
      </c>
      <c r="AA99" s="171" t="s">
        <v>1438</v>
      </c>
      <c r="AB99" s="171" t="s">
        <v>11</v>
      </c>
      <c r="AC99" s="179">
        <v>6.6</v>
      </c>
      <c r="AD99" s="230"/>
      <c r="AG99" s="231"/>
      <c r="AL99" s="230"/>
      <c r="AO99" s="231"/>
      <c r="AS99" s="231"/>
      <c r="AW99" s="231"/>
      <c r="BA99" s="232"/>
    </row>
    <row r="100" spans="1:53" s="171" customFormat="1" ht="11" customHeight="1" x14ac:dyDescent="0.15">
      <c r="A100" s="171">
        <v>2006</v>
      </c>
      <c r="B100" s="283"/>
      <c r="C100" s="410" t="s">
        <v>45</v>
      </c>
      <c r="D100" s="410"/>
      <c r="E100" s="171">
        <v>0</v>
      </c>
      <c r="F100" s="180"/>
      <c r="G100" s="171">
        <v>3</v>
      </c>
      <c r="H100" s="171">
        <v>8</v>
      </c>
      <c r="J100" s="240">
        <v>12</v>
      </c>
      <c r="K100" s="213">
        <f t="shared" si="28"/>
        <v>25</v>
      </c>
      <c r="L100" s="214">
        <f t="shared" si="29"/>
        <v>66.666666666666657</v>
      </c>
      <c r="M100" s="214">
        <f t="shared" si="30"/>
        <v>0</v>
      </c>
      <c r="N100" s="215">
        <f t="shared" si="23"/>
        <v>91.666666666666657</v>
      </c>
      <c r="O100" s="214">
        <v>6.6</v>
      </c>
      <c r="P100" s="214">
        <v>43.2</v>
      </c>
      <c r="Q100" s="214"/>
      <c r="R100" s="235">
        <f t="shared" si="24"/>
        <v>49.800000000000004</v>
      </c>
      <c r="S100" s="220">
        <v>5</v>
      </c>
      <c r="T100" s="283"/>
      <c r="U100" s="298"/>
      <c r="V100" s="171" t="s">
        <v>16</v>
      </c>
      <c r="W100" s="171" t="s">
        <v>17</v>
      </c>
      <c r="X100" s="171" t="s">
        <v>18</v>
      </c>
      <c r="Y100" s="171">
        <v>43.2</v>
      </c>
      <c r="Z100" s="178" t="s">
        <v>1437</v>
      </c>
      <c r="AA100" s="171" t="s">
        <v>1438</v>
      </c>
      <c r="AB100" s="171" t="s">
        <v>11</v>
      </c>
      <c r="AC100" s="179">
        <v>6.6</v>
      </c>
      <c r="AD100" s="178"/>
      <c r="AG100" s="179"/>
      <c r="AL100" s="178"/>
      <c r="AO100" s="179"/>
      <c r="AS100" s="179"/>
      <c r="AW100" s="179"/>
      <c r="BA100" s="180"/>
    </row>
    <row r="101" spans="1:53" s="171" customFormat="1" ht="11" customHeight="1" x14ac:dyDescent="0.15">
      <c r="A101" s="171">
        <v>2006</v>
      </c>
      <c r="B101" s="283"/>
      <c r="C101" s="410" t="s">
        <v>45</v>
      </c>
      <c r="D101" s="410"/>
      <c r="E101" s="171">
        <v>365</v>
      </c>
      <c r="F101" s="180"/>
      <c r="G101" s="171">
        <v>3</v>
      </c>
      <c r="H101" s="171">
        <v>8</v>
      </c>
      <c r="J101" s="240">
        <v>12</v>
      </c>
      <c r="K101" s="213">
        <f t="shared" si="28"/>
        <v>25</v>
      </c>
      <c r="L101" s="214">
        <f t="shared" si="29"/>
        <v>66.666666666666657</v>
      </c>
      <c r="M101" s="214">
        <f t="shared" si="30"/>
        <v>0</v>
      </c>
      <c r="N101" s="215">
        <f t="shared" si="23"/>
        <v>91.666666666666657</v>
      </c>
      <c r="O101" s="214">
        <v>6.6</v>
      </c>
      <c r="P101" s="214">
        <v>43.2</v>
      </c>
      <c r="Q101" s="214"/>
      <c r="R101" s="235">
        <f t="shared" si="24"/>
        <v>49.800000000000004</v>
      </c>
      <c r="S101" s="220">
        <v>5</v>
      </c>
      <c r="T101" s="283">
        <v>38991</v>
      </c>
      <c r="U101" s="298"/>
      <c r="V101" s="171" t="s">
        <v>16</v>
      </c>
      <c r="W101" s="171" t="s">
        <v>17</v>
      </c>
      <c r="X101" s="171" t="s">
        <v>18</v>
      </c>
      <c r="Y101" s="171">
        <v>43.2</v>
      </c>
      <c r="Z101" s="178" t="s">
        <v>1437</v>
      </c>
      <c r="AA101" s="171" t="s">
        <v>1438</v>
      </c>
      <c r="AB101" s="171" t="s">
        <v>11</v>
      </c>
      <c r="AC101" s="179">
        <v>6.6</v>
      </c>
      <c r="AD101" s="178"/>
      <c r="AG101" s="179"/>
      <c r="AL101" s="178"/>
      <c r="AO101" s="179"/>
      <c r="AS101" s="179"/>
      <c r="AW101" s="179"/>
      <c r="BA101" s="180"/>
    </row>
    <row r="102" spans="1:53" s="171" customFormat="1" ht="11" customHeight="1" x14ac:dyDescent="0.15">
      <c r="A102" s="171">
        <v>2007</v>
      </c>
      <c r="B102" s="283"/>
      <c r="C102" s="410" t="s">
        <v>45</v>
      </c>
      <c r="D102" s="410"/>
      <c r="E102" s="171">
        <v>10</v>
      </c>
      <c r="F102" s="180"/>
      <c r="G102" s="171">
        <v>3</v>
      </c>
      <c r="H102" s="171">
        <v>8</v>
      </c>
      <c r="J102" s="240">
        <v>12</v>
      </c>
      <c r="K102" s="213">
        <f t="shared" si="28"/>
        <v>25</v>
      </c>
      <c r="L102" s="214">
        <f t="shared" si="29"/>
        <v>66.666666666666657</v>
      </c>
      <c r="M102" s="214">
        <f t="shared" si="30"/>
        <v>0</v>
      </c>
      <c r="N102" s="215">
        <f t="shared" si="23"/>
        <v>91.666666666666657</v>
      </c>
      <c r="O102" s="214">
        <v>6.6</v>
      </c>
      <c r="P102" s="214">
        <v>43.2</v>
      </c>
      <c r="Q102" s="214"/>
      <c r="R102" s="235">
        <f t="shared" si="24"/>
        <v>49.800000000000004</v>
      </c>
      <c r="S102" s="220">
        <v>5</v>
      </c>
      <c r="T102" s="283"/>
      <c r="U102" s="298"/>
      <c r="V102" s="171" t="s">
        <v>16</v>
      </c>
      <c r="W102" s="171" t="s">
        <v>17</v>
      </c>
      <c r="X102" s="171" t="s">
        <v>18</v>
      </c>
      <c r="Y102" s="171">
        <v>43.2</v>
      </c>
      <c r="Z102" s="178" t="s">
        <v>1437</v>
      </c>
      <c r="AA102" s="171" t="s">
        <v>1438</v>
      </c>
      <c r="AB102" s="171" t="s">
        <v>11</v>
      </c>
      <c r="AC102" s="179">
        <v>6.6</v>
      </c>
      <c r="AD102" s="178"/>
      <c r="AG102" s="179"/>
      <c r="AL102" s="178"/>
      <c r="AO102" s="179"/>
      <c r="AS102" s="179"/>
      <c r="AW102" s="179"/>
      <c r="BA102" s="180"/>
    </row>
    <row r="103" spans="1:53" s="29" customFormat="1" ht="11" customHeight="1" x14ac:dyDescent="0.15">
      <c r="A103" s="29">
        <v>2007</v>
      </c>
      <c r="B103" s="279">
        <v>39093</v>
      </c>
      <c r="C103" s="411" t="s">
        <v>46</v>
      </c>
      <c r="D103" s="411"/>
      <c r="E103" s="29">
        <v>355</v>
      </c>
      <c r="F103" s="40">
        <v>1</v>
      </c>
      <c r="H103" s="29">
        <v>7</v>
      </c>
      <c r="I103" s="29">
        <v>7</v>
      </c>
      <c r="J103" s="72">
        <v>14</v>
      </c>
      <c r="K103" s="46">
        <f t="shared" si="28"/>
        <v>0</v>
      </c>
      <c r="L103" s="47">
        <f t="shared" si="29"/>
        <v>50</v>
      </c>
      <c r="M103" s="47">
        <f t="shared" si="30"/>
        <v>50</v>
      </c>
      <c r="N103" s="48">
        <f t="shared" si="23"/>
        <v>100</v>
      </c>
      <c r="O103" s="47"/>
      <c r="P103" s="47">
        <v>36.1</v>
      </c>
      <c r="Q103" s="47">
        <v>37.200000000000003</v>
      </c>
      <c r="R103" s="68">
        <f t="shared" si="24"/>
        <v>73.300000000000011</v>
      </c>
      <c r="S103" s="69">
        <v>2</v>
      </c>
      <c r="T103" s="295"/>
      <c r="U103" s="292">
        <v>39093</v>
      </c>
      <c r="V103" s="29" t="s">
        <v>19</v>
      </c>
      <c r="W103" s="29" t="s">
        <v>20</v>
      </c>
      <c r="X103" s="29" t="s">
        <v>12</v>
      </c>
      <c r="Y103" s="29">
        <v>37.200000000000003</v>
      </c>
      <c r="Z103" s="38" t="s">
        <v>16</v>
      </c>
      <c r="AA103" s="29" t="s">
        <v>17</v>
      </c>
      <c r="AB103" s="29" t="s">
        <v>18</v>
      </c>
      <c r="AC103" s="39">
        <v>36.1</v>
      </c>
      <c r="AD103" s="38"/>
      <c r="AG103" s="39"/>
      <c r="AL103" s="38"/>
      <c r="AO103" s="39"/>
      <c r="AS103" s="39"/>
      <c r="AW103" s="39"/>
      <c r="BA103" s="40"/>
    </row>
    <row r="104" spans="1:53" s="29" customFormat="1" ht="11" customHeight="1" x14ac:dyDescent="0.15">
      <c r="A104" s="29">
        <v>2008</v>
      </c>
      <c r="B104" s="295"/>
      <c r="C104" s="411" t="s">
        <v>46</v>
      </c>
      <c r="D104" s="411"/>
      <c r="E104" s="29">
        <v>336</v>
      </c>
      <c r="F104" s="40"/>
      <c r="H104" s="29">
        <v>7</v>
      </c>
      <c r="I104" s="29">
        <v>7</v>
      </c>
      <c r="J104" s="72">
        <v>14</v>
      </c>
      <c r="K104" s="46">
        <f t="shared" si="28"/>
        <v>0</v>
      </c>
      <c r="L104" s="47">
        <f t="shared" si="29"/>
        <v>50</v>
      </c>
      <c r="M104" s="47">
        <f t="shared" si="30"/>
        <v>50</v>
      </c>
      <c r="N104" s="48">
        <f t="shared" si="23"/>
        <v>100</v>
      </c>
      <c r="O104" s="47"/>
      <c r="P104" s="47">
        <v>36.1</v>
      </c>
      <c r="Q104" s="47">
        <v>37.200000000000003</v>
      </c>
      <c r="R104" s="68">
        <f t="shared" si="24"/>
        <v>73.300000000000011</v>
      </c>
      <c r="S104" s="69">
        <v>2</v>
      </c>
      <c r="T104" s="295"/>
      <c r="U104" s="292"/>
      <c r="V104" s="29" t="s">
        <v>19</v>
      </c>
      <c r="W104" s="29" t="s">
        <v>20</v>
      </c>
      <c r="X104" s="29" t="s">
        <v>12</v>
      </c>
      <c r="Y104" s="29">
        <v>37.200000000000003</v>
      </c>
      <c r="Z104" s="38" t="s">
        <v>16</v>
      </c>
      <c r="AA104" s="29" t="s">
        <v>17</v>
      </c>
      <c r="AB104" s="29" t="s">
        <v>18</v>
      </c>
      <c r="AC104" s="39">
        <v>36.1</v>
      </c>
      <c r="AD104" s="38"/>
      <c r="AG104" s="39"/>
      <c r="AL104" s="38"/>
      <c r="AO104" s="39"/>
      <c r="AS104" s="39"/>
      <c r="AW104" s="39"/>
      <c r="BA104" s="40"/>
    </row>
    <row r="105" spans="1:53" s="171" customFormat="1" ht="11" customHeight="1" x14ac:dyDescent="0.15">
      <c r="A105" s="171">
        <v>2008</v>
      </c>
      <c r="B105" s="278">
        <v>39784</v>
      </c>
      <c r="C105" s="410" t="s">
        <v>47</v>
      </c>
      <c r="D105" s="410"/>
      <c r="E105" s="171">
        <v>30</v>
      </c>
      <c r="F105" s="180">
        <v>1</v>
      </c>
      <c r="H105" s="171">
        <v>7</v>
      </c>
      <c r="I105" s="171">
        <v>7</v>
      </c>
      <c r="J105" s="240">
        <v>14</v>
      </c>
      <c r="K105" s="213">
        <f t="shared" si="28"/>
        <v>0</v>
      </c>
      <c r="L105" s="214">
        <f t="shared" si="29"/>
        <v>50</v>
      </c>
      <c r="M105" s="214">
        <f t="shared" si="30"/>
        <v>50</v>
      </c>
      <c r="N105" s="215">
        <f t="shared" si="23"/>
        <v>100</v>
      </c>
      <c r="O105" s="214"/>
      <c r="P105" s="214">
        <v>27.9</v>
      </c>
      <c r="Q105" s="214">
        <v>31.1</v>
      </c>
      <c r="R105" s="235">
        <f t="shared" si="24"/>
        <v>59</v>
      </c>
      <c r="S105" s="220">
        <v>2</v>
      </c>
      <c r="T105" s="283">
        <v>39719</v>
      </c>
      <c r="U105" s="298">
        <v>39784</v>
      </c>
      <c r="V105" s="171" t="s">
        <v>19</v>
      </c>
      <c r="W105" s="171" t="s">
        <v>20</v>
      </c>
      <c r="X105" s="171" t="s">
        <v>12</v>
      </c>
      <c r="Y105" s="171">
        <v>31.1</v>
      </c>
      <c r="Z105" s="178" t="s">
        <v>16</v>
      </c>
      <c r="AA105" s="171" t="s">
        <v>17</v>
      </c>
      <c r="AB105" s="171" t="s">
        <v>18</v>
      </c>
      <c r="AC105" s="179">
        <v>27.9</v>
      </c>
      <c r="AD105" s="178"/>
      <c r="AG105" s="179"/>
      <c r="AL105" s="178"/>
      <c r="AO105" s="179"/>
      <c r="AS105" s="179"/>
      <c r="AW105" s="179"/>
      <c r="BA105" s="180"/>
    </row>
    <row r="106" spans="1:53" s="171" customFormat="1" ht="11" customHeight="1" x14ac:dyDescent="0.15">
      <c r="A106" s="171">
        <v>2009</v>
      </c>
      <c r="B106" s="283"/>
      <c r="C106" s="410" t="s">
        <v>47</v>
      </c>
      <c r="D106" s="410"/>
      <c r="E106" s="171">
        <v>0</v>
      </c>
      <c r="F106" s="180"/>
      <c r="H106" s="171">
        <v>7</v>
      </c>
      <c r="I106" s="171">
        <v>7</v>
      </c>
      <c r="J106" s="240">
        <v>14</v>
      </c>
      <c r="K106" s="213">
        <f t="shared" si="28"/>
        <v>0</v>
      </c>
      <c r="L106" s="214">
        <f>H106/J106*100</f>
        <v>50</v>
      </c>
      <c r="M106" s="214">
        <f t="shared" si="30"/>
        <v>50</v>
      </c>
      <c r="N106" s="215">
        <f t="shared" si="23"/>
        <v>100</v>
      </c>
      <c r="O106" s="214"/>
      <c r="P106" s="214">
        <v>27.9</v>
      </c>
      <c r="Q106" s="214">
        <v>31.1</v>
      </c>
      <c r="R106" s="235">
        <f t="shared" si="24"/>
        <v>59</v>
      </c>
      <c r="S106" s="220">
        <v>2</v>
      </c>
      <c r="T106" s="283"/>
      <c r="U106" s="298"/>
      <c r="V106" s="171" t="s">
        <v>19</v>
      </c>
      <c r="W106" s="171" t="s">
        <v>20</v>
      </c>
      <c r="X106" s="171" t="s">
        <v>12</v>
      </c>
      <c r="Y106" s="171">
        <v>31.1</v>
      </c>
      <c r="Z106" s="178" t="s">
        <v>16</v>
      </c>
      <c r="AA106" s="171" t="s">
        <v>17</v>
      </c>
      <c r="AB106" s="171" t="s">
        <v>18</v>
      </c>
      <c r="AC106" s="179">
        <v>27.9</v>
      </c>
      <c r="AD106" s="178"/>
      <c r="AG106" s="179"/>
      <c r="AL106" s="178"/>
      <c r="AO106" s="179"/>
      <c r="AS106" s="179"/>
      <c r="AW106" s="179"/>
      <c r="BA106" s="180"/>
    </row>
    <row r="107" spans="1:53" s="171" customFormat="1" ht="11" customHeight="1" x14ac:dyDescent="0.15">
      <c r="A107" s="171">
        <v>2009</v>
      </c>
      <c r="B107" s="283"/>
      <c r="C107" s="410" t="s">
        <v>47</v>
      </c>
      <c r="D107" s="410"/>
      <c r="E107" s="171">
        <v>365</v>
      </c>
      <c r="F107" s="180"/>
      <c r="H107" s="171">
        <v>7</v>
      </c>
      <c r="I107" s="171">
        <v>7</v>
      </c>
      <c r="J107" s="240">
        <v>14</v>
      </c>
      <c r="K107" s="213">
        <f t="shared" si="28"/>
        <v>0</v>
      </c>
      <c r="L107" s="214">
        <f t="shared" si="29"/>
        <v>50</v>
      </c>
      <c r="M107" s="214">
        <f t="shared" si="30"/>
        <v>50</v>
      </c>
      <c r="N107" s="215">
        <f t="shared" si="23"/>
        <v>100</v>
      </c>
      <c r="O107" s="214"/>
      <c r="P107" s="214">
        <v>27.9</v>
      </c>
      <c r="Q107" s="214">
        <v>31.1</v>
      </c>
      <c r="R107" s="235">
        <f t="shared" si="24"/>
        <v>59</v>
      </c>
      <c r="S107" s="220">
        <v>2</v>
      </c>
      <c r="T107" s="283"/>
      <c r="U107" s="298"/>
      <c r="V107" s="171" t="s">
        <v>19</v>
      </c>
      <c r="W107" s="171" t="s">
        <v>20</v>
      </c>
      <c r="X107" s="171" t="s">
        <v>12</v>
      </c>
      <c r="Y107" s="171">
        <v>31.1</v>
      </c>
      <c r="Z107" s="178" t="s">
        <v>16</v>
      </c>
      <c r="AA107" s="171" t="s">
        <v>17</v>
      </c>
      <c r="AB107" s="171" t="s">
        <v>18</v>
      </c>
      <c r="AC107" s="179">
        <v>27.9</v>
      </c>
      <c r="AD107" s="178"/>
      <c r="AG107" s="179"/>
      <c r="AL107" s="178"/>
      <c r="AO107" s="179"/>
      <c r="AS107" s="179"/>
      <c r="AW107" s="179"/>
      <c r="BA107" s="180"/>
    </row>
    <row r="108" spans="1:53" s="171" customFormat="1" ht="11" customHeight="1" x14ac:dyDescent="0.15">
      <c r="A108" s="171">
        <v>2010</v>
      </c>
      <c r="B108" s="283"/>
      <c r="C108" s="410" t="s">
        <v>47</v>
      </c>
      <c r="D108" s="410"/>
      <c r="E108" s="171">
        <v>0</v>
      </c>
      <c r="F108" s="180"/>
      <c r="H108" s="171">
        <v>7</v>
      </c>
      <c r="I108" s="171">
        <v>7</v>
      </c>
      <c r="J108" s="240">
        <v>14</v>
      </c>
      <c r="K108" s="213">
        <f t="shared" si="28"/>
        <v>0</v>
      </c>
      <c r="L108" s="214">
        <f t="shared" si="29"/>
        <v>50</v>
      </c>
      <c r="M108" s="214">
        <f t="shared" si="30"/>
        <v>50</v>
      </c>
      <c r="N108" s="215">
        <f t="shared" si="23"/>
        <v>100</v>
      </c>
      <c r="O108" s="214"/>
      <c r="P108" s="214">
        <v>27.9</v>
      </c>
      <c r="Q108" s="214">
        <v>31.1</v>
      </c>
      <c r="R108" s="235">
        <f t="shared" si="24"/>
        <v>59</v>
      </c>
      <c r="S108" s="220">
        <v>2</v>
      </c>
      <c r="T108" s="283"/>
      <c r="U108" s="298"/>
      <c r="V108" s="171" t="s">
        <v>19</v>
      </c>
      <c r="W108" s="171" t="s">
        <v>20</v>
      </c>
      <c r="X108" s="171" t="s">
        <v>12</v>
      </c>
      <c r="Y108" s="171">
        <v>31.1</v>
      </c>
      <c r="Z108" s="178" t="s">
        <v>16</v>
      </c>
      <c r="AA108" s="171" t="s">
        <v>17</v>
      </c>
      <c r="AB108" s="171" t="s">
        <v>18</v>
      </c>
      <c r="AC108" s="179">
        <v>27.9</v>
      </c>
      <c r="AD108" s="178"/>
      <c r="AG108" s="179"/>
      <c r="AL108" s="178"/>
      <c r="AO108" s="179"/>
      <c r="AS108" s="179"/>
      <c r="AW108" s="179"/>
      <c r="BA108" s="180"/>
    </row>
    <row r="109" spans="1:53" s="171" customFormat="1" ht="11" customHeight="1" x14ac:dyDescent="0.15">
      <c r="A109" s="171">
        <v>2010</v>
      </c>
      <c r="B109" s="283"/>
      <c r="C109" s="410" t="s">
        <v>47</v>
      </c>
      <c r="D109" s="410"/>
      <c r="E109" s="171">
        <v>365</v>
      </c>
      <c r="F109" s="180"/>
      <c r="H109" s="171">
        <v>7</v>
      </c>
      <c r="I109" s="171">
        <v>7</v>
      </c>
      <c r="J109" s="240">
        <v>14</v>
      </c>
      <c r="K109" s="213">
        <f t="shared" si="28"/>
        <v>0</v>
      </c>
      <c r="L109" s="214">
        <f t="shared" si="29"/>
        <v>50</v>
      </c>
      <c r="M109" s="214">
        <f t="shared" si="30"/>
        <v>50</v>
      </c>
      <c r="N109" s="215">
        <f t="shared" si="23"/>
        <v>100</v>
      </c>
      <c r="O109" s="214"/>
      <c r="P109" s="214">
        <v>27.9</v>
      </c>
      <c r="Q109" s="214">
        <v>31.1</v>
      </c>
      <c r="R109" s="235">
        <f t="shared" si="24"/>
        <v>59</v>
      </c>
      <c r="S109" s="220">
        <v>2</v>
      </c>
      <c r="T109" s="283"/>
      <c r="U109" s="298"/>
      <c r="V109" s="171" t="s">
        <v>19</v>
      </c>
      <c r="W109" s="171" t="s">
        <v>20</v>
      </c>
      <c r="X109" s="171" t="s">
        <v>12</v>
      </c>
      <c r="Y109" s="171">
        <v>31.1</v>
      </c>
      <c r="Z109" s="178" t="s">
        <v>16</v>
      </c>
      <c r="AA109" s="171" t="s">
        <v>17</v>
      </c>
      <c r="AB109" s="171" t="s">
        <v>18</v>
      </c>
      <c r="AC109" s="179">
        <v>27.9</v>
      </c>
      <c r="AD109" s="178"/>
      <c r="AG109" s="179"/>
      <c r="AL109" s="178"/>
      <c r="AO109" s="179"/>
      <c r="AS109" s="179"/>
      <c r="AW109" s="179"/>
      <c r="BA109" s="180"/>
    </row>
    <row r="110" spans="1:53" s="171" customFormat="1" ht="11" customHeight="1" x14ac:dyDescent="0.15">
      <c r="A110" s="171">
        <v>2011</v>
      </c>
      <c r="B110" s="283"/>
      <c r="C110" s="410" t="s">
        <v>47</v>
      </c>
      <c r="D110" s="410"/>
      <c r="E110" s="171">
        <v>0</v>
      </c>
      <c r="F110" s="180"/>
      <c r="H110" s="171">
        <v>7</v>
      </c>
      <c r="I110" s="171">
        <v>7</v>
      </c>
      <c r="J110" s="240">
        <v>14</v>
      </c>
      <c r="K110" s="213">
        <f t="shared" si="28"/>
        <v>0</v>
      </c>
      <c r="L110" s="214">
        <f t="shared" si="29"/>
        <v>50</v>
      </c>
      <c r="M110" s="214">
        <f t="shared" si="30"/>
        <v>50</v>
      </c>
      <c r="N110" s="215">
        <f t="shared" si="23"/>
        <v>100</v>
      </c>
      <c r="O110" s="214"/>
      <c r="P110" s="214">
        <v>27.9</v>
      </c>
      <c r="Q110" s="214">
        <v>31.1</v>
      </c>
      <c r="R110" s="235">
        <f t="shared" si="24"/>
        <v>59</v>
      </c>
      <c r="S110" s="220">
        <v>2</v>
      </c>
      <c r="T110" s="283"/>
      <c r="U110" s="298"/>
      <c r="V110" s="171" t="s">
        <v>19</v>
      </c>
      <c r="W110" s="171" t="s">
        <v>20</v>
      </c>
      <c r="X110" s="171" t="s">
        <v>12</v>
      </c>
      <c r="Y110" s="171">
        <v>31.1</v>
      </c>
      <c r="Z110" s="178" t="s">
        <v>16</v>
      </c>
      <c r="AA110" s="171" t="s">
        <v>17</v>
      </c>
      <c r="AB110" s="171" t="s">
        <v>18</v>
      </c>
      <c r="AC110" s="179">
        <v>27.9</v>
      </c>
      <c r="AD110" s="178"/>
      <c r="AG110" s="179"/>
      <c r="AL110" s="178"/>
      <c r="AO110" s="179"/>
      <c r="AS110" s="179"/>
      <c r="AW110" s="179"/>
      <c r="BA110" s="180"/>
    </row>
    <row r="111" spans="1:53" s="171" customFormat="1" ht="11" customHeight="1" x14ac:dyDescent="0.15">
      <c r="A111" s="171">
        <v>2011</v>
      </c>
      <c r="B111" s="283"/>
      <c r="C111" s="410" t="s">
        <v>47</v>
      </c>
      <c r="D111" s="410"/>
      <c r="E111" s="171">
        <v>365</v>
      </c>
      <c r="F111" s="180"/>
      <c r="H111" s="171">
        <v>7</v>
      </c>
      <c r="I111" s="171">
        <v>7</v>
      </c>
      <c r="J111" s="240">
        <v>14</v>
      </c>
      <c r="K111" s="213">
        <f t="shared" si="28"/>
        <v>0</v>
      </c>
      <c r="L111" s="214">
        <f t="shared" si="29"/>
        <v>50</v>
      </c>
      <c r="M111" s="214">
        <f t="shared" si="30"/>
        <v>50</v>
      </c>
      <c r="N111" s="215">
        <f t="shared" si="23"/>
        <v>100</v>
      </c>
      <c r="O111" s="214"/>
      <c r="P111" s="214">
        <v>27.9</v>
      </c>
      <c r="Q111" s="214">
        <v>31.1</v>
      </c>
      <c r="R111" s="235">
        <f t="shared" si="24"/>
        <v>59</v>
      </c>
      <c r="S111" s="220">
        <v>2</v>
      </c>
      <c r="T111" s="283"/>
      <c r="U111" s="298"/>
      <c r="V111" s="171" t="s">
        <v>19</v>
      </c>
      <c r="W111" s="171" t="s">
        <v>20</v>
      </c>
      <c r="X111" s="171" t="s">
        <v>12</v>
      </c>
      <c r="Y111" s="171">
        <v>31.1</v>
      </c>
      <c r="Z111" s="178" t="s">
        <v>16</v>
      </c>
      <c r="AA111" s="171" t="s">
        <v>17</v>
      </c>
      <c r="AB111" s="171" t="s">
        <v>18</v>
      </c>
      <c r="AC111" s="179">
        <v>27.9</v>
      </c>
      <c r="AD111" s="178"/>
      <c r="AG111" s="179"/>
      <c r="AL111" s="178"/>
      <c r="AO111" s="179"/>
      <c r="AS111" s="179"/>
      <c r="AW111" s="179"/>
      <c r="BA111" s="180"/>
    </row>
    <row r="112" spans="1:53" s="171" customFormat="1" ht="11" customHeight="1" x14ac:dyDescent="0.15">
      <c r="A112" s="171">
        <v>2012</v>
      </c>
      <c r="B112" s="283"/>
      <c r="C112" s="410" t="s">
        <v>47</v>
      </c>
      <c r="D112" s="410"/>
      <c r="E112" s="171">
        <v>0</v>
      </c>
      <c r="F112" s="180"/>
      <c r="H112" s="171">
        <v>7</v>
      </c>
      <c r="I112" s="171">
        <v>7</v>
      </c>
      <c r="J112" s="240">
        <v>14</v>
      </c>
      <c r="K112" s="213">
        <f t="shared" ref="K112:K117" si="36">G112/J112*100</f>
        <v>0</v>
      </c>
      <c r="L112" s="214">
        <f t="shared" ref="L112:L117" si="37">H112/J112*100</f>
        <v>50</v>
      </c>
      <c r="M112" s="214">
        <f t="shared" ref="M112:M117" si="38">I112/J112*100</f>
        <v>50</v>
      </c>
      <c r="N112" s="215">
        <f t="shared" si="23"/>
        <v>100</v>
      </c>
      <c r="O112" s="214"/>
      <c r="P112" s="214">
        <v>27.9</v>
      </c>
      <c r="Q112" s="214">
        <v>31.1</v>
      </c>
      <c r="R112" s="235">
        <f t="shared" si="24"/>
        <v>59</v>
      </c>
      <c r="S112" s="220">
        <v>2</v>
      </c>
      <c r="T112" s="283"/>
      <c r="U112" s="298"/>
      <c r="V112" s="171" t="s">
        <v>19</v>
      </c>
      <c r="W112" s="171" t="s">
        <v>20</v>
      </c>
      <c r="X112" s="171" t="s">
        <v>12</v>
      </c>
      <c r="Y112" s="171">
        <v>31.1</v>
      </c>
      <c r="Z112" s="178" t="s">
        <v>16</v>
      </c>
      <c r="AA112" s="171" t="s">
        <v>17</v>
      </c>
      <c r="AB112" s="171" t="s">
        <v>18</v>
      </c>
      <c r="AC112" s="179">
        <v>27.9</v>
      </c>
      <c r="AD112" s="178"/>
      <c r="AG112" s="179"/>
      <c r="AL112" s="178"/>
      <c r="AO112" s="179"/>
      <c r="AS112" s="179"/>
      <c r="AW112" s="179"/>
      <c r="BA112" s="180"/>
    </row>
    <row r="113" spans="1:53" s="171" customFormat="1" ht="11" customHeight="1" x14ac:dyDescent="0.15">
      <c r="A113" s="171">
        <v>2012</v>
      </c>
      <c r="B113" s="283"/>
      <c r="C113" s="410" t="s">
        <v>47</v>
      </c>
      <c r="D113" s="410"/>
      <c r="E113" s="171">
        <v>366</v>
      </c>
      <c r="F113" s="180"/>
      <c r="H113" s="171">
        <v>7</v>
      </c>
      <c r="I113" s="171">
        <v>7</v>
      </c>
      <c r="J113" s="240">
        <v>14</v>
      </c>
      <c r="K113" s="213">
        <f t="shared" si="36"/>
        <v>0</v>
      </c>
      <c r="L113" s="214">
        <f t="shared" si="37"/>
        <v>50</v>
      </c>
      <c r="M113" s="214">
        <f t="shared" si="38"/>
        <v>50</v>
      </c>
      <c r="N113" s="215">
        <f t="shared" si="23"/>
        <v>100</v>
      </c>
      <c r="O113" s="214"/>
      <c r="P113" s="214">
        <v>27.9</v>
      </c>
      <c r="Q113" s="214">
        <v>31.1</v>
      </c>
      <c r="R113" s="235">
        <f t="shared" si="24"/>
        <v>59</v>
      </c>
      <c r="S113" s="220">
        <v>2</v>
      </c>
      <c r="T113" s="283"/>
      <c r="U113" s="298"/>
      <c r="V113" s="171" t="s">
        <v>19</v>
      </c>
      <c r="W113" s="171" t="s">
        <v>20</v>
      </c>
      <c r="X113" s="171" t="s">
        <v>12</v>
      </c>
      <c r="Y113" s="171">
        <v>31.1</v>
      </c>
      <c r="Z113" s="178" t="s">
        <v>16</v>
      </c>
      <c r="AA113" s="171" t="s">
        <v>17</v>
      </c>
      <c r="AB113" s="171" t="s">
        <v>18</v>
      </c>
      <c r="AC113" s="179">
        <v>27.9</v>
      </c>
      <c r="AD113" s="178"/>
      <c r="AG113" s="179"/>
      <c r="AL113" s="178"/>
      <c r="AO113" s="179"/>
      <c r="AS113" s="179"/>
      <c r="AW113" s="179"/>
      <c r="BA113" s="180"/>
    </row>
    <row r="114" spans="1:53" s="171" customFormat="1" ht="11" customHeight="1" x14ac:dyDescent="0.15">
      <c r="A114" s="171">
        <v>2013</v>
      </c>
      <c r="B114" s="283"/>
      <c r="C114" s="410" t="s">
        <v>47</v>
      </c>
      <c r="D114" s="410"/>
      <c r="E114" s="171">
        <v>349</v>
      </c>
      <c r="F114" s="180"/>
      <c r="H114" s="171">
        <v>7</v>
      </c>
      <c r="I114" s="171">
        <v>7</v>
      </c>
      <c r="J114" s="240">
        <v>14</v>
      </c>
      <c r="K114" s="213">
        <f t="shared" si="36"/>
        <v>0</v>
      </c>
      <c r="L114" s="214">
        <f t="shared" si="37"/>
        <v>50</v>
      </c>
      <c r="M114" s="214">
        <f t="shared" si="38"/>
        <v>50</v>
      </c>
      <c r="N114" s="215">
        <f t="shared" si="23"/>
        <v>100</v>
      </c>
      <c r="O114" s="214"/>
      <c r="P114" s="214">
        <v>27.9</v>
      </c>
      <c r="Q114" s="214">
        <v>31.1</v>
      </c>
      <c r="R114" s="235">
        <f t="shared" si="24"/>
        <v>59</v>
      </c>
      <c r="S114" s="220">
        <v>2</v>
      </c>
      <c r="T114" s="283"/>
      <c r="U114" s="298"/>
      <c r="V114" s="171" t="s">
        <v>19</v>
      </c>
      <c r="W114" s="171" t="s">
        <v>20</v>
      </c>
      <c r="X114" s="171" t="s">
        <v>12</v>
      </c>
      <c r="Y114" s="171">
        <v>31.1</v>
      </c>
      <c r="Z114" s="178" t="s">
        <v>16</v>
      </c>
      <c r="AA114" s="171" t="s">
        <v>17</v>
      </c>
      <c r="AB114" s="171" t="s">
        <v>18</v>
      </c>
      <c r="AC114" s="179">
        <v>27.9</v>
      </c>
      <c r="AD114" s="178"/>
      <c r="AG114" s="179"/>
      <c r="AL114" s="178"/>
      <c r="AO114" s="179"/>
      <c r="AS114" s="179"/>
      <c r="AW114" s="179"/>
      <c r="BA114" s="180"/>
    </row>
    <row r="115" spans="1:53" s="29" customFormat="1" ht="11" customHeight="1" x14ac:dyDescent="0.15">
      <c r="A115" s="29">
        <v>2013</v>
      </c>
      <c r="B115" s="295">
        <v>41624</v>
      </c>
      <c r="C115" s="411" t="s">
        <v>1238</v>
      </c>
      <c r="D115" s="411"/>
      <c r="E115" s="29">
        <f>365-E114</f>
        <v>16</v>
      </c>
      <c r="F115" s="40">
        <v>1</v>
      </c>
      <c r="H115" s="29">
        <v>7</v>
      </c>
      <c r="I115" s="29">
        <v>7</v>
      </c>
      <c r="J115" s="72">
        <v>14</v>
      </c>
      <c r="K115" s="46">
        <f t="shared" si="36"/>
        <v>0</v>
      </c>
      <c r="L115" s="47">
        <f t="shared" si="37"/>
        <v>50</v>
      </c>
      <c r="M115" s="47">
        <f t="shared" si="38"/>
        <v>50</v>
      </c>
      <c r="N115" s="48">
        <f t="shared" si="23"/>
        <v>100</v>
      </c>
      <c r="O115" s="47"/>
      <c r="P115" s="47">
        <v>25.7</v>
      </c>
      <c r="Q115" s="47">
        <v>28.4</v>
      </c>
      <c r="R115" s="68">
        <f t="shared" si="24"/>
        <v>54.099999999999994</v>
      </c>
      <c r="S115" s="69">
        <v>2</v>
      </c>
      <c r="T115" s="295">
        <v>41546</v>
      </c>
      <c r="U115" s="292">
        <v>41624</v>
      </c>
      <c r="V115" s="29" t="s">
        <v>19</v>
      </c>
      <c r="W115" s="29" t="s">
        <v>20</v>
      </c>
      <c r="X115" s="29" t="s">
        <v>12</v>
      </c>
      <c r="Y115" s="29">
        <v>28.4</v>
      </c>
      <c r="Z115" s="38" t="s">
        <v>16</v>
      </c>
      <c r="AA115" s="29" t="s">
        <v>17</v>
      </c>
      <c r="AB115" s="29" t="s">
        <v>18</v>
      </c>
      <c r="AC115" s="39">
        <v>25.7</v>
      </c>
      <c r="AD115" s="38"/>
      <c r="AG115" s="39"/>
      <c r="AL115" s="38"/>
      <c r="AO115" s="39"/>
      <c r="AS115" s="39"/>
      <c r="AW115" s="39"/>
      <c r="BA115" s="40"/>
    </row>
    <row r="116" spans="1:53" s="29" customFormat="1" ht="11" customHeight="1" x14ac:dyDescent="0.15">
      <c r="A116" s="29">
        <v>2014</v>
      </c>
      <c r="B116" s="295"/>
      <c r="C116" s="411" t="s">
        <v>1238</v>
      </c>
      <c r="D116" s="411"/>
      <c r="E116" s="29">
        <v>0</v>
      </c>
      <c r="F116" s="40"/>
      <c r="H116" s="29">
        <v>7</v>
      </c>
      <c r="I116" s="29">
        <v>7</v>
      </c>
      <c r="J116" s="72">
        <v>14</v>
      </c>
      <c r="K116" s="46">
        <f t="shared" si="36"/>
        <v>0</v>
      </c>
      <c r="L116" s="47">
        <f t="shared" si="37"/>
        <v>50</v>
      </c>
      <c r="M116" s="47">
        <f t="shared" si="38"/>
        <v>50</v>
      </c>
      <c r="N116" s="48">
        <f t="shared" si="23"/>
        <v>100</v>
      </c>
      <c r="O116" s="47"/>
      <c r="P116" s="47">
        <v>25.7</v>
      </c>
      <c r="Q116" s="47">
        <v>28.4</v>
      </c>
      <c r="R116" s="68">
        <f t="shared" si="24"/>
        <v>54.099999999999994</v>
      </c>
      <c r="S116" s="69">
        <v>2</v>
      </c>
      <c r="T116" s="295"/>
      <c r="U116" s="292"/>
      <c r="V116" s="29" t="s">
        <v>19</v>
      </c>
      <c r="W116" s="29" t="s">
        <v>20</v>
      </c>
      <c r="X116" s="29" t="s">
        <v>12</v>
      </c>
      <c r="Y116" s="29">
        <v>28.4</v>
      </c>
      <c r="Z116" s="38" t="s">
        <v>16</v>
      </c>
      <c r="AA116" s="29" t="s">
        <v>17</v>
      </c>
      <c r="AB116" s="29" t="s">
        <v>18</v>
      </c>
      <c r="AC116" s="39">
        <v>25.7</v>
      </c>
      <c r="AD116" s="38"/>
      <c r="AG116" s="39"/>
      <c r="AL116" s="38"/>
      <c r="AO116" s="39"/>
      <c r="AS116" s="39"/>
      <c r="AW116" s="39"/>
      <c r="BA116" s="40"/>
    </row>
    <row r="117" spans="1:53" s="29" customFormat="1" ht="11" customHeight="1" x14ac:dyDescent="0.15">
      <c r="A117" s="29">
        <v>2014</v>
      </c>
      <c r="B117" s="295"/>
      <c r="C117" s="411" t="s">
        <v>1238</v>
      </c>
      <c r="D117" s="411"/>
      <c r="E117" s="29">
        <v>365</v>
      </c>
      <c r="F117" s="40"/>
      <c r="H117" s="29">
        <v>7</v>
      </c>
      <c r="I117" s="29">
        <v>7</v>
      </c>
      <c r="J117" s="72">
        <v>14</v>
      </c>
      <c r="K117" s="46">
        <f t="shared" si="36"/>
        <v>0</v>
      </c>
      <c r="L117" s="47">
        <f t="shared" si="37"/>
        <v>50</v>
      </c>
      <c r="M117" s="47">
        <f t="shared" si="38"/>
        <v>50</v>
      </c>
      <c r="N117" s="48">
        <f>SUM(K117:M117)</f>
        <v>100</v>
      </c>
      <c r="O117" s="47"/>
      <c r="P117" s="47">
        <v>25.7</v>
      </c>
      <c r="Q117" s="47">
        <v>28.4</v>
      </c>
      <c r="R117" s="68">
        <f t="shared" si="24"/>
        <v>54.099999999999994</v>
      </c>
      <c r="S117" s="69">
        <v>2</v>
      </c>
      <c r="T117" s="295"/>
      <c r="U117" s="292"/>
      <c r="V117" s="29" t="s">
        <v>19</v>
      </c>
      <c r="W117" s="29" t="s">
        <v>20</v>
      </c>
      <c r="X117" s="29" t="s">
        <v>12</v>
      </c>
      <c r="Y117" s="29">
        <v>28.4</v>
      </c>
      <c r="Z117" s="38" t="s">
        <v>16</v>
      </c>
      <c r="AA117" s="29" t="s">
        <v>17</v>
      </c>
      <c r="AB117" s="29" t="s">
        <v>18</v>
      </c>
      <c r="AC117" s="39">
        <v>25.7</v>
      </c>
      <c r="AD117" s="38"/>
      <c r="AG117" s="39"/>
      <c r="AL117" s="38"/>
      <c r="AO117" s="39"/>
      <c r="AS117" s="39"/>
      <c r="AW117" s="39"/>
      <c r="BA117" s="40"/>
    </row>
    <row r="118" spans="1:53" s="29" customFormat="1" ht="11" customHeight="1" x14ac:dyDescent="0.15">
      <c r="A118" s="29">
        <v>2015</v>
      </c>
      <c r="B118" s="295"/>
      <c r="C118" s="411" t="s">
        <v>1238</v>
      </c>
      <c r="D118" s="411"/>
      <c r="E118" s="29">
        <v>0</v>
      </c>
      <c r="F118" s="40"/>
      <c r="H118" s="29">
        <v>7</v>
      </c>
      <c r="I118" s="29">
        <v>7</v>
      </c>
      <c r="J118" s="72">
        <v>14</v>
      </c>
      <c r="K118" s="46">
        <f t="shared" ref="K118:K120" si="39">G118/J118*100</f>
        <v>0</v>
      </c>
      <c r="L118" s="47">
        <f t="shared" ref="L118:L120" si="40">H118/J118*100</f>
        <v>50</v>
      </c>
      <c r="M118" s="47">
        <f t="shared" ref="M118:M120" si="41">I118/J118*100</f>
        <v>50</v>
      </c>
      <c r="N118" s="48">
        <f t="shared" ref="N118:N120" si="42">SUM(K118:M118)</f>
        <v>100</v>
      </c>
      <c r="O118" s="47"/>
      <c r="P118" s="47">
        <v>25.7</v>
      </c>
      <c r="Q118" s="47">
        <v>28.4</v>
      </c>
      <c r="R118" s="68">
        <f t="shared" ref="R118:R121" si="43">SUM(O118:Q118)</f>
        <v>54.099999999999994</v>
      </c>
      <c r="S118" s="69">
        <v>2</v>
      </c>
      <c r="T118" s="295"/>
      <c r="U118" s="292"/>
      <c r="V118" s="29" t="s">
        <v>19</v>
      </c>
      <c r="W118" s="29" t="s">
        <v>20</v>
      </c>
      <c r="X118" s="29" t="s">
        <v>12</v>
      </c>
      <c r="Y118" s="29">
        <v>28.4</v>
      </c>
      <c r="Z118" s="38" t="s">
        <v>16</v>
      </c>
      <c r="AA118" s="29" t="s">
        <v>17</v>
      </c>
      <c r="AB118" s="29" t="s">
        <v>18</v>
      </c>
      <c r="AC118" s="39">
        <v>25.7</v>
      </c>
      <c r="AD118" s="38"/>
      <c r="AG118" s="39"/>
      <c r="AL118" s="38"/>
      <c r="AO118" s="39"/>
      <c r="AS118" s="39"/>
      <c r="AW118" s="39"/>
      <c r="BA118" s="40"/>
    </row>
    <row r="119" spans="1:53" s="29" customFormat="1" ht="11" customHeight="1" x14ac:dyDescent="0.15">
      <c r="A119" s="29">
        <v>2015</v>
      </c>
      <c r="B119" s="295"/>
      <c r="C119" s="411" t="s">
        <v>1238</v>
      </c>
      <c r="D119" s="411"/>
      <c r="E119" s="29">
        <v>365</v>
      </c>
      <c r="F119" s="40"/>
      <c r="H119" s="29">
        <v>7</v>
      </c>
      <c r="I119" s="29">
        <v>7</v>
      </c>
      <c r="J119" s="72">
        <v>14</v>
      </c>
      <c r="K119" s="46">
        <f t="shared" si="39"/>
        <v>0</v>
      </c>
      <c r="L119" s="47">
        <f t="shared" si="40"/>
        <v>50</v>
      </c>
      <c r="M119" s="47">
        <f t="shared" si="41"/>
        <v>50</v>
      </c>
      <c r="N119" s="48">
        <f t="shared" si="42"/>
        <v>100</v>
      </c>
      <c r="O119" s="47"/>
      <c r="P119" s="47">
        <v>25.7</v>
      </c>
      <c r="Q119" s="47">
        <v>28.4</v>
      </c>
      <c r="R119" s="68">
        <f t="shared" si="43"/>
        <v>54.099999999999994</v>
      </c>
      <c r="S119" s="69">
        <v>2</v>
      </c>
      <c r="T119" s="295"/>
      <c r="U119" s="292"/>
      <c r="V119" s="29" t="s">
        <v>19</v>
      </c>
      <c r="W119" s="29" t="s">
        <v>20</v>
      </c>
      <c r="X119" s="29" t="s">
        <v>12</v>
      </c>
      <c r="Y119" s="29">
        <v>28.4</v>
      </c>
      <c r="Z119" s="38" t="s">
        <v>16</v>
      </c>
      <c r="AA119" s="29" t="s">
        <v>17</v>
      </c>
      <c r="AB119" s="29" t="s">
        <v>18</v>
      </c>
      <c r="AC119" s="39">
        <v>25.7</v>
      </c>
      <c r="AD119" s="38"/>
      <c r="AG119" s="39"/>
      <c r="AL119" s="38"/>
      <c r="AO119" s="39"/>
      <c r="AS119" s="39"/>
      <c r="AW119" s="39"/>
      <c r="BA119" s="40"/>
    </row>
    <row r="120" spans="1:53" s="29" customFormat="1" ht="11" customHeight="1" x14ac:dyDescent="0.15">
      <c r="A120" s="29">
        <v>2016</v>
      </c>
      <c r="B120" s="295"/>
      <c r="C120" s="411" t="s">
        <v>1238</v>
      </c>
      <c r="D120" s="411"/>
      <c r="E120" s="29">
        <v>137</v>
      </c>
      <c r="F120" s="40"/>
      <c r="H120" s="29">
        <v>7</v>
      </c>
      <c r="I120" s="29">
        <v>7</v>
      </c>
      <c r="J120" s="72">
        <v>14</v>
      </c>
      <c r="K120" s="46">
        <f t="shared" si="39"/>
        <v>0</v>
      </c>
      <c r="L120" s="47">
        <f t="shared" si="40"/>
        <v>50</v>
      </c>
      <c r="M120" s="47">
        <f t="shared" si="41"/>
        <v>50</v>
      </c>
      <c r="N120" s="48">
        <f t="shared" si="42"/>
        <v>100</v>
      </c>
      <c r="O120" s="47"/>
      <c r="P120" s="47">
        <v>25.7</v>
      </c>
      <c r="Q120" s="47">
        <v>28.4</v>
      </c>
      <c r="R120" s="68">
        <f t="shared" si="43"/>
        <v>54.099999999999994</v>
      </c>
      <c r="S120" s="69">
        <v>2</v>
      </c>
      <c r="T120" s="295"/>
      <c r="U120" s="292"/>
      <c r="V120" s="29" t="s">
        <v>19</v>
      </c>
      <c r="W120" s="29" t="s">
        <v>20</v>
      </c>
      <c r="X120" s="29" t="s">
        <v>12</v>
      </c>
      <c r="Y120" s="29">
        <v>28.4</v>
      </c>
      <c r="Z120" s="38" t="s">
        <v>16</v>
      </c>
      <c r="AA120" s="29" t="s">
        <v>17</v>
      </c>
      <c r="AB120" s="29" t="s">
        <v>18</v>
      </c>
      <c r="AC120" s="39">
        <v>25.7</v>
      </c>
      <c r="AD120" s="38"/>
      <c r="AG120" s="39"/>
      <c r="AL120" s="38"/>
      <c r="AO120" s="39"/>
      <c r="AS120" s="39"/>
      <c r="AW120" s="39"/>
      <c r="BA120" s="40"/>
    </row>
    <row r="121" spans="1:53" s="171" customFormat="1" ht="11" customHeight="1" x14ac:dyDescent="0.15">
      <c r="A121" s="171">
        <v>2016</v>
      </c>
      <c r="B121" s="283">
        <v>42507</v>
      </c>
      <c r="C121" s="410" t="s">
        <v>1334</v>
      </c>
      <c r="D121" s="410"/>
      <c r="E121" s="171">
        <v>229</v>
      </c>
      <c r="F121" s="171">
        <v>2</v>
      </c>
      <c r="G121" s="233"/>
      <c r="H121" s="171">
        <v>7</v>
      </c>
      <c r="I121" s="171">
        <v>7</v>
      </c>
      <c r="J121" s="171">
        <v>14</v>
      </c>
      <c r="K121" s="213">
        <f t="shared" ref="K121" si="44">G121/J121*100</f>
        <v>0</v>
      </c>
      <c r="L121" s="214">
        <f t="shared" ref="L121" si="45">H121/J121*100</f>
        <v>50</v>
      </c>
      <c r="M121" s="214">
        <f t="shared" ref="M121" si="46">I121/J121*100</f>
        <v>50</v>
      </c>
      <c r="N121" s="215">
        <f t="shared" ref="N121" si="47">SUM(K121:M121)</f>
        <v>100</v>
      </c>
      <c r="P121" s="171">
        <v>27.3</v>
      </c>
      <c r="Q121" s="171">
        <v>28.4</v>
      </c>
      <c r="R121" s="235">
        <f t="shared" si="43"/>
        <v>55.7</v>
      </c>
      <c r="S121" s="190">
        <v>2</v>
      </c>
      <c r="T121" s="283"/>
      <c r="U121" s="288">
        <v>42507</v>
      </c>
      <c r="V121" s="178" t="s">
        <v>19</v>
      </c>
      <c r="W121" s="171" t="s">
        <v>20</v>
      </c>
      <c r="X121" s="171" t="s">
        <v>12</v>
      </c>
      <c r="Y121" s="171">
        <v>28.4</v>
      </c>
      <c r="Z121" s="178" t="s">
        <v>16</v>
      </c>
      <c r="AA121" s="171" t="s">
        <v>17</v>
      </c>
      <c r="AB121" s="171" t="s">
        <v>18</v>
      </c>
      <c r="AC121" s="171">
        <v>27.3</v>
      </c>
      <c r="AD121" s="178"/>
      <c r="AG121" s="326"/>
      <c r="AK121" s="326"/>
      <c r="AO121" s="326"/>
      <c r="AS121" s="326"/>
      <c r="AW121" s="326"/>
      <c r="BA121" s="337"/>
    </row>
    <row r="122" spans="1:53" s="171" customFormat="1" ht="11" customHeight="1" x14ac:dyDescent="0.15">
      <c r="A122" s="171">
        <v>2017</v>
      </c>
      <c r="B122" s="283"/>
      <c r="C122" s="410" t="s">
        <v>1334</v>
      </c>
      <c r="D122" s="410"/>
      <c r="E122" s="171">
        <v>351</v>
      </c>
      <c r="G122" s="233"/>
      <c r="H122" s="171">
        <v>7</v>
      </c>
      <c r="I122" s="171">
        <v>7</v>
      </c>
      <c r="J122" s="171">
        <v>14</v>
      </c>
      <c r="K122" s="213">
        <f t="shared" ref="K122" si="48">G122/J122*100</f>
        <v>0</v>
      </c>
      <c r="L122" s="214">
        <f t="shared" ref="L122" si="49">H122/J122*100</f>
        <v>50</v>
      </c>
      <c r="M122" s="214">
        <f t="shared" ref="M122" si="50">I122/J122*100</f>
        <v>50</v>
      </c>
      <c r="N122" s="215">
        <f t="shared" ref="N122" si="51">SUM(K122:M122)</f>
        <v>100</v>
      </c>
      <c r="P122" s="171">
        <v>27.3</v>
      </c>
      <c r="Q122" s="171">
        <v>28.4</v>
      </c>
      <c r="R122" s="235">
        <f t="shared" ref="R122:R123" si="52">SUM(O122:Q122)</f>
        <v>55.7</v>
      </c>
      <c r="S122" s="190">
        <v>2</v>
      </c>
      <c r="T122" s="283"/>
      <c r="U122" s="288"/>
      <c r="V122" s="178" t="s">
        <v>19</v>
      </c>
      <c r="W122" s="171" t="s">
        <v>20</v>
      </c>
      <c r="X122" s="171" t="s">
        <v>12</v>
      </c>
      <c r="Y122" s="171">
        <v>28.4</v>
      </c>
      <c r="Z122" s="178" t="s">
        <v>16</v>
      </c>
      <c r="AA122" s="171" t="s">
        <v>17</v>
      </c>
      <c r="AB122" s="171" t="s">
        <v>18</v>
      </c>
      <c r="AC122" s="171">
        <v>27.3</v>
      </c>
      <c r="AD122" s="178"/>
      <c r="AG122" s="326"/>
      <c r="AK122" s="326"/>
      <c r="AO122" s="326"/>
      <c r="AS122" s="326"/>
      <c r="AW122" s="326"/>
      <c r="BA122" s="337"/>
    </row>
    <row r="123" spans="1:53" s="29" customFormat="1" ht="11" customHeight="1" x14ac:dyDescent="0.15">
      <c r="A123" s="29">
        <v>2017</v>
      </c>
      <c r="B123" s="295">
        <v>43087</v>
      </c>
      <c r="C123" s="411" t="s">
        <v>1363</v>
      </c>
      <c r="D123" s="411"/>
      <c r="E123" s="29">
        <v>14</v>
      </c>
      <c r="F123" s="40">
        <v>1</v>
      </c>
      <c r="G123" s="29">
        <v>6</v>
      </c>
      <c r="H123" s="29">
        <v>8</v>
      </c>
      <c r="J123" s="72">
        <v>14</v>
      </c>
      <c r="K123" s="46">
        <f t="shared" ref="K123" si="53">G123/J123*100</f>
        <v>42.857142857142854</v>
      </c>
      <c r="L123" s="47">
        <f t="shared" ref="L123" si="54">H123/J123*100</f>
        <v>57.142857142857139</v>
      </c>
      <c r="M123" s="47">
        <f t="shared" ref="M123" si="55">I123/J123*100</f>
        <v>0</v>
      </c>
      <c r="N123" s="48">
        <f t="shared" ref="N123" si="56">SUM(K123:M123)</f>
        <v>100</v>
      </c>
      <c r="O123" s="47">
        <v>27.9</v>
      </c>
      <c r="P123" s="47">
        <v>33.9</v>
      </c>
      <c r="Q123" s="47"/>
      <c r="R123" s="68">
        <f t="shared" si="52"/>
        <v>61.8</v>
      </c>
      <c r="S123" s="69">
        <v>2</v>
      </c>
      <c r="T123" s="295">
        <v>43023</v>
      </c>
      <c r="U123" s="292">
        <v>43087</v>
      </c>
      <c r="V123" s="29" t="s">
        <v>16</v>
      </c>
      <c r="W123" s="29" t="s">
        <v>17</v>
      </c>
      <c r="X123" s="29" t="s">
        <v>18</v>
      </c>
      <c r="Y123" s="29">
        <v>33.9</v>
      </c>
      <c r="Z123" s="38" t="s">
        <v>21</v>
      </c>
      <c r="AA123" s="29" t="s">
        <v>27</v>
      </c>
      <c r="AB123" s="29" t="s">
        <v>11</v>
      </c>
      <c r="AC123" s="39">
        <v>27.9</v>
      </c>
      <c r="AD123" s="38"/>
      <c r="AG123" s="329"/>
      <c r="AK123" s="329"/>
      <c r="AO123" s="329"/>
      <c r="AS123" s="329"/>
      <c r="AW123" s="329"/>
      <c r="BA123" s="336"/>
    </row>
    <row r="124" spans="1:53" s="29" customFormat="1" ht="11" customHeight="1" x14ac:dyDescent="0.15">
      <c r="A124" s="29">
        <v>2018</v>
      </c>
      <c r="B124" s="295"/>
      <c r="C124" s="411" t="s">
        <v>1363</v>
      </c>
      <c r="D124" s="411"/>
      <c r="E124" s="29">
        <v>0</v>
      </c>
      <c r="F124" s="40"/>
      <c r="G124" s="29">
        <v>7</v>
      </c>
      <c r="H124" s="29">
        <v>7</v>
      </c>
      <c r="J124" s="72">
        <v>14</v>
      </c>
      <c r="K124" s="46">
        <f t="shared" ref="K124:K125" si="57">G124/J124*100</f>
        <v>50</v>
      </c>
      <c r="L124" s="47">
        <f t="shared" ref="L124:L125" si="58">H124/J124*100</f>
        <v>50</v>
      </c>
      <c r="M124" s="47">
        <f t="shared" ref="M124:M125" si="59">I124/J124*100</f>
        <v>0</v>
      </c>
      <c r="N124" s="48">
        <f t="shared" ref="N124:N125" si="60">SUM(K124:M124)</f>
        <v>100</v>
      </c>
      <c r="O124" s="47">
        <v>27.9</v>
      </c>
      <c r="P124" s="47">
        <v>33.9</v>
      </c>
      <c r="Q124" s="47"/>
      <c r="R124" s="68">
        <f t="shared" ref="R124:R125" si="61">SUM(O124:Q124)</f>
        <v>61.8</v>
      </c>
      <c r="S124" s="69">
        <v>2</v>
      </c>
      <c r="T124" s="295"/>
      <c r="U124" s="292"/>
      <c r="V124" s="29" t="s">
        <v>16</v>
      </c>
      <c r="W124" s="29" t="s">
        <v>17</v>
      </c>
      <c r="X124" s="29" t="s">
        <v>18</v>
      </c>
      <c r="Y124" s="29">
        <v>33.9</v>
      </c>
      <c r="Z124" s="38" t="s">
        <v>21</v>
      </c>
      <c r="AA124" s="29" t="s">
        <v>27</v>
      </c>
      <c r="AB124" s="29" t="s">
        <v>11</v>
      </c>
      <c r="AC124" s="39">
        <v>27.9</v>
      </c>
      <c r="AD124" s="38"/>
      <c r="AG124" s="329"/>
      <c r="AK124" s="329"/>
      <c r="AO124" s="39"/>
      <c r="AS124" s="39"/>
      <c r="AW124" s="39"/>
      <c r="BA124" s="336"/>
    </row>
    <row r="125" spans="1:53" s="29" customFormat="1" ht="11" customHeight="1" x14ac:dyDescent="0.15">
      <c r="A125" s="29">
        <v>2018</v>
      </c>
      <c r="B125" s="295"/>
      <c r="C125" s="411" t="s">
        <v>1363</v>
      </c>
      <c r="D125" s="411"/>
      <c r="E125" s="29">
        <v>365</v>
      </c>
      <c r="F125" s="40"/>
      <c r="G125" s="29">
        <v>7</v>
      </c>
      <c r="H125" s="29">
        <v>7</v>
      </c>
      <c r="J125" s="72">
        <v>14</v>
      </c>
      <c r="K125" s="46">
        <f t="shared" si="57"/>
        <v>50</v>
      </c>
      <c r="L125" s="47">
        <f t="shared" si="58"/>
        <v>50</v>
      </c>
      <c r="M125" s="47">
        <f t="shared" si="59"/>
        <v>0</v>
      </c>
      <c r="N125" s="48">
        <f t="shared" si="60"/>
        <v>100</v>
      </c>
      <c r="O125" s="47">
        <v>27.9</v>
      </c>
      <c r="P125" s="47">
        <v>33.9</v>
      </c>
      <c r="Q125" s="47"/>
      <c r="R125" s="68">
        <f t="shared" si="61"/>
        <v>61.8</v>
      </c>
      <c r="S125" s="69">
        <v>2</v>
      </c>
      <c r="T125" s="295"/>
      <c r="U125" s="292"/>
      <c r="V125" s="29" t="s">
        <v>16</v>
      </c>
      <c r="W125" s="29" t="s">
        <v>17</v>
      </c>
      <c r="X125" s="29" t="s">
        <v>18</v>
      </c>
      <c r="Y125" s="29">
        <v>33.9</v>
      </c>
      <c r="Z125" s="38" t="s">
        <v>21</v>
      </c>
      <c r="AA125" s="29" t="s">
        <v>27</v>
      </c>
      <c r="AB125" s="29" t="s">
        <v>11</v>
      </c>
      <c r="AC125" s="39">
        <v>27.9</v>
      </c>
      <c r="AD125" s="38"/>
      <c r="AG125" s="39"/>
      <c r="AL125" s="38"/>
      <c r="AO125" s="39"/>
      <c r="AS125" s="39"/>
      <c r="AW125" s="39"/>
      <c r="BA125" s="336"/>
    </row>
    <row r="126" spans="1:53" s="29" customFormat="1" ht="11" customHeight="1" x14ac:dyDescent="0.15">
      <c r="A126" s="29">
        <v>2019</v>
      </c>
      <c r="B126" s="295"/>
      <c r="C126" s="411" t="s">
        <v>1363</v>
      </c>
      <c r="D126" s="411"/>
      <c r="E126" s="29">
        <v>141</v>
      </c>
      <c r="F126" s="40"/>
      <c r="G126" s="29">
        <v>7</v>
      </c>
      <c r="H126" s="29">
        <v>7</v>
      </c>
      <c r="J126" s="72">
        <v>14</v>
      </c>
      <c r="K126" s="46">
        <f t="shared" ref="K126" si="62">G126/J126*100</f>
        <v>50</v>
      </c>
      <c r="L126" s="47">
        <f t="shared" ref="L126" si="63">H126/J126*100</f>
        <v>50</v>
      </c>
      <c r="M126" s="47">
        <f t="shared" ref="M126" si="64">I126/J126*100</f>
        <v>0</v>
      </c>
      <c r="N126" s="48">
        <f t="shared" ref="N126" si="65">SUM(K126:M126)</f>
        <v>100</v>
      </c>
      <c r="O126" s="47">
        <v>27.9</v>
      </c>
      <c r="P126" s="47">
        <v>33.9</v>
      </c>
      <c r="Q126" s="47"/>
      <c r="R126" s="68">
        <f t="shared" ref="R126" si="66">SUM(O126:Q126)</f>
        <v>61.8</v>
      </c>
      <c r="S126" s="69">
        <v>2</v>
      </c>
      <c r="T126" s="295"/>
      <c r="U126" s="292"/>
      <c r="V126" s="29" t="s">
        <v>16</v>
      </c>
      <c r="W126" s="29" t="s">
        <v>17</v>
      </c>
      <c r="X126" s="29" t="s">
        <v>18</v>
      </c>
      <c r="Y126" s="29">
        <v>33.9</v>
      </c>
      <c r="Z126" s="38" t="s">
        <v>21</v>
      </c>
      <c r="AA126" s="29" t="s">
        <v>27</v>
      </c>
      <c r="AB126" s="29" t="s">
        <v>11</v>
      </c>
      <c r="AC126" s="39">
        <v>27.9</v>
      </c>
      <c r="AD126" s="38"/>
      <c r="AG126" s="39"/>
      <c r="AL126" s="38"/>
      <c r="AO126" s="39"/>
      <c r="AS126" s="39"/>
      <c r="AW126" s="39"/>
      <c r="BA126" s="336"/>
    </row>
    <row r="127" spans="1:53" s="29" customFormat="1" ht="11" customHeight="1" x14ac:dyDescent="0.15">
      <c r="A127" s="29">
        <v>2019</v>
      </c>
      <c r="B127" s="295">
        <v>43607</v>
      </c>
      <c r="C127" s="411" t="s">
        <v>1363</v>
      </c>
      <c r="D127" s="411"/>
      <c r="E127" s="29">
        <v>6</v>
      </c>
      <c r="F127" s="40">
        <v>4</v>
      </c>
      <c r="H127" s="29">
        <v>8</v>
      </c>
      <c r="J127" s="72">
        <v>13</v>
      </c>
      <c r="K127" s="46">
        <f t="shared" ref="K127" si="67">G127/J127*100</f>
        <v>0</v>
      </c>
      <c r="L127" s="47">
        <f t="shared" ref="L127" si="68">H127/J127*100</f>
        <v>61.53846153846154</v>
      </c>
      <c r="M127" s="47">
        <f t="shared" ref="M127" si="69">I127/J127*100</f>
        <v>0</v>
      </c>
      <c r="N127" s="48">
        <f t="shared" ref="N127" si="70">SUM(K127:M127)</f>
        <v>61.53846153846154</v>
      </c>
      <c r="O127" s="47">
        <v>27.9</v>
      </c>
      <c r="P127" s="47">
        <v>33.9</v>
      </c>
      <c r="Q127" s="47"/>
      <c r="R127" s="68">
        <f t="shared" ref="R127" si="71">SUM(O127:Q127)</f>
        <v>61.8</v>
      </c>
      <c r="S127" s="69">
        <v>4</v>
      </c>
      <c r="T127" s="295"/>
      <c r="U127" s="292"/>
      <c r="V127" s="29" t="s">
        <v>16</v>
      </c>
      <c r="W127" s="29" t="s">
        <v>17</v>
      </c>
      <c r="X127" s="29" t="s">
        <v>18</v>
      </c>
      <c r="Y127" s="29">
        <v>33.9</v>
      </c>
      <c r="Z127" s="38"/>
      <c r="AC127" s="39"/>
      <c r="AD127" s="38"/>
      <c r="AG127" s="39"/>
      <c r="AK127" s="39"/>
      <c r="AO127" s="39"/>
      <c r="AS127" s="39"/>
      <c r="AW127" s="39"/>
      <c r="BA127" s="336"/>
    </row>
    <row r="128" spans="1:53" s="171" customFormat="1" ht="11" customHeight="1" x14ac:dyDescent="0.15">
      <c r="A128" s="171">
        <v>2019</v>
      </c>
      <c r="B128" s="283">
        <v>43613</v>
      </c>
      <c r="C128" s="410" t="s">
        <v>1408</v>
      </c>
      <c r="D128" s="410"/>
      <c r="E128" s="171">
        <v>6</v>
      </c>
      <c r="F128" s="171">
        <v>5</v>
      </c>
      <c r="G128" s="233"/>
      <c r="H128" s="171">
        <v>7</v>
      </c>
      <c r="J128" s="171">
        <v>12</v>
      </c>
      <c r="K128" s="213">
        <f t="shared" ref="K128" si="72">G128/J128*100</f>
        <v>0</v>
      </c>
      <c r="L128" s="214">
        <f t="shared" ref="L128" si="73">H128/J128*100</f>
        <v>58.333333333333336</v>
      </c>
      <c r="M128" s="214">
        <f t="shared" ref="M128" si="74">I128/J128*100</f>
        <v>0</v>
      </c>
      <c r="N128" s="215">
        <f t="shared" ref="N128" si="75">SUM(K128:M128)</f>
        <v>58.333333333333336</v>
      </c>
      <c r="P128" s="171">
        <v>33.9</v>
      </c>
      <c r="R128" s="235">
        <f t="shared" ref="R128" si="76">SUM(O128:Q128)</f>
        <v>33.9</v>
      </c>
      <c r="S128" s="190">
        <v>6</v>
      </c>
      <c r="T128" s="283"/>
      <c r="U128" s="288">
        <v>43613</v>
      </c>
      <c r="V128" s="178" t="s">
        <v>16</v>
      </c>
      <c r="W128" s="171" t="s">
        <v>17</v>
      </c>
      <c r="X128" s="171" t="s">
        <v>18</v>
      </c>
      <c r="Y128" s="171">
        <v>33.9</v>
      </c>
      <c r="Z128" s="178"/>
      <c r="AD128" s="178"/>
      <c r="AH128" s="328"/>
      <c r="AK128" s="179"/>
      <c r="AO128" s="179"/>
      <c r="AT128" s="328"/>
      <c r="AX128" s="328"/>
      <c r="BA128" s="337"/>
    </row>
    <row r="129" spans="1:53" s="29" customFormat="1" ht="11" customHeight="1" x14ac:dyDescent="0.15">
      <c r="A129" s="40">
        <v>2019</v>
      </c>
      <c r="B129" s="295">
        <v>43619</v>
      </c>
      <c r="C129" s="411" t="s">
        <v>1409</v>
      </c>
      <c r="D129" s="411"/>
      <c r="E129" s="29">
        <v>212</v>
      </c>
      <c r="F129" s="40">
        <v>5</v>
      </c>
      <c r="J129" s="72">
        <v>12</v>
      </c>
      <c r="K129" s="46">
        <f t="shared" ref="K129:K131" si="77">G129/J129*100</f>
        <v>0</v>
      </c>
      <c r="L129" s="47">
        <f t="shared" ref="L129:L131" si="78">H129/J129*100</f>
        <v>0</v>
      </c>
      <c r="M129" s="47">
        <f t="shared" ref="M129:M131" si="79">I129/J129*100</f>
        <v>0</v>
      </c>
      <c r="N129" s="48">
        <f t="shared" ref="N129:N131" si="80">SUM(K129:M129)</f>
        <v>0</v>
      </c>
      <c r="O129" s="47"/>
      <c r="P129" s="47"/>
      <c r="Q129" s="47"/>
      <c r="R129" s="68">
        <f t="shared" ref="R129:R131" si="81">SUM(O129:Q129)</f>
        <v>0</v>
      </c>
      <c r="S129" s="69">
        <v>6</v>
      </c>
      <c r="T129" s="295">
        <v>43737</v>
      </c>
      <c r="U129" s="292">
        <v>43619</v>
      </c>
      <c r="V129" s="275" t="s">
        <v>797</v>
      </c>
      <c r="Z129" s="38"/>
      <c r="AC129" s="39"/>
      <c r="AD129" s="38"/>
      <c r="AG129" s="39"/>
      <c r="AK129" s="39"/>
      <c r="AO129" s="39"/>
      <c r="AS129" s="39"/>
      <c r="AW129" s="39"/>
      <c r="BA129" s="336"/>
    </row>
    <row r="130" spans="1:53" s="29" customFormat="1" ht="11" customHeight="1" x14ac:dyDescent="0.15">
      <c r="A130" s="40">
        <v>2020</v>
      </c>
      <c r="B130" s="295"/>
      <c r="C130" s="411" t="s">
        <v>1409</v>
      </c>
      <c r="D130" s="411"/>
      <c r="E130" s="29">
        <v>7</v>
      </c>
      <c r="F130" s="40"/>
      <c r="J130" s="73">
        <v>12</v>
      </c>
      <c r="K130" s="47">
        <f t="shared" si="77"/>
        <v>0</v>
      </c>
      <c r="L130" s="47">
        <f t="shared" si="78"/>
        <v>0</v>
      </c>
      <c r="M130" s="47">
        <f t="shared" si="79"/>
        <v>0</v>
      </c>
      <c r="N130" s="48">
        <f t="shared" si="80"/>
        <v>0</v>
      </c>
      <c r="O130" s="47"/>
      <c r="P130" s="47"/>
      <c r="Q130" s="47"/>
      <c r="R130" s="68">
        <f t="shared" si="81"/>
        <v>0</v>
      </c>
      <c r="S130" s="69">
        <v>6</v>
      </c>
      <c r="T130" s="286"/>
      <c r="U130" s="295"/>
      <c r="V130" s="324" t="s">
        <v>797</v>
      </c>
      <c r="Z130" s="327"/>
      <c r="AD130" s="327"/>
      <c r="AG130" s="329"/>
      <c r="AK130" s="329"/>
      <c r="AO130" s="329"/>
      <c r="AT130" s="327"/>
      <c r="AX130" s="327"/>
      <c r="BA130" s="336"/>
    </row>
    <row r="131" spans="1:53" s="171" customFormat="1" ht="11" customHeight="1" x14ac:dyDescent="0.15">
      <c r="A131" s="180">
        <v>2020</v>
      </c>
      <c r="B131" s="283">
        <v>43837</v>
      </c>
      <c r="C131" s="410" t="s">
        <v>1458</v>
      </c>
      <c r="D131" s="410"/>
      <c r="E131" s="171">
        <v>359</v>
      </c>
      <c r="F131" s="180">
        <v>1</v>
      </c>
      <c r="G131" s="171">
        <v>10</v>
      </c>
      <c r="I131" s="171">
        <v>4</v>
      </c>
      <c r="J131" s="241">
        <v>14</v>
      </c>
      <c r="K131" s="214">
        <f t="shared" si="77"/>
        <v>71.428571428571431</v>
      </c>
      <c r="L131" s="214">
        <f t="shared" si="78"/>
        <v>0</v>
      </c>
      <c r="M131" s="214">
        <f t="shared" si="79"/>
        <v>28.571428571428569</v>
      </c>
      <c r="N131" s="215">
        <f t="shared" si="80"/>
        <v>100</v>
      </c>
      <c r="O131" s="214"/>
      <c r="P131" s="214">
        <v>38.799999999999997</v>
      </c>
      <c r="Q131" s="214">
        <v>14.2</v>
      </c>
      <c r="R131" s="235">
        <f t="shared" si="81"/>
        <v>53</v>
      </c>
      <c r="S131" s="220">
        <v>2</v>
      </c>
      <c r="T131" s="285"/>
      <c r="U131" s="283">
        <v>43837</v>
      </c>
      <c r="V131" s="325" t="s">
        <v>16</v>
      </c>
      <c r="W131" s="171" t="s">
        <v>17</v>
      </c>
      <c r="X131" s="171" t="s">
        <v>18</v>
      </c>
      <c r="Y131" s="326">
        <v>38.799999999999997</v>
      </c>
      <c r="Z131" s="171" t="s">
        <v>1459</v>
      </c>
      <c r="AA131" s="171" t="s">
        <v>216</v>
      </c>
      <c r="AB131" s="171" t="s">
        <v>12</v>
      </c>
      <c r="AC131" s="326">
        <v>14.2</v>
      </c>
      <c r="AH131" s="330"/>
      <c r="AK131" s="326"/>
      <c r="AP131" s="328"/>
      <c r="AT131" s="328"/>
      <c r="AX131" s="328"/>
      <c r="BA131" s="337"/>
    </row>
    <row r="132" spans="1:53" ht="9" customHeight="1" x14ac:dyDescent="0.15"/>
    <row r="133" spans="1:53" ht="18" customHeight="1" x14ac:dyDescent="0.15">
      <c r="B133" s="16" t="s">
        <v>1264</v>
      </c>
    </row>
    <row r="134" spans="1:53" ht="9" customHeight="1" x14ac:dyDescent="0.15"/>
    <row r="135" spans="1:53" s="195" customFormat="1" ht="9" customHeight="1" x14ac:dyDescent="0.15">
      <c r="A135" s="193"/>
      <c r="B135" s="194" t="s">
        <v>1215</v>
      </c>
      <c r="C135" s="194"/>
      <c r="D135" s="194"/>
      <c r="E135" s="194"/>
      <c r="F135" s="194"/>
      <c r="G135" s="194" t="s">
        <v>1216</v>
      </c>
      <c r="H135" s="194"/>
      <c r="I135" s="194"/>
      <c r="J135" s="194"/>
      <c r="K135" s="194"/>
      <c r="L135" s="194"/>
      <c r="M135" s="194"/>
      <c r="N135" s="194"/>
      <c r="R135" s="388" t="s">
        <v>1217</v>
      </c>
      <c r="S135" s="388"/>
      <c r="T135" s="388"/>
      <c r="U135" s="388"/>
      <c r="V135" s="388"/>
      <c r="W135" s="388"/>
      <c r="X135" s="196"/>
      <c r="Y135" s="196"/>
      <c r="AA135" s="196"/>
      <c r="AB135" s="196"/>
      <c r="AC135" s="196"/>
      <c r="AD135" s="196"/>
    </row>
    <row r="136" spans="1:53" s="200" customFormat="1" ht="9" customHeight="1" x14ac:dyDescent="0.15">
      <c r="A136" s="197"/>
      <c r="B136" s="198" t="s">
        <v>1219</v>
      </c>
      <c r="C136" s="199"/>
      <c r="D136" s="199"/>
      <c r="E136" s="199"/>
      <c r="F136" s="199"/>
      <c r="G136" s="198" t="s">
        <v>1218</v>
      </c>
      <c r="H136" s="199"/>
      <c r="I136" s="199"/>
      <c r="J136" s="199"/>
      <c r="K136" s="199"/>
      <c r="L136" s="199"/>
      <c r="M136" s="199"/>
      <c r="N136" s="199"/>
      <c r="R136" s="201" t="s">
        <v>1220</v>
      </c>
      <c r="S136" s="202"/>
      <c r="T136" s="203"/>
      <c r="U136" s="203"/>
      <c r="V136" s="203"/>
      <c r="W136" s="201" t="s">
        <v>1221</v>
      </c>
      <c r="X136" s="203"/>
      <c r="Y136" s="203"/>
      <c r="AA136" s="203"/>
      <c r="AB136" s="203"/>
      <c r="AC136" s="203"/>
      <c r="AD136" s="203"/>
    </row>
    <row r="137" spans="1:53" s="186" customFormat="1" ht="12" customHeight="1" x14ac:dyDescent="0.15">
      <c r="A137" s="204" t="s">
        <v>3</v>
      </c>
      <c r="B137" s="205" t="s">
        <v>8</v>
      </c>
      <c r="C137" s="205" t="s">
        <v>9</v>
      </c>
      <c r="D137" s="205" t="s">
        <v>10</v>
      </c>
      <c r="E137" s="206" t="s">
        <v>1195</v>
      </c>
      <c r="F137" s="205"/>
      <c r="G137" s="186" t="s">
        <v>3</v>
      </c>
      <c r="H137" s="389" t="s">
        <v>0</v>
      </c>
      <c r="I137" s="389"/>
      <c r="J137" s="389" t="s">
        <v>1</v>
      </c>
      <c r="K137" s="389"/>
      <c r="L137" s="389" t="s">
        <v>2</v>
      </c>
      <c r="M137" s="389"/>
      <c r="N137" s="390" t="s">
        <v>1195</v>
      </c>
      <c r="O137" s="390"/>
      <c r="P137" s="207"/>
      <c r="Q137" s="207"/>
      <c r="R137" s="208" t="s">
        <v>3</v>
      </c>
      <c r="S137" s="209" t="s">
        <v>135</v>
      </c>
      <c r="T137" s="207" t="s">
        <v>133</v>
      </c>
      <c r="U137" s="205" t="s">
        <v>134</v>
      </c>
      <c r="V137" s="207"/>
      <c r="W137" s="210" t="s">
        <v>26</v>
      </c>
    </row>
    <row r="138" spans="1:53" s="140" customFormat="1" x14ac:dyDescent="0.15">
      <c r="A138" s="140">
        <v>1959</v>
      </c>
      <c r="B138" s="143">
        <f>(K6*($E6/365)) + (K7*($E7/365))</f>
        <v>0</v>
      </c>
      <c r="C138" s="143">
        <f>(L6*($E6/365)) + (L7*($E7/365))</f>
        <v>54.474885844748862</v>
      </c>
      <c r="D138" s="143">
        <f>(M6*($E6/365)) + (M7*($E7/365))</f>
        <v>45.525114155251146</v>
      </c>
      <c r="E138" s="144">
        <f>B138+C138+D138</f>
        <v>100</v>
      </c>
      <c r="F138" s="145"/>
      <c r="G138" s="146">
        <v>1959</v>
      </c>
      <c r="H138" s="417">
        <f xml:space="preserve"> (O6/$R6*100*($E6/365))+ (O7/$R7*100*($E7/365))</f>
        <v>0</v>
      </c>
      <c r="I138" s="417"/>
      <c r="J138" s="417">
        <f xml:space="preserve"> (P6/$R6*100*($E6/365))+ (P7/$R7*100*($E7/365))</f>
        <v>51.538094385394956</v>
      </c>
      <c r="K138" s="417"/>
      <c r="L138" s="417">
        <f xml:space="preserve"> (Q6/$R6*100*($E6/365))+ (Q7/$R7*100*($E7/365))</f>
        <v>48.461905614605044</v>
      </c>
      <c r="M138" s="417"/>
      <c r="N138" s="412">
        <f>H138+J138+K138</f>
        <v>51.538094385394956</v>
      </c>
      <c r="O138" s="412"/>
      <c r="R138" s="146">
        <v>1959</v>
      </c>
      <c r="S138" s="143">
        <f>O6*($E6/365) + O7*($E7/365)</f>
        <v>0</v>
      </c>
      <c r="T138" s="143">
        <f>P6*($E6/365) + P7*($E7/365)</f>
        <v>48.866575342465751</v>
      </c>
      <c r="U138" s="143">
        <f>Q6*($E6/365) + Q7*($E7/365)</f>
        <v>45.957534246575335</v>
      </c>
      <c r="V138" s="153"/>
      <c r="W138" s="143">
        <f>S138+T138+U138</f>
        <v>94.824109589041086</v>
      </c>
    </row>
    <row r="139" spans="1:53" x14ac:dyDescent="0.15">
      <c r="A139" s="1">
        <v>1960</v>
      </c>
      <c r="B139" s="5">
        <f>(K8*($E8/366))+(K9*($E9/366))</f>
        <v>0</v>
      </c>
      <c r="C139" s="5">
        <f>(L8*($E8/366))+(L9*($E9/366))</f>
        <v>50.000000000000007</v>
      </c>
      <c r="D139" s="5">
        <f>(M8*($E8/366))+(M9*($E9/366))</f>
        <v>50.000000000000007</v>
      </c>
      <c r="E139" s="18">
        <f t="shared" ref="E139:E168" si="82">SUM(B139:D139)</f>
        <v>100.00000000000001</v>
      </c>
      <c r="F139" s="4"/>
      <c r="G139" s="14">
        <v>1960</v>
      </c>
      <c r="H139" s="409">
        <f>(O8*100*($E8/366)/($O8+$P8+$Q8))+(O9*100*($E9/366)/($O9+$P9+$Q9))</f>
        <v>0</v>
      </c>
      <c r="I139" s="409"/>
      <c r="J139" s="409">
        <f>(P8*100*($E8/366)/($O8+$P8+$Q8))+(P9*100*($E9/366)/($O9+$P9+$Q9))</f>
        <v>50.315126050420176</v>
      </c>
      <c r="K139" s="409"/>
      <c r="L139" s="409">
        <f>(Q8*100*($E8/366)/($O8+$P8+$Q8))+(Q9*100*($E9/366)/($O9+$P9+$Q9))</f>
        <v>49.684873949579845</v>
      </c>
      <c r="M139" s="409"/>
      <c r="N139" s="379">
        <f>SUM(H139:M139)</f>
        <v>100.00000000000003</v>
      </c>
      <c r="O139" s="379"/>
      <c r="R139" s="14">
        <v>1960</v>
      </c>
      <c r="S139" s="5">
        <f>O8*($E8/366) + O9*($E9/366)</f>
        <v>0</v>
      </c>
      <c r="T139" s="5">
        <f>P8*($E8/366) + P9*($E9/366)</f>
        <v>47.900000000000006</v>
      </c>
      <c r="U139" s="5">
        <f>Q8*($E8/366) + Q9*($E9/366)</f>
        <v>47.3</v>
      </c>
      <c r="V139" s="9"/>
      <c r="W139" s="5">
        <f>R8*($E8/366) + R9*($E9/366)</f>
        <v>95.199999999999989</v>
      </c>
    </row>
    <row r="140" spans="1:53" x14ac:dyDescent="0.15">
      <c r="A140" s="1">
        <v>1961</v>
      </c>
      <c r="B140" s="5">
        <f>(K10*($E10/365))+(K11*($E11/365))</f>
        <v>0</v>
      </c>
      <c r="C140" s="5">
        <f>(L10*($E10/365))+(L11*($E11/365))</f>
        <v>50</v>
      </c>
      <c r="D140" s="5">
        <f>(M10*($E10/365))+(M11*($E11/365))</f>
        <v>50</v>
      </c>
      <c r="E140" s="18">
        <f t="shared" si="82"/>
        <v>100</v>
      </c>
      <c r="F140" s="4"/>
      <c r="G140" s="14">
        <v>1961</v>
      </c>
      <c r="H140" s="409">
        <f>(O10*100*($E10/365)/($O10+$P10+$Q10))+(O11*100*($E11/365)/($O11+$P11+$Q11))</f>
        <v>0</v>
      </c>
      <c r="I140" s="409"/>
      <c r="J140" s="409">
        <f>(P10*100*($E10/365)/($O10+$P10+$Q10))+(P11*100*($E11/365)/($O11+$P11+$Q11))</f>
        <v>50.315126050420176</v>
      </c>
      <c r="K140" s="409"/>
      <c r="L140" s="409">
        <f>(Q10*100*($E10/365)/($O10+$P10+$Q10))+(Q11*100*($E11/365)/($O11+$P11+$Q11))</f>
        <v>49.684873949579838</v>
      </c>
      <c r="M140" s="409"/>
      <c r="N140" s="379">
        <f t="shared" ref="N140:N191" si="83">SUM(H140:M140)</f>
        <v>100.00000000000001</v>
      </c>
      <c r="O140" s="379"/>
      <c r="R140" s="14">
        <v>1961</v>
      </c>
      <c r="S140" s="5">
        <f>O10*($E10/365) + O11*($E11/365)</f>
        <v>0</v>
      </c>
      <c r="T140" s="5">
        <f>P10*($E10/365) + P11*($E11/365)</f>
        <v>47.9</v>
      </c>
      <c r="U140" s="5">
        <f>Q10*($E10/365) + Q11*($E11/365)</f>
        <v>47.3</v>
      </c>
      <c r="V140" s="9"/>
      <c r="W140" s="5">
        <f>R10*($E10/365) + R11*($E11/365)</f>
        <v>95.199999999999989</v>
      </c>
    </row>
    <row r="141" spans="1:53" x14ac:dyDescent="0.15">
      <c r="A141" s="1">
        <v>1962</v>
      </c>
      <c r="B141" s="5">
        <f>(K12*($E12/365))+(K13*($E13/365))</f>
        <v>0</v>
      </c>
      <c r="C141" s="5">
        <f>(L12*($E12/365))+(L13*($E13/365))</f>
        <v>50</v>
      </c>
      <c r="D141" s="5">
        <f>(M12*($E12/365))+(M13*($E13/365))</f>
        <v>50</v>
      </c>
      <c r="E141" s="18">
        <f t="shared" si="82"/>
        <v>100</v>
      </c>
      <c r="F141" s="4"/>
      <c r="G141" s="14">
        <v>1962</v>
      </c>
      <c r="H141" s="409">
        <f>(O12*100*($E12/365)/($O12+$P12+$Q12))+(O13*100*($E13/365)/($O13+$P13+$Q13))</f>
        <v>0</v>
      </c>
      <c r="I141" s="409"/>
      <c r="J141" s="409">
        <f>(P12*100*($E12/365)/($O12+$P12+$Q12))+(P13*100*($E13/365)/($O13+$P13+$Q13))</f>
        <v>50.315126050420176</v>
      </c>
      <c r="K141" s="409"/>
      <c r="L141" s="409">
        <f>(Q12*100*($E12/365)/($O12+$P12+$Q12))+(Q13*100*($E13/365)/($O13+$P13+$Q13))</f>
        <v>49.684873949579838</v>
      </c>
      <c r="M141" s="409"/>
      <c r="N141" s="379">
        <f t="shared" si="83"/>
        <v>100.00000000000001</v>
      </c>
      <c r="O141" s="379"/>
      <c r="R141" s="14">
        <v>1962</v>
      </c>
      <c r="S141" s="5">
        <f>O12*($E12/365) + O13*($E13/365)</f>
        <v>0</v>
      </c>
      <c r="T141" s="5">
        <f>P12*($E12/365) + P13*($E13/365)</f>
        <v>47.9</v>
      </c>
      <c r="U141" s="5">
        <f>Q12*($E12/365) + Q13*($E13/365)</f>
        <v>47.3</v>
      </c>
      <c r="V141" s="9"/>
      <c r="W141" s="5">
        <f>R12*($E12/365) + R13*($E13/365)</f>
        <v>95.199999999999989</v>
      </c>
    </row>
    <row r="142" spans="1:53" x14ac:dyDescent="0.15">
      <c r="A142" s="1">
        <v>1963</v>
      </c>
      <c r="B142" s="5">
        <f>(K14*($E14/365))+(K15*($E15/365))</f>
        <v>0</v>
      </c>
      <c r="C142" s="5">
        <f>(L14*($E14/365))+(L15*($E15/365))</f>
        <v>50</v>
      </c>
      <c r="D142" s="5">
        <f>(M14*($E14/365))+(M15*($E15/365))</f>
        <v>50</v>
      </c>
      <c r="E142" s="18">
        <f t="shared" si="82"/>
        <v>100</v>
      </c>
      <c r="F142" s="4"/>
      <c r="G142" s="14">
        <v>1963</v>
      </c>
      <c r="H142" s="409">
        <f>(O14*100*($E14/365)/($O14+$P14+$Q14))+(O15*100*($E15/365)/($O15+$P15+$Q15))</f>
        <v>0</v>
      </c>
      <c r="I142" s="409"/>
      <c r="J142" s="409">
        <f>(P14*100*($E14/365)/($O14+$P14+$Q14))+(P15*100*($E15/365)/($O15+$P15+$Q15))</f>
        <v>51.292448486243813</v>
      </c>
      <c r="K142" s="409"/>
      <c r="L142" s="409">
        <f>(Q14*100*($E14/365)/($O14+$P14+$Q14))+(Q15*100*($E15/365)/($O15+$P15+$Q15))</f>
        <v>48.707551513756194</v>
      </c>
      <c r="M142" s="409"/>
      <c r="N142" s="379">
        <f t="shared" si="83"/>
        <v>100</v>
      </c>
      <c r="O142" s="379"/>
      <c r="R142" s="14">
        <v>1963</v>
      </c>
      <c r="S142" s="5">
        <f>O14*($E14/365) + O15*($E15/365)</f>
        <v>0</v>
      </c>
      <c r="T142" s="5">
        <f>P14*($E14/365) + P15*($E15/365)</f>
        <v>48.83041095890411</v>
      </c>
      <c r="U142" s="5">
        <f>Q14*($E14/365) + Q15*($E15/365)</f>
        <v>46.369589041095892</v>
      </c>
      <c r="V142" s="9"/>
      <c r="W142" s="5">
        <f>R14*($E14/365) + R15*($E15/365)</f>
        <v>95.2</v>
      </c>
    </row>
    <row r="143" spans="1:53" x14ac:dyDescent="0.15">
      <c r="A143" s="1">
        <v>1964</v>
      </c>
      <c r="B143" s="5">
        <f>(K16*($E16/366))+(K17*($E17/366))</f>
        <v>0</v>
      </c>
      <c r="C143" s="5">
        <f>(L16*($E16/366))+(L17*($E17/366))</f>
        <v>50</v>
      </c>
      <c r="D143" s="5">
        <f>(M16*($E16/366))+(M17*($E17/366))</f>
        <v>50</v>
      </c>
      <c r="E143" s="18">
        <f t="shared" si="82"/>
        <v>100</v>
      </c>
      <c r="F143" s="4"/>
      <c r="G143" s="14">
        <v>1964</v>
      </c>
      <c r="H143" s="409">
        <f>(O16*100*($E16/366)/($O16+$P16+$Q16))+(O17*100*($E17/366)/($O17+$P17+$Q17))</f>
        <v>0</v>
      </c>
      <c r="I143" s="409"/>
      <c r="J143" s="409">
        <f>(P16*100*($E16/366)/($O16+$P16+$Q16))+(P17*100*($E17/366)/($O17+$P17+$Q17))</f>
        <v>51.575630252100837</v>
      </c>
      <c r="K143" s="409"/>
      <c r="L143" s="409">
        <f>(Q16*100*($E16/366)/($O16+$P16+$Q16))+(Q17*100*($E17/366)/($O17+$P17+$Q17))</f>
        <v>48.424369747899163</v>
      </c>
      <c r="M143" s="409"/>
      <c r="N143" s="379">
        <f t="shared" si="83"/>
        <v>100</v>
      </c>
      <c r="O143" s="379"/>
      <c r="R143" s="14">
        <v>1964</v>
      </c>
      <c r="S143" s="5">
        <f>O16*($E16/366) + O17*($E17/366)</f>
        <v>0</v>
      </c>
      <c r="T143" s="5">
        <f>P16*($E16/366) + P17*($E17/366)</f>
        <v>49.100000000000009</v>
      </c>
      <c r="U143" s="5">
        <f>Q16*($E16/366) + Q17*($E17/366)</f>
        <v>46.1</v>
      </c>
      <c r="V143" s="9"/>
      <c r="W143" s="5">
        <f>R16*($E16/366) + R17*($E17/366)</f>
        <v>95.200000000000017</v>
      </c>
    </row>
    <row r="144" spans="1:53" x14ac:dyDescent="0.15">
      <c r="A144" s="1">
        <v>1965</v>
      </c>
      <c r="B144" s="5">
        <f>(K18*($E18/365))+(K19*($E19/365))</f>
        <v>0</v>
      </c>
      <c r="C144" s="5">
        <f>(L18*($E18/365))+(L19*($E19/365))</f>
        <v>50</v>
      </c>
      <c r="D144" s="5">
        <f>(M18*($E18/365))+(M19*($E19/365))</f>
        <v>50</v>
      </c>
      <c r="E144" s="18">
        <f t="shared" si="82"/>
        <v>100</v>
      </c>
      <c r="F144" s="4"/>
      <c r="G144" s="14">
        <v>1965</v>
      </c>
      <c r="H144" s="409">
        <f>(O18*100*($E18/365)/($O18+$P18+$Q18))+(O19*100*($E19/365)/($O19+$P19+$Q19))</f>
        <v>0</v>
      </c>
      <c r="I144" s="409"/>
      <c r="J144" s="409">
        <f>(P18*100*($E18/365)/($O18+$P18+$Q18))+(P19*100*($E19/365)/($O19+$P19+$Q19))</f>
        <v>51.575630252100837</v>
      </c>
      <c r="K144" s="409"/>
      <c r="L144" s="409">
        <f>(Q18*100*($E18/365)/($O18+$P18+$Q18))+(Q19*100*($E19/365)/($O19+$P19+$Q19))</f>
        <v>48.424369747899163</v>
      </c>
      <c r="M144" s="409"/>
      <c r="N144" s="379">
        <f t="shared" si="83"/>
        <v>100</v>
      </c>
      <c r="O144" s="379"/>
      <c r="R144" s="14">
        <v>1965</v>
      </c>
      <c r="S144" s="5">
        <f>O18*($E18/365) + O19*($E19/365)</f>
        <v>0</v>
      </c>
      <c r="T144" s="5">
        <f>P18*($E18/365) + P19*($E19/365)</f>
        <v>49.1</v>
      </c>
      <c r="U144" s="5">
        <f>Q18*($E18/365) + Q19*($E19/365)</f>
        <v>46.099999999999994</v>
      </c>
      <c r="V144" s="9"/>
      <c r="W144" s="5">
        <f>R18*($E18/365) + R19*($E19/365)</f>
        <v>95.2</v>
      </c>
    </row>
    <row r="145" spans="1:23" x14ac:dyDescent="0.15">
      <c r="A145" s="1">
        <v>1966</v>
      </c>
      <c r="B145" s="5">
        <f>(K20*($E20/365))+(K21*($E21/365))</f>
        <v>0</v>
      </c>
      <c r="C145" s="5">
        <f>(L20*($E20/365))+(L21*($E21/365))</f>
        <v>85.205479452054803</v>
      </c>
      <c r="D145" s="5">
        <f>(M20*($E20/365))+(M21*($E21/365))</f>
        <v>14.794520547945206</v>
      </c>
      <c r="E145" s="18">
        <f t="shared" si="82"/>
        <v>100.00000000000001</v>
      </c>
      <c r="F145" s="4"/>
      <c r="G145" s="14">
        <v>1966</v>
      </c>
      <c r="H145" s="409">
        <f>(O20*100*($E20/365)/($O20+$P20+$Q20))+(O21*100*($E21/365)/($O21+$P21+$Q21))</f>
        <v>0</v>
      </c>
      <c r="I145" s="409"/>
      <c r="J145" s="409">
        <f>(P20*100*($E20/365)/($O20+$P20+$Q20))+(P21*100*($E21/365)/($O21+$P21+$Q21))</f>
        <v>85.671693334868195</v>
      </c>
      <c r="K145" s="409"/>
      <c r="L145" s="409">
        <f>(Q20*100*($E20/365)/($O20+$P20+$Q20))+(Q21*100*($E21/365)/($O21+$P21+$Q21))</f>
        <v>14.328306665131807</v>
      </c>
      <c r="M145" s="409"/>
      <c r="N145" s="379">
        <f t="shared" si="83"/>
        <v>100</v>
      </c>
      <c r="O145" s="379"/>
      <c r="R145" s="14">
        <v>1966</v>
      </c>
      <c r="S145" s="5">
        <f>O20*($E20/365) + O21*($E21/365)</f>
        <v>0</v>
      </c>
      <c r="T145" s="5">
        <f>P20*($E20/365) + P21*($E21/365)</f>
        <v>50.789863013698636</v>
      </c>
      <c r="U145" s="5">
        <f>Q20*($E20/365) + Q21*($E21/365)</f>
        <v>13.64054794520548</v>
      </c>
      <c r="V145" s="9"/>
      <c r="W145" s="5">
        <f>R20*($E20/365) + R21*($E21/365)</f>
        <v>64.430410958904105</v>
      </c>
    </row>
    <row r="146" spans="1:23" x14ac:dyDescent="0.15">
      <c r="A146" s="1">
        <v>1967</v>
      </c>
      <c r="B146" s="5">
        <f>(K22*($E22/365))+(K23*($E23/365))</f>
        <v>0</v>
      </c>
      <c r="C146" s="5">
        <f>(L22*($E22/365))+(L23*($E23/365))</f>
        <v>100</v>
      </c>
      <c r="D146" s="5">
        <f>(M22*($E22/365))+(M23*($E23/365))</f>
        <v>0</v>
      </c>
      <c r="E146" s="18">
        <f t="shared" si="82"/>
        <v>100</v>
      </c>
      <c r="F146" s="4"/>
      <c r="G146" s="14">
        <v>1967</v>
      </c>
      <c r="H146" s="409">
        <f>(O22*100*($E22/365)/($O22+$P22+$Q22))+(O23*100*($E23/365)/($O23+$P23+$Q23))</f>
        <v>0</v>
      </c>
      <c r="I146" s="409"/>
      <c r="J146" s="409">
        <f>(P22*100*($E22/365)/($O22+$P22+$Q22))+(P23*100*($E23/365)/($O23+$P23+$Q23))</f>
        <v>100</v>
      </c>
      <c r="K146" s="409"/>
      <c r="L146" s="409">
        <f>(Q22*100*($E22/365)/($O22+$P22+$Q22))+(Q23*100*($E23/365)/($O23+$P23+$Q23))</f>
        <v>0</v>
      </c>
      <c r="M146" s="409"/>
      <c r="N146" s="379">
        <f t="shared" si="83"/>
        <v>100</v>
      </c>
      <c r="O146" s="379"/>
      <c r="R146" s="14">
        <v>1967</v>
      </c>
      <c r="S146" s="5">
        <f>O22*($E22/365) + O23*($E23/365)</f>
        <v>0</v>
      </c>
      <c r="T146" s="5">
        <f>P22*($E22/365) + P23*($E23/365)</f>
        <v>51.5</v>
      </c>
      <c r="U146" s="5">
        <f>Q22*($E22/365) + Q23*($E23/365)</f>
        <v>0</v>
      </c>
      <c r="V146" s="9"/>
      <c r="W146" s="5">
        <f>R22*($E22/365) + R23*($E23/365)</f>
        <v>51.5</v>
      </c>
    </row>
    <row r="147" spans="1:23" x14ac:dyDescent="0.15">
      <c r="A147" s="1">
        <v>1968</v>
      </c>
      <c r="B147" s="5">
        <f>(K24*($E24/366))+(K25*($E25/366))</f>
        <v>0</v>
      </c>
      <c r="C147" s="5">
        <f>(L24*($E24/366))+(L25*($E25/366))</f>
        <v>100</v>
      </c>
      <c r="D147" s="5">
        <f>(M24*($E24/366))+(M25*($E25/366))</f>
        <v>0</v>
      </c>
      <c r="E147" s="18">
        <f t="shared" si="82"/>
        <v>100</v>
      </c>
      <c r="F147" s="4"/>
      <c r="G147" s="14">
        <v>1968</v>
      </c>
      <c r="H147" s="409">
        <f>(O24*100*($E24/366)/($O24+$P24+$Q24))+(O25*100*($E25/366)/($O25+$P25+$Q25))</f>
        <v>0</v>
      </c>
      <c r="I147" s="409"/>
      <c r="J147" s="409">
        <f>(P24*100*($E24/366)/($O24+$P24+$Q24))+(P25*100*($E25/366)/($O25+$P25+$Q25))</f>
        <v>100</v>
      </c>
      <c r="K147" s="409"/>
      <c r="L147" s="409">
        <f>(Q24*100*($E24/366)/($O24+$P24+$Q24))+(Q25*100*($E25/366)/($O25+$P25+$Q25))</f>
        <v>0</v>
      </c>
      <c r="M147" s="409"/>
      <c r="N147" s="379">
        <f t="shared" si="83"/>
        <v>100</v>
      </c>
      <c r="O147" s="379"/>
      <c r="R147" s="14">
        <v>1968</v>
      </c>
      <c r="S147" s="5">
        <f>O24*($E24/366) + O25*($E25/366)</f>
        <v>0</v>
      </c>
      <c r="T147" s="5">
        <f>P24*($E24/366) + P25*($E25/366)</f>
        <v>51.5</v>
      </c>
      <c r="U147" s="5">
        <f>Q24*($E24/366) + Q25*($E25/366)</f>
        <v>0</v>
      </c>
      <c r="V147" s="9"/>
      <c r="W147" s="5">
        <f>R24*($E24/366) + R25*($E25/366)</f>
        <v>51.5</v>
      </c>
    </row>
    <row r="148" spans="1:23" x14ac:dyDescent="0.15">
      <c r="A148" s="1">
        <v>1969</v>
      </c>
      <c r="B148" s="5">
        <f>(K26*($E26/365))+(K27*($E27/365))</f>
        <v>0</v>
      </c>
      <c r="C148" s="5">
        <f>(L26*($E26/365))+(L27*($E27/365))</f>
        <v>100</v>
      </c>
      <c r="D148" s="5">
        <f>(M26*($E26/365))+(M27*($E27/365))</f>
        <v>0</v>
      </c>
      <c r="E148" s="18">
        <f t="shared" si="82"/>
        <v>100</v>
      </c>
      <c r="F148" s="4"/>
      <c r="G148" s="14">
        <v>1969</v>
      </c>
      <c r="H148" s="409">
        <f>(O26*100*($E26/365)/($O26+$P26+$Q26))+(O27*100*($E27/365)/($O27+$P27+$Q27))</f>
        <v>0</v>
      </c>
      <c r="I148" s="409"/>
      <c r="J148" s="409">
        <f>(P26*100*($E26/365)/($O26+$P26+$Q26))+(P27*100*($E27/365)/($O27+$P27+$Q27))</f>
        <v>100</v>
      </c>
      <c r="K148" s="409"/>
      <c r="L148" s="409">
        <f>(Q26*100*($E26/365)/($O26+$P26+$Q26))+(Q27*100*($E27/365)/($O27+$P27+$Q27))</f>
        <v>0</v>
      </c>
      <c r="M148" s="409"/>
      <c r="N148" s="379">
        <f t="shared" si="83"/>
        <v>100</v>
      </c>
      <c r="O148" s="379"/>
      <c r="R148" s="14">
        <v>1969</v>
      </c>
      <c r="S148" s="5">
        <f>O26*($E26/365) + O27*($E27/365)</f>
        <v>0</v>
      </c>
      <c r="T148" s="5">
        <f>P26*($E26/365) + P27*($E27/365)</f>
        <v>51.5</v>
      </c>
      <c r="U148" s="5">
        <f>Q26*($E26/365) + Q27*($E27/365)</f>
        <v>0</v>
      </c>
      <c r="V148" s="9"/>
      <c r="W148" s="5">
        <f>R26*($E26/365) + R27*($E27/365)</f>
        <v>51.5</v>
      </c>
    </row>
    <row r="149" spans="1:23" x14ac:dyDescent="0.15">
      <c r="A149" s="1">
        <v>1970</v>
      </c>
      <c r="B149" s="5">
        <f>(K28*($E28/365))+(K29*($E29/365))</f>
        <v>0</v>
      </c>
      <c r="C149" s="5">
        <f>(L28*($E28/365))+(L29*($E29/365))</f>
        <v>30.410958904109592</v>
      </c>
      <c r="D149" s="5">
        <f>(M28*($E28/365))+(M29*($E29/365))</f>
        <v>64.236037934668076</v>
      </c>
      <c r="E149" s="18">
        <f t="shared" si="82"/>
        <v>94.646996838777667</v>
      </c>
      <c r="F149" s="4"/>
      <c r="G149" s="14">
        <v>1970</v>
      </c>
      <c r="H149" s="409">
        <f>(O28*100*($E28/365)/($O28+$P28+$Q28))+(O29*100*($E29/365)/($O29+$P29+$Q29))</f>
        <v>0</v>
      </c>
      <c r="I149" s="409"/>
      <c r="J149" s="409">
        <f>(P28*100*($E28/365)/($O28+$P28+$Q28))+(P29*100*($E29/365)/($O29+$P29+$Q29))</f>
        <v>30.410958904109592</v>
      </c>
      <c r="K149" s="409"/>
      <c r="L149" s="409">
        <f>(Q28*100*($E28/365)/($O28+$P28+$Q28))+(Q29*100*($E29/365)/($O29+$P29+$Q29))</f>
        <v>69.589041095890408</v>
      </c>
      <c r="M149" s="409"/>
      <c r="N149" s="379">
        <f t="shared" si="83"/>
        <v>100</v>
      </c>
      <c r="O149" s="379"/>
      <c r="R149" s="14">
        <v>1970</v>
      </c>
      <c r="S149" s="5">
        <f>O28*($E28/365) + O29*($E29/365)</f>
        <v>0</v>
      </c>
      <c r="T149" s="5">
        <f>P28*($E28/365) + P29*($E29/365)</f>
        <v>15.66164383561644</v>
      </c>
      <c r="U149" s="5">
        <f>Q28*($E28/365) + Q29*($E29/365)</f>
        <v>34.168219178082197</v>
      </c>
      <c r="V149" s="9"/>
      <c r="W149" s="5">
        <f>R28*($E28/365) + R29*($E29/365)</f>
        <v>49.829863013698635</v>
      </c>
    </row>
    <row r="150" spans="1:23" x14ac:dyDescent="0.15">
      <c r="A150" s="1">
        <v>1971</v>
      </c>
      <c r="B150" s="5">
        <f>(K30*($E30/365))+(K31*($E31/365))</f>
        <v>0</v>
      </c>
      <c r="C150" s="5">
        <f>(L30*($E30/365))+(L31*($E31/365))</f>
        <v>0</v>
      </c>
      <c r="D150" s="5">
        <f>(M30*($E30/365))+(M31*($E31/365))</f>
        <v>91.025139244317316</v>
      </c>
      <c r="E150" s="18">
        <f t="shared" si="82"/>
        <v>91.025139244317316</v>
      </c>
      <c r="F150" s="4"/>
      <c r="G150" s="14">
        <v>1971</v>
      </c>
      <c r="H150" s="409">
        <f>(O30*100*($E30/365)/($O30+$P30+$Q30))+(O31*100*($E31/365)/($O31+$P31+$Q31))</f>
        <v>0</v>
      </c>
      <c r="I150" s="409"/>
      <c r="J150" s="409">
        <f>(P30*100*($E30/365)/($O30+$P30+$Q30))+(P31*100*($E31/365)/($O31+$P31+$Q31))</f>
        <v>0</v>
      </c>
      <c r="K150" s="409"/>
      <c r="L150" s="409">
        <f>(Q30*100*($E30/365)/($O30+$P30+$Q30))+(Q31*100*($E31/365)/($O31+$P31+$Q31))</f>
        <v>100</v>
      </c>
      <c r="M150" s="409"/>
      <c r="N150" s="379">
        <f t="shared" si="83"/>
        <v>100</v>
      </c>
      <c r="O150" s="379"/>
      <c r="R150" s="14">
        <v>1971</v>
      </c>
      <c r="S150" s="5">
        <f>O30*($E30/365) + O31*($E31/365)</f>
        <v>0</v>
      </c>
      <c r="T150" s="5">
        <f>P30*($E30/365) + P31*($E31/365)</f>
        <v>0</v>
      </c>
      <c r="U150" s="5">
        <f>Q30*($E30/365) + Q31*($E31/365)</f>
        <v>49.430684931506853</v>
      </c>
      <c r="V150" s="9"/>
      <c r="W150" s="5">
        <f>R30*($E30/365) + R31*($E31/365)</f>
        <v>49.430684931506853</v>
      </c>
    </row>
    <row r="151" spans="1:23" x14ac:dyDescent="0.15">
      <c r="A151" s="1">
        <v>1972</v>
      </c>
      <c r="B151" s="5">
        <f>(K32*($E32/366))+(K33*($E33/366))</f>
        <v>0</v>
      </c>
      <c r="C151" s="5">
        <f>(L32*($E32/366))+(L33*($E33/366))</f>
        <v>0</v>
      </c>
      <c r="D151" s="5">
        <f>(M32*($E32/366))+(M33*($E33/366))</f>
        <v>85.714285714285708</v>
      </c>
      <c r="E151" s="18">
        <f t="shared" si="82"/>
        <v>85.714285714285708</v>
      </c>
      <c r="F151" s="4"/>
      <c r="G151" s="14">
        <v>1972</v>
      </c>
      <c r="H151" s="409">
        <f>(O32*100*($E32/366)/($O32+$P32+$Q32))+(O33*100*($E33/366)/($O33+$P33+$Q33))</f>
        <v>0</v>
      </c>
      <c r="I151" s="409"/>
      <c r="J151" s="409">
        <f>(P32*100*($E32/366)/($O32+$P32+$Q32))+(P33*100*($E33/366)/($O33+$P33+$Q33))</f>
        <v>0</v>
      </c>
      <c r="K151" s="409"/>
      <c r="L151" s="409">
        <f>(Q32*100*($E32/366)/($O32+$P32+$Q32))+(Q33*100*($E33/366)/($O33+$P33+$Q33))</f>
        <v>100</v>
      </c>
      <c r="M151" s="409"/>
      <c r="N151" s="379">
        <f t="shared" si="83"/>
        <v>100</v>
      </c>
      <c r="O151" s="379"/>
      <c r="R151" s="14">
        <v>1972</v>
      </c>
      <c r="S151" s="5">
        <f>O32*($E32/366) + O33*($E33/366)</f>
        <v>0</v>
      </c>
      <c r="T151" s="5">
        <f>P32*($E32/366) + P33*($E33/366)</f>
        <v>0</v>
      </c>
      <c r="U151" s="5">
        <f>Q32*($E32/366) + Q33*($E33/366)</f>
        <v>50.8</v>
      </c>
      <c r="V151" s="9"/>
      <c r="W151" s="5">
        <f>R32*($E32/366) + R33*($E33/366)</f>
        <v>50.8</v>
      </c>
    </row>
    <row r="152" spans="1:23" x14ac:dyDescent="0.15">
      <c r="A152" s="1">
        <v>1973</v>
      </c>
      <c r="B152" s="5">
        <f>(K34*($E34/365))+(K35*($E35/365))</f>
        <v>0</v>
      </c>
      <c r="C152" s="5">
        <f>(L34*($E34/365))+(L35*($E35/365))</f>
        <v>0</v>
      </c>
      <c r="D152" s="5">
        <f>(M34*($E34/365))+(M35*($E35/365))</f>
        <v>85.714285714285708</v>
      </c>
      <c r="E152" s="18">
        <f t="shared" si="82"/>
        <v>85.714285714285708</v>
      </c>
      <c r="F152" s="4"/>
      <c r="G152" s="14">
        <v>1973</v>
      </c>
      <c r="H152" s="409">
        <f>(O34*100*($E34/365)/($O34+$P34+$Q34))+(O35*100*($E35/365)/($O35+$P35+$Q35))</f>
        <v>0</v>
      </c>
      <c r="I152" s="409"/>
      <c r="J152" s="409">
        <f>(P34*100*($E34/365)/($O34+$P34+$Q34))+(P35*100*($E35/365)/($O35+$P35+$Q35))</f>
        <v>0</v>
      </c>
      <c r="K152" s="409"/>
      <c r="L152" s="409">
        <f>(Q34*100*($E34/365)/($O34+$P34+$Q34))+(Q35*100*($E35/365)/($O35+$P35+$Q35))</f>
        <v>100</v>
      </c>
      <c r="M152" s="409"/>
      <c r="N152" s="379">
        <f t="shared" si="83"/>
        <v>100</v>
      </c>
      <c r="O152" s="379"/>
      <c r="R152" s="14">
        <v>1973</v>
      </c>
      <c r="S152" s="5">
        <f>O34*($E34/365) + O35*($E35/365)</f>
        <v>0</v>
      </c>
      <c r="T152" s="5">
        <f>P34*($E34/365) + P35*($E35/365)</f>
        <v>0</v>
      </c>
      <c r="U152" s="5">
        <f>Q34*($E34/365) + Q35*($E35/365)</f>
        <v>50.8</v>
      </c>
      <c r="V152" s="9"/>
      <c r="W152" s="5">
        <f>R34*($E34/365) + R35*($E35/365)</f>
        <v>50.8</v>
      </c>
    </row>
    <row r="153" spans="1:23" x14ac:dyDescent="0.15">
      <c r="A153" s="1">
        <v>1974</v>
      </c>
      <c r="B153" s="5">
        <f>(K36*($E36/365))+(K37*($E37/365))</f>
        <v>0</v>
      </c>
      <c r="C153" s="5">
        <f>(L36*($E36/365))+(L37*($E37/365))</f>
        <v>0</v>
      </c>
      <c r="D153" s="5">
        <f>(M36*($E36/365))+(M37*($E37/365))</f>
        <v>85.714285714285708</v>
      </c>
      <c r="E153" s="18">
        <f t="shared" si="82"/>
        <v>85.714285714285708</v>
      </c>
      <c r="F153" s="4"/>
      <c r="G153" s="14">
        <v>1974</v>
      </c>
      <c r="H153" s="409">
        <f>(O36*100*($E36/365)/($O36+$P36+$Q36))+(O37*100*($E37/365)/($O37+$P37+$Q37))</f>
        <v>0</v>
      </c>
      <c r="I153" s="409"/>
      <c r="J153" s="409">
        <f>(P36*100*($E36/365)/($O36+$P36+$Q36))+(P37*100*($E37/365)/($O37+$P37+$Q37))</f>
        <v>0</v>
      </c>
      <c r="K153" s="409"/>
      <c r="L153" s="409">
        <f>(Q36*100*($E36/365)/($O36+$P36+$Q36))+(Q37*100*($E37/365)/($O37+$P37+$Q37))</f>
        <v>100</v>
      </c>
      <c r="M153" s="409"/>
      <c r="N153" s="379">
        <f t="shared" si="83"/>
        <v>100</v>
      </c>
      <c r="O153" s="379"/>
      <c r="R153" s="14">
        <v>1974</v>
      </c>
      <c r="S153" s="5">
        <f>O36*($E36/365) + O37*($E37/365)</f>
        <v>0</v>
      </c>
      <c r="T153" s="5">
        <f>P36*($E36/365) + P37*($E37/365)</f>
        <v>0</v>
      </c>
      <c r="U153" s="5">
        <f>Q36*($E36/365) + Q37*($E37/365)</f>
        <v>50.8</v>
      </c>
      <c r="V153" s="9"/>
      <c r="W153" s="5">
        <f>R36*($E36/365) + R37*($E37/365)</f>
        <v>50.8</v>
      </c>
    </row>
    <row r="154" spans="1:23" x14ac:dyDescent="0.15">
      <c r="A154" s="1">
        <v>1975</v>
      </c>
      <c r="B154" s="5">
        <f>(K38*($E38/365))+(K39*($E39/365))</f>
        <v>0</v>
      </c>
      <c r="C154" s="5">
        <f>(L38*($E38/365))+(L39*($E39/365))</f>
        <v>0</v>
      </c>
      <c r="D154" s="5">
        <f>(M38*($E38/365))+(M39*($E39/365))</f>
        <v>85.714285714285708</v>
      </c>
      <c r="E154" s="18">
        <f t="shared" si="82"/>
        <v>85.714285714285708</v>
      </c>
      <c r="F154" s="4"/>
      <c r="G154" s="14">
        <v>1975</v>
      </c>
      <c r="H154" s="409">
        <f>(O38*100*($E38/365)/($O38+$P38+$Q38))+(O39*100*($E39/365)/($O39+$P39+$Q39))</f>
        <v>0</v>
      </c>
      <c r="I154" s="409"/>
      <c r="J154" s="409">
        <f>(P38*100*($E38/365)/($O38+$P38+$Q38))+(P39*100*($E39/365)/($O39+$P39+$Q39))</f>
        <v>0</v>
      </c>
      <c r="K154" s="409"/>
      <c r="L154" s="409">
        <f>(Q38*100*($E38/365)/($O38+$P38+$Q38))+(Q39*100*($E39/365)/($O39+$P39+$Q39))</f>
        <v>100</v>
      </c>
      <c r="M154" s="409"/>
      <c r="N154" s="379">
        <f t="shared" si="83"/>
        <v>100</v>
      </c>
      <c r="O154" s="379"/>
      <c r="R154" s="14">
        <v>1975</v>
      </c>
      <c r="S154" s="5">
        <f>O38*($E38/365) + O39*($E39/365)</f>
        <v>0</v>
      </c>
      <c r="T154" s="5">
        <f>P38*($E38/365) + P39*($E39/365)</f>
        <v>0</v>
      </c>
      <c r="U154" s="5">
        <f>Q38*($E38/365) + Q39*($E39/365)</f>
        <v>50.800000000000004</v>
      </c>
      <c r="V154" s="9"/>
      <c r="W154" s="5">
        <f>R38*($E38/365) + R39*($E39/365)</f>
        <v>50.800000000000004</v>
      </c>
    </row>
    <row r="155" spans="1:23" x14ac:dyDescent="0.15">
      <c r="A155" s="1">
        <v>1976</v>
      </c>
      <c r="B155" s="5">
        <f>(K40*($E40/366))+(K41*($E41/366))</f>
        <v>0</v>
      </c>
      <c r="C155" s="5">
        <f>(L40*($E40/366))+(L41*($E41/366))</f>
        <v>0</v>
      </c>
      <c r="D155" s="5">
        <f>(M40*($E40/366))+(M41*($E41/366))</f>
        <v>85.714285714285708</v>
      </c>
      <c r="E155" s="18">
        <f t="shared" si="82"/>
        <v>85.714285714285708</v>
      </c>
      <c r="F155" s="4"/>
      <c r="G155" s="14">
        <v>1976</v>
      </c>
      <c r="H155" s="409">
        <f>(O40*100*($E40/366)/($O40+$P40+$Q40))+(O41*100*($E41/366)/($O41+$P41+$Q41))</f>
        <v>0</v>
      </c>
      <c r="I155" s="409"/>
      <c r="J155" s="409">
        <f>(P40*100*($E40/366)/($O40+$P40+$Q40))+(P41*100*($E41/366)/($O41+$P41+$Q41))</f>
        <v>0</v>
      </c>
      <c r="K155" s="409"/>
      <c r="L155" s="409">
        <f>(Q40*100*($E40/366)/($O40+$P40+$Q40))+(Q41*100*($E41/366)/($O41+$P41+$Q41))</f>
        <v>100</v>
      </c>
      <c r="M155" s="409"/>
      <c r="N155" s="379">
        <f t="shared" si="83"/>
        <v>100</v>
      </c>
      <c r="O155" s="379"/>
      <c r="R155" s="14">
        <v>1976</v>
      </c>
      <c r="S155" s="5">
        <f>O40*($E40/366) + O41*($E41/366)</f>
        <v>0</v>
      </c>
      <c r="T155" s="5">
        <f>P40*($E40/366) + P41*($E41/366)</f>
        <v>0</v>
      </c>
      <c r="U155" s="5">
        <f>Q40*($E40/366) + Q41*($E41/366)</f>
        <v>50.8</v>
      </c>
      <c r="V155" s="9"/>
      <c r="W155" s="5">
        <f>R40*($E40/366) + R41*($E41/366)</f>
        <v>50.8</v>
      </c>
    </row>
    <row r="156" spans="1:23" x14ac:dyDescent="0.15">
      <c r="A156" s="1">
        <v>1977</v>
      </c>
      <c r="B156" s="5">
        <f>(K42*($E42/365))+(K43*($E43/365))</f>
        <v>0</v>
      </c>
      <c r="C156" s="5">
        <f>(L42*($E42/365))+(L43*($E43/365))</f>
        <v>0</v>
      </c>
      <c r="D156" s="5">
        <f>(M42*($E42/365))+(M43*($E43/365))</f>
        <v>85.714285714285708</v>
      </c>
      <c r="E156" s="18">
        <f t="shared" si="82"/>
        <v>85.714285714285708</v>
      </c>
      <c r="F156" s="4"/>
      <c r="G156" s="14">
        <v>1977</v>
      </c>
      <c r="H156" s="409">
        <f>(O42*100*($E42/365)/($O42+$P42+$Q42))+(O43*100*($E43/365)/($O43+$P43+$Q43))</f>
        <v>0</v>
      </c>
      <c r="I156" s="409"/>
      <c r="J156" s="409">
        <f>(P42*100*($E42/365)/($O42+$P42+$Q42))+(P43*100*($E43/365)/($O43+$P43+$Q43))</f>
        <v>0</v>
      </c>
      <c r="K156" s="409"/>
      <c r="L156" s="409">
        <f>(Q42*100*($E42/365)/($O42+$P42+$Q42))+(Q43*100*($E43/365)/($O43+$P43+$Q43))</f>
        <v>100</v>
      </c>
      <c r="M156" s="409"/>
      <c r="N156" s="379">
        <f t="shared" si="83"/>
        <v>100</v>
      </c>
      <c r="O156" s="379"/>
      <c r="R156" s="14">
        <v>1977</v>
      </c>
      <c r="S156" s="5">
        <f>O42*($E42/365) + O43*($E43/365)</f>
        <v>0</v>
      </c>
      <c r="T156" s="5">
        <f>P42*($E42/365) + P43*($E43/365)</f>
        <v>0</v>
      </c>
      <c r="U156" s="5">
        <f>Q42*($E42/365) + Q43*($E43/365)</f>
        <v>50.8</v>
      </c>
      <c r="V156" s="9"/>
      <c r="W156" s="5">
        <f>R42*($E42/365) + R43*($E43/365)</f>
        <v>50.8</v>
      </c>
    </row>
    <row r="157" spans="1:23" x14ac:dyDescent="0.15">
      <c r="A157" s="1">
        <v>1978</v>
      </c>
      <c r="B157" s="5">
        <f>(K44*($E44/365))+(K45*($E45/365))</f>
        <v>0</v>
      </c>
      <c r="C157" s="5">
        <f>(L44*($E44/365))+(L45*($E45/365))</f>
        <v>0</v>
      </c>
      <c r="D157" s="5">
        <f>(M44*($E44/365))+(M45*($E45/365))</f>
        <v>85.714285714285708</v>
      </c>
      <c r="E157" s="18">
        <f t="shared" si="82"/>
        <v>85.714285714285708</v>
      </c>
      <c r="F157" s="4"/>
      <c r="G157" s="14">
        <v>1978</v>
      </c>
      <c r="H157" s="409">
        <f>(O44*100*($E44/365)/($O44+$P44+$Q44))+(O45*100*($E45/365)/($O45+$P45+$Q45))</f>
        <v>0</v>
      </c>
      <c r="I157" s="409"/>
      <c r="J157" s="409">
        <f>(P44*100*($E44/365)/($O44+$P44+$Q44))+(P45*100*($E45/365)/($O45+$P45+$Q45))</f>
        <v>0</v>
      </c>
      <c r="K157" s="409"/>
      <c r="L157" s="409">
        <f>(Q44*100*($E44/365)/($O44+$P44+$Q44))+(Q45*100*($E45/365)/($O45+$P45+$Q45))</f>
        <v>100</v>
      </c>
      <c r="M157" s="409"/>
      <c r="N157" s="379">
        <f t="shared" si="83"/>
        <v>100</v>
      </c>
      <c r="O157" s="379"/>
      <c r="R157" s="14">
        <v>1978</v>
      </c>
      <c r="S157" s="5">
        <f>O44*($E44/365) + O45*($E45/365)</f>
        <v>0</v>
      </c>
      <c r="T157" s="5">
        <f>P44*($E44/365) + P45*($E45/365)</f>
        <v>0</v>
      </c>
      <c r="U157" s="5">
        <f>Q44*($E44/365) + Q45*($E45/365)</f>
        <v>50.8</v>
      </c>
      <c r="V157" s="9"/>
      <c r="W157" s="5">
        <f>R44*($E44/365) + R45*($E45/365)</f>
        <v>50.8</v>
      </c>
    </row>
    <row r="158" spans="1:23" x14ac:dyDescent="0.15">
      <c r="A158" s="1">
        <v>1979</v>
      </c>
      <c r="B158" s="5">
        <f>(K46*($E46/365))+(K47*($E47/365))</f>
        <v>0</v>
      </c>
      <c r="C158" s="5">
        <f>(L46*($E46/365))+(L47*($E47/365))</f>
        <v>0</v>
      </c>
      <c r="D158" s="5">
        <f>(M46*($E46/365))+(M47*($E47/365))</f>
        <v>94.951076320939336</v>
      </c>
      <c r="E158" s="18">
        <f t="shared" si="82"/>
        <v>94.951076320939336</v>
      </c>
      <c r="F158" s="4"/>
      <c r="G158" s="14">
        <v>1979</v>
      </c>
      <c r="H158" s="409">
        <f>(O46*100*($E46/365)/($O46+$P46+$Q46))+(O47*100*($E47/365)/($O47+$P47+$Q47))</f>
        <v>0</v>
      </c>
      <c r="I158" s="409"/>
      <c r="J158" s="409">
        <f>(P46*100*($E46/365)/($O46+$P46+$Q46))+(P47*100*($E47/365)/($O47+$P47+$Q47))</f>
        <v>0</v>
      </c>
      <c r="K158" s="409"/>
      <c r="L158" s="409">
        <f>(Q46*100*($E46/365)/($O46+$P46+$Q46))+(Q47*100*($E47/365)/($O47+$P47+$Q47))</f>
        <v>100</v>
      </c>
      <c r="M158" s="409"/>
      <c r="N158" s="379">
        <f t="shared" si="83"/>
        <v>100</v>
      </c>
      <c r="O158" s="379"/>
      <c r="R158" s="14">
        <v>1979</v>
      </c>
      <c r="S158" s="5">
        <f>O46*($E46/365) + O47*($E47/365)</f>
        <v>0</v>
      </c>
      <c r="T158" s="5">
        <f>P46*($E46/365) + P47*($E47/365)</f>
        <v>0</v>
      </c>
      <c r="U158" s="5">
        <f>Q46*($E46/365) + Q47*($E47/365)</f>
        <v>51.511232876712327</v>
      </c>
      <c r="V158" s="9"/>
      <c r="W158" s="5">
        <f>R46*($E46/365) + R47*($E47/365)</f>
        <v>51.511232876712327</v>
      </c>
    </row>
    <row r="159" spans="1:23" x14ac:dyDescent="0.15">
      <c r="A159" s="1">
        <v>1980</v>
      </c>
      <c r="B159" s="5">
        <f>(K48*($E48/366))+(K49*($E49/366))</f>
        <v>0</v>
      </c>
      <c r="C159" s="5">
        <f>(L48*($E48/366))+(L49*($E49/366))</f>
        <v>0</v>
      </c>
      <c r="D159" s="5">
        <f>(M48*($E48/366))+(M49*($E49/366))</f>
        <v>100</v>
      </c>
      <c r="E159" s="18">
        <f t="shared" si="82"/>
        <v>100</v>
      </c>
      <c r="F159" s="4"/>
      <c r="G159" s="14">
        <v>1980</v>
      </c>
      <c r="H159" s="409">
        <f>(O48*100*($E48/366)/($O48+$P48+$Q48))+(O49*100*($E49/366)/($O49+$P49+$Q49))</f>
        <v>0</v>
      </c>
      <c r="I159" s="409"/>
      <c r="J159" s="409">
        <f>(P48*100*($E48/366)/($O48+$P48+$Q48))+(P49*100*($E49/366)/($O49+$P49+$Q49))</f>
        <v>0</v>
      </c>
      <c r="K159" s="409"/>
      <c r="L159" s="409">
        <f>(Q48*100*($E48/366)/($O48+$P48+$Q48))+(Q49*100*($E49/366)/($O49+$P49+$Q49))</f>
        <v>100</v>
      </c>
      <c r="M159" s="409"/>
      <c r="N159" s="379">
        <f t="shared" si="83"/>
        <v>100</v>
      </c>
      <c r="O159" s="379"/>
      <c r="R159" s="14">
        <v>1980</v>
      </c>
      <c r="S159" s="5">
        <f>O48*($E48/366) + O49*($E49/366)</f>
        <v>0</v>
      </c>
      <c r="T159" s="5">
        <f>P48*($E48/366) + P49*($E49/366)</f>
        <v>0</v>
      </c>
      <c r="U159" s="5">
        <f>Q48*($E48/366) + Q49*($E49/366)</f>
        <v>51.9</v>
      </c>
      <c r="V159" s="9"/>
      <c r="W159" s="5">
        <f>R48*($E48/366) + R49*($E49/366)</f>
        <v>51.9</v>
      </c>
    </row>
    <row r="160" spans="1:23" x14ac:dyDescent="0.15">
      <c r="A160" s="1">
        <v>1981</v>
      </c>
      <c r="B160" s="5">
        <f>(K50*($E50/365))+(K51*($E51/365))</f>
        <v>0</v>
      </c>
      <c r="C160" s="5">
        <f>(L50*($E50/365))+(L51*($E51/365))</f>
        <v>0</v>
      </c>
      <c r="D160" s="5">
        <f>(M50*($E50/365))+(M51*($E51/365))</f>
        <v>100</v>
      </c>
      <c r="E160" s="18">
        <f t="shared" si="82"/>
        <v>100</v>
      </c>
      <c r="F160" s="4"/>
      <c r="G160" s="14">
        <v>1981</v>
      </c>
      <c r="H160" s="409">
        <f>(O50*100*($E50/365)/($O50+$P50+$Q50))+(O51*100*($E51/365)/($O51+$P51+$Q51))</f>
        <v>0</v>
      </c>
      <c r="I160" s="409"/>
      <c r="J160" s="409">
        <f>(P50*100*($E50/365)/($O50+$P50+$Q50))+(P51*100*($E51/365)/($O51+$P51+$Q51))</f>
        <v>0</v>
      </c>
      <c r="K160" s="409"/>
      <c r="L160" s="409">
        <f>(Q50*100*($E50/365)/($O50+$P50+$Q50))+(Q51*100*($E51/365)/($O51+$P51+$Q51))</f>
        <v>100</v>
      </c>
      <c r="M160" s="409"/>
      <c r="N160" s="379">
        <f t="shared" si="83"/>
        <v>100</v>
      </c>
      <c r="O160" s="379"/>
      <c r="R160" s="14">
        <v>1981</v>
      </c>
      <c r="S160" s="5">
        <f>O50*($E50/365) + O51*($E51/365)</f>
        <v>0</v>
      </c>
      <c r="T160" s="5">
        <f>P50*($E50/365) + P51*($E51/365)</f>
        <v>0</v>
      </c>
      <c r="U160" s="5">
        <f>Q50*($E50/365) + Q51*($E51/365)</f>
        <v>51.9</v>
      </c>
      <c r="V160" s="9"/>
      <c r="W160" s="5">
        <f>R50*($E50/365) + R51*($E51/365)</f>
        <v>51.9</v>
      </c>
    </row>
    <row r="161" spans="1:23" x14ac:dyDescent="0.15">
      <c r="A161" s="1">
        <v>1982</v>
      </c>
      <c r="B161" s="5">
        <f>(K52*($E52/365))+(K53*($E53/365))</f>
        <v>0</v>
      </c>
      <c r="C161" s="5">
        <f>(L52*($E52/365))+(L53*($E53/365))</f>
        <v>0</v>
      </c>
      <c r="D161" s="5">
        <f>(M52*($E52/365))+(M53*($E53/365))</f>
        <v>100</v>
      </c>
      <c r="E161" s="18">
        <f t="shared" si="82"/>
        <v>100</v>
      </c>
      <c r="F161" s="4"/>
      <c r="G161" s="14">
        <v>1982</v>
      </c>
      <c r="H161" s="409">
        <f>(O52*100*($E52/365)/($O52+$P52+$Q52))+(O53*100*($E53/365)/($O53+$P53+$Q53))</f>
        <v>0</v>
      </c>
      <c r="I161" s="409"/>
      <c r="J161" s="409">
        <f>(P52*100*($E52/365)/($O52+$P52+$Q52))+(P53*100*($E53/365)/($O53+$P53+$Q53))</f>
        <v>0</v>
      </c>
      <c r="K161" s="409"/>
      <c r="L161" s="409">
        <f>(Q52*100*($E52/365)/($O52+$P52+$Q52))+(Q53*100*($E53/365)/($O53+$P53+$Q53))</f>
        <v>100</v>
      </c>
      <c r="M161" s="409"/>
      <c r="N161" s="379">
        <f t="shared" si="83"/>
        <v>100</v>
      </c>
      <c r="O161" s="379"/>
      <c r="R161" s="14">
        <v>1982</v>
      </c>
      <c r="S161" s="5">
        <f>O52*($E52/365) + O53*($E53/365)</f>
        <v>0</v>
      </c>
      <c r="T161" s="5">
        <f>P52*($E52/365) + P53*($E53/365)</f>
        <v>0</v>
      </c>
      <c r="U161" s="5">
        <f>Q52*($E52/365) + Q53*($E53/365)</f>
        <v>51.9</v>
      </c>
      <c r="V161" s="9"/>
      <c r="W161" s="5">
        <f>R52*($E52/365) + R53*($E53/365)</f>
        <v>51.9</v>
      </c>
    </row>
    <row r="162" spans="1:23" x14ac:dyDescent="0.15">
      <c r="A162" s="1">
        <v>1983</v>
      </c>
      <c r="B162" s="5">
        <f>(K54*($E54/365))+(K55*($E55/365))</f>
        <v>12.164383561643836</v>
      </c>
      <c r="C162" s="5">
        <f>(L54*($E54/365))+(L55*($E55/365))</f>
        <v>0</v>
      </c>
      <c r="D162" s="5">
        <f>(M54*($E54/365))+(M55*($E55/365))</f>
        <v>87.835616438356169</v>
      </c>
      <c r="E162" s="18">
        <f t="shared" si="82"/>
        <v>100</v>
      </c>
      <c r="F162" s="4"/>
      <c r="G162" s="14">
        <v>1983</v>
      </c>
      <c r="H162" s="409">
        <f>(O54*100*($E54/365)/($O54+$P54+$Q54))+(O55*100*($E55/365)/($O55+$P55+$Q55))</f>
        <v>7.1939902783915155</v>
      </c>
      <c r="I162" s="409"/>
      <c r="J162" s="409">
        <f>(P54*100*($E54/365)/($O54+$P54+$Q54))+(P55*100*($E55/365)/($O55+$P55+$Q55))</f>
        <v>0</v>
      </c>
      <c r="K162" s="409"/>
      <c r="L162" s="409">
        <f>(Q54*100*($E54/365)/($O54+$P54+$Q54))+(Q55*100*($E55/365)/($O55+$P55+$Q55))</f>
        <v>92.80600972160849</v>
      </c>
      <c r="M162" s="409"/>
      <c r="N162" s="379">
        <f t="shared" si="83"/>
        <v>100</v>
      </c>
      <c r="O162" s="379"/>
      <c r="R162" s="14">
        <v>1983</v>
      </c>
      <c r="S162" s="5">
        <f>O54*($E54/365) + O55*($E55/365)</f>
        <v>4.0142465753424661</v>
      </c>
      <c r="T162" s="5">
        <f>P54*($E54/365) + P55*($E55/365)</f>
        <v>0</v>
      </c>
      <c r="U162" s="5">
        <f>Q54*($E54/365) + Q55*($E55/365)</f>
        <v>50.257808219178088</v>
      </c>
      <c r="V162" s="9"/>
      <c r="W162" s="5">
        <f>R54*($E54/365) + R55*($E55/365)</f>
        <v>54.27205479452055</v>
      </c>
    </row>
    <row r="163" spans="1:23" x14ac:dyDescent="0.15">
      <c r="A163" s="1">
        <v>1984</v>
      </c>
      <c r="B163" s="5">
        <f>(K56*($E56/366))+(K57*($E57/366))</f>
        <v>20</v>
      </c>
      <c r="C163" s="5">
        <f>(L56*($E56/366))+(L57*($E57/366))</f>
        <v>0</v>
      </c>
      <c r="D163" s="5">
        <f>(M56*($E56/366))+(M57*($E57/366))</f>
        <v>80</v>
      </c>
      <c r="E163" s="18">
        <f t="shared" si="82"/>
        <v>100</v>
      </c>
      <c r="F163" s="4"/>
      <c r="G163" s="14">
        <v>1984</v>
      </c>
      <c r="H163" s="409">
        <f>(O56*100*($E56/366)/($O56+$P56+$Q56))+(O57*100*($E57/366)/($O57+$P57+$Q57))</f>
        <v>11.82795698924731</v>
      </c>
      <c r="I163" s="409"/>
      <c r="J163" s="409">
        <f>(P56*100*($E56/366)/($O56+$P56+$Q56))+(P57*100*($E57/366)/($O57+$P57+$Q57))</f>
        <v>0</v>
      </c>
      <c r="K163" s="409"/>
      <c r="L163" s="409">
        <f>(Q56*100*($E56/366)/($O56+$P56+$Q56))+(Q57*100*($E57/366)/($O57+$P57+$Q57))</f>
        <v>88.172043010752688</v>
      </c>
      <c r="M163" s="409"/>
      <c r="N163" s="379">
        <f t="shared" si="83"/>
        <v>100</v>
      </c>
      <c r="O163" s="379"/>
      <c r="R163" s="14">
        <v>1984</v>
      </c>
      <c r="S163" s="5">
        <f>O56*($E56/366) + O57*($E57/366)</f>
        <v>6.6</v>
      </c>
      <c r="T163" s="5">
        <f>P56*($E56/366) + P57*($E57/366)</f>
        <v>0</v>
      </c>
      <c r="U163" s="5">
        <f>Q56*($E56/366) + Q57*($E57/366)</f>
        <v>49.2</v>
      </c>
      <c r="V163" s="9"/>
      <c r="W163" s="5">
        <f>R56*($E56/366) + R57*($E57/366)</f>
        <v>55.800000000000004</v>
      </c>
    </row>
    <row r="164" spans="1:23" x14ac:dyDescent="0.15">
      <c r="A164" s="1">
        <v>1985</v>
      </c>
      <c r="B164" s="5">
        <f>(K58*($E58/365))+(K59*($E59/365))</f>
        <v>20</v>
      </c>
      <c r="C164" s="5">
        <f>(L58*($E58/365))+(L59*($E59/365))</f>
        <v>0</v>
      </c>
      <c r="D164" s="5">
        <f>(M58*($E58/365))+(M59*($E59/365))</f>
        <v>80</v>
      </c>
      <c r="E164" s="18">
        <f t="shared" si="82"/>
        <v>100</v>
      </c>
      <c r="F164" s="4"/>
      <c r="G164" s="14">
        <v>1985</v>
      </c>
      <c r="H164" s="409">
        <f>(O58*100*($E58/365)/($O58+$P58+$Q58))+(O59*100*($E59/365)/($O59+$P59+$Q59))</f>
        <v>11.82795698924731</v>
      </c>
      <c r="I164" s="409"/>
      <c r="J164" s="409">
        <f>(P58*100*($E58/365)/($O58+$P58+$Q58))+(P59*100*($E59/365)/($O59+$P59+$Q59))</f>
        <v>0</v>
      </c>
      <c r="K164" s="409"/>
      <c r="L164" s="409">
        <f>(Q58*100*($E58/365)/($O58+$P58+$Q58))+(Q59*100*($E59/365)/($O59+$P59+$Q59))</f>
        <v>88.172043010752688</v>
      </c>
      <c r="M164" s="409"/>
      <c r="N164" s="379">
        <f t="shared" si="83"/>
        <v>100</v>
      </c>
      <c r="O164" s="379"/>
      <c r="R164" s="14">
        <v>1985</v>
      </c>
      <c r="S164" s="5">
        <f>O58*($E58/365) + O59*($E59/365)</f>
        <v>6.6</v>
      </c>
      <c r="T164" s="5">
        <f>P58*($E58/365) + P59*($E59/365)</f>
        <v>0</v>
      </c>
      <c r="U164" s="5">
        <f>Q58*($E58/365) + Q59*($E59/365)</f>
        <v>49.2</v>
      </c>
      <c r="V164" s="9"/>
      <c r="W164" s="5">
        <f>R58*($E58/365) + R59*($E59/365)</f>
        <v>55.800000000000004</v>
      </c>
    </row>
    <row r="165" spans="1:23" x14ac:dyDescent="0.15">
      <c r="A165" s="1">
        <v>1986</v>
      </c>
      <c r="B165" s="5">
        <f>(K60*($E60/365))+(K61*($E61/365))</f>
        <v>19.31849315068493</v>
      </c>
      <c r="C165" s="5">
        <f>(L60*($E60/365))+(L61*($E61/365))</f>
        <v>0</v>
      </c>
      <c r="D165" s="5">
        <f>(M60*($E60/365))+(M61*($E61/365))</f>
        <v>80.68150684931507</v>
      </c>
      <c r="E165" s="18">
        <f t="shared" si="82"/>
        <v>100</v>
      </c>
      <c r="F165" s="4"/>
      <c r="G165" s="14">
        <v>1986</v>
      </c>
      <c r="H165" s="409">
        <f>(O60*100*($E60/365)/($O60+$P60+$Q60))+(O61*100*($E61/365)/($O61+$P61+$Q61))</f>
        <v>11.827956989247312</v>
      </c>
      <c r="I165" s="409"/>
      <c r="J165" s="409">
        <f>(P60*100*($E60/365)/($O60+$P60+$Q60))+(P61*100*($E61/365)/($O61+$P61+$Q61))</f>
        <v>0</v>
      </c>
      <c r="K165" s="409"/>
      <c r="L165" s="409">
        <f>(Q60*100*($E60/365)/($O60+$P60+$Q60))+(Q61*100*($E61/365)/($O61+$P61+$Q61))</f>
        <v>88.172043010752674</v>
      </c>
      <c r="M165" s="409"/>
      <c r="N165" s="379">
        <f t="shared" si="83"/>
        <v>99.999999999999986</v>
      </c>
      <c r="O165" s="379"/>
      <c r="R165" s="14">
        <v>1986</v>
      </c>
      <c r="S165" s="5">
        <f>O60*($E60/365) + O61*($E61/365)</f>
        <v>6.6</v>
      </c>
      <c r="T165" s="5">
        <f>P60*($E60/365) + P61*($E61/365)</f>
        <v>0</v>
      </c>
      <c r="U165" s="5">
        <f>Q60*($E60/365) + Q61*($E61/365)</f>
        <v>49.2</v>
      </c>
      <c r="V165" s="9"/>
      <c r="W165" s="5">
        <f>R60*($E60/365) + R61*($E61/365)</f>
        <v>55.800000000000004</v>
      </c>
    </row>
    <row r="166" spans="1:23" x14ac:dyDescent="0.15">
      <c r="A166" s="1">
        <v>1987</v>
      </c>
      <c r="B166" s="5">
        <f>(K62*($E62/365))+(K63*($E63/365))</f>
        <v>1.0273972602739725</v>
      </c>
      <c r="C166" s="5">
        <f>(L62*($E62/365))+(L63*($E63/365))</f>
        <v>44.109589041095887</v>
      </c>
      <c r="D166" s="5">
        <f>(M62*($E62/365))+(M63*($E63/365))</f>
        <v>48.561643835616437</v>
      </c>
      <c r="E166" s="18">
        <f t="shared" si="82"/>
        <v>93.698630136986296</v>
      </c>
      <c r="F166" s="4"/>
      <c r="G166" s="14">
        <v>1987</v>
      </c>
      <c r="H166" s="409">
        <f>(O62*100*($E62/365)/($O62+$P62+$Q62))+(O63*100*($E63/365)/($O63+$P63+$Q63))</f>
        <v>0.64810723228752376</v>
      </c>
      <c r="I166" s="409"/>
      <c r="J166" s="409">
        <f>(P62*100*($E62/365)/($O62+$P62+$Q62))+(P63*100*($E63/365)/($O63+$P63+$Q63))</f>
        <v>46.378963502251167</v>
      </c>
      <c r="K166" s="409"/>
      <c r="L166" s="409">
        <f>(Q62*100*($E62/365)/($O62+$P62+$Q62))+(Q63*100*($E63/365)/($O63+$P63+$Q63))</f>
        <v>52.972929265461303</v>
      </c>
      <c r="M166" s="409"/>
      <c r="N166" s="379">
        <f t="shared" si="83"/>
        <v>100</v>
      </c>
      <c r="O166" s="379"/>
      <c r="R166" s="14">
        <v>1987</v>
      </c>
      <c r="S166" s="5">
        <f>O62*($E62/365) + O63*($E63/365)</f>
        <v>0.36164383561643831</v>
      </c>
      <c r="T166" s="5">
        <f>P62*($E62/365) + P63*($E63/365)</f>
        <v>39.793150684931511</v>
      </c>
      <c r="U166" s="5">
        <f>Q62*($E62/365) + Q63*($E63/365)</f>
        <v>44.0013698630137</v>
      </c>
      <c r="V166" s="9"/>
      <c r="W166" s="5">
        <f>R62*($E62/365) + R63*($E63/365)</f>
        <v>84.156164383561659</v>
      </c>
    </row>
    <row r="167" spans="1:23" x14ac:dyDescent="0.15">
      <c r="A167" s="1">
        <v>1988</v>
      </c>
      <c r="B167" s="5">
        <f>(K64*($E64/366))+(K65*($E65/366))</f>
        <v>0</v>
      </c>
      <c r="C167" s="5">
        <f>(L64*($E64/366))+(L65*($E65/366))</f>
        <v>46.666666666666664</v>
      </c>
      <c r="D167" s="5">
        <f>(M64*($E64/366))+(M65*($E65/366))</f>
        <v>46.666666666666664</v>
      </c>
      <c r="E167" s="18">
        <f t="shared" si="82"/>
        <v>93.333333333333329</v>
      </c>
      <c r="F167" s="4"/>
      <c r="G167" s="14">
        <v>1988</v>
      </c>
      <c r="H167" s="409">
        <f>(O64*100*($E64/366)/($O64+$P64+$Q64))+(O65*100*($E65/366)/($O65+$P65+$Q65))</f>
        <v>0</v>
      </c>
      <c r="I167" s="409"/>
      <c r="J167" s="409">
        <f>(P64*100*($E64/366)/($O64+$P64+$Q64))+(P65*100*($E65/366)/($O65+$P65+$Q65))</f>
        <v>49.067599067599062</v>
      </c>
      <c r="K167" s="409"/>
      <c r="L167" s="409">
        <f>(Q64*100*($E64/366)/($O64+$P64+$Q64))+(Q65*100*($E65/366)/($O65+$P65+$Q65))</f>
        <v>50.932400932400924</v>
      </c>
      <c r="M167" s="409"/>
      <c r="N167" s="379">
        <f t="shared" si="83"/>
        <v>99.999999999999986</v>
      </c>
      <c r="O167" s="379"/>
      <c r="R167" s="14">
        <v>1988</v>
      </c>
      <c r="S167" s="5">
        <f>O64*($E64/366) + O65*($E65/366)</f>
        <v>0</v>
      </c>
      <c r="T167" s="5">
        <f>P64*($E64/366) + P65*($E65/366)</f>
        <v>42.1</v>
      </c>
      <c r="U167" s="5">
        <f>Q64*($E64/366) + Q65*($E65/366)</f>
        <v>43.7</v>
      </c>
      <c r="V167" s="9"/>
      <c r="W167" s="5">
        <f>R64*($E64/366) + R65*($E65/366)</f>
        <v>85.800000000000011</v>
      </c>
    </row>
    <row r="168" spans="1:23" s="3" customFormat="1" x14ac:dyDescent="0.15">
      <c r="A168" s="3">
        <v>1989</v>
      </c>
      <c r="B168" s="8">
        <f>(K66*($E66/365))+(K67*($E67/365))</f>
        <v>0</v>
      </c>
      <c r="C168" s="8">
        <f>(L65*($E65/365))+(L66*($E66/365))</f>
        <v>46.794520547945204</v>
      </c>
      <c r="D168" s="8">
        <f>(M65*($E65/365))+(M66*($E66/365))</f>
        <v>46.794520547945204</v>
      </c>
      <c r="E168" s="19">
        <f t="shared" si="82"/>
        <v>93.589041095890408</v>
      </c>
      <c r="F168" s="13"/>
      <c r="G168" s="15">
        <v>1989</v>
      </c>
      <c r="H168" s="413">
        <f>(O66*100*($E66/365)/($O66+$P66+$Q66))+(O67*100*($E67/365)/($O67+$P67+$Q67))</f>
        <v>0</v>
      </c>
      <c r="I168" s="413"/>
      <c r="J168" s="413">
        <f>(P66*100*($E66/365)/($O66+$P66+$Q66))+(P67*100*($E67/365)/($O67+$P67+$Q67))</f>
        <v>49.067599067599062</v>
      </c>
      <c r="K168" s="413"/>
      <c r="L168" s="413">
        <f>(Q66*100*($E66/365)/($O66+$P66+$Q66))+(Q67*100*($E67/365)/($O67+$P67+$Q67))</f>
        <v>50.932400932400924</v>
      </c>
      <c r="M168" s="413"/>
      <c r="N168" s="386">
        <f t="shared" si="83"/>
        <v>99.999999999999986</v>
      </c>
      <c r="O168" s="386"/>
      <c r="R168" s="15">
        <v>1989</v>
      </c>
      <c r="S168" s="8">
        <f>O66*($E66/365) + O67*($E67/365)</f>
        <v>0</v>
      </c>
      <c r="T168" s="8">
        <f>P66*($E66/365) + P67*($E67/365)</f>
        <v>42.1</v>
      </c>
      <c r="U168" s="8">
        <f>Q66*($E66/365) + Q67*($E67/365)</f>
        <v>43.7</v>
      </c>
      <c r="V168" s="21"/>
      <c r="W168" s="8">
        <f>R66*($E66/365) + R67*($E67/365)</f>
        <v>85.800000000000011</v>
      </c>
    </row>
    <row r="169" spans="1:23" x14ac:dyDescent="0.15">
      <c r="A169" s="1">
        <v>1990</v>
      </c>
      <c r="B169" s="5">
        <f>(K68*(E68/365))+(K69*(E69/365))</f>
        <v>0</v>
      </c>
      <c r="C169" s="5">
        <f>(L68*(E68/365))+(L69*(E69/365))</f>
        <v>46.714746172441579</v>
      </c>
      <c r="D169" s="5">
        <f>(M68*(E68/365))+(M69*(E69/365))</f>
        <v>46.714746172441579</v>
      </c>
      <c r="E169" s="18">
        <f t="shared" ref="E169:E195" si="84">SUM(B169:D169)</f>
        <v>93.429492344883158</v>
      </c>
      <c r="F169" s="4"/>
      <c r="G169" s="1">
        <v>1990</v>
      </c>
      <c r="H169" s="409">
        <f>(O68*100*(E68/365)/(O68+P68+Q68))+(O69*100*(E69/365)/(O69+P69+Q69))</f>
        <v>0</v>
      </c>
      <c r="I169" s="409"/>
      <c r="J169" s="409">
        <f>(P68*100*(E68/365)/(P68+Q68+O68))+(P69*100*(E69/365)/(P69+Q69+O69))</f>
        <v>48.813142270031868</v>
      </c>
      <c r="K169" s="409"/>
      <c r="L169" s="409">
        <f>(Q68*100*(E68/365)/(Q68+P68+O68))+(Q69*100*(E69/365)/(Q69+P69+O69))</f>
        <v>51.186857729968111</v>
      </c>
      <c r="M169" s="409"/>
      <c r="N169" s="379">
        <f t="shared" si="83"/>
        <v>99.999999999999972</v>
      </c>
      <c r="O169" s="379"/>
      <c r="R169" s="1">
        <v>1990</v>
      </c>
      <c r="S169" s="5">
        <f>O68*($E68/365) + O69*($E69/365)</f>
        <v>0</v>
      </c>
      <c r="T169" s="5">
        <f>P68*($E68/365) + P69*($E69/365)</f>
        <v>41.717808219178082</v>
      </c>
      <c r="U169" s="5">
        <f>Q68*($E68/365) + Q69*($E69/365)</f>
        <v>43.7</v>
      </c>
      <c r="V169" s="9"/>
      <c r="W169" s="5">
        <f>R68*($E68/365) + R69*($E69/365)</f>
        <v>85.417808219178085</v>
      </c>
    </row>
    <row r="170" spans="1:23" x14ac:dyDescent="0.15">
      <c r="A170" s="1">
        <v>1991</v>
      </c>
      <c r="B170" s="5">
        <f>(K70*(E70/365))+(K71*(E71/365))</f>
        <v>0</v>
      </c>
      <c r="C170" s="5">
        <f>(L70*(E70/365))+(L71*(E71/365))</f>
        <v>47.058823529411761</v>
      </c>
      <c r="D170" s="5">
        <f>(M70*(E70/365))+(M71*(E71/365))</f>
        <v>47.058823529411761</v>
      </c>
      <c r="E170" s="18">
        <f t="shared" si="84"/>
        <v>94.117647058823522</v>
      </c>
      <c r="F170" s="4"/>
      <c r="G170" s="1">
        <v>1991</v>
      </c>
      <c r="H170" s="409">
        <f>(O70*100*(E70/365)/(O70+P70+Q70))+(O71*100*(E71/365)/(O71+P71+Q71))</f>
        <v>0</v>
      </c>
      <c r="I170" s="409"/>
      <c r="J170" s="409">
        <f>(P70*100*(E70/365)/(P70+Q70+O70))+(P71*100*(E71/365)/(P71+Q71+O71))</f>
        <v>42.875816993464049</v>
      </c>
      <c r="K170" s="409"/>
      <c r="L170" s="409">
        <f>(Q70*100*(E70/365)/(Q70+P70+O70))+(Q71*100*(E71/365)/(Q71+P71+O71))</f>
        <v>57.124183006535951</v>
      </c>
      <c r="M170" s="409"/>
      <c r="N170" s="379">
        <f t="shared" si="83"/>
        <v>100</v>
      </c>
      <c r="O170" s="379"/>
      <c r="R170" s="1">
        <v>1991</v>
      </c>
      <c r="S170" s="5">
        <f>O70*($E70/365) + O71*($E71/365)</f>
        <v>0</v>
      </c>
      <c r="T170" s="5">
        <f>P70*($E70/365) + P71*($E71/365)</f>
        <v>32.799999999999997</v>
      </c>
      <c r="U170" s="5">
        <f>Q70*($E70/365) + Q71*($E71/365)</f>
        <v>43.7</v>
      </c>
      <c r="V170" s="9"/>
      <c r="W170" s="5">
        <f>R70*($E70/365) + R71*($E71/365)</f>
        <v>76.5</v>
      </c>
    </row>
    <row r="171" spans="1:23" x14ac:dyDescent="0.15">
      <c r="A171" s="1">
        <v>1992</v>
      </c>
      <c r="B171" s="5">
        <f>(K72*(E72/366))+(K73*(E73/366))</f>
        <v>0</v>
      </c>
      <c r="C171" s="5">
        <f>(L72*(E72/366))+(L73*(E73/366))</f>
        <v>43.75</v>
      </c>
      <c r="D171" s="5">
        <f>(M72*(E72/366))+(M73*(E73/366))</f>
        <v>50</v>
      </c>
      <c r="E171" s="18">
        <f t="shared" si="84"/>
        <v>93.75</v>
      </c>
      <c r="F171" s="4"/>
      <c r="G171" s="1">
        <v>1992</v>
      </c>
      <c r="H171" s="409">
        <f>(O72*100*(E72/366)/(O72+P72+Q72))+(O73*100*(E73/366)/(O73+P73+Q73))</f>
        <v>0</v>
      </c>
      <c r="I171" s="409"/>
      <c r="J171" s="409">
        <f>(P72*100*(E72/366)/(P72+Q72+O72))+(P73*100*(E73/366)/(P73+Q73+O73))</f>
        <v>42.875816993464049</v>
      </c>
      <c r="K171" s="409"/>
      <c r="L171" s="409">
        <f>(Q72*100*(E72/366)/(Q72+P72+O72))+(Q73*100*(E73/366)/(Q73+P73+O73))</f>
        <v>57.124183006535951</v>
      </c>
      <c r="M171" s="409"/>
      <c r="N171" s="379">
        <f t="shared" si="83"/>
        <v>100</v>
      </c>
      <c r="O171" s="379"/>
      <c r="R171" s="1">
        <v>1992</v>
      </c>
      <c r="S171" s="5">
        <f>O72*($E72/366) + O73*($E73/366)</f>
        <v>0</v>
      </c>
      <c r="T171" s="5">
        <f>P72*($E72/366) + P73*($E73/366)</f>
        <v>32.799999999999997</v>
      </c>
      <c r="U171" s="5">
        <f>Q72*($E72/366) + Q73*($E73/366)</f>
        <v>43.7</v>
      </c>
      <c r="V171" s="9"/>
      <c r="W171" s="5">
        <f>R72*($E72/366) + R73*($E73/366)</f>
        <v>76.5</v>
      </c>
    </row>
    <row r="172" spans="1:23" x14ac:dyDescent="0.15">
      <c r="A172" s="1">
        <v>1993</v>
      </c>
      <c r="B172" s="5">
        <f>(K74*(E74/365))+(K75*(E75/365))</f>
        <v>0</v>
      </c>
      <c r="C172" s="5">
        <f>(L74*(E74/365))+(L75*(E75/365))</f>
        <v>43.75</v>
      </c>
      <c r="D172" s="5">
        <f>(M74*(E74/365))+(M75*(E75/365))</f>
        <v>50</v>
      </c>
      <c r="E172" s="18">
        <f t="shared" si="84"/>
        <v>93.75</v>
      </c>
      <c r="F172" s="4"/>
      <c r="G172" s="1">
        <v>1993</v>
      </c>
      <c r="H172" s="409">
        <f>(O74*100*(E74/365)/(O74+P74+Q74))+(O75*100*(E75/365)/(O75+P75+Q75))</f>
        <v>0</v>
      </c>
      <c r="I172" s="409"/>
      <c r="J172" s="409">
        <f>(P74*100*(E74/365)/(P74+Q74+O74))+(P75*100*(E75/365)/(P75+Q75+O75))</f>
        <v>42.875816993464049</v>
      </c>
      <c r="K172" s="409"/>
      <c r="L172" s="409">
        <f>(Q74*100*(E74/365)/(Q74+P74+O74))+(Q75*100*(E75/365)/(Q75+P75+O75))</f>
        <v>57.124183006535951</v>
      </c>
      <c r="M172" s="409"/>
      <c r="N172" s="379">
        <f t="shared" si="83"/>
        <v>100</v>
      </c>
      <c r="O172" s="379"/>
      <c r="R172" s="1">
        <v>1993</v>
      </c>
      <c r="S172" s="5">
        <f>O74*($E74/365) + O75*($E75/365)</f>
        <v>0</v>
      </c>
      <c r="T172" s="5">
        <f>P74*($E74/365) + P75*($E75/365)</f>
        <v>32.799999999999997</v>
      </c>
      <c r="U172" s="5">
        <f>Q74*($E74/365) + Q75*($E75/365)</f>
        <v>43.7</v>
      </c>
      <c r="V172" s="9"/>
      <c r="W172" s="5">
        <f>R74*($E74/365) + R75*($E75/365)</f>
        <v>76.5</v>
      </c>
    </row>
    <row r="173" spans="1:23" x14ac:dyDescent="0.15">
      <c r="A173" s="1">
        <v>1994</v>
      </c>
      <c r="B173" s="5">
        <f>(K76*(E76/365))+(K77*(E77/365))</f>
        <v>0</v>
      </c>
      <c r="C173" s="5">
        <f>(L76*(E76/365))+(L77*(E77/365))</f>
        <v>43.75</v>
      </c>
      <c r="D173" s="5">
        <f>(M76*(E76/365))+(M77*(E77/365))</f>
        <v>50</v>
      </c>
      <c r="E173" s="18">
        <f t="shared" si="84"/>
        <v>93.75</v>
      </c>
      <c r="F173" s="4"/>
      <c r="G173" s="1">
        <v>1994</v>
      </c>
      <c r="H173" s="409">
        <f>(O76*100*(E76/365)/(O76+P76+Q76))+(O77*100*(E77/365)/(O77+P77+Q77))</f>
        <v>0</v>
      </c>
      <c r="I173" s="409"/>
      <c r="J173" s="409">
        <f>(P76*100*(E76/365)/(P76+Q76+O76))+(P77*100*(E77/365)/(P77+Q77+O77))</f>
        <v>43.017638105470496</v>
      </c>
      <c r="K173" s="409"/>
      <c r="L173" s="409">
        <f>(Q76*100*(E76/365)/(Q76+P76+O76))+(Q77*100*(E77/365)/(Q77+P77+O77))</f>
        <v>56.982361894529504</v>
      </c>
      <c r="M173" s="409"/>
      <c r="N173" s="379">
        <f t="shared" si="83"/>
        <v>100</v>
      </c>
      <c r="O173" s="379"/>
      <c r="R173" s="1">
        <v>1994</v>
      </c>
      <c r="S173" s="5">
        <f>O76*($E76/365) + O77*($E77/365)</f>
        <v>0</v>
      </c>
      <c r="T173" s="5">
        <f>P76*($E76/365) + P77*($E77/365)</f>
        <v>32.402191780821916</v>
      </c>
      <c r="U173" s="5">
        <f>Q76*($E76/365) + Q77*($E77/365)</f>
        <v>42.958630136986301</v>
      </c>
      <c r="V173" s="9"/>
      <c r="W173" s="5">
        <f>R76*($E76/365) + R77*($E77/365)</f>
        <v>75.360821917808224</v>
      </c>
    </row>
    <row r="174" spans="1:23" x14ac:dyDescent="0.15">
      <c r="A174" s="1">
        <v>1995</v>
      </c>
      <c r="B174" s="5">
        <f>(K78*(E78/365))+(K79*(E79/365))</f>
        <v>0</v>
      </c>
      <c r="C174" s="5">
        <f>(L78*(E78/365))+(L79*(E79/365))</f>
        <v>43.75</v>
      </c>
      <c r="D174" s="5">
        <f>(M78*(E78/365))+(M79*(E79/365))</f>
        <v>50</v>
      </c>
      <c r="E174" s="18">
        <f t="shared" si="84"/>
        <v>93.75</v>
      </c>
      <c r="F174" s="4"/>
      <c r="G174" s="1">
        <v>1995</v>
      </c>
      <c r="H174" s="409">
        <f>(O78*100*(E78/365)/(O78+P78+Q78))+(O79*100*(E79/365)/(O79+P79+Q79))</f>
        <v>0</v>
      </c>
      <c r="I174" s="409"/>
      <c r="J174" s="409">
        <f>(P78*100*(E78/365)/(P78+Q78+O78))+(P79*100*(E79/365)/(P79+Q79+O79))</f>
        <v>44.444444444444443</v>
      </c>
      <c r="K174" s="409"/>
      <c r="L174" s="409">
        <f>(Q78*100*(E78/365)/(Q78+P78+O78))+(Q79*100*(E79/365)/(Q79+P79+O79))</f>
        <v>55.555555555555557</v>
      </c>
      <c r="M174" s="409"/>
      <c r="N174" s="379">
        <f t="shared" si="83"/>
        <v>100</v>
      </c>
      <c r="O174" s="379"/>
      <c r="R174" s="1">
        <v>1995</v>
      </c>
      <c r="S174" s="5">
        <f>O78*($E78/365) + O79*($E79/365)</f>
        <v>0</v>
      </c>
      <c r="T174" s="5">
        <f>P78*($E78/365) + P79*($E79/365)</f>
        <v>28.4</v>
      </c>
      <c r="U174" s="5">
        <f>Q78*($E78/365) + Q79*($E79/365)</f>
        <v>35.5</v>
      </c>
      <c r="V174" s="9"/>
      <c r="W174" s="5">
        <f>R78*($E78/365) + R79*($E79/365)</f>
        <v>63.9</v>
      </c>
    </row>
    <row r="175" spans="1:23" x14ac:dyDescent="0.15">
      <c r="A175" s="1">
        <v>1996</v>
      </c>
      <c r="B175" s="5">
        <f>(K80*(E80/366))+(K81*(E81/366))</f>
        <v>0</v>
      </c>
      <c r="C175" s="5">
        <f>(L80*(E80/366))+(L81*(E81/366))</f>
        <v>43.030347384855574</v>
      </c>
      <c r="D175" s="5">
        <f>(M80*(E80/366))+(M81*(E81/366))</f>
        <v>50</v>
      </c>
      <c r="E175" s="18">
        <f t="shared" si="84"/>
        <v>93.030347384855574</v>
      </c>
      <c r="F175" s="4"/>
      <c r="G175" s="1">
        <v>1996</v>
      </c>
      <c r="H175" s="409">
        <f>(O80*100*(E80/366)/(O80+P80+Q80))+(O81*100*(E81/366)/(O81+P81+Q81))</f>
        <v>0</v>
      </c>
      <c r="I175" s="409"/>
      <c r="J175" s="409">
        <f>(P80*100*(E80/366)/(P80+Q80+O80))+(P81*100*(E81/366)/(P81+Q81+O81))</f>
        <v>42.685293607424761</v>
      </c>
      <c r="K175" s="409"/>
      <c r="L175" s="409">
        <f>(Q80*100*(E80/366)/(Q80+P80+O80))+(Q81*100*(E81/366)/(Q81+P81+O81))</f>
        <v>57.314706392575253</v>
      </c>
      <c r="M175" s="409"/>
      <c r="N175" s="379">
        <f t="shared" si="83"/>
        <v>100.00000000000001</v>
      </c>
      <c r="O175" s="379"/>
      <c r="R175" s="1">
        <v>1996</v>
      </c>
      <c r="S175" s="5">
        <f>O80*($E80/366) + O81*($E81/366)</f>
        <v>0</v>
      </c>
      <c r="T175" s="5">
        <f>P80*($E80/366) + P81*($E81/366)</f>
        <v>28.4</v>
      </c>
      <c r="U175" s="5">
        <f>Q80*($E80/366) + Q81*($E81/366)</f>
        <v>38.159836065573771</v>
      </c>
      <c r="V175" s="9"/>
      <c r="W175" s="5">
        <f>R80*($E80/366) + R81*($E81/366)</f>
        <v>66.559836065573762</v>
      </c>
    </row>
    <row r="176" spans="1:23" x14ac:dyDescent="0.15">
      <c r="A176" s="1">
        <v>1997</v>
      </c>
      <c r="B176" s="5">
        <f>(K82*(E82/365))+(K83*(E83/365))</f>
        <v>0</v>
      </c>
      <c r="C176" s="5">
        <f>(L82*(E82/365))+(L83*(E83/365))</f>
        <v>45.909980430528378</v>
      </c>
      <c r="D176" s="5">
        <f>(M82*(E82/365))+(M83*(E83/365))</f>
        <v>46.438356164383563</v>
      </c>
      <c r="E176" s="18">
        <f t="shared" si="84"/>
        <v>92.348336594911942</v>
      </c>
      <c r="F176" s="4"/>
      <c r="G176" s="1">
        <v>1997</v>
      </c>
      <c r="H176" s="409">
        <f>(O82*100*(E82/365)/(O82+P82+Q82))+(O83*100*(E83/365)/(O83+P83+Q83))</f>
        <v>0</v>
      </c>
      <c r="I176" s="409"/>
      <c r="J176" s="409">
        <f>(P82*100*(E82/365)/(P82+Q82+O82))+(P83*100*(E83/365)/(P83+Q83+O83))</f>
        <v>42.261904761904766</v>
      </c>
      <c r="K176" s="409"/>
      <c r="L176" s="409">
        <f>(Q82*100*(E82/365)/(Q82+P82+O82))+(Q83*100*(E83/365)/(Q83+P83+O83))</f>
        <v>57.738095238095234</v>
      </c>
      <c r="M176" s="409"/>
      <c r="N176" s="379">
        <f t="shared" si="83"/>
        <v>100</v>
      </c>
      <c r="O176" s="379"/>
      <c r="R176" s="1">
        <v>1997</v>
      </c>
      <c r="S176" s="5">
        <f>O82*($E82/365) + O83*($E83/365)</f>
        <v>0</v>
      </c>
      <c r="T176" s="5">
        <f>P82*($E82/365) + P83*($E83/365)</f>
        <v>28.4</v>
      </c>
      <c r="U176" s="5">
        <f>Q82*($E82/365) + Q83*($E83/365)</f>
        <v>38.799999999999997</v>
      </c>
      <c r="V176" s="9"/>
      <c r="W176" s="5">
        <f>R82*($E82/365) + R83*($E83/365)</f>
        <v>67.199999999999989</v>
      </c>
    </row>
    <row r="177" spans="1:24" x14ac:dyDescent="0.15">
      <c r="A177" s="1">
        <v>1998</v>
      </c>
      <c r="B177" s="5">
        <f>(K84*(E84/365))+(K85*(E85/365))</f>
        <v>0</v>
      </c>
      <c r="C177" s="5">
        <f>(L84*(E84/365))+(L85*(E85/365))</f>
        <v>46.153846153846153</v>
      </c>
      <c r="D177" s="5">
        <f>(M84*(E84/365))+(M85*(E85/365))</f>
        <v>46.153846153846153</v>
      </c>
      <c r="E177" s="18">
        <f t="shared" si="84"/>
        <v>92.307692307692307</v>
      </c>
      <c r="F177" s="4"/>
      <c r="G177" s="1">
        <v>1998</v>
      </c>
      <c r="H177" s="409">
        <f>(O84*100*(E84/365)/(O84+P84+Q84))+(O85*100*(E85/365)/(O85+P85+Q85))</f>
        <v>0</v>
      </c>
      <c r="I177" s="409"/>
      <c r="J177" s="409">
        <f>(P84*100*(E84/365)/(P84+Q84+O84))+(P85*100*(E85/365)/(P85+Q85+O85))</f>
        <v>42.261904761904766</v>
      </c>
      <c r="K177" s="409"/>
      <c r="L177" s="409">
        <f>(Q84*100*(E84/365)/(Q84+P84+O84))+(Q85*100*(E85/365)/(Q85+P85+O85))</f>
        <v>57.738095238095241</v>
      </c>
      <c r="M177" s="409"/>
      <c r="N177" s="379">
        <f t="shared" si="83"/>
        <v>100</v>
      </c>
      <c r="O177" s="379"/>
      <c r="R177" s="1">
        <v>1998</v>
      </c>
      <c r="S177" s="5">
        <f>O84*($E84/365) + O85*($E85/365)</f>
        <v>0</v>
      </c>
      <c r="T177" s="5">
        <f>P84*($E84/365) + P85*($E85/365)</f>
        <v>28.4</v>
      </c>
      <c r="U177" s="5">
        <f>Q84*($E84/365) + Q85*($E85/365)</f>
        <v>38.799999999999997</v>
      </c>
      <c r="V177" s="9"/>
      <c r="W177" s="5">
        <f>R84*($E84/365) + R85*($E85/365)</f>
        <v>67.199999999999989</v>
      </c>
    </row>
    <row r="178" spans="1:24" x14ac:dyDescent="0.15">
      <c r="A178" s="1">
        <v>1999</v>
      </c>
      <c r="B178" s="5">
        <f>(K86*(E86/365))+(K87*(E87/365))</f>
        <v>0</v>
      </c>
      <c r="C178" s="5">
        <f>(L86*(E86/365))+(L87*(E87/365))</f>
        <v>46.153846153846153</v>
      </c>
      <c r="D178" s="5">
        <f>(M86*(E86/365))+(M87*(E87/365))</f>
        <v>46.153846153846153</v>
      </c>
      <c r="E178" s="18">
        <f t="shared" si="84"/>
        <v>92.307692307692307</v>
      </c>
      <c r="F178" s="4"/>
      <c r="G178" s="1">
        <v>1999</v>
      </c>
      <c r="H178" s="409">
        <f>(O86*100*(E86/365)/(O86+P86+Q86))+(O87*100*(E87/365)/(O87+P87+Q87))</f>
        <v>0</v>
      </c>
      <c r="I178" s="409"/>
      <c r="J178" s="409">
        <f>(P86*100*(E86/365)/(P86+Q86+O86))+(P87*100*(E87/365)/(P87+Q87+O87))</f>
        <v>42.261904761904766</v>
      </c>
      <c r="K178" s="409"/>
      <c r="L178" s="409">
        <f>(Q86*100*(E86/365)/(Q86+P86+O86))+(Q87*100*(E87/365)/(Q87+P87+O87))</f>
        <v>57.738095238095241</v>
      </c>
      <c r="M178" s="409"/>
      <c r="N178" s="379">
        <f t="shared" si="83"/>
        <v>100</v>
      </c>
      <c r="O178" s="379"/>
      <c r="R178" s="1">
        <v>1999</v>
      </c>
      <c r="S178" s="5">
        <f>O86*($E86/365) + O87*($E87/365)</f>
        <v>0</v>
      </c>
      <c r="T178" s="5">
        <f>P86*($E86/365) + P87*($E87/365)</f>
        <v>28.4</v>
      </c>
      <c r="U178" s="5">
        <f>Q86*($E86/365) + Q87*($E87/365)</f>
        <v>38.799999999999997</v>
      </c>
      <c r="V178" s="9"/>
      <c r="W178" s="5">
        <f>R86*($E86/365) + R87*($E87/365)</f>
        <v>67.199999999999989</v>
      </c>
    </row>
    <row r="179" spans="1:24" x14ac:dyDescent="0.15">
      <c r="A179" s="1">
        <v>2000</v>
      </c>
      <c r="B179" s="5">
        <f>(K88*(E88/366))+(K89*(E89/366))</f>
        <v>45.355191256830601</v>
      </c>
      <c r="C179" s="5">
        <f>(L88*(E88/366))+(L89*(E89/366))</f>
        <v>49.642707019756202</v>
      </c>
      <c r="D179" s="5">
        <f>(M88*(E88/366))+(M89*(E89/366))</f>
        <v>4.2875157629255991</v>
      </c>
      <c r="E179" s="18">
        <f t="shared" si="84"/>
        <v>99.285414039512389</v>
      </c>
      <c r="F179" s="4"/>
      <c r="G179" s="1">
        <v>2000</v>
      </c>
      <c r="H179" s="409">
        <f>(O88*100*(E88/366)/(O88+P88+Q88))+(O89*100*(E89/366)/(O89+P89+Q89))</f>
        <v>45.355191256830608</v>
      </c>
      <c r="I179" s="409"/>
      <c r="J179" s="409">
        <f>(P88*100*(E88/366)/(P88+Q88+O88))+(P89*100*(E89/366)/(P89+Q89+O89))</f>
        <v>49.281160551652363</v>
      </c>
      <c r="K179" s="409"/>
      <c r="L179" s="409">
        <f>(Q88*100*(E88/366)/(Q88+P88+O88))+(Q89*100*(E89/366)/(Q89+P89+O89))</f>
        <v>5.3636481915170453</v>
      </c>
      <c r="M179" s="409"/>
      <c r="N179" s="379">
        <f t="shared" si="83"/>
        <v>100.00000000000001</v>
      </c>
      <c r="O179" s="379"/>
      <c r="R179" s="1">
        <v>2000</v>
      </c>
      <c r="S179" s="5">
        <f>O88*($E88/366) + O89*($E89/366)</f>
        <v>25.76174863387978</v>
      </c>
      <c r="T179" s="5">
        <f>P88*($E88/366) + P89*($E89/366)</f>
        <v>28.4</v>
      </c>
      <c r="U179" s="5">
        <f>Q88*($E88/366) + Q89*($E89/366)</f>
        <v>3.6043715846994537</v>
      </c>
      <c r="V179" s="9"/>
      <c r="W179" s="5">
        <f>R88*($E88/366) + R89*($E89/366)</f>
        <v>57.766120218579232</v>
      </c>
    </row>
    <row r="180" spans="1:24" x14ac:dyDescent="0.15">
      <c r="A180" s="1">
        <v>2001</v>
      </c>
      <c r="B180" s="5">
        <f>(K90*(E90/365))+(K91*(E91/365))</f>
        <v>50</v>
      </c>
      <c r="C180" s="5">
        <f>(L90*(E90/365))+(L91*(E91/365))</f>
        <v>50</v>
      </c>
      <c r="D180" s="5">
        <f>(M90*(E90/365))+(M91*(E91/365))</f>
        <v>0</v>
      </c>
      <c r="E180" s="18">
        <f t="shared" si="84"/>
        <v>100</v>
      </c>
      <c r="F180" s="4"/>
      <c r="G180" s="1">
        <v>2001</v>
      </c>
      <c r="H180" s="409">
        <f>(O90*100*(E90/365)/(O90+P90+Q90))+(O91*100*(E91/365)/(O91+P91+Q91))</f>
        <v>50</v>
      </c>
      <c r="I180" s="409"/>
      <c r="J180" s="409">
        <f>(P90*100*(E90/365)/(P90+Q90+O90))+(P91*100*(E91/365)/(P91+Q91+O91))</f>
        <v>50</v>
      </c>
      <c r="K180" s="409"/>
      <c r="L180" s="409">
        <f>(Q90*100*(E90/365)/(Q90+P90+O90))+(Q91*100*(E91/365)/(Q91+P91+O91))</f>
        <v>0</v>
      </c>
      <c r="M180" s="409"/>
      <c r="N180" s="379">
        <f t="shared" si="83"/>
        <v>100</v>
      </c>
      <c r="O180" s="379"/>
      <c r="R180" s="1">
        <v>2001</v>
      </c>
      <c r="S180" s="5">
        <f>O90*($E90/365) + O91*($E91/365)</f>
        <v>28.4</v>
      </c>
      <c r="T180" s="5">
        <f>P90*($E90/365) + P91*($E91/365)</f>
        <v>28.4</v>
      </c>
      <c r="U180" s="5">
        <f>Q90*($E90/365) + Q91*($E91/365)</f>
        <v>0</v>
      </c>
      <c r="V180" s="9"/>
      <c r="W180" s="5">
        <f>R90*($E90/365) + R91*($E91/365)</f>
        <v>56.8</v>
      </c>
    </row>
    <row r="181" spans="1:24" x14ac:dyDescent="0.15">
      <c r="A181" s="1">
        <v>2002</v>
      </c>
      <c r="B181" s="5">
        <f>(K92*(E92/365))+(K93*(E93/365))</f>
        <v>50</v>
      </c>
      <c r="C181" s="5">
        <f>(L92*(E92/365))+(L93*(E93/365))</f>
        <v>50</v>
      </c>
      <c r="D181" s="5">
        <f>(M92*(E92/365))+(M93*(E93/365))</f>
        <v>0</v>
      </c>
      <c r="E181" s="18">
        <f t="shared" si="84"/>
        <v>100</v>
      </c>
      <c r="F181" s="4"/>
      <c r="G181" s="1">
        <v>2002</v>
      </c>
      <c r="H181" s="409">
        <f>(O92*100*(E92/365)/(O92+P92+Q92))+(O93*100*(E93/365)/(O93+P93+Q93))</f>
        <v>50</v>
      </c>
      <c r="I181" s="409"/>
      <c r="J181" s="409">
        <f>(P92*100*(E92/365)/(P92+Q92+O92))+(P93*100*(E93/365)/(P93+Q93+O93))</f>
        <v>50</v>
      </c>
      <c r="K181" s="409"/>
      <c r="L181" s="409">
        <f>(Q92*100*(E92/365)/(Q92+P92+O92))+(Q93*100*(E93/365)/(Q93+P93+O93))</f>
        <v>0</v>
      </c>
      <c r="M181" s="409"/>
      <c r="N181" s="379">
        <f t="shared" si="83"/>
        <v>100</v>
      </c>
      <c r="O181" s="379"/>
      <c r="R181" s="1">
        <v>2002</v>
      </c>
      <c r="S181" s="5">
        <f>O92*($E92/365) + O93*($E93/365)</f>
        <v>28.4</v>
      </c>
      <c r="T181" s="5">
        <f>P92*($E92/365) + P93*($E93/365)</f>
        <v>28.4</v>
      </c>
      <c r="U181" s="5">
        <f>Q92*($E92/365) + Q93*($E93/365)</f>
        <v>0</v>
      </c>
      <c r="V181" s="9"/>
      <c r="W181" s="5">
        <f>R92*($E92/365) + R93*($E93/365)</f>
        <v>56.8</v>
      </c>
    </row>
    <row r="182" spans="1:24" x14ac:dyDescent="0.15">
      <c r="A182" s="1">
        <v>2003</v>
      </c>
      <c r="B182" s="5">
        <f>(K94*(E94/365))+(K95*(E95/365))</f>
        <v>28.972602739726028</v>
      </c>
      <c r="C182" s="5">
        <f>(L94*(E94/365))+(L95*(E95/365))</f>
        <v>64.018264840182638</v>
      </c>
      <c r="D182" s="5">
        <f>(M94*(E94/365))+(M95*(E95/365))</f>
        <v>0</v>
      </c>
      <c r="E182" s="18">
        <f t="shared" si="84"/>
        <v>92.990867579908667</v>
      </c>
      <c r="F182" s="4"/>
      <c r="G182" s="1">
        <v>2003</v>
      </c>
      <c r="H182" s="409">
        <f>(O94*100*(E94/365)/(O94+P94+Q94))+(O95*100*(E95/365)/(O95+P95+Q95))</f>
        <v>23.497544585164128</v>
      </c>
      <c r="I182" s="409"/>
      <c r="J182" s="409">
        <f>(P94*100*(E94/365)/(P94+Q94+O94))+(P95*100*(E95/365)/(P95+Q95+O95))</f>
        <v>76.502455414835879</v>
      </c>
      <c r="K182" s="409"/>
      <c r="L182" s="409">
        <f>(Q94*100*(E94/365)/(Q94+P94+O94))+(Q95*100*(E95/365)/(Q95+P95+O95))</f>
        <v>0</v>
      </c>
      <c r="M182" s="409"/>
      <c r="N182" s="379">
        <f t="shared" si="83"/>
        <v>100</v>
      </c>
      <c r="O182" s="379"/>
      <c r="R182" s="1">
        <v>2003</v>
      </c>
      <c r="S182" s="5">
        <f>O94*($E94/365) + O95*($E95/365)</f>
        <v>12.755616438356165</v>
      </c>
      <c r="T182" s="5">
        <f>P94*($E94/365) + P95*($E95/365)</f>
        <v>40.848219178082196</v>
      </c>
      <c r="U182" s="5">
        <f>Q94*($E94/365) + Q95*($E95/365)</f>
        <v>0</v>
      </c>
      <c r="V182" s="9"/>
      <c r="W182" s="5">
        <f>R94*($E94/365) + R95*($E95/365)</f>
        <v>53.60383561643836</v>
      </c>
    </row>
    <row r="183" spans="1:24" x14ac:dyDescent="0.15">
      <c r="A183" s="1">
        <v>2004</v>
      </c>
      <c r="B183" s="5">
        <f>(K96*(E96/366))+(K97*(E97/366))</f>
        <v>25</v>
      </c>
      <c r="C183" s="5">
        <f>(L96*(E96/366))+(L97*(E97/366))</f>
        <v>66.666666666666657</v>
      </c>
      <c r="D183" s="5">
        <f>(M96*(E96/366))+(M97*(E97/366))</f>
        <v>0</v>
      </c>
      <c r="E183" s="18">
        <f t="shared" si="84"/>
        <v>91.666666666666657</v>
      </c>
      <c r="F183" s="4"/>
      <c r="G183" s="1">
        <v>2004</v>
      </c>
      <c r="H183" s="409">
        <f>(O96*100*(E96/366)/(O96+P96+Q96))+(O97*100*(E97/366)/(O97+P97+Q97))</f>
        <v>18.490566037735853</v>
      </c>
      <c r="I183" s="409"/>
      <c r="J183" s="409">
        <f>(P96*100*(E96/366)/(P96+Q96+O96))+(P97*100*(E97/366)/(P97+Q97+O97))</f>
        <v>81.509433962264154</v>
      </c>
      <c r="K183" s="409"/>
      <c r="L183" s="409">
        <f>(Q96*100*(E96/366)/(Q96+P96+O96))+(Q97*100*(E97/366)/(Q97+P97+O97))</f>
        <v>0</v>
      </c>
      <c r="M183" s="409"/>
      <c r="N183" s="379">
        <f t="shared" si="83"/>
        <v>100</v>
      </c>
      <c r="O183" s="379"/>
      <c r="R183" s="1">
        <v>2004</v>
      </c>
      <c r="S183" s="5">
        <f>O96*($E96/366) + O97*($E97/366)</f>
        <v>9.8000000000000007</v>
      </c>
      <c r="T183" s="5">
        <f>P96*($E96/366) + P97*($E97/366)</f>
        <v>43.2</v>
      </c>
      <c r="U183" s="5">
        <f>Q96*($E96/366) + Q97*($E97/366)</f>
        <v>0</v>
      </c>
      <c r="V183" s="9"/>
      <c r="W183" s="5">
        <f>R96*($E96/366) + R97*($E97/366)</f>
        <v>53</v>
      </c>
    </row>
    <row r="184" spans="1:24" x14ac:dyDescent="0.15">
      <c r="A184" s="1">
        <v>2005</v>
      </c>
      <c r="B184" s="5">
        <f>(K98*(E98/365))+(K99*(E99/365))</f>
        <v>25</v>
      </c>
      <c r="C184" s="5">
        <f>(L98*(E98/365))+(L99*(E99/365))</f>
        <v>66.666666666666657</v>
      </c>
      <c r="D184" s="5">
        <f>(M98*(G98/365))+(M99*(G99/365))</f>
        <v>0</v>
      </c>
      <c r="E184" s="18">
        <f t="shared" si="84"/>
        <v>91.666666666666657</v>
      </c>
      <c r="F184" s="4"/>
      <c r="G184" s="1">
        <v>2005</v>
      </c>
      <c r="H184" s="409">
        <f>(O98*100*(E98/365)/(R98))+(O99*100*(E99/365)/(R99))</f>
        <v>14.601861568787424</v>
      </c>
      <c r="I184" s="409"/>
      <c r="J184" s="409">
        <f>(P98*100*(E98/365)/(R98))+(P99*100*(E99/365)/(R99))</f>
        <v>85.398138431212573</v>
      </c>
      <c r="K184" s="409"/>
      <c r="L184" s="409">
        <f>(M98*100*(E98/365)/(N98))+(M99*100*(E99/365)/(N99))</f>
        <v>0</v>
      </c>
      <c r="M184" s="409"/>
      <c r="N184" s="379">
        <f t="shared" si="83"/>
        <v>100</v>
      </c>
      <c r="O184" s="379"/>
      <c r="R184" s="1">
        <v>2005</v>
      </c>
      <c r="S184" s="5">
        <f>O98*(E98/365) + O99*($E99/365)</f>
        <v>7.4241095890410955</v>
      </c>
      <c r="T184" s="5">
        <f>P98*(E98/365) + P99*($E99/365)</f>
        <v>43.2</v>
      </c>
      <c r="U184" s="5">
        <f>Q98*(E98/365) + Q99*($E99/365)</f>
        <v>0</v>
      </c>
      <c r="V184" s="9"/>
      <c r="W184" s="5">
        <f>R98*(E98/365) + R99*($E99/365)</f>
        <v>50.624109589041097</v>
      </c>
    </row>
    <row r="185" spans="1:24" x14ac:dyDescent="0.15">
      <c r="A185" s="1">
        <v>2006</v>
      </c>
      <c r="B185" s="5">
        <f>(K100*(E100/365))+(K101*(E101/365))</f>
        <v>25</v>
      </c>
      <c r="C185" s="5">
        <f>(L100*(E100/365))+(L101*(E101/365))</f>
        <v>66.666666666666657</v>
      </c>
      <c r="D185" s="5">
        <f>(M100*(E100/365))+(M101*(E101/365))</f>
        <v>0</v>
      </c>
      <c r="E185" s="18">
        <f t="shared" si="84"/>
        <v>91.666666666666657</v>
      </c>
      <c r="F185" s="4"/>
      <c r="G185" s="1">
        <v>2006</v>
      </c>
      <c r="H185" s="409">
        <f>(O100*100*(E100/365)/(O100+P100+Q100))+(O101*100*(E101/365)/(O101+P101+Q101))</f>
        <v>13.253012048192771</v>
      </c>
      <c r="I185" s="409"/>
      <c r="J185" s="409">
        <f>(P100*100*(E100/365)/(P100+Q100+O100))+(P101*100*(E101/365)/(P101+Q101+O101))</f>
        <v>86.746987951807228</v>
      </c>
      <c r="K185" s="409"/>
      <c r="L185" s="409">
        <f>(Q100*100*(E100/365)/(Q100+P100+O100))+(Q101*100*(E101/365)/(Q101+P101+O101))</f>
        <v>0</v>
      </c>
      <c r="M185" s="409"/>
      <c r="N185" s="379">
        <f t="shared" si="83"/>
        <v>100</v>
      </c>
      <c r="O185" s="379"/>
      <c r="R185" s="1">
        <v>2006</v>
      </c>
      <c r="S185" s="5">
        <f>O100*($E100/365) + O101*($E101/365)</f>
        <v>6.6</v>
      </c>
      <c r="T185" s="5">
        <f>P100*($E100/365) + P101*($E101/365)</f>
        <v>43.2</v>
      </c>
      <c r="U185" s="5">
        <f>Q100*($E100/365) + Q101*($E101/365)</f>
        <v>0</v>
      </c>
      <c r="V185" s="9"/>
      <c r="W185" s="5">
        <f>R100*($E100/365) + R101*($E101/365)</f>
        <v>49.800000000000004</v>
      </c>
    </row>
    <row r="186" spans="1:24" x14ac:dyDescent="0.15">
      <c r="A186" s="1">
        <v>2007</v>
      </c>
      <c r="B186" s="5">
        <f>(K102*(E102/365))+(K103*(E103/365))</f>
        <v>0.68493150684931503</v>
      </c>
      <c r="C186" s="5">
        <f>(L102*(E102/365))+(L103*(E103/365))</f>
        <v>50.456621004566216</v>
      </c>
      <c r="D186" s="5">
        <f>(M102*(E102/365))+(M103*(E103/365))</f>
        <v>48.630136986301373</v>
      </c>
      <c r="E186" s="18">
        <f t="shared" si="84"/>
        <v>99.771689497716906</v>
      </c>
      <c r="F186" s="4"/>
      <c r="G186" s="1">
        <v>2007</v>
      </c>
      <c r="H186" s="409">
        <f>(O102*100*(E102/365)/(O102+P102+Q102))+(O103*100*(E103/365)/(O103+P103+Q103))</f>
        <v>0.36309622049843199</v>
      </c>
      <c r="I186" s="409"/>
      <c r="J186" s="409">
        <f>(P102*100*(E102/365)/(P102+Q102+O102))+(P103*100*(E103/365)/(P103+Q103+O103))</f>
        <v>50.276983018508083</v>
      </c>
      <c r="K186" s="409"/>
      <c r="L186" s="409">
        <f>(Q102*100*(E102/365)/(Q102+P102+O102))+(Q103*100*(E103/365)/(Q103+P103+O103))</f>
        <v>49.359920760993475</v>
      </c>
      <c r="M186" s="409"/>
      <c r="N186" s="379">
        <f t="shared" si="83"/>
        <v>100</v>
      </c>
      <c r="O186" s="379"/>
      <c r="R186" s="1">
        <v>2007</v>
      </c>
      <c r="S186" s="5">
        <f>O102*($E102/365) + O103*($E103/365)</f>
        <v>0.18082191780821916</v>
      </c>
      <c r="T186" s="5">
        <f>P102*($E102/365) + P103*($E103/365)</f>
        <v>36.294520547945204</v>
      </c>
      <c r="U186" s="5">
        <f>Q102*($E102/365) + Q103*($E103/365)</f>
        <v>36.180821917808224</v>
      </c>
      <c r="V186" s="9"/>
      <c r="W186" s="5">
        <f>R102*($E102/365) + R103*($E103/365)</f>
        <v>72.656164383561659</v>
      </c>
    </row>
    <row r="187" spans="1:24" x14ac:dyDescent="0.15">
      <c r="A187" s="1">
        <v>2008</v>
      </c>
      <c r="B187" s="5">
        <f>(K104*(E104/366))+(K105*(E105/366))</f>
        <v>0</v>
      </c>
      <c r="C187" s="5">
        <f>(L104*(E104/366))+(L105*(E105/366))</f>
        <v>50</v>
      </c>
      <c r="D187" s="5">
        <f>(M104*(E104/366))+(M105*(E105/366))</f>
        <v>50</v>
      </c>
      <c r="E187" s="18">
        <f t="shared" si="84"/>
        <v>100</v>
      </c>
      <c r="F187" s="4"/>
      <c r="G187" s="1">
        <v>2008</v>
      </c>
      <c r="H187" s="409">
        <f>(O104*100*(E104/366)/(O104+P104+Q104))+(O105*100*(E105/366)/(O105+P105+Q105))</f>
        <v>0</v>
      </c>
      <c r="I187" s="409"/>
      <c r="J187" s="409">
        <f>(P104*100*(E104/366)/(O104+P104+Q104))+(P105*100*(E105/366)/(O105+P105+Q105))</f>
        <v>49.088878334022603</v>
      </c>
      <c r="K187" s="409"/>
      <c r="L187" s="409">
        <f>(Q104*100*(E104/366)/(O104+P104+Q104))+(Q105*100*(E105/366)/(O105+P105+Q105))</f>
        <v>50.911121665977397</v>
      </c>
      <c r="M187" s="409"/>
      <c r="N187" s="379">
        <f t="shared" si="83"/>
        <v>100</v>
      </c>
      <c r="O187" s="379"/>
      <c r="R187" s="1">
        <v>2008</v>
      </c>
      <c r="S187" s="5">
        <f>O104*($E104/366) + O105*($E105/366)</f>
        <v>0</v>
      </c>
      <c r="T187" s="5">
        <f>P104*($E104/366) + P105*($E105/366)</f>
        <v>35.427868852459014</v>
      </c>
      <c r="U187" s="5">
        <f>Q104*($E104/366) + Q105*($E105/366)</f>
        <v>36.700000000000003</v>
      </c>
      <c r="V187" s="9"/>
      <c r="W187" s="5">
        <f>R104*($E104/366) + R105*($E105/366)</f>
        <v>72.127868852459031</v>
      </c>
    </row>
    <row r="188" spans="1:24" x14ac:dyDescent="0.15">
      <c r="A188" s="1">
        <v>2009</v>
      </c>
      <c r="B188" s="5">
        <f>(K106*(E106/365))+(K107*(E107/365))</f>
        <v>0</v>
      </c>
      <c r="C188" s="5">
        <f>(L106*(E106/365))+(L107*(E107/365))</f>
        <v>50</v>
      </c>
      <c r="D188" s="5">
        <f>(M106*(E106/365))+(M107*(E107/365))</f>
        <v>50</v>
      </c>
      <c r="E188" s="18">
        <f t="shared" si="84"/>
        <v>100</v>
      </c>
      <c r="F188" s="4"/>
      <c r="G188" s="1">
        <v>2009</v>
      </c>
      <c r="H188" s="409">
        <f>(O106*100*(E106/365)/(O106+P106+Q106))+(O107*100*(E107/365)/(O107+P107+Q107))</f>
        <v>0</v>
      </c>
      <c r="I188" s="409"/>
      <c r="J188" s="409">
        <f>(P106*100*(E106/365)/(O106+P106+Q106))+(P107*100*(E107/365)/(O107+P107+Q107))</f>
        <v>47.288135593220339</v>
      </c>
      <c r="K188" s="409"/>
      <c r="L188" s="409">
        <f>(Q106*100*(E106/365)/(O106+P106+Q106))+(Q107*100*(E107/365)/(O107+P107+Q107))</f>
        <v>52.711864406779661</v>
      </c>
      <c r="M188" s="409"/>
      <c r="N188" s="379">
        <f t="shared" si="83"/>
        <v>100</v>
      </c>
      <c r="O188" s="379"/>
      <c r="R188" s="1">
        <v>2009</v>
      </c>
      <c r="S188" s="5">
        <f>O106*($E106/365) + O107*($E107/365)</f>
        <v>0</v>
      </c>
      <c r="T188" s="5">
        <f>P106*($E106/365) + P107*($E107/365)</f>
        <v>27.9</v>
      </c>
      <c r="U188" s="5">
        <f>Q106*($E106/365) + Q107*($E107/365)</f>
        <v>31.1</v>
      </c>
      <c r="V188" s="9"/>
      <c r="W188" s="5">
        <f>R106*($E106/365) + R107*($E107/365)</f>
        <v>59</v>
      </c>
    </row>
    <row r="189" spans="1:24" x14ac:dyDescent="0.15">
      <c r="A189" s="1">
        <v>2010</v>
      </c>
      <c r="B189" s="5">
        <f>(K108*($E108/365))+(K109*($E109/365))</f>
        <v>0</v>
      </c>
      <c r="C189" s="5">
        <f>(L108*($E108/365))+(L109*($E109/365))</f>
        <v>50</v>
      </c>
      <c r="D189" s="5">
        <f>(M108*($E108/365))+(M109*($E109/365))</f>
        <v>50</v>
      </c>
      <c r="E189" s="18">
        <f t="shared" si="84"/>
        <v>100</v>
      </c>
      <c r="F189" s="4"/>
      <c r="G189" s="1">
        <v>2010</v>
      </c>
      <c r="H189" s="409">
        <f>(O108*100*($E108/365)/($O108+$P108+$Q108))+(O109*100*($E109/365)/($O109+$P109+$Q109))</f>
        <v>0</v>
      </c>
      <c r="I189" s="409"/>
      <c r="J189" s="409">
        <f>(P108*100*($E108/365)/($O108+$P108+$Q108))+(P109*100*($E109/365)/($O109+$P109+$Q109))</f>
        <v>47.288135593220339</v>
      </c>
      <c r="K189" s="409"/>
      <c r="L189" s="409">
        <f>(Q108*100*($E108/365)/($O108+$P108+$Q108))+(Q109*100*($E109/365)/($O109+$P109+$Q109))</f>
        <v>52.711864406779661</v>
      </c>
      <c r="M189" s="409"/>
      <c r="N189" s="379">
        <f t="shared" si="83"/>
        <v>100</v>
      </c>
      <c r="O189" s="379"/>
      <c r="R189" s="1">
        <v>2010</v>
      </c>
      <c r="S189" s="5">
        <f>O108*($E108/365) + O109*($E109/365)</f>
        <v>0</v>
      </c>
      <c r="T189" s="5">
        <f>P108*($E108/365) + P109*($E109/365)</f>
        <v>27.9</v>
      </c>
      <c r="U189" s="5">
        <f>Q108*($E108/365) + Q109*($E109/365)</f>
        <v>31.1</v>
      </c>
      <c r="V189" s="9"/>
      <c r="W189" s="5">
        <f>R108*($E108/365) + R109*($E109/365)</f>
        <v>59</v>
      </c>
    </row>
    <row r="190" spans="1:24" x14ac:dyDescent="0.15">
      <c r="A190" s="1">
        <v>2011</v>
      </c>
      <c r="B190" s="5">
        <f>(K110*($E110/365))+(K111*($E111/365))</f>
        <v>0</v>
      </c>
      <c r="C190" s="5">
        <f>(L110*($E110/365))+(L111*($E111/365))</f>
        <v>50</v>
      </c>
      <c r="D190" s="5">
        <f>(M110*($E110/365))+(M111*($E111/365))</f>
        <v>50</v>
      </c>
      <c r="E190" s="18">
        <f t="shared" si="84"/>
        <v>100</v>
      </c>
      <c r="F190" s="4"/>
      <c r="G190" s="1">
        <v>2011</v>
      </c>
      <c r="H190" s="409">
        <f>(O110*100*($E110/365)/($O110+$P110+$Q110))+(O111*100*($E111/365)/($O111+$P111+$Q111))</f>
        <v>0</v>
      </c>
      <c r="I190" s="409"/>
      <c r="J190" s="409">
        <f>(P110*100*($E110/365)/($O110+$P110+$Q110))+(P111*100*($E111/365)/($O111+$P111+$Q111))</f>
        <v>47.288135593220339</v>
      </c>
      <c r="K190" s="409"/>
      <c r="L190" s="409">
        <f>(Q110*100*($E110/365)/($O110+$P110+$Q110))+(Q111*100*($E111/365)/($O111+$P111+$Q111))</f>
        <v>52.711864406779661</v>
      </c>
      <c r="M190" s="409"/>
      <c r="N190" s="379">
        <f t="shared" si="83"/>
        <v>100</v>
      </c>
      <c r="O190" s="379"/>
      <c r="R190" s="1">
        <v>2011</v>
      </c>
      <c r="S190" s="5">
        <f>O110*($E110/365) + O111*($E111/365)</f>
        <v>0</v>
      </c>
      <c r="T190" s="5">
        <f>P110*($E110/365) + P111*($E111/365)</f>
        <v>27.9</v>
      </c>
      <c r="U190" s="5">
        <f>Q110*($E110/365) + Q111*($E111/365)</f>
        <v>31.1</v>
      </c>
      <c r="V190" s="9"/>
      <c r="W190" s="5">
        <f>R110*($E110/365) + R111*($E111/365)</f>
        <v>59</v>
      </c>
    </row>
    <row r="191" spans="1:24" x14ac:dyDescent="0.15">
      <c r="A191" s="1">
        <v>2012</v>
      </c>
      <c r="B191" s="5">
        <f>(K112*($E112/366))+(K113*($E113/366))</f>
        <v>0</v>
      </c>
      <c r="C191" s="5">
        <f>(L112*($E112/366))+(L113*($E113/366))</f>
        <v>50</v>
      </c>
      <c r="D191" s="5">
        <f>(M112*($E112/366))+(M113*($E113/366))</f>
        <v>50</v>
      </c>
      <c r="E191" s="18">
        <f t="shared" si="84"/>
        <v>100</v>
      </c>
      <c r="F191" s="4"/>
      <c r="G191" s="1">
        <v>2012</v>
      </c>
      <c r="H191" s="409">
        <f>(O112*100*($E112/366)/($O112+$P112+$Q112))+(O113*100*($E113/366)/($O113+$P113+$Q113))</f>
        <v>0</v>
      </c>
      <c r="I191" s="409"/>
      <c r="J191" s="409">
        <f>(P112*100*($E112/366)/($O112+$P112+$Q112))+(P113*100*($E113/366)/($O113+$P113+$Q113))</f>
        <v>47.288135593220339</v>
      </c>
      <c r="K191" s="409"/>
      <c r="L191" s="409">
        <f>(Q112*100*($E112/366)/($O112+$P112+$Q112))+(Q113*100*($E113/366)/($O113+$P113+$Q113))</f>
        <v>52.711864406779661</v>
      </c>
      <c r="M191" s="409"/>
      <c r="N191" s="379">
        <f t="shared" si="83"/>
        <v>100</v>
      </c>
      <c r="O191" s="379"/>
      <c r="R191" s="1">
        <v>2012</v>
      </c>
      <c r="S191" s="5">
        <f>O112*($E112/366) + O113*($E113/366)</f>
        <v>0</v>
      </c>
      <c r="T191" s="5">
        <f>P112*($E112/366) + P113*($E113/366)</f>
        <v>27.9</v>
      </c>
      <c r="U191" s="5">
        <f>Q112*($E112/366) + Q113*($E113/366)</f>
        <v>31.1</v>
      </c>
      <c r="V191" s="9"/>
      <c r="W191" s="5">
        <f>R112*($E112/366) + R113*($E113/366)</f>
        <v>59</v>
      </c>
    </row>
    <row r="192" spans="1:24" x14ac:dyDescent="0.15">
      <c r="A192" s="1">
        <v>2013</v>
      </c>
      <c r="B192" s="5">
        <f>(K114*($E114/365))+(K115*($E115/365))</f>
        <v>0</v>
      </c>
      <c r="C192" s="5">
        <f>(L114*($E114/365))+(L115*($E115/365))</f>
        <v>50</v>
      </c>
      <c r="D192" s="5">
        <f>(M114*($E114/365))+(M115*($E115/365))</f>
        <v>50</v>
      </c>
      <c r="E192" s="18">
        <f t="shared" si="84"/>
        <v>100</v>
      </c>
      <c r="G192" s="1">
        <v>2013</v>
      </c>
      <c r="H192" s="409">
        <f>(O114*100*($E114/365)/($O114+$P114+$Q114))+(O115*100*($E115/365)/($O115+$P115+$Q115))</f>
        <v>0</v>
      </c>
      <c r="I192" s="409"/>
      <c r="J192" s="409">
        <f>(P114*100*($E114/365)/($O114+$P114+$Q114))+(P115*100*($E115/365)/($O115+$P115+$Q115))</f>
        <v>47.297625367636485</v>
      </c>
      <c r="K192" s="409"/>
      <c r="L192" s="409">
        <f>(Q114*100*($E114/365)/($O114+$P114+$Q114))+(Q115*100*($E115/365)/($O115+$P115+$Q115))</f>
        <v>52.702374632363515</v>
      </c>
      <c r="M192" s="409"/>
      <c r="N192" s="379">
        <f t="shared" ref="N192:N196" si="85">SUM(H192:M192)</f>
        <v>100</v>
      </c>
      <c r="O192" s="379"/>
      <c r="R192" s="1">
        <v>2013</v>
      </c>
      <c r="S192" s="5">
        <f>O114*($E114/365) + O115*($E115/365)</f>
        <v>0</v>
      </c>
      <c r="T192" s="5">
        <f>P114*($E114/365) + P115*($E115/365)</f>
        <v>27.803561643835614</v>
      </c>
      <c r="U192" s="5">
        <f>Q114*($E114/365) + Q115*($E115/365)</f>
        <v>30.981643835616438</v>
      </c>
      <c r="W192" s="5">
        <f>R114*($E114/365) + R115*($E115/365)</f>
        <v>58.785205479452053</v>
      </c>
      <c r="X192" s="4"/>
    </row>
    <row r="193" spans="1:24" x14ac:dyDescent="0.15">
      <c r="A193" s="1">
        <v>2014</v>
      </c>
      <c r="B193" s="5">
        <f>(K116*($E116/365))+(K117*($E117/365))</f>
        <v>0</v>
      </c>
      <c r="C193" s="5">
        <f>(L116*($E116/365))+(L117*($E117/365))</f>
        <v>50</v>
      </c>
      <c r="D193" s="5">
        <f>(M116*($E116/365))+(M117*($E117/365))</f>
        <v>50</v>
      </c>
      <c r="E193" s="18">
        <f t="shared" si="84"/>
        <v>100</v>
      </c>
      <c r="G193" s="1">
        <v>2014</v>
      </c>
      <c r="H193" s="409">
        <f>(O116*100*($E116/365)/($O116+$P116+$Q116))+(O117*100*($E117/365)/($O117+$P117+$Q117))</f>
        <v>0</v>
      </c>
      <c r="I193" s="409"/>
      <c r="J193" s="409">
        <f>(P116*100*($E116/365)/($O116+$P116+$Q116))+(P117*100*($E117/365)/($O117+$P117+$Q117))</f>
        <v>47.504621072088732</v>
      </c>
      <c r="K193" s="409"/>
      <c r="L193" s="409">
        <f>(Q116*100*($E116/365)/($O116+$P116+$Q116))+(Q117*100*($E117/365)/($O117+$P117+$Q117))</f>
        <v>52.495378927911283</v>
      </c>
      <c r="M193" s="409"/>
      <c r="N193" s="379">
        <f t="shared" si="85"/>
        <v>100.00000000000001</v>
      </c>
      <c r="O193" s="379"/>
      <c r="R193" s="1">
        <v>2014</v>
      </c>
      <c r="S193" s="5">
        <f>O116*($E116/365) + O117*($E117/365)</f>
        <v>0</v>
      </c>
      <c r="T193" s="5">
        <f>P116*($E116/365) + P117*($E117/365)</f>
        <v>25.7</v>
      </c>
      <c r="U193" s="5">
        <f>Q116*($E116/365) + Q117*($E117/365)</f>
        <v>28.4</v>
      </c>
      <c r="W193" s="5">
        <f>R116*($E116/365) + R117*($E117/365)</f>
        <v>54.099999999999994</v>
      </c>
      <c r="X193" s="4"/>
    </row>
    <row r="194" spans="1:24" x14ac:dyDescent="0.15">
      <c r="A194" s="1">
        <v>2015</v>
      </c>
      <c r="B194" s="5">
        <f>(K118*($E118/365))+(K119*($E119/365))</f>
        <v>0</v>
      </c>
      <c r="C194" s="5">
        <f>(L118*($E118/365))+(L119*($E119/365))</f>
        <v>50</v>
      </c>
      <c r="D194" s="5">
        <f>(M118*($E118/365))+(M119*($E119/365))</f>
        <v>50</v>
      </c>
      <c r="E194" s="18">
        <f>SUM(B194:D194)</f>
        <v>100</v>
      </c>
      <c r="G194" s="1">
        <v>2015</v>
      </c>
      <c r="H194" s="409">
        <f>(O118*100*($E118/365)/($O118+$P118+$Q118))+(O119*100*($E119/365)/($O119+$P119+$Q119))</f>
        <v>0</v>
      </c>
      <c r="I194" s="409"/>
      <c r="J194" s="409">
        <f>(P118*100*($E118/365)/($O118+$P118+$Q118))+(P119*100*($E119/365)/($O119+$P119+$Q119))</f>
        <v>47.504621072088732</v>
      </c>
      <c r="K194" s="409"/>
      <c r="L194" s="409">
        <f>(Q118*100*($E118/365)/($O118+$P118+$Q118))+(Q119*100*($E119/365)/($O119+$P119+$Q119))</f>
        <v>52.495378927911283</v>
      </c>
      <c r="M194" s="409"/>
      <c r="N194" s="379">
        <f t="shared" si="85"/>
        <v>100.00000000000001</v>
      </c>
      <c r="O194" s="379"/>
      <c r="R194" s="1">
        <v>2015</v>
      </c>
      <c r="S194" s="5">
        <f>O118*($E118/365) + O119*($E119/365)</f>
        <v>0</v>
      </c>
      <c r="T194" s="5">
        <f>P118*($E118/365) + P119*($E119/365)</f>
        <v>25.7</v>
      </c>
      <c r="U194" s="5">
        <f>Q118*($E118/365) + Q119*($E119/365)</f>
        <v>28.4</v>
      </c>
      <c r="W194" s="5">
        <f>R118*($E118/365) + R119*($E119/365)</f>
        <v>54.099999999999994</v>
      </c>
      <c r="X194" s="4"/>
    </row>
    <row r="195" spans="1:24" x14ac:dyDescent="0.15">
      <c r="A195" s="1">
        <v>2016</v>
      </c>
      <c r="B195" s="5">
        <f>(K120*($E120/366))+(K121*($E121/366))</f>
        <v>0</v>
      </c>
      <c r="C195" s="5">
        <f>(L120*($E120/366))+(L121*($E121/366))</f>
        <v>50</v>
      </c>
      <c r="D195" s="5">
        <f>(M120*($E120/366))+(M121*($E121/366))</f>
        <v>50</v>
      </c>
      <c r="E195" s="18">
        <f t="shared" si="84"/>
        <v>100</v>
      </c>
      <c r="G195" s="1">
        <v>2016</v>
      </c>
      <c r="H195" s="409">
        <f>(O120*100*($E120/366)/($O120+$P120+$Q120))+(O121*100*($E121/366)/($O121+$P121+$Q121))</f>
        <v>0</v>
      </c>
      <c r="I195" s="409"/>
      <c r="J195" s="409">
        <f>(P120*100*($E120/366)/($O120+$P120+$Q120))+(P121*100*($E121/366)/($O121+$P121+$Q121))</f>
        <v>48.448117498062501</v>
      </c>
      <c r="K195" s="409"/>
      <c r="L195" s="409">
        <f>(Q120*100*($E120/366)/($O120+$P120+$Q120))+(Q121*100*($E121/366)/($O121+$P121+$Q121))</f>
        <v>51.551882501937492</v>
      </c>
      <c r="M195" s="409"/>
      <c r="N195" s="379">
        <f t="shared" si="85"/>
        <v>100</v>
      </c>
      <c r="O195" s="379"/>
      <c r="R195" s="1">
        <v>2016</v>
      </c>
      <c r="S195" s="5">
        <f>O120*($E120/366) + O121*($E121/366)</f>
        <v>0</v>
      </c>
      <c r="T195" s="5">
        <f>P120*($E120/366) + P121*($E121/366)</f>
        <v>26.701092896174863</v>
      </c>
      <c r="U195" s="5">
        <f>Q120*($E120/366) + Q121*($E121/366)</f>
        <v>28.4</v>
      </c>
      <c r="W195" s="5">
        <f>R120*($E120/366) + R121*($E121/366)</f>
        <v>55.101092896174862</v>
      </c>
      <c r="X195" s="4"/>
    </row>
    <row r="196" spans="1:24" x14ac:dyDescent="0.15">
      <c r="A196" s="1">
        <v>2017</v>
      </c>
      <c r="B196" s="5">
        <f>(K122*($E122/365))+(K123*($E123/365))</f>
        <v>1.6438356164383561</v>
      </c>
      <c r="C196" s="5">
        <f>(L122*($E122/365))+(L123*($E123/365))</f>
        <v>50.273972602739732</v>
      </c>
      <c r="D196" s="5">
        <f>(M122*($E122/365))+(M123*($E123/365))</f>
        <v>48.082191780821923</v>
      </c>
      <c r="E196" s="18">
        <f>SUM(B196:D196)</f>
        <v>100.00000000000001</v>
      </c>
      <c r="G196" s="1">
        <v>2017</v>
      </c>
      <c r="H196" s="409">
        <f>(O122*100*($E122/365)/($O122+$P122+$Q122))+(O123*100*($E123/365)/($O123+$P123+$Q123))</f>
        <v>1.7316132464423462</v>
      </c>
      <c r="I196" s="409"/>
      <c r="J196" s="409">
        <f>(P122*100*($E122/365)/($O122+$P122+$Q122))+(P123*100*($E123/365)/($O123+$P123+$Q123))</f>
        <v>49.236636427692574</v>
      </c>
      <c r="K196" s="409"/>
      <c r="L196" s="409">
        <f>(Q122*100*($E122/365)/($O122+$P122+$Q122))+(Q123*100*($E123/365)/($O123+$P123+$Q123))</f>
        <v>49.031750325865076</v>
      </c>
      <c r="M196" s="409"/>
      <c r="N196" s="379">
        <f t="shared" si="85"/>
        <v>100</v>
      </c>
      <c r="O196" s="379"/>
      <c r="R196" s="1">
        <v>2017</v>
      </c>
      <c r="S196" s="5">
        <f>O122*($E122/365) + O123*($E123/365)</f>
        <v>1.0701369863013699</v>
      </c>
      <c r="T196" s="5">
        <f t="shared" ref="T196:U196" si="86">P122*($E122/365) + P123*($E123/365)</f>
        <v>27.553150684931509</v>
      </c>
      <c r="U196" s="5">
        <f t="shared" si="86"/>
        <v>27.310684931506849</v>
      </c>
      <c r="W196" s="5">
        <f>R122*($E122/365) + R123*($E123/365)</f>
        <v>55.933972602739729</v>
      </c>
    </row>
    <row r="197" spans="1:24" x14ac:dyDescent="0.15">
      <c r="A197" s="1">
        <v>2018</v>
      </c>
      <c r="B197" s="5">
        <f>(K124*($E124/365))+(K125*($E125/365))</f>
        <v>50</v>
      </c>
      <c r="C197" s="5">
        <f>(L124*($E124/365))+(L125*($E125/365))</f>
        <v>50</v>
      </c>
      <c r="D197" s="5">
        <f>(M124*($E124/365))+(M125*($E125/365))</f>
        <v>0</v>
      </c>
      <c r="E197" s="18">
        <f>SUM(B197:D197)</f>
        <v>100</v>
      </c>
      <c r="G197" s="1">
        <v>2018</v>
      </c>
      <c r="H197" s="409">
        <f>(O124*100*($E124/365)/($O124+$P124+$Q124))+(O125*100*($E125/365)/($O125+$P125+$Q125))</f>
        <v>45.145631067961169</v>
      </c>
      <c r="I197" s="409"/>
      <c r="J197" s="409">
        <f>(P124*100*($E124/365)/($O124+$P124+$Q124))+(P125*100*($E125/365)/($O125+$P125+$Q125))</f>
        <v>54.854368932038838</v>
      </c>
      <c r="K197" s="409"/>
      <c r="L197" s="409">
        <f>(Q124*100*($E124/365)/($O124+$P124+$Q124))+(Q125*100*($E125/365)/($O125+$P125+$Q125))</f>
        <v>0</v>
      </c>
      <c r="M197" s="409"/>
      <c r="N197" s="379">
        <f>SUM(H197:M197)</f>
        <v>100</v>
      </c>
      <c r="O197" s="379"/>
      <c r="R197" s="1">
        <v>2018</v>
      </c>
      <c r="S197" s="5">
        <f>O124*($E124/365) + O125*($E125/365)</f>
        <v>27.9</v>
      </c>
      <c r="T197" s="5">
        <f>P124*($E124/365) + P125*($E125/365)</f>
        <v>33.9</v>
      </c>
      <c r="U197" s="5">
        <f>Q124*($E124/365) + Q125*($E125/365)</f>
        <v>0</v>
      </c>
      <c r="W197" s="5">
        <f>R124*($E124/365) + R125*($E125/365)</f>
        <v>61.8</v>
      </c>
    </row>
    <row r="198" spans="1:24" x14ac:dyDescent="0.15">
      <c r="A198" s="1">
        <v>2019</v>
      </c>
      <c r="B198" s="5">
        <f>(K126*($E126/365))+(K127*($E127/365))+(K128*(E128/365))+(K129*(E129/365))</f>
        <v>19.315068493150687</v>
      </c>
      <c r="C198" s="5">
        <f>(L126*($E126/365))+(L127*($E127/365))+(L128*(E128/365))+(L129*(E129/365))</f>
        <v>21.285563751317177</v>
      </c>
      <c r="D198" s="5">
        <f>(M126*($E126/365))+(M127*($E127/365))+(M128*(E128/365))+(M129*(E129/365))</f>
        <v>0</v>
      </c>
      <c r="E198" s="18">
        <f>SUM(B198:D198)</f>
        <v>40.60063224446786</v>
      </c>
      <c r="G198" s="1">
        <v>2019</v>
      </c>
      <c r="H198" s="409">
        <f>(O126*100*($E126/365)/($O126+$P126+$Q126))+(O127*100*($E127/365)/($O127+$P127+$Q127))+(O128*100*(E128/365)/(O128+P128+Q128))</f>
        <v>18.181939087644636</v>
      </c>
      <c r="I198" s="409"/>
      <c r="J198" s="409">
        <f>(P126*100*($E126/365)/($O126+$P126+$Q126))+(P127*100*($E127/365)/(PO127+$P127+$Q127))+(P128*100*(E128/365)/(Q128+R128+S128))</f>
        <v>24.230795768514252</v>
      </c>
      <c r="K198" s="409"/>
      <c r="L198" s="409">
        <f>(Q126*100*($E126/365)/($O126+$P126+$Q126))+(Q127*100*($E127/365)/($O127+$P127+$Q127))+(Q128*100*(E128/365)/(Q128+R128+S128))</f>
        <v>0</v>
      </c>
      <c r="M198" s="409"/>
      <c r="N198" s="379">
        <f>SUM(H198:M198)</f>
        <v>42.412734856158892</v>
      </c>
      <c r="O198" s="379"/>
      <c r="R198" s="1">
        <v>2019</v>
      </c>
      <c r="S198" s="5">
        <f>O126*($E126/365) + O127*($E127/365)+O128*(E128/365) +O129*(E129/365)</f>
        <v>11.236438356164383</v>
      </c>
      <c r="T198" s="5">
        <f>P126*($E126/365) + P127*($E127/365)+P128*(E128/365) +P129*(E129/365)</f>
        <v>14.21013698630137</v>
      </c>
      <c r="U198" s="5">
        <f>Q126*($E126/365) + Q127*($E127/365)+Q128*(E128/365) +Q129*(E129/365)</f>
        <v>0</v>
      </c>
      <c r="W198" s="5">
        <f>R126*($E126/365) + R127*($E127/365)</f>
        <v>24.889315068493151</v>
      </c>
    </row>
    <row r="199" spans="1:24" x14ac:dyDescent="0.15">
      <c r="A199" s="1">
        <v>2020</v>
      </c>
      <c r="B199" s="5">
        <f>(K130*(E130/366))+(K131*(E131/366))</f>
        <v>70.06245120999219</v>
      </c>
      <c r="C199" s="5">
        <f>(L130*(E130/366))+(L131*(E131/366))</f>
        <v>0</v>
      </c>
      <c r="D199" s="5">
        <f>(M130*(E130/366))+(M131*(E131/366))</f>
        <v>28.024980483996874</v>
      </c>
      <c r="E199" s="18">
        <f t="shared" ref="E199" si="87">SUM(B199:D199)</f>
        <v>98.08743169398906</v>
      </c>
      <c r="G199" s="1">
        <v>2020</v>
      </c>
      <c r="H199" s="409">
        <f>(O131/$R131*100*($E131/366))</f>
        <v>0</v>
      </c>
      <c r="I199" s="409"/>
      <c r="J199" s="409">
        <f>(P131/$R131*100*($E131/366))</f>
        <v>71.807402825033506</v>
      </c>
      <c r="K199" s="409"/>
      <c r="L199" s="409">
        <f>(Q131/$R131*100*($E131/366))</f>
        <v>26.280028868955561</v>
      </c>
      <c r="M199" s="409"/>
      <c r="N199" s="379">
        <f>SUM(H199:M199)</f>
        <v>98.08743169398906</v>
      </c>
      <c r="O199" s="379"/>
      <c r="R199" s="1">
        <v>2020</v>
      </c>
      <c r="S199" s="5">
        <f>(O130*($E130/366))+(O131*($E131/366))</f>
        <v>0</v>
      </c>
      <c r="T199" s="5">
        <f>(P130*($E130/366))+(P131*($E131/366))</f>
        <v>38.057923497267758</v>
      </c>
      <c r="U199" s="5">
        <f>(Q130*($E130/366))+(Q131*($E131/366))</f>
        <v>13.928415300546447</v>
      </c>
      <c r="W199" s="5">
        <f>R130*($E130/366) + R131*($E131/366)</f>
        <v>51.986338797814206</v>
      </c>
    </row>
  </sheetData>
  <mergeCells count="400">
    <mergeCell ref="L189:M189"/>
    <mergeCell ref="L190:M190"/>
    <mergeCell ref="H151:I151"/>
    <mergeCell ref="H139:I139"/>
    <mergeCell ref="H140:I140"/>
    <mergeCell ref="H141:I141"/>
    <mergeCell ref="H142:I142"/>
    <mergeCell ref="H147:I147"/>
    <mergeCell ref="H143:I143"/>
    <mergeCell ref="H144:I144"/>
    <mergeCell ref="L181:M181"/>
    <mergeCell ref="L182:M182"/>
    <mergeCell ref="L171:M171"/>
    <mergeCell ref="L172:M172"/>
    <mergeCell ref="H153:I153"/>
    <mergeCell ref="H154:I154"/>
    <mergeCell ref="H155:I155"/>
    <mergeCell ref="H156:I156"/>
    <mergeCell ref="H157:I157"/>
    <mergeCell ref="J159:K159"/>
    <mergeCell ref="J160:K160"/>
    <mergeCell ref="J146:K146"/>
    <mergeCell ref="J149:K149"/>
    <mergeCell ref="J150:K150"/>
    <mergeCell ref="H196:I196"/>
    <mergeCell ref="J196:K196"/>
    <mergeCell ref="L196:M196"/>
    <mergeCell ref="N196:O196"/>
    <mergeCell ref="L192:M192"/>
    <mergeCell ref="N192:O192"/>
    <mergeCell ref="H192:I192"/>
    <mergeCell ref="H193:I193"/>
    <mergeCell ref="J193:K193"/>
    <mergeCell ref="L193:M193"/>
    <mergeCell ref="H195:I195"/>
    <mergeCell ref="J192:K192"/>
    <mergeCell ref="J195:K195"/>
    <mergeCell ref="L195:M195"/>
    <mergeCell ref="N195:O195"/>
    <mergeCell ref="H194:I194"/>
    <mergeCell ref="J194:K194"/>
    <mergeCell ref="L194:M194"/>
    <mergeCell ref="N194:O194"/>
    <mergeCell ref="H199:I199"/>
    <mergeCell ref="J199:K199"/>
    <mergeCell ref="L199:M199"/>
    <mergeCell ref="N199:O199"/>
    <mergeCell ref="N198:O198"/>
    <mergeCell ref="H198:I198"/>
    <mergeCell ref="L198:M198"/>
    <mergeCell ref="J198:K198"/>
    <mergeCell ref="H197:I197"/>
    <mergeCell ref="J197:K197"/>
    <mergeCell ref="L197:M197"/>
    <mergeCell ref="N197:O197"/>
    <mergeCell ref="L137:M137"/>
    <mergeCell ref="L150:M150"/>
    <mergeCell ref="L151:M151"/>
    <mergeCell ref="H146:I146"/>
    <mergeCell ref="L139:M139"/>
    <mergeCell ref="H148:I148"/>
    <mergeCell ref="H161:I161"/>
    <mergeCell ref="H152:I152"/>
    <mergeCell ref="J189:K189"/>
    <mergeCell ref="H145:I145"/>
    <mergeCell ref="J140:K140"/>
    <mergeCell ref="L138:M138"/>
    <mergeCell ref="H169:I169"/>
    <mergeCell ref="H166:I166"/>
    <mergeCell ref="H164:I164"/>
    <mergeCell ref="H165:I165"/>
    <mergeCell ref="H170:I170"/>
    <mergeCell ref="J175:K175"/>
    <mergeCell ref="J176:K176"/>
    <mergeCell ref="J177:K177"/>
    <mergeCell ref="J178:K178"/>
    <mergeCell ref="J179:K179"/>
    <mergeCell ref="J180:K180"/>
    <mergeCell ref="J181:K181"/>
    <mergeCell ref="J190:K190"/>
    <mergeCell ref="J191:K191"/>
    <mergeCell ref="H184:I184"/>
    <mergeCell ref="J171:K171"/>
    <mergeCell ref="H181:I181"/>
    <mergeCell ref="H182:I182"/>
    <mergeCell ref="J186:K186"/>
    <mergeCell ref="J187:K187"/>
    <mergeCell ref="J188:K188"/>
    <mergeCell ref="H183:I183"/>
    <mergeCell ref="H185:I185"/>
    <mergeCell ref="H180:I180"/>
    <mergeCell ref="H187:I187"/>
    <mergeCell ref="H188:I188"/>
    <mergeCell ref="H175:I175"/>
    <mergeCell ref="H176:I176"/>
    <mergeCell ref="H178:I178"/>
    <mergeCell ref="H179:I179"/>
    <mergeCell ref="H171:I171"/>
    <mergeCell ref="H173:I173"/>
    <mergeCell ref="H174:I174"/>
    <mergeCell ref="H190:I190"/>
    <mergeCell ref="H191:I191"/>
    <mergeCell ref="J174:K174"/>
    <mergeCell ref="L191:M191"/>
    <mergeCell ref="J141:K141"/>
    <mergeCell ref="J142:K142"/>
    <mergeCell ref="L183:M183"/>
    <mergeCell ref="L184:M184"/>
    <mergeCell ref="L185:M185"/>
    <mergeCell ref="L186:M186"/>
    <mergeCell ref="L187:M187"/>
    <mergeCell ref="L179:M179"/>
    <mergeCell ref="L180:M180"/>
    <mergeCell ref="J151:K151"/>
    <mergeCell ref="J147:K147"/>
    <mergeCell ref="L177:M177"/>
    <mergeCell ref="L178:M178"/>
    <mergeCell ref="L167:M167"/>
    <mergeCell ref="J166:K166"/>
    <mergeCell ref="J167:K167"/>
    <mergeCell ref="J168:K168"/>
    <mergeCell ref="J165:K165"/>
    <mergeCell ref="J169:K169"/>
    <mergeCell ref="J170:K170"/>
    <mergeCell ref="J163:K163"/>
    <mergeCell ref="J172:K172"/>
    <mergeCell ref="J173:K173"/>
    <mergeCell ref="H137:I137"/>
    <mergeCell ref="C126:D126"/>
    <mergeCell ref="C128:D128"/>
    <mergeCell ref="C129:D129"/>
    <mergeCell ref="C127:D127"/>
    <mergeCell ref="J139:K139"/>
    <mergeCell ref="C130:D130"/>
    <mergeCell ref="C131:D131"/>
    <mergeCell ref="H138:I138"/>
    <mergeCell ref="J138:K138"/>
    <mergeCell ref="O3:Q3"/>
    <mergeCell ref="J137:K137"/>
    <mergeCell ref="N137:O137"/>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4:D14"/>
    <mergeCell ref="C15:D15"/>
    <mergeCell ref="C16:D16"/>
    <mergeCell ref="C17:D17"/>
    <mergeCell ref="C115:D115"/>
    <mergeCell ref="C114:D114"/>
    <mergeCell ref="C34:D34"/>
    <mergeCell ref="C113:D113"/>
    <mergeCell ref="C102:D102"/>
    <mergeCell ref="C103:D103"/>
    <mergeCell ref="C104:D104"/>
    <mergeCell ref="C105:D105"/>
    <mergeCell ref="C106:D106"/>
    <mergeCell ref="C107:D107"/>
    <mergeCell ref="C96:D96"/>
    <mergeCell ref="C97:D97"/>
    <mergeCell ref="C98:D98"/>
    <mergeCell ref="C100:D100"/>
    <mergeCell ref="C101:D101"/>
    <mergeCell ref="C108:D108"/>
    <mergeCell ref="G3:M3"/>
    <mergeCell ref="C65:D65"/>
    <mergeCell ref="C54:D54"/>
    <mergeCell ref="C55:D55"/>
    <mergeCell ref="C56:D56"/>
    <mergeCell ref="C57:D57"/>
    <mergeCell ref="C58:D58"/>
    <mergeCell ref="C59:D59"/>
    <mergeCell ref="C48:D48"/>
    <mergeCell ref="C49:D49"/>
    <mergeCell ref="C50:D50"/>
    <mergeCell ref="C51:D51"/>
    <mergeCell ref="C52:D52"/>
    <mergeCell ref="C53:D53"/>
    <mergeCell ref="C61:D61"/>
    <mergeCell ref="C62:D62"/>
    <mergeCell ref="C63:D63"/>
    <mergeCell ref="C64:D64"/>
    <mergeCell ref="G4:J4"/>
    <mergeCell ref="C46:D46"/>
    <mergeCell ref="C47:D47"/>
    <mergeCell ref="C30:D30"/>
    <mergeCell ref="C31:D31"/>
    <mergeCell ref="C35:D35"/>
    <mergeCell ref="C88:D88"/>
    <mergeCell ref="C89:D89"/>
    <mergeCell ref="C78:D78"/>
    <mergeCell ref="C79:D79"/>
    <mergeCell ref="C80:D80"/>
    <mergeCell ref="C109:D109"/>
    <mergeCell ref="C110:D110"/>
    <mergeCell ref="C111:D111"/>
    <mergeCell ref="C112:D112"/>
    <mergeCell ref="C90:D90"/>
    <mergeCell ref="C91:D91"/>
    <mergeCell ref="C92:D92"/>
    <mergeCell ref="C93:D93"/>
    <mergeCell ref="C94:D94"/>
    <mergeCell ref="C95:D95"/>
    <mergeCell ref="C99:D99"/>
    <mergeCell ref="C84:D84"/>
    <mergeCell ref="C85:D85"/>
    <mergeCell ref="C86:D86"/>
    <mergeCell ref="C87:D87"/>
    <mergeCell ref="A4:A5"/>
    <mergeCell ref="C4:D5"/>
    <mergeCell ref="B4:B5"/>
    <mergeCell ref="E4:E5"/>
    <mergeCell ref="F4:F5"/>
    <mergeCell ref="C42:D42"/>
    <mergeCell ref="C43:D43"/>
    <mergeCell ref="C44:D44"/>
    <mergeCell ref="C45:D45"/>
    <mergeCell ref="C36:D36"/>
    <mergeCell ref="C37:D37"/>
    <mergeCell ref="C38:D38"/>
    <mergeCell ref="C39:D39"/>
    <mergeCell ref="C40:D40"/>
    <mergeCell ref="C41:D41"/>
    <mergeCell ref="C32:D32"/>
    <mergeCell ref="C33:D33"/>
    <mergeCell ref="C24:D24"/>
    <mergeCell ref="C25:D25"/>
    <mergeCell ref="C26:D26"/>
    <mergeCell ref="C27:D27"/>
    <mergeCell ref="C28:D28"/>
    <mergeCell ref="C29:D29"/>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C69:D69"/>
    <mergeCell ref="C70:D70"/>
    <mergeCell ref="C71:D71"/>
    <mergeCell ref="C60:D60"/>
    <mergeCell ref="J182:K182"/>
    <mergeCell ref="J183:K183"/>
    <mergeCell ref="J184:K184"/>
    <mergeCell ref="J185:K185"/>
    <mergeCell ref="H189:I189"/>
    <mergeCell ref="J164:K164"/>
    <mergeCell ref="H167:I167"/>
    <mergeCell ref="H168:I168"/>
    <mergeCell ref="H172:I172"/>
    <mergeCell ref="H177:I177"/>
    <mergeCell ref="H186:I186"/>
    <mergeCell ref="AT4:AW4"/>
    <mergeCell ref="AX4:BA4"/>
    <mergeCell ref="N190:O190"/>
    <mergeCell ref="N156:O156"/>
    <mergeCell ref="N157:O157"/>
    <mergeCell ref="N162:O162"/>
    <mergeCell ref="N163:O163"/>
    <mergeCell ref="N164:O164"/>
    <mergeCell ref="N165:O165"/>
    <mergeCell ref="N160:O160"/>
    <mergeCell ref="N161:O161"/>
    <mergeCell ref="AD4:AG4"/>
    <mergeCell ref="AH4:AK4"/>
    <mergeCell ref="AL4:AO4"/>
    <mergeCell ref="AP4:AS4"/>
    <mergeCell ref="V4:Y4"/>
    <mergeCell ref="K4:N4"/>
    <mergeCell ref="O4:R4"/>
    <mergeCell ref="Z4:AC4"/>
    <mergeCell ref="R135:W135"/>
    <mergeCell ref="N139:O139"/>
    <mergeCell ref="J152:K152"/>
    <mergeCell ref="J153:K153"/>
    <mergeCell ref="L173:M173"/>
    <mergeCell ref="C116:D116"/>
    <mergeCell ref="C117:D117"/>
    <mergeCell ref="N193:O193"/>
    <mergeCell ref="N182:O182"/>
    <mergeCell ref="N183:O183"/>
    <mergeCell ref="N166:O166"/>
    <mergeCell ref="N142:O142"/>
    <mergeCell ref="N143:O143"/>
    <mergeCell ref="N152:O152"/>
    <mergeCell ref="N153:O153"/>
    <mergeCell ref="N154:O154"/>
    <mergeCell ref="N155:O155"/>
    <mergeCell ref="N144:O144"/>
    <mergeCell ref="N145:O145"/>
    <mergeCell ref="N146:O146"/>
    <mergeCell ref="N151:O151"/>
    <mergeCell ref="N184:O184"/>
    <mergeCell ref="N185:O185"/>
    <mergeCell ref="N180:O180"/>
    <mergeCell ref="N191:O191"/>
    <mergeCell ref="N178:O178"/>
    <mergeCell ref="N179:O179"/>
    <mergeCell ref="N186:O186"/>
    <mergeCell ref="N187:O187"/>
    <mergeCell ref="L164:M164"/>
    <mergeCell ref="L165:M165"/>
    <mergeCell ref="L166:M166"/>
    <mergeCell ref="L168:M168"/>
    <mergeCell ref="N158:O158"/>
    <mergeCell ref="N159:O159"/>
    <mergeCell ref="L158:M158"/>
    <mergeCell ref="L149:M149"/>
    <mergeCell ref="L156:M156"/>
    <mergeCell ref="L157:M157"/>
    <mergeCell ref="L159:M159"/>
    <mergeCell ref="L160:M160"/>
    <mergeCell ref="L162:M162"/>
    <mergeCell ref="L163:M163"/>
    <mergeCell ref="N168:O168"/>
    <mergeCell ref="N149:O149"/>
    <mergeCell ref="N150:O150"/>
    <mergeCell ref="L161:M161"/>
    <mergeCell ref="L152:M152"/>
    <mergeCell ref="L153:M153"/>
    <mergeCell ref="L154:M154"/>
    <mergeCell ref="N188:O188"/>
    <mergeCell ref="N189:O189"/>
    <mergeCell ref="N167:O167"/>
    <mergeCell ref="N174:O174"/>
    <mergeCell ref="L155:M155"/>
    <mergeCell ref="L144:M144"/>
    <mergeCell ref="L145:M145"/>
    <mergeCell ref="L169:M169"/>
    <mergeCell ref="L170:M170"/>
    <mergeCell ref="N147:O147"/>
    <mergeCell ref="L148:M148"/>
    <mergeCell ref="N175:O175"/>
    <mergeCell ref="N176:O176"/>
    <mergeCell ref="N177:O177"/>
    <mergeCell ref="N169:O169"/>
    <mergeCell ref="N170:O170"/>
    <mergeCell ref="N171:O171"/>
    <mergeCell ref="N172:O172"/>
    <mergeCell ref="N173:O173"/>
    <mergeCell ref="N181:O181"/>
    <mergeCell ref="L174:M174"/>
    <mergeCell ref="L175:M175"/>
    <mergeCell ref="L188:M188"/>
    <mergeCell ref="L176:M176"/>
    <mergeCell ref="C122:D122"/>
    <mergeCell ref="C123:D123"/>
    <mergeCell ref="H149:I149"/>
    <mergeCell ref="H150:I150"/>
    <mergeCell ref="L146:M146"/>
    <mergeCell ref="L147:M147"/>
    <mergeCell ref="N148:O148"/>
    <mergeCell ref="C118:D118"/>
    <mergeCell ref="C119:D119"/>
    <mergeCell ref="N140:O140"/>
    <mergeCell ref="N141:O141"/>
    <mergeCell ref="J143:K143"/>
    <mergeCell ref="C121:D121"/>
    <mergeCell ref="C120:D120"/>
    <mergeCell ref="N138:O138"/>
    <mergeCell ref="J148:K148"/>
    <mergeCell ref="J144:K144"/>
    <mergeCell ref="J145:K145"/>
    <mergeCell ref="L140:M140"/>
    <mergeCell ref="L141:M141"/>
    <mergeCell ref="L142:M142"/>
    <mergeCell ref="L143:M143"/>
    <mergeCell ref="C124:D124"/>
    <mergeCell ref="C125:D125"/>
    <mergeCell ref="H163:I163"/>
    <mergeCell ref="H162:I162"/>
    <mergeCell ref="J154:K154"/>
    <mergeCell ref="H158:I158"/>
    <mergeCell ref="H159:I159"/>
    <mergeCell ref="H160:I160"/>
    <mergeCell ref="J158:K158"/>
    <mergeCell ref="J157:K157"/>
    <mergeCell ref="J162:K162"/>
    <mergeCell ref="J161:K161"/>
    <mergeCell ref="J155:K155"/>
    <mergeCell ref="J156:K156"/>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A206"/>
  <sheetViews>
    <sheetView zoomScale="125" zoomScaleNormal="88" workbookViewId="0">
      <pane xSplit="1" ySplit="5" topLeftCell="B53" activePane="bottomRight" state="frozen"/>
      <selection pane="topRight" activeCell="B1" sqref="B1"/>
      <selection pane="bottomLeft" activeCell="A6" sqref="A6"/>
      <selection pane="bottomRight" activeCell="B2" sqref="B2"/>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c r="K1" s="23"/>
    </row>
    <row r="2" spans="1:53" ht="15" customHeight="1" x14ac:dyDescent="0.15">
      <c r="B2" s="16" t="s">
        <v>49</v>
      </c>
      <c r="J2" s="23"/>
      <c r="K2" s="23"/>
      <c r="L2" s="23"/>
      <c r="M2" s="23"/>
      <c r="N2" s="23"/>
      <c r="O2" s="23"/>
      <c r="P2" s="23"/>
      <c r="Q2" s="23"/>
      <c r="R2" s="23"/>
      <c r="S2" s="23"/>
      <c r="T2" s="23"/>
      <c r="U2" s="23"/>
    </row>
    <row r="3" spans="1:53" x14ac:dyDescent="0.15">
      <c r="G3" s="415"/>
      <c r="H3" s="415"/>
      <c r="I3" s="415"/>
      <c r="J3" s="415"/>
      <c r="K3" s="415"/>
      <c r="L3" s="415"/>
      <c r="M3" s="415"/>
      <c r="O3" s="415"/>
      <c r="P3" s="415"/>
      <c r="Q3" s="415"/>
      <c r="R3" s="4"/>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138"/>
      <c r="C6" s="416" t="s">
        <v>193</v>
      </c>
      <c r="D6" s="416"/>
      <c r="E6" s="140">
        <v>0</v>
      </c>
      <c r="G6" s="148">
        <v>7</v>
      </c>
      <c r="H6" s="140">
        <v>14</v>
      </c>
      <c r="J6" s="154">
        <v>21</v>
      </c>
      <c r="K6" s="134">
        <f>G6/J6*100</f>
        <v>33.333333333333329</v>
      </c>
      <c r="L6" s="134">
        <f>H6/J6*100</f>
        <v>66.666666666666657</v>
      </c>
      <c r="M6" s="134">
        <f>I6/J6*100</f>
        <v>0</v>
      </c>
      <c r="N6" s="150">
        <f>SUM(K6:M6)</f>
        <v>99.999999999999986</v>
      </c>
      <c r="O6" s="133">
        <v>9.9</v>
      </c>
      <c r="P6" s="134">
        <v>49.1</v>
      </c>
      <c r="Q6" s="134"/>
      <c r="R6" s="135">
        <f>SUM(O6:Q6)</f>
        <v>59</v>
      </c>
      <c r="S6" s="140">
        <v>2</v>
      </c>
      <c r="T6" s="137"/>
      <c r="U6" s="138"/>
      <c r="V6" s="139" t="s">
        <v>80</v>
      </c>
      <c r="W6" s="140" t="s">
        <v>17</v>
      </c>
      <c r="X6" s="140" t="s">
        <v>18</v>
      </c>
      <c r="Y6" s="141">
        <v>49.1</v>
      </c>
      <c r="Z6" s="140" t="s">
        <v>82</v>
      </c>
      <c r="AA6" s="140" t="s">
        <v>22</v>
      </c>
      <c r="AB6" s="140" t="s">
        <v>11</v>
      </c>
      <c r="AC6" s="140">
        <v>9.9</v>
      </c>
      <c r="AD6" s="139"/>
      <c r="AG6" s="141"/>
      <c r="AL6" s="139"/>
      <c r="AO6" s="141"/>
      <c r="AP6" s="139"/>
      <c r="AS6" s="141"/>
      <c r="AW6" s="141"/>
      <c r="BA6" s="142"/>
    </row>
    <row r="7" spans="1:53" s="140" customFormat="1" x14ac:dyDescent="0.15">
      <c r="A7" s="146">
        <v>1959</v>
      </c>
      <c r="B7" s="138"/>
      <c r="C7" s="416" t="s">
        <v>193</v>
      </c>
      <c r="D7" s="416"/>
      <c r="E7" s="140">
        <v>365</v>
      </c>
      <c r="G7" s="148">
        <v>7</v>
      </c>
      <c r="H7" s="140">
        <v>14</v>
      </c>
      <c r="J7" s="154">
        <v>21</v>
      </c>
      <c r="K7" s="134">
        <f>G7/J7*100</f>
        <v>33.333333333333329</v>
      </c>
      <c r="L7" s="134">
        <f>H7/J7*100</f>
        <v>66.666666666666657</v>
      </c>
      <c r="M7" s="134">
        <f>I7/J7*100</f>
        <v>0</v>
      </c>
      <c r="N7" s="150">
        <f>SUM(K7:M7)</f>
        <v>99.999999999999986</v>
      </c>
      <c r="O7" s="133">
        <v>9.9</v>
      </c>
      <c r="P7" s="134">
        <v>49.1</v>
      </c>
      <c r="Q7" s="134"/>
      <c r="R7" s="135">
        <f>SUM(O7:Q7)</f>
        <v>59</v>
      </c>
      <c r="S7" s="140">
        <v>2</v>
      </c>
      <c r="T7" s="137"/>
      <c r="U7" s="138"/>
      <c r="V7" s="139" t="s">
        <v>80</v>
      </c>
      <c r="W7" s="140" t="s">
        <v>17</v>
      </c>
      <c r="X7" s="140" t="s">
        <v>18</v>
      </c>
      <c r="Y7" s="141">
        <v>49.1</v>
      </c>
      <c r="Z7" s="140" t="s">
        <v>82</v>
      </c>
      <c r="AA7" s="140" t="s">
        <v>22</v>
      </c>
      <c r="AB7" s="140" t="s">
        <v>11</v>
      </c>
      <c r="AC7" s="140">
        <v>9.9</v>
      </c>
      <c r="AD7" s="139"/>
      <c r="AG7" s="141"/>
      <c r="AL7" s="139"/>
      <c r="AO7" s="141"/>
      <c r="AP7" s="139"/>
      <c r="AS7" s="141"/>
      <c r="AW7" s="141"/>
      <c r="BA7" s="142"/>
    </row>
    <row r="8" spans="1:53" s="29" customFormat="1" x14ac:dyDescent="0.15">
      <c r="A8" s="52">
        <v>1960</v>
      </c>
      <c r="B8" s="41"/>
      <c r="C8" s="411" t="s">
        <v>193</v>
      </c>
      <c r="D8" s="411"/>
      <c r="E8" s="29">
        <v>245</v>
      </c>
      <c r="G8" s="66">
        <v>7</v>
      </c>
      <c r="H8" s="29">
        <v>14</v>
      </c>
      <c r="J8" s="73">
        <v>21</v>
      </c>
      <c r="K8" s="47">
        <f>G8/J8*100</f>
        <v>33.333333333333329</v>
      </c>
      <c r="L8" s="47">
        <f>H8/J8*100</f>
        <v>66.666666666666657</v>
      </c>
      <c r="M8" s="47">
        <f>I8/J8*100</f>
        <v>0</v>
      </c>
      <c r="N8" s="68">
        <f t="shared" ref="N8:N71" si="0">SUM(K8:M8)</f>
        <v>99.999999999999986</v>
      </c>
      <c r="O8" s="46">
        <v>9.9</v>
      </c>
      <c r="P8" s="47">
        <v>49.1</v>
      </c>
      <c r="Q8" s="47"/>
      <c r="R8" s="48">
        <f>SUM(O8:Q8)</f>
        <v>59</v>
      </c>
      <c r="S8" s="29">
        <v>2</v>
      </c>
      <c r="T8" s="50"/>
      <c r="U8" s="41"/>
      <c r="V8" s="38" t="s">
        <v>80</v>
      </c>
      <c r="W8" s="29" t="s">
        <v>17</v>
      </c>
      <c r="X8" s="29" t="s">
        <v>18</v>
      </c>
      <c r="Y8" s="39">
        <v>49.1</v>
      </c>
      <c r="Z8" s="29" t="s">
        <v>82</v>
      </c>
      <c r="AA8" s="29" t="s">
        <v>22</v>
      </c>
      <c r="AB8" s="29" t="s">
        <v>11</v>
      </c>
      <c r="AC8" s="29">
        <v>9.9</v>
      </c>
      <c r="AD8" s="38"/>
      <c r="AG8" s="39"/>
      <c r="AL8" s="38"/>
      <c r="AO8" s="39"/>
      <c r="AP8" s="38"/>
      <c r="AS8" s="39"/>
      <c r="AW8" s="39"/>
      <c r="BA8" s="40"/>
    </row>
    <row r="9" spans="1:53" s="29" customFormat="1" x14ac:dyDescent="0.15">
      <c r="A9" s="52">
        <v>1960</v>
      </c>
      <c r="B9" s="300">
        <v>22161</v>
      </c>
      <c r="C9" s="411" t="s">
        <v>193</v>
      </c>
      <c r="D9" s="411"/>
      <c r="E9" s="29">
        <v>121</v>
      </c>
      <c r="F9" s="70">
        <v>0</v>
      </c>
      <c r="G9" s="66">
        <v>7</v>
      </c>
      <c r="H9" s="29">
        <v>13</v>
      </c>
      <c r="J9" s="73">
        <v>20</v>
      </c>
      <c r="K9" s="47">
        <f t="shared" ref="K9:K14" si="1">G9/J9*100</f>
        <v>35</v>
      </c>
      <c r="L9" s="47">
        <f t="shared" ref="L9:L14" si="2">H9/J9*100</f>
        <v>65</v>
      </c>
      <c r="M9" s="47">
        <f t="shared" ref="M9:M14" si="3">I9/J9*100</f>
        <v>0</v>
      </c>
      <c r="N9" s="68">
        <f t="shared" si="0"/>
        <v>100</v>
      </c>
      <c r="O9" s="46">
        <v>9.9</v>
      </c>
      <c r="P9" s="47">
        <v>49.1</v>
      </c>
      <c r="Q9" s="47"/>
      <c r="R9" s="48">
        <f t="shared" ref="R9:R72" si="4">SUM(O9:Q9)</f>
        <v>59</v>
      </c>
      <c r="S9" s="29">
        <v>2</v>
      </c>
      <c r="T9" s="50"/>
      <c r="U9" s="41"/>
      <c r="V9" s="38" t="s">
        <v>80</v>
      </c>
      <c r="W9" s="29" t="s">
        <v>17</v>
      </c>
      <c r="X9" s="29" t="s">
        <v>18</v>
      </c>
      <c r="Y9" s="39">
        <v>49.1</v>
      </c>
      <c r="Z9" s="29" t="s">
        <v>82</v>
      </c>
      <c r="AA9" s="29" t="s">
        <v>22</v>
      </c>
      <c r="AB9" s="29" t="s">
        <v>11</v>
      </c>
      <c r="AC9" s="29">
        <v>9.9</v>
      </c>
      <c r="AD9" s="38"/>
      <c r="AG9" s="39"/>
      <c r="AL9" s="38"/>
      <c r="AO9" s="39"/>
      <c r="AP9" s="38"/>
      <c r="AS9" s="39"/>
      <c r="AW9" s="39"/>
      <c r="BA9" s="40"/>
    </row>
    <row r="10" spans="1:53" s="29" customFormat="1" x14ac:dyDescent="0.15">
      <c r="A10" s="52">
        <v>1961</v>
      </c>
      <c r="B10" s="295"/>
      <c r="C10" s="411" t="s">
        <v>193</v>
      </c>
      <c r="D10" s="411"/>
      <c r="E10" s="29">
        <v>114</v>
      </c>
      <c r="G10" s="66">
        <v>7</v>
      </c>
      <c r="H10" s="29">
        <v>13</v>
      </c>
      <c r="J10" s="73">
        <v>20</v>
      </c>
      <c r="K10" s="47">
        <f t="shared" si="1"/>
        <v>35</v>
      </c>
      <c r="L10" s="47">
        <f t="shared" si="2"/>
        <v>65</v>
      </c>
      <c r="M10" s="47">
        <f t="shared" si="3"/>
        <v>0</v>
      </c>
      <c r="N10" s="68">
        <f t="shared" si="0"/>
        <v>100</v>
      </c>
      <c r="O10" s="46">
        <v>9.9</v>
      </c>
      <c r="P10" s="47">
        <v>49.1</v>
      </c>
      <c r="Q10" s="47"/>
      <c r="R10" s="48">
        <f t="shared" si="4"/>
        <v>59</v>
      </c>
      <c r="S10" s="29">
        <v>2</v>
      </c>
      <c r="T10" s="50"/>
      <c r="U10" s="41"/>
      <c r="V10" s="38" t="s">
        <v>80</v>
      </c>
      <c r="W10" s="29" t="s">
        <v>17</v>
      </c>
      <c r="X10" s="29" t="s">
        <v>18</v>
      </c>
      <c r="Y10" s="39">
        <v>49.1</v>
      </c>
      <c r="Z10" s="29" t="s">
        <v>82</v>
      </c>
      <c r="AA10" s="29" t="s">
        <v>22</v>
      </c>
      <c r="AB10" s="29" t="s">
        <v>11</v>
      </c>
      <c r="AC10" s="29">
        <v>9.9</v>
      </c>
      <c r="AD10" s="38"/>
      <c r="AG10" s="39"/>
      <c r="AL10" s="38"/>
      <c r="AO10" s="39"/>
      <c r="AP10" s="38"/>
      <c r="AS10" s="39"/>
      <c r="AW10" s="39"/>
      <c r="BA10" s="40"/>
    </row>
    <row r="11" spans="1:53" s="171" customFormat="1" x14ac:dyDescent="0.15">
      <c r="A11" s="216">
        <v>1961</v>
      </c>
      <c r="B11" s="283">
        <v>22396</v>
      </c>
      <c r="C11" s="402" t="s">
        <v>1182</v>
      </c>
      <c r="D11" s="402"/>
      <c r="E11" s="171">
        <v>251</v>
      </c>
      <c r="F11" s="171">
        <v>1</v>
      </c>
      <c r="G11" s="233"/>
      <c r="H11" s="171">
        <v>10</v>
      </c>
      <c r="I11" s="171">
        <v>7</v>
      </c>
      <c r="J11" s="241">
        <v>17</v>
      </c>
      <c r="K11" s="214">
        <f t="shared" si="1"/>
        <v>0</v>
      </c>
      <c r="L11" s="214">
        <f t="shared" si="2"/>
        <v>58.82352941176471</v>
      </c>
      <c r="M11" s="214">
        <f t="shared" si="3"/>
        <v>41.17647058823529</v>
      </c>
      <c r="N11" s="235">
        <f t="shared" si="0"/>
        <v>100</v>
      </c>
      <c r="O11" s="213"/>
      <c r="P11" s="214">
        <v>45.3</v>
      </c>
      <c r="Q11" s="214">
        <v>39.6</v>
      </c>
      <c r="R11" s="215">
        <f t="shared" si="4"/>
        <v>84.9</v>
      </c>
      <c r="S11" s="171">
        <v>2</v>
      </c>
      <c r="T11" s="285">
        <v>22366</v>
      </c>
      <c r="U11" s="283">
        <v>22396</v>
      </c>
      <c r="V11" s="178" t="s">
        <v>80</v>
      </c>
      <c r="W11" s="171" t="s">
        <v>17</v>
      </c>
      <c r="X11" s="171" t="s">
        <v>18</v>
      </c>
      <c r="Y11" s="179">
        <v>45.3</v>
      </c>
      <c r="Z11" s="171" t="s">
        <v>83</v>
      </c>
      <c r="AA11" s="171" t="s">
        <v>20</v>
      </c>
      <c r="AB11" s="171" t="s">
        <v>12</v>
      </c>
      <c r="AC11" s="171">
        <v>39.6</v>
      </c>
      <c r="AD11" s="178"/>
      <c r="AG11" s="179"/>
      <c r="AL11" s="178"/>
      <c r="AO11" s="179"/>
      <c r="AP11" s="178"/>
      <c r="AS11" s="179"/>
      <c r="AW11" s="179"/>
      <c r="BA11" s="180"/>
    </row>
    <row r="12" spans="1:53" s="171" customFormat="1" x14ac:dyDescent="0.15">
      <c r="A12" s="216">
        <v>1962</v>
      </c>
      <c r="B12" s="283"/>
      <c r="C12" s="402" t="s">
        <v>1182</v>
      </c>
      <c r="D12" s="402"/>
      <c r="E12" s="171">
        <v>0</v>
      </c>
      <c r="G12" s="233"/>
      <c r="H12" s="171">
        <v>10</v>
      </c>
      <c r="I12" s="171">
        <v>7</v>
      </c>
      <c r="J12" s="241">
        <v>17</v>
      </c>
      <c r="K12" s="214">
        <f t="shared" si="1"/>
        <v>0</v>
      </c>
      <c r="L12" s="214">
        <f t="shared" si="2"/>
        <v>58.82352941176471</v>
      </c>
      <c r="M12" s="214">
        <f t="shared" si="3"/>
        <v>41.17647058823529</v>
      </c>
      <c r="N12" s="235">
        <f t="shared" si="0"/>
        <v>100</v>
      </c>
      <c r="O12" s="213"/>
      <c r="P12" s="214">
        <v>45.3</v>
      </c>
      <c r="Q12" s="214">
        <v>39.6</v>
      </c>
      <c r="R12" s="215">
        <f t="shared" si="4"/>
        <v>84.9</v>
      </c>
      <c r="S12" s="171">
        <v>2</v>
      </c>
      <c r="T12" s="285"/>
      <c r="U12" s="283"/>
      <c r="V12" s="178" t="s">
        <v>80</v>
      </c>
      <c r="W12" s="171" t="s">
        <v>17</v>
      </c>
      <c r="X12" s="171" t="s">
        <v>18</v>
      </c>
      <c r="Y12" s="179">
        <v>45.3</v>
      </c>
      <c r="Z12" s="171" t="s">
        <v>83</v>
      </c>
      <c r="AA12" s="171" t="s">
        <v>20</v>
      </c>
      <c r="AB12" s="171" t="s">
        <v>12</v>
      </c>
      <c r="AC12" s="171">
        <v>39.6</v>
      </c>
      <c r="AD12" s="178"/>
      <c r="AG12" s="179"/>
      <c r="AL12" s="178"/>
      <c r="AO12" s="179"/>
      <c r="AP12" s="178"/>
      <c r="AS12" s="179"/>
      <c r="AW12" s="179"/>
      <c r="BA12" s="180"/>
    </row>
    <row r="13" spans="1:53" s="171" customFormat="1" x14ac:dyDescent="0.15">
      <c r="A13" s="216">
        <v>1962</v>
      </c>
      <c r="B13" s="283"/>
      <c r="C13" s="402" t="s">
        <v>1182</v>
      </c>
      <c r="D13" s="402"/>
      <c r="E13" s="171">
        <v>365</v>
      </c>
      <c r="G13" s="233"/>
      <c r="H13" s="171">
        <v>10</v>
      </c>
      <c r="I13" s="171">
        <v>7</v>
      </c>
      <c r="J13" s="241">
        <v>17</v>
      </c>
      <c r="K13" s="214">
        <f t="shared" si="1"/>
        <v>0</v>
      </c>
      <c r="L13" s="214">
        <f t="shared" si="2"/>
        <v>58.82352941176471</v>
      </c>
      <c r="M13" s="214">
        <f t="shared" si="3"/>
        <v>41.17647058823529</v>
      </c>
      <c r="N13" s="235">
        <f t="shared" si="0"/>
        <v>100</v>
      </c>
      <c r="O13" s="213"/>
      <c r="P13" s="214">
        <v>45.3</v>
      </c>
      <c r="Q13" s="214">
        <v>39.6</v>
      </c>
      <c r="R13" s="215">
        <f t="shared" si="4"/>
        <v>84.9</v>
      </c>
      <c r="S13" s="171">
        <v>2</v>
      </c>
      <c r="T13" s="285"/>
      <c r="U13" s="283"/>
      <c r="V13" s="178" t="s">
        <v>80</v>
      </c>
      <c r="W13" s="171" t="s">
        <v>17</v>
      </c>
      <c r="X13" s="171" t="s">
        <v>18</v>
      </c>
      <c r="Y13" s="179">
        <v>45.3</v>
      </c>
      <c r="Z13" s="171" t="s">
        <v>83</v>
      </c>
      <c r="AA13" s="171" t="s">
        <v>20</v>
      </c>
      <c r="AB13" s="171" t="s">
        <v>12</v>
      </c>
      <c r="AC13" s="171">
        <v>39.6</v>
      </c>
      <c r="AD13" s="178"/>
      <c r="AG13" s="179"/>
      <c r="AL13" s="178"/>
      <c r="AO13" s="179"/>
      <c r="AP13" s="178"/>
      <c r="AS13" s="179"/>
      <c r="AW13" s="179"/>
      <c r="BA13" s="180"/>
    </row>
    <row r="14" spans="1:53" s="171" customFormat="1" x14ac:dyDescent="0.15">
      <c r="A14" s="216">
        <v>1962.6</v>
      </c>
      <c r="B14" s="283"/>
      <c r="C14" s="402" t="s">
        <v>1182</v>
      </c>
      <c r="D14" s="402"/>
      <c r="E14" s="171">
        <v>0</v>
      </c>
      <c r="G14" s="233"/>
      <c r="H14" s="171">
        <v>10</v>
      </c>
      <c r="I14" s="171">
        <v>7</v>
      </c>
      <c r="J14" s="241">
        <v>17</v>
      </c>
      <c r="K14" s="214">
        <f t="shared" si="1"/>
        <v>0</v>
      </c>
      <c r="L14" s="214">
        <f t="shared" si="2"/>
        <v>58.82352941176471</v>
      </c>
      <c r="M14" s="214">
        <f t="shared" si="3"/>
        <v>41.17647058823529</v>
      </c>
      <c r="N14" s="235">
        <f t="shared" si="0"/>
        <v>100</v>
      </c>
      <c r="O14" s="213"/>
      <c r="P14" s="214">
        <v>45.3</v>
      </c>
      <c r="Q14" s="214">
        <v>39.6</v>
      </c>
      <c r="R14" s="215">
        <f t="shared" si="4"/>
        <v>84.9</v>
      </c>
      <c r="S14" s="171">
        <v>2</v>
      </c>
      <c r="T14" s="285"/>
      <c r="U14" s="283"/>
      <c r="V14" s="178" t="s">
        <v>80</v>
      </c>
      <c r="W14" s="171" t="s">
        <v>17</v>
      </c>
      <c r="X14" s="171" t="s">
        <v>18</v>
      </c>
      <c r="Y14" s="179">
        <v>45.3</v>
      </c>
      <c r="Z14" s="171" t="s">
        <v>83</v>
      </c>
      <c r="AA14" s="171" t="s">
        <v>20</v>
      </c>
      <c r="AB14" s="171" t="s">
        <v>12</v>
      </c>
      <c r="AC14" s="171">
        <v>39.6</v>
      </c>
      <c r="AD14" s="178"/>
      <c r="AG14" s="179"/>
      <c r="AL14" s="178"/>
      <c r="AO14" s="179"/>
      <c r="AP14" s="178"/>
      <c r="AS14" s="179"/>
      <c r="AW14" s="179"/>
      <c r="BA14" s="180"/>
    </row>
    <row r="15" spans="1:53" s="171" customFormat="1" x14ac:dyDescent="0.15">
      <c r="A15" s="216">
        <v>1963.05714285714</v>
      </c>
      <c r="B15" s="283"/>
      <c r="C15" s="402" t="s">
        <v>1182</v>
      </c>
      <c r="D15" s="402"/>
      <c r="E15" s="171">
        <v>365</v>
      </c>
      <c r="G15" s="233"/>
      <c r="H15" s="171">
        <v>10</v>
      </c>
      <c r="I15" s="171">
        <v>7</v>
      </c>
      <c r="J15" s="241">
        <v>17</v>
      </c>
      <c r="K15" s="214">
        <f>G15/J15*100</f>
        <v>0</v>
      </c>
      <c r="L15" s="214">
        <f>H15/J15*100</f>
        <v>58.82352941176471</v>
      </c>
      <c r="M15" s="214">
        <f>I15/J15*100</f>
        <v>41.17647058823529</v>
      </c>
      <c r="N15" s="235">
        <f t="shared" si="0"/>
        <v>100</v>
      </c>
      <c r="O15" s="213"/>
      <c r="P15" s="214">
        <v>45.3</v>
      </c>
      <c r="Q15" s="214">
        <v>39.6</v>
      </c>
      <c r="R15" s="215">
        <f t="shared" si="4"/>
        <v>84.9</v>
      </c>
      <c r="S15" s="171">
        <v>2</v>
      </c>
      <c r="T15" s="285"/>
      <c r="U15" s="283"/>
      <c r="V15" s="178" t="s">
        <v>80</v>
      </c>
      <c r="W15" s="171" t="s">
        <v>17</v>
      </c>
      <c r="X15" s="171" t="s">
        <v>18</v>
      </c>
      <c r="Y15" s="179">
        <v>45.3</v>
      </c>
      <c r="Z15" s="171" t="s">
        <v>83</v>
      </c>
      <c r="AA15" s="171" t="s">
        <v>20</v>
      </c>
      <c r="AB15" s="171" t="s">
        <v>12</v>
      </c>
      <c r="AC15" s="171">
        <v>39.6</v>
      </c>
      <c r="AD15" s="178"/>
      <c r="AG15" s="179"/>
      <c r="AL15" s="178"/>
      <c r="AO15" s="179"/>
      <c r="AP15" s="178"/>
      <c r="AS15" s="179"/>
      <c r="AW15" s="179"/>
      <c r="BA15" s="180"/>
    </row>
    <row r="16" spans="1:53" s="171" customFormat="1" x14ac:dyDescent="0.15">
      <c r="A16" s="216">
        <v>1963.5142857142901</v>
      </c>
      <c r="B16" s="283"/>
      <c r="C16" s="402" t="s">
        <v>1182</v>
      </c>
      <c r="D16" s="402"/>
      <c r="E16" s="171">
        <v>0</v>
      </c>
      <c r="G16" s="233"/>
      <c r="H16" s="171">
        <v>10</v>
      </c>
      <c r="I16" s="171">
        <v>7</v>
      </c>
      <c r="J16" s="241">
        <v>17</v>
      </c>
      <c r="K16" s="214">
        <f t="shared" ref="K16:K21" si="5">G16/J16*100</f>
        <v>0</v>
      </c>
      <c r="L16" s="214">
        <f t="shared" ref="L16:L21" si="6">H16/J16*100</f>
        <v>58.82352941176471</v>
      </c>
      <c r="M16" s="214">
        <f t="shared" ref="M16:M21" si="7">I16/J16*100</f>
        <v>41.17647058823529</v>
      </c>
      <c r="N16" s="235">
        <f t="shared" si="0"/>
        <v>100</v>
      </c>
      <c r="O16" s="213"/>
      <c r="P16" s="214">
        <v>45.3</v>
      </c>
      <c r="Q16" s="214">
        <v>39.6</v>
      </c>
      <c r="R16" s="215">
        <f t="shared" si="4"/>
        <v>84.9</v>
      </c>
      <c r="S16" s="171">
        <v>2</v>
      </c>
      <c r="T16" s="285"/>
      <c r="U16" s="283"/>
      <c r="V16" s="178" t="s">
        <v>80</v>
      </c>
      <c r="W16" s="171" t="s">
        <v>17</v>
      </c>
      <c r="X16" s="171" t="s">
        <v>18</v>
      </c>
      <c r="Y16" s="179">
        <v>45.3</v>
      </c>
      <c r="Z16" s="171" t="s">
        <v>83</v>
      </c>
      <c r="AA16" s="171" t="s">
        <v>20</v>
      </c>
      <c r="AB16" s="171" t="s">
        <v>12</v>
      </c>
      <c r="AC16" s="171">
        <v>39.6</v>
      </c>
      <c r="AD16" s="178"/>
      <c r="AG16" s="179"/>
      <c r="AL16" s="178"/>
      <c r="AO16" s="179"/>
      <c r="AP16" s="178"/>
      <c r="AS16" s="179"/>
      <c r="AW16" s="179"/>
      <c r="BA16" s="180"/>
    </row>
    <row r="17" spans="1:53" s="171" customFormat="1" x14ac:dyDescent="0.15">
      <c r="A17" s="216">
        <v>1963.9714285714299</v>
      </c>
      <c r="B17" s="283"/>
      <c r="C17" s="402" t="s">
        <v>1182</v>
      </c>
      <c r="D17" s="402"/>
      <c r="E17" s="171">
        <v>366</v>
      </c>
      <c r="G17" s="233"/>
      <c r="H17" s="171">
        <v>10</v>
      </c>
      <c r="I17" s="171">
        <v>7</v>
      </c>
      <c r="J17" s="241">
        <v>17</v>
      </c>
      <c r="K17" s="214">
        <f t="shared" si="5"/>
        <v>0</v>
      </c>
      <c r="L17" s="214">
        <f t="shared" si="6"/>
        <v>58.82352941176471</v>
      </c>
      <c r="M17" s="214">
        <f t="shared" si="7"/>
        <v>41.17647058823529</v>
      </c>
      <c r="N17" s="235">
        <f t="shared" si="0"/>
        <v>100</v>
      </c>
      <c r="O17" s="213"/>
      <c r="P17" s="214">
        <v>45.3</v>
      </c>
      <c r="Q17" s="214">
        <v>39.6</v>
      </c>
      <c r="R17" s="215">
        <f t="shared" si="4"/>
        <v>84.9</v>
      </c>
      <c r="S17" s="171">
        <v>2</v>
      </c>
      <c r="T17" s="285"/>
      <c r="U17" s="283"/>
      <c r="V17" s="178" t="s">
        <v>80</v>
      </c>
      <c r="W17" s="171" t="s">
        <v>17</v>
      </c>
      <c r="X17" s="171" t="s">
        <v>18</v>
      </c>
      <c r="Y17" s="179">
        <v>45.3</v>
      </c>
      <c r="Z17" s="171" t="s">
        <v>83</v>
      </c>
      <c r="AA17" s="171" t="s">
        <v>20</v>
      </c>
      <c r="AB17" s="171" t="s">
        <v>12</v>
      </c>
      <c r="AC17" s="171">
        <v>39.6</v>
      </c>
      <c r="AD17" s="178"/>
      <c r="AG17" s="179"/>
      <c r="AL17" s="178"/>
      <c r="AO17" s="179"/>
      <c r="AP17" s="178"/>
      <c r="AS17" s="179"/>
      <c r="AW17" s="179"/>
      <c r="BA17" s="180"/>
    </row>
    <row r="18" spans="1:53" s="171" customFormat="1" x14ac:dyDescent="0.15">
      <c r="A18" s="216">
        <v>1965</v>
      </c>
      <c r="B18" s="283"/>
      <c r="C18" s="402" t="s">
        <v>1182</v>
      </c>
      <c r="D18" s="402"/>
      <c r="E18" s="171">
        <v>208</v>
      </c>
      <c r="G18" s="233"/>
      <c r="H18" s="171">
        <v>10</v>
      </c>
      <c r="I18" s="171">
        <v>7</v>
      </c>
      <c r="J18" s="241">
        <v>17</v>
      </c>
      <c r="K18" s="214">
        <f t="shared" si="5"/>
        <v>0</v>
      </c>
      <c r="L18" s="214">
        <f t="shared" si="6"/>
        <v>58.82352941176471</v>
      </c>
      <c r="M18" s="214">
        <f t="shared" si="7"/>
        <v>41.17647058823529</v>
      </c>
      <c r="N18" s="235">
        <f t="shared" si="0"/>
        <v>100</v>
      </c>
      <c r="O18" s="213"/>
      <c r="P18" s="214">
        <v>45.3</v>
      </c>
      <c r="Q18" s="214">
        <v>39.6</v>
      </c>
      <c r="R18" s="215">
        <f t="shared" si="4"/>
        <v>84.9</v>
      </c>
      <c r="S18" s="171">
        <v>2</v>
      </c>
      <c r="T18" s="285"/>
      <c r="U18" s="283"/>
      <c r="V18" s="178" t="s">
        <v>80</v>
      </c>
      <c r="W18" s="171" t="s">
        <v>17</v>
      </c>
      <c r="X18" s="171" t="s">
        <v>18</v>
      </c>
      <c r="Y18" s="179">
        <v>45.3</v>
      </c>
      <c r="Z18" s="171" t="s">
        <v>83</v>
      </c>
      <c r="AA18" s="171" t="s">
        <v>20</v>
      </c>
      <c r="AB18" s="171" t="s">
        <v>12</v>
      </c>
      <c r="AC18" s="171">
        <v>39.6</v>
      </c>
      <c r="AD18" s="178"/>
      <c r="AG18" s="179"/>
      <c r="AL18" s="178"/>
      <c r="AO18" s="179"/>
      <c r="AP18" s="178"/>
      <c r="AS18" s="179"/>
      <c r="AW18" s="179"/>
      <c r="BA18" s="180"/>
    </row>
    <row r="19" spans="1:53" s="29" customFormat="1" x14ac:dyDescent="0.15">
      <c r="A19" s="52">
        <v>1964.88571428572</v>
      </c>
      <c r="B19" s="295">
        <v>23951</v>
      </c>
      <c r="C19" s="394" t="s">
        <v>195</v>
      </c>
      <c r="D19" s="394"/>
      <c r="E19" s="29">
        <v>157</v>
      </c>
      <c r="F19" s="29">
        <v>1</v>
      </c>
      <c r="G19" s="66"/>
      <c r="H19" s="29">
        <v>12</v>
      </c>
      <c r="I19" s="29">
        <v>8</v>
      </c>
      <c r="J19" s="73">
        <v>20</v>
      </c>
      <c r="K19" s="47">
        <f t="shared" si="5"/>
        <v>0</v>
      </c>
      <c r="L19" s="47">
        <f t="shared" si="6"/>
        <v>60</v>
      </c>
      <c r="M19" s="47">
        <f t="shared" si="7"/>
        <v>40</v>
      </c>
      <c r="N19" s="68">
        <f t="shared" si="0"/>
        <v>100</v>
      </c>
      <c r="O19" s="46"/>
      <c r="P19" s="47">
        <v>36.299999999999997</v>
      </c>
      <c r="Q19" s="47">
        <v>30.2</v>
      </c>
      <c r="R19" s="48">
        <f t="shared" si="4"/>
        <v>66.5</v>
      </c>
      <c r="S19" s="29">
        <v>2</v>
      </c>
      <c r="T19" s="286">
        <v>23885</v>
      </c>
      <c r="U19" s="295">
        <v>23951</v>
      </c>
      <c r="V19" s="38" t="s">
        <v>80</v>
      </c>
      <c r="W19" s="29" t="s">
        <v>17</v>
      </c>
      <c r="X19" s="29" t="s">
        <v>18</v>
      </c>
      <c r="Y19" s="39">
        <v>36.299999999999997</v>
      </c>
      <c r="Z19" s="29" t="s">
        <v>83</v>
      </c>
      <c r="AA19" s="29" t="s">
        <v>20</v>
      </c>
      <c r="AB19" s="29" t="s">
        <v>12</v>
      </c>
      <c r="AC19" s="29">
        <v>30.2</v>
      </c>
      <c r="AD19" s="38"/>
      <c r="AG19" s="39"/>
      <c r="AL19" s="38"/>
      <c r="AO19" s="39"/>
      <c r="AP19" s="38"/>
      <c r="AS19" s="39"/>
      <c r="AW19" s="39"/>
      <c r="BA19" s="40"/>
    </row>
    <row r="20" spans="1:53" s="29" customFormat="1" x14ac:dyDescent="0.15">
      <c r="A20" s="52">
        <v>1966</v>
      </c>
      <c r="B20" s="295"/>
      <c r="C20" s="394" t="s">
        <v>195</v>
      </c>
      <c r="D20" s="394"/>
      <c r="E20" s="29">
        <v>78</v>
      </c>
      <c r="G20" s="66"/>
      <c r="H20" s="29">
        <v>12</v>
      </c>
      <c r="I20" s="29">
        <v>8</v>
      </c>
      <c r="J20" s="73">
        <v>20</v>
      </c>
      <c r="K20" s="47">
        <f t="shared" si="5"/>
        <v>0</v>
      </c>
      <c r="L20" s="47">
        <f t="shared" si="6"/>
        <v>60</v>
      </c>
      <c r="M20" s="47">
        <f t="shared" si="7"/>
        <v>40</v>
      </c>
      <c r="N20" s="68">
        <f t="shared" si="0"/>
        <v>100</v>
      </c>
      <c r="O20" s="46"/>
      <c r="P20" s="47">
        <v>36.299999999999997</v>
      </c>
      <c r="Q20" s="47">
        <v>30.2</v>
      </c>
      <c r="R20" s="48">
        <f t="shared" si="4"/>
        <v>66.5</v>
      </c>
      <c r="S20" s="29">
        <v>2</v>
      </c>
      <c r="T20" s="286"/>
      <c r="U20" s="295"/>
      <c r="V20" s="38" t="s">
        <v>80</v>
      </c>
      <c r="W20" s="29" t="s">
        <v>17</v>
      </c>
      <c r="X20" s="29" t="s">
        <v>18</v>
      </c>
      <c r="Y20" s="39">
        <v>36.299999999999997</v>
      </c>
      <c r="Z20" s="29" t="s">
        <v>83</v>
      </c>
      <c r="AA20" s="29" t="s">
        <v>20</v>
      </c>
      <c r="AB20" s="29" t="s">
        <v>12</v>
      </c>
      <c r="AC20" s="29">
        <v>30.2</v>
      </c>
      <c r="AD20" s="38"/>
      <c r="AG20" s="39"/>
      <c r="AL20" s="38"/>
      <c r="AO20" s="39"/>
      <c r="AP20" s="38"/>
      <c r="AS20" s="39"/>
      <c r="AW20" s="39"/>
      <c r="BA20" s="40"/>
    </row>
    <row r="21" spans="1:53" s="171" customFormat="1" x14ac:dyDescent="0.15">
      <c r="A21" s="216">
        <v>1965.8</v>
      </c>
      <c r="B21" s="283">
        <v>24186</v>
      </c>
      <c r="C21" s="402" t="s">
        <v>1183</v>
      </c>
      <c r="D21" s="402"/>
      <c r="E21" s="171">
        <v>287</v>
      </c>
      <c r="F21" s="171">
        <v>4</v>
      </c>
      <c r="G21" s="233">
        <v>7</v>
      </c>
      <c r="H21" s="171">
        <v>12</v>
      </c>
      <c r="J21" s="241">
        <v>19</v>
      </c>
      <c r="K21" s="214">
        <f t="shared" si="5"/>
        <v>36.84210526315789</v>
      </c>
      <c r="L21" s="214">
        <f t="shared" si="6"/>
        <v>63.157894736842103</v>
      </c>
      <c r="M21" s="214">
        <f t="shared" si="7"/>
        <v>0</v>
      </c>
      <c r="N21" s="235">
        <f t="shared" si="0"/>
        <v>100</v>
      </c>
      <c r="O21" s="213">
        <v>22.6</v>
      </c>
      <c r="P21" s="214">
        <v>36.299999999999997</v>
      </c>
      <c r="Q21" s="214"/>
      <c r="R21" s="215">
        <f t="shared" si="4"/>
        <v>58.9</v>
      </c>
      <c r="S21" s="171">
        <v>2</v>
      </c>
      <c r="T21" s="285"/>
      <c r="U21" s="283">
        <v>24186</v>
      </c>
      <c r="V21" s="178" t="s">
        <v>80</v>
      </c>
      <c r="W21" s="171" t="s">
        <v>17</v>
      </c>
      <c r="X21" s="171" t="s">
        <v>18</v>
      </c>
      <c r="Y21" s="179">
        <v>36.299999999999997</v>
      </c>
      <c r="Z21" s="171" t="s">
        <v>82</v>
      </c>
      <c r="AA21" s="171" t="s">
        <v>22</v>
      </c>
      <c r="AB21" s="171" t="s">
        <v>11</v>
      </c>
      <c r="AC21" s="171">
        <v>22.6</v>
      </c>
      <c r="AD21" s="178"/>
      <c r="AG21" s="179"/>
      <c r="AL21" s="178"/>
      <c r="AO21" s="179"/>
      <c r="AP21" s="178"/>
      <c r="AS21" s="179"/>
      <c r="AW21" s="179"/>
      <c r="BA21" s="180"/>
    </row>
    <row r="22" spans="1:53" s="171" customFormat="1" x14ac:dyDescent="0.15">
      <c r="A22" s="216">
        <v>1967</v>
      </c>
      <c r="B22" s="283"/>
      <c r="C22" s="402" t="s">
        <v>1183</v>
      </c>
      <c r="D22" s="402"/>
      <c r="E22" s="171">
        <v>0</v>
      </c>
      <c r="G22" s="233">
        <v>7</v>
      </c>
      <c r="H22" s="171">
        <v>12</v>
      </c>
      <c r="J22" s="241">
        <v>19</v>
      </c>
      <c r="K22" s="214">
        <f>G22/J22*100</f>
        <v>36.84210526315789</v>
      </c>
      <c r="L22" s="214">
        <f>H22/J22*100</f>
        <v>63.157894736842103</v>
      </c>
      <c r="M22" s="214">
        <f>I22/J22*100</f>
        <v>0</v>
      </c>
      <c r="N22" s="235">
        <f t="shared" si="0"/>
        <v>100</v>
      </c>
      <c r="O22" s="213">
        <v>22.6</v>
      </c>
      <c r="P22" s="214">
        <v>36.299999999999997</v>
      </c>
      <c r="Q22" s="214"/>
      <c r="R22" s="215">
        <f t="shared" si="4"/>
        <v>58.9</v>
      </c>
      <c r="S22" s="171">
        <v>2</v>
      </c>
      <c r="T22" s="285"/>
      <c r="U22" s="283"/>
      <c r="V22" s="178" t="s">
        <v>80</v>
      </c>
      <c r="W22" s="171" t="s">
        <v>17</v>
      </c>
      <c r="X22" s="171" t="s">
        <v>18</v>
      </c>
      <c r="Y22" s="179">
        <v>36.299999999999997</v>
      </c>
      <c r="Z22" s="171" t="s">
        <v>82</v>
      </c>
      <c r="AA22" s="171" t="s">
        <v>22</v>
      </c>
      <c r="AB22" s="171" t="s">
        <v>11</v>
      </c>
      <c r="AC22" s="171">
        <v>22.6</v>
      </c>
      <c r="AD22" s="178"/>
      <c r="AG22" s="179"/>
      <c r="AL22" s="178"/>
      <c r="AO22" s="179"/>
      <c r="AP22" s="178"/>
      <c r="AS22" s="179"/>
      <c r="AW22" s="179"/>
      <c r="BA22" s="180"/>
    </row>
    <row r="23" spans="1:53" s="171" customFormat="1" x14ac:dyDescent="0.15">
      <c r="A23" s="216">
        <v>1966.7142857142901</v>
      </c>
      <c r="B23" s="283"/>
      <c r="C23" s="402" t="s">
        <v>1183</v>
      </c>
      <c r="D23" s="402"/>
      <c r="E23" s="171">
        <v>365</v>
      </c>
      <c r="G23" s="233">
        <v>7</v>
      </c>
      <c r="H23" s="171">
        <v>12</v>
      </c>
      <c r="J23" s="241">
        <v>19</v>
      </c>
      <c r="K23" s="214">
        <f t="shared" ref="K23:K28" si="8">G23/J23*100</f>
        <v>36.84210526315789</v>
      </c>
      <c r="L23" s="214">
        <f t="shared" ref="L23:L28" si="9">H23/J23*100</f>
        <v>63.157894736842103</v>
      </c>
      <c r="M23" s="214">
        <f t="shared" ref="M23:M28" si="10">I23/J23*100</f>
        <v>0</v>
      </c>
      <c r="N23" s="235">
        <f t="shared" si="0"/>
        <v>100</v>
      </c>
      <c r="O23" s="213">
        <v>22.6</v>
      </c>
      <c r="P23" s="214">
        <v>36.299999999999997</v>
      </c>
      <c r="Q23" s="214"/>
      <c r="R23" s="215">
        <f t="shared" si="4"/>
        <v>58.9</v>
      </c>
      <c r="S23" s="171">
        <v>2</v>
      </c>
      <c r="T23" s="285"/>
      <c r="U23" s="283"/>
      <c r="V23" s="178" t="s">
        <v>80</v>
      </c>
      <c r="W23" s="171" t="s">
        <v>17</v>
      </c>
      <c r="X23" s="171" t="s">
        <v>18</v>
      </c>
      <c r="Y23" s="179">
        <v>36.299999999999997</v>
      </c>
      <c r="Z23" s="171" t="s">
        <v>82</v>
      </c>
      <c r="AA23" s="171" t="s">
        <v>22</v>
      </c>
      <c r="AB23" s="171" t="s">
        <v>11</v>
      </c>
      <c r="AC23" s="171">
        <v>22.6</v>
      </c>
      <c r="AD23" s="178"/>
      <c r="AG23" s="179"/>
      <c r="AL23" s="178"/>
      <c r="AO23" s="179"/>
      <c r="AP23" s="178"/>
      <c r="AS23" s="179"/>
      <c r="AW23" s="179"/>
      <c r="BA23" s="180"/>
    </row>
    <row r="24" spans="1:53" s="171" customFormat="1" x14ac:dyDescent="0.15">
      <c r="A24" s="216">
        <v>1968</v>
      </c>
      <c r="B24" s="283"/>
      <c r="C24" s="402" t="s">
        <v>1183</v>
      </c>
      <c r="D24" s="402"/>
      <c r="E24" s="171">
        <v>169</v>
      </c>
      <c r="G24" s="233">
        <v>7</v>
      </c>
      <c r="H24" s="171">
        <v>12</v>
      </c>
      <c r="J24" s="241">
        <v>19</v>
      </c>
      <c r="K24" s="214">
        <f t="shared" si="8"/>
        <v>36.84210526315789</v>
      </c>
      <c r="L24" s="214">
        <f t="shared" si="9"/>
        <v>63.157894736842103</v>
      </c>
      <c r="M24" s="214">
        <f t="shared" si="10"/>
        <v>0</v>
      </c>
      <c r="N24" s="235">
        <f t="shared" si="0"/>
        <v>100</v>
      </c>
      <c r="O24" s="213">
        <v>22.6</v>
      </c>
      <c r="P24" s="214">
        <v>36.299999999999997</v>
      </c>
      <c r="Q24" s="214"/>
      <c r="R24" s="215">
        <f t="shared" si="4"/>
        <v>58.9</v>
      </c>
      <c r="S24" s="171">
        <v>2</v>
      </c>
      <c r="T24" s="285"/>
      <c r="U24" s="283"/>
      <c r="V24" s="178" t="s">
        <v>80</v>
      </c>
      <c r="W24" s="171" t="s">
        <v>17</v>
      </c>
      <c r="X24" s="171" t="s">
        <v>18</v>
      </c>
      <c r="Y24" s="179">
        <v>36.299999999999997</v>
      </c>
      <c r="Z24" s="171" t="s">
        <v>82</v>
      </c>
      <c r="AA24" s="171" t="s">
        <v>22</v>
      </c>
      <c r="AB24" s="171" t="s">
        <v>11</v>
      </c>
      <c r="AC24" s="171">
        <v>22.6</v>
      </c>
      <c r="AD24" s="178"/>
      <c r="AG24" s="179"/>
      <c r="AL24" s="178"/>
      <c r="AO24" s="179"/>
      <c r="AP24" s="178"/>
      <c r="AS24" s="179"/>
      <c r="AW24" s="179"/>
      <c r="BA24" s="180"/>
    </row>
    <row r="25" spans="1:53" s="29" customFormat="1" x14ac:dyDescent="0.15">
      <c r="A25" s="52">
        <v>1967.62857142857</v>
      </c>
      <c r="B25" s="295">
        <v>25007</v>
      </c>
      <c r="C25" s="411" t="s">
        <v>194</v>
      </c>
      <c r="D25" s="411"/>
      <c r="E25" s="29">
        <v>197</v>
      </c>
      <c r="F25" s="29">
        <v>6</v>
      </c>
      <c r="G25" s="66"/>
      <c r="H25" s="29">
        <v>16</v>
      </c>
      <c r="I25" s="29">
        <v>11</v>
      </c>
      <c r="J25" s="73">
        <v>27</v>
      </c>
      <c r="K25" s="47">
        <f t="shared" si="8"/>
        <v>0</v>
      </c>
      <c r="L25" s="47">
        <f t="shared" si="9"/>
        <v>59.259259259259252</v>
      </c>
      <c r="M25" s="47">
        <f t="shared" si="10"/>
        <v>40.74074074074074</v>
      </c>
      <c r="N25" s="68">
        <f t="shared" si="0"/>
        <v>100</v>
      </c>
      <c r="O25" s="46"/>
      <c r="P25" s="47">
        <v>32.6</v>
      </c>
      <c r="Q25" s="47">
        <v>27.8</v>
      </c>
      <c r="R25" s="48">
        <f t="shared" si="4"/>
        <v>60.400000000000006</v>
      </c>
      <c r="S25" s="29">
        <v>2</v>
      </c>
      <c r="T25" s="286">
        <v>24928</v>
      </c>
      <c r="U25" s="295">
        <v>25007</v>
      </c>
      <c r="V25" s="38" t="s">
        <v>80</v>
      </c>
      <c r="W25" s="29" t="s">
        <v>81</v>
      </c>
      <c r="X25" s="29" t="s">
        <v>18</v>
      </c>
      <c r="Y25" s="39">
        <v>23.6</v>
      </c>
      <c r="Z25" s="29" t="s">
        <v>84</v>
      </c>
      <c r="AA25" s="29" t="s">
        <v>85</v>
      </c>
      <c r="AB25" s="29" t="s">
        <v>18</v>
      </c>
      <c r="AC25" s="29">
        <v>9</v>
      </c>
      <c r="AD25" s="38" t="s">
        <v>83</v>
      </c>
      <c r="AE25" s="29" t="s">
        <v>20</v>
      </c>
      <c r="AF25" s="29" t="s">
        <v>12</v>
      </c>
      <c r="AG25" s="39">
        <v>27.8</v>
      </c>
      <c r="AL25" s="38"/>
      <c r="AO25" s="39"/>
      <c r="AP25" s="38"/>
      <c r="AS25" s="39"/>
      <c r="AW25" s="39"/>
      <c r="BA25" s="40"/>
    </row>
    <row r="26" spans="1:53" s="29" customFormat="1" x14ac:dyDescent="0.15">
      <c r="A26" s="52">
        <v>1969</v>
      </c>
      <c r="B26" s="295"/>
      <c r="C26" s="411" t="s">
        <v>194</v>
      </c>
      <c r="D26" s="411"/>
      <c r="E26" s="29">
        <v>0</v>
      </c>
      <c r="G26" s="66"/>
      <c r="H26" s="29">
        <v>16</v>
      </c>
      <c r="I26" s="29">
        <v>11</v>
      </c>
      <c r="J26" s="73">
        <v>27</v>
      </c>
      <c r="K26" s="47">
        <f t="shared" si="8"/>
        <v>0</v>
      </c>
      <c r="L26" s="47">
        <f t="shared" si="9"/>
        <v>59.259259259259252</v>
      </c>
      <c r="M26" s="47">
        <f t="shared" si="10"/>
        <v>40.74074074074074</v>
      </c>
      <c r="N26" s="68">
        <f t="shared" si="0"/>
        <v>100</v>
      </c>
      <c r="O26" s="46"/>
      <c r="P26" s="47">
        <v>32.6</v>
      </c>
      <c r="Q26" s="47">
        <v>27.8</v>
      </c>
      <c r="R26" s="48">
        <f t="shared" si="4"/>
        <v>60.400000000000006</v>
      </c>
      <c r="S26" s="29">
        <v>2</v>
      </c>
      <c r="T26" s="286"/>
      <c r="U26" s="295"/>
      <c r="V26" s="38" t="s">
        <v>80</v>
      </c>
      <c r="W26" s="29" t="s">
        <v>81</v>
      </c>
      <c r="X26" s="29" t="s">
        <v>18</v>
      </c>
      <c r="Y26" s="39">
        <v>23.6</v>
      </c>
      <c r="Z26" s="29" t="s">
        <v>84</v>
      </c>
      <c r="AA26" s="29" t="s">
        <v>85</v>
      </c>
      <c r="AB26" s="29" t="s">
        <v>18</v>
      </c>
      <c r="AC26" s="29">
        <v>9</v>
      </c>
      <c r="AD26" s="38" t="s">
        <v>83</v>
      </c>
      <c r="AE26" s="29" t="s">
        <v>20</v>
      </c>
      <c r="AF26" s="29" t="s">
        <v>12</v>
      </c>
      <c r="AG26" s="39">
        <v>27.8</v>
      </c>
      <c r="AL26" s="38"/>
      <c r="AO26" s="39"/>
      <c r="AP26" s="38"/>
      <c r="AS26" s="39"/>
      <c r="AW26" s="39"/>
      <c r="BA26" s="40"/>
    </row>
    <row r="27" spans="1:53" s="29" customFormat="1" x14ac:dyDescent="0.15">
      <c r="A27" s="52">
        <v>1968.5428571428599</v>
      </c>
      <c r="B27" s="295"/>
      <c r="C27" s="411" t="s">
        <v>194</v>
      </c>
      <c r="D27" s="411"/>
      <c r="E27" s="29">
        <v>365</v>
      </c>
      <c r="G27" s="66"/>
      <c r="H27" s="29">
        <v>16</v>
      </c>
      <c r="I27" s="29">
        <v>11</v>
      </c>
      <c r="J27" s="73">
        <v>27</v>
      </c>
      <c r="K27" s="47">
        <f t="shared" si="8"/>
        <v>0</v>
      </c>
      <c r="L27" s="47">
        <f t="shared" si="9"/>
        <v>59.259259259259252</v>
      </c>
      <c r="M27" s="47">
        <f t="shared" si="10"/>
        <v>40.74074074074074</v>
      </c>
      <c r="N27" s="68">
        <f t="shared" si="0"/>
        <v>100</v>
      </c>
      <c r="O27" s="46"/>
      <c r="P27" s="47">
        <v>32.6</v>
      </c>
      <c r="Q27" s="47">
        <v>27.8</v>
      </c>
      <c r="R27" s="48">
        <f t="shared" si="4"/>
        <v>60.400000000000006</v>
      </c>
      <c r="S27" s="29">
        <v>2</v>
      </c>
      <c r="T27" s="286"/>
      <c r="U27" s="295"/>
      <c r="V27" s="38" t="s">
        <v>80</v>
      </c>
      <c r="W27" s="29" t="s">
        <v>81</v>
      </c>
      <c r="X27" s="29" t="s">
        <v>18</v>
      </c>
      <c r="Y27" s="39">
        <v>23.6</v>
      </c>
      <c r="Z27" s="29" t="s">
        <v>84</v>
      </c>
      <c r="AA27" s="29" t="s">
        <v>85</v>
      </c>
      <c r="AB27" s="29" t="s">
        <v>18</v>
      </c>
      <c r="AC27" s="29">
        <v>9</v>
      </c>
      <c r="AD27" s="38" t="s">
        <v>83</v>
      </c>
      <c r="AE27" s="29" t="s">
        <v>20</v>
      </c>
      <c r="AF27" s="29" t="s">
        <v>12</v>
      </c>
      <c r="AG27" s="39">
        <v>27.8</v>
      </c>
      <c r="AL27" s="38"/>
      <c r="AO27" s="39"/>
      <c r="AP27" s="38"/>
      <c r="AS27" s="39"/>
      <c r="AW27" s="39"/>
      <c r="BA27" s="40"/>
    </row>
    <row r="28" spans="1:53" s="29" customFormat="1" x14ac:dyDescent="0.15">
      <c r="A28" s="52">
        <v>1970</v>
      </c>
      <c r="B28" s="295"/>
      <c r="C28" s="411" t="s">
        <v>194</v>
      </c>
      <c r="D28" s="411"/>
      <c r="E28" s="29">
        <v>0</v>
      </c>
      <c r="G28" s="66"/>
      <c r="H28" s="29">
        <v>16</v>
      </c>
      <c r="I28" s="29">
        <v>11</v>
      </c>
      <c r="J28" s="73">
        <v>27</v>
      </c>
      <c r="K28" s="47">
        <f t="shared" si="8"/>
        <v>0</v>
      </c>
      <c r="L28" s="47">
        <f t="shared" si="9"/>
        <v>59.259259259259252</v>
      </c>
      <c r="M28" s="47">
        <f t="shared" si="10"/>
        <v>40.74074074074074</v>
      </c>
      <c r="N28" s="68">
        <f t="shared" si="0"/>
        <v>100</v>
      </c>
      <c r="O28" s="46"/>
      <c r="P28" s="47">
        <v>32.6</v>
      </c>
      <c r="Q28" s="47">
        <v>27.8</v>
      </c>
      <c r="R28" s="48">
        <f t="shared" si="4"/>
        <v>60.400000000000006</v>
      </c>
      <c r="S28" s="29">
        <v>2</v>
      </c>
      <c r="T28" s="286"/>
      <c r="U28" s="295"/>
      <c r="V28" s="38" t="s">
        <v>80</v>
      </c>
      <c r="W28" s="29" t="s">
        <v>81</v>
      </c>
      <c r="X28" s="29" t="s">
        <v>18</v>
      </c>
      <c r="Y28" s="39">
        <v>23.6</v>
      </c>
      <c r="Z28" s="29" t="s">
        <v>84</v>
      </c>
      <c r="AA28" s="29" t="s">
        <v>85</v>
      </c>
      <c r="AB28" s="29" t="s">
        <v>18</v>
      </c>
      <c r="AC28" s="29">
        <v>9</v>
      </c>
      <c r="AD28" s="38" t="s">
        <v>83</v>
      </c>
      <c r="AE28" s="29" t="s">
        <v>20</v>
      </c>
      <c r="AF28" s="29" t="s">
        <v>12</v>
      </c>
      <c r="AG28" s="39">
        <v>27.8</v>
      </c>
      <c r="AL28" s="38"/>
      <c r="AO28" s="39"/>
      <c r="AP28" s="38"/>
      <c r="AS28" s="39"/>
      <c r="AW28" s="39"/>
      <c r="BA28" s="40"/>
    </row>
    <row r="29" spans="1:53" s="29" customFormat="1" x14ac:dyDescent="0.15">
      <c r="A29" s="52">
        <v>1970</v>
      </c>
      <c r="B29" s="295"/>
      <c r="C29" s="411" t="s">
        <v>194</v>
      </c>
      <c r="D29" s="411"/>
      <c r="E29" s="29">
        <v>365</v>
      </c>
      <c r="G29" s="66"/>
      <c r="H29" s="29">
        <v>16</v>
      </c>
      <c r="I29" s="29">
        <v>11</v>
      </c>
      <c r="J29" s="73">
        <v>27</v>
      </c>
      <c r="K29" s="47">
        <f>G29/J29*100</f>
        <v>0</v>
      </c>
      <c r="L29" s="47">
        <f>H29/J29*100</f>
        <v>59.259259259259252</v>
      </c>
      <c r="M29" s="47">
        <f>I29/J29*100</f>
        <v>40.74074074074074</v>
      </c>
      <c r="N29" s="68">
        <f t="shared" si="0"/>
        <v>100</v>
      </c>
      <c r="O29" s="46"/>
      <c r="P29" s="47">
        <v>32.6</v>
      </c>
      <c r="Q29" s="47">
        <v>27.8</v>
      </c>
      <c r="R29" s="48">
        <f t="shared" si="4"/>
        <v>60.400000000000006</v>
      </c>
      <c r="S29" s="29">
        <v>2</v>
      </c>
      <c r="T29" s="286"/>
      <c r="U29" s="295"/>
      <c r="V29" s="38" t="s">
        <v>80</v>
      </c>
      <c r="W29" s="29" t="s">
        <v>81</v>
      </c>
      <c r="X29" s="29" t="s">
        <v>18</v>
      </c>
      <c r="Y29" s="39">
        <v>23.6</v>
      </c>
      <c r="Z29" s="29" t="s">
        <v>84</v>
      </c>
      <c r="AA29" s="29" t="s">
        <v>85</v>
      </c>
      <c r="AB29" s="29" t="s">
        <v>18</v>
      </c>
      <c r="AC29" s="29">
        <v>9</v>
      </c>
      <c r="AD29" s="38" t="s">
        <v>83</v>
      </c>
      <c r="AE29" s="29" t="s">
        <v>20</v>
      </c>
      <c r="AF29" s="29" t="s">
        <v>12</v>
      </c>
      <c r="AG29" s="39">
        <v>27.8</v>
      </c>
      <c r="AL29" s="38"/>
      <c r="AO29" s="39"/>
      <c r="AP29" s="38"/>
      <c r="AS29" s="39"/>
      <c r="AW29" s="39"/>
      <c r="BA29" s="40"/>
    </row>
    <row r="30" spans="1:53" s="29" customFormat="1" x14ac:dyDescent="0.15">
      <c r="A30" s="52">
        <v>1971</v>
      </c>
      <c r="B30" s="295"/>
      <c r="C30" s="411" t="s">
        <v>194</v>
      </c>
      <c r="D30" s="411"/>
      <c r="E30" s="29">
        <v>0</v>
      </c>
      <c r="G30" s="66"/>
      <c r="H30" s="29">
        <v>16</v>
      </c>
      <c r="I30" s="29">
        <v>11</v>
      </c>
      <c r="J30" s="73">
        <v>27</v>
      </c>
      <c r="K30" s="47">
        <f t="shared" ref="K30:K35" si="11">G30/J30*100</f>
        <v>0</v>
      </c>
      <c r="L30" s="47">
        <f t="shared" ref="L30:L35" si="12">H30/J30*100</f>
        <v>59.259259259259252</v>
      </c>
      <c r="M30" s="47">
        <f t="shared" ref="M30:M35" si="13">I30/J30*100</f>
        <v>40.74074074074074</v>
      </c>
      <c r="N30" s="68">
        <f t="shared" si="0"/>
        <v>100</v>
      </c>
      <c r="O30" s="46"/>
      <c r="P30" s="47">
        <v>32.6</v>
      </c>
      <c r="Q30" s="47">
        <v>27.8</v>
      </c>
      <c r="R30" s="48">
        <f t="shared" si="4"/>
        <v>60.400000000000006</v>
      </c>
      <c r="S30" s="29">
        <v>2</v>
      </c>
      <c r="T30" s="286"/>
      <c r="U30" s="295"/>
      <c r="V30" s="38" t="s">
        <v>80</v>
      </c>
      <c r="W30" s="29" t="s">
        <v>81</v>
      </c>
      <c r="X30" s="29" t="s">
        <v>18</v>
      </c>
      <c r="Y30" s="39">
        <v>23.6</v>
      </c>
      <c r="Z30" s="29" t="s">
        <v>84</v>
      </c>
      <c r="AA30" s="29" t="s">
        <v>85</v>
      </c>
      <c r="AB30" s="29" t="s">
        <v>18</v>
      </c>
      <c r="AC30" s="29">
        <v>9</v>
      </c>
      <c r="AD30" s="38" t="s">
        <v>83</v>
      </c>
      <c r="AE30" s="29" t="s">
        <v>20</v>
      </c>
      <c r="AF30" s="29" t="s">
        <v>12</v>
      </c>
      <c r="AG30" s="39">
        <v>27.8</v>
      </c>
      <c r="AL30" s="38"/>
      <c r="AO30" s="39"/>
      <c r="AP30" s="38"/>
      <c r="AS30" s="39"/>
      <c r="AW30" s="39"/>
      <c r="BA30" s="40"/>
    </row>
    <row r="31" spans="1:53" s="29" customFormat="1" x14ac:dyDescent="0.15">
      <c r="A31" s="52">
        <v>1971</v>
      </c>
      <c r="B31" s="295"/>
      <c r="C31" s="411" t="s">
        <v>194</v>
      </c>
      <c r="D31" s="411"/>
      <c r="E31" s="29">
        <v>365</v>
      </c>
      <c r="G31" s="66"/>
      <c r="H31" s="29">
        <v>16</v>
      </c>
      <c r="I31" s="29">
        <v>11</v>
      </c>
      <c r="J31" s="73">
        <v>27</v>
      </c>
      <c r="K31" s="47">
        <f t="shared" si="11"/>
        <v>0</v>
      </c>
      <c r="L31" s="47">
        <f t="shared" si="12"/>
        <v>59.259259259259252</v>
      </c>
      <c r="M31" s="47">
        <f t="shared" si="13"/>
        <v>40.74074074074074</v>
      </c>
      <c r="N31" s="68">
        <f t="shared" si="0"/>
        <v>100</v>
      </c>
      <c r="O31" s="46"/>
      <c r="P31" s="47">
        <v>32.6</v>
      </c>
      <c r="Q31" s="47">
        <v>27.8</v>
      </c>
      <c r="R31" s="48">
        <f t="shared" si="4"/>
        <v>60.400000000000006</v>
      </c>
      <c r="S31" s="29">
        <v>2</v>
      </c>
      <c r="T31" s="286">
        <v>26244</v>
      </c>
      <c r="U31" s="295"/>
      <c r="V31" s="38" t="s">
        <v>80</v>
      </c>
      <c r="W31" s="29" t="s">
        <v>81</v>
      </c>
      <c r="X31" s="29" t="s">
        <v>18</v>
      </c>
      <c r="Y31" s="39">
        <v>23.6</v>
      </c>
      <c r="Z31" s="29" t="s">
        <v>84</v>
      </c>
      <c r="AA31" s="29" t="s">
        <v>85</v>
      </c>
      <c r="AB31" s="29" t="s">
        <v>18</v>
      </c>
      <c r="AC31" s="29">
        <v>9</v>
      </c>
      <c r="AD31" s="38" t="s">
        <v>83</v>
      </c>
      <c r="AE31" s="29" t="s">
        <v>20</v>
      </c>
      <c r="AF31" s="29" t="s">
        <v>12</v>
      </c>
      <c r="AG31" s="39">
        <v>27.8</v>
      </c>
      <c r="AL31" s="38"/>
      <c r="AO31" s="39"/>
      <c r="AP31" s="38"/>
      <c r="AS31" s="39"/>
      <c r="AW31" s="39"/>
      <c r="BA31" s="40"/>
    </row>
    <row r="32" spans="1:53" s="29" customFormat="1" x14ac:dyDescent="0.15">
      <c r="A32" s="52">
        <v>1972</v>
      </c>
      <c r="B32" s="295"/>
      <c r="C32" s="411" t="s">
        <v>194</v>
      </c>
      <c r="D32" s="411"/>
      <c r="E32" s="29">
        <v>20</v>
      </c>
      <c r="G32" s="66"/>
      <c r="H32" s="29">
        <v>16</v>
      </c>
      <c r="I32" s="29">
        <v>11</v>
      </c>
      <c r="J32" s="73">
        <v>27</v>
      </c>
      <c r="K32" s="47">
        <f t="shared" si="11"/>
        <v>0</v>
      </c>
      <c r="L32" s="47">
        <f t="shared" si="12"/>
        <v>59.259259259259252</v>
      </c>
      <c r="M32" s="47">
        <f t="shared" si="13"/>
        <v>40.74074074074074</v>
      </c>
      <c r="N32" s="68">
        <f t="shared" si="0"/>
        <v>100</v>
      </c>
      <c r="O32" s="46"/>
      <c r="P32" s="47">
        <v>32.6</v>
      </c>
      <c r="Q32" s="47">
        <v>27.8</v>
      </c>
      <c r="R32" s="48">
        <f t="shared" si="4"/>
        <v>60.400000000000006</v>
      </c>
      <c r="S32" s="29">
        <v>2</v>
      </c>
      <c r="T32" s="286"/>
      <c r="U32" s="295"/>
      <c r="V32" s="38" t="s">
        <v>80</v>
      </c>
      <c r="W32" s="29" t="s">
        <v>81</v>
      </c>
      <c r="X32" s="29" t="s">
        <v>18</v>
      </c>
      <c r="Y32" s="39">
        <v>23.6</v>
      </c>
      <c r="Z32" s="29" t="s">
        <v>84</v>
      </c>
      <c r="AA32" s="29" t="s">
        <v>85</v>
      </c>
      <c r="AB32" s="29" t="s">
        <v>18</v>
      </c>
      <c r="AC32" s="29">
        <v>9</v>
      </c>
      <c r="AD32" s="38" t="s">
        <v>83</v>
      </c>
      <c r="AE32" s="29" t="s">
        <v>20</v>
      </c>
      <c r="AF32" s="29" t="s">
        <v>12</v>
      </c>
      <c r="AG32" s="39">
        <v>27.8</v>
      </c>
      <c r="AL32" s="38"/>
      <c r="AO32" s="39"/>
      <c r="AP32" s="38"/>
      <c r="AS32" s="39"/>
      <c r="AW32" s="39"/>
      <c r="BA32" s="40"/>
    </row>
    <row r="33" spans="1:53" s="29" customFormat="1" x14ac:dyDescent="0.15">
      <c r="A33" s="52">
        <v>1972</v>
      </c>
      <c r="B33" s="300">
        <v>26319</v>
      </c>
      <c r="C33" s="411" t="s">
        <v>194</v>
      </c>
      <c r="D33" s="411"/>
      <c r="E33" s="29">
        <v>346</v>
      </c>
      <c r="F33" s="70">
        <v>0</v>
      </c>
      <c r="G33" s="66"/>
      <c r="H33" s="29">
        <v>10</v>
      </c>
      <c r="I33" s="29">
        <v>9</v>
      </c>
      <c r="J33" s="73">
        <v>19</v>
      </c>
      <c r="K33" s="47">
        <f t="shared" si="11"/>
        <v>0</v>
      </c>
      <c r="L33" s="47">
        <f t="shared" si="12"/>
        <v>52.631578947368418</v>
      </c>
      <c r="M33" s="47">
        <f t="shared" si="13"/>
        <v>47.368421052631575</v>
      </c>
      <c r="N33" s="68">
        <f t="shared" si="0"/>
        <v>100</v>
      </c>
      <c r="O33" s="46"/>
      <c r="P33" s="47">
        <v>32.6</v>
      </c>
      <c r="Q33" s="47">
        <v>27.8</v>
      </c>
      <c r="R33" s="48">
        <f t="shared" si="4"/>
        <v>60.400000000000006</v>
      </c>
      <c r="S33" s="29">
        <v>2</v>
      </c>
      <c r="T33" s="286"/>
      <c r="U33" s="295"/>
      <c r="V33" s="38" t="s">
        <v>80</v>
      </c>
      <c r="W33" s="29" t="s">
        <v>81</v>
      </c>
      <c r="X33" s="29" t="s">
        <v>18</v>
      </c>
      <c r="Y33" s="39">
        <v>23.6</v>
      </c>
      <c r="Z33" s="29" t="s">
        <v>84</v>
      </c>
      <c r="AA33" s="29" t="s">
        <v>85</v>
      </c>
      <c r="AB33" s="29" t="s">
        <v>18</v>
      </c>
      <c r="AC33" s="29">
        <v>9</v>
      </c>
      <c r="AD33" s="38" t="s">
        <v>83</v>
      </c>
      <c r="AE33" s="29" t="s">
        <v>20</v>
      </c>
      <c r="AF33" s="29" t="s">
        <v>12</v>
      </c>
      <c r="AG33" s="39">
        <v>27.8</v>
      </c>
      <c r="AL33" s="38"/>
      <c r="AO33" s="39"/>
      <c r="AP33" s="38"/>
      <c r="AS33" s="39"/>
      <c r="AW33" s="39"/>
      <c r="BA33" s="40"/>
    </row>
    <row r="34" spans="1:53" s="29" customFormat="1" x14ac:dyDescent="0.15">
      <c r="A34" s="52">
        <v>1973</v>
      </c>
      <c r="B34" s="295"/>
      <c r="C34" s="411" t="s">
        <v>194</v>
      </c>
      <c r="D34" s="411"/>
      <c r="E34" s="29">
        <v>25</v>
      </c>
      <c r="G34" s="66"/>
      <c r="H34" s="29">
        <v>10</v>
      </c>
      <c r="I34" s="29">
        <v>9</v>
      </c>
      <c r="J34" s="73">
        <v>19</v>
      </c>
      <c r="K34" s="47">
        <f t="shared" si="11"/>
        <v>0</v>
      </c>
      <c r="L34" s="47">
        <f t="shared" si="12"/>
        <v>52.631578947368418</v>
      </c>
      <c r="M34" s="47">
        <f t="shared" si="13"/>
        <v>47.368421052631575</v>
      </c>
      <c r="N34" s="68">
        <f t="shared" si="0"/>
        <v>100</v>
      </c>
      <c r="O34" s="46"/>
      <c r="P34" s="47">
        <v>32.6</v>
      </c>
      <c r="Q34" s="47">
        <v>27.8</v>
      </c>
      <c r="R34" s="48">
        <f t="shared" si="4"/>
        <v>60.400000000000006</v>
      </c>
      <c r="S34" s="29">
        <v>2</v>
      </c>
      <c r="T34" s="286"/>
      <c r="U34" s="295"/>
      <c r="V34" s="38" t="s">
        <v>80</v>
      </c>
      <c r="W34" s="29" t="s">
        <v>81</v>
      </c>
      <c r="X34" s="29" t="s">
        <v>18</v>
      </c>
      <c r="Y34" s="39">
        <v>23.6</v>
      </c>
      <c r="Z34" s="29" t="s">
        <v>84</v>
      </c>
      <c r="AA34" s="29" t="s">
        <v>85</v>
      </c>
      <c r="AB34" s="29" t="s">
        <v>18</v>
      </c>
      <c r="AC34" s="29">
        <v>9</v>
      </c>
      <c r="AD34" s="38" t="s">
        <v>83</v>
      </c>
      <c r="AE34" s="29" t="s">
        <v>20</v>
      </c>
      <c r="AF34" s="29" t="s">
        <v>12</v>
      </c>
      <c r="AG34" s="39">
        <v>27.8</v>
      </c>
      <c r="AL34" s="38"/>
      <c r="AO34" s="39"/>
      <c r="AP34" s="38"/>
      <c r="AS34" s="39"/>
      <c r="AW34" s="39"/>
      <c r="BA34" s="40"/>
    </row>
    <row r="35" spans="1:53" s="171" customFormat="1" x14ac:dyDescent="0.15">
      <c r="A35" s="216">
        <v>1973</v>
      </c>
      <c r="B35" s="283">
        <v>26690</v>
      </c>
      <c r="C35" s="402" t="s">
        <v>196</v>
      </c>
      <c r="D35" s="402"/>
      <c r="E35" s="171">
        <v>340</v>
      </c>
      <c r="F35" s="171">
        <v>7</v>
      </c>
      <c r="G35" s="233">
        <v>4</v>
      </c>
      <c r="H35" s="171">
        <v>9</v>
      </c>
      <c r="I35" s="171">
        <v>9</v>
      </c>
      <c r="J35" s="241">
        <v>22</v>
      </c>
      <c r="K35" s="214">
        <f t="shared" si="11"/>
        <v>18.181818181818183</v>
      </c>
      <c r="L35" s="214">
        <f t="shared" si="12"/>
        <v>40.909090909090914</v>
      </c>
      <c r="M35" s="214">
        <f t="shared" si="13"/>
        <v>40.909090909090914</v>
      </c>
      <c r="N35" s="235">
        <f t="shared" si="0"/>
        <v>100</v>
      </c>
      <c r="O35" s="213">
        <v>9.4</v>
      </c>
      <c r="P35" s="214">
        <v>31.6</v>
      </c>
      <c r="Q35" s="214">
        <v>28.8</v>
      </c>
      <c r="R35" s="215">
        <f t="shared" si="4"/>
        <v>69.8</v>
      </c>
      <c r="S35" s="171">
        <v>3</v>
      </c>
      <c r="T35" s="285"/>
      <c r="U35" s="283">
        <v>26690</v>
      </c>
      <c r="V35" s="178" t="s">
        <v>80</v>
      </c>
      <c r="W35" s="171" t="s">
        <v>81</v>
      </c>
      <c r="X35" s="171" t="s">
        <v>18</v>
      </c>
      <c r="Y35" s="179">
        <v>22.2</v>
      </c>
      <c r="Z35" s="171" t="s">
        <v>84</v>
      </c>
      <c r="AA35" s="171" t="s">
        <v>85</v>
      </c>
      <c r="AB35" s="171" t="s">
        <v>18</v>
      </c>
      <c r="AC35" s="171">
        <v>9.4</v>
      </c>
      <c r="AD35" s="178" t="s">
        <v>83</v>
      </c>
      <c r="AE35" s="171" t="s">
        <v>20</v>
      </c>
      <c r="AF35" s="171" t="s">
        <v>12</v>
      </c>
      <c r="AG35" s="179">
        <v>28.8</v>
      </c>
      <c r="AH35" s="171" t="s">
        <v>86</v>
      </c>
      <c r="AI35" s="171" t="s">
        <v>87</v>
      </c>
      <c r="AJ35" s="171" t="s">
        <v>11</v>
      </c>
      <c r="AK35" s="171">
        <v>9.4</v>
      </c>
      <c r="AL35" s="178"/>
      <c r="AO35" s="179"/>
      <c r="AP35" s="178"/>
      <c r="AS35" s="179"/>
      <c r="AW35" s="179"/>
      <c r="BA35" s="180"/>
    </row>
    <row r="36" spans="1:53" s="171" customFormat="1" x14ac:dyDescent="0.15">
      <c r="A36" s="216">
        <v>1974</v>
      </c>
      <c r="B36" s="283"/>
      <c r="C36" s="402" t="s">
        <v>196</v>
      </c>
      <c r="D36" s="402"/>
      <c r="E36" s="171">
        <v>114</v>
      </c>
      <c r="G36" s="233">
        <v>4</v>
      </c>
      <c r="H36" s="171">
        <v>9</v>
      </c>
      <c r="I36" s="171">
        <v>9</v>
      </c>
      <c r="J36" s="241">
        <v>22</v>
      </c>
      <c r="K36" s="214">
        <f>G36/J36*100</f>
        <v>18.181818181818183</v>
      </c>
      <c r="L36" s="214">
        <f>H36/J36*100</f>
        <v>40.909090909090914</v>
      </c>
      <c r="M36" s="214">
        <f>I36/J36*100</f>
        <v>40.909090909090914</v>
      </c>
      <c r="N36" s="235">
        <f t="shared" si="0"/>
        <v>100</v>
      </c>
      <c r="O36" s="213">
        <v>9.4</v>
      </c>
      <c r="P36" s="214">
        <v>31.6</v>
      </c>
      <c r="Q36" s="214">
        <v>28.8</v>
      </c>
      <c r="R36" s="215">
        <f t="shared" si="4"/>
        <v>69.8</v>
      </c>
      <c r="S36" s="171">
        <v>3</v>
      </c>
      <c r="T36" s="285"/>
      <c r="U36" s="283"/>
      <c r="V36" s="178" t="s">
        <v>80</v>
      </c>
      <c r="W36" s="171" t="s">
        <v>81</v>
      </c>
      <c r="X36" s="171" t="s">
        <v>18</v>
      </c>
      <c r="Y36" s="179">
        <v>22.2</v>
      </c>
      <c r="Z36" s="171" t="s">
        <v>84</v>
      </c>
      <c r="AA36" s="171" t="s">
        <v>85</v>
      </c>
      <c r="AB36" s="171" t="s">
        <v>18</v>
      </c>
      <c r="AC36" s="171">
        <v>9.4</v>
      </c>
      <c r="AD36" s="178" t="s">
        <v>83</v>
      </c>
      <c r="AE36" s="171" t="s">
        <v>20</v>
      </c>
      <c r="AF36" s="171" t="s">
        <v>12</v>
      </c>
      <c r="AG36" s="179">
        <v>28.8</v>
      </c>
      <c r="AH36" s="171" t="s">
        <v>86</v>
      </c>
      <c r="AI36" s="171" t="s">
        <v>87</v>
      </c>
      <c r="AJ36" s="171" t="s">
        <v>11</v>
      </c>
      <c r="AK36" s="171">
        <v>9.4</v>
      </c>
      <c r="AL36" s="178"/>
      <c r="AO36" s="179"/>
      <c r="AP36" s="178"/>
      <c r="AS36" s="179"/>
      <c r="AW36" s="179"/>
      <c r="BA36" s="180"/>
    </row>
    <row r="37" spans="1:53" s="29" customFormat="1" x14ac:dyDescent="0.15">
      <c r="A37" s="52">
        <v>1974</v>
      </c>
      <c r="B37" s="295">
        <v>27144</v>
      </c>
      <c r="C37" s="394" t="s">
        <v>197</v>
      </c>
      <c r="D37" s="394"/>
      <c r="E37" s="29">
        <v>48</v>
      </c>
      <c r="F37" s="29">
        <v>5</v>
      </c>
      <c r="G37" s="66">
        <v>6</v>
      </c>
      <c r="H37" s="29">
        <v>13</v>
      </c>
      <c r="J37" s="73">
        <v>19</v>
      </c>
      <c r="K37" s="47">
        <f>G37/J37*100</f>
        <v>31.578947368421051</v>
      </c>
      <c r="L37" s="47">
        <f>H37/J37*100</f>
        <v>68.421052631578945</v>
      </c>
      <c r="M37" s="47">
        <f>I37/J37*100</f>
        <v>0</v>
      </c>
      <c r="N37" s="68">
        <f t="shared" si="0"/>
        <v>100</v>
      </c>
      <c r="O37" s="46">
        <v>9.1999999999999993</v>
      </c>
      <c r="P37" s="47">
        <v>44.4</v>
      </c>
      <c r="Q37" s="47"/>
      <c r="R37" s="48">
        <f t="shared" si="4"/>
        <v>53.599999999999994</v>
      </c>
      <c r="S37" s="29">
        <v>2</v>
      </c>
      <c r="T37" s="286">
        <v>27098</v>
      </c>
      <c r="U37" s="295">
        <v>27144</v>
      </c>
      <c r="V37" s="38" t="s">
        <v>80</v>
      </c>
      <c r="W37" s="29" t="s">
        <v>81</v>
      </c>
      <c r="X37" s="29" t="s">
        <v>18</v>
      </c>
      <c r="Y37" s="39">
        <v>23.6</v>
      </c>
      <c r="Z37" s="29" t="s">
        <v>84</v>
      </c>
      <c r="AA37" s="29" t="s">
        <v>85</v>
      </c>
      <c r="AB37" s="29" t="s">
        <v>18</v>
      </c>
      <c r="AC37" s="29">
        <v>10.4</v>
      </c>
      <c r="AD37" s="38" t="s">
        <v>86</v>
      </c>
      <c r="AE37" s="29" t="s">
        <v>87</v>
      </c>
      <c r="AF37" s="29" t="s">
        <v>11</v>
      </c>
      <c r="AG37" s="39">
        <v>9.1999999999999993</v>
      </c>
      <c r="AH37" s="29" t="s">
        <v>88</v>
      </c>
      <c r="AI37" s="29" t="s">
        <v>89</v>
      </c>
      <c r="AJ37" s="29" t="s">
        <v>18</v>
      </c>
      <c r="AK37" s="29">
        <v>10.4</v>
      </c>
      <c r="AL37" s="38"/>
      <c r="AO37" s="39"/>
      <c r="AP37" s="38"/>
      <c r="AS37" s="39"/>
      <c r="AW37" s="39"/>
      <c r="BA37" s="40"/>
    </row>
    <row r="38" spans="1:53" s="171" customFormat="1" x14ac:dyDescent="0.15">
      <c r="A38" s="216">
        <v>1974</v>
      </c>
      <c r="B38" s="283">
        <v>27192</v>
      </c>
      <c r="C38" s="402" t="s">
        <v>198</v>
      </c>
      <c r="D38" s="402"/>
      <c r="E38" s="171">
        <v>203</v>
      </c>
      <c r="F38" s="171">
        <v>7</v>
      </c>
      <c r="G38" s="233">
        <v>6</v>
      </c>
      <c r="H38" s="171">
        <v>15</v>
      </c>
      <c r="J38" s="241">
        <v>21</v>
      </c>
      <c r="K38" s="214">
        <f t="shared" ref="K38:K43" si="14">G38/J38*100</f>
        <v>28.571428571428569</v>
      </c>
      <c r="L38" s="214">
        <f t="shared" ref="L38:L43" si="15">H38/J38*100</f>
        <v>71.428571428571431</v>
      </c>
      <c r="M38" s="214">
        <f t="shared" ref="M38:M43" si="16">I38/J38*100</f>
        <v>0</v>
      </c>
      <c r="N38" s="235">
        <f t="shared" si="0"/>
        <v>100</v>
      </c>
      <c r="O38" s="213">
        <v>9.1999999999999993</v>
      </c>
      <c r="P38" s="214">
        <v>50.5</v>
      </c>
      <c r="Q38" s="214"/>
      <c r="R38" s="215">
        <f t="shared" si="4"/>
        <v>59.7</v>
      </c>
      <c r="S38" s="171">
        <v>3</v>
      </c>
      <c r="T38" s="285"/>
      <c r="U38" s="283">
        <v>27192</v>
      </c>
      <c r="V38" s="178" t="s">
        <v>80</v>
      </c>
      <c r="W38" s="171" t="s">
        <v>81</v>
      </c>
      <c r="X38" s="171" t="s">
        <v>18</v>
      </c>
      <c r="Y38" s="179">
        <v>23.6</v>
      </c>
      <c r="Z38" s="171" t="s">
        <v>84</v>
      </c>
      <c r="AA38" s="171" t="s">
        <v>85</v>
      </c>
      <c r="AB38" s="171" t="s">
        <v>18</v>
      </c>
      <c r="AC38" s="171">
        <v>10.4</v>
      </c>
      <c r="AD38" s="178" t="s">
        <v>86</v>
      </c>
      <c r="AE38" s="171" t="s">
        <v>87</v>
      </c>
      <c r="AF38" s="171" t="s">
        <v>11</v>
      </c>
      <c r="AG38" s="179">
        <v>9.1999999999999993</v>
      </c>
      <c r="AH38" s="171" t="s">
        <v>88</v>
      </c>
      <c r="AI38" s="171" t="s">
        <v>89</v>
      </c>
      <c r="AJ38" s="171" t="s">
        <v>18</v>
      </c>
      <c r="AK38" s="171">
        <v>10.4</v>
      </c>
      <c r="AL38" s="178" t="s">
        <v>90</v>
      </c>
      <c r="AM38" s="171" t="s">
        <v>91</v>
      </c>
      <c r="AN38" s="171" t="s">
        <v>18</v>
      </c>
      <c r="AO38" s="179">
        <v>6.1</v>
      </c>
      <c r="AP38" s="178"/>
      <c r="AS38" s="179"/>
      <c r="AW38" s="179"/>
      <c r="BA38" s="180"/>
    </row>
    <row r="39" spans="1:53" s="171" customFormat="1" x14ac:dyDescent="0.15">
      <c r="A39" s="216">
        <v>1975</v>
      </c>
      <c r="B39" s="283"/>
      <c r="C39" s="402" t="s">
        <v>198</v>
      </c>
      <c r="D39" s="402"/>
      <c r="E39" s="171">
        <v>0</v>
      </c>
      <c r="G39" s="233">
        <v>6</v>
      </c>
      <c r="H39" s="171">
        <v>15</v>
      </c>
      <c r="J39" s="241">
        <v>21</v>
      </c>
      <c r="K39" s="214">
        <f t="shared" si="14"/>
        <v>28.571428571428569</v>
      </c>
      <c r="L39" s="214">
        <f t="shared" si="15"/>
        <v>71.428571428571431</v>
      </c>
      <c r="M39" s="214">
        <f t="shared" si="16"/>
        <v>0</v>
      </c>
      <c r="N39" s="235">
        <f t="shared" si="0"/>
        <v>100</v>
      </c>
      <c r="O39" s="213">
        <v>9.1999999999999993</v>
      </c>
      <c r="P39" s="214">
        <v>50.5</v>
      </c>
      <c r="Q39" s="214"/>
      <c r="R39" s="215">
        <f t="shared" si="4"/>
        <v>59.7</v>
      </c>
      <c r="S39" s="171">
        <v>3</v>
      </c>
      <c r="T39" s="285"/>
      <c r="U39" s="283"/>
      <c r="V39" s="178" t="s">
        <v>80</v>
      </c>
      <c r="W39" s="171" t="s">
        <v>81</v>
      </c>
      <c r="X39" s="171" t="s">
        <v>18</v>
      </c>
      <c r="Y39" s="179">
        <v>23.6</v>
      </c>
      <c r="Z39" s="171" t="s">
        <v>84</v>
      </c>
      <c r="AA39" s="171" t="s">
        <v>85</v>
      </c>
      <c r="AB39" s="171" t="s">
        <v>18</v>
      </c>
      <c r="AC39" s="171">
        <v>10.4</v>
      </c>
      <c r="AD39" s="178" t="s">
        <v>86</v>
      </c>
      <c r="AE39" s="171" t="s">
        <v>87</v>
      </c>
      <c r="AF39" s="171" t="s">
        <v>11</v>
      </c>
      <c r="AG39" s="179">
        <v>9.1999999999999993</v>
      </c>
      <c r="AH39" s="171" t="s">
        <v>88</v>
      </c>
      <c r="AI39" s="171" t="s">
        <v>89</v>
      </c>
      <c r="AJ39" s="171" t="s">
        <v>18</v>
      </c>
      <c r="AK39" s="171">
        <v>10.4</v>
      </c>
      <c r="AL39" s="178" t="s">
        <v>90</v>
      </c>
      <c r="AM39" s="171" t="s">
        <v>91</v>
      </c>
      <c r="AN39" s="171" t="s">
        <v>18</v>
      </c>
      <c r="AO39" s="179">
        <v>6.1</v>
      </c>
      <c r="AP39" s="178"/>
      <c r="AS39" s="179"/>
      <c r="AW39" s="179"/>
      <c r="BA39" s="180"/>
    </row>
    <row r="40" spans="1:53" s="171" customFormat="1" x14ac:dyDescent="0.15">
      <c r="A40" s="216">
        <v>1975</v>
      </c>
      <c r="B40" s="283"/>
      <c r="C40" s="402" t="s">
        <v>198</v>
      </c>
      <c r="D40" s="402"/>
      <c r="E40" s="171">
        <v>365</v>
      </c>
      <c r="G40" s="233">
        <v>6</v>
      </c>
      <c r="H40" s="171">
        <v>15</v>
      </c>
      <c r="J40" s="241">
        <v>21</v>
      </c>
      <c r="K40" s="214">
        <f t="shared" si="14"/>
        <v>28.571428571428569</v>
      </c>
      <c r="L40" s="214">
        <f t="shared" si="15"/>
        <v>71.428571428571431</v>
      </c>
      <c r="M40" s="214">
        <f t="shared" si="16"/>
        <v>0</v>
      </c>
      <c r="N40" s="235">
        <f t="shared" si="0"/>
        <v>100</v>
      </c>
      <c r="O40" s="213">
        <v>9.1999999999999993</v>
      </c>
      <c r="P40" s="214">
        <v>50.5</v>
      </c>
      <c r="Q40" s="214"/>
      <c r="R40" s="215">
        <f t="shared" si="4"/>
        <v>59.7</v>
      </c>
      <c r="S40" s="171">
        <v>3</v>
      </c>
      <c r="T40" s="285"/>
      <c r="U40" s="283"/>
      <c r="V40" s="178" t="s">
        <v>80</v>
      </c>
      <c r="W40" s="171" t="s">
        <v>81</v>
      </c>
      <c r="X40" s="171" t="s">
        <v>18</v>
      </c>
      <c r="Y40" s="179">
        <v>23.6</v>
      </c>
      <c r="Z40" s="171" t="s">
        <v>84</v>
      </c>
      <c r="AA40" s="171" t="s">
        <v>85</v>
      </c>
      <c r="AB40" s="171" t="s">
        <v>18</v>
      </c>
      <c r="AC40" s="171">
        <v>10.4</v>
      </c>
      <c r="AD40" s="178" t="s">
        <v>86</v>
      </c>
      <c r="AE40" s="171" t="s">
        <v>87</v>
      </c>
      <c r="AF40" s="171" t="s">
        <v>11</v>
      </c>
      <c r="AG40" s="179">
        <v>9.1999999999999993</v>
      </c>
      <c r="AH40" s="171" t="s">
        <v>88</v>
      </c>
      <c r="AI40" s="171" t="s">
        <v>89</v>
      </c>
      <c r="AJ40" s="171" t="s">
        <v>18</v>
      </c>
      <c r="AK40" s="171">
        <v>10.4</v>
      </c>
      <c r="AL40" s="178" t="s">
        <v>90</v>
      </c>
      <c r="AM40" s="171" t="s">
        <v>91</v>
      </c>
      <c r="AN40" s="171" t="s">
        <v>18</v>
      </c>
      <c r="AO40" s="179">
        <v>6.1</v>
      </c>
      <c r="AP40" s="178"/>
      <c r="AS40" s="179"/>
      <c r="AW40" s="179"/>
      <c r="BA40" s="180"/>
    </row>
    <row r="41" spans="1:53" s="171" customFormat="1" x14ac:dyDescent="0.15">
      <c r="A41" s="216">
        <v>1976</v>
      </c>
      <c r="B41" s="283"/>
      <c r="C41" s="402" t="s">
        <v>198</v>
      </c>
      <c r="D41" s="402"/>
      <c r="E41" s="171">
        <v>343</v>
      </c>
      <c r="G41" s="233">
        <v>6</v>
      </c>
      <c r="H41" s="171">
        <v>15</v>
      </c>
      <c r="J41" s="241">
        <v>21</v>
      </c>
      <c r="K41" s="214">
        <f t="shared" si="14"/>
        <v>28.571428571428569</v>
      </c>
      <c r="L41" s="214">
        <f t="shared" si="15"/>
        <v>71.428571428571431</v>
      </c>
      <c r="M41" s="214">
        <f t="shared" si="16"/>
        <v>0</v>
      </c>
      <c r="N41" s="235">
        <f t="shared" si="0"/>
        <v>100</v>
      </c>
      <c r="O41" s="213">
        <v>9.1999999999999993</v>
      </c>
      <c r="P41" s="214">
        <v>50.5</v>
      </c>
      <c r="Q41" s="214"/>
      <c r="R41" s="215">
        <f t="shared" si="4"/>
        <v>59.7</v>
      </c>
      <c r="S41" s="171">
        <v>3</v>
      </c>
      <c r="T41" s="285"/>
      <c r="U41" s="283"/>
      <c r="V41" s="178" t="s">
        <v>80</v>
      </c>
      <c r="W41" s="171" t="s">
        <v>81</v>
      </c>
      <c r="X41" s="171" t="s">
        <v>18</v>
      </c>
      <c r="Y41" s="179">
        <v>23.6</v>
      </c>
      <c r="Z41" s="171" t="s">
        <v>84</v>
      </c>
      <c r="AA41" s="171" t="s">
        <v>85</v>
      </c>
      <c r="AB41" s="171" t="s">
        <v>18</v>
      </c>
      <c r="AC41" s="171">
        <v>10.4</v>
      </c>
      <c r="AD41" s="178" t="s">
        <v>86</v>
      </c>
      <c r="AE41" s="171" t="s">
        <v>87</v>
      </c>
      <c r="AF41" s="171" t="s">
        <v>11</v>
      </c>
      <c r="AG41" s="179">
        <v>9.1999999999999993</v>
      </c>
      <c r="AH41" s="171" t="s">
        <v>88</v>
      </c>
      <c r="AI41" s="171" t="s">
        <v>89</v>
      </c>
      <c r="AJ41" s="171" t="s">
        <v>18</v>
      </c>
      <c r="AK41" s="171">
        <v>10.4</v>
      </c>
      <c r="AL41" s="178" t="s">
        <v>90</v>
      </c>
      <c r="AM41" s="171" t="s">
        <v>91</v>
      </c>
      <c r="AN41" s="171" t="s">
        <v>18</v>
      </c>
      <c r="AO41" s="179">
        <v>6.1</v>
      </c>
      <c r="AP41" s="178"/>
      <c r="AS41" s="179"/>
      <c r="AW41" s="179"/>
      <c r="BA41" s="180"/>
    </row>
    <row r="42" spans="1:53" s="171" customFormat="1" x14ac:dyDescent="0.15">
      <c r="A42" s="216">
        <v>1976</v>
      </c>
      <c r="B42" s="301">
        <v>28103</v>
      </c>
      <c r="C42" s="402" t="s">
        <v>198</v>
      </c>
      <c r="D42" s="402"/>
      <c r="E42" s="171">
        <v>23</v>
      </c>
      <c r="F42" s="192">
        <v>0</v>
      </c>
      <c r="G42" s="233">
        <v>8</v>
      </c>
      <c r="H42" s="171">
        <v>17</v>
      </c>
      <c r="J42" s="241">
        <v>25</v>
      </c>
      <c r="K42" s="214">
        <f t="shared" si="14"/>
        <v>32</v>
      </c>
      <c r="L42" s="214">
        <f t="shared" si="15"/>
        <v>68</v>
      </c>
      <c r="M42" s="214">
        <f t="shared" si="16"/>
        <v>0</v>
      </c>
      <c r="N42" s="235">
        <f t="shared" si="0"/>
        <v>100</v>
      </c>
      <c r="O42" s="213">
        <v>9.1999999999999993</v>
      </c>
      <c r="P42" s="214">
        <v>50.5</v>
      </c>
      <c r="Q42" s="214"/>
      <c r="R42" s="215">
        <f t="shared" si="4"/>
        <v>59.7</v>
      </c>
      <c r="S42" s="171">
        <v>3</v>
      </c>
      <c r="T42" s="285"/>
      <c r="U42" s="283"/>
      <c r="V42" s="178" t="s">
        <v>80</v>
      </c>
      <c r="W42" s="171" t="s">
        <v>81</v>
      </c>
      <c r="X42" s="171" t="s">
        <v>18</v>
      </c>
      <c r="Y42" s="179">
        <v>23.6</v>
      </c>
      <c r="Z42" s="171" t="s">
        <v>84</v>
      </c>
      <c r="AA42" s="171" t="s">
        <v>85</v>
      </c>
      <c r="AB42" s="171" t="s">
        <v>18</v>
      </c>
      <c r="AC42" s="171">
        <v>10.4</v>
      </c>
      <c r="AD42" s="178" t="s">
        <v>86</v>
      </c>
      <c r="AE42" s="171" t="s">
        <v>87</v>
      </c>
      <c r="AF42" s="171" t="s">
        <v>11</v>
      </c>
      <c r="AG42" s="179">
        <v>9.1999999999999993</v>
      </c>
      <c r="AH42" s="171" t="s">
        <v>88</v>
      </c>
      <c r="AI42" s="171" t="s">
        <v>89</v>
      </c>
      <c r="AJ42" s="171" t="s">
        <v>18</v>
      </c>
      <c r="AK42" s="171">
        <v>10.4</v>
      </c>
      <c r="AL42" s="178" t="s">
        <v>90</v>
      </c>
      <c r="AM42" s="171" t="s">
        <v>91</v>
      </c>
      <c r="AN42" s="171" t="s">
        <v>18</v>
      </c>
      <c r="AO42" s="179">
        <v>6.1</v>
      </c>
      <c r="AP42" s="178"/>
      <c r="AS42" s="179"/>
      <c r="AW42" s="179"/>
      <c r="BA42" s="180"/>
    </row>
    <row r="43" spans="1:53" s="171" customFormat="1" x14ac:dyDescent="0.15">
      <c r="A43" s="216">
        <v>1977</v>
      </c>
      <c r="B43" s="283"/>
      <c r="C43" s="402" t="s">
        <v>198</v>
      </c>
      <c r="D43" s="402"/>
      <c r="E43" s="171">
        <v>153</v>
      </c>
      <c r="G43" s="233">
        <v>8</v>
      </c>
      <c r="H43" s="171">
        <v>17</v>
      </c>
      <c r="J43" s="241">
        <v>25</v>
      </c>
      <c r="K43" s="214">
        <f t="shared" si="14"/>
        <v>32</v>
      </c>
      <c r="L43" s="214">
        <f t="shared" si="15"/>
        <v>68</v>
      </c>
      <c r="M43" s="214">
        <f t="shared" si="16"/>
        <v>0</v>
      </c>
      <c r="N43" s="235">
        <f t="shared" si="0"/>
        <v>100</v>
      </c>
      <c r="O43" s="213">
        <v>9.1999999999999993</v>
      </c>
      <c r="P43" s="214">
        <v>50.5</v>
      </c>
      <c r="Q43" s="214"/>
      <c r="R43" s="215">
        <f t="shared" si="4"/>
        <v>59.7</v>
      </c>
      <c r="S43" s="171">
        <v>3</v>
      </c>
      <c r="T43" s="285"/>
      <c r="U43" s="283"/>
      <c r="V43" s="178" t="s">
        <v>80</v>
      </c>
      <c r="W43" s="171" t="s">
        <v>81</v>
      </c>
      <c r="X43" s="171" t="s">
        <v>18</v>
      </c>
      <c r="Y43" s="179">
        <v>23.6</v>
      </c>
      <c r="Z43" s="171" t="s">
        <v>84</v>
      </c>
      <c r="AA43" s="171" t="s">
        <v>85</v>
      </c>
      <c r="AB43" s="171" t="s">
        <v>18</v>
      </c>
      <c r="AC43" s="171">
        <v>10.4</v>
      </c>
      <c r="AD43" s="178" t="s">
        <v>86</v>
      </c>
      <c r="AE43" s="171" t="s">
        <v>87</v>
      </c>
      <c r="AF43" s="171" t="s">
        <v>11</v>
      </c>
      <c r="AG43" s="179">
        <v>9.1999999999999993</v>
      </c>
      <c r="AH43" s="171" t="s">
        <v>88</v>
      </c>
      <c r="AI43" s="171" t="s">
        <v>89</v>
      </c>
      <c r="AJ43" s="171" t="s">
        <v>18</v>
      </c>
      <c r="AK43" s="171">
        <v>10.4</v>
      </c>
      <c r="AL43" s="178" t="s">
        <v>90</v>
      </c>
      <c r="AM43" s="171" t="s">
        <v>91</v>
      </c>
      <c r="AN43" s="171" t="s">
        <v>18</v>
      </c>
      <c r="AO43" s="179">
        <v>6.1</v>
      </c>
      <c r="AP43" s="178"/>
      <c r="AS43" s="179"/>
      <c r="AW43" s="179"/>
      <c r="BA43" s="180"/>
    </row>
    <row r="44" spans="1:53" s="29" customFormat="1" x14ac:dyDescent="0.15">
      <c r="A44" s="52">
        <v>1977</v>
      </c>
      <c r="B44" s="295">
        <v>28279</v>
      </c>
      <c r="C44" s="394" t="s">
        <v>199</v>
      </c>
      <c r="D44" s="394"/>
      <c r="E44" s="29">
        <v>212</v>
      </c>
      <c r="F44" s="29">
        <v>5</v>
      </c>
      <c r="G44" s="66"/>
      <c r="H44" s="29">
        <v>14</v>
      </c>
      <c r="I44" s="29">
        <v>9</v>
      </c>
      <c r="J44" s="73">
        <v>23</v>
      </c>
      <c r="K44" s="47">
        <f>G44/J44*100</f>
        <v>0</v>
      </c>
      <c r="L44" s="47">
        <f>H44/J44*100</f>
        <v>60.869565217391312</v>
      </c>
      <c r="M44" s="47">
        <f>I44/J44*100</f>
        <v>39.130434782608695</v>
      </c>
      <c r="N44" s="68">
        <f t="shared" si="0"/>
        <v>100</v>
      </c>
      <c r="O44" s="46"/>
      <c r="P44" s="47">
        <v>51.8</v>
      </c>
      <c r="Q44" s="47">
        <v>29.2</v>
      </c>
      <c r="R44" s="48">
        <f t="shared" si="4"/>
        <v>81</v>
      </c>
      <c r="S44" s="29">
        <v>3</v>
      </c>
      <c r="T44" s="286">
        <v>28232</v>
      </c>
      <c r="U44" s="295">
        <v>28279</v>
      </c>
      <c r="V44" s="38" t="s">
        <v>80</v>
      </c>
      <c r="W44" s="29" t="s">
        <v>81</v>
      </c>
      <c r="X44" s="29" t="s">
        <v>18</v>
      </c>
      <c r="Y44" s="39">
        <v>26.4</v>
      </c>
      <c r="Z44" s="29" t="s">
        <v>84</v>
      </c>
      <c r="AA44" s="29" t="s">
        <v>85</v>
      </c>
      <c r="AB44" s="29" t="s">
        <v>18</v>
      </c>
      <c r="AC44" s="29">
        <v>11.3</v>
      </c>
      <c r="AD44" s="38" t="s">
        <v>83</v>
      </c>
      <c r="AE44" s="29" t="s">
        <v>20</v>
      </c>
      <c r="AF44" s="29" t="s">
        <v>12</v>
      </c>
      <c r="AG44" s="39">
        <v>29.2</v>
      </c>
      <c r="AH44" s="29" t="s">
        <v>88</v>
      </c>
      <c r="AI44" s="29" t="s">
        <v>89</v>
      </c>
      <c r="AJ44" s="29" t="s">
        <v>18</v>
      </c>
      <c r="AK44" s="29">
        <v>9.4</v>
      </c>
      <c r="AL44" s="38" t="s">
        <v>92</v>
      </c>
      <c r="AM44" s="29" t="s">
        <v>93</v>
      </c>
      <c r="AN44" s="29" t="s">
        <v>18</v>
      </c>
      <c r="AO44" s="39">
        <v>4.7</v>
      </c>
      <c r="AP44" s="38"/>
      <c r="AS44" s="39"/>
      <c r="AW44" s="39"/>
      <c r="BA44" s="40"/>
    </row>
    <row r="45" spans="1:53" s="29" customFormat="1" x14ac:dyDescent="0.15">
      <c r="A45" s="52">
        <v>1978</v>
      </c>
      <c r="B45" s="295"/>
      <c r="C45" s="394" t="s">
        <v>199</v>
      </c>
      <c r="D45" s="394"/>
      <c r="E45" s="29">
        <v>292</v>
      </c>
      <c r="G45" s="66"/>
      <c r="H45" s="29">
        <v>14</v>
      </c>
      <c r="I45" s="29">
        <v>9</v>
      </c>
      <c r="J45" s="73">
        <v>23</v>
      </c>
      <c r="K45" s="47">
        <f t="shared" ref="K45:K52" si="17">G45/J45*100</f>
        <v>0</v>
      </c>
      <c r="L45" s="47">
        <f t="shared" ref="L45:L52" si="18">H45/J45*100</f>
        <v>60.869565217391312</v>
      </c>
      <c r="M45" s="47">
        <f t="shared" ref="M45:M52" si="19">I45/J45*100</f>
        <v>39.130434782608695</v>
      </c>
      <c r="N45" s="68">
        <f t="shared" si="0"/>
        <v>100</v>
      </c>
      <c r="O45" s="46"/>
      <c r="P45" s="47">
        <v>51.8</v>
      </c>
      <c r="Q45" s="47">
        <v>29.2</v>
      </c>
      <c r="R45" s="48">
        <f t="shared" si="4"/>
        <v>81</v>
      </c>
      <c r="S45" s="29">
        <v>3</v>
      </c>
      <c r="T45" s="286"/>
      <c r="U45" s="295"/>
      <c r="V45" s="38" t="s">
        <v>80</v>
      </c>
      <c r="W45" s="29" t="s">
        <v>81</v>
      </c>
      <c r="X45" s="29" t="s">
        <v>18</v>
      </c>
      <c r="Y45" s="39">
        <v>26.4</v>
      </c>
      <c r="Z45" s="29" t="s">
        <v>84</v>
      </c>
      <c r="AA45" s="29" t="s">
        <v>85</v>
      </c>
      <c r="AB45" s="29" t="s">
        <v>18</v>
      </c>
      <c r="AC45" s="29">
        <v>11.3</v>
      </c>
      <c r="AD45" s="38" t="s">
        <v>83</v>
      </c>
      <c r="AE45" s="29" t="s">
        <v>20</v>
      </c>
      <c r="AF45" s="29" t="s">
        <v>12</v>
      </c>
      <c r="AG45" s="39">
        <v>29.2</v>
      </c>
      <c r="AH45" s="29" t="s">
        <v>88</v>
      </c>
      <c r="AI45" s="29" t="s">
        <v>89</v>
      </c>
      <c r="AJ45" s="29" t="s">
        <v>18</v>
      </c>
      <c r="AK45" s="29">
        <v>9.4</v>
      </c>
      <c r="AL45" s="38" t="s">
        <v>92</v>
      </c>
      <c r="AM45" s="29" t="s">
        <v>93</v>
      </c>
      <c r="AN45" s="29" t="s">
        <v>18</v>
      </c>
      <c r="AO45" s="39">
        <v>4.7</v>
      </c>
      <c r="AP45" s="38"/>
      <c r="AS45" s="39"/>
      <c r="AW45" s="39"/>
      <c r="BA45" s="40"/>
    </row>
    <row r="46" spans="1:53" s="171" customFormat="1" x14ac:dyDescent="0.15">
      <c r="A46" s="216">
        <v>1978</v>
      </c>
      <c r="B46" s="283">
        <v>28783</v>
      </c>
      <c r="C46" s="402" t="s">
        <v>1184</v>
      </c>
      <c r="D46" s="402"/>
      <c r="E46" s="171">
        <v>73</v>
      </c>
      <c r="F46" s="171">
        <v>2</v>
      </c>
      <c r="G46" s="233"/>
      <c r="H46" s="171">
        <v>13</v>
      </c>
      <c r="I46" s="171">
        <v>9</v>
      </c>
      <c r="J46" s="241">
        <v>22</v>
      </c>
      <c r="K46" s="214">
        <f t="shared" si="17"/>
        <v>0</v>
      </c>
      <c r="L46" s="214">
        <f t="shared" si="18"/>
        <v>59.090909090909093</v>
      </c>
      <c r="M46" s="214">
        <f t="shared" si="19"/>
        <v>40.909090909090914</v>
      </c>
      <c r="N46" s="235">
        <f t="shared" si="0"/>
        <v>100</v>
      </c>
      <c r="O46" s="213"/>
      <c r="P46" s="214">
        <v>51.8</v>
      </c>
      <c r="Q46" s="214">
        <v>29.2</v>
      </c>
      <c r="R46" s="215">
        <f t="shared" si="4"/>
        <v>81</v>
      </c>
      <c r="S46" s="171">
        <v>6</v>
      </c>
      <c r="T46" s="285"/>
      <c r="U46" s="283">
        <v>28783</v>
      </c>
      <c r="V46" s="178" t="s">
        <v>80</v>
      </c>
      <c r="W46" s="171" t="s">
        <v>81</v>
      </c>
      <c r="X46" s="171" t="s">
        <v>18</v>
      </c>
      <c r="Y46" s="179">
        <v>26.4</v>
      </c>
      <c r="Z46" s="171" t="s">
        <v>84</v>
      </c>
      <c r="AA46" s="171" t="s">
        <v>85</v>
      </c>
      <c r="AB46" s="171" t="s">
        <v>18</v>
      </c>
      <c r="AC46" s="171">
        <v>11.3</v>
      </c>
      <c r="AD46" s="178" t="s">
        <v>83</v>
      </c>
      <c r="AE46" s="171" t="s">
        <v>20</v>
      </c>
      <c r="AF46" s="171" t="s">
        <v>12</v>
      </c>
      <c r="AG46" s="179">
        <v>29.2</v>
      </c>
      <c r="AH46" s="171" t="s">
        <v>88</v>
      </c>
      <c r="AI46" s="171" t="s">
        <v>89</v>
      </c>
      <c r="AJ46" s="171" t="s">
        <v>18</v>
      </c>
      <c r="AK46" s="171">
        <v>9.4</v>
      </c>
      <c r="AL46" s="178" t="s">
        <v>92</v>
      </c>
      <c r="AM46" s="171" t="s">
        <v>93</v>
      </c>
      <c r="AN46" s="171" t="s">
        <v>18</v>
      </c>
      <c r="AO46" s="179">
        <v>4.7</v>
      </c>
      <c r="AP46" s="178"/>
      <c r="AS46" s="179"/>
      <c r="AW46" s="179"/>
      <c r="BA46" s="180"/>
    </row>
    <row r="47" spans="1:53" s="171" customFormat="1" x14ac:dyDescent="0.15">
      <c r="A47" s="216">
        <v>1979</v>
      </c>
      <c r="B47" s="283"/>
      <c r="C47" s="402" t="s">
        <v>1184</v>
      </c>
      <c r="D47" s="402"/>
      <c r="E47" s="171">
        <v>92</v>
      </c>
      <c r="G47" s="233"/>
      <c r="H47" s="171">
        <v>13</v>
      </c>
      <c r="I47" s="171">
        <v>9</v>
      </c>
      <c r="J47" s="241">
        <v>22</v>
      </c>
      <c r="K47" s="214">
        <f t="shared" si="17"/>
        <v>0</v>
      </c>
      <c r="L47" s="214">
        <f t="shared" si="18"/>
        <v>59.090909090909093</v>
      </c>
      <c r="M47" s="214">
        <f t="shared" si="19"/>
        <v>40.909090909090914</v>
      </c>
      <c r="N47" s="235">
        <f t="shared" si="0"/>
        <v>100</v>
      </c>
      <c r="O47" s="213"/>
      <c r="P47" s="214">
        <v>51.8</v>
      </c>
      <c r="Q47" s="214">
        <v>29.2</v>
      </c>
      <c r="R47" s="215">
        <f t="shared" si="4"/>
        <v>81</v>
      </c>
      <c r="S47" s="171">
        <v>6</v>
      </c>
      <c r="T47" s="285">
        <v>28841</v>
      </c>
      <c r="U47" s="283"/>
      <c r="V47" s="178" t="s">
        <v>80</v>
      </c>
      <c r="W47" s="171" t="s">
        <v>81</v>
      </c>
      <c r="X47" s="171" t="s">
        <v>18</v>
      </c>
      <c r="Y47" s="179">
        <v>26.4</v>
      </c>
      <c r="Z47" s="171" t="s">
        <v>84</v>
      </c>
      <c r="AA47" s="171" t="s">
        <v>85</v>
      </c>
      <c r="AB47" s="171" t="s">
        <v>18</v>
      </c>
      <c r="AC47" s="171">
        <v>11.3</v>
      </c>
      <c r="AD47" s="178" t="s">
        <v>83</v>
      </c>
      <c r="AE47" s="171" t="s">
        <v>20</v>
      </c>
      <c r="AF47" s="171" t="s">
        <v>12</v>
      </c>
      <c r="AG47" s="179">
        <v>29.2</v>
      </c>
      <c r="AH47" s="171" t="s">
        <v>88</v>
      </c>
      <c r="AI47" s="171" t="s">
        <v>89</v>
      </c>
      <c r="AJ47" s="171" t="s">
        <v>18</v>
      </c>
      <c r="AK47" s="171">
        <v>9.4</v>
      </c>
      <c r="AL47" s="178" t="s">
        <v>92</v>
      </c>
      <c r="AM47" s="171" t="s">
        <v>93</v>
      </c>
      <c r="AN47" s="171" t="s">
        <v>18</v>
      </c>
      <c r="AO47" s="179">
        <v>4.7</v>
      </c>
      <c r="AP47" s="178"/>
      <c r="AS47" s="179"/>
      <c r="AW47" s="179"/>
      <c r="BA47" s="180"/>
    </row>
    <row r="48" spans="1:53" s="29" customFormat="1" x14ac:dyDescent="0.15">
      <c r="A48" s="52">
        <v>1979</v>
      </c>
      <c r="B48" s="295">
        <v>28948</v>
      </c>
      <c r="C48" s="394" t="s">
        <v>200</v>
      </c>
      <c r="D48" s="394"/>
      <c r="E48" s="29">
        <v>273</v>
      </c>
      <c r="F48" s="29">
        <v>1</v>
      </c>
      <c r="G48" s="66"/>
      <c r="H48" s="29">
        <v>15</v>
      </c>
      <c r="I48" s="29">
        <v>10</v>
      </c>
      <c r="J48" s="73">
        <v>25</v>
      </c>
      <c r="K48" s="47">
        <f t="shared" si="17"/>
        <v>0</v>
      </c>
      <c r="L48" s="47">
        <f t="shared" si="18"/>
        <v>60</v>
      </c>
      <c r="M48" s="47">
        <f t="shared" si="19"/>
        <v>40</v>
      </c>
      <c r="N48" s="68">
        <f t="shared" si="0"/>
        <v>100</v>
      </c>
      <c r="O48" s="46"/>
      <c r="P48" s="47">
        <v>43.9</v>
      </c>
      <c r="Q48" s="47">
        <v>27.4</v>
      </c>
      <c r="R48" s="48">
        <f t="shared" si="4"/>
        <v>71.3</v>
      </c>
      <c r="S48" s="29">
        <v>3</v>
      </c>
      <c r="T48" s="286"/>
      <c r="U48" s="295">
        <v>28948</v>
      </c>
      <c r="V48" s="38" t="s">
        <v>80</v>
      </c>
      <c r="W48" s="29" t="s">
        <v>81</v>
      </c>
      <c r="X48" s="29" t="s">
        <v>18</v>
      </c>
      <c r="Y48" s="39">
        <v>26.9</v>
      </c>
      <c r="Z48" s="29" t="s">
        <v>84</v>
      </c>
      <c r="AA48" s="29" t="s">
        <v>85</v>
      </c>
      <c r="AB48" s="29" t="s">
        <v>18</v>
      </c>
      <c r="AC48" s="29">
        <v>11.8</v>
      </c>
      <c r="AD48" s="38" t="s">
        <v>95</v>
      </c>
      <c r="AE48" s="29" t="s">
        <v>96</v>
      </c>
      <c r="AF48" s="29" t="s">
        <v>12</v>
      </c>
      <c r="AG48" s="39">
        <v>15.1</v>
      </c>
      <c r="AH48" s="38" t="s">
        <v>94</v>
      </c>
      <c r="AI48" s="29" t="s">
        <v>97</v>
      </c>
      <c r="AJ48" s="29" t="s">
        <v>12</v>
      </c>
      <c r="AK48" s="29">
        <v>12.3</v>
      </c>
      <c r="AL48" s="38" t="s">
        <v>92</v>
      </c>
      <c r="AM48" s="29" t="s">
        <v>93</v>
      </c>
      <c r="AN48" s="29" t="s">
        <v>18</v>
      </c>
      <c r="AO48" s="39">
        <v>5.2</v>
      </c>
      <c r="AP48" s="38"/>
      <c r="AS48" s="39"/>
      <c r="AW48" s="39"/>
      <c r="BA48" s="40"/>
    </row>
    <row r="49" spans="1:53" s="29" customFormat="1" x14ac:dyDescent="0.15">
      <c r="A49" s="52">
        <v>1980</v>
      </c>
      <c r="B49" s="295"/>
      <c r="C49" s="394" t="s">
        <v>200</v>
      </c>
      <c r="D49" s="394"/>
      <c r="E49" s="29">
        <v>22</v>
      </c>
      <c r="G49" s="66"/>
      <c r="H49" s="29">
        <v>15</v>
      </c>
      <c r="I49" s="29">
        <v>10</v>
      </c>
      <c r="J49" s="73">
        <v>25</v>
      </c>
      <c r="K49" s="47">
        <f t="shared" si="17"/>
        <v>0</v>
      </c>
      <c r="L49" s="47">
        <f t="shared" si="18"/>
        <v>60</v>
      </c>
      <c r="M49" s="47">
        <f t="shared" si="19"/>
        <v>40</v>
      </c>
      <c r="N49" s="68">
        <f t="shared" si="0"/>
        <v>100</v>
      </c>
      <c r="O49" s="46"/>
      <c r="P49" s="47">
        <v>43.9</v>
      </c>
      <c r="Q49" s="47">
        <v>27.4</v>
      </c>
      <c r="R49" s="48">
        <f t="shared" si="4"/>
        <v>71.3</v>
      </c>
      <c r="S49" s="29">
        <v>3</v>
      </c>
      <c r="T49" s="286"/>
      <c r="U49" s="295"/>
      <c r="V49" s="38" t="s">
        <v>80</v>
      </c>
      <c r="W49" s="29" t="s">
        <v>81</v>
      </c>
      <c r="X49" s="29" t="s">
        <v>18</v>
      </c>
      <c r="Y49" s="39">
        <v>26.9</v>
      </c>
      <c r="Z49" s="29" t="s">
        <v>84</v>
      </c>
      <c r="AA49" s="29" t="s">
        <v>85</v>
      </c>
      <c r="AB49" s="29" t="s">
        <v>18</v>
      </c>
      <c r="AC49" s="29">
        <v>11.8</v>
      </c>
      <c r="AD49" s="38" t="s">
        <v>95</v>
      </c>
      <c r="AE49" s="29" t="s">
        <v>96</v>
      </c>
      <c r="AF49" s="29" t="s">
        <v>12</v>
      </c>
      <c r="AG49" s="39">
        <v>15.1</v>
      </c>
      <c r="AH49" s="29" t="s">
        <v>94</v>
      </c>
      <c r="AI49" s="29" t="s">
        <v>97</v>
      </c>
      <c r="AJ49" s="29" t="s">
        <v>12</v>
      </c>
      <c r="AK49" s="29">
        <v>12.3</v>
      </c>
      <c r="AL49" s="38" t="s">
        <v>92</v>
      </c>
      <c r="AM49" s="29" t="s">
        <v>93</v>
      </c>
      <c r="AN49" s="29" t="s">
        <v>18</v>
      </c>
      <c r="AO49" s="39">
        <v>5.2</v>
      </c>
      <c r="AP49" s="38"/>
      <c r="AS49" s="39"/>
      <c r="AW49" s="39"/>
      <c r="BA49" s="40"/>
    </row>
    <row r="50" spans="1:53" s="171" customFormat="1" x14ac:dyDescent="0.15">
      <c r="A50" s="216">
        <v>1980</v>
      </c>
      <c r="B50" s="283">
        <v>29243</v>
      </c>
      <c r="C50" s="402" t="s">
        <v>201</v>
      </c>
      <c r="D50" s="402"/>
      <c r="E50" s="171">
        <v>116</v>
      </c>
      <c r="F50" s="171">
        <v>4</v>
      </c>
      <c r="G50" s="233"/>
      <c r="H50" s="171">
        <v>12</v>
      </c>
      <c r="I50" s="171">
        <v>12</v>
      </c>
      <c r="J50" s="241">
        <v>24</v>
      </c>
      <c r="K50" s="214">
        <f>G50/J50*100</f>
        <v>0</v>
      </c>
      <c r="L50" s="214">
        <f>H50/J50*100</f>
        <v>50</v>
      </c>
      <c r="M50" s="214">
        <f>I50/J50*100</f>
        <v>50</v>
      </c>
      <c r="N50" s="235">
        <f t="shared" si="0"/>
        <v>100</v>
      </c>
      <c r="O50" s="213"/>
      <c r="P50" s="214">
        <v>38.700000000000003</v>
      </c>
      <c r="Q50" s="214">
        <v>27.4</v>
      </c>
      <c r="R50" s="215">
        <f t="shared" si="4"/>
        <v>66.099999999999994</v>
      </c>
      <c r="S50" s="171">
        <v>3</v>
      </c>
      <c r="T50" s="285"/>
      <c r="U50" s="283">
        <v>29243</v>
      </c>
      <c r="V50" s="178" t="s">
        <v>80</v>
      </c>
      <c r="W50" s="171" t="s">
        <v>81</v>
      </c>
      <c r="X50" s="171" t="s">
        <v>18</v>
      </c>
      <c r="Y50" s="179">
        <v>26.9</v>
      </c>
      <c r="Z50" s="171" t="s">
        <v>84</v>
      </c>
      <c r="AA50" s="171" t="s">
        <v>85</v>
      </c>
      <c r="AB50" s="171" t="s">
        <v>18</v>
      </c>
      <c r="AC50" s="171">
        <v>11.8</v>
      </c>
      <c r="AD50" s="178" t="s">
        <v>95</v>
      </c>
      <c r="AE50" s="171" t="s">
        <v>96</v>
      </c>
      <c r="AF50" s="171" t="s">
        <v>12</v>
      </c>
      <c r="AG50" s="179">
        <v>15.1</v>
      </c>
      <c r="AH50" s="178" t="s">
        <v>94</v>
      </c>
      <c r="AI50" s="171" t="s">
        <v>97</v>
      </c>
      <c r="AJ50" s="171" t="s">
        <v>12</v>
      </c>
      <c r="AK50" s="171">
        <v>12.3</v>
      </c>
      <c r="AL50" s="178"/>
      <c r="AO50" s="179"/>
      <c r="AP50" s="178"/>
      <c r="AS50" s="179"/>
      <c r="AW50" s="179"/>
      <c r="BA50" s="180"/>
    </row>
    <row r="51" spans="1:53" s="29" customFormat="1" x14ac:dyDescent="0.15">
      <c r="A51" s="52">
        <v>1980</v>
      </c>
      <c r="B51" s="295">
        <v>29359</v>
      </c>
      <c r="C51" s="394" t="s">
        <v>202</v>
      </c>
      <c r="D51" s="394"/>
      <c r="E51" s="29">
        <v>157</v>
      </c>
      <c r="F51" s="29">
        <v>5</v>
      </c>
      <c r="G51" s="66">
        <v>5</v>
      </c>
      <c r="H51" s="29">
        <v>12</v>
      </c>
      <c r="I51" s="29">
        <v>10</v>
      </c>
      <c r="J51" s="73">
        <v>27</v>
      </c>
      <c r="K51" s="47">
        <f>G51/J51*100</f>
        <v>18.518518518518519</v>
      </c>
      <c r="L51" s="47">
        <f>H51/J51*100</f>
        <v>44.444444444444443</v>
      </c>
      <c r="M51" s="47">
        <f>I51/J51*100</f>
        <v>37.037037037037038</v>
      </c>
      <c r="N51" s="68">
        <f t="shared" si="0"/>
        <v>100</v>
      </c>
      <c r="O51" s="46">
        <v>10.4</v>
      </c>
      <c r="P51" s="47">
        <v>38.700000000000003</v>
      </c>
      <c r="Q51" s="47">
        <v>27.4</v>
      </c>
      <c r="R51" s="48">
        <f t="shared" si="4"/>
        <v>76.5</v>
      </c>
      <c r="S51" s="29">
        <v>3</v>
      </c>
      <c r="T51" s="286"/>
      <c r="U51" s="295">
        <v>29359</v>
      </c>
      <c r="V51" s="38" t="s">
        <v>80</v>
      </c>
      <c r="W51" s="29" t="s">
        <v>81</v>
      </c>
      <c r="X51" s="29" t="s">
        <v>18</v>
      </c>
      <c r="Y51" s="39">
        <v>26.9</v>
      </c>
      <c r="Z51" s="29" t="s">
        <v>84</v>
      </c>
      <c r="AA51" s="29" t="s">
        <v>85</v>
      </c>
      <c r="AB51" s="29" t="s">
        <v>18</v>
      </c>
      <c r="AC51" s="29">
        <v>11.8</v>
      </c>
      <c r="AD51" s="38" t="s">
        <v>95</v>
      </c>
      <c r="AE51" s="29" t="s">
        <v>96</v>
      </c>
      <c r="AF51" s="29" t="s">
        <v>12</v>
      </c>
      <c r="AG51" s="39">
        <v>15.1</v>
      </c>
      <c r="AH51" s="29" t="s">
        <v>94</v>
      </c>
      <c r="AI51" s="29" t="s">
        <v>97</v>
      </c>
      <c r="AJ51" s="29" t="s">
        <v>12</v>
      </c>
      <c r="AK51" s="29">
        <v>12.3</v>
      </c>
      <c r="AL51" s="38" t="s">
        <v>86</v>
      </c>
      <c r="AM51" s="29" t="s">
        <v>87</v>
      </c>
      <c r="AN51" s="29" t="s">
        <v>11</v>
      </c>
      <c r="AO51" s="39">
        <v>10.4</v>
      </c>
      <c r="AP51" s="38"/>
      <c r="AS51" s="39"/>
      <c r="AW51" s="39"/>
      <c r="BA51" s="40"/>
    </row>
    <row r="52" spans="1:53" s="171" customFormat="1" x14ac:dyDescent="0.15">
      <c r="A52" s="216">
        <v>1980</v>
      </c>
      <c r="B52" s="283">
        <v>29516</v>
      </c>
      <c r="C52" s="402" t="s">
        <v>203</v>
      </c>
      <c r="D52" s="402"/>
      <c r="E52" s="171">
        <v>71</v>
      </c>
      <c r="F52" s="171">
        <v>4</v>
      </c>
      <c r="G52" s="233"/>
      <c r="H52" s="171">
        <v>13</v>
      </c>
      <c r="I52" s="171">
        <v>12</v>
      </c>
      <c r="J52" s="241">
        <v>25</v>
      </c>
      <c r="K52" s="214">
        <f t="shared" si="17"/>
        <v>0</v>
      </c>
      <c r="L52" s="214">
        <f t="shared" si="18"/>
        <v>52</v>
      </c>
      <c r="M52" s="214">
        <f t="shared" si="19"/>
        <v>48</v>
      </c>
      <c r="N52" s="235">
        <f t="shared" si="0"/>
        <v>100</v>
      </c>
      <c r="O52" s="213"/>
      <c r="P52" s="214">
        <v>38.700000000000003</v>
      </c>
      <c r="Q52" s="214">
        <v>27.4</v>
      </c>
      <c r="R52" s="215">
        <f t="shared" si="4"/>
        <v>66.099999999999994</v>
      </c>
      <c r="S52" s="171">
        <v>3</v>
      </c>
      <c r="T52" s="285"/>
      <c r="U52" s="283">
        <v>29516</v>
      </c>
      <c r="V52" s="178" t="s">
        <v>80</v>
      </c>
      <c r="W52" s="171" t="s">
        <v>81</v>
      </c>
      <c r="X52" s="171" t="s">
        <v>18</v>
      </c>
      <c r="Y52" s="179">
        <v>26.9</v>
      </c>
      <c r="Z52" s="171" t="s">
        <v>84</v>
      </c>
      <c r="AA52" s="171" t="s">
        <v>85</v>
      </c>
      <c r="AB52" s="171" t="s">
        <v>18</v>
      </c>
      <c r="AC52" s="171">
        <v>11.8</v>
      </c>
      <c r="AD52" s="178" t="s">
        <v>95</v>
      </c>
      <c r="AE52" s="171" t="s">
        <v>96</v>
      </c>
      <c r="AF52" s="171" t="s">
        <v>12</v>
      </c>
      <c r="AG52" s="179">
        <v>15.1</v>
      </c>
      <c r="AH52" s="171" t="s">
        <v>94</v>
      </c>
      <c r="AI52" s="171" t="s">
        <v>97</v>
      </c>
      <c r="AJ52" s="171" t="s">
        <v>12</v>
      </c>
      <c r="AK52" s="171">
        <v>12.3</v>
      </c>
      <c r="AL52" s="178"/>
      <c r="AO52" s="179"/>
      <c r="AP52" s="178"/>
      <c r="AS52" s="179"/>
      <c r="AW52" s="179"/>
      <c r="BA52" s="180"/>
    </row>
    <row r="53" spans="1:53" s="171" customFormat="1" x14ac:dyDescent="0.15">
      <c r="A53" s="216">
        <v>1981</v>
      </c>
      <c r="B53" s="283"/>
      <c r="C53" s="402" t="s">
        <v>203</v>
      </c>
      <c r="D53" s="402"/>
      <c r="E53" s="171">
        <v>95</v>
      </c>
      <c r="G53" s="233"/>
      <c r="H53" s="171">
        <v>13</v>
      </c>
      <c r="I53" s="171">
        <v>12</v>
      </c>
      <c r="J53" s="241">
        <v>25</v>
      </c>
      <c r="K53" s="214">
        <f>G53/J53*100</f>
        <v>0</v>
      </c>
      <c r="L53" s="214">
        <f>H53/J53*100</f>
        <v>52</v>
      </c>
      <c r="M53" s="214">
        <f>I53/J53*100</f>
        <v>48</v>
      </c>
      <c r="N53" s="235">
        <f t="shared" si="0"/>
        <v>100</v>
      </c>
      <c r="O53" s="213"/>
      <c r="P53" s="214">
        <v>38.700000000000003</v>
      </c>
      <c r="Q53" s="214">
        <v>27.4</v>
      </c>
      <c r="R53" s="215">
        <f t="shared" si="4"/>
        <v>66.099999999999994</v>
      </c>
      <c r="S53" s="171">
        <v>3</v>
      </c>
      <c r="T53" s="285"/>
      <c r="U53" s="283"/>
      <c r="V53" s="178" t="s">
        <v>80</v>
      </c>
      <c r="W53" s="171" t="s">
        <v>81</v>
      </c>
      <c r="X53" s="171" t="s">
        <v>18</v>
      </c>
      <c r="Y53" s="179">
        <v>26.9</v>
      </c>
      <c r="Z53" s="171" t="s">
        <v>84</v>
      </c>
      <c r="AA53" s="171" t="s">
        <v>85</v>
      </c>
      <c r="AB53" s="171" t="s">
        <v>18</v>
      </c>
      <c r="AC53" s="171">
        <v>11.8</v>
      </c>
      <c r="AD53" s="178" t="s">
        <v>95</v>
      </c>
      <c r="AE53" s="171" t="s">
        <v>96</v>
      </c>
      <c r="AF53" s="171" t="s">
        <v>12</v>
      </c>
      <c r="AG53" s="179">
        <v>15.1</v>
      </c>
      <c r="AH53" s="178" t="s">
        <v>94</v>
      </c>
      <c r="AI53" s="171" t="s">
        <v>97</v>
      </c>
      <c r="AJ53" s="171" t="s">
        <v>12</v>
      </c>
      <c r="AK53" s="171">
        <v>12.3</v>
      </c>
      <c r="AL53" s="178"/>
      <c r="AO53" s="179"/>
      <c r="AP53" s="178"/>
      <c r="AS53" s="179"/>
      <c r="AW53" s="179"/>
      <c r="BA53" s="180"/>
    </row>
    <row r="54" spans="1:53" s="29" customFormat="1" x14ac:dyDescent="0.15">
      <c r="A54" s="52">
        <v>1981</v>
      </c>
      <c r="B54" s="295">
        <v>29682</v>
      </c>
      <c r="C54" s="394" t="s">
        <v>204</v>
      </c>
      <c r="D54" s="394"/>
      <c r="E54" s="29">
        <v>255</v>
      </c>
      <c r="F54" s="29">
        <v>4</v>
      </c>
      <c r="G54" s="66"/>
      <c r="H54" s="29">
        <v>13</v>
      </c>
      <c r="I54" s="29">
        <v>12</v>
      </c>
      <c r="J54" s="73">
        <v>25</v>
      </c>
      <c r="K54" s="47">
        <f>G54/J54*100</f>
        <v>0</v>
      </c>
      <c r="L54" s="47">
        <f>H54/J54*100</f>
        <v>52</v>
      </c>
      <c r="M54" s="47">
        <f>I54/J54*100</f>
        <v>48</v>
      </c>
      <c r="N54" s="68">
        <f t="shared" si="0"/>
        <v>100</v>
      </c>
      <c r="O54" s="46"/>
      <c r="P54" s="47">
        <v>38.700000000000003</v>
      </c>
      <c r="Q54" s="47">
        <v>27.4</v>
      </c>
      <c r="R54" s="48">
        <f t="shared" si="4"/>
        <v>66.099999999999994</v>
      </c>
      <c r="S54" s="29">
        <v>3</v>
      </c>
      <c r="T54" s="286"/>
      <c r="U54" s="295">
        <v>29682</v>
      </c>
      <c r="V54" s="38" t="s">
        <v>80</v>
      </c>
      <c r="W54" s="29" t="s">
        <v>81</v>
      </c>
      <c r="X54" s="29" t="s">
        <v>18</v>
      </c>
      <c r="Y54" s="39">
        <v>26.9</v>
      </c>
      <c r="Z54" s="29" t="s">
        <v>84</v>
      </c>
      <c r="AA54" s="29" t="s">
        <v>85</v>
      </c>
      <c r="AB54" s="29" t="s">
        <v>18</v>
      </c>
      <c r="AC54" s="29">
        <v>11.8</v>
      </c>
      <c r="AD54" s="38" t="s">
        <v>95</v>
      </c>
      <c r="AE54" s="29" t="s">
        <v>96</v>
      </c>
      <c r="AF54" s="29" t="s">
        <v>12</v>
      </c>
      <c r="AG54" s="39">
        <v>15.1</v>
      </c>
      <c r="AH54" s="29" t="s">
        <v>94</v>
      </c>
      <c r="AI54" s="29" t="s">
        <v>97</v>
      </c>
      <c r="AJ54" s="29" t="s">
        <v>12</v>
      </c>
      <c r="AK54" s="29">
        <v>12.3</v>
      </c>
      <c r="AL54" s="38"/>
      <c r="AO54" s="39"/>
      <c r="AP54" s="38"/>
      <c r="AS54" s="39"/>
      <c r="AW54" s="39"/>
      <c r="BA54" s="40"/>
    </row>
    <row r="55" spans="1:53" s="171" customFormat="1" x14ac:dyDescent="0.15">
      <c r="A55" s="216">
        <v>1981</v>
      </c>
      <c r="B55" s="283">
        <v>29937</v>
      </c>
      <c r="C55" s="402" t="s">
        <v>205</v>
      </c>
      <c r="D55" s="402"/>
      <c r="E55" s="171">
        <v>15</v>
      </c>
      <c r="F55" s="171">
        <v>4</v>
      </c>
      <c r="G55" s="233">
        <v>8</v>
      </c>
      <c r="H55" s="171">
        <v>8</v>
      </c>
      <c r="J55" s="241">
        <v>16</v>
      </c>
      <c r="K55" s="214">
        <f t="shared" ref="K55:K60" si="20">G55/J55*100</f>
        <v>50</v>
      </c>
      <c r="L55" s="214">
        <f t="shared" ref="L55:L60" si="21">H55/J55*100</f>
        <v>50</v>
      </c>
      <c r="M55" s="214">
        <f t="shared" ref="M55:M60" si="22">I55/J55*100</f>
        <v>0</v>
      </c>
      <c r="N55" s="235">
        <f t="shared" si="0"/>
        <v>100</v>
      </c>
      <c r="O55" s="213">
        <v>24.5</v>
      </c>
      <c r="P55" s="214">
        <v>28.8</v>
      </c>
      <c r="Q55" s="214"/>
      <c r="R55" s="215">
        <f t="shared" si="4"/>
        <v>53.3</v>
      </c>
      <c r="S55" s="171">
        <v>2</v>
      </c>
      <c r="T55" s="285">
        <v>29898</v>
      </c>
      <c r="U55" s="283">
        <v>29937</v>
      </c>
      <c r="V55" s="178" t="s">
        <v>80</v>
      </c>
      <c r="W55" s="171" t="s">
        <v>81</v>
      </c>
      <c r="X55" s="171" t="s">
        <v>18</v>
      </c>
      <c r="Y55" s="179">
        <v>20.3</v>
      </c>
      <c r="Z55" s="171" t="s">
        <v>84</v>
      </c>
      <c r="AA55" s="171" t="s">
        <v>85</v>
      </c>
      <c r="AB55" s="171" t="s">
        <v>18</v>
      </c>
      <c r="AC55" s="171">
        <v>8.5</v>
      </c>
      <c r="AD55" s="178" t="s">
        <v>86</v>
      </c>
      <c r="AE55" s="171" t="s">
        <v>87</v>
      </c>
      <c r="AF55" s="171" t="s">
        <v>11</v>
      </c>
      <c r="AG55" s="179">
        <v>13.2</v>
      </c>
      <c r="AH55" s="178" t="s">
        <v>98</v>
      </c>
      <c r="AI55" s="171" t="s">
        <v>99</v>
      </c>
      <c r="AJ55" s="171" t="s">
        <v>11</v>
      </c>
      <c r="AK55" s="171">
        <v>11.3</v>
      </c>
      <c r="AL55" s="178"/>
      <c r="AO55" s="179"/>
      <c r="AP55" s="178"/>
      <c r="AS55" s="179"/>
      <c r="AW55" s="179"/>
      <c r="BA55" s="180"/>
    </row>
    <row r="56" spans="1:53" s="171" customFormat="1" x14ac:dyDescent="0.15">
      <c r="A56" s="216">
        <v>1982</v>
      </c>
      <c r="B56" s="283"/>
      <c r="C56" s="402" t="s">
        <v>205</v>
      </c>
      <c r="D56" s="402"/>
      <c r="E56" s="171">
        <v>0</v>
      </c>
      <c r="G56" s="233">
        <v>8</v>
      </c>
      <c r="H56" s="171">
        <v>8</v>
      </c>
      <c r="J56" s="241">
        <v>16</v>
      </c>
      <c r="K56" s="214">
        <f t="shared" si="20"/>
        <v>50</v>
      </c>
      <c r="L56" s="214">
        <f t="shared" si="21"/>
        <v>50</v>
      </c>
      <c r="M56" s="214">
        <f t="shared" si="22"/>
        <v>0</v>
      </c>
      <c r="N56" s="235">
        <f t="shared" si="0"/>
        <v>100</v>
      </c>
      <c r="O56" s="213">
        <v>24.5</v>
      </c>
      <c r="P56" s="214">
        <v>28.8</v>
      </c>
      <c r="Q56" s="214"/>
      <c r="R56" s="215">
        <f t="shared" si="4"/>
        <v>53.3</v>
      </c>
      <c r="S56" s="171">
        <v>2</v>
      </c>
      <c r="T56" s="285"/>
      <c r="U56" s="283"/>
      <c r="V56" s="178" t="s">
        <v>80</v>
      </c>
      <c r="W56" s="171" t="s">
        <v>81</v>
      </c>
      <c r="X56" s="171" t="s">
        <v>18</v>
      </c>
      <c r="Y56" s="179">
        <v>20.3</v>
      </c>
      <c r="Z56" s="171" t="s">
        <v>84</v>
      </c>
      <c r="AA56" s="171" t="s">
        <v>85</v>
      </c>
      <c r="AB56" s="171" t="s">
        <v>18</v>
      </c>
      <c r="AC56" s="171">
        <v>8.5</v>
      </c>
      <c r="AD56" s="178" t="s">
        <v>86</v>
      </c>
      <c r="AE56" s="171" t="s">
        <v>87</v>
      </c>
      <c r="AF56" s="171" t="s">
        <v>11</v>
      </c>
      <c r="AG56" s="179">
        <v>13.2</v>
      </c>
      <c r="AH56" s="178" t="s">
        <v>98</v>
      </c>
      <c r="AI56" s="171" t="s">
        <v>99</v>
      </c>
      <c r="AJ56" s="171" t="s">
        <v>11</v>
      </c>
      <c r="AK56" s="171">
        <v>11.3</v>
      </c>
      <c r="AL56" s="178"/>
      <c r="AO56" s="179"/>
      <c r="AP56" s="178"/>
      <c r="AS56" s="179"/>
      <c r="AW56" s="179"/>
      <c r="BA56" s="180"/>
    </row>
    <row r="57" spans="1:53" s="171" customFormat="1" x14ac:dyDescent="0.15">
      <c r="A57" s="216">
        <v>1982</v>
      </c>
      <c r="B57" s="283"/>
      <c r="C57" s="402" t="s">
        <v>205</v>
      </c>
      <c r="D57" s="402"/>
      <c r="E57" s="171">
        <v>365</v>
      </c>
      <c r="G57" s="233">
        <v>8</v>
      </c>
      <c r="H57" s="171">
        <v>8</v>
      </c>
      <c r="J57" s="241">
        <v>16</v>
      </c>
      <c r="K57" s="214">
        <f t="shared" si="20"/>
        <v>50</v>
      </c>
      <c r="L57" s="214">
        <f t="shared" si="21"/>
        <v>50</v>
      </c>
      <c r="M57" s="214">
        <f t="shared" si="22"/>
        <v>0</v>
      </c>
      <c r="N57" s="235">
        <f t="shared" si="0"/>
        <v>100</v>
      </c>
      <c r="O57" s="213">
        <v>24.5</v>
      </c>
      <c r="P57" s="214">
        <v>28.8</v>
      </c>
      <c r="Q57" s="214"/>
      <c r="R57" s="215">
        <f t="shared" si="4"/>
        <v>53.3</v>
      </c>
      <c r="S57" s="171">
        <v>2</v>
      </c>
      <c r="T57" s="285"/>
      <c r="U57" s="283"/>
      <c r="V57" s="178" t="s">
        <v>80</v>
      </c>
      <c r="W57" s="171" t="s">
        <v>81</v>
      </c>
      <c r="X57" s="171" t="s">
        <v>18</v>
      </c>
      <c r="Y57" s="179">
        <v>20.3</v>
      </c>
      <c r="Z57" s="171" t="s">
        <v>84</v>
      </c>
      <c r="AA57" s="171" t="s">
        <v>85</v>
      </c>
      <c r="AB57" s="171" t="s">
        <v>18</v>
      </c>
      <c r="AC57" s="171">
        <v>8.5</v>
      </c>
      <c r="AD57" s="178" t="s">
        <v>86</v>
      </c>
      <c r="AE57" s="171" t="s">
        <v>87</v>
      </c>
      <c r="AF57" s="171" t="s">
        <v>11</v>
      </c>
      <c r="AG57" s="179">
        <v>13.2</v>
      </c>
      <c r="AH57" s="178" t="s">
        <v>98</v>
      </c>
      <c r="AI57" s="171" t="s">
        <v>99</v>
      </c>
      <c r="AJ57" s="171" t="s">
        <v>11</v>
      </c>
      <c r="AK57" s="171">
        <v>11.3</v>
      </c>
      <c r="AL57" s="178"/>
      <c r="AO57" s="179"/>
      <c r="AP57" s="178"/>
      <c r="AS57" s="179"/>
      <c r="AW57" s="179"/>
      <c r="BA57" s="180"/>
    </row>
    <row r="58" spans="1:53" s="171" customFormat="1" x14ac:dyDescent="0.15">
      <c r="A58" s="216">
        <v>1983</v>
      </c>
      <c r="B58" s="283"/>
      <c r="C58" s="402" t="s">
        <v>205</v>
      </c>
      <c r="D58" s="402"/>
      <c r="E58" s="171">
        <v>0</v>
      </c>
      <c r="G58" s="233">
        <v>8</v>
      </c>
      <c r="H58" s="171">
        <v>8</v>
      </c>
      <c r="J58" s="241">
        <v>16</v>
      </c>
      <c r="K58" s="214">
        <f t="shared" si="20"/>
        <v>50</v>
      </c>
      <c r="L58" s="214">
        <f t="shared" si="21"/>
        <v>50</v>
      </c>
      <c r="M58" s="214">
        <f t="shared" si="22"/>
        <v>0</v>
      </c>
      <c r="N58" s="235">
        <f t="shared" si="0"/>
        <v>100</v>
      </c>
      <c r="O58" s="213">
        <v>24.5</v>
      </c>
      <c r="P58" s="214">
        <v>28.8</v>
      </c>
      <c r="Q58" s="214"/>
      <c r="R58" s="215">
        <f t="shared" si="4"/>
        <v>53.3</v>
      </c>
      <c r="S58" s="171">
        <v>2</v>
      </c>
      <c r="T58" s="285"/>
      <c r="U58" s="283"/>
      <c r="V58" s="178" t="s">
        <v>80</v>
      </c>
      <c r="W58" s="171" t="s">
        <v>81</v>
      </c>
      <c r="X58" s="171" t="s">
        <v>18</v>
      </c>
      <c r="Y58" s="179">
        <v>20.3</v>
      </c>
      <c r="Z58" s="171" t="s">
        <v>84</v>
      </c>
      <c r="AA58" s="171" t="s">
        <v>85</v>
      </c>
      <c r="AB58" s="171" t="s">
        <v>18</v>
      </c>
      <c r="AC58" s="171">
        <v>8.5</v>
      </c>
      <c r="AD58" s="178" t="s">
        <v>86</v>
      </c>
      <c r="AE58" s="171" t="s">
        <v>87</v>
      </c>
      <c r="AF58" s="171" t="s">
        <v>11</v>
      </c>
      <c r="AG58" s="179">
        <v>13.2</v>
      </c>
      <c r="AH58" s="178" t="s">
        <v>98</v>
      </c>
      <c r="AI58" s="171" t="s">
        <v>99</v>
      </c>
      <c r="AJ58" s="171" t="s">
        <v>11</v>
      </c>
      <c r="AK58" s="171">
        <v>11.3</v>
      </c>
      <c r="AL58" s="178"/>
      <c r="AO58" s="179"/>
      <c r="AP58" s="178"/>
      <c r="AS58" s="179"/>
      <c r="AW58" s="179"/>
      <c r="BA58" s="180"/>
    </row>
    <row r="59" spans="1:53" s="171" customFormat="1" x14ac:dyDescent="0.15">
      <c r="A59" s="216">
        <v>1983</v>
      </c>
      <c r="B59" s="283"/>
      <c r="C59" s="402" t="s">
        <v>205</v>
      </c>
      <c r="D59" s="402"/>
      <c r="E59" s="171">
        <v>365</v>
      </c>
      <c r="G59" s="233">
        <v>8</v>
      </c>
      <c r="H59" s="171">
        <v>8</v>
      </c>
      <c r="J59" s="241">
        <v>16</v>
      </c>
      <c r="K59" s="214">
        <f t="shared" si="20"/>
        <v>50</v>
      </c>
      <c r="L59" s="214">
        <f t="shared" si="21"/>
        <v>50</v>
      </c>
      <c r="M59" s="214">
        <f t="shared" si="22"/>
        <v>0</v>
      </c>
      <c r="N59" s="235">
        <f t="shared" si="0"/>
        <v>100</v>
      </c>
      <c r="O59" s="213">
        <v>24.5</v>
      </c>
      <c r="P59" s="214">
        <v>28.8</v>
      </c>
      <c r="Q59" s="214"/>
      <c r="R59" s="215">
        <f t="shared" si="4"/>
        <v>53.3</v>
      </c>
      <c r="S59" s="171">
        <v>2</v>
      </c>
      <c r="T59" s="285"/>
      <c r="U59" s="283"/>
      <c r="V59" s="178" t="s">
        <v>80</v>
      </c>
      <c r="W59" s="171" t="s">
        <v>81</v>
      </c>
      <c r="X59" s="171" t="s">
        <v>18</v>
      </c>
      <c r="Y59" s="179">
        <v>20.3</v>
      </c>
      <c r="Z59" s="171" t="s">
        <v>84</v>
      </c>
      <c r="AA59" s="171" t="s">
        <v>85</v>
      </c>
      <c r="AB59" s="171" t="s">
        <v>18</v>
      </c>
      <c r="AC59" s="171">
        <v>8.5</v>
      </c>
      <c r="AD59" s="178" t="s">
        <v>86</v>
      </c>
      <c r="AE59" s="171" t="s">
        <v>87</v>
      </c>
      <c r="AF59" s="171" t="s">
        <v>11</v>
      </c>
      <c r="AG59" s="179">
        <v>13.2</v>
      </c>
      <c r="AH59" s="178" t="s">
        <v>98</v>
      </c>
      <c r="AI59" s="171" t="s">
        <v>99</v>
      </c>
      <c r="AJ59" s="171" t="s">
        <v>11</v>
      </c>
      <c r="AK59" s="171">
        <v>11.3</v>
      </c>
      <c r="AL59" s="178"/>
      <c r="AO59" s="179"/>
      <c r="AP59" s="178"/>
      <c r="AS59" s="179"/>
      <c r="AW59" s="179"/>
      <c r="BA59" s="180"/>
    </row>
    <row r="60" spans="1:53" s="171" customFormat="1" x14ac:dyDescent="0.15">
      <c r="A60" s="216">
        <v>1984</v>
      </c>
      <c r="B60" s="283"/>
      <c r="C60" s="402" t="s">
        <v>205</v>
      </c>
      <c r="D60" s="402"/>
      <c r="E60" s="171">
        <v>0</v>
      </c>
      <c r="G60" s="233">
        <v>8</v>
      </c>
      <c r="H60" s="171">
        <v>8</v>
      </c>
      <c r="J60" s="241">
        <v>16</v>
      </c>
      <c r="K60" s="214">
        <f t="shared" si="20"/>
        <v>50</v>
      </c>
      <c r="L60" s="214">
        <f t="shared" si="21"/>
        <v>50</v>
      </c>
      <c r="M60" s="214">
        <f t="shared" si="22"/>
        <v>0</v>
      </c>
      <c r="N60" s="235">
        <f t="shared" si="0"/>
        <v>100</v>
      </c>
      <c r="O60" s="213">
        <v>24.5</v>
      </c>
      <c r="P60" s="214">
        <v>28.8</v>
      </c>
      <c r="Q60" s="214"/>
      <c r="R60" s="215">
        <f t="shared" si="4"/>
        <v>53.3</v>
      </c>
      <c r="S60" s="171">
        <v>2</v>
      </c>
      <c r="T60" s="285"/>
      <c r="U60" s="283"/>
      <c r="V60" s="178" t="s">
        <v>80</v>
      </c>
      <c r="W60" s="171" t="s">
        <v>81</v>
      </c>
      <c r="X60" s="171" t="s">
        <v>18</v>
      </c>
      <c r="Y60" s="179">
        <v>20.3</v>
      </c>
      <c r="Z60" s="171" t="s">
        <v>84</v>
      </c>
      <c r="AA60" s="171" t="s">
        <v>85</v>
      </c>
      <c r="AB60" s="171" t="s">
        <v>18</v>
      </c>
      <c r="AC60" s="171">
        <v>8.5</v>
      </c>
      <c r="AD60" s="178" t="s">
        <v>86</v>
      </c>
      <c r="AE60" s="171" t="s">
        <v>87</v>
      </c>
      <c r="AF60" s="171" t="s">
        <v>11</v>
      </c>
      <c r="AG60" s="179">
        <v>13.2</v>
      </c>
      <c r="AH60" s="178" t="s">
        <v>98</v>
      </c>
      <c r="AI60" s="171" t="s">
        <v>99</v>
      </c>
      <c r="AJ60" s="171" t="s">
        <v>11</v>
      </c>
      <c r="AK60" s="171">
        <v>11.3</v>
      </c>
      <c r="AL60" s="178"/>
      <c r="AO60" s="179"/>
      <c r="AP60" s="178"/>
      <c r="AS60" s="179"/>
      <c r="AW60" s="179"/>
      <c r="BA60" s="180"/>
    </row>
    <row r="61" spans="1:53" s="171" customFormat="1" x14ac:dyDescent="0.15">
      <c r="A61" s="216">
        <v>1984</v>
      </c>
      <c r="B61" s="283"/>
      <c r="C61" s="402" t="s">
        <v>205</v>
      </c>
      <c r="D61" s="402"/>
      <c r="E61" s="171">
        <v>366</v>
      </c>
      <c r="G61" s="233">
        <v>8</v>
      </c>
      <c r="H61" s="171">
        <v>8</v>
      </c>
      <c r="J61" s="241">
        <v>16</v>
      </c>
      <c r="K61" s="214">
        <f>G61/J61*100</f>
        <v>50</v>
      </c>
      <c r="L61" s="214">
        <f>H61/J61*100</f>
        <v>50</v>
      </c>
      <c r="M61" s="214">
        <f>I61/J61*100</f>
        <v>0</v>
      </c>
      <c r="N61" s="235">
        <f t="shared" si="0"/>
        <v>100</v>
      </c>
      <c r="O61" s="213">
        <v>24.5</v>
      </c>
      <c r="P61" s="214">
        <v>28.8</v>
      </c>
      <c r="Q61" s="214"/>
      <c r="R61" s="215">
        <f t="shared" si="4"/>
        <v>53.3</v>
      </c>
      <c r="S61" s="171">
        <v>2</v>
      </c>
      <c r="T61" s="285"/>
      <c r="U61" s="283"/>
      <c r="V61" s="178" t="s">
        <v>80</v>
      </c>
      <c r="W61" s="171" t="s">
        <v>81</v>
      </c>
      <c r="X61" s="171" t="s">
        <v>18</v>
      </c>
      <c r="Y61" s="179">
        <v>20.3</v>
      </c>
      <c r="Z61" s="171" t="s">
        <v>84</v>
      </c>
      <c r="AA61" s="171" t="s">
        <v>85</v>
      </c>
      <c r="AB61" s="171" t="s">
        <v>18</v>
      </c>
      <c r="AC61" s="171">
        <v>8.5</v>
      </c>
      <c r="AD61" s="178" t="s">
        <v>86</v>
      </c>
      <c r="AE61" s="171" t="s">
        <v>87</v>
      </c>
      <c r="AF61" s="171" t="s">
        <v>11</v>
      </c>
      <c r="AG61" s="179">
        <v>13.2</v>
      </c>
      <c r="AH61" s="178" t="s">
        <v>98</v>
      </c>
      <c r="AI61" s="171" t="s">
        <v>99</v>
      </c>
      <c r="AJ61" s="171" t="s">
        <v>11</v>
      </c>
      <c r="AK61" s="171">
        <v>11.3</v>
      </c>
      <c r="AL61" s="178"/>
      <c r="AO61" s="179"/>
      <c r="AP61" s="178"/>
      <c r="AS61" s="179"/>
      <c r="AW61" s="179"/>
      <c r="BA61" s="180"/>
    </row>
    <row r="62" spans="1:53" s="171" customFormat="1" x14ac:dyDescent="0.15">
      <c r="A62" s="216">
        <v>1985</v>
      </c>
      <c r="B62" s="283"/>
      <c r="C62" s="402" t="s">
        <v>205</v>
      </c>
      <c r="D62" s="402"/>
      <c r="E62" s="171">
        <v>331</v>
      </c>
      <c r="G62" s="233">
        <v>8</v>
      </c>
      <c r="H62" s="171">
        <v>8</v>
      </c>
      <c r="J62" s="241">
        <v>16</v>
      </c>
      <c r="K62" s="214">
        <f>G62/J62*100</f>
        <v>50</v>
      </c>
      <c r="L62" s="214">
        <f>H62/J62*100</f>
        <v>50</v>
      </c>
      <c r="M62" s="214">
        <f>I62/J62*100</f>
        <v>0</v>
      </c>
      <c r="N62" s="235">
        <f t="shared" si="0"/>
        <v>100</v>
      </c>
      <c r="O62" s="213">
        <v>24.5</v>
      </c>
      <c r="P62" s="214">
        <v>28.8</v>
      </c>
      <c r="Q62" s="214"/>
      <c r="R62" s="215">
        <f t="shared" si="4"/>
        <v>53.3</v>
      </c>
      <c r="S62" s="171">
        <v>2</v>
      </c>
      <c r="T62" s="285"/>
      <c r="U62" s="283"/>
      <c r="V62" s="178" t="s">
        <v>80</v>
      </c>
      <c r="W62" s="171" t="s">
        <v>81</v>
      </c>
      <c r="X62" s="171" t="s">
        <v>18</v>
      </c>
      <c r="Y62" s="179">
        <v>20.3</v>
      </c>
      <c r="Z62" s="171" t="s">
        <v>84</v>
      </c>
      <c r="AA62" s="171" t="s">
        <v>85</v>
      </c>
      <c r="AB62" s="171" t="s">
        <v>18</v>
      </c>
      <c r="AC62" s="171">
        <v>8.5</v>
      </c>
      <c r="AD62" s="178" t="s">
        <v>86</v>
      </c>
      <c r="AE62" s="171" t="s">
        <v>87</v>
      </c>
      <c r="AF62" s="171" t="s">
        <v>11</v>
      </c>
      <c r="AG62" s="179">
        <v>13.2</v>
      </c>
      <c r="AH62" s="178" t="s">
        <v>98</v>
      </c>
      <c r="AI62" s="171" t="s">
        <v>99</v>
      </c>
      <c r="AJ62" s="171" t="s">
        <v>11</v>
      </c>
      <c r="AK62" s="171">
        <v>11.3</v>
      </c>
      <c r="AL62" s="178"/>
      <c r="AO62" s="179"/>
      <c r="AP62" s="178"/>
      <c r="AS62" s="179"/>
      <c r="AW62" s="179"/>
      <c r="BA62" s="180"/>
    </row>
    <row r="63" spans="1:53" s="29" customFormat="1" x14ac:dyDescent="0.15">
      <c r="A63" s="52">
        <v>1985</v>
      </c>
      <c r="B63" s="295">
        <v>31379</v>
      </c>
      <c r="C63" s="394" t="s">
        <v>206</v>
      </c>
      <c r="D63" s="394"/>
      <c r="E63" s="29">
        <v>34</v>
      </c>
      <c r="F63" s="29">
        <v>4</v>
      </c>
      <c r="G63" s="66">
        <v>7</v>
      </c>
      <c r="H63" s="29">
        <v>8</v>
      </c>
      <c r="J63" s="73">
        <v>15</v>
      </c>
      <c r="K63" s="47">
        <f>G63/J63*100</f>
        <v>46.666666666666664</v>
      </c>
      <c r="L63" s="47">
        <f>H63/J63*100</f>
        <v>53.333333333333336</v>
      </c>
      <c r="M63" s="47">
        <f>I63/J63*100</f>
        <v>0</v>
      </c>
      <c r="N63" s="68">
        <f t="shared" si="0"/>
        <v>100</v>
      </c>
      <c r="O63" s="46">
        <v>21.7</v>
      </c>
      <c r="P63" s="47">
        <v>32.5</v>
      </c>
      <c r="Q63" s="47"/>
      <c r="R63" s="48">
        <f t="shared" si="4"/>
        <v>54.2</v>
      </c>
      <c r="S63" s="29">
        <v>2</v>
      </c>
      <c r="T63" s="286">
        <v>31333</v>
      </c>
      <c r="U63" s="295">
        <v>31379</v>
      </c>
      <c r="V63" s="38" t="s">
        <v>80</v>
      </c>
      <c r="W63" s="29" t="s">
        <v>81</v>
      </c>
      <c r="X63" s="29" t="s">
        <v>18</v>
      </c>
      <c r="Y63" s="39">
        <v>23.1</v>
      </c>
      <c r="Z63" s="29" t="s">
        <v>84</v>
      </c>
      <c r="AA63" s="29" t="s">
        <v>85</v>
      </c>
      <c r="AB63" s="29" t="s">
        <v>18</v>
      </c>
      <c r="AC63" s="29">
        <v>9.4</v>
      </c>
      <c r="AD63" s="38" t="s">
        <v>86</v>
      </c>
      <c r="AE63" s="29" t="s">
        <v>87</v>
      </c>
      <c r="AF63" s="29" t="s">
        <v>11</v>
      </c>
      <c r="AG63" s="39">
        <v>10.4</v>
      </c>
      <c r="AH63" s="38" t="s">
        <v>98</v>
      </c>
      <c r="AI63" s="29" t="s">
        <v>99</v>
      </c>
      <c r="AJ63" s="29" t="s">
        <v>11</v>
      </c>
      <c r="AK63" s="29">
        <v>11.3</v>
      </c>
      <c r="AL63" s="38"/>
      <c r="AO63" s="39"/>
      <c r="AP63" s="38"/>
      <c r="AS63" s="39"/>
      <c r="AW63" s="39"/>
      <c r="BA63" s="40"/>
    </row>
    <row r="64" spans="1:53" s="29" customFormat="1" x14ac:dyDescent="0.15">
      <c r="A64" s="29">
        <v>1986</v>
      </c>
      <c r="B64" s="295"/>
      <c r="C64" s="394" t="s">
        <v>206</v>
      </c>
      <c r="D64" s="394"/>
      <c r="E64" s="29">
        <v>0</v>
      </c>
      <c r="G64" s="66">
        <v>7</v>
      </c>
      <c r="H64" s="29">
        <v>8</v>
      </c>
      <c r="J64" s="73">
        <v>15</v>
      </c>
      <c r="K64" s="47">
        <f>G64/J64*100</f>
        <v>46.666666666666664</v>
      </c>
      <c r="L64" s="47">
        <f>H64/J64*100</f>
        <v>53.333333333333336</v>
      </c>
      <c r="M64" s="47">
        <f>I64/J64*100</f>
        <v>0</v>
      </c>
      <c r="N64" s="68">
        <f t="shared" si="0"/>
        <v>100</v>
      </c>
      <c r="O64" s="46">
        <v>21.7</v>
      </c>
      <c r="P64" s="47">
        <v>32.5</v>
      </c>
      <c r="Q64" s="47"/>
      <c r="R64" s="48">
        <f t="shared" si="4"/>
        <v>54.2</v>
      </c>
      <c r="S64" s="29">
        <v>2</v>
      </c>
      <c r="T64" s="286"/>
      <c r="U64" s="295"/>
      <c r="V64" s="38" t="s">
        <v>80</v>
      </c>
      <c r="W64" s="29" t="s">
        <v>81</v>
      </c>
      <c r="X64" s="29" t="s">
        <v>18</v>
      </c>
      <c r="Y64" s="39">
        <v>23.1</v>
      </c>
      <c r="Z64" s="29" t="s">
        <v>84</v>
      </c>
      <c r="AA64" s="29" t="s">
        <v>85</v>
      </c>
      <c r="AB64" s="29" t="s">
        <v>18</v>
      </c>
      <c r="AC64" s="29">
        <v>9.4</v>
      </c>
      <c r="AD64" s="38" t="s">
        <v>86</v>
      </c>
      <c r="AE64" s="29" t="s">
        <v>87</v>
      </c>
      <c r="AF64" s="29" t="s">
        <v>11</v>
      </c>
      <c r="AG64" s="39">
        <v>10.4</v>
      </c>
      <c r="AH64" s="38" t="s">
        <v>98</v>
      </c>
      <c r="AI64" s="29" t="s">
        <v>99</v>
      </c>
      <c r="AJ64" s="29" t="s">
        <v>11</v>
      </c>
      <c r="AK64" s="29">
        <v>11.3</v>
      </c>
      <c r="AL64" s="38"/>
      <c r="AO64" s="39"/>
      <c r="AP64" s="38"/>
      <c r="AS64" s="39"/>
      <c r="AW64" s="39"/>
      <c r="BA64" s="40"/>
    </row>
    <row r="65" spans="1:53" s="29" customFormat="1" x14ac:dyDescent="0.15">
      <c r="A65" s="29">
        <v>1986</v>
      </c>
      <c r="B65" s="295"/>
      <c r="C65" s="394" t="s">
        <v>206</v>
      </c>
      <c r="D65" s="394"/>
      <c r="E65" s="29">
        <f>365-E64</f>
        <v>365</v>
      </c>
      <c r="G65" s="66">
        <v>7</v>
      </c>
      <c r="H65" s="29">
        <v>8</v>
      </c>
      <c r="J65" s="73">
        <v>15</v>
      </c>
      <c r="K65" s="47">
        <f t="shared" ref="K65:K72" si="23">G65/J65*100</f>
        <v>46.666666666666664</v>
      </c>
      <c r="L65" s="47">
        <f t="shared" ref="L65:L72" si="24">H65/J65*100</f>
        <v>53.333333333333336</v>
      </c>
      <c r="M65" s="47">
        <f t="shared" ref="M65:M72" si="25">I65/J65*100</f>
        <v>0</v>
      </c>
      <c r="N65" s="68">
        <f t="shared" si="0"/>
        <v>100</v>
      </c>
      <c r="O65" s="46">
        <v>21.7</v>
      </c>
      <c r="P65" s="47">
        <v>32.5</v>
      </c>
      <c r="Q65" s="47"/>
      <c r="R65" s="48">
        <f t="shared" si="4"/>
        <v>54.2</v>
      </c>
      <c r="S65" s="29">
        <v>2</v>
      </c>
      <c r="T65" s="286"/>
      <c r="U65" s="295"/>
      <c r="V65" s="38" t="s">
        <v>80</v>
      </c>
      <c r="W65" s="29" t="s">
        <v>81</v>
      </c>
      <c r="X65" s="29" t="s">
        <v>18</v>
      </c>
      <c r="Y65" s="39">
        <v>23.1</v>
      </c>
      <c r="Z65" s="29" t="s">
        <v>84</v>
      </c>
      <c r="AA65" s="29" t="s">
        <v>85</v>
      </c>
      <c r="AB65" s="29" t="s">
        <v>18</v>
      </c>
      <c r="AC65" s="29">
        <v>9.4</v>
      </c>
      <c r="AD65" s="38" t="s">
        <v>86</v>
      </c>
      <c r="AE65" s="29" t="s">
        <v>87</v>
      </c>
      <c r="AF65" s="29" t="s">
        <v>11</v>
      </c>
      <c r="AG65" s="39">
        <v>10.4</v>
      </c>
      <c r="AH65" s="38" t="s">
        <v>98</v>
      </c>
      <c r="AI65" s="29" t="s">
        <v>99</v>
      </c>
      <c r="AJ65" s="29" t="s">
        <v>11</v>
      </c>
      <c r="AK65" s="29">
        <v>11.3</v>
      </c>
      <c r="AL65" s="38"/>
      <c r="AO65" s="39"/>
      <c r="AP65" s="38"/>
      <c r="AS65" s="39"/>
      <c r="AW65" s="39"/>
      <c r="BA65" s="40"/>
    </row>
    <row r="66" spans="1:53" s="29" customFormat="1" x14ac:dyDescent="0.15">
      <c r="A66" s="29">
        <v>1987</v>
      </c>
      <c r="B66" s="295"/>
      <c r="C66" s="394" t="s">
        <v>206</v>
      </c>
      <c r="D66" s="394"/>
      <c r="E66" s="29">
        <v>292</v>
      </c>
      <c r="G66" s="66">
        <v>7</v>
      </c>
      <c r="H66" s="29">
        <v>8</v>
      </c>
      <c r="J66" s="73">
        <v>15</v>
      </c>
      <c r="K66" s="47">
        <f t="shared" si="23"/>
        <v>46.666666666666664</v>
      </c>
      <c r="L66" s="47">
        <f t="shared" si="24"/>
        <v>53.333333333333336</v>
      </c>
      <c r="M66" s="47">
        <f t="shared" si="25"/>
        <v>0</v>
      </c>
      <c r="N66" s="68">
        <f t="shared" si="0"/>
        <v>100</v>
      </c>
      <c r="O66" s="46">
        <v>21.7</v>
      </c>
      <c r="P66" s="47">
        <v>32.5</v>
      </c>
      <c r="Q66" s="47"/>
      <c r="R66" s="48">
        <f t="shared" si="4"/>
        <v>54.2</v>
      </c>
      <c r="S66" s="29">
        <v>2</v>
      </c>
      <c r="T66" s="286"/>
      <c r="U66" s="295"/>
      <c r="V66" s="38" t="s">
        <v>80</v>
      </c>
      <c r="W66" s="29" t="s">
        <v>81</v>
      </c>
      <c r="X66" s="29" t="s">
        <v>18</v>
      </c>
      <c r="Y66" s="39">
        <v>23.1</v>
      </c>
      <c r="Z66" s="29" t="s">
        <v>84</v>
      </c>
      <c r="AA66" s="29" t="s">
        <v>85</v>
      </c>
      <c r="AB66" s="29" t="s">
        <v>18</v>
      </c>
      <c r="AC66" s="29">
        <v>9.4</v>
      </c>
      <c r="AD66" s="38" t="s">
        <v>86</v>
      </c>
      <c r="AE66" s="29" t="s">
        <v>87</v>
      </c>
      <c r="AF66" s="29" t="s">
        <v>11</v>
      </c>
      <c r="AG66" s="39">
        <v>10.4</v>
      </c>
      <c r="AH66" s="38" t="s">
        <v>98</v>
      </c>
      <c r="AI66" s="29" t="s">
        <v>99</v>
      </c>
      <c r="AJ66" s="29" t="s">
        <v>11</v>
      </c>
      <c r="AK66" s="29">
        <v>11.3</v>
      </c>
      <c r="AL66" s="38"/>
      <c r="AO66" s="39"/>
      <c r="AP66" s="38"/>
      <c r="AS66" s="39"/>
      <c r="AW66" s="39"/>
      <c r="BA66" s="40"/>
    </row>
    <row r="67" spans="1:53" s="171" customFormat="1" x14ac:dyDescent="0.15">
      <c r="A67" s="171">
        <v>1987</v>
      </c>
      <c r="B67" s="283">
        <v>32070</v>
      </c>
      <c r="C67" s="402" t="s">
        <v>207</v>
      </c>
      <c r="D67" s="402"/>
      <c r="E67" s="171">
        <v>73</v>
      </c>
      <c r="F67" s="171">
        <v>4</v>
      </c>
      <c r="G67" s="233">
        <v>7</v>
      </c>
      <c r="H67" s="171">
        <v>9</v>
      </c>
      <c r="J67" s="241">
        <v>16</v>
      </c>
      <c r="K67" s="214">
        <f t="shared" si="23"/>
        <v>43.75</v>
      </c>
      <c r="L67" s="214">
        <f t="shared" si="24"/>
        <v>56.25</v>
      </c>
      <c r="M67" s="214">
        <f t="shared" si="25"/>
        <v>0</v>
      </c>
      <c r="N67" s="235">
        <f t="shared" si="0"/>
        <v>100</v>
      </c>
      <c r="O67" s="213">
        <v>22.6</v>
      </c>
      <c r="P67" s="214">
        <v>29.3</v>
      </c>
      <c r="Q67" s="214"/>
      <c r="R67" s="215">
        <f t="shared" si="4"/>
        <v>51.900000000000006</v>
      </c>
      <c r="S67" s="171">
        <v>6</v>
      </c>
      <c r="T67" s="285"/>
      <c r="U67" s="283">
        <v>32070</v>
      </c>
      <c r="V67" s="178" t="s">
        <v>80</v>
      </c>
      <c r="W67" s="171" t="s">
        <v>81</v>
      </c>
      <c r="X67" s="171" t="s">
        <v>18</v>
      </c>
      <c r="Y67" s="179">
        <v>23.1</v>
      </c>
      <c r="Z67" s="171" t="s">
        <v>84</v>
      </c>
      <c r="AA67" s="171" t="s">
        <v>85</v>
      </c>
      <c r="AB67" s="171" t="s">
        <v>18</v>
      </c>
      <c r="AC67" s="171">
        <v>9.4</v>
      </c>
      <c r="AD67" s="178" t="s">
        <v>86</v>
      </c>
      <c r="AE67" s="171" t="s">
        <v>87</v>
      </c>
      <c r="AF67" s="171" t="s">
        <v>11</v>
      </c>
      <c r="AG67" s="179">
        <v>10.4</v>
      </c>
      <c r="AH67" s="178" t="s">
        <v>98</v>
      </c>
      <c r="AI67" s="171" t="s">
        <v>99</v>
      </c>
      <c r="AJ67" s="171" t="s">
        <v>11</v>
      </c>
      <c r="AK67" s="171">
        <v>11.3</v>
      </c>
      <c r="AL67" s="178"/>
      <c r="AO67" s="179"/>
      <c r="AP67" s="178"/>
      <c r="AS67" s="179"/>
      <c r="AW67" s="179"/>
      <c r="BA67" s="180"/>
    </row>
    <row r="68" spans="1:53" s="171" customFormat="1" x14ac:dyDescent="0.15">
      <c r="A68" s="171">
        <v>1988</v>
      </c>
      <c r="B68" s="283"/>
      <c r="C68" s="402" t="s">
        <v>207</v>
      </c>
      <c r="D68" s="402"/>
      <c r="E68" s="171">
        <v>160</v>
      </c>
      <c r="G68" s="233">
        <v>7</v>
      </c>
      <c r="H68" s="171">
        <v>9</v>
      </c>
      <c r="J68" s="241">
        <v>16</v>
      </c>
      <c r="K68" s="214">
        <f t="shared" si="23"/>
        <v>43.75</v>
      </c>
      <c r="L68" s="214">
        <f t="shared" si="24"/>
        <v>56.25</v>
      </c>
      <c r="M68" s="214">
        <f t="shared" si="25"/>
        <v>0</v>
      </c>
      <c r="N68" s="235">
        <f t="shared" si="0"/>
        <v>100</v>
      </c>
      <c r="O68" s="213">
        <v>22.6</v>
      </c>
      <c r="P68" s="214">
        <v>29.3</v>
      </c>
      <c r="Q68" s="214"/>
      <c r="R68" s="215">
        <f t="shared" si="4"/>
        <v>51.900000000000006</v>
      </c>
      <c r="S68" s="171">
        <v>6</v>
      </c>
      <c r="T68" s="285">
        <v>32124</v>
      </c>
      <c r="U68" s="283"/>
      <c r="V68" s="178" t="s">
        <v>80</v>
      </c>
      <c r="W68" s="171" t="s">
        <v>81</v>
      </c>
      <c r="X68" s="171" t="s">
        <v>18</v>
      </c>
      <c r="Y68" s="179">
        <v>23.1</v>
      </c>
      <c r="Z68" s="171" t="s">
        <v>84</v>
      </c>
      <c r="AA68" s="171" t="s">
        <v>85</v>
      </c>
      <c r="AB68" s="171" t="s">
        <v>18</v>
      </c>
      <c r="AC68" s="171">
        <v>9.4</v>
      </c>
      <c r="AD68" s="178" t="s">
        <v>86</v>
      </c>
      <c r="AE68" s="171" t="s">
        <v>87</v>
      </c>
      <c r="AF68" s="171" t="s">
        <v>11</v>
      </c>
      <c r="AG68" s="179">
        <v>10.4</v>
      </c>
      <c r="AH68" s="178" t="s">
        <v>98</v>
      </c>
      <c r="AI68" s="171" t="s">
        <v>99</v>
      </c>
      <c r="AJ68" s="171" t="s">
        <v>11</v>
      </c>
      <c r="AK68" s="171">
        <v>11.3</v>
      </c>
      <c r="AL68" s="178"/>
      <c r="AO68" s="179"/>
      <c r="AP68" s="178"/>
      <c r="AS68" s="179"/>
      <c r="AW68" s="179"/>
      <c r="BA68" s="180"/>
    </row>
    <row r="69" spans="1:53" s="29" customFormat="1" x14ac:dyDescent="0.15">
      <c r="A69" s="29">
        <v>1988</v>
      </c>
      <c r="B69" s="295">
        <v>32303</v>
      </c>
      <c r="C69" s="394" t="s">
        <v>208</v>
      </c>
      <c r="D69" s="394"/>
      <c r="E69" s="29">
        <v>206</v>
      </c>
      <c r="F69" s="29">
        <v>1</v>
      </c>
      <c r="G69" s="66"/>
      <c r="H69" s="29">
        <v>9</v>
      </c>
      <c r="I69" s="29">
        <v>8</v>
      </c>
      <c r="J69" s="73">
        <v>17</v>
      </c>
      <c r="K69" s="47">
        <f t="shared" si="23"/>
        <v>0</v>
      </c>
      <c r="L69" s="47">
        <f t="shared" si="24"/>
        <v>52.941176470588239</v>
      </c>
      <c r="M69" s="47">
        <f t="shared" si="25"/>
        <v>47.058823529411761</v>
      </c>
      <c r="N69" s="68">
        <f t="shared" si="0"/>
        <v>100</v>
      </c>
      <c r="O69" s="46"/>
      <c r="P69" s="47">
        <v>36.799999999999997</v>
      </c>
      <c r="Q69" s="47">
        <v>34</v>
      </c>
      <c r="R69" s="48">
        <f t="shared" si="4"/>
        <v>70.8</v>
      </c>
      <c r="S69" s="29">
        <v>3</v>
      </c>
      <c r="T69" s="286"/>
      <c r="U69" s="295">
        <v>32303</v>
      </c>
      <c r="V69" s="38" t="s">
        <v>80</v>
      </c>
      <c r="W69" s="29" t="s">
        <v>81</v>
      </c>
      <c r="X69" s="29" t="s">
        <v>18</v>
      </c>
      <c r="Y69" s="39">
        <v>20.3</v>
      </c>
      <c r="Z69" s="29" t="s">
        <v>84</v>
      </c>
      <c r="AA69" s="29" t="s">
        <v>85</v>
      </c>
      <c r="AB69" s="29" t="s">
        <v>18</v>
      </c>
      <c r="AC69" s="29">
        <v>9</v>
      </c>
      <c r="AD69" s="38" t="s">
        <v>95</v>
      </c>
      <c r="AE69" s="29" t="s">
        <v>96</v>
      </c>
      <c r="AF69" s="29" t="s">
        <v>12</v>
      </c>
      <c r="AG69" s="39">
        <v>18.899999999999999</v>
      </c>
      <c r="AH69" s="29" t="s">
        <v>94</v>
      </c>
      <c r="AI69" s="29" t="s">
        <v>97</v>
      </c>
      <c r="AJ69" s="29" t="s">
        <v>12</v>
      </c>
      <c r="AK69" s="29">
        <v>15.1</v>
      </c>
      <c r="AL69" s="38" t="s">
        <v>88</v>
      </c>
      <c r="AM69" s="29" t="s">
        <v>89</v>
      </c>
      <c r="AN69" s="29" t="s">
        <v>18</v>
      </c>
      <c r="AO69" s="39">
        <v>7.5</v>
      </c>
      <c r="AP69" s="38"/>
      <c r="AS69" s="39"/>
      <c r="AW69" s="39"/>
      <c r="BA69" s="40"/>
    </row>
    <row r="70" spans="1:53" s="29" customFormat="1" x14ac:dyDescent="0.15">
      <c r="A70" s="29">
        <v>1989</v>
      </c>
      <c r="B70" s="295"/>
      <c r="C70" s="394" t="s">
        <v>208</v>
      </c>
      <c r="D70" s="394"/>
      <c r="E70" s="29">
        <v>0</v>
      </c>
      <c r="G70" s="66"/>
      <c r="H70" s="29">
        <v>9</v>
      </c>
      <c r="I70" s="29">
        <v>8</v>
      </c>
      <c r="J70" s="73">
        <v>17</v>
      </c>
      <c r="K70" s="47">
        <f t="shared" si="23"/>
        <v>0</v>
      </c>
      <c r="L70" s="47">
        <f t="shared" si="24"/>
        <v>52.941176470588239</v>
      </c>
      <c r="M70" s="47">
        <f t="shared" si="25"/>
        <v>47.058823529411761</v>
      </c>
      <c r="N70" s="68">
        <f t="shared" si="0"/>
        <v>100</v>
      </c>
      <c r="O70" s="46"/>
      <c r="P70" s="47">
        <v>36.799999999999997</v>
      </c>
      <c r="Q70" s="47">
        <v>34</v>
      </c>
      <c r="R70" s="48">
        <f t="shared" si="4"/>
        <v>70.8</v>
      </c>
      <c r="S70" s="29">
        <v>3</v>
      </c>
      <c r="T70" s="286"/>
      <c r="U70" s="295"/>
      <c r="V70" s="38" t="s">
        <v>80</v>
      </c>
      <c r="W70" s="29" t="s">
        <v>81</v>
      </c>
      <c r="X70" s="29" t="s">
        <v>18</v>
      </c>
      <c r="Y70" s="39">
        <v>20.3</v>
      </c>
      <c r="Z70" s="29" t="s">
        <v>84</v>
      </c>
      <c r="AA70" s="29" t="s">
        <v>85</v>
      </c>
      <c r="AB70" s="29" t="s">
        <v>18</v>
      </c>
      <c r="AC70" s="29">
        <v>9</v>
      </c>
      <c r="AD70" s="38" t="s">
        <v>95</v>
      </c>
      <c r="AE70" s="29" t="s">
        <v>96</v>
      </c>
      <c r="AF70" s="29" t="s">
        <v>12</v>
      </c>
      <c r="AG70" s="39">
        <v>18.899999999999999</v>
      </c>
      <c r="AH70" s="29" t="s">
        <v>94</v>
      </c>
      <c r="AI70" s="29" t="s">
        <v>97</v>
      </c>
      <c r="AJ70" s="29" t="s">
        <v>12</v>
      </c>
      <c r="AK70" s="29">
        <v>15.1</v>
      </c>
      <c r="AL70" s="38" t="s">
        <v>88</v>
      </c>
      <c r="AM70" s="29" t="s">
        <v>89</v>
      </c>
      <c r="AN70" s="29" t="s">
        <v>18</v>
      </c>
      <c r="AO70" s="39">
        <v>7.5</v>
      </c>
      <c r="AP70" s="38"/>
      <c r="AS70" s="39"/>
      <c r="AW70" s="39"/>
      <c r="BA70" s="40"/>
    </row>
    <row r="71" spans="1:53" s="74" customFormat="1" x14ac:dyDescent="0.15">
      <c r="A71" s="74">
        <v>1989</v>
      </c>
      <c r="B71" s="302"/>
      <c r="C71" s="418" t="s">
        <v>208</v>
      </c>
      <c r="D71" s="418"/>
      <c r="E71" s="74">
        <f>365-E70</f>
        <v>365</v>
      </c>
      <c r="G71" s="75"/>
      <c r="H71" s="74">
        <v>9</v>
      </c>
      <c r="I71" s="74">
        <v>8</v>
      </c>
      <c r="J71" s="76">
        <v>17</v>
      </c>
      <c r="K71" s="77">
        <f t="shared" si="23"/>
        <v>0</v>
      </c>
      <c r="L71" s="77">
        <f t="shared" si="24"/>
        <v>52.941176470588239</v>
      </c>
      <c r="M71" s="77">
        <f t="shared" si="25"/>
        <v>47.058823529411761</v>
      </c>
      <c r="N71" s="78">
        <f t="shared" si="0"/>
        <v>100</v>
      </c>
      <c r="O71" s="79"/>
      <c r="P71" s="77">
        <v>36.799999999999997</v>
      </c>
      <c r="Q71" s="77">
        <v>34</v>
      </c>
      <c r="R71" s="80">
        <f t="shared" si="4"/>
        <v>70.8</v>
      </c>
      <c r="S71" s="74">
        <v>3</v>
      </c>
      <c r="T71" s="304"/>
      <c r="U71" s="302"/>
      <c r="V71" s="81" t="s">
        <v>80</v>
      </c>
      <c r="W71" s="74" t="s">
        <v>81</v>
      </c>
      <c r="X71" s="74" t="s">
        <v>18</v>
      </c>
      <c r="Y71" s="82">
        <v>20.3</v>
      </c>
      <c r="Z71" s="74" t="s">
        <v>84</v>
      </c>
      <c r="AA71" s="74" t="s">
        <v>85</v>
      </c>
      <c r="AB71" s="74" t="s">
        <v>18</v>
      </c>
      <c r="AC71" s="74">
        <v>9</v>
      </c>
      <c r="AD71" s="81" t="s">
        <v>95</v>
      </c>
      <c r="AE71" s="74" t="s">
        <v>96</v>
      </c>
      <c r="AF71" s="74" t="s">
        <v>12</v>
      </c>
      <c r="AG71" s="82">
        <v>18.899999999999999</v>
      </c>
      <c r="AH71" s="74" t="s">
        <v>94</v>
      </c>
      <c r="AI71" s="74" t="s">
        <v>97</v>
      </c>
      <c r="AJ71" s="74" t="s">
        <v>12</v>
      </c>
      <c r="AK71" s="74">
        <v>15.1</v>
      </c>
      <c r="AL71" s="81" t="s">
        <v>88</v>
      </c>
      <c r="AM71" s="74" t="s">
        <v>89</v>
      </c>
      <c r="AN71" s="74" t="s">
        <v>18</v>
      </c>
      <c r="AO71" s="82">
        <v>7.5</v>
      </c>
      <c r="AP71" s="81"/>
      <c r="AS71" s="82"/>
      <c r="AW71" s="82"/>
      <c r="BA71" s="83"/>
    </row>
    <row r="72" spans="1:53" s="29" customFormat="1" x14ac:dyDescent="0.15">
      <c r="A72" s="29">
        <v>1990</v>
      </c>
      <c r="B72" s="295"/>
      <c r="C72" s="394" t="s">
        <v>208</v>
      </c>
      <c r="D72" s="394"/>
      <c r="E72" s="29">
        <v>0</v>
      </c>
      <c r="G72" s="66"/>
      <c r="H72" s="29">
        <v>9</v>
      </c>
      <c r="I72" s="29">
        <v>8</v>
      </c>
      <c r="J72" s="73">
        <v>17</v>
      </c>
      <c r="K72" s="47">
        <f t="shared" si="23"/>
        <v>0</v>
      </c>
      <c r="L72" s="47">
        <f t="shared" si="24"/>
        <v>52.941176470588239</v>
      </c>
      <c r="M72" s="47">
        <f t="shared" si="25"/>
        <v>47.058823529411761</v>
      </c>
      <c r="N72" s="68">
        <f t="shared" ref="N72:N118" si="26">SUM(K72:M72)</f>
        <v>100</v>
      </c>
      <c r="O72" s="46"/>
      <c r="P72" s="47">
        <v>36.799999999999997</v>
      </c>
      <c r="Q72" s="47">
        <v>34</v>
      </c>
      <c r="R72" s="48">
        <f t="shared" si="4"/>
        <v>70.8</v>
      </c>
      <c r="S72" s="29">
        <v>3</v>
      </c>
      <c r="T72" s="286"/>
      <c r="U72" s="295"/>
      <c r="V72" s="38" t="s">
        <v>80</v>
      </c>
      <c r="W72" s="29" t="s">
        <v>81</v>
      </c>
      <c r="X72" s="29" t="s">
        <v>18</v>
      </c>
      <c r="Y72" s="39">
        <v>20.3</v>
      </c>
      <c r="Z72" s="29" t="s">
        <v>84</v>
      </c>
      <c r="AA72" s="29" t="s">
        <v>85</v>
      </c>
      <c r="AB72" s="29" t="s">
        <v>18</v>
      </c>
      <c r="AC72" s="29">
        <v>9</v>
      </c>
      <c r="AD72" s="38" t="s">
        <v>95</v>
      </c>
      <c r="AE72" s="29" t="s">
        <v>96</v>
      </c>
      <c r="AF72" s="29" t="s">
        <v>12</v>
      </c>
      <c r="AG72" s="39">
        <v>18.899999999999999</v>
      </c>
      <c r="AH72" s="29" t="s">
        <v>94</v>
      </c>
      <c r="AI72" s="29" t="s">
        <v>97</v>
      </c>
      <c r="AJ72" s="29" t="s">
        <v>12</v>
      </c>
      <c r="AK72" s="29">
        <v>15.1</v>
      </c>
      <c r="AL72" s="38" t="s">
        <v>88</v>
      </c>
      <c r="AM72" s="29" t="s">
        <v>89</v>
      </c>
      <c r="AN72" s="29" t="s">
        <v>18</v>
      </c>
      <c r="AO72" s="39">
        <v>7.5</v>
      </c>
      <c r="AP72" s="38"/>
      <c r="AS72" s="39"/>
      <c r="AW72" s="39"/>
      <c r="BA72" s="40"/>
    </row>
    <row r="73" spans="1:53" s="29" customFormat="1" x14ac:dyDescent="0.15">
      <c r="A73" s="29">
        <v>1990</v>
      </c>
      <c r="B73" s="295"/>
      <c r="C73" s="394" t="s">
        <v>208</v>
      </c>
      <c r="D73" s="394"/>
      <c r="E73" s="29">
        <f>365-E72</f>
        <v>365</v>
      </c>
      <c r="G73" s="66"/>
      <c r="H73" s="29">
        <v>9</v>
      </c>
      <c r="I73" s="29">
        <v>8</v>
      </c>
      <c r="J73" s="73">
        <v>17</v>
      </c>
      <c r="K73" s="47">
        <f>G73/J73*100</f>
        <v>0</v>
      </c>
      <c r="L73" s="47">
        <f>H73/J73*100</f>
        <v>52.941176470588239</v>
      </c>
      <c r="M73" s="47">
        <f>I73/J73*100</f>
        <v>47.058823529411761</v>
      </c>
      <c r="N73" s="68">
        <f t="shared" si="26"/>
        <v>100</v>
      </c>
      <c r="O73" s="46"/>
      <c r="P73" s="47">
        <v>36.799999999999997</v>
      </c>
      <c r="Q73" s="47">
        <v>34</v>
      </c>
      <c r="R73" s="48">
        <f t="shared" ref="R73:R120" si="27">SUM(O73:Q73)</f>
        <v>70.8</v>
      </c>
      <c r="S73" s="29">
        <v>3</v>
      </c>
      <c r="T73" s="286"/>
      <c r="U73" s="295"/>
      <c r="V73" s="38" t="s">
        <v>80</v>
      </c>
      <c r="W73" s="29" t="s">
        <v>81</v>
      </c>
      <c r="X73" s="29" t="s">
        <v>18</v>
      </c>
      <c r="Y73" s="39">
        <v>20.3</v>
      </c>
      <c r="Z73" s="29" t="s">
        <v>84</v>
      </c>
      <c r="AA73" s="29" t="s">
        <v>85</v>
      </c>
      <c r="AB73" s="29" t="s">
        <v>18</v>
      </c>
      <c r="AC73" s="29">
        <v>9</v>
      </c>
      <c r="AD73" s="38" t="s">
        <v>95</v>
      </c>
      <c r="AE73" s="29" t="s">
        <v>96</v>
      </c>
      <c r="AF73" s="29" t="s">
        <v>12</v>
      </c>
      <c r="AG73" s="39">
        <v>18.899999999999999</v>
      </c>
      <c r="AH73" s="29" t="s">
        <v>94</v>
      </c>
      <c r="AI73" s="29" t="s">
        <v>97</v>
      </c>
      <c r="AJ73" s="29" t="s">
        <v>12</v>
      </c>
      <c r="AK73" s="29">
        <v>15.1</v>
      </c>
      <c r="AL73" s="38" t="s">
        <v>88</v>
      </c>
      <c r="AM73" s="29" t="s">
        <v>89</v>
      </c>
      <c r="AN73" s="29" t="s">
        <v>18</v>
      </c>
      <c r="AO73" s="39">
        <v>7.5</v>
      </c>
      <c r="AP73" s="38"/>
      <c r="AS73" s="39"/>
      <c r="AW73" s="39"/>
      <c r="BA73" s="40"/>
    </row>
    <row r="74" spans="1:53" s="29" customFormat="1" x14ac:dyDescent="0.15">
      <c r="A74" s="29">
        <v>1991</v>
      </c>
      <c r="B74" s="295"/>
      <c r="C74" s="394" t="s">
        <v>208</v>
      </c>
      <c r="D74" s="394"/>
      <c r="E74" s="29">
        <v>275</v>
      </c>
      <c r="G74" s="66"/>
      <c r="H74" s="29">
        <v>9</v>
      </c>
      <c r="I74" s="29">
        <v>8</v>
      </c>
      <c r="J74" s="73">
        <v>17</v>
      </c>
      <c r="K74" s="47">
        <f>G74/J74*100</f>
        <v>0</v>
      </c>
      <c r="L74" s="47">
        <f>H74/J74*100</f>
        <v>52.941176470588239</v>
      </c>
      <c r="M74" s="47">
        <f>I74/J74*100</f>
        <v>47.058823529411761</v>
      </c>
      <c r="N74" s="68">
        <f t="shared" si="26"/>
        <v>100</v>
      </c>
      <c r="O74" s="46"/>
      <c r="P74" s="47">
        <v>36.799999999999997</v>
      </c>
      <c r="Q74" s="47">
        <v>34</v>
      </c>
      <c r="R74" s="48">
        <f t="shared" si="27"/>
        <v>70.8</v>
      </c>
      <c r="S74" s="29">
        <v>3</v>
      </c>
      <c r="T74" s="286"/>
      <c r="U74" s="295"/>
      <c r="V74" s="38" t="s">
        <v>80</v>
      </c>
      <c r="W74" s="29" t="s">
        <v>81</v>
      </c>
      <c r="X74" s="29" t="s">
        <v>18</v>
      </c>
      <c r="Y74" s="39">
        <v>20.3</v>
      </c>
      <c r="Z74" s="29" t="s">
        <v>84</v>
      </c>
      <c r="AA74" s="29" t="s">
        <v>85</v>
      </c>
      <c r="AB74" s="29" t="s">
        <v>18</v>
      </c>
      <c r="AC74" s="29">
        <v>9</v>
      </c>
      <c r="AD74" s="38" t="s">
        <v>95</v>
      </c>
      <c r="AE74" s="29" t="s">
        <v>96</v>
      </c>
      <c r="AF74" s="29" t="s">
        <v>12</v>
      </c>
      <c r="AG74" s="39">
        <v>18.899999999999999</v>
      </c>
      <c r="AH74" s="29" t="s">
        <v>94</v>
      </c>
      <c r="AI74" s="29" t="s">
        <v>97</v>
      </c>
      <c r="AJ74" s="29" t="s">
        <v>12</v>
      </c>
      <c r="AK74" s="29">
        <v>15.1</v>
      </c>
      <c r="AL74" s="38" t="s">
        <v>88</v>
      </c>
      <c r="AM74" s="29" t="s">
        <v>89</v>
      </c>
      <c r="AN74" s="29" t="s">
        <v>18</v>
      </c>
      <c r="AO74" s="39">
        <v>7.5</v>
      </c>
      <c r="AP74" s="38"/>
      <c r="AS74" s="39"/>
      <c r="AW74" s="39"/>
      <c r="BA74" s="40"/>
    </row>
    <row r="75" spans="1:53" s="171" customFormat="1" x14ac:dyDescent="0.15">
      <c r="A75" s="171">
        <v>1991</v>
      </c>
      <c r="B75" s="283">
        <v>33514</v>
      </c>
      <c r="C75" s="402" t="s">
        <v>209</v>
      </c>
      <c r="D75" s="402"/>
      <c r="E75" s="171">
        <f>365-E74</f>
        <v>90</v>
      </c>
      <c r="F75" s="171">
        <v>1</v>
      </c>
      <c r="G75" s="233"/>
      <c r="H75" s="171">
        <v>8</v>
      </c>
      <c r="I75" s="171">
        <v>9</v>
      </c>
      <c r="J75" s="241">
        <v>17</v>
      </c>
      <c r="K75" s="214">
        <f>G75/J75*100</f>
        <v>0</v>
      </c>
      <c r="L75" s="214">
        <f>H75/J75*100</f>
        <v>47.058823529411761</v>
      </c>
      <c r="M75" s="214">
        <f>I75/J75*100</f>
        <v>52.941176470588239</v>
      </c>
      <c r="N75" s="235">
        <f t="shared" si="26"/>
        <v>100</v>
      </c>
      <c r="O75" s="213"/>
      <c r="P75" s="214">
        <v>36.799999999999997</v>
      </c>
      <c r="Q75" s="214">
        <v>34</v>
      </c>
      <c r="R75" s="215">
        <f t="shared" si="27"/>
        <v>70.8</v>
      </c>
      <c r="S75" s="171">
        <v>3</v>
      </c>
      <c r="T75" s="285"/>
      <c r="U75" s="283">
        <v>33514</v>
      </c>
      <c r="V75" s="178" t="s">
        <v>80</v>
      </c>
      <c r="W75" s="171" t="s">
        <v>81</v>
      </c>
      <c r="X75" s="171" t="s">
        <v>18</v>
      </c>
      <c r="Y75" s="179">
        <v>20.3</v>
      </c>
      <c r="Z75" s="171" t="s">
        <v>84</v>
      </c>
      <c r="AA75" s="171" t="s">
        <v>85</v>
      </c>
      <c r="AB75" s="171" t="s">
        <v>18</v>
      </c>
      <c r="AC75" s="171">
        <v>9</v>
      </c>
      <c r="AD75" s="178" t="s">
        <v>95</v>
      </c>
      <c r="AE75" s="171" t="s">
        <v>96</v>
      </c>
      <c r="AF75" s="171" t="s">
        <v>12</v>
      </c>
      <c r="AG75" s="179">
        <v>18.899999999999999</v>
      </c>
      <c r="AH75" s="171" t="s">
        <v>94</v>
      </c>
      <c r="AI75" s="171" t="s">
        <v>97</v>
      </c>
      <c r="AJ75" s="171" t="s">
        <v>12</v>
      </c>
      <c r="AK75" s="171">
        <v>15.1</v>
      </c>
      <c r="AL75" s="178" t="s">
        <v>88</v>
      </c>
      <c r="AM75" s="171" t="s">
        <v>89</v>
      </c>
      <c r="AN75" s="171" t="s">
        <v>18</v>
      </c>
      <c r="AO75" s="179">
        <v>7.5</v>
      </c>
      <c r="AP75" s="178"/>
      <c r="AS75" s="179"/>
      <c r="AW75" s="179"/>
      <c r="BA75" s="180"/>
    </row>
    <row r="76" spans="1:53" s="171" customFormat="1" x14ac:dyDescent="0.15">
      <c r="A76" s="171">
        <v>1992</v>
      </c>
      <c r="B76" s="283"/>
      <c r="C76" s="402" t="s">
        <v>209</v>
      </c>
      <c r="D76" s="402"/>
      <c r="E76" s="171">
        <v>72</v>
      </c>
      <c r="G76" s="233"/>
      <c r="H76" s="171">
        <v>8</v>
      </c>
      <c r="I76" s="171">
        <v>9</v>
      </c>
      <c r="J76" s="241">
        <v>17</v>
      </c>
      <c r="K76" s="214">
        <f>G76/J76*100</f>
        <v>0</v>
      </c>
      <c r="L76" s="214">
        <f>H76/J76*100</f>
        <v>47.058823529411761</v>
      </c>
      <c r="M76" s="214">
        <f>I76/J76*100</f>
        <v>52.941176470588239</v>
      </c>
      <c r="N76" s="235">
        <f t="shared" si="26"/>
        <v>100</v>
      </c>
      <c r="O76" s="213"/>
      <c r="P76" s="214">
        <v>36.799999999999997</v>
      </c>
      <c r="Q76" s="214">
        <v>34</v>
      </c>
      <c r="R76" s="215">
        <f t="shared" si="27"/>
        <v>70.8</v>
      </c>
      <c r="S76" s="171">
        <v>3</v>
      </c>
      <c r="T76" s="285">
        <v>33566</v>
      </c>
      <c r="U76" s="283"/>
      <c r="V76" s="178" t="s">
        <v>80</v>
      </c>
      <c r="W76" s="171" t="s">
        <v>81</v>
      </c>
      <c r="X76" s="171" t="s">
        <v>18</v>
      </c>
      <c r="Y76" s="179">
        <v>20.3</v>
      </c>
      <c r="Z76" s="171" t="s">
        <v>84</v>
      </c>
      <c r="AA76" s="171" t="s">
        <v>85</v>
      </c>
      <c r="AB76" s="171" t="s">
        <v>18</v>
      </c>
      <c r="AC76" s="171">
        <v>9</v>
      </c>
      <c r="AD76" s="178" t="s">
        <v>95</v>
      </c>
      <c r="AE76" s="171" t="s">
        <v>96</v>
      </c>
      <c r="AF76" s="171" t="s">
        <v>12</v>
      </c>
      <c r="AG76" s="179">
        <v>18.899999999999999</v>
      </c>
      <c r="AH76" s="171" t="s">
        <v>94</v>
      </c>
      <c r="AI76" s="171" t="s">
        <v>97</v>
      </c>
      <c r="AJ76" s="171" t="s">
        <v>12</v>
      </c>
      <c r="AK76" s="171">
        <v>15.1</v>
      </c>
      <c r="AL76" s="178" t="s">
        <v>88</v>
      </c>
      <c r="AM76" s="171" t="s">
        <v>89</v>
      </c>
      <c r="AN76" s="171" t="s">
        <v>18</v>
      </c>
      <c r="AO76" s="179">
        <v>7.5</v>
      </c>
      <c r="AP76" s="178"/>
      <c r="AS76" s="179"/>
      <c r="AW76" s="179"/>
      <c r="BA76" s="180"/>
    </row>
    <row r="77" spans="1:53" s="29" customFormat="1" x14ac:dyDescent="0.15">
      <c r="A77" s="29">
        <v>1992</v>
      </c>
      <c r="B77" s="295">
        <v>33676</v>
      </c>
      <c r="C77" s="411" t="s">
        <v>210</v>
      </c>
      <c r="D77" s="411"/>
      <c r="E77" s="29">
        <v>294</v>
      </c>
      <c r="F77" s="29">
        <v>5</v>
      </c>
      <c r="G77" s="66"/>
      <c r="H77" s="29">
        <v>7</v>
      </c>
      <c r="I77" s="29">
        <v>8</v>
      </c>
      <c r="J77" s="73">
        <v>15</v>
      </c>
      <c r="K77" s="47">
        <f>G77/J77*100</f>
        <v>0</v>
      </c>
      <c r="L77" s="47">
        <f>H77/J77*100</f>
        <v>46.666666666666664</v>
      </c>
      <c r="M77" s="47">
        <f>I77/J77*100</f>
        <v>53.333333333333336</v>
      </c>
      <c r="N77" s="68">
        <f t="shared" si="26"/>
        <v>100</v>
      </c>
      <c r="O77" s="46"/>
      <c r="P77" s="47">
        <v>26.9</v>
      </c>
      <c r="Q77" s="47">
        <v>29.7</v>
      </c>
      <c r="R77" s="48">
        <f t="shared" si="27"/>
        <v>56.599999999999994</v>
      </c>
      <c r="S77" s="29">
        <v>2</v>
      </c>
      <c r="T77" s="286"/>
      <c r="U77" s="295">
        <v>33676</v>
      </c>
      <c r="V77" s="38" t="s">
        <v>80</v>
      </c>
      <c r="W77" s="29" t="s">
        <v>81</v>
      </c>
      <c r="X77" s="29" t="s">
        <v>18</v>
      </c>
      <c r="Y77" s="39">
        <v>18.399999999999999</v>
      </c>
      <c r="Z77" s="29" t="s">
        <v>84</v>
      </c>
      <c r="AA77" s="29" t="s">
        <v>85</v>
      </c>
      <c r="AB77" s="29" t="s">
        <v>18</v>
      </c>
      <c r="AC77" s="29">
        <v>8.5</v>
      </c>
      <c r="AD77" s="38" t="s">
        <v>95</v>
      </c>
      <c r="AE77" s="29" t="s">
        <v>96</v>
      </c>
      <c r="AF77" s="29" t="s">
        <v>12</v>
      </c>
      <c r="AG77" s="39">
        <v>16.5</v>
      </c>
      <c r="AH77" s="29" t="s">
        <v>94</v>
      </c>
      <c r="AI77" s="29" t="s">
        <v>97</v>
      </c>
      <c r="AJ77" s="29" t="s">
        <v>12</v>
      </c>
      <c r="AK77" s="29">
        <v>13.2</v>
      </c>
      <c r="AL77" s="38"/>
      <c r="AO77" s="39"/>
      <c r="AP77" s="38"/>
      <c r="AS77" s="39"/>
      <c r="AW77" s="39"/>
      <c r="BA77" s="40"/>
    </row>
    <row r="78" spans="1:53" s="29" customFormat="1" x14ac:dyDescent="0.15">
      <c r="A78" s="29">
        <v>1993</v>
      </c>
      <c r="B78" s="295"/>
      <c r="C78" s="411" t="s">
        <v>210</v>
      </c>
      <c r="D78" s="411"/>
      <c r="E78" s="29">
        <v>0</v>
      </c>
      <c r="G78" s="66"/>
      <c r="H78" s="29">
        <v>7</v>
      </c>
      <c r="I78" s="29">
        <v>8</v>
      </c>
      <c r="J78" s="73">
        <v>15</v>
      </c>
      <c r="K78" s="47">
        <f t="shared" ref="K78:K101" si="28">G78/J78*100</f>
        <v>0</v>
      </c>
      <c r="L78" s="47">
        <f t="shared" ref="L78:L101" si="29">H78/J78*100</f>
        <v>46.666666666666664</v>
      </c>
      <c r="M78" s="47">
        <f t="shared" ref="M78:M101" si="30">I78/J78*100</f>
        <v>53.333333333333336</v>
      </c>
      <c r="N78" s="68">
        <f t="shared" si="26"/>
        <v>100</v>
      </c>
      <c r="O78" s="46"/>
      <c r="P78" s="47">
        <v>26.9</v>
      </c>
      <c r="Q78" s="47">
        <v>29.7</v>
      </c>
      <c r="R78" s="48">
        <f t="shared" si="27"/>
        <v>56.599999999999994</v>
      </c>
      <c r="S78" s="29">
        <v>2</v>
      </c>
      <c r="T78" s="286"/>
      <c r="U78" s="295"/>
      <c r="V78" s="38" t="s">
        <v>80</v>
      </c>
      <c r="W78" s="29" t="s">
        <v>81</v>
      </c>
      <c r="X78" s="29" t="s">
        <v>18</v>
      </c>
      <c r="Y78" s="39">
        <v>18.399999999999999</v>
      </c>
      <c r="Z78" s="29" t="s">
        <v>84</v>
      </c>
      <c r="AA78" s="29" t="s">
        <v>85</v>
      </c>
      <c r="AB78" s="29" t="s">
        <v>18</v>
      </c>
      <c r="AC78" s="29">
        <v>8.5</v>
      </c>
      <c r="AD78" s="38" t="s">
        <v>95</v>
      </c>
      <c r="AE78" s="29" t="s">
        <v>96</v>
      </c>
      <c r="AF78" s="29" t="s">
        <v>12</v>
      </c>
      <c r="AG78" s="39">
        <v>16.5</v>
      </c>
      <c r="AH78" s="29" t="s">
        <v>94</v>
      </c>
      <c r="AI78" s="29" t="s">
        <v>97</v>
      </c>
      <c r="AJ78" s="29" t="s">
        <v>12</v>
      </c>
      <c r="AK78" s="29">
        <v>13.2</v>
      </c>
      <c r="AL78" s="38"/>
      <c r="AO78" s="39"/>
      <c r="AP78" s="38"/>
      <c r="AS78" s="39"/>
      <c r="AW78" s="39"/>
      <c r="BA78" s="40"/>
    </row>
    <row r="79" spans="1:53" s="29" customFormat="1" x14ac:dyDescent="0.15">
      <c r="A79" s="29">
        <v>1993</v>
      </c>
      <c r="B79" s="295"/>
      <c r="C79" s="411" t="s">
        <v>210</v>
      </c>
      <c r="D79" s="411"/>
      <c r="E79" s="29">
        <f>365-E78</f>
        <v>365</v>
      </c>
      <c r="G79" s="66"/>
      <c r="H79" s="29">
        <v>7</v>
      </c>
      <c r="I79" s="29">
        <v>8</v>
      </c>
      <c r="J79" s="73">
        <v>15</v>
      </c>
      <c r="K79" s="47">
        <f t="shared" si="28"/>
        <v>0</v>
      </c>
      <c r="L79" s="47">
        <f t="shared" si="29"/>
        <v>46.666666666666664</v>
      </c>
      <c r="M79" s="47">
        <f t="shared" si="30"/>
        <v>53.333333333333336</v>
      </c>
      <c r="N79" s="68">
        <f t="shared" si="26"/>
        <v>100</v>
      </c>
      <c r="O79" s="46"/>
      <c r="P79" s="47">
        <v>26.9</v>
      </c>
      <c r="Q79" s="47">
        <v>29.7</v>
      </c>
      <c r="R79" s="48">
        <f t="shared" si="27"/>
        <v>56.599999999999994</v>
      </c>
      <c r="S79" s="29">
        <v>2</v>
      </c>
      <c r="T79" s="286"/>
      <c r="U79" s="295"/>
      <c r="V79" s="38" t="s">
        <v>80</v>
      </c>
      <c r="W79" s="29" t="s">
        <v>81</v>
      </c>
      <c r="X79" s="29" t="s">
        <v>18</v>
      </c>
      <c r="Y79" s="39">
        <v>18.399999999999999</v>
      </c>
      <c r="Z79" s="29" t="s">
        <v>84</v>
      </c>
      <c r="AA79" s="29" t="s">
        <v>85</v>
      </c>
      <c r="AB79" s="29" t="s">
        <v>18</v>
      </c>
      <c r="AC79" s="29">
        <v>8.5</v>
      </c>
      <c r="AD79" s="38" t="s">
        <v>95</v>
      </c>
      <c r="AE79" s="29" t="s">
        <v>96</v>
      </c>
      <c r="AF79" s="29" t="s">
        <v>12</v>
      </c>
      <c r="AG79" s="39">
        <v>16.5</v>
      </c>
      <c r="AH79" s="29" t="s">
        <v>94</v>
      </c>
      <c r="AI79" s="29" t="s">
        <v>97</v>
      </c>
      <c r="AJ79" s="29" t="s">
        <v>12</v>
      </c>
      <c r="AK79" s="29">
        <v>13.2</v>
      </c>
      <c r="AL79" s="38"/>
      <c r="AO79" s="39"/>
      <c r="AP79" s="38"/>
      <c r="AS79" s="39"/>
      <c r="AW79" s="39"/>
      <c r="BA79" s="40"/>
    </row>
    <row r="80" spans="1:53" s="29" customFormat="1" x14ac:dyDescent="0.15">
      <c r="A80" s="29">
        <v>1994</v>
      </c>
      <c r="B80" s="295"/>
      <c r="C80" s="411" t="s">
        <v>210</v>
      </c>
      <c r="D80" s="411"/>
      <c r="E80" s="29">
        <v>0</v>
      </c>
      <c r="G80" s="66"/>
      <c r="H80" s="29">
        <v>7</v>
      </c>
      <c r="I80" s="29">
        <v>8</v>
      </c>
      <c r="J80" s="73">
        <v>15</v>
      </c>
      <c r="K80" s="47">
        <f t="shared" si="28"/>
        <v>0</v>
      </c>
      <c r="L80" s="47">
        <f t="shared" si="29"/>
        <v>46.666666666666664</v>
      </c>
      <c r="M80" s="47">
        <f t="shared" si="30"/>
        <v>53.333333333333336</v>
      </c>
      <c r="N80" s="68">
        <f t="shared" si="26"/>
        <v>100</v>
      </c>
      <c r="O80" s="46"/>
      <c r="P80" s="47">
        <v>26.9</v>
      </c>
      <c r="Q80" s="47">
        <v>29.7</v>
      </c>
      <c r="R80" s="48">
        <f t="shared" si="27"/>
        <v>56.599999999999994</v>
      </c>
      <c r="S80" s="29">
        <v>2</v>
      </c>
      <c r="T80" s="286"/>
      <c r="U80" s="295"/>
      <c r="V80" s="38" t="s">
        <v>80</v>
      </c>
      <c r="W80" s="29" t="s">
        <v>81</v>
      </c>
      <c r="X80" s="29" t="s">
        <v>18</v>
      </c>
      <c r="Y80" s="39">
        <v>18.399999999999999</v>
      </c>
      <c r="Z80" s="29" t="s">
        <v>84</v>
      </c>
      <c r="AA80" s="29" t="s">
        <v>85</v>
      </c>
      <c r="AB80" s="29" t="s">
        <v>18</v>
      </c>
      <c r="AC80" s="29">
        <v>8.5</v>
      </c>
      <c r="AD80" s="38" t="s">
        <v>95</v>
      </c>
      <c r="AE80" s="29" t="s">
        <v>96</v>
      </c>
      <c r="AF80" s="29" t="s">
        <v>12</v>
      </c>
      <c r="AG80" s="39">
        <v>16.5</v>
      </c>
      <c r="AH80" s="29" t="s">
        <v>94</v>
      </c>
      <c r="AI80" s="29" t="s">
        <v>97</v>
      </c>
      <c r="AJ80" s="29" t="s">
        <v>12</v>
      </c>
      <c r="AK80" s="29">
        <v>13.2</v>
      </c>
      <c r="AL80" s="38"/>
      <c r="AO80" s="39"/>
      <c r="AP80" s="38"/>
      <c r="AS80" s="39"/>
      <c r="AW80" s="39"/>
      <c r="BA80" s="40"/>
    </row>
    <row r="81" spans="1:53" s="29" customFormat="1" x14ac:dyDescent="0.15">
      <c r="A81" s="29">
        <v>1994</v>
      </c>
      <c r="B81" s="295"/>
      <c r="C81" s="411" t="s">
        <v>210</v>
      </c>
      <c r="D81" s="411"/>
      <c r="E81" s="29">
        <f>365-E80</f>
        <v>365</v>
      </c>
      <c r="G81" s="66"/>
      <c r="H81" s="29">
        <v>7</v>
      </c>
      <c r="I81" s="29">
        <v>8</v>
      </c>
      <c r="J81" s="73">
        <v>15</v>
      </c>
      <c r="K81" s="47">
        <f t="shared" si="28"/>
        <v>0</v>
      </c>
      <c r="L81" s="47">
        <f t="shared" si="29"/>
        <v>46.666666666666664</v>
      </c>
      <c r="M81" s="47">
        <f t="shared" si="30"/>
        <v>53.333333333333336</v>
      </c>
      <c r="N81" s="68">
        <f t="shared" si="26"/>
        <v>100</v>
      </c>
      <c r="O81" s="46"/>
      <c r="P81" s="47">
        <v>26.9</v>
      </c>
      <c r="Q81" s="47">
        <v>29.7</v>
      </c>
      <c r="R81" s="48">
        <f t="shared" si="27"/>
        <v>56.599999999999994</v>
      </c>
      <c r="S81" s="29">
        <v>2</v>
      </c>
      <c r="T81" s="286"/>
      <c r="U81" s="295"/>
      <c r="V81" s="38" t="s">
        <v>80</v>
      </c>
      <c r="W81" s="29" t="s">
        <v>81</v>
      </c>
      <c r="X81" s="29" t="s">
        <v>18</v>
      </c>
      <c r="Y81" s="39">
        <v>18.399999999999999</v>
      </c>
      <c r="Z81" s="29" t="s">
        <v>84</v>
      </c>
      <c r="AA81" s="29" t="s">
        <v>85</v>
      </c>
      <c r="AB81" s="29" t="s">
        <v>18</v>
      </c>
      <c r="AC81" s="29">
        <v>8.5</v>
      </c>
      <c r="AD81" s="38" t="s">
        <v>95</v>
      </c>
      <c r="AE81" s="29" t="s">
        <v>96</v>
      </c>
      <c r="AF81" s="29" t="s">
        <v>12</v>
      </c>
      <c r="AG81" s="39">
        <v>16.5</v>
      </c>
      <c r="AH81" s="29" t="s">
        <v>94</v>
      </c>
      <c r="AI81" s="29" t="s">
        <v>97</v>
      </c>
      <c r="AJ81" s="29" t="s">
        <v>12</v>
      </c>
      <c r="AK81" s="29">
        <v>13.2</v>
      </c>
      <c r="AL81" s="38"/>
      <c r="AO81" s="39"/>
      <c r="AP81" s="38"/>
      <c r="AS81" s="39"/>
      <c r="AW81" s="39"/>
      <c r="BA81" s="40"/>
    </row>
    <row r="82" spans="1:53" s="29" customFormat="1" x14ac:dyDescent="0.15">
      <c r="A82" s="29">
        <v>1995</v>
      </c>
      <c r="B82" s="295"/>
      <c r="C82" s="411" t="s">
        <v>210</v>
      </c>
      <c r="D82" s="411"/>
      <c r="E82" s="29">
        <v>173</v>
      </c>
      <c r="G82" s="66"/>
      <c r="H82" s="29">
        <v>7</v>
      </c>
      <c r="I82" s="29">
        <v>8</v>
      </c>
      <c r="J82" s="73">
        <v>15</v>
      </c>
      <c r="K82" s="47">
        <f t="shared" si="28"/>
        <v>0</v>
      </c>
      <c r="L82" s="47">
        <f t="shared" si="29"/>
        <v>46.666666666666664</v>
      </c>
      <c r="M82" s="47">
        <f t="shared" si="30"/>
        <v>53.333333333333336</v>
      </c>
      <c r="N82" s="68">
        <f t="shared" si="26"/>
        <v>100</v>
      </c>
      <c r="O82" s="46"/>
      <c r="P82" s="47">
        <v>26.9</v>
      </c>
      <c r="Q82" s="47">
        <v>29.7</v>
      </c>
      <c r="R82" s="48">
        <f t="shared" si="27"/>
        <v>56.599999999999994</v>
      </c>
      <c r="S82" s="29">
        <v>2</v>
      </c>
      <c r="T82" s="286"/>
      <c r="U82" s="295"/>
      <c r="V82" s="38" t="s">
        <v>80</v>
      </c>
      <c r="W82" s="29" t="s">
        <v>81</v>
      </c>
      <c r="X82" s="29" t="s">
        <v>18</v>
      </c>
      <c r="Y82" s="39">
        <v>18.399999999999999</v>
      </c>
      <c r="Z82" s="29" t="s">
        <v>84</v>
      </c>
      <c r="AA82" s="29" t="s">
        <v>85</v>
      </c>
      <c r="AB82" s="29" t="s">
        <v>18</v>
      </c>
      <c r="AC82" s="29">
        <v>8.5</v>
      </c>
      <c r="AD82" s="38" t="s">
        <v>95</v>
      </c>
      <c r="AE82" s="29" t="s">
        <v>96</v>
      </c>
      <c r="AF82" s="29" t="s">
        <v>12</v>
      </c>
      <c r="AG82" s="39">
        <v>16.5</v>
      </c>
      <c r="AH82" s="29" t="s">
        <v>94</v>
      </c>
      <c r="AI82" s="29" t="s">
        <v>97</v>
      </c>
      <c r="AJ82" s="29" t="s">
        <v>12</v>
      </c>
      <c r="AK82" s="29">
        <v>13.2</v>
      </c>
      <c r="AL82" s="38"/>
      <c r="AO82" s="39"/>
      <c r="AP82" s="38"/>
      <c r="AS82" s="39"/>
      <c r="AW82" s="39"/>
      <c r="BA82" s="40"/>
    </row>
    <row r="83" spans="1:53" s="171" customFormat="1" x14ac:dyDescent="0.15">
      <c r="A83" s="171">
        <v>1995</v>
      </c>
      <c r="B83" s="283">
        <v>34873</v>
      </c>
      <c r="C83" s="410" t="s">
        <v>211</v>
      </c>
      <c r="D83" s="410"/>
      <c r="E83" s="171">
        <f>365-E82</f>
        <v>192</v>
      </c>
      <c r="F83" s="171">
        <v>1</v>
      </c>
      <c r="G83" s="233"/>
      <c r="H83" s="171">
        <v>7</v>
      </c>
      <c r="I83" s="171">
        <v>8</v>
      </c>
      <c r="J83" s="241">
        <v>15</v>
      </c>
      <c r="K83" s="214">
        <f t="shared" si="28"/>
        <v>0</v>
      </c>
      <c r="L83" s="214">
        <f t="shared" si="29"/>
        <v>46.666666666666664</v>
      </c>
      <c r="M83" s="214">
        <f t="shared" si="30"/>
        <v>53.333333333333336</v>
      </c>
      <c r="N83" s="235">
        <f t="shared" si="26"/>
        <v>100</v>
      </c>
      <c r="O83" s="213"/>
      <c r="P83" s="214">
        <v>27.3</v>
      </c>
      <c r="Q83" s="214">
        <v>27.3</v>
      </c>
      <c r="R83" s="215">
        <f t="shared" si="27"/>
        <v>54.6</v>
      </c>
      <c r="S83" s="171">
        <v>2</v>
      </c>
      <c r="T83" s="285">
        <v>34840</v>
      </c>
      <c r="U83" s="283">
        <v>34873</v>
      </c>
      <c r="V83" s="178" t="s">
        <v>80</v>
      </c>
      <c r="W83" s="171" t="s">
        <v>81</v>
      </c>
      <c r="X83" s="171" t="s">
        <v>18</v>
      </c>
      <c r="Y83" s="179">
        <v>19.3</v>
      </c>
      <c r="Z83" s="171" t="s">
        <v>84</v>
      </c>
      <c r="AA83" s="171" t="s">
        <v>85</v>
      </c>
      <c r="AB83" s="171" t="s">
        <v>18</v>
      </c>
      <c r="AC83" s="171">
        <v>8</v>
      </c>
      <c r="AD83" s="178" t="s">
        <v>95</v>
      </c>
      <c r="AE83" s="171" t="s">
        <v>96</v>
      </c>
      <c r="AF83" s="171" t="s">
        <v>12</v>
      </c>
      <c r="AG83" s="179">
        <v>14</v>
      </c>
      <c r="AH83" s="171" t="s">
        <v>94</v>
      </c>
      <c r="AI83" s="171" t="s">
        <v>97</v>
      </c>
      <c r="AJ83" s="171" t="s">
        <v>12</v>
      </c>
      <c r="AK83" s="171">
        <v>13.3</v>
      </c>
      <c r="AL83" s="178"/>
      <c r="AO83" s="179"/>
      <c r="AP83" s="178"/>
      <c r="AS83" s="179"/>
      <c r="AW83" s="179"/>
      <c r="BA83" s="180"/>
    </row>
    <row r="84" spans="1:53" s="171" customFormat="1" x14ac:dyDescent="0.15">
      <c r="A84" s="171">
        <v>1996</v>
      </c>
      <c r="B84" s="283"/>
      <c r="C84" s="410" t="s">
        <v>211</v>
      </c>
      <c r="D84" s="410"/>
      <c r="E84" s="171">
        <v>0</v>
      </c>
      <c r="G84" s="233"/>
      <c r="H84" s="171">
        <v>7</v>
      </c>
      <c r="I84" s="171">
        <v>8</v>
      </c>
      <c r="J84" s="241">
        <v>15</v>
      </c>
      <c r="K84" s="214">
        <f t="shared" si="28"/>
        <v>0</v>
      </c>
      <c r="L84" s="214">
        <f t="shared" si="29"/>
        <v>46.666666666666664</v>
      </c>
      <c r="M84" s="214">
        <f t="shared" si="30"/>
        <v>53.333333333333336</v>
      </c>
      <c r="N84" s="235">
        <f t="shared" si="26"/>
        <v>100</v>
      </c>
      <c r="O84" s="213"/>
      <c r="P84" s="214">
        <v>27.3</v>
      </c>
      <c r="Q84" s="214">
        <v>27.3</v>
      </c>
      <c r="R84" s="215">
        <f t="shared" si="27"/>
        <v>54.6</v>
      </c>
      <c r="S84" s="171">
        <v>2</v>
      </c>
      <c r="T84" s="285"/>
      <c r="U84" s="283"/>
      <c r="V84" s="178" t="s">
        <v>80</v>
      </c>
      <c r="W84" s="171" t="s">
        <v>81</v>
      </c>
      <c r="X84" s="171" t="s">
        <v>18</v>
      </c>
      <c r="Y84" s="179">
        <v>19.3</v>
      </c>
      <c r="Z84" s="171" t="s">
        <v>84</v>
      </c>
      <c r="AA84" s="171" t="s">
        <v>85</v>
      </c>
      <c r="AB84" s="171" t="s">
        <v>18</v>
      </c>
      <c r="AC84" s="171">
        <v>8</v>
      </c>
      <c r="AD84" s="178" t="s">
        <v>95</v>
      </c>
      <c r="AE84" s="171" t="s">
        <v>96</v>
      </c>
      <c r="AF84" s="171" t="s">
        <v>12</v>
      </c>
      <c r="AG84" s="179">
        <v>14</v>
      </c>
      <c r="AH84" s="171" t="s">
        <v>94</v>
      </c>
      <c r="AI84" s="171" t="s">
        <v>97</v>
      </c>
      <c r="AJ84" s="171" t="s">
        <v>12</v>
      </c>
      <c r="AK84" s="171">
        <v>13.3</v>
      </c>
      <c r="AL84" s="178"/>
      <c r="AO84" s="179"/>
      <c r="AP84" s="178"/>
      <c r="AS84" s="179"/>
      <c r="AW84" s="179"/>
      <c r="BA84" s="180"/>
    </row>
    <row r="85" spans="1:53" s="171" customFormat="1" x14ac:dyDescent="0.15">
      <c r="A85" s="171">
        <v>1996</v>
      </c>
      <c r="B85" s="283"/>
      <c r="C85" s="410" t="s">
        <v>211</v>
      </c>
      <c r="D85" s="410"/>
      <c r="E85" s="171">
        <v>366</v>
      </c>
      <c r="G85" s="233"/>
      <c r="H85" s="171">
        <v>7</v>
      </c>
      <c r="I85" s="171">
        <v>8</v>
      </c>
      <c r="J85" s="241">
        <v>15</v>
      </c>
      <c r="K85" s="214">
        <f t="shared" si="28"/>
        <v>0</v>
      </c>
      <c r="L85" s="214">
        <f t="shared" si="29"/>
        <v>46.666666666666664</v>
      </c>
      <c r="M85" s="214">
        <f t="shared" si="30"/>
        <v>53.333333333333336</v>
      </c>
      <c r="N85" s="235">
        <f t="shared" si="26"/>
        <v>100</v>
      </c>
      <c r="O85" s="213"/>
      <c r="P85" s="214">
        <v>27.3</v>
      </c>
      <c r="Q85" s="214">
        <v>27.3</v>
      </c>
      <c r="R85" s="215">
        <f t="shared" si="27"/>
        <v>54.6</v>
      </c>
      <c r="S85" s="171">
        <v>2</v>
      </c>
      <c r="T85" s="285"/>
      <c r="U85" s="283"/>
      <c r="V85" s="178" t="s">
        <v>80</v>
      </c>
      <c r="W85" s="171" t="s">
        <v>81</v>
      </c>
      <c r="X85" s="171" t="s">
        <v>18</v>
      </c>
      <c r="Y85" s="179">
        <v>19.3</v>
      </c>
      <c r="Z85" s="171" t="s">
        <v>84</v>
      </c>
      <c r="AA85" s="171" t="s">
        <v>85</v>
      </c>
      <c r="AB85" s="171" t="s">
        <v>18</v>
      </c>
      <c r="AC85" s="171">
        <v>8</v>
      </c>
      <c r="AD85" s="178" t="s">
        <v>95</v>
      </c>
      <c r="AE85" s="171" t="s">
        <v>96</v>
      </c>
      <c r="AF85" s="171" t="s">
        <v>12</v>
      </c>
      <c r="AG85" s="179">
        <v>14</v>
      </c>
      <c r="AH85" s="171" t="s">
        <v>94</v>
      </c>
      <c r="AI85" s="171" t="s">
        <v>97</v>
      </c>
      <c r="AJ85" s="171" t="s">
        <v>12</v>
      </c>
      <c r="AK85" s="171">
        <v>13.3</v>
      </c>
      <c r="AL85" s="178"/>
      <c r="AO85" s="179"/>
      <c r="AP85" s="178"/>
      <c r="AS85" s="179"/>
      <c r="AW85" s="179"/>
      <c r="BA85" s="180"/>
    </row>
    <row r="86" spans="1:53" s="171" customFormat="1" x14ac:dyDescent="0.15">
      <c r="A86" s="171">
        <v>1997</v>
      </c>
      <c r="B86" s="283"/>
      <c r="C86" s="410" t="s">
        <v>211</v>
      </c>
      <c r="D86" s="410"/>
      <c r="E86" s="171">
        <v>0</v>
      </c>
      <c r="G86" s="233"/>
      <c r="H86" s="171">
        <v>7</v>
      </c>
      <c r="I86" s="171">
        <v>8</v>
      </c>
      <c r="J86" s="241">
        <v>15</v>
      </c>
      <c r="K86" s="214">
        <f t="shared" si="28"/>
        <v>0</v>
      </c>
      <c r="L86" s="214">
        <f t="shared" si="29"/>
        <v>46.666666666666664</v>
      </c>
      <c r="M86" s="214">
        <f t="shared" si="30"/>
        <v>53.333333333333336</v>
      </c>
      <c r="N86" s="235">
        <f t="shared" si="26"/>
        <v>100</v>
      </c>
      <c r="O86" s="213"/>
      <c r="P86" s="214">
        <v>27.3</v>
      </c>
      <c r="Q86" s="214">
        <v>27.3</v>
      </c>
      <c r="R86" s="215">
        <f t="shared" si="27"/>
        <v>54.6</v>
      </c>
      <c r="S86" s="171">
        <v>2</v>
      </c>
      <c r="T86" s="285"/>
      <c r="U86" s="283"/>
      <c r="V86" s="178" t="s">
        <v>80</v>
      </c>
      <c r="W86" s="171" t="s">
        <v>81</v>
      </c>
      <c r="X86" s="171" t="s">
        <v>18</v>
      </c>
      <c r="Y86" s="179">
        <v>19.3</v>
      </c>
      <c r="Z86" s="171" t="s">
        <v>84</v>
      </c>
      <c r="AA86" s="171" t="s">
        <v>85</v>
      </c>
      <c r="AB86" s="171" t="s">
        <v>18</v>
      </c>
      <c r="AC86" s="171">
        <v>8</v>
      </c>
      <c r="AD86" s="178" t="s">
        <v>95</v>
      </c>
      <c r="AE86" s="171" t="s">
        <v>96</v>
      </c>
      <c r="AF86" s="171" t="s">
        <v>12</v>
      </c>
      <c r="AG86" s="179">
        <v>14</v>
      </c>
      <c r="AH86" s="171" t="s">
        <v>94</v>
      </c>
      <c r="AI86" s="171" t="s">
        <v>97</v>
      </c>
      <c r="AJ86" s="171" t="s">
        <v>12</v>
      </c>
      <c r="AK86" s="171">
        <v>13.3</v>
      </c>
      <c r="AL86" s="178"/>
      <c r="AO86" s="179"/>
      <c r="AP86" s="178"/>
      <c r="AS86" s="179"/>
      <c r="AW86" s="179"/>
      <c r="BA86" s="180"/>
    </row>
    <row r="87" spans="1:53" s="171" customFormat="1" x14ac:dyDescent="0.15">
      <c r="A87" s="171">
        <v>1997</v>
      </c>
      <c r="B87" s="283"/>
      <c r="C87" s="410" t="s">
        <v>211</v>
      </c>
      <c r="D87" s="410"/>
      <c r="E87" s="171">
        <f>365-E86</f>
        <v>365</v>
      </c>
      <c r="G87" s="233"/>
      <c r="H87" s="171">
        <v>7</v>
      </c>
      <c r="I87" s="171">
        <v>8</v>
      </c>
      <c r="J87" s="241">
        <v>15</v>
      </c>
      <c r="K87" s="214">
        <f t="shared" si="28"/>
        <v>0</v>
      </c>
      <c r="L87" s="214">
        <f t="shared" si="29"/>
        <v>46.666666666666664</v>
      </c>
      <c r="M87" s="214">
        <f t="shared" si="30"/>
        <v>53.333333333333336</v>
      </c>
      <c r="N87" s="235">
        <f t="shared" si="26"/>
        <v>100</v>
      </c>
      <c r="O87" s="213"/>
      <c r="P87" s="214">
        <v>27.3</v>
      </c>
      <c r="Q87" s="214">
        <v>27.3</v>
      </c>
      <c r="R87" s="215">
        <f t="shared" si="27"/>
        <v>54.6</v>
      </c>
      <c r="S87" s="171">
        <v>2</v>
      </c>
      <c r="T87" s="285"/>
      <c r="U87" s="283"/>
      <c r="V87" s="178" t="s">
        <v>80</v>
      </c>
      <c r="W87" s="171" t="s">
        <v>81</v>
      </c>
      <c r="X87" s="171" t="s">
        <v>18</v>
      </c>
      <c r="Y87" s="179">
        <v>19.3</v>
      </c>
      <c r="Z87" s="171" t="s">
        <v>84</v>
      </c>
      <c r="AA87" s="171" t="s">
        <v>85</v>
      </c>
      <c r="AB87" s="171" t="s">
        <v>18</v>
      </c>
      <c r="AC87" s="171">
        <v>8</v>
      </c>
      <c r="AD87" s="178" t="s">
        <v>95</v>
      </c>
      <c r="AE87" s="171" t="s">
        <v>96</v>
      </c>
      <c r="AF87" s="171" t="s">
        <v>12</v>
      </c>
      <c r="AG87" s="179">
        <v>14</v>
      </c>
      <c r="AH87" s="171" t="s">
        <v>94</v>
      </c>
      <c r="AI87" s="171" t="s">
        <v>97</v>
      </c>
      <c r="AJ87" s="171" t="s">
        <v>12</v>
      </c>
      <c r="AK87" s="171">
        <v>13.3</v>
      </c>
      <c r="AL87" s="178"/>
      <c r="AO87" s="179"/>
      <c r="AP87" s="178"/>
      <c r="AS87" s="179"/>
      <c r="AW87" s="179"/>
      <c r="BA87" s="180"/>
    </row>
    <row r="88" spans="1:53" s="171" customFormat="1" x14ac:dyDescent="0.15">
      <c r="A88" s="171">
        <v>1998</v>
      </c>
      <c r="B88" s="283"/>
      <c r="C88" s="410" t="s">
        <v>211</v>
      </c>
      <c r="D88" s="410"/>
      <c r="E88" s="171">
        <v>0</v>
      </c>
      <c r="G88" s="233"/>
      <c r="H88" s="171">
        <v>7</v>
      </c>
      <c r="I88" s="171">
        <v>8</v>
      </c>
      <c r="J88" s="241">
        <v>15</v>
      </c>
      <c r="K88" s="214">
        <f t="shared" si="28"/>
        <v>0</v>
      </c>
      <c r="L88" s="214">
        <f t="shared" si="29"/>
        <v>46.666666666666664</v>
      </c>
      <c r="M88" s="214">
        <f t="shared" si="30"/>
        <v>53.333333333333336</v>
      </c>
      <c r="N88" s="235">
        <f t="shared" si="26"/>
        <v>100</v>
      </c>
      <c r="O88" s="213"/>
      <c r="P88" s="214">
        <v>27.3</v>
      </c>
      <c r="Q88" s="214">
        <v>27.3</v>
      </c>
      <c r="R88" s="215">
        <f t="shared" si="27"/>
        <v>54.6</v>
      </c>
      <c r="S88" s="171">
        <v>2</v>
      </c>
      <c r="T88" s="285"/>
      <c r="U88" s="283"/>
      <c r="V88" s="178" t="s">
        <v>80</v>
      </c>
      <c r="W88" s="171" t="s">
        <v>81</v>
      </c>
      <c r="X88" s="171" t="s">
        <v>18</v>
      </c>
      <c r="Y88" s="179">
        <v>19.3</v>
      </c>
      <c r="Z88" s="171" t="s">
        <v>84</v>
      </c>
      <c r="AA88" s="171" t="s">
        <v>85</v>
      </c>
      <c r="AB88" s="171" t="s">
        <v>18</v>
      </c>
      <c r="AC88" s="171">
        <v>8</v>
      </c>
      <c r="AD88" s="178" t="s">
        <v>95</v>
      </c>
      <c r="AE88" s="171" t="s">
        <v>96</v>
      </c>
      <c r="AF88" s="171" t="s">
        <v>12</v>
      </c>
      <c r="AG88" s="179">
        <v>14</v>
      </c>
      <c r="AH88" s="171" t="s">
        <v>94</v>
      </c>
      <c r="AI88" s="171" t="s">
        <v>97</v>
      </c>
      <c r="AJ88" s="171" t="s">
        <v>12</v>
      </c>
      <c r="AK88" s="171">
        <v>13.3</v>
      </c>
      <c r="AL88" s="178"/>
      <c r="AO88" s="179"/>
      <c r="AP88" s="178"/>
      <c r="AS88" s="179"/>
      <c r="AW88" s="179"/>
      <c r="BA88" s="180"/>
    </row>
    <row r="89" spans="1:53" s="171" customFormat="1" x14ac:dyDescent="0.15">
      <c r="A89" s="171">
        <v>1998</v>
      </c>
      <c r="B89" s="283"/>
      <c r="C89" s="410" t="s">
        <v>211</v>
      </c>
      <c r="D89" s="410"/>
      <c r="E89" s="171">
        <f>365-E88</f>
        <v>365</v>
      </c>
      <c r="G89" s="233"/>
      <c r="H89" s="171">
        <v>7</v>
      </c>
      <c r="I89" s="171">
        <v>8</v>
      </c>
      <c r="J89" s="241">
        <v>15</v>
      </c>
      <c r="K89" s="214">
        <f t="shared" si="28"/>
        <v>0</v>
      </c>
      <c r="L89" s="214">
        <f t="shared" si="29"/>
        <v>46.666666666666664</v>
      </c>
      <c r="M89" s="214">
        <f t="shared" si="30"/>
        <v>53.333333333333336</v>
      </c>
      <c r="N89" s="235">
        <f t="shared" si="26"/>
        <v>100</v>
      </c>
      <c r="O89" s="213"/>
      <c r="P89" s="214">
        <v>27.3</v>
      </c>
      <c r="Q89" s="214">
        <v>27.3</v>
      </c>
      <c r="R89" s="215">
        <f t="shared" si="27"/>
        <v>54.6</v>
      </c>
      <c r="S89" s="171">
        <v>2</v>
      </c>
      <c r="T89" s="285"/>
      <c r="U89" s="283"/>
      <c r="V89" s="178" t="s">
        <v>80</v>
      </c>
      <c r="W89" s="171" t="s">
        <v>81</v>
      </c>
      <c r="X89" s="171" t="s">
        <v>18</v>
      </c>
      <c r="Y89" s="179">
        <v>19.3</v>
      </c>
      <c r="Z89" s="171" t="s">
        <v>84</v>
      </c>
      <c r="AA89" s="171" t="s">
        <v>85</v>
      </c>
      <c r="AB89" s="171" t="s">
        <v>18</v>
      </c>
      <c r="AC89" s="171">
        <v>8</v>
      </c>
      <c r="AD89" s="178" t="s">
        <v>95</v>
      </c>
      <c r="AE89" s="171" t="s">
        <v>96</v>
      </c>
      <c r="AF89" s="171" t="s">
        <v>12</v>
      </c>
      <c r="AG89" s="179">
        <v>14</v>
      </c>
      <c r="AH89" s="171" t="s">
        <v>94</v>
      </c>
      <c r="AI89" s="171" t="s">
        <v>97</v>
      </c>
      <c r="AJ89" s="171" t="s">
        <v>12</v>
      </c>
      <c r="AK89" s="171">
        <v>13.3</v>
      </c>
      <c r="AL89" s="178"/>
      <c r="AO89" s="179"/>
      <c r="AP89" s="178"/>
      <c r="AS89" s="179"/>
      <c r="AW89" s="179"/>
      <c r="BA89" s="180"/>
    </row>
    <row r="90" spans="1:53" s="171" customFormat="1" x14ac:dyDescent="0.15">
      <c r="A90" s="171">
        <v>1999</v>
      </c>
      <c r="B90" s="283"/>
      <c r="C90" s="410" t="s">
        <v>211</v>
      </c>
      <c r="D90" s="410"/>
      <c r="E90" s="171">
        <v>193</v>
      </c>
      <c r="G90" s="233"/>
      <c r="H90" s="171">
        <v>7</v>
      </c>
      <c r="I90" s="171">
        <v>8</v>
      </c>
      <c r="J90" s="241">
        <v>15</v>
      </c>
      <c r="K90" s="214">
        <f t="shared" si="28"/>
        <v>0</v>
      </c>
      <c r="L90" s="214">
        <f t="shared" si="29"/>
        <v>46.666666666666664</v>
      </c>
      <c r="M90" s="214">
        <f t="shared" si="30"/>
        <v>53.333333333333336</v>
      </c>
      <c r="N90" s="235">
        <f t="shared" si="26"/>
        <v>100</v>
      </c>
      <c r="O90" s="213"/>
      <c r="P90" s="214">
        <v>27.3</v>
      </c>
      <c r="Q90" s="214">
        <v>27.3</v>
      </c>
      <c r="R90" s="215">
        <f t="shared" si="27"/>
        <v>54.6</v>
      </c>
      <c r="S90" s="171">
        <v>2</v>
      </c>
      <c r="T90" s="285"/>
      <c r="U90" s="283"/>
      <c r="V90" s="178" t="s">
        <v>80</v>
      </c>
      <c r="W90" s="171" t="s">
        <v>81</v>
      </c>
      <c r="X90" s="171" t="s">
        <v>18</v>
      </c>
      <c r="Y90" s="179">
        <v>19.3</v>
      </c>
      <c r="Z90" s="171" t="s">
        <v>84</v>
      </c>
      <c r="AA90" s="171" t="s">
        <v>85</v>
      </c>
      <c r="AB90" s="171" t="s">
        <v>18</v>
      </c>
      <c r="AC90" s="171">
        <v>8</v>
      </c>
      <c r="AD90" s="178" t="s">
        <v>95</v>
      </c>
      <c r="AE90" s="171" t="s">
        <v>96</v>
      </c>
      <c r="AF90" s="171" t="s">
        <v>12</v>
      </c>
      <c r="AG90" s="179">
        <v>14</v>
      </c>
      <c r="AH90" s="171" t="s">
        <v>94</v>
      </c>
      <c r="AI90" s="171" t="s">
        <v>97</v>
      </c>
      <c r="AJ90" s="171" t="s">
        <v>12</v>
      </c>
      <c r="AK90" s="171">
        <v>13.3</v>
      </c>
      <c r="AL90" s="178"/>
      <c r="AO90" s="179"/>
      <c r="AP90" s="178"/>
      <c r="AS90" s="179"/>
      <c r="AW90" s="179"/>
      <c r="BA90" s="180"/>
    </row>
    <row r="91" spans="1:53" s="29" customFormat="1" x14ac:dyDescent="0.15">
      <c r="A91" s="29">
        <v>1999</v>
      </c>
      <c r="B91" s="295">
        <v>36354</v>
      </c>
      <c r="C91" s="411" t="s">
        <v>212</v>
      </c>
      <c r="D91" s="411"/>
      <c r="E91" s="29">
        <f>365-E90</f>
        <v>172</v>
      </c>
      <c r="F91" s="29">
        <v>1</v>
      </c>
      <c r="G91" s="66">
        <v>7</v>
      </c>
      <c r="I91" s="29">
        <v>8</v>
      </c>
      <c r="J91" s="73">
        <v>15</v>
      </c>
      <c r="K91" s="47">
        <f t="shared" si="28"/>
        <v>46.666666666666664</v>
      </c>
      <c r="L91" s="47">
        <f t="shared" si="29"/>
        <v>0</v>
      </c>
      <c r="M91" s="47">
        <f t="shared" si="30"/>
        <v>53.333333333333336</v>
      </c>
      <c r="N91" s="68">
        <f t="shared" si="26"/>
        <v>100</v>
      </c>
      <c r="O91" s="46">
        <v>27.3</v>
      </c>
      <c r="P91" s="47"/>
      <c r="Q91" s="47">
        <v>35.299999999999997</v>
      </c>
      <c r="R91" s="48">
        <f t="shared" si="27"/>
        <v>62.599999999999994</v>
      </c>
      <c r="S91" s="29">
        <v>3</v>
      </c>
      <c r="T91" s="286">
        <v>36324</v>
      </c>
      <c r="U91" s="295">
        <v>36354</v>
      </c>
      <c r="V91" s="38" t="s">
        <v>213</v>
      </c>
      <c r="W91" s="29" t="s">
        <v>87</v>
      </c>
      <c r="X91" s="29" t="s">
        <v>11</v>
      </c>
      <c r="Y91" s="39">
        <v>15.3</v>
      </c>
      <c r="Z91" s="29" t="s">
        <v>95</v>
      </c>
      <c r="AA91" s="29" t="s">
        <v>96</v>
      </c>
      <c r="AB91" s="29" t="s">
        <v>12</v>
      </c>
      <c r="AC91" s="29">
        <v>12.7</v>
      </c>
      <c r="AD91" s="38" t="s">
        <v>98</v>
      </c>
      <c r="AE91" s="29" t="s">
        <v>99</v>
      </c>
      <c r="AF91" s="29" t="s">
        <v>11</v>
      </c>
      <c r="AG91" s="39">
        <v>12</v>
      </c>
      <c r="AH91" s="29" t="s">
        <v>94</v>
      </c>
      <c r="AI91" s="29" t="s">
        <v>97</v>
      </c>
      <c r="AJ91" s="29" t="s">
        <v>12</v>
      </c>
      <c r="AK91" s="29">
        <v>9.3000000000000007</v>
      </c>
      <c r="AL91" s="38" t="s">
        <v>214</v>
      </c>
      <c r="AM91" s="29" t="s">
        <v>216</v>
      </c>
      <c r="AN91" s="29" t="s">
        <v>12</v>
      </c>
      <c r="AO91" s="39">
        <v>7.3</v>
      </c>
      <c r="AP91" s="38" t="s">
        <v>215</v>
      </c>
      <c r="AQ91" s="29" t="s">
        <v>217</v>
      </c>
      <c r="AR91" s="29" t="s">
        <v>12</v>
      </c>
      <c r="AS91" s="39">
        <v>6</v>
      </c>
      <c r="AW91" s="39"/>
      <c r="BA91" s="40"/>
    </row>
    <row r="92" spans="1:53" s="29" customFormat="1" x14ac:dyDescent="0.15">
      <c r="A92" s="29">
        <v>2000</v>
      </c>
      <c r="B92" s="295"/>
      <c r="C92" s="411" t="s">
        <v>212</v>
      </c>
      <c r="D92" s="411"/>
      <c r="E92" s="29">
        <v>0</v>
      </c>
      <c r="G92" s="66">
        <v>7</v>
      </c>
      <c r="I92" s="29">
        <v>8</v>
      </c>
      <c r="J92" s="73">
        <v>15</v>
      </c>
      <c r="K92" s="47">
        <f t="shared" si="28"/>
        <v>46.666666666666664</v>
      </c>
      <c r="L92" s="47">
        <f t="shared" si="29"/>
        <v>0</v>
      </c>
      <c r="M92" s="47">
        <f t="shared" si="30"/>
        <v>53.333333333333336</v>
      </c>
      <c r="N92" s="68">
        <f t="shared" si="26"/>
        <v>100</v>
      </c>
      <c r="O92" s="46">
        <v>27.3</v>
      </c>
      <c r="P92" s="47"/>
      <c r="Q92" s="47">
        <v>35.299999999999997</v>
      </c>
      <c r="R92" s="48">
        <f t="shared" si="27"/>
        <v>62.599999999999994</v>
      </c>
      <c r="S92" s="29">
        <v>3</v>
      </c>
      <c r="T92" s="286"/>
      <c r="U92" s="295"/>
      <c r="V92" s="38" t="s">
        <v>213</v>
      </c>
      <c r="W92" s="29" t="s">
        <v>87</v>
      </c>
      <c r="X92" s="29" t="s">
        <v>11</v>
      </c>
      <c r="Y92" s="39">
        <v>15.3</v>
      </c>
      <c r="Z92" s="29" t="s">
        <v>95</v>
      </c>
      <c r="AA92" s="29" t="s">
        <v>96</v>
      </c>
      <c r="AB92" s="29" t="s">
        <v>12</v>
      </c>
      <c r="AC92" s="29">
        <v>12.7</v>
      </c>
      <c r="AD92" s="38" t="s">
        <v>98</v>
      </c>
      <c r="AE92" s="29" t="s">
        <v>99</v>
      </c>
      <c r="AF92" s="29" t="s">
        <v>11</v>
      </c>
      <c r="AG92" s="39">
        <v>12</v>
      </c>
      <c r="AH92" s="29" t="s">
        <v>94</v>
      </c>
      <c r="AI92" s="29" t="s">
        <v>97</v>
      </c>
      <c r="AJ92" s="29" t="s">
        <v>12</v>
      </c>
      <c r="AK92" s="29">
        <v>9.3000000000000007</v>
      </c>
      <c r="AL92" s="38" t="s">
        <v>214</v>
      </c>
      <c r="AM92" s="29" t="s">
        <v>216</v>
      </c>
      <c r="AN92" s="29" t="s">
        <v>12</v>
      </c>
      <c r="AO92" s="39">
        <v>7.3</v>
      </c>
      <c r="AP92" s="38" t="s">
        <v>215</v>
      </c>
      <c r="AQ92" s="29" t="s">
        <v>217</v>
      </c>
      <c r="AR92" s="29" t="s">
        <v>12</v>
      </c>
      <c r="AS92" s="39">
        <v>6</v>
      </c>
      <c r="AW92" s="39"/>
      <c r="BA92" s="40"/>
    </row>
    <row r="93" spans="1:53" s="29" customFormat="1" x14ac:dyDescent="0.15">
      <c r="A93" s="29">
        <v>2000</v>
      </c>
      <c r="B93" s="295"/>
      <c r="C93" s="411" t="s">
        <v>212</v>
      </c>
      <c r="D93" s="411"/>
      <c r="E93" s="29">
        <v>366</v>
      </c>
      <c r="G93" s="66">
        <v>7</v>
      </c>
      <c r="I93" s="29">
        <v>8</v>
      </c>
      <c r="J93" s="73">
        <v>15</v>
      </c>
      <c r="K93" s="47">
        <f t="shared" si="28"/>
        <v>46.666666666666664</v>
      </c>
      <c r="L93" s="47">
        <f t="shared" si="29"/>
        <v>0</v>
      </c>
      <c r="M93" s="47">
        <f t="shared" si="30"/>
        <v>53.333333333333336</v>
      </c>
      <c r="N93" s="68">
        <f t="shared" si="26"/>
        <v>100</v>
      </c>
      <c r="O93" s="46">
        <v>27.3</v>
      </c>
      <c r="P93" s="47"/>
      <c r="Q93" s="47">
        <v>35.299999999999997</v>
      </c>
      <c r="R93" s="48">
        <f t="shared" si="27"/>
        <v>62.599999999999994</v>
      </c>
      <c r="S93" s="29">
        <v>3</v>
      </c>
      <c r="T93" s="286"/>
      <c r="U93" s="295"/>
      <c r="V93" s="38" t="s">
        <v>213</v>
      </c>
      <c r="W93" s="29" t="s">
        <v>87</v>
      </c>
      <c r="X93" s="29" t="s">
        <v>11</v>
      </c>
      <c r="Y93" s="39">
        <v>15.3</v>
      </c>
      <c r="Z93" s="29" t="s">
        <v>95</v>
      </c>
      <c r="AA93" s="29" t="s">
        <v>96</v>
      </c>
      <c r="AB93" s="29" t="s">
        <v>12</v>
      </c>
      <c r="AC93" s="29">
        <v>12.7</v>
      </c>
      <c r="AD93" s="38" t="s">
        <v>98</v>
      </c>
      <c r="AE93" s="29" t="s">
        <v>99</v>
      </c>
      <c r="AF93" s="29" t="s">
        <v>11</v>
      </c>
      <c r="AG93" s="39">
        <v>12</v>
      </c>
      <c r="AH93" s="29" t="s">
        <v>94</v>
      </c>
      <c r="AI93" s="29" t="s">
        <v>97</v>
      </c>
      <c r="AJ93" s="29" t="s">
        <v>12</v>
      </c>
      <c r="AK93" s="29">
        <v>9.3000000000000007</v>
      </c>
      <c r="AL93" s="38" t="s">
        <v>214</v>
      </c>
      <c r="AM93" s="29" t="s">
        <v>216</v>
      </c>
      <c r="AN93" s="29" t="s">
        <v>12</v>
      </c>
      <c r="AO93" s="39">
        <v>7.3</v>
      </c>
      <c r="AP93" s="38" t="s">
        <v>215</v>
      </c>
      <c r="AQ93" s="29" t="s">
        <v>217</v>
      </c>
      <c r="AR93" s="29" t="s">
        <v>12</v>
      </c>
      <c r="AS93" s="39">
        <v>6</v>
      </c>
      <c r="AW93" s="39"/>
      <c r="BA93" s="40"/>
    </row>
    <row r="94" spans="1:53" s="29" customFormat="1" x14ac:dyDescent="0.15">
      <c r="A94" s="29">
        <v>2001</v>
      </c>
      <c r="B94" s="295"/>
      <c r="C94" s="411" t="s">
        <v>212</v>
      </c>
      <c r="D94" s="411"/>
      <c r="E94" s="29">
        <v>0</v>
      </c>
      <c r="G94" s="66">
        <v>7</v>
      </c>
      <c r="I94" s="29">
        <v>8</v>
      </c>
      <c r="J94" s="73">
        <v>15</v>
      </c>
      <c r="K94" s="47">
        <f t="shared" si="28"/>
        <v>46.666666666666664</v>
      </c>
      <c r="L94" s="47">
        <f t="shared" si="29"/>
        <v>0</v>
      </c>
      <c r="M94" s="47">
        <f t="shared" si="30"/>
        <v>53.333333333333336</v>
      </c>
      <c r="N94" s="68">
        <f t="shared" si="26"/>
        <v>100</v>
      </c>
      <c r="O94" s="46">
        <v>27.3</v>
      </c>
      <c r="P94" s="47"/>
      <c r="Q94" s="47">
        <v>35.299999999999997</v>
      </c>
      <c r="R94" s="48">
        <f t="shared" si="27"/>
        <v>62.599999999999994</v>
      </c>
      <c r="S94" s="29">
        <v>3</v>
      </c>
      <c r="T94" s="286"/>
      <c r="U94" s="295"/>
      <c r="V94" s="38" t="s">
        <v>213</v>
      </c>
      <c r="W94" s="29" t="s">
        <v>87</v>
      </c>
      <c r="X94" s="29" t="s">
        <v>11</v>
      </c>
      <c r="Y94" s="39">
        <v>15.3</v>
      </c>
      <c r="Z94" s="29" t="s">
        <v>95</v>
      </c>
      <c r="AA94" s="29" t="s">
        <v>96</v>
      </c>
      <c r="AB94" s="29" t="s">
        <v>12</v>
      </c>
      <c r="AC94" s="29">
        <v>12.7</v>
      </c>
      <c r="AD94" s="38" t="s">
        <v>98</v>
      </c>
      <c r="AE94" s="29" t="s">
        <v>99</v>
      </c>
      <c r="AF94" s="29" t="s">
        <v>11</v>
      </c>
      <c r="AG94" s="39">
        <v>12</v>
      </c>
      <c r="AH94" s="29" t="s">
        <v>94</v>
      </c>
      <c r="AI94" s="29" t="s">
        <v>97</v>
      </c>
      <c r="AJ94" s="29" t="s">
        <v>12</v>
      </c>
      <c r="AK94" s="29">
        <v>9.3000000000000007</v>
      </c>
      <c r="AL94" s="38" t="s">
        <v>214</v>
      </c>
      <c r="AM94" s="29" t="s">
        <v>216</v>
      </c>
      <c r="AN94" s="29" t="s">
        <v>12</v>
      </c>
      <c r="AO94" s="39">
        <v>7.3</v>
      </c>
      <c r="AP94" s="38" t="s">
        <v>215</v>
      </c>
      <c r="AQ94" s="29" t="s">
        <v>217</v>
      </c>
      <c r="AR94" s="29" t="s">
        <v>12</v>
      </c>
      <c r="AS94" s="39">
        <v>6</v>
      </c>
      <c r="AW94" s="39"/>
      <c r="BA94" s="40"/>
    </row>
    <row r="95" spans="1:53" s="29" customFormat="1" x14ac:dyDescent="0.15">
      <c r="A95" s="29">
        <v>2001</v>
      </c>
      <c r="B95" s="295"/>
      <c r="C95" s="411" t="s">
        <v>212</v>
      </c>
      <c r="D95" s="411"/>
      <c r="E95" s="29">
        <f>365-E94</f>
        <v>365</v>
      </c>
      <c r="G95" s="66">
        <v>7</v>
      </c>
      <c r="I95" s="29">
        <v>8</v>
      </c>
      <c r="J95" s="73">
        <v>15</v>
      </c>
      <c r="K95" s="47">
        <f t="shared" si="28"/>
        <v>46.666666666666664</v>
      </c>
      <c r="L95" s="47">
        <f t="shared" si="29"/>
        <v>0</v>
      </c>
      <c r="M95" s="47">
        <f t="shared" si="30"/>
        <v>53.333333333333336</v>
      </c>
      <c r="N95" s="68">
        <f t="shared" si="26"/>
        <v>100</v>
      </c>
      <c r="O95" s="46">
        <v>27.3</v>
      </c>
      <c r="P95" s="47"/>
      <c r="Q95" s="47">
        <v>35.299999999999997</v>
      </c>
      <c r="R95" s="48">
        <f t="shared" si="27"/>
        <v>62.599999999999994</v>
      </c>
      <c r="S95" s="29">
        <v>3</v>
      </c>
      <c r="T95" s="286"/>
      <c r="U95" s="295"/>
      <c r="V95" s="38" t="s">
        <v>213</v>
      </c>
      <c r="W95" s="29" t="s">
        <v>87</v>
      </c>
      <c r="X95" s="29" t="s">
        <v>11</v>
      </c>
      <c r="Y95" s="39">
        <v>15.3</v>
      </c>
      <c r="Z95" s="29" t="s">
        <v>95</v>
      </c>
      <c r="AA95" s="29" t="s">
        <v>96</v>
      </c>
      <c r="AB95" s="29" t="s">
        <v>12</v>
      </c>
      <c r="AC95" s="29">
        <v>12.7</v>
      </c>
      <c r="AD95" s="38" t="s">
        <v>98</v>
      </c>
      <c r="AE95" s="29" t="s">
        <v>99</v>
      </c>
      <c r="AF95" s="29" t="s">
        <v>11</v>
      </c>
      <c r="AG95" s="39">
        <v>12</v>
      </c>
      <c r="AH95" s="29" t="s">
        <v>94</v>
      </c>
      <c r="AI95" s="29" t="s">
        <v>97</v>
      </c>
      <c r="AJ95" s="29" t="s">
        <v>12</v>
      </c>
      <c r="AK95" s="29">
        <v>9.3000000000000007</v>
      </c>
      <c r="AL95" s="38" t="s">
        <v>214</v>
      </c>
      <c r="AM95" s="29" t="s">
        <v>216</v>
      </c>
      <c r="AN95" s="29" t="s">
        <v>12</v>
      </c>
      <c r="AO95" s="39">
        <v>7.3</v>
      </c>
      <c r="AP95" s="38" t="s">
        <v>215</v>
      </c>
      <c r="AQ95" s="29" t="s">
        <v>217</v>
      </c>
      <c r="AR95" s="29" t="s">
        <v>12</v>
      </c>
      <c r="AS95" s="39">
        <v>6</v>
      </c>
      <c r="AW95" s="39"/>
      <c r="BA95" s="40"/>
    </row>
    <row r="96" spans="1:53" s="29" customFormat="1" x14ac:dyDescent="0.15">
      <c r="A96" s="29">
        <v>2002</v>
      </c>
      <c r="B96" s="295"/>
      <c r="C96" s="411" t="s">
        <v>212</v>
      </c>
      <c r="D96" s="411"/>
      <c r="E96" s="29">
        <v>0</v>
      </c>
      <c r="G96" s="66">
        <v>7</v>
      </c>
      <c r="I96" s="29">
        <v>8</v>
      </c>
      <c r="J96" s="73">
        <v>15</v>
      </c>
      <c r="K96" s="47">
        <f t="shared" si="28"/>
        <v>46.666666666666664</v>
      </c>
      <c r="L96" s="47">
        <f t="shared" si="29"/>
        <v>0</v>
      </c>
      <c r="M96" s="47">
        <f t="shared" si="30"/>
        <v>53.333333333333336</v>
      </c>
      <c r="N96" s="68">
        <f t="shared" si="26"/>
        <v>100</v>
      </c>
      <c r="O96" s="46">
        <v>27.3</v>
      </c>
      <c r="P96" s="47"/>
      <c r="Q96" s="47">
        <v>35.299999999999997</v>
      </c>
      <c r="R96" s="48">
        <f t="shared" si="27"/>
        <v>62.599999999999994</v>
      </c>
      <c r="S96" s="29">
        <v>3</v>
      </c>
      <c r="T96" s="286"/>
      <c r="U96" s="295"/>
      <c r="V96" s="38" t="s">
        <v>213</v>
      </c>
      <c r="W96" s="29" t="s">
        <v>87</v>
      </c>
      <c r="X96" s="29" t="s">
        <v>11</v>
      </c>
      <c r="Y96" s="39">
        <v>15.3</v>
      </c>
      <c r="Z96" s="29" t="s">
        <v>95</v>
      </c>
      <c r="AA96" s="29" t="s">
        <v>96</v>
      </c>
      <c r="AB96" s="29" t="s">
        <v>12</v>
      </c>
      <c r="AC96" s="29">
        <v>12.7</v>
      </c>
      <c r="AD96" s="38" t="s">
        <v>98</v>
      </c>
      <c r="AE96" s="29" t="s">
        <v>99</v>
      </c>
      <c r="AF96" s="29" t="s">
        <v>11</v>
      </c>
      <c r="AG96" s="39">
        <v>12</v>
      </c>
      <c r="AH96" s="29" t="s">
        <v>94</v>
      </c>
      <c r="AI96" s="29" t="s">
        <v>97</v>
      </c>
      <c r="AJ96" s="29" t="s">
        <v>12</v>
      </c>
      <c r="AK96" s="29">
        <v>9.3000000000000007</v>
      </c>
      <c r="AL96" s="38" t="s">
        <v>214</v>
      </c>
      <c r="AM96" s="29" t="s">
        <v>216</v>
      </c>
      <c r="AN96" s="29" t="s">
        <v>12</v>
      </c>
      <c r="AO96" s="39">
        <v>7.3</v>
      </c>
      <c r="AP96" s="38" t="s">
        <v>215</v>
      </c>
      <c r="AQ96" s="29" t="s">
        <v>217</v>
      </c>
      <c r="AR96" s="29" t="s">
        <v>12</v>
      </c>
      <c r="AS96" s="39">
        <v>6</v>
      </c>
      <c r="AW96" s="39"/>
      <c r="BA96" s="40"/>
    </row>
    <row r="97" spans="1:53" s="29" customFormat="1" x14ac:dyDescent="0.15">
      <c r="A97" s="29">
        <v>2002</v>
      </c>
      <c r="B97" s="295"/>
      <c r="C97" s="411" t="s">
        <v>212</v>
      </c>
      <c r="D97" s="411"/>
      <c r="E97" s="29">
        <f>365-E96</f>
        <v>365</v>
      </c>
      <c r="G97" s="66">
        <v>7</v>
      </c>
      <c r="I97" s="29">
        <v>8</v>
      </c>
      <c r="J97" s="73">
        <v>15</v>
      </c>
      <c r="K97" s="47">
        <f t="shared" si="28"/>
        <v>46.666666666666664</v>
      </c>
      <c r="L97" s="47">
        <f t="shared" si="29"/>
        <v>0</v>
      </c>
      <c r="M97" s="47">
        <f t="shared" si="30"/>
        <v>53.333333333333336</v>
      </c>
      <c r="N97" s="68">
        <f t="shared" si="26"/>
        <v>100</v>
      </c>
      <c r="O97" s="46">
        <v>27.3</v>
      </c>
      <c r="P97" s="47"/>
      <c r="Q97" s="47">
        <v>35.299999999999997</v>
      </c>
      <c r="R97" s="48">
        <f t="shared" si="27"/>
        <v>62.599999999999994</v>
      </c>
      <c r="S97" s="29">
        <v>3</v>
      </c>
      <c r="T97" s="286"/>
      <c r="U97" s="295"/>
      <c r="V97" s="38" t="s">
        <v>213</v>
      </c>
      <c r="W97" s="29" t="s">
        <v>87</v>
      </c>
      <c r="X97" s="29" t="s">
        <v>11</v>
      </c>
      <c r="Y97" s="39">
        <v>15.3</v>
      </c>
      <c r="Z97" s="29" t="s">
        <v>95</v>
      </c>
      <c r="AA97" s="29" t="s">
        <v>96</v>
      </c>
      <c r="AB97" s="29" t="s">
        <v>12</v>
      </c>
      <c r="AC97" s="29">
        <v>12.7</v>
      </c>
      <c r="AD97" s="38" t="s">
        <v>98</v>
      </c>
      <c r="AE97" s="29" t="s">
        <v>99</v>
      </c>
      <c r="AF97" s="29" t="s">
        <v>11</v>
      </c>
      <c r="AG97" s="39">
        <v>12</v>
      </c>
      <c r="AH97" s="29" t="s">
        <v>94</v>
      </c>
      <c r="AI97" s="29" t="s">
        <v>97</v>
      </c>
      <c r="AJ97" s="29" t="s">
        <v>12</v>
      </c>
      <c r="AK97" s="29">
        <v>9.3000000000000007</v>
      </c>
      <c r="AL97" s="38" t="s">
        <v>214</v>
      </c>
      <c r="AM97" s="29" t="s">
        <v>216</v>
      </c>
      <c r="AN97" s="29" t="s">
        <v>12</v>
      </c>
      <c r="AO97" s="39">
        <v>7.3</v>
      </c>
      <c r="AP97" s="38" t="s">
        <v>215</v>
      </c>
      <c r="AQ97" s="29" t="s">
        <v>217</v>
      </c>
      <c r="AR97" s="29" t="s">
        <v>12</v>
      </c>
      <c r="AS97" s="39">
        <v>6</v>
      </c>
      <c r="AW97" s="39"/>
      <c r="BA97" s="40"/>
    </row>
    <row r="98" spans="1:53" s="29" customFormat="1" x14ac:dyDescent="0.15">
      <c r="A98" s="29">
        <v>2003</v>
      </c>
      <c r="B98" s="295"/>
      <c r="C98" s="411" t="s">
        <v>212</v>
      </c>
      <c r="D98" s="411"/>
      <c r="E98" s="29">
        <v>192</v>
      </c>
      <c r="G98" s="66">
        <v>7</v>
      </c>
      <c r="I98" s="29">
        <v>8</v>
      </c>
      <c r="J98" s="73">
        <v>15</v>
      </c>
      <c r="K98" s="47">
        <f t="shared" si="28"/>
        <v>46.666666666666664</v>
      </c>
      <c r="L98" s="47">
        <f t="shared" si="29"/>
        <v>0</v>
      </c>
      <c r="M98" s="47">
        <f t="shared" si="30"/>
        <v>53.333333333333336</v>
      </c>
      <c r="N98" s="68">
        <f t="shared" si="26"/>
        <v>100</v>
      </c>
      <c r="O98" s="46">
        <v>27.3</v>
      </c>
      <c r="P98" s="47"/>
      <c r="Q98" s="47">
        <v>35.299999999999997</v>
      </c>
      <c r="R98" s="48">
        <f t="shared" si="27"/>
        <v>62.599999999999994</v>
      </c>
      <c r="S98" s="29">
        <v>3</v>
      </c>
      <c r="T98" s="286"/>
      <c r="U98" s="295"/>
      <c r="V98" s="38" t="s">
        <v>213</v>
      </c>
      <c r="W98" s="29" t="s">
        <v>87</v>
      </c>
      <c r="X98" s="29" t="s">
        <v>11</v>
      </c>
      <c r="Y98" s="39">
        <v>15.3</v>
      </c>
      <c r="Z98" s="29" t="s">
        <v>95</v>
      </c>
      <c r="AA98" s="29" t="s">
        <v>96</v>
      </c>
      <c r="AB98" s="29" t="s">
        <v>12</v>
      </c>
      <c r="AC98" s="29">
        <v>12.7</v>
      </c>
      <c r="AD98" s="38" t="s">
        <v>98</v>
      </c>
      <c r="AE98" s="29" t="s">
        <v>99</v>
      </c>
      <c r="AF98" s="29" t="s">
        <v>11</v>
      </c>
      <c r="AG98" s="39">
        <v>12</v>
      </c>
      <c r="AH98" s="29" t="s">
        <v>94</v>
      </c>
      <c r="AI98" s="29" t="s">
        <v>97</v>
      </c>
      <c r="AJ98" s="29" t="s">
        <v>12</v>
      </c>
      <c r="AK98" s="29">
        <v>9.3000000000000007</v>
      </c>
      <c r="AL98" s="38" t="s">
        <v>214</v>
      </c>
      <c r="AM98" s="29" t="s">
        <v>216</v>
      </c>
      <c r="AN98" s="29" t="s">
        <v>12</v>
      </c>
      <c r="AO98" s="39">
        <v>7.3</v>
      </c>
      <c r="AP98" s="38" t="s">
        <v>215</v>
      </c>
      <c r="AQ98" s="29" t="s">
        <v>217</v>
      </c>
      <c r="AR98" s="29" t="s">
        <v>12</v>
      </c>
      <c r="AS98" s="39">
        <v>6</v>
      </c>
      <c r="AW98" s="39"/>
      <c r="BA98" s="40"/>
    </row>
    <row r="99" spans="1:53" s="171" customFormat="1" x14ac:dyDescent="0.15">
      <c r="A99" s="171">
        <v>2003</v>
      </c>
      <c r="B99" s="283">
        <v>37814</v>
      </c>
      <c r="C99" s="410" t="s">
        <v>218</v>
      </c>
      <c r="D99" s="410"/>
      <c r="E99" s="171">
        <v>173</v>
      </c>
      <c r="F99" s="171">
        <v>1</v>
      </c>
      <c r="G99" s="233">
        <v>7</v>
      </c>
      <c r="I99" s="171">
        <v>8</v>
      </c>
      <c r="J99" s="241">
        <v>15</v>
      </c>
      <c r="K99" s="214">
        <f t="shared" si="28"/>
        <v>46.666666666666664</v>
      </c>
      <c r="L99" s="214">
        <f t="shared" si="29"/>
        <v>0</v>
      </c>
      <c r="M99" s="214">
        <f t="shared" si="30"/>
        <v>53.333333333333336</v>
      </c>
      <c r="N99" s="235">
        <f t="shared" si="26"/>
        <v>100</v>
      </c>
      <c r="O99" s="213">
        <v>32.700000000000003</v>
      </c>
      <c r="P99" s="214"/>
      <c r="Q99" s="214">
        <v>32</v>
      </c>
      <c r="R99" s="215">
        <f t="shared" si="27"/>
        <v>64.7</v>
      </c>
      <c r="S99" s="171">
        <v>2</v>
      </c>
      <c r="T99" s="285">
        <v>37759</v>
      </c>
      <c r="U99" s="283">
        <v>37814</v>
      </c>
      <c r="V99" s="178" t="s">
        <v>213</v>
      </c>
      <c r="W99" s="171" t="s">
        <v>87</v>
      </c>
      <c r="X99" s="171" t="s">
        <v>11</v>
      </c>
      <c r="Y99" s="179">
        <v>16.7</v>
      </c>
      <c r="Z99" s="171" t="s">
        <v>95</v>
      </c>
      <c r="AA99" s="171" t="s">
        <v>96</v>
      </c>
      <c r="AB99" s="171" t="s">
        <v>12</v>
      </c>
      <c r="AC99" s="171">
        <v>16.7</v>
      </c>
      <c r="AD99" s="178" t="s">
        <v>219</v>
      </c>
      <c r="AE99" s="171" t="s">
        <v>99</v>
      </c>
      <c r="AF99" s="171" t="s">
        <v>11</v>
      </c>
      <c r="AG99" s="179">
        <v>16</v>
      </c>
      <c r="AH99" s="171" t="s">
        <v>94</v>
      </c>
      <c r="AI99" s="171" t="s">
        <v>97</v>
      </c>
      <c r="AJ99" s="171" t="s">
        <v>12</v>
      </c>
      <c r="AK99" s="171">
        <v>15.3</v>
      </c>
      <c r="AL99" s="178"/>
      <c r="AO99" s="179"/>
      <c r="AP99" s="178"/>
      <c r="AS99" s="179"/>
      <c r="AW99" s="179"/>
      <c r="BA99" s="180"/>
    </row>
    <row r="100" spans="1:53" s="171" customFormat="1" x14ac:dyDescent="0.15">
      <c r="A100" s="171">
        <v>2004</v>
      </c>
      <c r="B100" s="283"/>
      <c r="C100" s="410" t="s">
        <v>218</v>
      </c>
      <c r="D100" s="410"/>
      <c r="E100" s="171">
        <v>0</v>
      </c>
      <c r="G100" s="233">
        <v>7</v>
      </c>
      <c r="I100" s="171">
        <v>8</v>
      </c>
      <c r="J100" s="241">
        <v>15</v>
      </c>
      <c r="K100" s="214">
        <f t="shared" si="28"/>
        <v>46.666666666666664</v>
      </c>
      <c r="L100" s="214">
        <f t="shared" si="29"/>
        <v>0</v>
      </c>
      <c r="M100" s="214">
        <f t="shared" si="30"/>
        <v>53.333333333333336</v>
      </c>
      <c r="N100" s="235">
        <f t="shared" si="26"/>
        <v>100</v>
      </c>
      <c r="O100" s="213">
        <v>32.700000000000003</v>
      </c>
      <c r="P100" s="214"/>
      <c r="Q100" s="214">
        <v>32</v>
      </c>
      <c r="R100" s="215">
        <f t="shared" si="27"/>
        <v>64.7</v>
      </c>
      <c r="S100" s="171">
        <v>2</v>
      </c>
      <c r="T100" s="285"/>
      <c r="U100" s="283"/>
      <c r="V100" s="178" t="s">
        <v>213</v>
      </c>
      <c r="W100" s="171" t="s">
        <v>87</v>
      </c>
      <c r="X100" s="171" t="s">
        <v>11</v>
      </c>
      <c r="Y100" s="179">
        <v>16.7</v>
      </c>
      <c r="Z100" s="171" t="s">
        <v>95</v>
      </c>
      <c r="AA100" s="171" t="s">
        <v>96</v>
      </c>
      <c r="AB100" s="171" t="s">
        <v>12</v>
      </c>
      <c r="AC100" s="171">
        <v>16.7</v>
      </c>
      <c r="AD100" s="178" t="s">
        <v>219</v>
      </c>
      <c r="AE100" s="171" t="s">
        <v>99</v>
      </c>
      <c r="AF100" s="171" t="s">
        <v>11</v>
      </c>
      <c r="AG100" s="179">
        <v>16</v>
      </c>
      <c r="AH100" s="171" t="s">
        <v>94</v>
      </c>
      <c r="AI100" s="171" t="s">
        <v>97</v>
      </c>
      <c r="AJ100" s="171" t="s">
        <v>12</v>
      </c>
      <c r="AK100" s="171">
        <v>15.3</v>
      </c>
      <c r="AL100" s="178"/>
      <c r="AO100" s="179"/>
      <c r="AP100" s="178"/>
      <c r="AS100" s="179"/>
      <c r="AW100" s="179"/>
      <c r="BA100" s="180"/>
    </row>
    <row r="101" spans="1:53" s="171" customFormat="1" x14ac:dyDescent="0.15">
      <c r="A101" s="171">
        <v>2004</v>
      </c>
      <c r="B101" s="283"/>
      <c r="C101" s="410" t="s">
        <v>218</v>
      </c>
      <c r="D101" s="410"/>
      <c r="E101" s="171">
        <v>366</v>
      </c>
      <c r="G101" s="233">
        <v>7</v>
      </c>
      <c r="I101" s="171">
        <v>8</v>
      </c>
      <c r="J101" s="241">
        <v>15</v>
      </c>
      <c r="K101" s="214">
        <f t="shared" si="28"/>
        <v>46.666666666666664</v>
      </c>
      <c r="L101" s="214">
        <f t="shared" si="29"/>
        <v>0</v>
      </c>
      <c r="M101" s="214">
        <f t="shared" si="30"/>
        <v>53.333333333333336</v>
      </c>
      <c r="N101" s="235">
        <f t="shared" si="26"/>
        <v>100</v>
      </c>
      <c r="O101" s="213">
        <v>32.700000000000003</v>
      </c>
      <c r="P101" s="214"/>
      <c r="Q101" s="214">
        <v>32</v>
      </c>
      <c r="R101" s="215">
        <f t="shared" si="27"/>
        <v>64.7</v>
      </c>
      <c r="S101" s="171">
        <v>2</v>
      </c>
      <c r="T101" s="285"/>
      <c r="U101" s="283"/>
      <c r="V101" s="178" t="s">
        <v>213</v>
      </c>
      <c r="W101" s="171" t="s">
        <v>87</v>
      </c>
      <c r="X101" s="171" t="s">
        <v>11</v>
      </c>
      <c r="Y101" s="179">
        <v>16.7</v>
      </c>
      <c r="Z101" s="171" t="s">
        <v>95</v>
      </c>
      <c r="AA101" s="171" t="s">
        <v>96</v>
      </c>
      <c r="AB101" s="171" t="s">
        <v>12</v>
      </c>
      <c r="AC101" s="171">
        <v>16.7</v>
      </c>
      <c r="AD101" s="178" t="s">
        <v>219</v>
      </c>
      <c r="AE101" s="171" t="s">
        <v>99</v>
      </c>
      <c r="AF101" s="171" t="s">
        <v>11</v>
      </c>
      <c r="AG101" s="179">
        <v>16</v>
      </c>
      <c r="AH101" s="171" t="s">
        <v>94</v>
      </c>
      <c r="AI101" s="171" t="s">
        <v>97</v>
      </c>
      <c r="AJ101" s="171" t="s">
        <v>12</v>
      </c>
      <c r="AK101" s="171">
        <v>15.3</v>
      </c>
      <c r="AL101" s="178"/>
      <c r="AO101" s="179"/>
      <c r="AP101" s="178"/>
      <c r="AS101" s="179"/>
      <c r="AW101" s="179"/>
      <c r="BA101" s="180"/>
    </row>
    <row r="102" spans="1:53" s="171" customFormat="1" x14ac:dyDescent="0.15">
      <c r="A102" s="171">
        <v>2005</v>
      </c>
      <c r="B102" s="283"/>
      <c r="C102" s="410" t="s">
        <v>218</v>
      </c>
      <c r="D102" s="410"/>
      <c r="E102" s="171">
        <v>0</v>
      </c>
      <c r="G102" s="233">
        <v>7</v>
      </c>
      <c r="I102" s="171">
        <v>8</v>
      </c>
      <c r="J102" s="241">
        <v>15</v>
      </c>
      <c r="K102" s="214">
        <f t="shared" ref="K102:K108" si="31">G102/J102*100</f>
        <v>46.666666666666664</v>
      </c>
      <c r="L102" s="214">
        <f t="shared" ref="L102:L108" si="32">H102/J102*100</f>
        <v>0</v>
      </c>
      <c r="M102" s="214">
        <f t="shared" ref="M102:M108" si="33">I102/J102*100</f>
        <v>53.333333333333336</v>
      </c>
      <c r="N102" s="235">
        <f t="shared" si="26"/>
        <v>100</v>
      </c>
      <c r="O102" s="213">
        <v>32.700000000000003</v>
      </c>
      <c r="P102" s="214"/>
      <c r="Q102" s="214">
        <v>32</v>
      </c>
      <c r="R102" s="215">
        <f t="shared" si="27"/>
        <v>64.7</v>
      </c>
      <c r="S102" s="171">
        <v>2</v>
      </c>
      <c r="T102" s="285"/>
      <c r="U102" s="283"/>
      <c r="V102" s="178" t="s">
        <v>213</v>
      </c>
      <c r="W102" s="171" t="s">
        <v>87</v>
      </c>
      <c r="X102" s="171" t="s">
        <v>11</v>
      </c>
      <c r="Y102" s="179">
        <v>16.7</v>
      </c>
      <c r="Z102" s="171" t="s">
        <v>95</v>
      </c>
      <c r="AA102" s="171" t="s">
        <v>96</v>
      </c>
      <c r="AB102" s="171" t="s">
        <v>12</v>
      </c>
      <c r="AC102" s="171">
        <v>16.7</v>
      </c>
      <c r="AD102" s="178" t="s">
        <v>219</v>
      </c>
      <c r="AE102" s="171" t="s">
        <v>99</v>
      </c>
      <c r="AF102" s="171" t="s">
        <v>11</v>
      </c>
      <c r="AG102" s="179">
        <v>16</v>
      </c>
      <c r="AH102" s="171" t="s">
        <v>94</v>
      </c>
      <c r="AI102" s="171" t="s">
        <v>97</v>
      </c>
      <c r="AJ102" s="171" t="s">
        <v>12</v>
      </c>
      <c r="AK102" s="171">
        <v>15.3</v>
      </c>
      <c r="AL102" s="178"/>
      <c r="AO102" s="179"/>
      <c r="AP102" s="178"/>
      <c r="AS102" s="179"/>
      <c r="AW102" s="179"/>
      <c r="BA102" s="180"/>
    </row>
    <row r="103" spans="1:53" s="171" customFormat="1" x14ac:dyDescent="0.15">
      <c r="A103" s="171">
        <v>2005</v>
      </c>
      <c r="B103" s="283"/>
      <c r="C103" s="410" t="s">
        <v>218</v>
      </c>
      <c r="D103" s="410"/>
      <c r="E103" s="171">
        <f>365-E102</f>
        <v>365</v>
      </c>
      <c r="G103" s="233">
        <v>7</v>
      </c>
      <c r="I103" s="171">
        <v>8</v>
      </c>
      <c r="J103" s="241">
        <v>15</v>
      </c>
      <c r="K103" s="214">
        <f t="shared" si="31"/>
        <v>46.666666666666664</v>
      </c>
      <c r="L103" s="214">
        <f t="shared" si="32"/>
        <v>0</v>
      </c>
      <c r="M103" s="214">
        <f t="shared" si="33"/>
        <v>53.333333333333336</v>
      </c>
      <c r="N103" s="235">
        <f t="shared" si="26"/>
        <v>100</v>
      </c>
      <c r="O103" s="213">
        <v>32.700000000000003</v>
      </c>
      <c r="P103" s="214"/>
      <c r="Q103" s="214">
        <v>32</v>
      </c>
      <c r="R103" s="215">
        <f t="shared" si="27"/>
        <v>64.7</v>
      </c>
      <c r="S103" s="171">
        <v>2</v>
      </c>
      <c r="T103" s="285"/>
      <c r="U103" s="283"/>
      <c r="V103" s="178" t="s">
        <v>213</v>
      </c>
      <c r="W103" s="171" t="s">
        <v>87</v>
      </c>
      <c r="X103" s="171" t="s">
        <v>11</v>
      </c>
      <c r="Y103" s="179">
        <v>16.7</v>
      </c>
      <c r="Z103" s="171" t="s">
        <v>95</v>
      </c>
      <c r="AA103" s="171" t="s">
        <v>96</v>
      </c>
      <c r="AB103" s="171" t="s">
        <v>12</v>
      </c>
      <c r="AC103" s="171">
        <v>16.7</v>
      </c>
      <c r="AD103" s="178" t="s">
        <v>219</v>
      </c>
      <c r="AE103" s="171" t="s">
        <v>99</v>
      </c>
      <c r="AF103" s="171" t="s">
        <v>11</v>
      </c>
      <c r="AG103" s="179">
        <v>16</v>
      </c>
      <c r="AH103" s="171" t="s">
        <v>94</v>
      </c>
      <c r="AI103" s="171" t="s">
        <v>97</v>
      </c>
      <c r="AJ103" s="171" t="s">
        <v>12</v>
      </c>
      <c r="AK103" s="171">
        <v>15.3</v>
      </c>
      <c r="AL103" s="178"/>
      <c r="AO103" s="179"/>
      <c r="AP103" s="178"/>
      <c r="AS103" s="179"/>
      <c r="AW103" s="179"/>
      <c r="BA103" s="180"/>
    </row>
    <row r="104" spans="1:53" s="171" customFormat="1" x14ac:dyDescent="0.15">
      <c r="A104" s="171">
        <v>2006</v>
      </c>
      <c r="B104" s="283"/>
      <c r="C104" s="410" t="s">
        <v>218</v>
      </c>
      <c r="D104" s="410"/>
      <c r="E104" s="171">
        <v>0</v>
      </c>
      <c r="G104" s="233">
        <v>7</v>
      </c>
      <c r="I104" s="171">
        <v>8</v>
      </c>
      <c r="J104" s="241">
        <v>15</v>
      </c>
      <c r="K104" s="214">
        <f>G104/J104*100</f>
        <v>46.666666666666664</v>
      </c>
      <c r="L104" s="214">
        <f t="shared" si="32"/>
        <v>0</v>
      </c>
      <c r="M104" s="214">
        <f t="shared" si="33"/>
        <v>53.333333333333336</v>
      </c>
      <c r="N104" s="235">
        <f t="shared" si="26"/>
        <v>100</v>
      </c>
      <c r="O104" s="213">
        <v>32.700000000000003</v>
      </c>
      <c r="P104" s="214"/>
      <c r="Q104" s="214">
        <v>32</v>
      </c>
      <c r="R104" s="215">
        <f t="shared" si="27"/>
        <v>64.7</v>
      </c>
      <c r="S104" s="171">
        <v>2</v>
      </c>
      <c r="T104" s="285"/>
      <c r="U104" s="283"/>
      <c r="V104" s="178" t="s">
        <v>213</v>
      </c>
      <c r="W104" s="171" t="s">
        <v>87</v>
      </c>
      <c r="X104" s="171" t="s">
        <v>11</v>
      </c>
      <c r="Y104" s="179">
        <v>16.7</v>
      </c>
      <c r="Z104" s="171" t="s">
        <v>95</v>
      </c>
      <c r="AA104" s="171" t="s">
        <v>96</v>
      </c>
      <c r="AB104" s="171" t="s">
        <v>12</v>
      </c>
      <c r="AC104" s="171">
        <v>16.7</v>
      </c>
      <c r="AD104" s="178" t="s">
        <v>219</v>
      </c>
      <c r="AE104" s="171" t="s">
        <v>99</v>
      </c>
      <c r="AF104" s="171" t="s">
        <v>11</v>
      </c>
      <c r="AG104" s="179">
        <v>16</v>
      </c>
      <c r="AH104" s="171" t="s">
        <v>94</v>
      </c>
      <c r="AI104" s="171" t="s">
        <v>97</v>
      </c>
      <c r="AJ104" s="171" t="s">
        <v>12</v>
      </c>
      <c r="AK104" s="171">
        <v>15.3</v>
      </c>
      <c r="AL104" s="178"/>
      <c r="AO104" s="179"/>
      <c r="AP104" s="178"/>
      <c r="AS104" s="179"/>
      <c r="AW104" s="179"/>
      <c r="BA104" s="180"/>
    </row>
    <row r="105" spans="1:53" s="171" customFormat="1" x14ac:dyDescent="0.15">
      <c r="A105" s="171">
        <v>2006</v>
      </c>
      <c r="B105" s="283"/>
      <c r="C105" s="410" t="s">
        <v>218</v>
      </c>
      <c r="D105" s="410"/>
      <c r="E105" s="171">
        <f>365-E104</f>
        <v>365</v>
      </c>
      <c r="G105" s="233">
        <v>7</v>
      </c>
      <c r="I105" s="171">
        <v>8</v>
      </c>
      <c r="J105" s="241">
        <v>15</v>
      </c>
      <c r="K105" s="214">
        <f t="shared" si="31"/>
        <v>46.666666666666664</v>
      </c>
      <c r="L105" s="214">
        <f t="shared" si="32"/>
        <v>0</v>
      </c>
      <c r="M105" s="214">
        <f t="shared" si="33"/>
        <v>53.333333333333336</v>
      </c>
      <c r="N105" s="235">
        <f t="shared" si="26"/>
        <v>100</v>
      </c>
      <c r="O105" s="213">
        <v>32.700000000000003</v>
      </c>
      <c r="P105" s="214"/>
      <c r="Q105" s="214">
        <v>32</v>
      </c>
      <c r="R105" s="215">
        <f t="shared" si="27"/>
        <v>64.7</v>
      </c>
      <c r="S105" s="171">
        <v>2</v>
      </c>
      <c r="T105" s="285"/>
      <c r="U105" s="283"/>
      <c r="V105" s="178" t="s">
        <v>213</v>
      </c>
      <c r="W105" s="171" t="s">
        <v>87</v>
      </c>
      <c r="X105" s="171" t="s">
        <v>11</v>
      </c>
      <c r="Y105" s="179">
        <v>16.7</v>
      </c>
      <c r="Z105" s="171" t="s">
        <v>95</v>
      </c>
      <c r="AA105" s="171" t="s">
        <v>96</v>
      </c>
      <c r="AB105" s="171" t="s">
        <v>12</v>
      </c>
      <c r="AC105" s="171">
        <v>16.7</v>
      </c>
      <c r="AD105" s="178" t="s">
        <v>219</v>
      </c>
      <c r="AE105" s="171" t="s">
        <v>99</v>
      </c>
      <c r="AF105" s="171" t="s">
        <v>11</v>
      </c>
      <c r="AG105" s="179">
        <v>16</v>
      </c>
      <c r="AH105" s="171" t="s">
        <v>94</v>
      </c>
      <c r="AI105" s="171" t="s">
        <v>97</v>
      </c>
      <c r="AJ105" s="171" t="s">
        <v>12</v>
      </c>
      <c r="AK105" s="171">
        <v>15.3</v>
      </c>
      <c r="AL105" s="178"/>
      <c r="AO105" s="179"/>
      <c r="AP105" s="178"/>
      <c r="AS105" s="179"/>
      <c r="AW105" s="179"/>
      <c r="BA105" s="180"/>
    </row>
    <row r="106" spans="1:53" s="171" customFormat="1" x14ac:dyDescent="0.15">
      <c r="A106" s="171">
        <v>2007</v>
      </c>
      <c r="B106" s="283"/>
      <c r="C106" s="410" t="s">
        <v>218</v>
      </c>
      <c r="D106" s="410"/>
      <c r="E106" s="171">
        <v>354</v>
      </c>
      <c r="G106" s="233">
        <v>7</v>
      </c>
      <c r="I106" s="171">
        <v>8</v>
      </c>
      <c r="J106" s="241">
        <v>15</v>
      </c>
      <c r="K106" s="214">
        <f t="shared" si="31"/>
        <v>46.666666666666664</v>
      </c>
      <c r="L106" s="214">
        <f t="shared" si="32"/>
        <v>0</v>
      </c>
      <c r="M106" s="214">
        <f t="shared" si="33"/>
        <v>53.333333333333336</v>
      </c>
      <c r="N106" s="235">
        <f t="shared" si="26"/>
        <v>100</v>
      </c>
      <c r="O106" s="213">
        <v>32.700000000000003</v>
      </c>
      <c r="P106" s="214"/>
      <c r="Q106" s="214">
        <v>32</v>
      </c>
      <c r="R106" s="215">
        <f t="shared" si="27"/>
        <v>64.7</v>
      </c>
      <c r="S106" s="171">
        <v>2</v>
      </c>
      <c r="T106" s="285"/>
      <c r="U106" s="283"/>
      <c r="V106" s="178" t="s">
        <v>213</v>
      </c>
      <c r="W106" s="171" t="s">
        <v>87</v>
      </c>
      <c r="X106" s="171" t="s">
        <v>11</v>
      </c>
      <c r="Y106" s="179">
        <v>16.7</v>
      </c>
      <c r="Z106" s="171" t="s">
        <v>95</v>
      </c>
      <c r="AA106" s="171" t="s">
        <v>96</v>
      </c>
      <c r="AB106" s="171" t="s">
        <v>12</v>
      </c>
      <c r="AC106" s="171">
        <v>16.7</v>
      </c>
      <c r="AD106" s="178" t="s">
        <v>219</v>
      </c>
      <c r="AE106" s="171" t="s">
        <v>99</v>
      </c>
      <c r="AF106" s="171" t="s">
        <v>11</v>
      </c>
      <c r="AG106" s="179">
        <v>16</v>
      </c>
      <c r="AH106" s="171" t="s">
        <v>94</v>
      </c>
      <c r="AI106" s="171" t="s">
        <v>97</v>
      </c>
      <c r="AJ106" s="171" t="s">
        <v>12</v>
      </c>
      <c r="AK106" s="171">
        <v>15.3</v>
      </c>
      <c r="AL106" s="178"/>
      <c r="AO106" s="179"/>
      <c r="AP106" s="178"/>
      <c r="AS106" s="179"/>
      <c r="AW106" s="179"/>
      <c r="BA106" s="180"/>
    </row>
    <row r="107" spans="1:53" s="29" customFormat="1" x14ac:dyDescent="0.15">
      <c r="A107" s="29">
        <v>2007</v>
      </c>
      <c r="B107" s="295">
        <v>39437</v>
      </c>
      <c r="C107" s="411" t="s">
        <v>220</v>
      </c>
      <c r="D107" s="411"/>
      <c r="E107" s="29">
        <f>365-E106</f>
        <v>11</v>
      </c>
      <c r="F107" s="29">
        <v>1</v>
      </c>
      <c r="G107" s="66">
        <v>6</v>
      </c>
      <c r="H107" s="29">
        <v>5</v>
      </c>
      <c r="I107" s="29">
        <v>3</v>
      </c>
      <c r="J107" s="73">
        <v>14</v>
      </c>
      <c r="K107" s="47">
        <f t="shared" si="31"/>
        <v>42.857142857142854</v>
      </c>
      <c r="L107" s="47">
        <f t="shared" si="32"/>
        <v>35.714285714285715</v>
      </c>
      <c r="M107" s="47">
        <f t="shared" si="33"/>
        <v>21.428571428571427</v>
      </c>
      <c r="N107" s="68">
        <f t="shared" si="26"/>
        <v>100</v>
      </c>
      <c r="O107" s="46">
        <v>27.3</v>
      </c>
      <c r="P107" s="47">
        <v>26.7</v>
      </c>
      <c r="Q107" s="47">
        <v>13.3</v>
      </c>
      <c r="R107" s="48">
        <f t="shared" si="27"/>
        <v>67.3</v>
      </c>
      <c r="S107" s="29">
        <v>3</v>
      </c>
      <c r="T107" s="286">
        <v>39243</v>
      </c>
      <c r="U107" s="295">
        <v>39437</v>
      </c>
      <c r="V107" s="38" t="s">
        <v>213</v>
      </c>
      <c r="W107" s="29" t="s">
        <v>87</v>
      </c>
      <c r="X107" s="29" t="s">
        <v>11</v>
      </c>
      <c r="Y107" s="39">
        <v>12</v>
      </c>
      <c r="Z107" s="29" t="s">
        <v>221</v>
      </c>
      <c r="AA107" s="29" t="s">
        <v>81</v>
      </c>
      <c r="AB107" s="29" t="s">
        <v>18</v>
      </c>
      <c r="AC107" s="29">
        <v>20</v>
      </c>
      <c r="AD107" s="38" t="s">
        <v>219</v>
      </c>
      <c r="AE107" s="29" t="s">
        <v>99</v>
      </c>
      <c r="AF107" s="29" t="s">
        <v>11</v>
      </c>
      <c r="AG107" s="39">
        <v>15.3</v>
      </c>
      <c r="AH107" s="29" t="s">
        <v>95</v>
      </c>
      <c r="AI107" s="29" t="s">
        <v>96</v>
      </c>
      <c r="AJ107" s="29" t="s">
        <v>12</v>
      </c>
      <c r="AK107" s="29">
        <v>13.3</v>
      </c>
      <c r="AL107" s="38" t="s">
        <v>222</v>
      </c>
      <c r="AM107" s="29" t="s">
        <v>85</v>
      </c>
      <c r="AN107" s="29" t="s">
        <v>18</v>
      </c>
      <c r="AO107" s="39">
        <v>6.7</v>
      </c>
      <c r="AP107" s="38"/>
      <c r="AS107" s="39"/>
      <c r="AW107" s="39"/>
      <c r="BA107" s="40"/>
    </row>
    <row r="108" spans="1:53" s="29" customFormat="1" x14ac:dyDescent="0.15">
      <c r="A108" s="29">
        <v>2008</v>
      </c>
      <c r="B108" s="295"/>
      <c r="C108" s="411" t="s">
        <v>220</v>
      </c>
      <c r="D108" s="411"/>
      <c r="E108" s="29">
        <v>79</v>
      </c>
      <c r="G108" s="66">
        <v>6</v>
      </c>
      <c r="H108" s="29">
        <v>5</v>
      </c>
      <c r="I108" s="29">
        <v>3</v>
      </c>
      <c r="J108" s="73">
        <v>14</v>
      </c>
      <c r="K108" s="47">
        <f t="shared" si="31"/>
        <v>42.857142857142854</v>
      </c>
      <c r="L108" s="47">
        <f t="shared" si="32"/>
        <v>35.714285714285715</v>
      </c>
      <c r="M108" s="47">
        <f t="shared" si="33"/>
        <v>21.428571428571427</v>
      </c>
      <c r="N108" s="68">
        <f t="shared" si="26"/>
        <v>100</v>
      </c>
      <c r="O108" s="46">
        <v>27.3</v>
      </c>
      <c r="P108" s="47">
        <v>26.7</v>
      </c>
      <c r="Q108" s="47">
        <v>13.3</v>
      </c>
      <c r="R108" s="48">
        <f t="shared" si="27"/>
        <v>67.3</v>
      </c>
      <c r="S108" s="29">
        <v>3</v>
      </c>
      <c r="T108" s="286"/>
      <c r="U108" s="295"/>
      <c r="V108" s="38" t="s">
        <v>213</v>
      </c>
      <c r="W108" s="29" t="s">
        <v>87</v>
      </c>
      <c r="X108" s="29" t="s">
        <v>11</v>
      </c>
      <c r="Y108" s="39">
        <v>12</v>
      </c>
      <c r="Z108" s="29" t="s">
        <v>221</v>
      </c>
      <c r="AA108" s="29" t="s">
        <v>81</v>
      </c>
      <c r="AB108" s="29" t="s">
        <v>18</v>
      </c>
      <c r="AC108" s="29">
        <v>20</v>
      </c>
      <c r="AD108" s="38" t="s">
        <v>219</v>
      </c>
      <c r="AE108" s="29" t="s">
        <v>99</v>
      </c>
      <c r="AF108" s="29" t="s">
        <v>11</v>
      </c>
      <c r="AG108" s="39">
        <v>15.3</v>
      </c>
      <c r="AH108" s="29" t="s">
        <v>95</v>
      </c>
      <c r="AI108" s="29" t="s">
        <v>96</v>
      </c>
      <c r="AJ108" s="29" t="s">
        <v>12</v>
      </c>
      <c r="AK108" s="29">
        <v>13.3</v>
      </c>
      <c r="AL108" s="38" t="s">
        <v>222</v>
      </c>
      <c r="AM108" s="29" t="s">
        <v>85</v>
      </c>
      <c r="AN108" s="29" t="s">
        <v>18</v>
      </c>
      <c r="AO108" s="39">
        <v>6.7</v>
      </c>
      <c r="AP108" s="38"/>
      <c r="AS108" s="39"/>
      <c r="AW108" s="39"/>
      <c r="BA108" s="40"/>
    </row>
    <row r="109" spans="1:53" s="171" customFormat="1" x14ac:dyDescent="0.15">
      <c r="A109" s="171">
        <v>2008</v>
      </c>
      <c r="B109" s="283">
        <v>39527</v>
      </c>
      <c r="C109" s="410" t="s">
        <v>223</v>
      </c>
      <c r="D109" s="410"/>
      <c r="E109" s="171">
        <v>285</v>
      </c>
      <c r="F109" s="171">
        <v>2</v>
      </c>
      <c r="G109" s="233">
        <v>7</v>
      </c>
      <c r="H109" s="171">
        <v>5</v>
      </c>
      <c r="I109" s="171">
        <v>3</v>
      </c>
      <c r="J109" s="241">
        <f>G109+H109+I109</f>
        <v>15</v>
      </c>
      <c r="K109" s="214">
        <f t="shared" ref="K109:K115" si="34">G109/J109*100</f>
        <v>46.666666666666664</v>
      </c>
      <c r="L109" s="214">
        <f t="shared" ref="L109:L115" si="35">H109/J109*100</f>
        <v>33.333333333333329</v>
      </c>
      <c r="M109" s="214">
        <f t="shared" ref="M109:M115" si="36">I109/J109*100</f>
        <v>20</v>
      </c>
      <c r="N109" s="235">
        <f t="shared" si="26"/>
        <v>100</v>
      </c>
      <c r="O109" s="213">
        <v>27.3</v>
      </c>
      <c r="P109" s="214">
        <v>26.7</v>
      </c>
      <c r="Q109" s="214">
        <v>13.3</v>
      </c>
      <c r="R109" s="215">
        <f t="shared" si="27"/>
        <v>67.3</v>
      </c>
      <c r="S109" s="171">
        <v>3</v>
      </c>
      <c r="T109" s="285"/>
      <c r="U109" s="283">
        <v>39527</v>
      </c>
      <c r="V109" s="178" t="s">
        <v>221</v>
      </c>
      <c r="W109" s="171" t="s">
        <v>81</v>
      </c>
      <c r="X109" s="171" t="s">
        <v>18</v>
      </c>
      <c r="Y109" s="179">
        <v>20</v>
      </c>
      <c r="Z109" s="171" t="s">
        <v>213</v>
      </c>
      <c r="AA109" s="171" t="s">
        <v>87</v>
      </c>
      <c r="AB109" s="171" t="s">
        <v>11</v>
      </c>
      <c r="AC109" s="171">
        <v>12</v>
      </c>
      <c r="AD109" s="178" t="s">
        <v>219</v>
      </c>
      <c r="AE109" s="171" t="s">
        <v>99</v>
      </c>
      <c r="AF109" s="171" t="s">
        <v>11</v>
      </c>
      <c r="AG109" s="179">
        <v>15.3</v>
      </c>
      <c r="AH109" s="171" t="s">
        <v>95</v>
      </c>
      <c r="AI109" s="171" t="s">
        <v>96</v>
      </c>
      <c r="AJ109" s="171" t="s">
        <v>12</v>
      </c>
      <c r="AK109" s="171">
        <v>13.3</v>
      </c>
      <c r="AL109" s="178" t="s">
        <v>222</v>
      </c>
      <c r="AM109" s="171" t="s">
        <v>85</v>
      </c>
      <c r="AN109" s="171" t="s">
        <v>18</v>
      </c>
      <c r="AO109" s="179">
        <v>6.7</v>
      </c>
      <c r="AP109" s="178"/>
      <c r="AS109" s="179"/>
      <c r="AW109" s="179"/>
      <c r="BA109" s="180"/>
    </row>
    <row r="110" spans="1:53" s="29" customFormat="1" x14ac:dyDescent="0.15">
      <c r="A110" s="29">
        <v>2008</v>
      </c>
      <c r="B110" s="295">
        <v>39812</v>
      </c>
      <c r="C110" s="411" t="s">
        <v>224</v>
      </c>
      <c r="D110" s="411"/>
      <c r="E110" s="29">
        <v>2</v>
      </c>
      <c r="F110" s="29">
        <v>2</v>
      </c>
      <c r="G110" s="66">
        <v>7</v>
      </c>
      <c r="H110" s="29">
        <v>5</v>
      </c>
      <c r="I110" s="29">
        <v>3</v>
      </c>
      <c r="J110" s="73">
        <v>15</v>
      </c>
      <c r="K110" s="47">
        <f t="shared" si="34"/>
        <v>46.666666666666664</v>
      </c>
      <c r="L110" s="47">
        <f t="shared" si="35"/>
        <v>33.333333333333329</v>
      </c>
      <c r="M110" s="47">
        <f t="shared" si="36"/>
        <v>20</v>
      </c>
      <c r="N110" s="68">
        <f t="shared" si="26"/>
        <v>100</v>
      </c>
      <c r="O110" s="46">
        <v>27.3</v>
      </c>
      <c r="P110" s="47">
        <v>26.7</v>
      </c>
      <c r="Q110" s="47">
        <v>13.3</v>
      </c>
      <c r="R110" s="48">
        <f t="shared" si="27"/>
        <v>67.3</v>
      </c>
      <c r="S110" s="29">
        <v>3</v>
      </c>
      <c r="T110" s="286"/>
      <c r="U110" s="295">
        <v>39812</v>
      </c>
      <c r="V110" s="38" t="s">
        <v>221</v>
      </c>
      <c r="W110" s="29" t="s">
        <v>81</v>
      </c>
      <c r="X110" s="29" t="s">
        <v>18</v>
      </c>
      <c r="Y110" s="39">
        <v>20</v>
      </c>
      <c r="Z110" s="29" t="s">
        <v>213</v>
      </c>
      <c r="AA110" s="29" t="s">
        <v>87</v>
      </c>
      <c r="AB110" s="29" t="s">
        <v>11</v>
      </c>
      <c r="AC110" s="29">
        <v>12</v>
      </c>
      <c r="AD110" s="38" t="s">
        <v>219</v>
      </c>
      <c r="AE110" s="29" t="s">
        <v>99</v>
      </c>
      <c r="AF110" s="29" t="s">
        <v>11</v>
      </c>
      <c r="AG110" s="39">
        <v>15.3</v>
      </c>
      <c r="AH110" s="29" t="s">
        <v>95</v>
      </c>
      <c r="AI110" s="29" t="s">
        <v>96</v>
      </c>
      <c r="AJ110" s="29" t="s">
        <v>12</v>
      </c>
      <c r="AK110" s="29">
        <v>13.3</v>
      </c>
      <c r="AL110" s="38" t="s">
        <v>222</v>
      </c>
      <c r="AM110" s="29" t="s">
        <v>85</v>
      </c>
      <c r="AN110" s="29" t="s">
        <v>18</v>
      </c>
      <c r="AO110" s="39">
        <v>6.7</v>
      </c>
      <c r="AP110" s="38"/>
      <c r="AS110" s="39"/>
      <c r="AW110" s="39"/>
      <c r="BA110" s="40"/>
    </row>
    <row r="111" spans="1:53" s="29" customFormat="1" x14ac:dyDescent="0.15">
      <c r="A111" s="29">
        <v>2009</v>
      </c>
      <c r="B111" s="295"/>
      <c r="C111" s="411" t="s">
        <v>224</v>
      </c>
      <c r="D111" s="411"/>
      <c r="E111" s="29">
        <v>197</v>
      </c>
      <c r="G111" s="66">
        <v>7</v>
      </c>
      <c r="H111" s="29">
        <v>5</v>
      </c>
      <c r="I111" s="29">
        <v>3</v>
      </c>
      <c r="J111" s="73">
        <v>15</v>
      </c>
      <c r="K111" s="47">
        <f t="shared" si="34"/>
        <v>46.666666666666664</v>
      </c>
      <c r="L111" s="47">
        <f t="shared" si="35"/>
        <v>33.333333333333329</v>
      </c>
      <c r="M111" s="47">
        <f t="shared" si="36"/>
        <v>20</v>
      </c>
      <c r="N111" s="68">
        <f t="shared" si="26"/>
        <v>100</v>
      </c>
      <c r="O111" s="46">
        <v>27.3</v>
      </c>
      <c r="P111" s="47">
        <v>26.7</v>
      </c>
      <c r="Q111" s="47">
        <v>13.3</v>
      </c>
      <c r="R111" s="48">
        <f t="shared" si="27"/>
        <v>67.3</v>
      </c>
      <c r="S111" s="29">
        <v>3</v>
      </c>
      <c r="T111" s="286"/>
      <c r="U111" s="295"/>
      <c r="V111" s="38" t="s">
        <v>221</v>
      </c>
      <c r="W111" s="29" t="s">
        <v>81</v>
      </c>
      <c r="X111" s="29" t="s">
        <v>18</v>
      </c>
      <c r="Y111" s="39">
        <v>20</v>
      </c>
      <c r="Z111" s="29" t="s">
        <v>213</v>
      </c>
      <c r="AA111" s="29" t="s">
        <v>87</v>
      </c>
      <c r="AB111" s="29" t="s">
        <v>11</v>
      </c>
      <c r="AC111" s="29">
        <v>12</v>
      </c>
      <c r="AD111" s="38" t="s">
        <v>219</v>
      </c>
      <c r="AE111" s="29" t="s">
        <v>99</v>
      </c>
      <c r="AF111" s="29" t="s">
        <v>11</v>
      </c>
      <c r="AG111" s="39">
        <v>15.3</v>
      </c>
      <c r="AH111" s="29" t="s">
        <v>95</v>
      </c>
      <c r="AI111" s="29" t="s">
        <v>96</v>
      </c>
      <c r="AJ111" s="29" t="s">
        <v>12</v>
      </c>
      <c r="AK111" s="29">
        <v>13.3</v>
      </c>
      <c r="AL111" s="38" t="s">
        <v>222</v>
      </c>
      <c r="AM111" s="29" t="s">
        <v>85</v>
      </c>
      <c r="AN111" s="29" t="s">
        <v>18</v>
      </c>
      <c r="AO111" s="39">
        <v>6.7</v>
      </c>
      <c r="AP111" s="38"/>
      <c r="AS111" s="39"/>
      <c r="AW111" s="39"/>
      <c r="BA111" s="40"/>
    </row>
    <row r="112" spans="1:53" s="29" customFormat="1" x14ac:dyDescent="0.15">
      <c r="A112" s="29">
        <v>2009</v>
      </c>
      <c r="B112" s="303">
        <v>40011</v>
      </c>
      <c r="C112" s="411" t="s">
        <v>224</v>
      </c>
      <c r="D112" s="411"/>
      <c r="E112" s="29">
        <v>131</v>
      </c>
      <c r="F112" s="84">
        <v>0</v>
      </c>
      <c r="G112" s="66">
        <v>6</v>
      </c>
      <c r="H112" s="29">
        <v>6</v>
      </c>
      <c r="I112" s="29">
        <v>3</v>
      </c>
      <c r="J112" s="73">
        <v>15</v>
      </c>
      <c r="K112" s="47">
        <f t="shared" si="34"/>
        <v>40</v>
      </c>
      <c r="L112" s="47">
        <f t="shared" si="35"/>
        <v>40</v>
      </c>
      <c r="M112" s="47">
        <f t="shared" si="36"/>
        <v>20</v>
      </c>
      <c r="N112" s="68">
        <f t="shared" si="26"/>
        <v>100</v>
      </c>
      <c r="O112" s="46">
        <v>27.3</v>
      </c>
      <c r="P112" s="47">
        <v>26.7</v>
      </c>
      <c r="Q112" s="47">
        <v>13.3</v>
      </c>
      <c r="R112" s="48">
        <f t="shared" si="27"/>
        <v>67.3</v>
      </c>
      <c r="S112" s="29">
        <v>3</v>
      </c>
      <c r="T112" s="286"/>
      <c r="U112" s="295"/>
      <c r="V112" s="38" t="s">
        <v>221</v>
      </c>
      <c r="W112" s="29" t="s">
        <v>81</v>
      </c>
      <c r="X112" s="29" t="s">
        <v>18</v>
      </c>
      <c r="Y112" s="39">
        <v>20</v>
      </c>
      <c r="Z112" s="29" t="s">
        <v>213</v>
      </c>
      <c r="AA112" s="29" t="s">
        <v>87</v>
      </c>
      <c r="AB112" s="29" t="s">
        <v>11</v>
      </c>
      <c r="AC112" s="29">
        <v>12</v>
      </c>
      <c r="AD112" s="38" t="s">
        <v>219</v>
      </c>
      <c r="AE112" s="29" t="s">
        <v>99</v>
      </c>
      <c r="AF112" s="29" t="s">
        <v>11</v>
      </c>
      <c r="AG112" s="39">
        <v>15.3</v>
      </c>
      <c r="AH112" s="29" t="s">
        <v>95</v>
      </c>
      <c r="AI112" s="29" t="s">
        <v>96</v>
      </c>
      <c r="AJ112" s="29" t="s">
        <v>12</v>
      </c>
      <c r="AK112" s="29">
        <v>13.3</v>
      </c>
      <c r="AL112" s="38" t="s">
        <v>222</v>
      </c>
      <c r="AM112" s="29" t="s">
        <v>85</v>
      </c>
      <c r="AN112" s="29" t="s">
        <v>18</v>
      </c>
      <c r="AO112" s="39">
        <v>6.7</v>
      </c>
      <c r="AP112" s="38"/>
      <c r="AS112" s="39"/>
      <c r="AW112" s="39"/>
      <c r="BA112" s="40"/>
    </row>
    <row r="113" spans="1:53" s="171" customFormat="1" x14ac:dyDescent="0.15">
      <c r="A113" s="171">
        <v>2009</v>
      </c>
      <c r="B113" s="283">
        <v>40142</v>
      </c>
      <c r="C113" s="410" t="s">
        <v>225</v>
      </c>
      <c r="D113" s="410"/>
      <c r="E113" s="171">
        <v>37</v>
      </c>
      <c r="F113" s="171">
        <v>2</v>
      </c>
      <c r="G113" s="233">
        <v>6</v>
      </c>
      <c r="H113" s="171">
        <v>6</v>
      </c>
      <c r="I113" s="171">
        <v>3</v>
      </c>
      <c r="J113" s="241">
        <v>15</v>
      </c>
      <c r="K113" s="214">
        <f>G113/J113*100</f>
        <v>40</v>
      </c>
      <c r="L113" s="214">
        <f t="shared" si="35"/>
        <v>40</v>
      </c>
      <c r="M113" s="214">
        <f t="shared" si="36"/>
        <v>20</v>
      </c>
      <c r="N113" s="235">
        <f t="shared" si="26"/>
        <v>100</v>
      </c>
      <c r="O113" s="213">
        <v>27.3</v>
      </c>
      <c r="P113" s="214">
        <v>26.7</v>
      </c>
      <c r="Q113" s="214">
        <v>13.3</v>
      </c>
      <c r="R113" s="215">
        <f t="shared" si="27"/>
        <v>67.3</v>
      </c>
      <c r="S113" s="171">
        <v>3</v>
      </c>
      <c r="T113" s="285"/>
      <c r="U113" s="283">
        <v>40142</v>
      </c>
      <c r="V113" s="178" t="s">
        <v>221</v>
      </c>
      <c r="W113" s="171" t="s">
        <v>81</v>
      </c>
      <c r="X113" s="171" t="s">
        <v>18</v>
      </c>
      <c r="Y113" s="179">
        <v>20</v>
      </c>
      <c r="Z113" s="171" t="s">
        <v>213</v>
      </c>
      <c r="AA113" s="171" t="s">
        <v>87</v>
      </c>
      <c r="AB113" s="171" t="s">
        <v>11</v>
      </c>
      <c r="AC113" s="171">
        <v>12</v>
      </c>
      <c r="AD113" s="178" t="s">
        <v>219</v>
      </c>
      <c r="AE113" s="171" t="s">
        <v>99</v>
      </c>
      <c r="AF113" s="171" t="s">
        <v>11</v>
      </c>
      <c r="AG113" s="179">
        <v>15.3</v>
      </c>
      <c r="AH113" s="171" t="s">
        <v>95</v>
      </c>
      <c r="AI113" s="171" t="s">
        <v>96</v>
      </c>
      <c r="AJ113" s="171" t="s">
        <v>12</v>
      </c>
      <c r="AK113" s="171">
        <v>13.3</v>
      </c>
      <c r="AL113" s="178" t="s">
        <v>222</v>
      </c>
      <c r="AM113" s="171" t="s">
        <v>85</v>
      </c>
      <c r="AN113" s="171" t="s">
        <v>18</v>
      </c>
      <c r="AO113" s="179">
        <v>6.7</v>
      </c>
      <c r="AP113" s="178"/>
      <c r="AS113" s="179"/>
      <c r="AW113" s="179"/>
      <c r="BA113" s="180"/>
    </row>
    <row r="114" spans="1:53" s="171" customFormat="1" x14ac:dyDescent="0.15">
      <c r="A114" s="171">
        <v>2010</v>
      </c>
      <c r="B114" s="283"/>
      <c r="C114" s="410" t="s">
        <v>225</v>
      </c>
      <c r="D114" s="410"/>
      <c r="E114" s="171">
        <v>163</v>
      </c>
      <c r="G114" s="233">
        <v>6</v>
      </c>
      <c r="H114" s="171">
        <v>6</v>
      </c>
      <c r="I114" s="171">
        <v>3</v>
      </c>
      <c r="J114" s="241">
        <v>15</v>
      </c>
      <c r="K114" s="214">
        <f t="shared" si="34"/>
        <v>40</v>
      </c>
      <c r="L114" s="214">
        <f t="shared" si="35"/>
        <v>40</v>
      </c>
      <c r="M114" s="214">
        <f t="shared" si="36"/>
        <v>20</v>
      </c>
      <c r="N114" s="235">
        <f t="shared" si="26"/>
        <v>100</v>
      </c>
      <c r="O114" s="213">
        <v>27.3</v>
      </c>
      <c r="P114" s="214">
        <v>26.7</v>
      </c>
      <c r="Q114" s="214">
        <v>13.3</v>
      </c>
      <c r="R114" s="215">
        <f t="shared" si="27"/>
        <v>67.3</v>
      </c>
      <c r="S114" s="171">
        <v>3</v>
      </c>
      <c r="T114" s="285"/>
      <c r="U114" s="283"/>
      <c r="V114" s="178" t="s">
        <v>221</v>
      </c>
      <c r="W114" s="171" t="s">
        <v>81</v>
      </c>
      <c r="X114" s="171" t="s">
        <v>18</v>
      </c>
      <c r="Y114" s="179">
        <v>20</v>
      </c>
      <c r="Z114" s="171" t="s">
        <v>213</v>
      </c>
      <c r="AA114" s="171" t="s">
        <v>87</v>
      </c>
      <c r="AB114" s="171" t="s">
        <v>11</v>
      </c>
      <c r="AC114" s="171">
        <v>12</v>
      </c>
      <c r="AD114" s="178" t="s">
        <v>219</v>
      </c>
      <c r="AE114" s="171" t="s">
        <v>99</v>
      </c>
      <c r="AF114" s="171" t="s">
        <v>11</v>
      </c>
      <c r="AG114" s="179">
        <v>15.3</v>
      </c>
      <c r="AH114" s="171" t="s">
        <v>95</v>
      </c>
      <c r="AI114" s="171" t="s">
        <v>96</v>
      </c>
      <c r="AJ114" s="171" t="s">
        <v>12</v>
      </c>
      <c r="AK114" s="171">
        <v>13.3</v>
      </c>
      <c r="AL114" s="178" t="s">
        <v>222</v>
      </c>
      <c r="AM114" s="171" t="s">
        <v>85</v>
      </c>
      <c r="AN114" s="171" t="s">
        <v>18</v>
      </c>
      <c r="AO114" s="179">
        <v>6.7</v>
      </c>
      <c r="AP114" s="178"/>
      <c r="AS114" s="179"/>
      <c r="AW114" s="179"/>
      <c r="BA114" s="180"/>
    </row>
    <row r="115" spans="1:53" s="29" customFormat="1" x14ac:dyDescent="0.15">
      <c r="A115" s="29">
        <v>2010</v>
      </c>
      <c r="B115" s="295">
        <v>40342</v>
      </c>
      <c r="C115" s="411" t="s">
        <v>1439</v>
      </c>
      <c r="D115" s="411"/>
      <c r="E115" s="29">
        <f>365-E114</f>
        <v>202</v>
      </c>
      <c r="F115" s="29">
        <v>1</v>
      </c>
      <c r="G115" s="66">
        <v>6</v>
      </c>
      <c r="H115" s="29">
        <v>6</v>
      </c>
      <c r="I115" s="29">
        <v>3</v>
      </c>
      <c r="J115" s="73">
        <v>15</v>
      </c>
      <c r="K115" s="47">
        <f t="shared" si="34"/>
        <v>40</v>
      </c>
      <c r="L115" s="47">
        <f t="shared" si="35"/>
        <v>40</v>
      </c>
      <c r="M115" s="47">
        <f t="shared" si="36"/>
        <v>20</v>
      </c>
      <c r="N115" s="68">
        <f t="shared" si="26"/>
        <v>100</v>
      </c>
      <c r="O115" s="46">
        <v>20.7</v>
      </c>
      <c r="P115" s="47">
        <v>17.3</v>
      </c>
      <c r="Q115" s="47">
        <v>17.3</v>
      </c>
      <c r="R115" s="48">
        <f t="shared" si="27"/>
        <v>55.3</v>
      </c>
      <c r="S115" s="29">
        <v>6</v>
      </c>
      <c r="T115" s="286">
        <v>40342</v>
      </c>
      <c r="U115" s="295">
        <v>40342</v>
      </c>
      <c r="V115" s="38" t="s">
        <v>221</v>
      </c>
      <c r="W115" s="29" t="s">
        <v>81</v>
      </c>
      <c r="X115" s="29" t="s">
        <v>18</v>
      </c>
      <c r="Y115" s="39">
        <v>11.3</v>
      </c>
      <c r="Z115" s="29" t="s">
        <v>213</v>
      </c>
      <c r="AA115" s="29" t="s">
        <v>87</v>
      </c>
      <c r="AB115" s="29" t="s">
        <v>11</v>
      </c>
      <c r="AC115" s="29">
        <v>8.6999999999999993</v>
      </c>
      <c r="AD115" s="38" t="s">
        <v>219</v>
      </c>
      <c r="AE115" s="29" t="s">
        <v>99</v>
      </c>
      <c r="AF115" s="29" t="s">
        <v>11</v>
      </c>
      <c r="AG115" s="39">
        <v>12</v>
      </c>
      <c r="AH115" s="29" t="s">
        <v>95</v>
      </c>
      <c r="AI115" s="29" t="s">
        <v>96</v>
      </c>
      <c r="AJ115" s="29" t="s">
        <v>12</v>
      </c>
      <c r="AK115" s="29">
        <v>17.3</v>
      </c>
      <c r="AL115" s="38" t="s">
        <v>222</v>
      </c>
      <c r="AM115" s="29" t="s">
        <v>85</v>
      </c>
      <c r="AN115" s="29" t="s">
        <v>18</v>
      </c>
      <c r="AO115" s="39">
        <v>6</v>
      </c>
      <c r="AP115" s="38"/>
      <c r="AS115" s="39"/>
      <c r="AW115" s="39"/>
      <c r="BA115" s="40"/>
    </row>
    <row r="116" spans="1:53" s="29" customFormat="1" x14ac:dyDescent="0.15">
      <c r="A116" s="29">
        <v>2011</v>
      </c>
      <c r="B116" s="295"/>
      <c r="C116" s="411" t="s">
        <v>1439</v>
      </c>
      <c r="D116" s="411"/>
      <c r="E116" s="29">
        <v>339</v>
      </c>
      <c r="G116" s="66">
        <v>6</v>
      </c>
      <c r="H116" s="29">
        <v>6</v>
      </c>
      <c r="I116" s="29">
        <v>3</v>
      </c>
      <c r="J116" s="73">
        <v>15</v>
      </c>
      <c r="K116" s="47">
        <f t="shared" ref="K116:K121" si="37">G116/J116*100</f>
        <v>40</v>
      </c>
      <c r="L116" s="47">
        <f t="shared" ref="L116:L122" si="38">H116/J116*100</f>
        <v>40</v>
      </c>
      <c r="M116" s="47">
        <f t="shared" ref="M116:M122" si="39">I116/J116*100</f>
        <v>20</v>
      </c>
      <c r="N116" s="68">
        <f t="shared" si="26"/>
        <v>100</v>
      </c>
      <c r="O116" s="46">
        <v>20.7</v>
      </c>
      <c r="P116" s="47">
        <v>17.3</v>
      </c>
      <c r="Q116" s="47">
        <v>17.3</v>
      </c>
      <c r="R116" s="48">
        <f t="shared" si="27"/>
        <v>55.3</v>
      </c>
      <c r="S116" s="29">
        <v>6</v>
      </c>
      <c r="T116" s="286"/>
      <c r="U116" s="295"/>
      <c r="V116" s="38" t="s">
        <v>221</v>
      </c>
      <c r="W116" s="29" t="s">
        <v>81</v>
      </c>
      <c r="X116" s="29" t="s">
        <v>18</v>
      </c>
      <c r="Y116" s="39">
        <v>11.3</v>
      </c>
      <c r="Z116" s="29" t="s">
        <v>213</v>
      </c>
      <c r="AA116" s="29" t="s">
        <v>87</v>
      </c>
      <c r="AB116" s="29" t="s">
        <v>11</v>
      </c>
      <c r="AC116" s="29">
        <v>8.6999999999999993</v>
      </c>
      <c r="AD116" s="38" t="s">
        <v>219</v>
      </c>
      <c r="AE116" s="29" t="s">
        <v>99</v>
      </c>
      <c r="AF116" s="29" t="s">
        <v>11</v>
      </c>
      <c r="AG116" s="39">
        <v>12</v>
      </c>
      <c r="AH116" s="29" t="s">
        <v>95</v>
      </c>
      <c r="AI116" s="29" t="s">
        <v>96</v>
      </c>
      <c r="AJ116" s="29" t="s">
        <v>12</v>
      </c>
      <c r="AK116" s="29">
        <v>17.3</v>
      </c>
      <c r="AL116" s="38" t="s">
        <v>222</v>
      </c>
      <c r="AM116" s="29" t="s">
        <v>85</v>
      </c>
      <c r="AN116" s="29" t="s">
        <v>18</v>
      </c>
      <c r="AO116" s="39">
        <v>6</v>
      </c>
      <c r="AP116" s="38"/>
      <c r="AS116" s="39"/>
      <c r="AW116" s="39"/>
      <c r="BA116" s="40"/>
    </row>
    <row r="117" spans="1:53" s="171" customFormat="1" x14ac:dyDescent="0.15">
      <c r="A117" s="171">
        <v>2011</v>
      </c>
      <c r="B117" s="283">
        <v>40883</v>
      </c>
      <c r="C117" s="410" t="s">
        <v>226</v>
      </c>
      <c r="D117" s="410"/>
      <c r="E117" s="171">
        <v>26</v>
      </c>
      <c r="F117" s="171">
        <v>1</v>
      </c>
      <c r="G117" s="233">
        <v>5</v>
      </c>
      <c r="H117" s="171">
        <v>3</v>
      </c>
      <c r="I117" s="171">
        <v>5</v>
      </c>
      <c r="J117" s="241">
        <v>13</v>
      </c>
      <c r="K117" s="214">
        <f t="shared" si="37"/>
        <v>38.461538461538467</v>
      </c>
      <c r="L117" s="214">
        <f t="shared" si="38"/>
        <v>23.076923076923077</v>
      </c>
      <c r="M117" s="214">
        <f t="shared" si="39"/>
        <v>38.461538461538467</v>
      </c>
      <c r="N117" s="235">
        <f t="shared" si="26"/>
        <v>100.00000000000001</v>
      </c>
      <c r="O117" s="213">
        <v>20.7</v>
      </c>
      <c r="P117" s="214">
        <v>17.3</v>
      </c>
      <c r="Q117" s="214">
        <v>26</v>
      </c>
      <c r="R117" s="215">
        <f t="shared" si="27"/>
        <v>64</v>
      </c>
      <c r="S117" s="171">
        <v>3</v>
      </c>
      <c r="T117" s="285"/>
      <c r="U117" s="283">
        <v>40883</v>
      </c>
      <c r="V117" s="178" t="s">
        <v>95</v>
      </c>
      <c r="W117" s="171" t="s">
        <v>96</v>
      </c>
      <c r="X117" s="171" t="s">
        <v>12</v>
      </c>
      <c r="Y117" s="179">
        <v>17.3</v>
      </c>
      <c r="Z117" s="171" t="s">
        <v>221</v>
      </c>
      <c r="AA117" s="171" t="s">
        <v>81</v>
      </c>
      <c r="AB117" s="171" t="s">
        <v>18</v>
      </c>
      <c r="AC117" s="171">
        <v>11.3</v>
      </c>
      <c r="AD117" s="178" t="s">
        <v>219</v>
      </c>
      <c r="AE117" s="171" t="s">
        <v>99</v>
      </c>
      <c r="AF117" s="171" t="s">
        <v>11</v>
      </c>
      <c r="AG117" s="179">
        <v>12</v>
      </c>
      <c r="AH117" s="171" t="s">
        <v>213</v>
      </c>
      <c r="AI117" s="171" t="s">
        <v>87</v>
      </c>
      <c r="AJ117" s="171" t="s">
        <v>11</v>
      </c>
      <c r="AK117" s="171">
        <v>8.6999999999999993</v>
      </c>
      <c r="AL117" s="178" t="s">
        <v>94</v>
      </c>
      <c r="AM117" s="171" t="s">
        <v>97</v>
      </c>
      <c r="AN117" s="171" t="s">
        <v>12</v>
      </c>
      <c r="AO117" s="179">
        <v>8.6999999999999993</v>
      </c>
      <c r="AP117" s="178" t="s">
        <v>222</v>
      </c>
      <c r="AQ117" s="171" t="s">
        <v>85</v>
      </c>
      <c r="AR117" s="171" t="s">
        <v>18</v>
      </c>
      <c r="AS117" s="179">
        <v>6</v>
      </c>
      <c r="AW117" s="179"/>
      <c r="BA117" s="180"/>
    </row>
    <row r="118" spans="1:53" s="171" customFormat="1" x14ac:dyDescent="0.15">
      <c r="A118" s="171">
        <v>2012</v>
      </c>
      <c r="B118" s="283"/>
      <c r="C118" s="410" t="s">
        <v>226</v>
      </c>
      <c r="D118" s="410"/>
      <c r="E118" s="171">
        <v>0</v>
      </c>
      <c r="G118" s="233">
        <v>5</v>
      </c>
      <c r="H118" s="171">
        <v>3</v>
      </c>
      <c r="I118" s="171">
        <v>5</v>
      </c>
      <c r="J118" s="241">
        <v>13</v>
      </c>
      <c r="K118" s="214">
        <f t="shared" si="37"/>
        <v>38.461538461538467</v>
      </c>
      <c r="L118" s="214">
        <f t="shared" si="38"/>
        <v>23.076923076923077</v>
      </c>
      <c r="M118" s="214">
        <f t="shared" si="39"/>
        <v>38.461538461538467</v>
      </c>
      <c r="N118" s="235">
        <f t="shared" si="26"/>
        <v>100.00000000000001</v>
      </c>
      <c r="O118" s="213">
        <v>20.7</v>
      </c>
      <c r="P118" s="214">
        <v>17.3</v>
      </c>
      <c r="Q118" s="214">
        <v>26</v>
      </c>
      <c r="R118" s="215">
        <f t="shared" si="27"/>
        <v>64</v>
      </c>
      <c r="S118" s="171">
        <v>3</v>
      </c>
      <c r="T118" s="285"/>
      <c r="U118" s="283"/>
      <c r="V118" s="178" t="s">
        <v>95</v>
      </c>
      <c r="W118" s="171" t="s">
        <v>96</v>
      </c>
      <c r="X118" s="171" t="s">
        <v>12</v>
      </c>
      <c r="Y118" s="179">
        <v>17.3</v>
      </c>
      <c r="Z118" s="171" t="s">
        <v>221</v>
      </c>
      <c r="AA118" s="171" t="s">
        <v>81</v>
      </c>
      <c r="AB118" s="171" t="s">
        <v>18</v>
      </c>
      <c r="AC118" s="171">
        <v>11.3</v>
      </c>
      <c r="AD118" s="178" t="s">
        <v>219</v>
      </c>
      <c r="AE118" s="171" t="s">
        <v>99</v>
      </c>
      <c r="AF118" s="171" t="s">
        <v>11</v>
      </c>
      <c r="AG118" s="179">
        <v>12</v>
      </c>
      <c r="AH118" s="171" t="s">
        <v>213</v>
      </c>
      <c r="AI118" s="171" t="s">
        <v>87</v>
      </c>
      <c r="AJ118" s="171" t="s">
        <v>11</v>
      </c>
      <c r="AK118" s="171">
        <v>8.6999999999999993</v>
      </c>
      <c r="AL118" s="178" t="s">
        <v>94</v>
      </c>
      <c r="AM118" s="171" t="s">
        <v>97</v>
      </c>
      <c r="AN118" s="171" t="s">
        <v>12</v>
      </c>
      <c r="AO118" s="179">
        <v>8.6999999999999993</v>
      </c>
      <c r="AP118" s="178" t="s">
        <v>222</v>
      </c>
      <c r="AQ118" s="171" t="s">
        <v>85</v>
      </c>
      <c r="AR118" s="171" t="s">
        <v>18</v>
      </c>
      <c r="AS118" s="179">
        <v>6</v>
      </c>
      <c r="AW118" s="179"/>
      <c r="BA118" s="180"/>
    </row>
    <row r="119" spans="1:53" s="171" customFormat="1" x14ac:dyDescent="0.15">
      <c r="A119" s="171">
        <v>2012</v>
      </c>
      <c r="B119" s="283"/>
      <c r="C119" s="410" t="s">
        <v>226</v>
      </c>
      <c r="D119" s="410"/>
      <c r="E119" s="171">
        <v>366</v>
      </c>
      <c r="G119" s="233">
        <v>5</v>
      </c>
      <c r="H119" s="171">
        <v>3</v>
      </c>
      <c r="I119" s="171">
        <v>5</v>
      </c>
      <c r="J119" s="241">
        <v>13</v>
      </c>
      <c r="K119" s="214">
        <f t="shared" si="37"/>
        <v>38.461538461538467</v>
      </c>
      <c r="L119" s="214">
        <f t="shared" si="38"/>
        <v>23.076923076923077</v>
      </c>
      <c r="M119" s="214">
        <f t="shared" si="39"/>
        <v>38.461538461538467</v>
      </c>
      <c r="N119" s="235">
        <f t="shared" ref="N119:N124" si="40">SUM(K119:M119)</f>
        <v>100.00000000000001</v>
      </c>
      <c r="O119" s="213">
        <v>20.7</v>
      </c>
      <c r="P119" s="214">
        <v>17.3</v>
      </c>
      <c r="Q119" s="214">
        <v>26</v>
      </c>
      <c r="R119" s="215">
        <f t="shared" si="27"/>
        <v>64</v>
      </c>
      <c r="S119" s="171">
        <v>3</v>
      </c>
      <c r="T119" s="285"/>
      <c r="U119" s="283"/>
      <c r="V119" s="178" t="s">
        <v>95</v>
      </c>
      <c r="W119" s="171" t="s">
        <v>96</v>
      </c>
      <c r="X119" s="171" t="s">
        <v>12</v>
      </c>
      <c r="Y119" s="179">
        <v>17.3</v>
      </c>
      <c r="Z119" s="171" t="s">
        <v>221</v>
      </c>
      <c r="AA119" s="171" t="s">
        <v>81</v>
      </c>
      <c r="AB119" s="171" t="s">
        <v>18</v>
      </c>
      <c r="AC119" s="171">
        <v>11.3</v>
      </c>
      <c r="AD119" s="178" t="s">
        <v>219</v>
      </c>
      <c r="AE119" s="171" t="s">
        <v>99</v>
      </c>
      <c r="AF119" s="171" t="s">
        <v>11</v>
      </c>
      <c r="AG119" s="179">
        <v>12</v>
      </c>
      <c r="AH119" s="171" t="s">
        <v>213</v>
      </c>
      <c r="AI119" s="171" t="s">
        <v>87</v>
      </c>
      <c r="AJ119" s="171" t="s">
        <v>11</v>
      </c>
      <c r="AK119" s="171">
        <v>8.6999999999999993</v>
      </c>
      <c r="AL119" s="178" t="s">
        <v>94</v>
      </c>
      <c r="AM119" s="171" t="s">
        <v>97</v>
      </c>
      <c r="AN119" s="171" t="s">
        <v>12</v>
      </c>
      <c r="AO119" s="179">
        <v>8.6999999999999993</v>
      </c>
      <c r="AP119" s="178" t="s">
        <v>222</v>
      </c>
      <c r="AQ119" s="171" t="s">
        <v>85</v>
      </c>
      <c r="AR119" s="171" t="s">
        <v>18</v>
      </c>
      <c r="AS119" s="179">
        <v>6</v>
      </c>
      <c r="AW119" s="179"/>
      <c r="BA119" s="180"/>
    </row>
    <row r="120" spans="1:53" s="171" customFormat="1" x14ac:dyDescent="0.15">
      <c r="A120" s="171">
        <v>2013</v>
      </c>
      <c r="B120" s="283"/>
      <c r="C120" s="410" t="s">
        <v>226</v>
      </c>
      <c r="D120" s="410"/>
      <c r="E120" s="171">
        <v>0</v>
      </c>
      <c r="G120" s="233">
        <v>5</v>
      </c>
      <c r="H120" s="171">
        <v>3</v>
      </c>
      <c r="I120" s="171">
        <v>5</v>
      </c>
      <c r="J120" s="241">
        <v>13</v>
      </c>
      <c r="K120" s="214">
        <f t="shared" si="37"/>
        <v>38.461538461538467</v>
      </c>
      <c r="L120" s="214">
        <f t="shared" si="38"/>
        <v>23.076923076923077</v>
      </c>
      <c r="M120" s="214">
        <f t="shared" si="39"/>
        <v>38.461538461538467</v>
      </c>
      <c r="N120" s="235">
        <f t="shared" si="40"/>
        <v>100.00000000000001</v>
      </c>
      <c r="O120" s="213">
        <v>20.7</v>
      </c>
      <c r="P120" s="214">
        <v>17.3</v>
      </c>
      <c r="Q120" s="214">
        <v>26</v>
      </c>
      <c r="R120" s="215">
        <f t="shared" si="27"/>
        <v>64</v>
      </c>
      <c r="S120" s="171">
        <v>3</v>
      </c>
      <c r="T120" s="285"/>
      <c r="U120" s="283"/>
      <c r="V120" s="178" t="s">
        <v>95</v>
      </c>
      <c r="W120" s="171" t="s">
        <v>96</v>
      </c>
      <c r="X120" s="171" t="s">
        <v>12</v>
      </c>
      <c r="Y120" s="179">
        <v>17.3</v>
      </c>
      <c r="Z120" s="171" t="s">
        <v>221</v>
      </c>
      <c r="AA120" s="171" t="s">
        <v>81</v>
      </c>
      <c r="AB120" s="171" t="s">
        <v>18</v>
      </c>
      <c r="AC120" s="171">
        <v>11.3</v>
      </c>
      <c r="AD120" s="178" t="s">
        <v>219</v>
      </c>
      <c r="AE120" s="171" t="s">
        <v>99</v>
      </c>
      <c r="AF120" s="171" t="s">
        <v>11</v>
      </c>
      <c r="AG120" s="179">
        <v>12</v>
      </c>
      <c r="AH120" s="171" t="s">
        <v>213</v>
      </c>
      <c r="AI120" s="171" t="s">
        <v>87</v>
      </c>
      <c r="AJ120" s="171" t="s">
        <v>11</v>
      </c>
      <c r="AK120" s="171">
        <v>8.6999999999999993</v>
      </c>
      <c r="AL120" s="178" t="s">
        <v>94</v>
      </c>
      <c r="AM120" s="171" t="s">
        <v>97</v>
      </c>
      <c r="AN120" s="171" t="s">
        <v>12</v>
      </c>
      <c r="AO120" s="179">
        <v>8.6999999999999993</v>
      </c>
      <c r="AP120" s="178" t="s">
        <v>222</v>
      </c>
      <c r="AQ120" s="171" t="s">
        <v>85</v>
      </c>
      <c r="AR120" s="171" t="s">
        <v>18</v>
      </c>
      <c r="AS120" s="179">
        <v>6</v>
      </c>
      <c r="AW120" s="179"/>
      <c r="BA120" s="180"/>
    </row>
    <row r="121" spans="1:53" s="171" customFormat="1" x14ac:dyDescent="0.15">
      <c r="A121" s="171">
        <v>2013</v>
      </c>
      <c r="B121" s="283"/>
      <c r="C121" s="410" t="s">
        <v>226</v>
      </c>
      <c r="D121" s="410"/>
      <c r="E121" s="171">
        <v>365</v>
      </c>
      <c r="G121" s="233">
        <v>5</v>
      </c>
      <c r="H121" s="171">
        <v>3</v>
      </c>
      <c r="I121" s="171">
        <v>5</v>
      </c>
      <c r="J121" s="241">
        <v>13</v>
      </c>
      <c r="K121" s="214">
        <f t="shared" si="37"/>
        <v>38.461538461538467</v>
      </c>
      <c r="L121" s="214">
        <f t="shared" si="38"/>
        <v>23.076923076923077</v>
      </c>
      <c r="M121" s="214">
        <f t="shared" si="39"/>
        <v>38.461538461538467</v>
      </c>
      <c r="N121" s="235">
        <f t="shared" si="40"/>
        <v>100.00000000000001</v>
      </c>
      <c r="O121" s="213">
        <v>20.7</v>
      </c>
      <c r="P121" s="214">
        <v>17.3</v>
      </c>
      <c r="Q121" s="214">
        <v>26</v>
      </c>
      <c r="R121" s="215">
        <f>SUM(O121:Q121)</f>
        <v>64</v>
      </c>
      <c r="S121" s="171">
        <v>3</v>
      </c>
      <c r="T121" s="285"/>
      <c r="U121" s="283"/>
      <c r="V121" s="178" t="s">
        <v>95</v>
      </c>
      <c r="W121" s="171" t="s">
        <v>96</v>
      </c>
      <c r="X121" s="171" t="s">
        <v>12</v>
      </c>
      <c r="Y121" s="179">
        <v>17.3</v>
      </c>
      <c r="Z121" s="171" t="s">
        <v>221</v>
      </c>
      <c r="AA121" s="171" t="s">
        <v>81</v>
      </c>
      <c r="AB121" s="171" t="s">
        <v>18</v>
      </c>
      <c r="AC121" s="171">
        <v>11.3</v>
      </c>
      <c r="AD121" s="178" t="s">
        <v>219</v>
      </c>
      <c r="AE121" s="171" t="s">
        <v>99</v>
      </c>
      <c r="AF121" s="171" t="s">
        <v>11</v>
      </c>
      <c r="AG121" s="179">
        <v>12</v>
      </c>
      <c r="AH121" s="171" t="s">
        <v>213</v>
      </c>
      <c r="AI121" s="171" t="s">
        <v>87</v>
      </c>
      <c r="AJ121" s="171" t="s">
        <v>11</v>
      </c>
      <c r="AK121" s="171">
        <v>8.6999999999999993</v>
      </c>
      <c r="AL121" s="178" t="s">
        <v>94</v>
      </c>
      <c r="AM121" s="171" t="s">
        <v>97</v>
      </c>
      <c r="AN121" s="171" t="s">
        <v>12</v>
      </c>
      <c r="AO121" s="179">
        <v>8.6999999999999993</v>
      </c>
      <c r="AP121" s="178" t="s">
        <v>222</v>
      </c>
      <c r="AQ121" s="171" t="s">
        <v>85</v>
      </c>
      <c r="AR121" s="171" t="s">
        <v>18</v>
      </c>
      <c r="AS121" s="179">
        <v>6</v>
      </c>
      <c r="AW121" s="179"/>
      <c r="BA121" s="180"/>
    </row>
    <row r="122" spans="1:53" s="171" customFormat="1" x14ac:dyDescent="0.15">
      <c r="A122" s="171">
        <v>2014</v>
      </c>
      <c r="B122" s="283"/>
      <c r="C122" s="410" t="s">
        <v>226</v>
      </c>
      <c r="D122" s="410"/>
      <c r="E122" s="171">
        <v>145</v>
      </c>
      <c r="G122" s="233">
        <v>5</v>
      </c>
      <c r="H122" s="171">
        <v>3</v>
      </c>
      <c r="I122" s="171">
        <v>5</v>
      </c>
      <c r="J122" s="241">
        <v>13</v>
      </c>
      <c r="K122" s="214">
        <f>G122/J122*100</f>
        <v>38.461538461538467</v>
      </c>
      <c r="L122" s="214">
        <f t="shared" si="38"/>
        <v>23.076923076923077</v>
      </c>
      <c r="M122" s="214">
        <f t="shared" si="39"/>
        <v>38.461538461538467</v>
      </c>
      <c r="N122" s="235">
        <f t="shared" si="40"/>
        <v>100.00000000000001</v>
      </c>
      <c r="O122" s="213">
        <v>20.7</v>
      </c>
      <c r="P122" s="214">
        <v>17.3</v>
      </c>
      <c r="Q122" s="214">
        <v>26</v>
      </c>
      <c r="R122" s="215">
        <f>SUM(O122:Q122)</f>
        <v>64</v>
      </c>
      <c r="S122" s="171">
        <v>3</v>
      </c>
      <c r="T122" s="285"/>
      <c r="U122" s="283"/>
      <c r="V122" s="178" t="s">
        <v>95</v>
      </c>
      <c r="W122" s="171" t="s">
        <v>96</v>
      </c>
      <c r="X122" s="171" t="s">
        <v>12</v>
      </c>
      <c r="Y122" s="179">
        <v>17.3</v>
      </c>
      <c r="Z122" s="171" t="s">
        <v>221</v>
      </c>
      <c r="AA122" s="171" t="s">
        <v>81</v>
      </c>
      <c r="AB122" s="171" t="s">
        <v>18</v>
      </c>
      <c r="AC122" s="171">
        <v>11.3</v>
      </c>
      <c r="AD122" s="178" t="s">
        <v>219</v>
      </c>
      <c r="AE122" s="171" t="s">
        <v>99</v>
      </c>
      <c r="AF122" s="171" t="s">
        <v>11</v>
      </c>
      <c r="AG122" s="179">
        <v>12</v>
      </c>
      <c r="AH122" s="171" t="s">
        <v>213</v>
      </c>
      <c r="AI122" s="171" t="s">
        <v>87</v>
      </c>
      <c r="AJ122" s="171" t="s">
        <v>11</v>
      </c>
      <c r="AK122" s="171">
        <v>8.6999999999999993</v>
      </c>
      <c r="AL122" s="178" t="s">
        <v>94</v>
      </c>
      <c r="AM122" s="171" t="s">
        <v>97</v>
      </c>
      <c r="AN122" s="171" t="s">
        <v>12</v>
      </c>
      <c r="AO122" s="179">
        <v>8.6999999999999993</v>
      </c>
      <c r="AP122" s="178" t="s">
        <v>222</v>
      </c>
      <c r="AQ122" s="171" t="s">
        <v>85</v>
      </c>
      <c r="AR122" s="171" t="s">
        <v>18</v>
      </c>
      <c r="AS122" s="179">
        <v>6</v>
      </c>
      <c r="AW122" s="179"/>
      <c r="BA122" s="180"/>
    </row>
    <row r="123" spans="1:53" s="29" customFormat="1" x14ac:dyDescent="0.15">
      <c r="A123" s="29">
        <v>2014</v>
      </c>
      <c r="B123" s="295">
        <v>41785</v>
      </c>
      <c r="C123" s="411" t="s">
        <v>1440</v>
      </c>
      <c r="D123" s="411"/>
      <c r="E123" s="29">
        <v>138</v>
      </c>
      <c r="F123" s="29">
        <v>1</v>
      </c>
      <c r="G123" s="66">
        <v>5</v>
      </c>
      <c r="H123" s="29">
        <v>3</v>
      </c>
      <c r="I123" s="29">
        <v>5</v>
      </c>
      <c r="J123" s="73">
        <v>13</v>
      </c>
      <c r="K123" s="47">
        <f>G123/J123*100</f>
        <v>38.461538461538467</v>
      </c>
      <c r="L123" s="47">
        <f>H123/J123*100</f>
        <v>23.076923076923077</v>
      </c>
      <c r="M123" s="47">
        <f>I123/J123*100</f>
        <v>38.461538461538467</v>
      </c>
      <c r="N123" s="68">
        <f t="shared" si="40"/>
        <v>100.00000000000001</v>
      </c>
      <c r="O123" s="46">
        <v>22.6</v>
      </c>
      <c r="P123" s="47">
        <v>18</v>
      </c>
      <c r="Q123" s="47">
        <v>24</v>
      </c>
      <c r="R123" s="48">
        <f>SUM(O123:Q123)</f>
        <v>64.599999999999994</v>
      </c>
      <c r="S123" s="29">
        <v>6</v>
      </c>
      <c r="T123" s="286">
        <v>41784</v>
      </c>
      <c r="U123" s="295">
        <v>41785</v>
      </c>
      <c r="V123" s="38" t="s">
        <v>95</v>
      </c>
      <c r="W123" s="29" t="s">
        <v>96</v>
      </c>
      <c r="X123" s="29" t="s">
        <v>12</v>
      </c>
      <c r="Y123" s="39">
        <v>15.3</v>
      </c>
      <c r="Z123" s="29" t="s">
        <v>221</v>
      </c>
      <c r="AA123" s="29" t="s">
        <v>81</v>
      </c>
      <c r="AB123" s="29" t="s">
        <v>18</v>
      </c>
      <c r="AC123" s="29">
        <v>12</v>
      </c>
      <c r="AD123" s="38" t="s">
        <v>219</v>
      </c>
      <c r="AE123" s="29" t="s">
        <v>99</v>
      </c>
      <c r="AF123" s="29" t="s">
        <v>11</v>
      </c>
      <c r="AG123" s="39">
        <v>13.3</v>
      </c>
      <c r="AH123" s="29" t="s">
        <v>213</v>
      </c>
      <c r="AI123" s="29" t="s">
        <v>87</v>
      </c>
      <c r="AJ123" s="29" t="s">
        <v>11</v>
      </c>
      <c r="AK123" s="29">
        <v>9.3000000000000007</v>
      </c>
      <c r="AL123" s="38" t="s">
        <v>94</v>
      </c>
      <c r="AM123" s="29" t="s">
        <v>97</v>
      </c>
      <c r="AN123" s="29" t="s">
        <v>12</v>
      </c>
      <c r="AO123" s="39">
        <v>8.6999999999999993</v>
      </c>
      <c r="AP123" s="38" t="s">
        <v>222</v>
      </c>
      <c r="AQ123" s="29" t="s">
        <v>85</v>
      </c>
      <c r="AR123" s="29" t="s">
        <v>18</v>
      </c>
      <c r="AS123" s="39">
        <v>6</v>
      </c>
      <c r="AW123" s="39"/>
      <c r="BA123" s="40"/>
    </row>
    <row r="124" spans="1:53" s="171" customFormat="1" x14ac:dyDescent="0.15">
      <c r="A124" s="171">
        <v>2014</v>
      </c>
      <c r="B124" s="283">
        <v>41923</v>
      </c>
      <c r="C124" s="410" t="s">
        <v>1278</v>
      </c>
      <c r="D124" s="410"/>
      <c r="E124" s="171">
        <v>82</v>
      </c>
      <c r="F124" s="171">
        <v>1</v>
      </c>
      <c r="G124" s="233">
        <v>9</v>
      </c>
      <c r="H124" s="171">
        <v>5</v>
      </c>
      <c r="J124" s="241">
        <v>14</v>
      </c>
      <c r="K124" s="214">
        <f>G124/J124*100</f>
        <v>64.285714285714292</v>
      </c>
      <c r="L124" s="214">
        <f>H124/J124*100</f>
        <v>35.714285714285715</v>
      </c>
      <c r="M124" s="214">
        <f>I124/J124*100</f>
        <v>0</v>
      </c>
      <c r="N124" s="235">
        <f t="shared" si="40"/>
        <v>100</v>
      </c>
      <c r="O124" s="213">
        <v>22.6</v>
      </c>
      <c r="P124" s="214">
        <v>34</v>
      </c>
      <c r="Q124" s="214"/>
      <c r="R124" s="215">
        <f>SUM(O124:Q124)</f>
        <v>56.6</v>
      </c>
      <c r="S124" s="171">
        <v>2</v>
      </c>
      <c r="T124" s="285"/>
      <c r="U124" s="283">
        <v>41923</v>
      </c>
      <c r="V124" s="178" t="s">
        <v>219</v>
      </c>
      <c r="W124" s="171" t="s">
        <v>99</v>
      </c>
      <c r="X124" s="171" t="s">
        <v>11</v>
      </c>
      <c r="Y124" s="179">
        <v>13.3</v>
      </c>
      <c r="Z124" s="171" t="s">
        <v>1279</v>
      </c>
      <c r="AA124" s="171" t="s">
        <v>89</v>
      </c>
      <c r="AB124" s="171" t="s">
        <v>18</v>
      </c>
      <c r="AC124" s="171">
        <v>22</v>
      </c>
      <c r="AD124" s="178" t="s">
        <v>221</v>
      </c>
      <c r="AE124" s="171" t="s">
        <v>81</v>
      </c>
      <c r="AF124" s="171" t="s">
        <v>18</v>
      </c>
      <c r="AG124" s="179">
        <v>12</v>
      </c>
      <c r="AH124" s="171" t="s">
        <v>213</v>
      </c>
      <c r="AI124" s="171" t="s">
        <v>87</v>
      </c>
      <c r="AJ124" s="171" t="s">
        <v>11</v>
      </c>
      <c r="AK124" s="171">
        <v>9.3000000000000007</v>
      </c>
      <c r="AL124" s="178"/>
      <c r="AO124" s="179"/>
      <c r="AP124" s="178"/>
      <c r="AS124" s="179"/>
      <c r="AW124" s="179"/>
      <c r="BA124" s="180"/>
    </row>
    <row r="125" spans="1:53" s="171" customFormat="1" x14ac:dyDescent="0.15">
      <c r="A125" s="171">
        <v>2015</v>
      </c>
      <c r="B125" s="283"/>
      <c r="C125" s="410" t="s">
        <v>1278</v>
      </c>
      <c r="D125" s="410"/>
      <c r="E125" s="171">
        <v>0</v>
      </c>
      <c r="G125" s="233">
        <v>9</v>
      </c>
      <c r="H125" s="171">
        <v>5</v>
      </c>
      <c r="J125" s="241">
        <v>14</v>
      </c>
      <c r="K125" s="214">
        <f t="shared" ref="K125:K127" si="41">G125/J125*100</f>
        <v>64.285714285714292</v>
      </c>
      <c r="L125" s="214">
        <f t="shared" ref="L125:L127" si="42">H125/J125*100</f>
        <v>35.714285714285715</v>
      </c>
      <c r="M125" s="214">
        <f t="shared" ref="M125:M127" si="43">I125/J125*100</f>
        <v>0</v>
      </c>
      <c r="N125" s="235">
        <f t="shared" ref="N125:N127" si="44">SUM(K125:M125)</f>
        <v>100</v>
      </c>
      <c r="O125" s="213">
        <v>22.6</v>
      </c>
      <c r="P125" s="214">
        <v>34</v>
      </c>
      <c r="Q125" s="214"/>
      <c r="R125" s="215">
        <f t="shared" ref="R125:R126" si="45">SUM(O125:Q125)</f>
        <v>56.6</v>
      </c>
      <c r="S125" s="171">
        <v>2</v>
      </c>
      <c r="T125" s="285"/>
      <c r="U125" s="283"/>
      <c r="V125" s="178" t="s">
        <v>219</v>
      </c>
      <c r="W125" s="171" t="s">
        <v>99</v>
      </c>
      <c r="X125" s="171" t="s">
        <v>11</v>
      </c>
      <c r="Y125" s="179">
        <v>13.3</v>
      </c>
      <c r="Z125" s="171" t="s">
        <v>1279</v>
      </c>
      <c r="AA125" s="171" t="s">
        <v>89</v>
      </c>
      <c r="AB125" s="171" t="s">
        <v>18</v>
      </c>
      <c r="AC125" s="171">
        <v>22</v>
      </c>
      <c r="AD125" s="178" t="s">
        <v>221</v>
      </c>
      <c r="AE125" s="171" t="s">
        <v>81</v>
      </c>
      <c r="AF125" s="171" t="s">
        <v>18</v>
      </c>
      <c r="AG125" s="179">
        <v>12</v>
      </c>
      <c r="AH125" s="171" t="s">
        <v>213</v>
      </c>
      <c r="AI125" s="171" t="s">
        <v>87</v>
      </c>
      <c r="AJ125" s="171" t="s">
        <v>11</v>
      </c>
      <c r="AK125" s="171">
        <v>9.3000000000000007</v>
      </c>
      <c r="AL125" s="178"/>
      <c r="AO125" s="179"/>
      <c r="AP125" s="178"/>
      <c r="AS125" s="179"/>
      <c r="AW125" s="179"/>
      <c r="BA125" s="180"/>
    </row>
    <row r="126" spans="1:53" s="171" customFormat="1" x14ac:dyDescent="0.15">
      <c r="A126" s="171">
        <v>2015</v>
      </c>
      <c r="B126" s="283"/>
      <c r="C126" s="410" t="s">
        <v>1278</v>
      </c>
      <c r="D126" s="410"/>
      <c r="E126" s="171">
        <v>365</v>
      </c>
      <c r="G126" s="233">
        <v>9</v>
      </c>
      <c r="H126" s="171">
        <v>5</v>
      </c>
      <c r="J126" s="241">
        <v>14</v>
      </c>
      <c r="K126" s="214">
        <f t="shared" si="41"/>
        <v>64.285714285714292</v>
      </c>
      <c r="L126" s="214">
        <f t="shared" si="42"/>
        <v>35.714285714285715</v>
      </c>
      <c r="M126" s="214">
        <f t="shared" si="43"/>
        <v>0</v>
      </c>
      <c r="N126" s="235">
        <f t="shared" si="44"/>
        <v>100</v>
      </c>
      <c r="O126" s="213">
        <v>22.6</v>
      </c>
      <c r="P126" s="214">
        <v>34</v>
      </c>
      <c r="Q126" s="214"/>
      <c r="R126" s="215">
        <f t="shared" si="45"/>
        <v>56.6</v>
      </c>
      <c r="S126" s="171">
        <v>2</v>
      </c>
      <c r="T126" s="285"/>
      <c r="U126" s="283"/>
      <c r="V126" s="178" t="s">
        <v>219</v>
      </c>
      <c r="W126" s="171" t="s">
        <v>99</v>
      </c>
      <c r="X126" s="171" t="s">
        <v>11</v>
      </c>
      <c r="Y126" s="179">
        <v>13.3</v>
      </c>
      <c r="Z126" s="171" t="s">
        <v>1279</v>
      </c>
      <c r="AA126" s="171" t="s">
        <v>89</v>
      </c>
      <c r="AB126" s="171" t="s">
        <v>18</v>
      </c>
      <c r="AC126" s="171">
        <v>22</v>
      </c>
      <c r="AD126" s="178" t="s">
        <v>221</v>
      </c>
      <c r="AE126" s="171" t="s">
        <v>81</v>
      </c>
      <c r="AF126" s="171" t="s">
        <v>18</v>
      </c>
      <c r="AG126" s="179">
        <v>12</v>
      </c>
      <c r="AH126" s="171" t="s">
        <v>213</v>
      </c>
      <c r="AI126" s="171" t="s">
        <v>87</v>
      </c>
      <c r="AJ126" s="171" t="s">
        <v>11</v>
      </c>
      <c r="AK126" s="171">
        <v>9.3000000000000007</v>
      </c>
      <c r="AL126" s="178"/>
      <c r="AO126" s="179"/>
      <c r="AP126" s="178"/>
      <c r="AS126" s="179"/>
      <c r="AW126" s="179"/>
      <c r="BA126" s="180"/>
    </row>
    <row r="127" spans="1:53" s="171" customFormat="1" x14ac:dyDescent="0.15">
      <c r="A127" s="171">
        <v>2016</v>
      </c>
      <c r="B127" s="283"/>
      <c r="C127" s="410" t="s">
        <v>1278</v>
      </c>
      <c r="D127" s="410"/>
      <c r="E127" s="171">
        <v>0</v>
      </c>
      <c r="G127" s="233">
        <v>9</v>
      </c>
      <c r="H127" s="171">
        <v>5</v>
      </c>
      <c r="J127" s="241">
        <v>14</v>
      </c>
      <c r="K127" s="214">
        <f t="shared" si="41"/>
        <v>64.285714285714292</v>
      </c>
      <c r="L127" s="214">
        <f t="shared" si="42"/>
        <v>35.714285714285715</v>
      </c>
      <c r="M127" s="214">
        <f t="shared" si="43"/>
        <v>0</v>
      </c>
      <c r="N127" s="235">
        <f t="shared" si="44"/>
        <v>100</v>
      </c>
      <c r="O127" s="213">
        <v>22.6</v>
      </c>
      <c r="P127" s="214">
        <v>34</v>
      </c>
      <c r="Q127" s="214"/>
      <c r="R127" s="215">
        <f t="shared" ref="R127" si="46">SUM(O127:Q127)</f>
        <v>56.6</v>
      </c>
      <c r="S127" s="171">
        <v>2</v>
      </c>
      <c r="T127" s="285"/>
      <c r="U127" s="283"/>
      <c r="V127" s="178" t="s">
        <v>219</v>
      </c>
      <c r="W127" s="171" t="s">
        <v>99</v>
      </c>
      <c r="X127" s="171" t="s">
        <v>11</v>
      </c>
      <c r="Y127" s="179">
        <v>13.3</v>
      </c>
      <c r="Z127" s="171" t="s">
        <v>1279</v>
      </c>
      <c r="AA127" s="171" t="s">
        <v>89</v>
      </c>
      <c r="AB127" s="171" t="s">
        <v>18</v>
      </c>
      <c r="AC127" s="171">
        <v>22</v>
      </c>
      <c r="AD127" s="178" t="s">
        <v>221</v>
      </c>
      <c r="AE127" s="171" t="s">
        <v>81</v>
      </c>
      <c r="AF127" s="171" t="s">
        <v>18</v>
      </c>
      <c r="AG127" s="179">
        <v>12</v>
      </c>
      <c r="AH127" s="171" t="s">
        <v>213</v>
      </c>
      <c r="AI127" s="171" t="s">
        <v>87</v>
      </c>
      <c r="AJ127" s="171" t="s">
        <v>11</v>
      </c>
      <c r="AK127" s="171">
        <v>9.3000000000000007</v>
      </c>
      <c r="AL127" s="178"/>
      <c r="AO127" s="179"/>
      <c r="AP127" s="178"/>
      <c r="AS127" s="179"/>
      <c r="AW127" s="179"/>
      <c r="BA127" s="180"/>
    </row>
    <row r="128" spans="1:53" s="171" customFormat="1" x14ac:dyDescent="0.15">
      <c r="A128" s="171">
        <v>2016</v>
      </c>
      <c r="B128" s="283"/>
      <c r="C128" s="410" t="s">
        <v>1278</v>
      </c>
      <c r="D128" s="410"/>
      <c r="E128" s="171">
        <v>366</v>
      </c>
      <c r="G128" s="233">
        <v>9</v>
      </c>
      <c r="H128" s="171">
        <v>5</v>
      </c>
      <c r="J128" s="241">
        <v>14</v>
      </c>
      <c r="K128" s="214">
        <f t="shared" ref="K128:K132" si="47">G128/J128*100</f>
        <v>64.285714285714292</v>
      </c>
      <c r="L128" s="214">
        <f t="shared" ref="L128:L132" si="48">H128/J128*100</f>
        <v>35.714285714285715</v>
      </c>
      <c r="M128" s="214">
        <f t="shared" ref="M128:M132" si="49">I128/J128*100</f>
        <v>0</v>
      </c>
      <c r="N128" s="235">
        <f t="shared" ref="N128:N132" si="50">SUM(K128:M128)</f>
        <v>100</v>
      </c>
      <c r="O128" s="213">
        <v>22.6</v>
      </c>
      <c r="P128" s="214">
        <v>34</v>
      </c>
      <c r="Q128" s="214"/>
      <c r="R128" s="215">
        <f t="shared" ref="R128:R130" si="51">SUM(O128:Q128)</f>
        <v>56.6</v>
      </c>
      <c r="S128" s="171">
        <v>2</v>
      </c>
      <c r="T128" s="285"/>
      <c r="U128" s="283"/>
      <c r="V128" s="178" t="s">
        <v>219</v>
      </c>
      <c r="W128" s="171" t="s">
        <v>99</v>
      </c>
      <c r="X128" s="171" t="s">
        <v>11</v>
      </c>
      <c r="Y128" s="179">
        <v>13.3</v>
      </c>
      <c r="Z128" s="171" t="s">
        <v>1279</v>
      </c>
      <c r="AA128" s="171" t="s">
        <v>89</v>
      </c>
      <c r="AB128" s="171" t="s">
        <v>18</v>
      </c>
      <c r="AC128" s="171">
        <v>22</v>
      </c>
      <c r="AD128" s="178" t="s">
        <v>221</v>
      </c>
      <c r="AE128" s="171" t="s">
        <v>81</v>
      </c>
      <c r="AF128" s="171" t="s">
        <v>18</v>
      </c>
      <c r="AG128" s="179">
        <v>12</v>
      </c>
      <c r="AH128" s="171" t="s">
        <v>213</v>
      </c>
      <c r="AI128" s="171" t="s">
        <v>87</v>
      </c>
      <c r="AJ128" s="171" t="s">
        <v>11</v>
      </c>
      <c r="AK128" s="171">
        <v>9.3000000000000007</v>
      </c>
      <c r="AL128" s="178"/>
      <c r="AO128" s="179"/>
      <c r="AP128" s="178"/>
      <c r="AS128" s="179"/>
      <c r="AW128" s="179"/>
      <c r="BA128" s="180"/>
    </row>
    <row r="129" spans="1:53" s="171" customFormat="1" x14ac:dyDescent="0.15">
      <c r="A129" s="171">
        <v>2017</v>
      </c>
      <c r="B129" s="283"/>
      <c r="C129" s="410" t="s">
        <v>1278</v>
      </c>
      <c r="D129" s="410"/>
      <c r="E129" s="171">
        <v>0</v>
      </c>
      <c r="G129" s="233">
        <v>9</v>
      </c>
      <c r="H129" s="171">
        <v>5</v>
      </c>
      <c r="J129" s="241">
        <v>14</v>
      </c>
      <c r="K129" s="214">
        <f t="shared" si="47"/>
        <v>64.285714285714292</v>
      </c>
      <c r="L129" s="214">
        <f t="shared" si="48"/>
        <v>35.714285714285715</v>
      </c>
      <c r="M129" s="214">
        <f t="shared" si="49"/>
        <v>0</v>
      </c>
      <c r="N129" s="235">
        <f t="shared" si="50"/>
        <v>100</v>
      </c>
      <c r="O129" s="213">
        <v>22.6</v>
      </c>
      <c r="P129" s="214">
        <v>34</v>
      </c>
      <c r="Q129" s="214"/>
      <c r="R129" s="215">
        <f t="shared" si="51"/>
        <v>56.6</v>
      </c>
      <c r="S129" s="171">
        <v>2</v>
      </c>
      <c r="T129" s="285"/>
      <c r="U129" s="283"/>
      <c r="V129" s="178" t="s">
        <v>219</v>
      </c>
      <c r="W129" s="171" t="s">
        <v>99</v>
      </c>
      <c r="X129" s="171" t="s">
        <v>11</v>
      </c>
      <c r="Y129" s="179">
        <v>13.3</v>
      </c>
      <c r="Z129" s="171" t="s">
        <v>1279</v>
      </c>
      <c r="AA129" s="171" t="s">
        <v>89</v>
      </c>
      <c r="AB129" s="171" t="s">
        <v>18</v>
      </c>
      <c r="AC129" s="171">
        <v>22</v>
      </c>
      <c r="AD129" s="178" t="s">
        <v>221</v>
      </c>
      <c r="AE129" s="171" t="s">
        <v>81</v>
      </c>
      <c r="AF129" s="171" t="s">
        <v>18</v>
      </c>
      <c r="AG129" s="179">
        <v>12</v>
      </c>
      <c r="AH129" s="171" t="s">
        <v>213</v>
      </c>
      <c r="AI129" s="171" t="s">
        <v>87</v>
      </c>
      <c r="AJ129" s="171" t="s">
        <v>11</v>
      </c>
      <c r="AK129" s="171">
        <v>9.3000000000000007</v>
      </c>
      <c r="AL129" s="178"/>
      <c r="AO129" s="179"/>
      <c r="AP129" s="178"/>
      <c r="AS129" s="179"/>
      <c r="AW129" s="179"/>
      <c r="BA129" s="180"/>
    </row>
    <row r="130" spans="1:53" s="171" customFormat="1" x14ac:dyDescent="0.15">
      <c r="A130" s="171">
        <v>2017</v>
      </c>
      <c r="B130" s="283"/>
      <c r="C130" s="410" t="s">
        <v>1278</v>
      </c>
      <c r="D130" s="410"/>
      <c r="E130" s="171">
        <v>365</v>
      </c>
      <c r="G130" s="233">
        <v>9</v>
      </c>
      <c r="H130" s="171">
        <v>5</v>
      </c>
      <c r="J130" s="241">
        <v>14</v>
      </c>
      <c r="K130" s="214">
        <f t="shared" si="47"/>
        <v>64.285714285714292</v>
      </c>
      <c r="L130" s="214">
        <f t="shared" si="48"/>
        <v>35.714285714285715</v>
      </c>
      <c r="M130" s="214">
        <f t="shared" si="49"/>
        <v>0</v>
      </c>
      <c r="N130" s="235">
        <f t="shared" si="50"/>
        <v>100</v>
      </c>
      <c r="O130" s="213">
        <v>22.6</v>
      </c>
      <c r="P130" s="214">
        <v>34</v>
      </c>
      <c r="Q130" s="214"/>
      <c r="R130" s="215">
        <f t="shared" si="51"/>
        <v>56.6</v>
      </c>
      <c r="S130" s="171">
        <v>2</v>
      </c>
      <c r="T130" s="285"/>
      <c r="U130" s="283"/>
      <c r="V130" s="178" t="s">
        <v>219</v>
      </c>
      <c r="W130" s="171" t="s">
        <v>99</v>
      </c>
      <c r="X130" s="171" t="s">
        <v>11</v>
      </c>
      <c r="Y130" s="179">
        <v>13.3</v>
      </c>
      <c r="Z130" s="171" t="s">
        <v>1279</v>
      </c>
      <c r="AA130" s="171" t="s">
        <v>89</v>
      </c>
      <c r="AB130" s="171" t="s">
        <v>18</v>
      </c>
      <c r="AC130" s="171">
        <v>22</v>
      </c>
      <c r="AD130" s="178" t="s">
        <v>221</v>
      </c>
      <c r="AE130" s="171" t="s">
        <v>81</v>
      </c>
      <c r="AF130" s="171" t="s">
        <v>18</v>
      </c>
      <c r="AG130" s="179">
        <v>12</v>
      </c>
      <c r="AH130" s="171" t="s">
        <v>213</v>
      </c>
      <c r="AI130" s="171" t="s">
        <v>87</v>
      </c>
      <c r="AJ130" s="171" t="s">
        <v>11</v>
      </c>
      <c r="AK130" s="171">
        <v>9.3000000000000007</v>
      </c>
      <c r="AL130" s="178"/>
      <c r="AO130" s="179"/>
      <c r="AP130" s="178"/>
      <c r="AS130" s="179"/>
      <c r="AW130" s="179"/>
      <c r="BA130" s="180"/>
    </row>
    <row r="131" spans="1:53" s="171" customFormat="1" x14ac:dyDescent="0.15">
      <c r="A131" s="171">
        <v>2018</v>
      </c>
      <c r="B131" s="283"/>
      <c r="C131" s="410" t="s">
        <v>1278</v>
      </c>
      <c r="D131" s="410"/>
      <c r="E131" s="171">
        <v>342</v>
      </c>
      <c r="G131" s="233">
        <v>9</v>
      </c>
      <c r="H131" s="171">
        <v>5</v>
      </c>
      <c r="J131" s="241">
        <v>14</v>
      </c>
      <c r="K131" s="214">
        <f t="shared" si="47"/>
        <v>64.285714285714292</v>
      </c>
      <c r="L131" s="214">
        <f t="shared" si="48"/>
        <v>35.714285714285715</v>
      </c>
      <c r="M131" s="214">
        <f t="shared" si="49"/>
        <v>0</v>
      </c>
      <c r="N131" s="235">
        <f t="shared" si="50"/>
        <v>100</v>
      </c>
      <c r="O131" s="213">
        <v>22.6</v>
      </c>
      <c r="P131" s="214">
        <v>34</v>
      </c>
      <c r="Q131" s="214"/>
      <c r="R131" s="215">
        <f t="shared" ref="R131:R132" si="52">SUM(O131:Q131)</f>
        <v>56.6</v>
      </c>
      <c r="S131" s="171">
        <v>2</v>
      </c>
      <c r="T131" s="285"/>
      <c r="U131" s="283"/>
      <c r="V131" s="178" t="s">
        <v>219</v>
      </c>
      <c r="W131" s="171" t="s">
        <v>99</v>
      </c>
      <c r="X131" s="171" t="s">
        <v>11</v>
      </c>
      <c r="Y131" s="179">
        <v>13.3</v>
      </c>
      <c r="Z131" s="171" t="s">
        <v>1279</v>
      </c>
      <c r="AA131" s="171" t="s">
        <v>89</v>
      </c>
      <c r="AB131" s="171" t="s">
        <v>18</v>
      </c>
      <c r="AC131" s="171">
        <v>22</v>
      </c>
      <c r="AD131" s="178" t="s">
        <v>221</v>
      </c>
      <c r="AE131" s="171" t="s">
        <v>81</v>
      </c>
      <c r="AF131" s="171" t="s">
        <v>18</v>
      </c>
      <c r="AG131" s="179">
        <v>12</v>
      </c>
      <c r="AH131" s="171" t="s">
        <v>213</v>
      </c>
      <c r="AI131" s="171" t="s">
        <v>87</v>
      </c>
      <c r="AJ131" s="171" t="s">
        <v>11</v>
      </c>
      <c r="AK131" s="171">
        <v>9.3000000000000007</v>
      </c>
      <c r="AL131" s="178"/>
      <c r="AO131" s="179"/>
      <c r="AP131" s="178"/>
      <c r="AS131" s="179"/>
      <c r="AW131" s="179"/>
      <c r="BA131" s="180"/>
    </row>
    <row r="132" spans="1:53" s="29" customFormat="1" x14ac:dyDescent="0.15">
      <c r="A132" s="29">
        <v>2018</v>
      </c>
      <c r="B132" s="295">
        <v>43443</v>
      </c>
      <c r="C132" s="411" t="s">
        <v>1389</v>
      </c>
      <c r="D132" s="411"/>
      <c r="E132" s="29">
        <v>12</v>
      </c>
      <c r="F132" s="29">
        <v>4</v>
      </c>
      <c r="G132" s="66">
        <v>10</v>
      </c>
      <c r="H132" s="29">
        <v>3</v>
      </c>
      <c r="J132" s="73">
        <v>13</v>
      </c>
      <c r="K132" s="47">
        <f t="shared" si="47"/>
        <v>76.923076923076934</v>
      </c>
      <c r="L132" s="47">
        <f t="shared" si="48"/>
        <v>23.076923076923077</v>
      </c>
      <c r="M132" s="47">
        <f t="shared" si="49"/>
        <v>0</v>
      </c>
      <c r="N132" s="68">
        <f t="shared" si="50"/>
        <v>100.00000000000001</v>
      </c>
      <c r="O132" s="46">
        <v>22.6</v>
      </c>
      <c r="P132" s="47">
        <v>12</v>
      </c>
      <c r="Q132" s="47"/>
      <c r="R132" s="48">
        <f t="shared" si="52"/>
        <v>34.6</v>
      </c>
      <c r="S132" s="29">
        <v>5</v>
      </c>
      <c r="T132" s="286"/>
      <c r="U132" s="295">
        <v>43443</v>
      </c>
      <c r="V132" s="38" t="s">
        <v>219</v>
      </c>
      <c r="W132" s="29" t="s">
        <v>99</v>
      </c>
      <c r="X132" s="29" t="s">
        <v>11</v>
      </c>
      <c r="Y132" s="39">
        <v>13.3</v>
      </c>
      <c r="Z132" s="29" t="s">
        <v>221</v>
      </c>
      <c r="AA132" s="29" t="s">
        <v>81</v>
      </c>
      <c r="AB132" s="29" t="s">
        <v>18</v>
      </c>
      <c r="AC132" s="29">
        <v>12</v>
      </c>
      <c r="AD132" s="38" t="s">
        <v>213</v>
      </c>
      <c r="AE132" s="29" t="s">
        <v>87</v>
      </c>
      <c r="AF132" s="29" t="s">
        <v>11</v>
      </c>
      <c r="AG132" s="39">
        <v>9.3000000000000007</v>
      </c>
      <c r="AL132" s="38"/>
      <c r="AO132" s="39"/>
      <c r="AP132" s="38"/>
      <c r="AS132" s="39"/>
      <c r="AW132" s="39"/>
      <c r="BA132" s="40"/>
    </row>
    <row r="133" spans="1:53" s="171" customFormat="1" x14ac:dyDescent="0.15">
      <c r="A133" s="171">
        <v>2018</v>
      </c>
      <c r="B133" s="283">
        <v>43455</v>
      </c>
      <c r="C133" s="410" t="s">
        <v>1456</v>
      </c>
      <c r="D133" s="410"/>
      <c r="E133" s="171">
        <v>11</v>
      </c>
      <c r="F133" s="171">
        <v>2</v>
      </c>
      <c r="G133" s="233">
        <v>10</v>
      </c>
      <c r="H133" s="171">
        <v>3</v>
      </c>
      <c r="J133" s="241">
        <v>13</v>
      </c>
      <c r="K133" s="214">
        <f t="shared" ref="K133:K137" si="53">G133/J133*100</f>
        <v>76.923076923076934</v>
      </c>
      <c r="L133" s="214">
        <f t="shared" ref="L133:L138" si="54">H133/J133*100</f>
        <v>23.076923076923077</v>
      </c>
      <c r="M133" s="214">
        <f t="shared" ref="M133:M138" si="55">I133/J133*100</f>
        <v>0</v>
      </c>
      <c r="N133" s="235">
        <f t="shared" ref="N133:N138" si="56">SUM(K133:M133)</f>
        <v>100.00000000000001</v>
      </c>
      <c r="O133" s="213">
        <v>22.6</v>
      </c>
      <c r="P133" s="214">
        <v>12</v>
      </c>
      <c r="Q133" s="214"/>
      <c r="R133" s="215">
        <f t="shared" ref="R133:R138" si="57">SUM(O133:Q133)</f>
        <v>34.6</v>
      </c>
      <c r="S133" s="171">
        <v>6</v>
      </c>
      <c r="T133" s="285"/>
      <c r="U133" s="283">
        <v>43455</v>
      </c>
      <c r="V133" s="178" t="s">
        <v>219</v>
      </c>
      <c r="W133" s="171" t="s">
        <v>99</v>
      </c>
      <c r="X133" s="171" t="s">
        <v>11</v>
      </c>
      <c r="Y133" s="179">
        <v>13.3</v>
      </c>
      <c r="Z133" s="171" t="s">
        <v>221</v>
      </c>
      <c r="AA133" s="171" t="s">
        <v>81</v>
      </c>
      <c r="AB133" s="171" t="s">
        <v>18</v>
      </c>
      <c r="AC133" s="171">
        <v>12</v>
      </c>
      <c r="AD133" s="178" t="s">
        <v>213</v>
      </c>
      <c r="AE133" s="171" t="s">
        <v>87</v>
      </c>
      <c r="AF133" s="171" t="s">
        <v>11</v>
      </c>
      <c r="AG133" s="179">
        <v>9.3000000000000007</v>
      </c>
      <c r="AL133" s="178"/>
      <c r="AO133" s="179"/>
      <c r="AP133" s="178"/>
      <c r="AS133" s="179"/>
      <c r="AW133" s="179"/>
      <c r="BA133" s="180"/>
    </row>
    <row r="134" spans="1:53" s="171" customFormat="1" x14ac:dyDescent="0.15">
      <c r="A134" s="171">
        <v>2019</v>
      </c>
      <c r="B134" s="283"/>
      <c r="C134" s="410" t="s">
        <v>1456</v>
      </c>
      <c r="D134" s="410"/>
      <c r="E134" s="171">
        <v>299</v>
      </c>
      <c r="G134" s="233">
        <v>10</v>
      </c>
      <c r="H134" s="171">
        <v>3</v>
      </c>
      <c r="J134" s="241">
        <v>13</v>
      </c>
      <c r="K134" s="214">
        <f t="shared" si="53"/>
        <v>76.923076923076934</v>
      </c>
      <c r="L134" s="214">
        <f t="shared" si="54"/>
        <v>23.076923076923077</v>
      </c>
      <c r="M134" s="214">
        <f t="shared" si="55"/>
        <v>0</v>
      </c>
      <c r="N134" s="235">
        <f t="shared" si="56"/>
        <v>100.00000000000001</v>
      </c>
      <c r="O134" s="213">
        <v>22.6</v>
      </c>
      <c r="P134" s="214">
        <v>12</v>
      </c>
      <c r="Q134" s="214"/>
      <c r="R134" s="215">
        <f t="shared" si="57"/>
        <v>34.6</v>
      </c>
      <c r="S134" s="171">
        <v>6</v>
      </c>
      <c r="T134" s="285"/>
      <c r="U134" s="283"/>
      <c r="V134" s="178" t="s">
        <v>219</v>
      </c>
      <c r="W134" s="171" t="s">
        <v>99</v>
      </c>
      <c r="X134" s="171" t="s">
        <v>11</v>
      </c>
      <c r="Y134" s="179">
        <v>13.3</v>
      </c>
      <c r="Z134" s="171" t="s">
        <v>221</v>
      </c>
      <c r="AA134" s="171" t="s">
        <v>81</v>
      </c>
      <c r="AB134" s="171" t="s">
        <v>18</v>
      </c>
      <c r="AC134" s="171">
        <v>12</v>
      </c>
      <c r="AD134" s="178" t="s">
        <v>213</v>
      </c>
      <c r="AE134" s="171" t="s">
        <v>87</v>
      </c>
      <c r="AF134" s="171" t="s">
        <v>11</v>
      </c>
      <c r="AG134" s="179">
        <v>9.3000000000000007</v>
      </c>
      <c r="AL134" s="178"/>
      <c r="AO134" s="179"/>
      <c r="AP134" s="178"/>
      <c r="AS134" s="179"/>
      <c r="AW134" s="179"/>
      <c r="BA134" s="180"/>
    </row>
    <row r="135" spans="1:53" s="29" customFormat="1" x14ac:dyDescent="0.15">
      <c r="A135" s="29">
        <v>2019</v>
      </c>
      <c r="B135" s="295">
        <v>43765</v>
      </c>
      <c r="C135" s="411" t="s">
        <v>1460</v>
      </c>
      <c r="D135" s="411"/>
      <c r="E135" s="29">
        <v>66</v>
      </c>
      <c r="F135" s="29">
        <v>1</v>
      </c>
      <c r="G135" s="66">
        <v>10</v>
      </c>
      <c r="H135" s="29">
        <v>3</v>
      </c>
      <c r="J135" s="73">
        <v>13</v>
      </c>
      <c r="K135" s="47">
        <f t="shared" si="53"/>
        <v>76.923076923076934</v>
      </c>
      <c r="L135" s="47">
        <f t="shared" si="54"/>
        <v>23.076923076923077</v>
      </c>
      <c r="M135" s="47">
        <f t="shared" si="55"/>
        <v>0</v>
      </c>
      <c r="N135" s="68">
        <f t="shared" si="56"/>
        <v>100.00000000000001</v>
      </c>
      <c r="O135" s="46">
        <v>17.3</v>
      </c>
      <c r="P135" s="47">
        <v>8</v>
      </c>
      <c r="Q135" s="47"/>
      <c r="R135" s="48">
        <f t="shared" si="57"/>
        <v>25.3</v>
      </c>
      <c r="S135" s="29">
        <v>6</v>
      </c>
      <c r="T135" s="286">
        <v>43611</v>
      </c>
      <c r="U135" s="295">
        <v>43765</v>
      </c>
      <c r="V135" s="38" t="s">
        <v>219</v>
      </c>
      <c r="W135" s="29" t="s">
        <v>99</v>
      </c>
      <c r="X135" s="29" t="s">
        <v>11</v>
      </c>
      <c r="Y135" s="39">
        <v>9.3000000000000007</v>
      </c>
      <c r="Z135" s="29" t="s">
        <v>221</v>
      </c>
      <c r="AA135" s="29" t="s">
        <v>81</v>
      </c>
      <c r="AB135" s="29" t="s">
        <v>18</v>
      </c>
      <c r="AC135" s="47">
        <v>8</v>
      </c>
      <c r="AD135" s="38" t="s">
        <v>213</v>
      </c>
      <c r="AE135" s="29" t="s">
        <v>87</v>
      </c>
      <c r="AF135" s="29" t="s">
        <v>11</v>
      </c>
      <c r="AG135" s="88">
        <v>8</v>
      </c>
      <c r="AL135" s="38"/>
      <c r="AO135" s="39"/>
      <c r="AP135" s="38"/>
      <c r="AS135" s="329"/>
      <c r="AW135" s="329"/>
      <c r="BA135" s="40"/>
    </row>
    <row r="136" spans="1:53" s="29" customFormat="1" x14ac:dyDescent="0.15">
      <c r="A136" s="29">
        <v>2020</v>
      </c>
      <c r="C136" s="411" t="s">
        <v>1460</v>
      </c>
      <c r="D136" s="411"/>
      <c r="E136" s="29">
        <v>77</v>
      </c>
      <c r="F136" s="40"/>
      <c r="G136" s="29">
        <v>10</v>
      </c>
      <c r="H136" s="29">
        <v>3</v>
      </c>
      <c r="J136" s="40">
        <v>13</v>
      </c>
      <c r="K136" s="47">
        <f t="shared" si="53"/>
        <v>76.923076923076934</v>
      </c>
      <c r="L136" s="47">
        <f t="shared" si="54"/>
        <v>23.076923076923077</v>
      </c>
      <c r="M136" s="47">
        <f t="shared" si="55"/>
        <v>0</v>
      </c>
      <c r="N136" s="332">
        <f t="shared" si="56"/>
        <v>100.00000000000001</v>
      </c>
      <c r="O136" s="29">
        <v>17.3</v>
      </c>
      <c r="P136" s="47">
        <v>8</v>
      </c>
      <c r="R136" s="40">
        <f t="shared" si="57"/>
        <v>25.3</v>
      </c>
      <c r="S136" s="37">
        <v>6</v>
      </c>
      <c r="T136" s="37"/>
      <c r="U136" s="333"/>
      <c r="V136" s="29" t="s">
        <v>219</v>
      </c>
      <c r="W136" s="29" t="s">
        <v>99</v>
      </c>
      <c r="X136" s="29" t="s">
        <v>11</v>
      </c>
      <c r="Y136" s="329">
        <v>9.3000000000000007</v>
      </c>
      <c r="Z136" s="29" t="s">
        <v>221</v>
      </c>
      <c r="AA136" s="29" t="s">
        <v>81</v>
      </c>
      <c r="AB136" s="29" t="s">
        <v>18</v>
      </c>
      <c r="AC136" s="47">
        <v>8</v>
      </c>
      <c r="AD136" s="327" t="s">
        <v>213</v>
      </c>
      <c r="AE136" s="29" t="s">
        <v>87</v>
      </c>
      <c r="AF136" s="29" t="s">
        <v>11</v>
      </c>
      <c r="AG136" s="334">
        <v>8</v>
      </c>
      <c r="AK136" s="329"/>
      <c r="AO136" s="329"/>
      <c r="AS136" s="329"/>
      <c r="AW136" s="329"/>
      <c r="BA136" s="336"/>
    </row>
    <row r="137" spans="1:53" s="171" customFormat="1" x14ac:dyDescent="0.15">
      <c r="A137" s="171">
        <v>2020</v>
      </c>
      <c r="B137" s="283">
        <v>43907</v>
      </c>
      <c r="C137" s="410" t="s">
        <v>1461</v>
      </c>
      <c r="D137" s="410"/>
      <c r="E137" s="171">
        <v>197</v>
      </c>
      <c r="F137" s="180" t="s">
        <v>335</v>
      </c>
      <c r="G137" s="171">
        <v>10</v>
      </c>
      <c r="H137" s="171">
        <v>3</v>
      </c>
      <c r="J137" s="180">
        <v>13</v>
      </c>
      <c r="K137" s="214">
        <f t="shared" si="53"/>
        <v>76.923076923076934</v>
      </c>
      <c r="L137" s="214">
        <f t="shared" si="54"/>
        <v>23.076923076923077</v>
      </c>
      <c r="M137" s="214">
        <f t="shared" si="55"/>
        <v>0</v>
      </c>
      <c r="N137" s="331">
        <f t="shared" si="56"/>
        <v>100.00000000000001</v>
      </c>
      <c r="O137" s="171">
        <v>17.3</v>
      </c>
      <c r="P137" s="214">
        <v>8</v>
      </c>
      <c r="R137" s="180">
        <f t="shared" si="57"/>
        <v>25.3</v>
      </c>
      <c r="S137" s="190">
        <v>5</v>
      </c>
      <c r="T137" s="190"/>
      <c r="U137" s="283">
        <v>43907</v>
      </c>
      <c r="V137" s="328" t="s">
        <v>219</v>
      </c>
      <c r="W137" s="171" t="s">
        <v>99</v>
      </c>
      <c r="X137" s="171" t="s">
        <v>11</v>
      </c>
      <c r="Y137" s="326">
        <v>9.3000000000000007</v>
      </c>
      <c r="Z137" s="328" t="s">
        <v>221</v>
      </c>
      <c r="AA137" s="171" t="s">
        <v>81</v>
      </c>
      <c r="AB137" s="171" t="s">
        <v>18</v>
      </c>
      <c r="AC137" s="214">
        <v>8</v>
      </c>
      <c r="AD137" s="328" t="s">
        <v>213</v>
      </c>
      <c r="AE137" s="171" t="s">
        <v>87</v>
      </c>
      <c r="AF137" s="171" t="s">
        <v>11</v>
      </c>
      <c r="AG137" s="335">
        <v>8</v>
      </c>
      <c r="AK137" s="326"/>
      <c r="AO137" s="326"/>
      <c r="AS137" s="326"/>
      <c r="AW137" s="326"/>
      <c r="BA137" s="337"/>
    </row>
    <row r="138" spans="1:53" s="29" customFormat="1" x14ac:dyDescent="0.15">
      <c r="A138" s="29">
        <v>2020</v>
      </c>
      <c r="B138" s="295">
        <v>44105</v>
      </c>
      <c r="C138" s="411" t="s">
        <v>1462</v>
      </c>
      <c r="D138" s="411"/>
      <c r="E138" s="29">
        <v>92</v>
      </c>
      <c r="F138" s="40">
        <v>1</v>
      </c>
      <c r="G138" s="29">
        <v>6</v>
      </c>
      <c r="H138" s="29">
        <v>3</v>
      </c>
      <c r="I138" s="29">
        <v>11</v>
      </c>
      <c r="J138" s="40">
        <v>20</v>
      </c>
      <c r="K138" s="47">
        <f>G138/J138*100</f>
        <v>30</v>
      </c>
      <c r="L138" s="47">
        <f t="shared" si="54"/>
        <v>15</v>
      </c>
      <c r="M138" s="47">
        <f t="shared" si="55"/>
        <v>55.000000000000007</v>
      </c>
      <c r="N138" s="332">
        <f t="shared" si="56"/>
        <v>100</v>
      </c>
      <c r="O138" s="29">
        <v>17.3</v>
      </c>
      <c r="P138" s="47">
        <v>8</v>
      </c>
      <c r="Q138" s="29">
        <v>32.5</v>
      </c>
      <c r="R138" s="40">
        <f t="shared" si="57"/>
        <v>57.8</v>
      </c>
      <c r="S138" s="372">
        <v>3</v>
      </c>
      <c r="T138" s="37"/>
      <c r="U138" s="371">
        <v>44105</v>
      </c>
      <c r="V138" s="327" t="s">
        <v>95</v>
      </c>
      <c r="W138" s="29" t="s">
        <v>96</v>
      </c>
      <c r="X138" s="29" t="s">
        <v>12</v>
      </c>
      <c r="Y138" s="329">
        <v>12.6</v>
      </c>
      <c r="Z138" s="29" t="s">
        <v>219</v>
      </c>
      <c r="AA138" s="29" t="s">
        <v>99</v>
      </c>
      <c r="AB138" s="29" t="s">
        <v>11</v>
      </c>
      <c r="AC138" s="329">
        <v>9.3000000000000007</v>
      </c>
      <c r="AD138" s="29" t="s">
        <v>214</v>
      </c>
      <c r="AE138" s="29" t="s">
        <v>216</v>
      </c>
      <c r="AF138" s="29" t="s">
        <v>12</v>
      </c>
      <c r="AG138" s="29">
        <v>8.6</v>
      </c>
      <c r="AH138" s="327" t="s">
        <v>221</v>
      </c>
      <c r="AI138" s="29" t="s">
        <v>81</v>
      </c>
      <c r="AJ138" s="29" t="s">
        <v>18</v>
      </c>
      <c r="AK138" s="29">
        <v>8</v>
      </c>
      <c r="AL138" s="327" t="s">
        <v>213</v>
      </c>
      <c r="AM138" s="29" t="s">
        <v>87</v>
      </c>
      <c r="AN138" s="29" t="s">
        <v>11</v>
      </c>
      <c r="AO138" s="329">
        <v>8</v>
      </c>
      <c r="AP138" s="29" t="s">
        <v>94</v>
      </c>
      <c r="AQ138" s="29" t="s">
        <v>97</v>
      </c>
      <c r="AR138" s="29" t="s">
        <v>12</v>
      </c>
      <c r="AS138" s="329">
        <v>6</v>
      </c>
      <c r="AT138" s="29" t="s">
        <v>215</v>
      </c>
      <c r="AU138" s="29" t="s">
        <v>217</v>
      </c>
      <c r="AV138" s="29" t="s">
        <v>12</v>
      </c>
      <c r="AW138" s="29">
        <v>5.3</v>
      </c>
      <c r="AX138" s="327"/>
      <c r="BA138" s="336"/>
    </row>
    <row r="140" spans="1:53" ht="18" customHeight="1" x14ac:dyDescent="0.15">
      <c r="B140" s="16" t="s">
        <v>1264</v>
      </c>
    </row>
    <row r="141" spans="1:53" ht="9" customHeight="1" x14ac:dyDescent="0.15"/>
    <row r="142" spans="1:53" s="195" customFormat="1" ht="9" customHeight="1" x14ac:dyDescent="0.15">
      <c r="A142" s="193"/>
      <c r="B142" s="194" t="s">
        <v>1215</v>
      </c>
      <c r="C142" s="194"/>
      <c r="D142" s="194"/>
      <c r="E142" s="194"/>
      <c r="F142" s="194"/>
      <c r="G142" s="194" t="s">
        <v>1216</v>
      </c>
      <c r="H142" s="194"/>
      <c r="I142" s="194"/>
      <c r="J142" s="194"/>
      <c r="K142" s="194"/>
      <c r="L142" s="194"/>
      <c r="M142" s="194"/>
      <c r="N142" s="194"/>
      <c r="R142" s="388" t="s">
        <v>1217</v>
      </c>
      <c r="S142" s="388"/>
      <c r="T142" s="388"/>
      <c r="U142" s="388"/>
      <c r="V142" s="388"/>
      <c r="W142" s="388"/>
      <c r="X142" s="196"/>
      <c r="Y142" s="196"/>
      <c r="AA142" s="196"/>
      <c r="AB142" s="196"/>
      <c r="AC142" s="196"/>
      <c r="AD142" s="196"/>
    </row>
    <row r="143" spans="1:53" s="200" customFormat="1" ht="9" customHeight="1" x14ac:dyDescent="0.15">
      <c r="A143" s="197"/>
      <c r="B143" s="198" t="s">
        <v>1219</v>
      </c>
      <c r="C143" s="199"/>
      <c r="D143" s="199"/>
      <c r="E143" s="199"/>
      <c r="F143" s="199"/>
      <c r="G143" s="198" t="s">
        <v>1218</v>
      </c>
      <c r="H143" s="199"/>
      <c r="I143" s="199"/>
      <c r="J143" s="199"/>
      <c r="K143" s="199"/>
      <c r="L143" s="199"/>
      <c r="M143" s="199"/>
      <c r="N143" s="199"/>
      <c r="R143" s="201" t="s">
        <v>1220</v>
      </c>
      <c r="S143" s="202"/>
      <c r="T143" s="203"/>
      <c r="U143" s="203"/>
      <c r="V143" s="203"/>
      <c r="W143" s="201" t="s">
        <v>1221</v>
      </c>
      <c r="X143" s="203"/>
      <c r="Y143" s="203"/>
      <c r="AA143" s="203"/>
      <c r="AB143" s="203"/>
      <c r="AC143" s="203"/>
      <c r="AD143" s="203"/>
    </row>
    <row r="144" spans="1:53" s="186" customFormat="1" ht="12" customHeight="1" x14ac:dyDescent="0.15">
      <c r="A144" s="204" t="s">
        <v>3</v>
      </c>
      <c r="B144" s="205" t="s">
        <v>8</v>
      </c>
      <c r="C144" s="205" t="s">
        <v>9</v>
      </c>
      <c r="D144" s="205" t="s">
        <v>10</v>
      </c>
      <c r="E144" s="206" t="s">
        <v>1195</v>
      </c>
      <c r="F144" s="205"/>
      <c r="G144" s="186" t="s">
        <v>3</v>
      </c>
      <c r="H144" s="389" t="s">
        <v>0</v>
      </c>
      <c r="I144" s="389"/>
      <c r="J144" s="389" t="s">
        <v>1</v>
      </c>
      <c r="K144" s="389"/>
      <c r="L144" s="389" t="s">
        <v>2</v>
      </c>
      <c r="M144" s="389"/>
      <c r="N144" s="390" t="s">
        <v>1195</v>
      </c>
      <c r="O144" s="390"/>
      <c r="P144" s="207"/>
      <c r="Q144" s="207"/>
      <c r="R144" s="208" t="s">
        <v>3</v>
      </c>
      <c r="S144" s="209" t="s">
        <v>135</v>
      </c>
      <c r="T144" s="207" t="s">
        <v>133</v>
      </c>
      <c r="U144" s="205" t="s">
        <v>134</v>
      </c>
      <c r="V144" s="207"/>
      <c r="W144" s="210" t="s">
        <v>26</v>
      </c>
    </row>
    <row r="145" spans="1:23" s="140" customFormat="1" x14ac:dyDescent="0.15">
      <c r="A145" s="146">
        <v>1959</v>
      </c>
      <c r="B145" s="143">
        <f>(K6*($E6/365))+(K7*($E7/365))</f>
        <v>33.333333333333329</v>
      </c>
      <c r="C145" s="143">
        <f>(L6*($E6/365))+(L7*($E7/365))</f>
        <v>66.666666666666657</v>
      </c>
      <c r="D145" s="143">
        <f>(M6*($E6/365))+(M7*($E7/365))</f>
        <v>0</v>
      </c>
      <c r="E145" s="144">
        <f>B145+C145+D145</f>
        <v>99.999999999999986</v>
      </c>
      <c r="G145" s="146">
        <v>1959</v>
      </c>
      <c r="H145" s="417">
        <f xml:space="preserve"> (O6/$R6*100*($E6/365))+(O7/$R7*100*($E7/365))</f>
        <v>16.779661016949156</v>
      </c>
      <c r="I145" s="417"/>
      <c r="J145" s="417">
        <f xml:space="preserve"> (P6/$R6*100*($E6/365))+(P7/$R7*100*($E7/365))</f>
        <v>83.220338983050851</v>
      </c>
      <c r="K145" s="417"/>
      <c r="L145" s="417">
        <f xml:space="preserve"> (Q6/$R6*100*($E6/365))+(Q7/$R7*100*($E7/365))</f>
        <v>0</v>
      </c>
      <c r="M145" s="417"/>
      <c r="N145" s="412">
        <f>H145+J145+K145</f>
        <v>100</v>
      </c>
      <c r="O145" s="412"/>
      <c r="R145" s="146">
        <v>1959</v>
      </c>
      <c r="S145" s="143">
        <f>(O6*($E6/365))+(O7*($E7/365))</f>
        <v>9.9</v>
      </c>
      <c r="T145" s="143">
        <f>(P6*($E6/365))+(P7*($E7/365))</f>
        <v>49.1</v>
      </c>
      <c r="U145" s="143">
        <f>(Q6*($E6/365))+(Q7*($E7/365))</f>
        <v>0</v>
      </c>
      <c r="V145" s="143"/>
      <c r="W145" s="143">
        <f>S145+T145+U145</f>
        <v>59</v>
      </c>
    </row>
    <row r="146" spans="1:23" x14ac:dyDescent="0.15">
      <c r="A146" s="14">
        <v>1960</v>
      </c>
      <c r="B146" s="5">
        <f>(K8*($E8/366))+(K9*($E9/366))</f>
        <v>33.884335154826957</v>
      </c>
      <c r="C146" s="5">
        <f>(L8*($E8/366))+(L9*($E9/366))</f>
        <v>66.115664845173029</v>
      </c>
      <c r="D146" s="5">
        <f>(M8*($E8/366))+(M9*($E9/366))</f>
        <v>0</v>
      </c>
      <c r="E146" s="18">
        <f t="shared" ref="E146:E177" si="58">SUM(B146:D146)</f>
        <v>99.999999999999986</v>
      </c>
      <c r="G146" s="14">
        <v>1960</v>
      </c>
      <c r="H146" s="409">
        <f>(O8/$R8*100*($E8/366))+(O9/$R9*100*($E9/366))</f>
        <v>16.779661016949156</v>
      </c>
      <c r="I146" s="409"/>
      <c r="J146" s="380">
        <f>(P8/$R8*100*($E8/366))+(P9/$R9*100*($E9/366))</f>
        <v>83.220338983050851</v>
      </c>
      <c r="K146" s="380"/>
      <c r="L146" s="380">
        <f>(Q8/$R8*100*($E8/366))+(Q9/$R9*100*($E9/366))</f>
        <v>0</v>
      </c>
      <c r="M146" s="380"/>
      <c r="N146" s="379">
        <f>SUM(H146:L146)</f>
        <v>100</v>
      </c>
      <c r="O146" s="379"/>
      <c r="R146" s="14">
        <v>1960</v>
      </c>
      <c r="S146" s="5">
        <f>(O8*($E8/366))+(O9*($E9/366))</f>
        <v>9.8999999999999986</v>
      </c>
      <c r="T146" s="5">
        <f>(P8*($E8/366))+(P9*($E9/366))</f>
        <v>49.099999999999994</v>
      </c>
      <c r="U146" s="5">
        <f>(Q8*($E8/366))+(Q9*($E9/366))</f>
        <v>0</v>
      </c>
      <c r="V146" s="5"/>
      <c r="W146" s="5">
        <f>R8*(E8/366) + R9*(E9/366)</f>
        <v>59</v>
      </c>
    </row>
    <row r="147" spans="1:23" x14ac:dyDescent="0.15">
      <c r="A147" s="14">
        <v>1961</v>
      </c>
      <c r="B147" s="5">
        <f>(K10*($E10/365))+(K11*($E11/365))</f>
        <v>10.931506849315069</v>
      </c>
      <c r="C147" s="5">
        <f>(L10*($E10/365))+(L11*($E11/365))</f>
        <v>60.752618855761483</v>
      </c>
      <c r="D147" s="5">
        <f>(M10*($E10/365))+(M11*($E11/365))</f>
        <v>28.315874294923443</v>
      </c>
      <c r="E147" s="18">
        <f t="shared" si="58"/>
        <v>100</v>
      </c>
      <c r="G147" s="14">
        <v>1961</v>
      </c>
      <c r="H147" s="409">
        <f>(O10/$R10*100*($E10/365))+(O11/$R11*100*($E11/365))</f>
        <v>5.2407708381704214</v>
      </c>
      <c r="I147" s="409"/>
      <c r="J147" s="380">
        <f>(P10/$R10*100*($E10/365))+(P11/$R11*100*($E11/365))</f>
        <v>62.684104518816838</v>
      </c>
      <c r="K147" s="380"/>
      <c r="L147" s="380">
        <f>(Q10/$R10*100*($E10/365))+(Q11/$R11*100*($E11/365))</f>
        <v>32.075124643012728</v>
      </c>
      <c r="M147" s="380"/>
      <c r="N147" s="379">
        <f>SUM(H147:L147)</f>
        <v>99.999999999999986</v>
      </c>
      <c r="O147" s="379"/>
      <c r="R147" s="14">
        <v>1961</v>
      </c>
      <c r="S147" s="5">
        <f>(O10*($E10/365))+(O11*($E11/365))</f>
        <v>3.0920547945205481</v>
      </c>
      <c r="T147" s="5">
        <f>(P10*($E10/365))+(P11*($E11/365))</f>
        <v>46.48684931506849</v>
      </c>
      <c r="U147" s="5">
        <f>(Q10*($E10/365))+(Q11*($E11/365))</f>
        <v>27.231780821917809</v>
      </c>
      <c r="V147" s="5"/>
      <c r="W147" s="5">
        <f>R10*(E10/365) + R11*(E11/365)</f>
        <v>76.810684931506856</v>
      </c>
    </row>
    <row r="148" spans="1:23" x14ac:dyDescent="0.15">
      <c r="A148" s="14">
        <v>1962</v>
      </c>
      <c r="B148" s="5">
        <f>(K12*($E12/365))+(K13*($E13/365))</f>
        <v>0</v>
      </c>
      <c r="C148" s="5">
        <f>(L12*($E12/365))+(L13*($E13/365))</f>
        <v>58.82352941176471</v>
      </c>
      <c r="D148" s="5">
        <f>(M12*($E12/365))+(M13*($E13/365))</f>
        <v>41.17647058823529</v>
      </c>
      <c r="E148" s="18">
        <f t="shared" si="58"/>
        <v>100</v>
      </c>
      <c r="G148" s="14">
        <v>1962</v>
      </c>
      <c r="H148" s="409">
        <f>(O12/$R12*100*($E12/365))+(O13/$R13*100*($E13/365))</f>
        <v>0</v>
      </c>
      <c r="I148" s="409"/>
      <c r="J148" s="380">
        <f>(P12/$R12*100*($E12/365))+(P13/$R13*100*($E13/365))</f>
        <v>53.356890459363946</v>
      </c>
      <c r="K148" s="380"/>
      <c r="L148" s="380">
        <f>(Q12/$R12*100*($E12/365))+(Q13/$R13*100*($E13/365))</f>
        <v>46.64310954063604</v>
      </c>
      <c r="M148" s="380"/>
      <c r="N148" s="379">
        <f>SUM(H148:L148)</f>
        <v>99.999999999999986</v>
      </c>
      <c r="O148" s="379"/>
      <c r="R148" s="14">
        <v>1962</v>
      </c>
      <c r="S148" s="5">
        <f>(O12*($E12/365))+(O13*($E13/365))</f>
        <v>0</v>
      </c>
      <c r="T148" s="5">
        <f>(P12*($E12/365))+(P13*($E13/365))</f>
        <v>45.3</v>
      </c>
      <c r="U148" s="5">
        <f>(Q12*($E12/365))+(Q13*($E13/365))</f>
        <v>39.6</v>
      </c>
      <c r="V148" s="5"/>
      <c r="W148" s="5">
        <f>R12*(E12/365) + R13*(E13/365)</f>
        <v>84.9</v>
      </c>
    </row>
    <row r="149" spans="1:23" x14ac:dyDescent="0.15">
      <c r="A149" s="14">
        <v>1963</v>
      </c>
      <c r="B149" s="5">
        <f>(K14*($E14/365))+(K15*($E15/365))</f>
        <v>0</v>
      </c>
      <c r="C149" s="5">
        <f>(L14*($E14/365))+(L15*($E15/365))</f>
        <v>58.82352941176471</v>
      </c>
      <c r="D149" s="5">
        <f>(M14*($E14/365))+(M15*($E15/365))</f>
        <v>41.17647058823529</v>
      </c>
      <c r="E149" s="18">
        <f t="shared" si="58"/>
        <v>100</v>
      </c>
      <c r="G149" s="14">
        <v>1963</v>
      </c>
      <c r="H149" s="409">
        <f>(O14/$R14*100*($E14/365))+(O15/$R15*100*($E15/365))</f>
        <v>0</v>
      </c>
      <c r="I149" s="409"/>
      <c r="J149" s="380">
        <f>(P14/$R14*100*($E14/365))+(P15/$R15*100*($E15/365))</f>
        <v>53.356890459363946</v>
      </c>
      <c r="K149" s="380"/>
      <c r="L149" s="380">
        <f>(Q14/$R14*100*($E14/365))+(Q15/$R15*100*($E15/365))</f>
        <v>46.64310954063604</v>
      </c>
      <c r="M149" s="380"/>
      <c r="N149" s="379">
        <f t="shared" ref="N149:N198" si="59">SUM(H149:L149)</f>
        <v>99.999999999999986</v>
      </c>
      <c r="O149" s="379"/>
      <c r="R149" s="14">
        <v>1963</v>
      </c>
      <c r="S149" s="5">
        <f>(O14*($E14/365))+(O15*($E15/365))</f>
        <v>0</v>
      </c>
      <c r="T149" s="5">
        <f>(P14*($E14/365))+(P15*($E15/365))</f>
        <v>45.3</v>
      </c>
      <c r="U149" s="5">
        <f>(Q14*($E14/365))+(Q15*($E15/365))</f>
        <v>39.6</v>
      </c>
      <c r="V149" s="5"/>
      <c r="W149" s="5">
        <f>R14*(E14/365) + R15*(E15/365)</f>
        <v>84.9</v>
      </c>
    </row>
    <row r="150" spans="1:23" x14ac:dyDescent="0.15">
      <c r="A150" s="14">
        <v>1964</v>
      </c>
      <c r="B150" s="5">
        <f>(K16*($E16/366))+(K17*($E17/366))</f>
        <v>0</v>
      </c>
      <c r="C150" s="5">
        <f>(L16*($E16/366))+(L17*($E17/366))</f>
        <v>58.82352941176471</v>
      </c>
      <c r="D150" s="5">
        <f>(M16*($E16/366))+(M17*($E17/366))</f>
        <v>41.17647058823529</v>
      </c>
      <c r="E150" s="18">
        <f t="shared" si="58"/>
        <v>100</v>
      </c>
      <c r="G150" s="14">
        <v>1964</v>
      </c>
      <c r="H150" s="409">
        <f>(O16/$R16*100*($E16/366))+(O17/$R17*100*($E17/366))</f>
        <v>0</v>
      </c>
      <c r="I150" s="409"/>
      <c r="J150" s="380">
        <f>(P16/$R16*100*($E16/366))+(P17/$R17*100*($E17/366))</f>
        <v>53.356890459363946</v>
      </c>
      <c r="K150" s="380"/>
      <c r="L150" s="380">
        <f>(Q16/$R16*100*($E16/366))+(Q17/$R17*100*($E17/366))</f>
        <v>46.64310954063604</v>
      </c>
      <c r="M150" s="380"/>
      <c r="N150" s="379">
        <f t="shared" si="59"/>
        <v>99.999999999999986</v>
      </c>
      <c r="O150" s="379"/>
      <c r="R150" s="14">
        <v>1964</v>
      </c>
      <c r="S150" s="5">
        <f>(O16*($E16/366))+(O17*($E17/366))</f>
        <v>0</v>
      </c>
      <c r="T150" s="5">
        <f>(P16*($E16/366))+(P17*($E17/366))</f>
        <v>45.3</v>
      </c>
      <c r="U150" s="5">
        <f>(Q16*($E16/366))+(Q17*($E17/366))</f>
        <v>39.6</v>
      </c>
      <c r="V150" s="5"/>
      <c r="W150" s="5">
        <f>R16*(E16/366) + R17*(E17/366)</f>
        <v>84.9</v>
      </c>
    </row>
    <row r="151" spans="1:23" x14ac:dyDescent="0.15">
      <c r="A151" s="14">
        <v>1965</v>
      </c>
      <c r="B151" s="5">
        <f>(K18*($E18/365))+(K19*($E19/365))</f>
        <v>0</v>
      </c>
      <c r="C151" s="5">
        <f>(L18*($E18/365))+(L19*($E19/365))</f>
        <v>59.329572925060432</v>
      </c>
      <c r="D151" s="5">
        <f>(M18*($E18/365))+(M19*($E19/365))</f>
        <v>40.670427074939568</v>
      </c>
      <c r="E151" s="18">
        <f t="shared" si="58"/>
        <v>100</v>
      </c>
      <c r="G151" s="14">
        <v>1965</v>
      </c>
      <c r="H151" s="409">
        <f>(O18/$R18*100*($E18/365))+(O19/$R19*100*($E19/365))</f>
        <v>0</v>
      </c>
      <c r="I151" s="409"/>
      <c r="J151" s="380">
        <f>(P18/$R18*100*($E18/365))+(P19/$R19*100*($E19/365))</f>
        <v>53.885776447993493</v>
      </c>
      <c r="K151" s="380"/>
      <c r="L151" s="380">
        <f>(Q18/$R18*100*($E18/365))+(Q19/$R19*100*($E19/365))</f>
        <v>46.1142235520065</v>
      </c>
      <c r="M151" s="380"/>
      <c r="N151" s="379">
        <f t="shared" si="59"/>
        <v>100</v>
      </c>
      <c r="O151" s="379"/>
      <c r="R151" s="14">
        <v>1965</v>
      </c>
      <c r="S151" s="5">
        <f>(O18*($E18/365))+(O19*($E19/365))</f>
        <v>0</v>
      </c>
      <c r="T151" s="5">
        <f>(P18*($E18/365))+(P19*($E19/365))</f>
        <v>41.42876712328767</v>
      </c>
      <c r="U151" s="5">
        <f>(Q18*($E18/365))+(Q19*($E19/365))</f>
        <v>35.556712328767119</v>
      </c>
      <c r="V151" s="5"/>
      <c r="W151" s="5">
        <f>R18*(E18/365) + R19*(E19/365)</f>
        <v>76.985479452054804</v>
      </c>
    </row>
    <row r="152" spans="1:23" x14ac:dyDescent="0.15">
      <c r="A152" s="14">
        <v>1966</v>
      </c>
      <c r="B152" s="5">
        <f>(K20*($E20/365))+(K21*($E21/365))</f>
        <v>28.968997837058396</v>
      </c>
      <c r="C152" s="5">
        <f>(L20*($E20/365))+(L21*($E21/365))</f>
        <v>62.483056957462153</v>
      </c>
      <c r="D152" s="5">
        <f>(M20*($E20/365))+(M21*($E21/365))</f>
        <v>8.5479452054794525</v>
      </c>
      <c r="E152" s="18">
        <f t="shared" si="58"/>
        <v>100</v>
      </c>
      <c r="G152" s="14">
        <v>1966</v>
      </c>
      <c r="H152" s="409">
        <f>(O20/$R20*100*($E20/365))+(O21/$R21*100*($E21/365))</f>
        <v>30.170477010023955</v>
      </c>
      <c r="I152" s="409"/>
      <c r="J152" s="380">
        <f>(P20/$R20*100*($E20/365))+(P21/$R21*100*($E21/365))</f>
        <v>60.124713019845231</v>
      </c>
      <c r="K152" s="380"/>
      <c r="L152" s="380">
        <f>(Q20/$R20*100*($E20/365))+(Q21/$R21*100*($E21/365))</f>
        <v>9.7048099701308068</v>
      </c>
      <c r="M152" s="380"/>
      <c r="N152" s="379">
        <f t="shared" si="59"/>
        <v>100</v>
      </c>
      <c r="O152" s="379"/>
      <c r="R152" s="14">
        <v>1966</v>
      </c>
      <c r="S152" s="5">
        <f>(O20*($E20/365))+(O21*($E21/365))</f>
        <v>17.770410958904112</v>
      </c>
      <c r="T152" s="5">
        <f>(P20*($E20/365))+(P21*($E21/365))</f>
        <v>36.299999999999997</v>
      </c>
      <c r="U152" s="5">
        <f>(Q20*($E20/365))+(Q21*($E21/365))</f>
        <v>6.4536986301369863</v>
      </c>
      <c r="V152" s="5"/>
      <c r="W152" s="5">
        <f>R20*(E20/365) + R21*(E21/365)</f>
        <v>60.524109589041096</v>
      </c>
    </row>
    <row r="153" spans="1:23" x14ac:dyDescent="0.15">
      <c r="A153" s="14">
        <v>1967</v>
      </c>
      <c r="B153" s="5">
        <f>(K22*($E22/365))+(K23*($E23/365))</f>
        <v>36.84210526315789</v>
      </c>
      <c r="C153" s="5">
        <f>(L22*($E22/365))+(L23*($E23/365))</f>
        <v>63.157894736842103</v>
      </c>
      <c r="D153" s="5">
        <f>(M22*($E22/365))+(M23*($E23/365))</f>
        <v>0</v>
      </c>
      <c r="E153" s="18">
        <f t="shared" si="58"/>
        <v>100</v>
      </c>
      <c r="G153" s="14">
        <v>1967</v>
      </c>
      <c r="H153" s="409">
        <f>(O22/$R22*100*($E22/365))+(O23/$R23*100*($E23/365))</f>
        <v>38.370118845500848</v>
      </c>
      <c r="I153" s="409"/>
      <c r="J153" s="380">
        <f>(P22/$R22*100*($E22/365))+(P23/$R23*100*($E23/365))</f>
        <v>61.629881154499145</v>
      </c>
      <c r="K153" s="380"/>
      <c r="L153" s="380">
        <f>(Q22/$R22*100*($E22/365))+(Q23/$R23*100*($E23/365))</f>
        <v>0</v>
      </c>
      <c r="M153" s="380"/>
      <c r="N153" s="379">
        <f t="shared" si="59"/>
        <v>100</v>
      </c>
      <c r="O153" s="379"/>
      <c r="R153" s="14">
        <v>1967</v>
      </c>
      <c r="S153" s="5">
        <f>(O22*($E22/365))+(O23*($E23/365))</f>
        <v>22.6</v>
      </c>
      <c r="T153" s="5">
        <f>(P22*($E22/365))+(P23*($E23/365))</f>
        <v>36.299999999999997</v>
      </c>
      <c r="U153" s="5">
        <f>(Q22*($E22/365))+(Q23*($E23/365))</f>
        <v>0</v>
      </c>
      <c r="V153" s="5"/>
      <c r="W153" s="5">
        <f>R22*(E22/365) + R23*(E23/365)</f>
        <v>58.9</v>
      </c>
    </row>
    <row r="154" spans="1:23" x14ac:dyDescent="0.15">
      <c r="A154" s="14">
        <v>1968</v>
      </c>
      <c r="B154" s="5">
        <f>(K24*($E24/366))+(K25*($E25/366))</f>
        <v>17.011791774518262</v>
      </c>
      <c r="C154" s="5">
        <f>(L24*($E24/366))+(L25*($E25/366))</f>
        <v>61.059448865028386</v>
      </c>
      <c r="D154" s="5">
        <f>(M24*($E24/366))+(M25*($E25/366))</f>
        <v>21.928759360453352</v>
      </c>
      <c r="E154" s="18">
        <f t="shared" si="58"/>
        <v>100</v>
      </c>
      <c r="G154" s="14">
        <v>1968</v>
      </c>
      <c r="H154" s="409">
        <f>(O24/$R24*100*($E24/366))+(O25/$R25*100*($E25/366))</f>
        <v>17.717349958714873</v>
      </c>
      <c r="I154" s="409"/>
      <c r="J154" s="380">
        <f>(P24/$R24*100*($E24/366))+(P25/$R25*100*($E25/366))</f>
        <v>57.508828885420769</v>
      </c>
      <c r="K154" s="380"/>
      <c r="L154" s="380">
        <f>(Q24/$R24*100*($E24/366))+(Q25/$R25*100*($E25/366))</f>
        <v>24.773821155864368</v>
      </c>
      <c r="M154" s="380"/>
      <c r="N154" s="379">
        <f t="shared" si="59"/>
        <v>100.00000000000001</v>
      </c>
      <c r="O154" s="379"/>
      <c r="R154" s="14">
        <v>1968</v>
      </c>
      <c r="S154" s="5">
        <f>(O24*($E24/366))+(O25*($E25/366))</f>
        <v>10.435519125683062</v>
      </c>
      <c r="T154" s="5">
        <f>(P24*($E24/366))+(P25*($E25/366))</f>
        <v>34.308469945355199</v>
      </c>
      <c r="U154" s="5">
        <f>(Q24*($E24/366))+(Q25*($E25/366))</f>
        <v>14.963387978142078</v>
      </c>
      <c r="V154" s="5"/>
      <c r="W154" s="5">
        <f>R24*(E24/366) + R25*(E25/366)</f>
        <v>59.70737704918033</v>
      </c>
    </row>
    <row r="155" spans="1:23" x14ac:dyDescent="0.15">
      <c r="A155" s="14">
        <v>1969</v>
      </c>
      <c r="B155" s="5">
        <f>(K26*($E26/365))+(K27*($E27/365))</f>
        <v>0</v>
      </c>
      <c r="C155" s="5">
        <f>(L26*($E26/365))+(L27*($E27/365))</f>
        <v>59.259259259259252</v>
      </c>
      <c r="D155" s="5">
        <f>(M26*($E26/365))+(M27*($E27/365))</f>
        <v>40.74074074074074</v>
      </c>
      <c r="E155" s="18">
        <f t="shared" si="58"/>
        <v>100</v>
      </c>
      <c r="G155" s="14">
        <v>1969</v>
      </c>
      <c r="H155" s="409">
        <f>(O26/$R26*100*($E26/365))+(O27/$R27*100*($E27/365))</f>
        <v>0</v>
      </c>
      <c r="I155" s="409"/>
      <c r="J155" s="380">
        <f>(P26/$R26*100*($E26/365))+(P27/$R27*100*($E27/365))</f>
        <v>53.973509933774835</v>
      </c>
      <c r="K155" s="380"/>
      <c r="L155" s="380">
        <f>(Q26/$R26*100*($E26/365))+(Q27/$R27*100*($E27/365))</f>
        <v>46.026490066225165</v>
      </c>
      <c r="M155" s="380"/>
      <c r="N155" s="379">
        <f t="shared" si="59"/>
        <v>100</v>
      </c>
      <c r="O155" s="379"/>
      <c r="R155" s="14">
        <v>1969</v>
      </c>
      <c r="S155" s="5">
        <f>(O26*($E26/365))+(O27*($E27/365))</f>
        <v>0</v>
      </c>
      <c r="T155" s="5">
        <f>(P26*($E26/365))+(P27*($E27/365))</f>
        <v>32.6</v>
      </c>
      <c r="U155" s="5">
        <f>(Q26*($E26/365))+(Q27*($E27/365))</f>
        <v>27.8</v>
      </c>
      <c r="V155" s="5"/>
      <c r="W155" s="5">
        <f>R26*(E26/365) + R27*(E27/365)</f>
        <v>60.400000000000006</v>
      </c>
    </row>
    <row r="156" spans="1:23" x14ac:dyDescent="0.15">
      <c r="A156" s="14">
        <v>1970</v>
      </c>
      <c r="B156" s="5">
        <f>(K28*($E28/365))+(K29*($E29/365))</f>
        <v>0</v>
      </c>
      <c r="C156" s="5">
        <f>(L28*($E28/365))+(L29*($E29/365))</f>
        <v>59.259259259259252</v>
      </c>
      <c r="D156" s="5">
        <f>(M28*($E28/365))+(M29*($E29/365))</f>
        <v>40.74074074074074</v>
      </c>
      <c r="E156" s="18">
        <f t="shared" si="58"/>
        <v>100</v>
      </c>
      <c r="G156" s="14">
        <v>1970</v>
      </c>
      <c r="H156" s="409">
        <f>(O28/$R28*100*($E28/365))+(O29/$R29*100*($E29/365))</f>
        <v>0</v>
      </c>
      <c r="I156" s="409"/>
      <c r="J156" s="380">
        <f>(P28/$R28*100*($E28/365))+(P29/$R29*100*($E29/365))</f>
        <v>53.973509933774835</v>
      </c>
      <c r="K156" s="380"/>
      <c r="L156" s="380">
        <f>(Q28/$R28*100*($E28/365))+(Q29/$R29*100*($E29/365))</f>
        <v>46.026490066225165</v>
      </c>
      <c r="M156" s="380"/>
      <c r="N156" s="379">
        <f t="shared" si="59"/>
        <v>100</v>
      </c>
      <c r="O156" s="379"/>
      <c r="R156" s="14">
        <v>1970</v>
      </c>
      <c r="S156" s="5">
        <f>(O28*($E28/365))+(O29*($E29/365))</f>
        <v>0</v>
      </c>
      <c r="T156" s="5">
        <f>(P28*($E28/365))+(P29*($E29/365))</f>
        <v>32.6</v>
      </c>
      <c r="U156" s="5">
        <f>(Q28*($E28/365))+(Q29*($E29/365))</f>
        <v>27.8</v>
      </c>
      <c r="V156" s="5"/>
      <c r="W156" s="5">
        <f>R28*(E28/365) + R29*(E29/365)</f>
        <v>60.400000000000006</v>
      </c>
    </row>
    <row r="157" spans="1:23" x14ac:dyDescent="0.15">
      <c r="A157" s="14">
        <v>1971</v>
      </c>
      <c r="B157" s="5">
        <f>(K30*($E30/365))+(K31*($E31/365))</f>
        <v>0</v>
      </c>
      <c r="C157" s="5">
        <f>(L30*($E30/365))+(L31*($E31/365))</f>
        <v>59.259259259259252</v>
      </c>
      <c r="D157" s="5">
        <f>(M30*($E30/365))+(M31*($E31/365))</f>
        <v>40.74074074074074</v>
      </c>
      <c r="E157" s="18">
        <f t="shared" si="58"/>
        <v>100</v>
      </c>
      <c r="G157" s="14">
        <v>1971</v>
      </c>
      <c r="H157" s="409">
        <f>(O30/$R30*100*($E30/365))+(O31/$R31*100*($E31/365))</f>
        <v>0</v>
      </c>
      <c r="I157" s="409"/>
      <c r="J157" s="380">
        <f>(P30/$R30*100*($E30/365))+(P31/$R31*100*($E31/365))</f>
        <v>53.973509933774835</v>
      </c>
      <c r="K157" s="380"/>
      <c r="L157" s="380">
        <f>(Q30/$R30*100*($E30/365))+(Q31/$R31*100*($E31/365))</f>
        <v>46.026490066225165</v>
      </c>
      <c r="M157" s="380"/>
      <c r="N157" s="379">
        <f t="shared" si="59"/>
        <v>100</v>
      </c>
      <c r="O157" s="379"/>
      <c r="R157" s="14">
        <v>1971</v>
      </c>
      <c r="S157" s="5">
        <f>(O30*($E30/365))+(O31*($E31/365))</f>
        <v>0</v>
      </c>
      <c r="T157" s="5">
        <f>(P30*($E30/365))+(P31*($E31/365))</f>
        <v>32.6</v>
      </c>
      <c r="U157" s="5">
        <f>(Q30*($E30/365))+(Q31*($E31/365))</f>
        <v>27.8</v>
      </c>
      <c r="V157" s="5"/>
      <c r="W157" s="5">
        <f>R30*(E30/365) + R31*(E31/365)</f>
        <v>60.400000000000006</v>
      </c>
    </row>
    <row r="158" spans="1:23" x14ac:dyDescent="0.15">
      <c r="A158" s="14">
        <v>1972</v>
      </c>
      <c r="B158" s="5">
        <f>(K32*($E32/366))+(K33*($E33/366))</f>
        <v>0</v>
      </c>
      <c r="C158" s="5">
        <f>(L32*($E32/366))+(L33*($E33/366))</f>
        <v>52.993747270422567</v>
      </c>
      <c r="D158" s="5">
        <f>(M32*($E32/366))+(M33*($E33/366))</f>
        <v>47.006252729577433</v>
      </c>
      <c r="E158" s="18">
        <f t="shared" si="58"/>
        <v>100</v>
      </c>
      <c r="G158" s="14">
        <v>1972</v>
      </c>
      <c r="H158" s="409">
        <f>(O32/$R32*100*($E32/366))+(O33/$R33*100*($E33/366))</f>
        <v>0</v>
      </c>
      <c r="I158" s="409"/>
      <c r="J158" s="380">
        <f>(P32/$R32*100*($E32/366))+(P33/$R33*100*($E33/366))</f>
        <v>53.973509933774835</v>
      </c>
      <c r="K158" s="380"/>
      <c r="L158" s="380">
        <f>(Q32/$R32*100*($E32/366))+(Q33/$R33*100*($E33/366))</f>
        <v>46.026490066225165</v>
      </c>
      <c r="M158" s="380"/>
      <c r="N158" s="379">
        <f t="shared" si="59"/>
        <v>100</v>
      </c>
      <c r="O158" s="379"/>
      <c r="R158" s="14">
        <v>1972</v>
      </c>
      <c r="S158" s="5">
        <f>(O32*($E32/366))+(O33*($E33/366))</f>
        <v>0</v>
      </c>
      <c r="T158" s="5">
        <f>(P32*($E32/366))+(P33*($E33/366))</f>
        <v>32.6</v>
      </c>
      <c r="U158" s="5">
        <f>(Q32*($E32/366))+(Q33*($E33/366))</f>
        <v>27.800000000000004</v>
      </c>
      <c r="V158" s="5"/>
      <c r="W158" s="5">
        <f>R32*(E32/366) + R33*(E33/366)</f>
        <v>60.400000000000006</v>
      </c>
    </row>
    <row r="159" spans="1:23" x14ac:dyDescent="0.15">
      <c r="A159" s="14">
        <v>1973</v>
      </c>
      <c r="B159" s="5">
        <f>(K34*($E34/365))+(K35*($E35/365))</f>
        <v>16.936488169364882</v>
      </c>
      <c r="C159" s="5">
        <f>(L34*($E34/365))+(L35*($E35/365))</f>
        <v>41.712001048698959</v>
      </c>
      <c r="D159" s="5">
        <f>(M34*($E34/365))+(M35*($E35/365))</f>
        <v>41.351510781936156</v>
      </c>
      <c r="E159" s="18">
        <f t="shared" si="58"/>
        <v>100</v>
      </c>
      <c r="G159" s="14">
        <v>1973</v>
      </c>
      <c r="H159" s="409">
        <f>(O34/$R34*100*($E34/365))+(O35/$R35*100*($E35/365))</f>
        <v>12.544648113985163</v>
      </c>
      <c r="I159" s="409"/>
      <c r="J159" s="380">
        <f>(P34/$R34*100*($E34/365))+(P35/$R35*100*($E35/365))</f>
        <v>45.868186004413282</v>
      </c>
      <c r="K159" s="380"/>
      <c r="L159" s="380">
        <f>(Q34/$R34*100*($E34/365))+(Q35/$R35*100*($E35/365))</f>
        <v>41.587165881601564</v>
      </c>
      <c r="M159" s="380"/>
      <c r="N159" s="379">
        <f t="shared" si="59"/>
        <v>100</v>
      </c>
      <c r="O159" s="379"/>
      <c r="R159" s="14">
        <v>1973</v>
      </c>
      <c r="S159" s="5">
        <f>(O34*($E34/365))+(O35*($E35/365))</f>
        <v>8.7561643835616429</v>
      </c>
      <c r="T159" s="5">
        <f>(P34*($E34/365))+(P35*($E35/365))</f>
        <v>31.668493150684931</v>
      </c>
      <c r="U159" s="5">
        <f>(Q34*($E34/365))+(Q35*($E35/365))</f>
        <v>28.731506849315068</v>
      </c>
      <c r="V159" s="5"/>
      <c r="W159" s="5">
        <f>R34*(E34/365) + R35*(E35/365)</f>
        <v>69.156164383561631</v>
      </c>
    </row>
    <row r="160" spans="1:23" x14ac:dyDescent="0.15">
      <c r="A160" s="14">
        <v>1974</v>
      </c>
      <c r="B160" s="5">
        <f>(K36*($E36/365))+(K37*($E37/365))+(K38*($E38/365))</f>
        <v>25.721963688798585</v>
      </c>
      <c r="C160" s="5">
        <f>(L36*($E36/365))+(L37*($E37/365))+(L38*($E38/365))</f>
        <v>61.500950383430563</v>
      </c>
      <c r="D160" s="5">
        <f>(M36*($E36/365))+(M37*($E37/365))+(M38*($E38/365))</f>
        <v>12.777085927770861</v>
      </c>
      <c r="E160" s="18">
        <f t="shared" si="58"/>
        <v>100</v>
      </c>
      <c r="G160" s="14">
        <v>1974</v>
      </c>
      <c r="H160" s="409">
        <f>(O36/$R36*100*($E36/365))+(O37/$R37*100*($E37/365))+(O38/$R38*100*($E38/365))</f>
        <v>15.034061254051272</v>
      </c>
      <c r="I160" s="409"/>
      <c r="J160" s="380">
        <f>(P36/$R36*100*($E36/365))+(P37/$R37*100*($E37/365))+(P38/$R38*100*($E38/365))</f>
        <v>72.079021133984995</v>
      </c>
      <c r="K160" s="380"/>
      <c r="L160" s="380">
        <f>(Q36/$R36*100*($E36/365))+(Q37/$R37*100*($E37/365))+(Q38/$R38*100*($E38/365))</f>
        <v>12.886917611963733</v>
      </c>
      <c r="M160" s="380"/>
      <c r="N160" s="379">
        <f t="shared" si="59"/>
        <v>100</v>
      </c>
      <c r="O160" s="379"/>
      <c r="R160" s="14">
        <v>1974</v>
      </c>
      <c r="S160" s="5">
        <f>(O36*($E36/365))+(O37*($E37/365))+(O38*($E38/365))</f>
        <v>9.2624657534246566</v>
      </c>
      <c r="T160" s="5">
        <f>(P36*($E36/365))+(P37*($E37/365))+(P38*($E38/365))</f>
        <v>43.794794520547946</v>
      </c>
      <c r="U160" s="5">
        <f>(Q36*($E36/365))+(Q37*($E37/365))+(Q38*($E38/365))</f>
        <v>8.9950684931506846</v>
      </c>
      <c r="V160" s="5"/>
      <c r="W160" s="5">
        <f>R36*(E36/365) + R37*(E37/365)+R38*(E38/365)</f>
        <v>62.052328767123292</v>
      </c>
    </row>
    <row r="161" spans="1:23" x14ac:dyDescent="0.15">
      <c r="A161" s="14">
        <v>1975</v>
      </c>
      <c r="B161" s="5">
        <f>(K39*($E39/365))+(K40*($E40/365))</f>
        <v>28.571428571428569</v>
      </c>
      <c r="C161" s="5">
        <f>(L39*($E39/365))+(L40*($E40/365))</f>
        <v>71.428571428571431</v>
      </c>
      <c r="D161" s="5">
        <f>(M39*($E39/365))+(M40*($E40/365))</f>
        <v>0</v>
      </c>
      <c r="E161" s="18">
        <f t="shared" si="58"/>
        <v>100</v>
      </c>
      <c r="G161" s="14">
        <v>1975</v>
      </c>
      <c r="H161" s="409">
        <f>(O39/$R39*100*($E39/365))+(O40/$R40*100*($E40/365))</f>
        <v>15.410385259631489</v>
      </c>
      <c r="I161" s="409"/>
      <c r="J161" s="380">
        <f>(P39/$R39*100*($E39/365))+(P40/$R40*100*($E40/365))</f>
        <v>84.589614740368503</v>
      </c>
      <c r="K161" s="380"/>
      <c r="L161" s="380">
        <f>(Q39/$R39*100*($E39/365))+(Q40/$R40*100*($E40/365))</f>
        <v>0</v>
      </c>
      <c r="M161" s="380"/>
      <c r="N161" s="379">
        <f t="shared" si="59"/>
        <v>100</v>
      </c>
      <c r="O161" s="379"/>
      <c r="R161" s="14">
        <v>1975</v>
      </c>
      <c r="S161" s="5">
        <f>(O39*($E39/365))+(O40*($E40/365))</f>
        <v>9.1999999999999993</v>
      </c>
      <c r="T161" s="5">
        <f>(P39*($E39/365))+(P40*($E40/365))</f>
        <v>50.5</v>
      </c>
      <c r="U161" s="5">
        <f>(Q39*($E39/365))+(Q40*($E40/365))</f>
        <v>0</v>
      </c>
      <c r="V161" s="5"/>
      <c r="W161" s="5">
        <f>R39*(E39/365) + R40*(E40/365)</f>
        <v>59.7</v>
      </c>
    </row>
    <row r="162" spans="1:23" x14ac:dyDescent="0.15">
      <c r="A162" s="14">
        <v>1976</v>
      </c>
      <c r="B162" s="5">
        <f>(K41*($E41/366))+(K42*($E42/366))</f>
        <v>28.786885245901637</v>
      </c>
      <c r="C162" s="5">
        <f>(L41*($E41/366))+(L42*($E42/366))</f>
        <v>71.213114754098356</v>
      </c>
      <c r="D162" s="5">
        <f>(M41*($E41/366))+(M42*($E42/366))</f>
        <v>0</v>
      </c>
      <c r="E162" s="18">
        <f t="shared" si="58"/>
        <v>100</v>
      </c>
      <c r="G162" s="14">
        <v>1976</v>
      </c>
      <c r="H162" s="409">
        <f>(O41/$R41*100*($E41/366))+(O42/$R42*100*($E42/366))</f>
        <v>15.410385259631489</v>
      </c>
      <c r="I162" s="409"/>
      <c r="J162" s="380">
        <f>(P41/$R41*100*($E41/366))+(P42/$R42*100*($E42/366))</f>
        <v>84.589614740368518</v>
      </c>
      <c r="K162" s="380"/>
      <c r="L162" s="380">
        <f>(Q41/$R41*100*($E41/366))+(Q42/$R42*100*($E42/366))</f>
        <v>0</v>
      </c>
      <c r="M162" s="380"/>
      <c r="N162" s="379">
        <f t="shared" si="59"/>
        <v>100</v>
      </c>
      <c r="O162" s="379"/>
      <c r="R162" s="14">
        <v>1976</v>
      </c>
      <c r="S162" s="5">
        <f>(O41*($E41/366))+(O42*($E42/366))</f>
        <v>9.2000000000000011</v>
      </c>
      <c r="T162" s="5">
        <f>(P41*($E41/366))+(P42*($E42/366))</f>
        <v>50.500000000000007</v>
      </c>
      <c r="U162" s="5">
        <f>(Q41*($E41/366))+(Q42*($E42/366))</f>
        <v>0</v>
      </c>
      <c r="V162" s="5"/>
      <c r="W162" s="5">
        <f>R41*(E41/366) + R42*(E42/366)</f>
        <v>59.7</v>
      </c>
    </row>
    <row r="163" spans="1:23" x14ac:dyDescent="0.15">
      <c r="A163" s="14">
        <v>1977</v>
      </c>
      <c r="B163" s="5">
        <f>(K43*($E43/365))+(K44*($E44/365))</f>
        <v>13.413698630136986</v>
      </c>
      <c r="C163" s="5">
        <f>(L43*($E43/365))+(L44*($E44/365))</f>
        <v>63.85848719475878</v>
      </c>
      <c r="D163" s="5">
        <f>(M43*($E43/365))+(M44*($E44/365))</f>
        <v>22.727814175104225</v>
      </c>
      <c r="E163" s="18">
        <f t="shared" si="58"/>
        <v>100</v>
      </c>
      <c r="G163" s="14">
        <v>1977</v>
      </c>
      <c r="H163" s="409">
        <f>(O43/$R43*100*($E43/365))+(O44/$R44*100*($E44/365))</f>
        <v>6.4596957389688159</v>
      </c>
      <c r="I163" s="409"/>
      <c r="J163" s="380">
        <f>(P43/$R43*100*($E43/365))+(P44/$R44*100*($E44/365))</f>
        <v>72.602032656092916</v>
      </c>
      <c r="K163" s="380"/>
      <c r="L163" s="380">
        <f>(Q43/$R43*100*($E43/365))+(Q44/$R44*100*($E44/365))</f>
        <v>20.938271604938269</v>
      </c>
      <c r="M163" s="380"/>
      <c r="N163" s="379">
        <f t="shared" si="59"/>
        <v>100</v>
      </c>
      <c r="O163" s="379"/>
      <c r="R163" s="14">
        <v>1977</v>
      </c>
      <c r="S163" s="5">
        <f>(O43*($E43/365))+(O44*($E44/365))</f>
        <v>3.8564383561643831</v>
      </c>
      <c r="T163" s="5">
        <f>(P43*($E43/365))+(P44*($E44/365))</f>
        <v>51.255068493150681</v>
      </c>
      <c r="U163" s="5">
        <f>(Q43*($E43/365))+(Q44*($E44/365))</f>
        <v>16.959999999999997</v>
      </c>
      <c r="V163" s="5"/>
      <c r="W163" s="5">
        <f>R43*(E43/365) + R44*(E44/365)</f>
        <v>72.071506849315071</v>
      </c>
    </row>
    <row r="164" spans="1:23" x14ac:dyDescent="0.15">
      <c r="A164" s="14">
        <v>1978</v>
      </c>
      <c r="B164" s="5">
        <f>(K45*($E45/365))+(K46*($E46/365))</f>
        <v>0</v>
      </c>
      <c r="C164" s="5">
        <f>(L45*($E45/365))+(L46*($E46/365))</f>
        <v>60.513833992094874</v>
      </c>
      <c r="D164" s="5">
        <f>(M45*($E45/365))+(M46*($E46/365))</f>
        <v>39.48616600790514</v>
      </c>
      <c r="E164" s="18">
        <f t="shared" si="58"/>
        <v>100.00000000000001</v>
      </c>
      <c r="G164" s="14">
        <v>1978</v>
      </c>
      <c r="H164" s="409">
        <f>(O45/$R45*100*($E45/365))+(O46/$R46*100*($E46/365))</f>
        <v>0</v>
      </c>
      <c r="I164" s="409"/>
      <c r="J164" s="380">
        <f>(P45/$R45*100*($E45/365))+(P46/$R46*100*($E46/365))</f>
        <v>63.950617283950628</v>
      </c>
      <c r="K164" s="380"/>
      <c r="L164" s="380">
        <f>(Q45/$R45*100*($E45/365))+(Q46/$R46*100*($E46/365))</f>
        <v>36.049382716049379</v>
      </c>
      <c r="M164" s="380"/>
      <c r="N164" s="379">
        <f t="shared" si="59"/>
        <v>100</v>
      </c>
      <c r="O164" s="379"/>
      <c r="R164" s="14">
        <v>1978</v>
      </c>
      <c r="S164" s="5">
        <f>(O45*($E45/365))+(O46*($E46/365))</f>
        <v>0</v>
      </c>
      <c r="T164" s="5">
        <f>(P45*($E45/365))+(P46*($E46/365))</f>
        <v>51.8</v>
      </c>
      <c r="U164" s="5">
        <f>(Q45*($E45/365))+(Q46*($E46/365))</f>
        <v>29.2</v>
      </c>
      <c r="V164" s="5"/>
      <c r="W164" s="5">
        <f>R45*(E45/365) + R46*(E46/365)</f>
        <v>81</v>
      </c>
    </row>
    <row r="165" spans="1:23" x14ac:dyDescent="0.15">
      <c r="A165" s="14">
        <v>1979</v>
      </c>
      <c r="B165" s="5">
        <f>(K47*($E47/365))+(K48*($E48/365))</f>
        <v>0</v>
      </c>
      <c r="C165" s="5">
        <f>(L47*($E47/365))+(L48*($E48/365))</f>
        <v>59.770859277708595</v>
      </c>
      <c r="D165" s="5">
        <f>(M47*($E47/365))+(M48*($E48/365))</f>
        <v>40.229140722291412</v>
      </c>
      <c r="E165" s="18">
        <f t="shared" si="58"/>
        <v>100</v>
      </c>
      <c r="G165" s="14">
        <v>1979</v>
      </c>
      <c r="H165" s="409">
        <f>(O47/$R47*100*($E47/365))+(O48/$R48*100*($E48/365))</f>
        <v>0</v>
      </c>
      <c r="I165" s="409"/>
      <c r="J165" s="380">
        <f>(P47/$R47*100*($E47/365))+(P48/$R48*100*($E48/365))</f>
        <v>62.170664917128185</v>
      </c>
      <c r="K165" s="380"/>
      <c r="L165" s="380">
        <f>(Q47/$R47*100*($E47/365))+(Q48/$R48*100*($E48/365))</f>
        <v>37.829335082871815</v>
      </c>
      <c r="M165" s="380"/>
      <c r="N165" s="379">
        <f t="shared" si="59"/>
        <v>100</v>
      </c>
      <c r="O165" s="379"/>
      <c r="R165" s="14">
        <v>1979</v>
      </c>
      <c r="S165" s="5">
        <f>(O47*($E47/365))+(O48*($E48/365))</f>
        <v>0</v>
      </c>
      <c r="T165" s="5">
        <f>(P47*($E47/365))+(P48*($E48/365))</f>
        <v>45.89123287671233</v>
      </c>
      <c r="U165" s="5">
        <f>(Q47*($E47/365))+(Q48*($E48/365))</f>
        <v>27.853698630136986</v>
      </c>
      <c r="V165" s="5"/>
      <c r="W165" s="5">
        <f>R47*(E47/365) + R48*(E48/365)</f>
        <v>73.744931506849326</v>
      </c>
    </row>
    <row r="166" spans="1:23" x14ac:dyDescent="0.15">
      <c r="A166" s="14">
        <v>1980</v>
      </c>
      <c r="B166" s="5">
        <f>(K49*($E49/366))+(K50*($E50/366))+(K51*($E51/366))+(K52*($E52/366))</f>
        <v>7.9437360858125885</v>
      </c>
      <c r="C166" s="5">
        <f>(L49*($E49/366))+(L50*($E50/366))+(L51*($E51/366))+(L52*($E52/366))</f>
        <v>48.605950212507594</v>
      </c>
      <c r="D166" s="5">
        <f>(M49*($E49/366))+(M50*($E50/366))+(M51*($E51/366))+(M52*($E52/366))</f>
        <v>43.450313701679818</v>
      </c>
      <c r="E166" s="18">
        <f t="shared" si="58"/>
        <v>100</v>
      </c>
      <c r="G166" s="14">
        <v>1980</v>
      </c>
      <c r="H166" s="409">
        <f>(O49/$R49*100*($E49/366))+(O50/$R50*100*($E50/366))+(O51/$R51*100*($E51/366))+(O52/$R52*100*($E52/366))</f>
        <v>5.8316368441730067</v>
      </c>
      <c r="I166" s="409"/>
      <c r="J166" s="380">
        <f>(P49/$R49*100*($E49/366))+(P50/$R50*100*($E50/366))+(P51/$R51*100*($E51/366))+(P52/$R52*100*($E52/366))</f>
        <v>55.315089190370955</v>
      </c>
      <c r="K166" s="380"/>
      <c r="L166" s="380">
        <f>(Q49/$R49*100*($E49/366))+(Q50/$R50*100*($E50/366))+(Q51/$R51*100*($E51/366))+(Q52/$R52*100*($E52/366))</f>
        <v>38.853273965456047</v>
      </c>
      <c r="M166" s="380"/>
      <c r="N166" s="379">
        <f t="shared" si="59"/>
        <v>100</v>
      </c>
      <c r="O166" s="379"/>
      <c r="R166" s="14">
        <v>1980</v>
      </c>
      <c r="S166" s="5">
        <f>(O49*($E49/366))+(O50*($E50/366))+(O51*($E51/366))+(O52*($E52/366))</f>
        <v>4.4612021857923496</v>
      </c>
      <c r="T166" s="5">
        <f>(P49*($E49/366))+(P50*($E50/366))+(P51*($E51/366))+(P52*($E52/366))</f>
        <v>39.012568306010934</v>
      </c>
      <c r="U166" s="5">
        <f>(Q49*($E49/366))+(Q50*($E50/366))+(Q51*($E51/366))+(Q52*($E52/366))</f>
        <v>27.4</v>
      </c>
      <c r="V166" s="5"/>
      <c r="W166" s="5">
        <f>R49*(E49/366) + R50*(E50/366) + R51*(E51/366) + R52*(E52/366)</f>
        <v>70.87377049180327</v>
      </c>
    </row>
    <row r="167" spans="1:23" x14ac:dyDescent="0.15">
      <c r="A167" s="14">
        <v>1981</v>
      </c>
      <c r="B167" s="5">
        <f>(K53*($E53/365))+(K54*($E54/365))+(K55*($E55/365))</f>
        <v>2.054794520547945</v>
      </c>
      <c r="C167" s="5">
        <f>(L53*($E53/365))+(L54*($E54/365))+(L55*($E55/365))</f>
        <v>51.917808219178077</v>
      </c>
      <c r="D167" s="5">
        <f>(M53*($E53/365))+(M54*($E54/365))+(M55*($E55/365))</f>
        <v>46.027397260273972</v>
      </c>
      <c r="E167" s="18">
        <f t="shared" si="58"/>
        <v>100</v>
      </c>
      <c r="G167" s="14">
        <v>1981</v>
      </c>
      <c r="H167" s="409">
        <f>(O53/$R53*100*($E53/365))+(O54/$R54*100*($E54/365))+(O55/$R55*100*($E55/365))</f>
        <v>1.889023105194171</v>
      </c>
      <c r="I167" s="409"/>
      <c r="J167" s="380">
        <f>(P53/$R53*100*($E53/365))+(P54/$R54*100*($E54/365))+(P55/$R55*100*($E55/365))</f>
        <v>58.362152987484009</v>
      </c>
      <c r="K167" s="380"/>
      <c r="L167" s="380">
        <f>(Q53/$R53*100*($E53/365))+(Q54/$R54*100*($E54/365))+(Q55/$R55*100*($E55/365))</f>
        <v>39.748823907321821</v>
      </c>
      <c r="M167" s="380"/>
      <c r="N167" s="379">
        <f t="shared" si="59"/>
        <v>100</v>
      </c>
      <c r="O167" s="379"/>
      <c r="R167" s="14">
        <v>1981</v>
      </c>
      <c r="S167" s="5">
        <f>(O53*($E53/365))+(O54*($E54/365))+(O55*($E55/365))</f>
        <v>1.0068493150684932</v>
      </c>
      <c r="T167" s="5">
        <f>(P53*($E53/365))+(P54*($E54/365))+(P55*($E55/365))</f>
        <v>38.293150684931511</v>
      </c>
      <c r="U167" s="5">
        <f>(Q53*($E53/365))+(Q54*($E54/365))+(Q55*($E55/365))</f>
        <v>26.273972602739725</v>
      </c>
      <c r="V167" s="5"/>
      <c r="W167" s="5">
        <f>R53*(E53/365) + R54*(E54/365) + R55*(E55/365)</f>
        <v>65.573972602739715</v>
      </c>
    </row>
    <row r="168" spans="1:23" x14ac:dyDescent="0.15">
      <c r="A168" s="14">
        <v>1982</v>
      </c>
      <c r="B168" s="5">
        <f>(K56*($E56/365))+(K57*($E57/365))</f>
        <v>50</v>
      </c>
      <c r="C168" s="5">
        <f>(L56*($E56/365))+(L57*($E57/365))</f>
        <v>50</v>
      </c>
      <c r="D168" s="5">
        <f>(M56*($E56/365))+(M57*($E57/365))</f>
        <v>0</v>
      </c>
      <c r="E168" s="18">
        <f t="shared" si="58"/>
        <v>100</v>
      </c>
      <c r="G168" s="14">
        <v>1982</v>
      </c>
      <c r="H168" s="409">
        <f>(O56/$R56*100*($E56/365))+(O57/$R57*100*($E57/365))</f>
        <v>45.966228893058165</v>
      </c>
      <c r="I168" s="409"/>
      <c r="J168" s="380">
        <f>(P56/$R56*100*($E56/365))+(P57/$R57*100*($E57/365))</f>
        <v>54.033771106941842</v>
      </c>
      <c r="K168" s="380"/>
      <c r="L168" s="380">
        <f>(Q56/$R56*100*($E56/365))+(Q57/$R57*100*($E57/365))</f>
        <v>0</v>
      </c>
      <c r="M168" s="380"/>
      <c r="N168" s="379">
        <f t="shared" si="59"/>
        <v>100</v>
      </c>
      <c r="O168" s="379"/>
      <c r="R168" s="14">
        <v>1982</v>
      </c>
      <c r="S168" s="5">
        <f>(O56*($E56/365))+(O57*($E57/365))</f>
        <v>24.5</v>
      </c>
      <c r="T168" s="5">
        <f>(P56*($E56/365))+(P57*($E57/365))</f>
        <v>28.8</v>
      </c>
      <c r="U168" s="5">
        <f>(Q56*($E56/365))+(Q57*($E57/365))</f>
        <v>0</v>
      </c>
      <c r="V168" s="5"/>
      <c r="W168" s="5">
        <f>R56*(E56/365) + R57*(E57/365)</f>
        <v>53.3</v>
      </c>
    </row>
    <row r="169" spans="1:23" x14ac:dyDescent="0.15">
      <c r="A169" s="14">
        <v>1983</v>
      </c>
      <c r="B169" s="5">
        <f>(K58*($E58/365))+(K59*($E59/365))</f>
        <v>50</v>
      </c>
      <c r="C169" s="5">
        <f>(L58*($E58/365))+(L59*($E59/365))</f>
        <v>50</v>
      </c>
      <c r="D169" s="5">
        <f>(M58*($E58/365))+(M59*($E59/365))</f>
        <v>0</v>
      </c>
      <c r="E169" s="18">
        <f t="shared" si="58"/>
        <v>100</v>
      </c>
      <c r="G169" s="14">
        <v>1983</v>
      </c>
      <c r="H169" s="409">
        <f>(O58/$R58*100*($E58/365))+(O59/$R59*100*($E59/365))</f>
        <v>45.966228893058165</v>
      </c>
      <c r="I169" s="409"/>
      <c r="J169" s="380">
        <f>(P58/$R58*100*($E58/365))+(P59/$R59*100*($E59/365))</f>
        <v>54.033771106941842</v>
      </c>
      <c r="K169" s="380"/>
      <c r="L169" s="380">
        <f>(Q58/$R58*100*($E58/365))+(Q59/$R59*100*($E59/365))</f>
        <v>0</v>
      </c>
      <c r="M169" s="380"/>
      <c r="N169" s="379">
        <f t="shared" si="59"/>
        <v>100</v>
      </c>
      <c r="O169" s="379"/>
      <c r="R169" s="14">
        <v>1983</v>
      </c>
      <c r="S169" s="5">
        <f>(O58*($E58/365))+(O59*($E59/365))</f>
        <v>24.5</v>
      </c>
      <c r="T169" s="5">
        <f>(P58*($E58/365))+(P59*($E59/365))</f>
        <v>28.8</v>
      </c>
      <c r="U169" s="5">
        <f>(Q58*($E58/365))+(Q59*($E59/365))</f>
        <v>0</v>
      </c>
      <c r="V169" s="5"/>
      <c r="W169" s="5">
        <f>R58*(E58/365) + R59*(E59/365)</f>
        <v>53.3</v>
      </c>
    </row>
    <row r="170" spans="1:23" x14ac:dyDescent="0.15">
      <c r="A170" s="14">
        <v>1984</v>
      </c>
      <c r="B170" s="5">
        <f>(K60*($E60/366))+(K61*($E61/366))</f>
        <v>50</v>
      </c>
      <c r="C170" s="5">
        <f>(L60*($E60/366))+(L61*($E61/366))</f>
        <v>50</v>
      </c>
      <c r="D170" s="5">
        <f>(M60*($E60/366))+(M61*($E61/366))</f>
        <v>0</v>
      </c>
      <c r="E170" s="18">
        <f t="shared" si="58"/>
        <v>100</v>
      </c>
      <c r="G170" s="14">
        <v>1984</v>
      </c>
      <c r="H170" s="409">
        <f>(O60/$R60*100*($E60/366))+(O61/$R61*100*($E61/366))</f>
        <v>45.966228893058165</v>
      </c>
      <c r="I170" s="409"/>
      <c r="J170" s="380">
        <f>(P60/$R60*100*($E60/366))+(P61/$R61*100*($E61/366))</f>
        <v>54.033771106941842</v>
      </c>
      <c r="K170" s="380"/>
      <c r="L170" s="380">
        <f>(Q60/$R60*100*($E60/366))+(Q61/$R61*100*($E61/366))</f>
        <v>0</v>
      </c>
      <c r="M170" s="380"/>
      <c r="N170" s="379">
        <f t="shared" si="59"/>
        <v>100</v>
      </c>
      <c r="O170" s="379"/>
      <c r="R170" s="14">
        <v>1984</v>
      </c>
      <c r="S170" s="5">
        <f>(O60*($E60/366))+(O61*($E61/366))</f>
        <v>24.5</v>
      </c>
      <c r="T170" s="5">
        <f>(P60*($E60/366))+(P61*($E61/366))</f>
        <v>28.8</v>
      </c>
      <c r="U170" s="5">
        <f>(Q60*($E60/366))+(Q61*($E61/366))</f>
        <v>0</v>
      </c>
      <c r="V170" s="5"/>
      <c r="W170" s="5">
        <f>R60*(E60/366) + R61*(E61/366)</f>
        <v>53.3</v>
      </c>
    </row>
    <row r="171" spans="1:23" x14ac:dyDescent="0.15">
      <c r="A171" s="14">
        <v>1985</v>
      </c>
      <c r="B171" s="5">
        <f>(K62*($E62/365))+(K63*($E63/365))</f>
        <v>49.689497716894984</v>
      </c>
      <c r="C171" s="5">
        <f>(L62*($E62/365))+(L63*($E63/365))</f>
        <v>50.310502283105031</v>
      </c>
      <c r="D171" s="5">
        <f>(M62*($E62/365))+(M63*($E63/365))</f>
        <v>0</v>
      </c>
      <c r="E171" s="18">
        <f t="shared" si="58"/>
        <v>100.00000000000001</v>
      </c>
      <c r="G171" s="14">
        <v>1985</v>
      </c>
      <c r="H171" s="409">
        <f>(O62/$R62*100*($E62/365))+(O63/$R63*100*($E63/365))</f>
        <v>45.41390787985857</v>
      </c>
      <c r="I171" s="409"/>
      <c r="J171" s="380">
        <f>(P62/$R62*100*($E62/365))+(P63/$R63*100*($E63/365))</f>
        <v>54.586092120141437</v>
      </c>
      <c r="K171" s="380"/>
      <c r="L171" s="380">
        <f>(Q62/$R62*100*($E62/365))+(Q63/$R63*100*($E63/365))</f>
        <v>0</v>
      </c>
      <c r="M171" s="380"/>
      <c r="N171" s="379">
        <f t="shared" si="59"/>
        <v>100</v>
      </c>
      <c r="O171" s="379"/>
      <c r="R171" s="14">
        <v>1985</v>
      </c>
      <c r="S171" s="5">
        <f>(O62*($E62/365))+(O63*($E63/365))</f>
        <v>24.239178082191781</v>
      </c>
      <c r="T171" s="5">
        <f>(P62*($E62/365))+(P63*($E63/365))</f>
        <v>29.144657534246576</v>
      </c>
      <c r="U171" s="5">
        <f>(Q62*($E62/365))+(Q63*($E63/365))</f>
        <v>0</v>
      </c>
      <c r="V171" s="5"/>
      <c r="W171" s="5">
        <f>R62*(E62/365) + R63*(E63/365)</f>
        <v>53.383835616438361</v>
      </c>
    </row>
    <row r="172" spans="1:23" x14ac:dyDescent="0.15">
      <c r="A172" s="14">
        <v>1986</v>
      </c>
      <c r="B172" s="5">
        <f>(K64*($E64/365))+(K65*($E65/365))</f>
        <v>46.666666666666664</v>
      </c>
      <c r="C172" s="5">
        <f>(L64*($E64/365))+(L65*($E65/365))</f>
        <v>53.333333333333336</v>
      </c>
      <c r="D172" s="5">
        <f>(M64*($E64/365))+(M65*($E65/365))</f>
        <v>0</v>
      </c>
      <c r="E172" s="18">
        <f t="shared" si="58"/>
        <v>100</v>
      </c>
      <c r="G172" s="14">
        <v>1986</v>
      </c>
      <c r="H172" s="409">
        <f>(O64/$R64*100*($E64/365))+(O65/$R65*100*($E65/365))</f>
        <v>40.036900369003689</v>
      </c>
      <c r="I172" s="409"/>
      <c r="J172" s="380">
        <f>(P64/$R64*100*($E64/365))+(P65/$R65*100*($E65/365))</f>
        <v>59.963099630996311</v>
      </c>
      <c r="K172" s="380"/>
      <c r="L172" s="380">
        <f>(Q64/$R64*100*($E64/365))+(Q65/$R65*100*($E65/365))</f>
        <v>0</v>
      </c>
      <c r="M172" s="380"/>
      <c r="N172" s="379">
        <f t="shared" si="59"/>
        <v>100</v>
      </c>
      <c r="O172" s="379"/>
      <c r="R172" s="14">
        <v>1986</v>
      </c>
      <c r="S172" s="5">
        <f>(O64*($E64/365))+(O65*($E65/365))</f>
        <v>21.7</v>
      </c>
      <c r="T172" s="5">
        <f>(P64*($E64/365))+(P65*($E65/365))</f>
        <v>32.5</v>
      </c>
      <c r="U172" s="5">
        <f>(Q64*($E64/365))+(Q65*($E65/365))</f>
        <v>0</v>
      </c>
      <c r="V172" s="5"/>
      <c r="W172" s="5">
        <f>R64*(E64/365) + R65*(E65/365)</f>
        <v>54.2</v>
      </c>
    </row>
    <row r="173" spans="1:23" x14ac:dyDescent="0.15">
      <c r="A173" s="14">
        <v>1987</v>
      </c>
      <c r="B173" s="5">
        <f>(K66*($E66/365))+(K67*($E67/365))</f>
        <v>46.083333333333336</v>
      </c>
      <c r="C173" s="5">
        <f>(L66*($E66/365))+(L67*($E67/365))</f>
        <v>53.916666666666671</v>
      </c>
      <c r="D173" s="5">
        <f>(M66*($E66/365))+(M67*($E67/365))</f>
        <v>0</v>
      </c>
      <c r="E173" s="18">
        <f t="shared" si="58"/>
        <v>100</v>
      </c>
      <c r="G173" s="14">
        <v>1987</v>
      </c>
      <c r="H173" s="409">
        <f>(O66/$R66*100*($E66/365))+(O67/$R67*100*($E67/365))</f>
        <v>40.738576171888887</v>
      </c>
      <c r="I173" s="409"/>
      <c r="J173" s="380">
        <f>(P66/$R66*100*($E66/365))+(P67/$R67*100*($E67/365))</f>
        <v>59.261423828111113</v>
      </c>
      <c r="K173" s="380"/>
      <c r="L173" s="380">
        <f>(Q66/$R66*100*($E66/365))+(Q67/$R67*100*($E67/365))</f>
        <v>0</v>
      </c>
      <c r="M173" s="380"/>
      <c r="N173" s="379">
        <f t="shared" si="59"/>
        <v>100</v>
      </c>
      <c r="O173" s="379"/>
      <c r="R173" s="14">
        <v>1987</v>
      </c>
      <c r="S173" s="5">
        <f>(O66*($E66/365))+(O67*($E67/365))</f>
        <v>21.88</v>
      </c>
      <c r="T173" s="5">
        <f>(P66*($E66/365))+(P67*($E67/365))</f>
        <v>31.86</v>
      </c>
      <c r="U173" s="5">
        <f>(Q66*($E66/365))+(Q67*($E67/365))</f>
        <v>0</v>
      </c>
      <c r="V173" s="5"/>
      <c r="W173" s="5">
        <f>R66*(E66/365) + R67*(E67/365)</f>
        <v>53.740000000000009</v>
      </c>
    </row>
    <row r="174" spans="1:23" x14ac:dyDescent="0.15">
      <c r="A174" s="1">
        <v>1988</v>
      </c>
      <c r="B174" s="5">
        <f>(K68*($E68/366))+(K69*($E69/366))</f>
        <v>19.125683060109289</v>
      </c>
      <c r="C174" s="5">
        <f>(L68*($E68/366))+(L69*($E69/366))</f>
        <v>54.387656702025069</v>
      </c>
      <c r="D174" s="5">
        <f>(M68*($E68/366))+(M69*($E69/366))</f>
        <v>26.486660237865635</v>
      </c>
      <c r="E174" s="18">
        <f t="shared" si="58"/>
        <v>100</v>
      </c>
      <c r="F174" s="4"/>
      <c r="G174" s="1">
        <v>1988</v>
      </c>
      <c r="H174" s="409">
        <f>(O68/$R68*100*($E68/366))+(O69/$R69*100*($E69/366))</f>
        <v>19.036187708603133</v>
      </c>
      <c r="I174" s="409"/>
      <c r="J174" s="380">
        <f>(P68/$R68*100*($E68/366))+(P69/$R69*100*($E69/366))</f>
        <v>53.934699266173808</v>
      </c>
      <c r="K174" s="380"/>
      <c r="L174" s="380">
        <f>(Q68/$R68*100*($E68/366))+(Q69/$R69*100*($E69/366))</f>
        <v>27.029113025223054</v>
      </c>
      <c r="M174" s="380"/>
      <c r="N174" s="379">
        <f t="shared" si="59"/>
        <v>100</v>
      </c>
      <c r="O174" s="379"/>
      <c r="R174" s="1">
        <v>1988</v>
      </c>
      <c r="S174" s="5">
        <f>(O68*($E68/366))+(O69*($E69/366))</f>
        <v>9.8797814207650276</v>
      </c>
      <c r="T174" s="5">
        <f>(P68*($E68/366))+(P69*($E69/366))</f>
        <v>33.521311475409831</v>
      </c>
      <c r="U174" s="5">
        <f>(Q68*($E68/366))+(Q69*($E69/366))</f>
        <v>19.136612021857921</v>
      </c>
      <c r="V174" s="5"/>
      <c r="W174" s="5">
        <f>R68*(E68/366) + R69*(E69/366)</f>
        <v>62.537704918032787</v>
      </c>
    </row>
    <row r="175" spans="1:23" s="3" customFormat="1" x14ac:dyDescent="0.15">
      <c r="A175" s="3">
        <v>1989</v>
      </c>
      <c r="B175" s="8">
        <f>(K70*($E70/365))+(K71*($E71/365))</f>
        <v>0</v>
      </c>
      <c r="C175" s="8">
        <f>(L70*($E70/365))+(L71*($E71/365))</f>
        <v>52.941176470588239</v>
      </c>
      <c r="D175" s="8">
        <f>(M70*($E70/365))+(M71*($E71/365))</f>
        <v>47.058823529411761</v>
      </c>
      <c r="E175" s="19">
        <f t="shared" si="58"/>
        <v>100</v>
      </c>
      <c r="G175" s="3">
        <v>1989</v>
      </c>
      <c r="H175" s="413">
        <f>(O70*100*($E70/365)/($R70))+(O71*100*($E71/365)/($R71))</f>
        <v>0</v>
      </c>
      <c r="I175" s="413"/>
      <c r="J175" s="385">
        <f>(P70*100*($E70/365)/($R70))+(P71*100*($E71/365)/($R71))</f>
        <v>51.977401129943502</v>
      </c>
      <c r="K175" s="385"/>
      <c r="L175" s="385">
        <f>(Q70*100*($E70/365)/($R70))+(Q71*100*($E71/365)/($R71))</f>
        <v>48.022598870056498</v>
      </c>
      <c r="M175" s="385"/>
      <c r="N175" s="386">
        <f t="shared" si="59"/>
        <v>100</v>
      </c>
      <c r="O175" s="386"/>
      <c r="R175" s="3">
        <v>1989</v>
      </c>
      <c r="S175" s="8">
        <f>(O70*($E70/365))+(O71*($E71/365))</f>
        <v>0</v>
      </c>
      <c r="T175" s="8">
        <f>(P70*($E70/365))+(P71*($E71/365))</f>
        <v>36.799999999999997</v>
      </c>
      <c r="U175" s="8">
        <f>(Q70*($E70/365))+(Q71*($E71/365))</f>
        <v>34</v>
      </c>
      <c r="V175" s="8"/>
      <c r="W175" s="8">
        <f>R70*(E70/365) + R71*(E71/365)</f>
        <v>70.8</v>
      </c>
    </row>
    <row r="176" spans="1:23" x14ac:dyDescent="0.15">
      <c r="A176" s="1">
        <v>1990</v>
      </c>
      <c r="B176" s="5">
        <f>(K72*($E72/365))+(K73*($E73/365))</f>
        <v>0</v>
      </c>
      <c r="C176" s="5">
        <f>(L72*($E72/365))+(L73*($E73/365))</f>
        <v>52.941176470588239</v>
      </c>
      <c r="D176" s="5">
        <f>(M72*($E72/365))+(M73*($E73/365))</f>
        <v>47.058823529411761</v>
      </c>
      <c r="E176" s="18">
        <f t="shared" si="58"/>
        <v>100</v>
      </c>
      <c r="G176" s="1">
        <v>1990</v>
      </c>
      <c r="H176" s="409">
        <f>(O72*100*($E72/365)/($R72))+(O73*100*($E73/365)/($R73))</f>
        <v>0</v>
      </c>
      <c r="I176" s="409"/>
      <c r="J176" s="380">
        <f>(P72*100*($E72/365)/($R72))+(P73*100*($E73/365)/($R73))</f>
        <v>51.977401129943502</v>
      </c>
      <c r="K176" s="380"/>
      <c r="L176" s="380">
        <f>(Q72*100*($E72/365)/($R72))+(Q73*100*($E73/365)/($R73))</f>
        <v>48.022598870056498</v>
      </c>
      <c r="M176" s="380"/>
      <c r="N176" s="379">
        <f t="shared" si="59"/>
        <v>100</v>
      </c>
      <c r="O176" s="379"/>
      <c r="R176" s="1">
        <v>1990</v>
      </c>
      <c r="S176" s="5">
        <f>(O72*($E72/365))+(O73*($E73/365))</f>
        <v>0</v>
      </c>
      <c r="T176" s="5">
        <f>(P72*($E72/365))+(P73*($E73/365))</f>
        <v>36.799999999999997</v>
      </c>
      <c r="U176" s="5">
        <f>(Q72*($E72/365))+(Q73*($E73/365))</f>
        <v>34</v>
      </c>
      <c r="V176" s="5"/>
      <c r="W176" s="5">
        <f>R72*(E72/365) + R73*(E73/365)</f>
        <v>70.8</v>
      </c>
    </row>
    <row r="177" spans="1:23" x14ac:dyDescent="0.15">
      <c r="A177" s="1">
        <v>1991</v>
      </c>
      <c r="B177" s="5">
        <f>(K74*($E74/365))+(K75*($E75/365))</f>
        <v>0</v>
      </c>
      <c r="C177" s="5">
        <f>(L74*($E74/365))+(L75*($E75/365))</f>
        <v>51.490733279613217</v>
      </c>
      <c r="D177" s="5">
        <f>(M74*($E74/365))+(M75*($E75/365))</f>
        <v>48.509266720386783</v>
      </c>
      <c r="E177" s="18">
        <f t="shared" si="58"/>
        <v>100</v>
      </c>
      <c r="G177" s="1">
        <v>1991</v>
      </c>
      <c r="H177" s="409">
        <f>(O74*100*($E74/365)/($R74))+(O75*100*($E75/365)/($R75))</f>
        <v>0</v>
      </c>
      <c r="I177" s="409"/>
      <c r="J177" s="380">
        <f>(P74*100*($E74/365)/($R74))+(P75*100*($E75/365)/($R75))</f>
        <v>51.977401129943502</v>
      </c>
      <c r="K177" s="380"/>
      <c r="L177" s="380">
        <f>(Q74*100*($E74/365)/($R74))+(Q75*100*($E75/365)/($R75))</f>
        <v>48.022598870056498</v>
      </c>
      <c r="M177" s="380"/>
      <c r="N177" s="379">
        <f t="shared" si="59"/>
        <v>100</v>
      </c>
      <c r="O177" s="379"/>
      <c r="R177" s="1">
        <v>1991</v>
      </c>
      <c r="S177" s="5">
        <f>(O74*($E74/365))+(O75*($E75/365))</f>
        <v>0</v>
      </c>
      <c r="T177" s="5">
        <f>(P74*($E74/365))+(P75*($E75/365))</f>
        <v>36.799999999999997</v>
      </c>
      <c r="U177" s="5">
        <f>(Q74*($E74/365))+(Q75*($E75/365))</f>
        <v>34</v>
      </c>
      <c r="V177" s="5"/>
      <c r="W177" s="5">
        <f>R74*(E74/365) + R75*(E75/365)</f>
        <v>70.8</v>
      </c>
    </row>
    <row r="178" spans="1:23" x14ac:dyDescent="0.15">
      <c r="A178" s="1">
        <v>1992</v>
      </c>
      <c r="B178" s="5">
        <f>(K76*($E76/366))+(K77*($E77/366))</f>
        <v>0</v>
      </c>
      <c r="C178" s="5">
        <f>(L76*($E76/366))+(L77*($E77/366))</f>
        <v>46.743812279009958</v>
      </c>
      <c r="D178" s="5">
        <f>(M76*($E76/366))+(M77*($E77/366))</f>
        <v>53.256187720990042</v>
      </c>
      <c r="E178" s="18">
        <f t="shared" ref="E178:E197" si="60">SUM(B178:D178)</f>
        <v>100</v>
      </c>
      <c r="G178" s="1">
        <v>1992</v>
      </c>
      <c r="H178" s="409">
        <f>(O76*100*($E76/366)/($R76))+(O77*100*($E77/366)/($R77))</f>
        <v>0</v>
      </c>
      <c r="I178" s="409"/>
      <c r="J178" s="380">
        <f>(P76*100*($E76/366)/($R76))+(P77*100*($E77/366)/($R77))</f>
        <v>48.40208852675017</v>
      </c>
      <c r="K178" s="380"/>
      <c r="L178" s="380">
        <f>(Q76*100*($E76/366)/($R76))+(Q77*100*($E77/366)/($R77))</f>
        <v>51.597911473249837</v>
      </c>
      <c r="M178" s="380"/>
      <c r="N178" s="379">
        <f t="shared" si="59"/>
        <v>100</v>
      </c>
      <c r="O178" s="379"/>
      <c r="R178" s="1">
        <v>1992</v>
      </c>
      <c r="S178" s="5">
        <f>(O76*($E76/366))+(O77*($E77/366))</f>
        <v>0</v>
      </c>
      <c r="T178" s="5">
        <f>(P76*($E76/366))+(P77*($E77/366))</f>
        <v>28.847540983606557</v>
      </c>
      <c r="U178" s="5">
        <f>(Q76*($E76/366))+(Q77*($E77/366))</f>
        <v>30.545901639344265</v>
      </c>
      <c r="V178" s="5"/>
      <c r="W178" s="5">
        <f>R76*(E76/366) + R77*(E77/366)</f>
        <v>59.393442622950815</v>
      </c>
    </row>
    <row r="179" spans="1:23" x14ac:dyDescent="0.15">
      <c r="A179" s="1">
        <v>1993</v>
      </c>
      <c r="B179" s="5">
        <f>(K78*($E78/365))+(K79*($E79/365))</f>
        <v>0</v>
      </c>
      <c r="C179" s="5">
        <f>(L78*($E78/365))+(L79*($E79/365))</f>
        <v>46.666666666666664</v>
      </c>
      <c r="D179" s="5">
        <f>(M78*($E78/365))+(M79*($E79/365))</f>
        <v>53.333333333333336</v>
      </c>
      <c r="E179" s="18">
        <f t="shared" si="60"/>
        <v>100</v>
      </c>
      <c r="G179" s="1">
        <v>1993</v>
      </c>
      <c r="H179" s="409">
        <f>(O78*100*($E78/365)/($R78))+(O79*100*($E79/365)/($R79))</f>
        <v>0</v>
      </c>
      <c r="I179" s="409"/>
      <c r="J179" s="380">
        <f>(P78*100*($E78/365)/($R78))+(P79*100*($E79/365)/($R79))</f>
        <v>47.526501766784456</v>
      </c>
      <c r="K179" s="380"/>
      <c r="L179" s="380">
        <f>(Q78*100*($E78/365)/($R78))+(Q79*100*($E79/365)/($R79))</f>
        <v>52.473498233215551</v>
      </c>
      <c r="M179" s="380"/>
      <c r="N179" s="379">
        <f t="shared" si="59"/>
        <v>100</v>
      </c>
      <c r="O179" s="379"/>
      <c r="R179" s="1">
        <v>1993</v>
      </c>
      <c r="S179" s="5">
        <f>(O78*($E78/365))+(O79*($E79/365))</f>
        <v>0</v>
      </c>
      <c r="T179" s="5">
        <f>(P78*($E78/365))+(P79*($E79/365))</f>
        <v>26.9</v>
      </c>
      <c r="U179" s="5">
        <f>(Q78*($E78/365))+(Q79*($E79/365))</f>
        <v>29.7</v>
      </c>
      <c r="V179" s="5"/>
      <c r="W179" s="5">
        <f>R78*(E78/365) + R79*(E79/365)</f>
        <v>56.599999999999994</v>
      </c>
    </row>
    <row r="180" spans="1:23" x14ac:dyDescent="0.15">
      <c r="A180" s="1">
        <v>1994</v>
      </c>
      <c r="B180" s="5">
        <f>(K80*($E80/365))+(K81*($E81/365))</f>
        <v>0</v>
      </c>
      <c r="C180" s="5">
        <f>(L80*($E80/365))+(L81*($E81/365))</f>
        <v>46.666666666666664</v>
      </c>
      <c r="D180" s="5">
        <f>(M80*($E80/365))+(M81*($E81/365))</f>
        <v>53.333333333333336</v>
      </c>
      <c r="E180" s="18">
        <f t="shared" si="60"/>
        <v>100</v>
      </c>
      <c r="G180" s="1">
        <v>1994</v>
      </c>
      <c r="H180" s="409">
        <f>(O80*100*($E80/365)/($R80))+(O81*100*($E81/365)/($R81))</f>
        <v>0</v>
      </c>
      <c r="I180" s="409"/>
      <c r="J180" s="380">
        <f>(P80*100*($E80/365)/($R80))+(P81*100*($E81/365)/($R81))</f>
        <v>47.526501766784456</v>
      </c>
      <c r="K180" s="380"/>
      <c r="L180" s="380">
        <f>(Q80*100*($E80/365)/($R80))+(Q81*100*($E81/365)/($R81))</f>
        <v>52.473498233215551</v>
      </c>
      <c r="M180" s="380"/>
      <c r="N180" s="379">
        <f t="shared" si="59"/>
        <v>100</v>
      </c>
      <c r="O180" s="379"/>
      <c r="R180" s="1">
        <v>1994</v>
      </c>
      <c r="S180" s="5">
        <f>(O80*($E80/365))+(O81*($E81/365))</f>
        <v>0</v>
      </c>
      <c r="T180" s="5">
        <f>(P80*($E80/365))+(P81*($E81/365))</f>
        <v>26.9</v>
      </c>
      <c r="U180" s="5">
        <f>(Q80*($E80/365))+(Q81*($E81/365))</f>
        <v>29.7</v>
      </c>
      <c r="V180" s="5"/>
      <c r="W180" s="5">
        <f>R80*(E80/365) + R81*(E81/365)</f>
        <v>56.599999999999994</v>
      </c>
    </row>
    <row r="181" spans="1:23" x14ac:dyDescent="0.15">
      <c r="A181" s="1">
        <v>1995</v>
      </c>
      <c r="B181" s="5">
        <f>(K82*($E82/365))+(K83*($E83/365))</f>
        <v>0</v>
      </c>
      <c r="C181" s="5">
        <f>(L82*($E82/365))+(L83*($E83/365))</f>
        <v>46.666666666666657</v>
      </c>
      <c r="D181" s="5">
        <f>(M82*($E82/365))+(M83*($E83/365))</f>
        <v>53.333333333333329</v>
      </c>
      <c r="E181" s="18">
        <f t="shared" si="60"/>
        <v>99.999999999999986</v>
      </c>
      <c r="G181" s="1">
        <v>1995</v>
      </c>
      <c r="H181" s="409">
        <f>(O82*100*($E82/365)/($R82))+(O83*100*($E83/365)/($R83))</f>
        <v>0</v>
      </c>
      <c r="I181" s="409"/>
      <c r="J181" s="380">
        <f>(P82*100*($E82/365)/($R82))+(P83*100*($E83/365)/($R83))</f>
        <v>48.827629604530713</v>
      </c>
      <c r="K181" s="380"/>
      <c r="L181" s="380">
        <f>(Q82*100*($E82/365)/($R82))+(Q83*100*($E83/365)/($R83))</f>
        <v>51.172370395469287</v>
      </c>
      <c r="M181" s="380"/>
      <c r="N181" s="379">
        <f t="shared" si="59"/>
        <v>100</v>
      </c>
      <c r="O181" s="379"/>
      <c r="R181" s="1">
        <v>1995</v>
      </c>
      <c r="S181" s="5">
        <f>(O82*($E82/365))+(O83*($E83/365))</f>
        <v>0</v>
      </c>
      <c r="T181" s="5">
        <f>(P82*($E82/365))+(P83*($E83/365))</f>
        <v>27.110410958904108</v>
      </c>
      <c r="U181" s="5">
        <f>(Q82*($E82/365))+(Q83*($E83/365))</f>
        <v>28.437534246575339</v>
      </c>
      <c r="V181" s="5"/>
      <c r="W181" s="5">
        <f>R82*(E82/365) + R83*(E83/365)</f>
        <v>55.547945205479451</v>
      </c>
    </row>
    <row r="182" spans="1:23" x14ac:dyDescent="0.15">
      <c r="A182" s="1">
        <v>1996</v>
      </c>
      <c r="B182" s="5">
        <f>(K84*($E84/366))+(K85*($E85/366))</f>
        <v>0</v>
      </c>
      <c r="C182" s="5">
        <f>(L84*($E84/366))+(L85*($E85/366))</f>
        <v>46.666666666666664</v>
      </c>
      <c r="D182" s="5">
        <f>(M84*($E84/366))+(M85*($E85/366))</f>
        <v>53.333333333333336</v>
      </c>
      <c r="E182" s="18">
        <f t="shared" si="60"/>
        <v>100</v>
      </c>
      <c r="G182" s="1">
        <v>1996</v>
      </c>
      <c r="H182" s="409">
        <f>(O84*100*($E84/366)/($R84))+(O85*100*($E85/366)/($R85))</f>
        <v>0</v>
      </c>
      <c r="I182" s="409"/>
      <c r="J182" s="380">
        <f>(P84*100*($E84/366)/($R84))+(P85*100*($E85/366)/($R85))</f>
        <v>50</v>
      </c>
      <c r="K182" s="380"/>
      <c r="L182" s="380">
        <f>(Q84*100*($E84/366)/($R84))+(Q85*100*($E85/366)/($R85))</f>
        <v>50</v>
      </c>
      <c r="M182" s="380"/>
      <c r="N182" s="379">
        <f t="shared" si="59"/>
        <v>100</v>
      </c>
      <c r="O182" s="379"/>
      <c r="R182" s="1">
        <v>1996</v>
      </c>
      <c r="S182" s="5">
        <f>(O84*($E84/366))+(O85*($E85/366))</f>
        <v>0</v>
      </c>
      <c r="T182" s="5">
        <f>(P84*($E84/366))+(P85*($E85/366))</f>
        <v>27.3</v>
      </c>
      <c r="U182" s="5">
        <f>(Q84*($E84/366))+(Q85*($E85/366))</f>
        <v>27.3</v>
      </c>
      <c r="V182" s="5"/>
      <c r="W182" s="5">
        <f>R84*(E84/366) + R85*(E85/366)</f>
        <v>54.6</v>
      </c>
    </row>
    <row r="183" spans="1:23" x14ac:dyDescent="0.15">
      <c r="A183" s="1">
        <v>1997</v>
      </c>
      <c r="B183" s="5">
        <f>(K86*($E86/365))+(K87*($E87/365))</f>
        <v>0</v>
      </c>
      <c r="C183" s="5">
        <f>(L86*($E86/365))+(L87*($E87/365))</f>
        <v>46.666666666666664</v>
      </c>
      <c r="D183" s="5">
        <f>(M86*($E86/365))+(M87*($E87/365))</f>
        <v>53.333333333333336</v>
      </c>
      <c r="E183" s="18">
        <f t="shared" si="60"/>
        <v>100</v>
      </c>
      <c r="G183" s="1">
        <v>1997</v>
      </c>
      <c r="H183" s="409">
        <f>(O86*100*($E86/365)/($R86))+(O87*100*($E87/365)/($R87))</f>
        <v>0</v>
      </c>
      <c r="I183" s="409"/>
      <c r="J183" s="380">
        <f>(P86*100*($E86/365)/($R86))+(P87*100*($E87/365)/($R87))</f>
        <v>50</v>
      </c>
      <c r="K183" s="380"/>
      <c r="L183" s="380">
        <f>(Q86*100*($E86/365)/($R86))+(Q87*100*($E87/365)/($R87))</f>
        <v>50</v>
      </c>
      <c r="M183" s="380"/>
      <c r="N183" s="379">
        <f t="shared" si="59"/>
        <v>100</v>
      </c>
      <c r="O183" s="379"/>
      <c r="R183" s="1">
        <v>1997</v>
      </c>
      <c r="S183" s="5">
        <f>(O86*($E86/365))+(O87*($E87/365))</f>
        <v>0</v>
      </c>
      <c r="T183" s="5">
        <f>(P86*($E86/365))+(P87*($E87/365))</f>
        <v>27.3</v>
      </c>
      <c r="U183" s="5">
        <f>(Q86*($E86/365))+(Q87*($E87/365))</f>
        <v>27.3</v>
      </c>
      <c r="V183" s="5"/>
      <c r="W183" s="5">
        <f>R86*(E86/365) + R87*(E87/365)</f>
        <v>54.6</v>
      </c>
    </row>
    <row r="184" spans="1:23" x14ac:dyDescent="0.15">
      <c r="A184" s="1">
        <v>1998</v>
      </c>
      <c r="B184" s="5">
        <f>(K88*($E88/365))+(K89*($E89/365))</f>
        <v>0</v>
      </c>
      <c r="C184" s="5">
        <f>(L88*($E88/365))+(L89*($E89/365))</f>
        <v>46.666666666666664</v>
      </c>
      <c r="D184" s="5">
        <f>(M88*($E88/365))+(M89*($E89/365))</f>
        <v>53.333333333333336</v>
      </c>
      <c r="E184" s="18">
        <f t="shared" si="60"/>
        <v>100</v>
      </c>
      <c r="G184" s="1">
        <v>1998</v>
      </c>
      <c r="H184" s="409">
        <f>(O88*100*($E88/365)/($R88))+(O89*100*($E89/365)/($R89))</f>
        <v>0</v>
      </c>
      <c r="I184" s="409"/>
      <c r="J184" s="380">
        <f>(P88*100*($E88/365)/($R88))+(P89*100*($E89/365)/($R89))</f>
        <v>50</v>
      </c>
      <c r="K184" s="380"/>
      <c r="L184" s="380">
        <f>(Q88*100*($E88/365)/($R88))+(Q89*100*($E89/365)/($R89))</f>
        <v>50</v>
      </c>
      <c r="M184" s="380"/>
      <c r="N184" s="379">
        <f t="shared" si="59"/>
        <v>100</v>
      </c>
      <c r="O184" s="379"/>
      <c r="R184" s="1">
        <v>1998</v>
      </c>
      <c r="S184" s="5">
        <f>(O88*($E88/365))+(O89*($E89/365))</f>
        <v>0</v>
      </c>
      <c r="T184" s="5">
        <f>(P88*($E88/365))+(P89*($E89/365))</f>
        <v>27.3</v>
      </c>
      <c r="U184" s="5">
        <f>(Q88*($E88/365))+(Q89*($E89/365))</f>
        <v>27.3</v>
      </c>
      <c r="V184" s="5"/>
      <c r="W184" s="5">
        <f>R88*(E88/365) + R89*(E89/365)</f>
        <v>54.6</v>
      </c>
    </row>
    <row r="185" spans="1:23" x14ac:dyDescent="0.15">
      <c r="A185" s="1">
        <v>1999</v>
      </c>
      <c r="B185" s="5">
        <f>(K90*($E90/365))+(K91*($E91/365))</f>
        <v>21.990867579908674</v>
      </c>
      <c r="C185" s="5">
        <f>(L90*($E90/365))+(L91*($E91/365))</f>
        <v>24.675799086757991</v>
      </c>
      <c r="D185" s="5">
        <f>(M90*($E90/365))+(M91*($E91/365))</f>
        <v>53.333333333333343</v>
      </c>
      <c r="E185" s="18">
        <f t="shared" si="60"/>
        <v>100</v>
      </c>
      <c r="G185" s="1">
        <v>1999</v>
      </c>
      <c r="H185" s="409">
        <f>(O90*100*($E90/365)/($R90))+(O91*100*($E91/365)/($R91))</f>
        <v>20.550571140968973</v>
      </c>
      <c r="I185" s="409"/>
      <c r="J185" s="380">
        <f>(P90*100*($E90/365)/($R90))+(P91*100*($E91/365)/($R91))</f>
        <v>26.438356164383563</v>
      </c>
      <c r="K185" s="380"/>
      <c r="L185" s="380">
        <f>(Q90*100*($E90/365)/($R90))+(Q91*100*($E91/365)/($R91))</f>
        <v>53.011072694647467</v>
      </c>
      <c r="M185" s="380"/>
      <c r="N185" s="379">
        <f t="shared" si="59"/>
        <v>100</v>
      </c>
      <c r="O185" s="379"/>
      <c r="R185" s="1">
        <v>1999</v>
      </c>
      <c r="S185" s="5">
        <f>(O90*($E90/365))+(O91*($E91/365))</f>
        <v>12.864657534246575</v>
      </c>
      <c r="T185" s="5">
        <f>(P90*($E90/365))+(P91*($E91/365))</f>
        <v>14.435342465753426</v>
      </c>
      <c r="U185" s="5">
        <f>(Q90*($E90/365))+(Q91*($E91/365))</f>
        <v>31.06986301369863</v>
      </c>
      <c r="V185" s="5"/>
      <c r="W185" s="5">
        <f>R90*(E90/365) + R91*(E91/365)</f>
        <v>58.369863013698634</v>
      </c>
    </row>
    <row r="186" spans="1:23" x14ac:dyDescent="0.15">
      <c r="A186" s="1">
        <v>2000</v>
      </c>
      <c r="B186" s="5">
        <f>(K92*($E92/366))+(K93*($E93/366))</f>
        <v>46.666666666666664</v>
      </c>
      <c r="C186" s="5">
        <f>(L92*($E92/366))+(L93*($E93/366))</f>
        <v>0</v>
      </c>
      <c r="D186" s="5">
        <f>(M92*($E92/366))+(M93*($E93/366))</f>
        <v>53.333333333333336</v>
      </c>
      <c r="E186" s="18">
        <f t="shared" si="60"/>
        <v>100</v>
      </c>
      <c r="G186" s="1">
        <v>2000</v>
      </c>
      <c r="H186" s="409">
        <f>(O92*100*($E92/366)/($R92))+(O93*100*($E93/366)/($R93))</f>
        <v>43.610223642172528</v>
      </c>
      <c r="I186" s="409"/>
      <c r="J186" s="380">
        <f>(P92*100*($E92/366)/($R92))+(P93*100*($E93/366)/($R93))</f>
        <v>0</v>
      </c>
      <c r="K186" s="380"/>
      <c r="L186" s="380">
        <f>(Q92*100*($E92/366)/($R92))+(Q93*100*($E93/366)/($R93))</f>
        <v>56.389776357827472</v>
      </c>
      <c r="M186" s="380"/>
      <c r="N186" s="379">
        <f t="shared" si="59"/>
        <v>100</v>
      </c>
      <c r="O186" s="379"/>
      <c r="R186" s="1">
        <v>2000</v>
      </c>
      <c r="S186" s="5">
        <f>(O92*($E92/366))+(O93*($E93/366))</f>
        <v>27.3</v>
      </c>
      <c r="T186" s="5">
        <f>(P92*($E92/366))+(P93*($E93/366))</f>
        <v>0</v>
      </c>
      <c r="U186" s="5">
        <f>(Q92*($E92/366))+(Q93*($E93/366))</f>
        <v>35.299999999999997</v>
      </c>
      <c r="V186" s="5"/>
      <c r="W186" s="5">
        <f>R92*(E92/366) + R93*(E93/366)</f>
        <v>62.599999999999994</v>
      </c>
    </row>
    <row r="187" spans="1:23" x14ac:dyDescent="0.15">
      <c r="A187" s="1">
        <v>2001</v>
      </c>
      <c r="B187" s="5">
        <f>(K94*($E94/365))+(K95*($E95/365))</f>
        <v>46.666666666666664</v>
      </c>
      <c r="C187" s="5">
        <f>(L94*($E94/365))+(L95*($E95/365))</f>
        <v>0</v>
      </c>
      <c r="D187" s="5">
        <f>(M94*($E94/365))+(M95*($E95/365))</f>
        <v>53.333333333333336</v>
      </c>
      <c r="E187" s="18">
        <f t="shared" si="60"/>
        <v>100</v>
      </c>
      <c r="G187" s="1">
        <v>2001</v>
      </c>
      <c r="H187" s="409">
        <f>(O94*100*($E94/365)/($R94))+(O95*100*($E95/365)/($R95))</f>
        <v>43.610223642172528</v>
      </c>
      <c r="I187" s="409"/>
      <c r="J187" s="380">
        <f>(P94*100*($E94/365)/($R94))+(P95*100*($E95/365)/($R95))</f>
        <v>0</v>
      </c>
      <c r="K187" s="380"/>
      <c r="L187" s="380">
        <f>(Q94*100*($E94/365)/($R94))+(Q95*100*($E95/365)/($R95))</f>
        <v>56.389776357827472</v>
      </c>
      <c r="M187" s="380"/>
      <c r="N187" s="379">
        <f t="shared" si="59"/>
        <v>100</v>
      </c>
      <c r="O187" s="379"/>
      <c r="R187" s="1">
        <v>2001</v>
      </c>
      <c r="S187" s="5">
        <f>(O94*($E94/365))+(O95*($E95/365))</f>
        <v>27.3</v>
      </c>
      <c r="T187" s="5">
        <f>(P94*($E94/365))+(P95*($E95/365))</f>
        <v>0</v>
      </c>
      <c r="U187" s="5">
        <f>(Q94*($E94/365))+(Q95*($E95/365))</f>
        <v>35.299999999999997</v>
      </c>
      <c r="V187" s="5"/>
      <c r="W187" s="5">
        <f>R94*(E94/365) + R95*(E95/365)</f>
        <v>62.599999999999994</v>
      </c>
    </row>
    <row r="188" spans="1:23" x14ac:dyDescent="0.15">
      <c r="A188" s="1">
        <v>2002</v>
      </c>
      <c r="B188" s="5">
        <f>(K96*($E96/365))+(K97*($E97/365))</f>
        <v>46.666666666666664</v>
      </c>
      <c r="C188" s="5">
        <f>(L96*($E96/365))+(L97*($E97/365))</f>
        <v>0</v>
      </c>
      <c r="D188" s="5">
        <f>(M96*($E96/365))+(M97*($E97/365))</f>
        <v>53.333333333333336</v>
      </c>
      <c r="E188" s="18">
        <f t="shared" si="60"/>
        <v>100</v>
      </c>
      <c r="G188" s="1">
        <v>2002</v>
      </c>
      <c r="H188" s="409">
        <f>(O96*100*($E96/365)/($R96))+(O97*100*($E97/365)/($R97))</f>
        <v>43.610223642172528</v>
      </c>
      <c r="I188" s="409"/>
      <c r="J188" s="380">
        <f>(P96*100*($E96/365)/($R96))+(P97*100*($E97/365)/($R97))</f>
        <v>0</v>
      </c>
      <c r="K188" s="380"/>
      <c r="L188" s="380">
        <f>(Q96*100*($E96/365)/($R96))+(Q97*100*($E97/365)/($R97))</f>
        <v>56.389776357827472</v>
      </c>
      <c r="M188" s="380"/>
      <c r="N188" s="379">
        <f t="shared" si="59"/>
        <v>100</v>
      </c>
      <c r="O188" s="379"/>
      <c r="R188" s="1">
        <v>2002</v>
      </c>
      <c r="S188" s="5">
        <f>(O96*($E96/365))+(O97*($E97/365))</f>
        <v>27.3</v>
      </c>
      <c r="T188" s="5">
        <f>(P96*($E96/365))+(P97*($E97/365))</f>
        <v>0</v>
      </c>
      <c r="U188" s="5">
        <f>(Q96*($E96/365))+(Q97*($E97/365))</f>
        <v>35.299999999999997</v>
      </c>
      <c r="V188" s="5"/>
      <c r="W188" s="5">
        <f>R96*(E96/365) + R97*(E97/365)</f>
        <v>62.599999999999994</v>
      </c>
    </row>
    <row r="189" spans="1:23" x14ac:dyDescent="0.15">
      <c r="A189" s="1">
        <v>2003</v>
      </c>
      <c r="B189" s="5">
        <f>(K98*($E98/365))+(K99*($E99/365))</f>
        <v>46.666666666666657</v>
      </c>
      <c r="C189" s="5">
        <f>(L98*($E98/365))+(L99*($E99/365))</f>
        <v>0</v>
      </c>
      <c r="D189" s="5">
        <f>(M98*($E98/365))+(M99*($E99/365))</f>
        <v>53.333333333333329</v>
      </c>
      <c r="E189" s="18">
        <f t="shared" si="60"/>
        <v>99.999999999999986</v>
      </c>
      <c r="G189" s="1">
        <v>2003</v>
      </c>
      <c r="H189" s="409">
        <f>(O98*100*($E98/365)/($R98))+(O99*100*($E99/365)/($R99))</f>
        <v>46.895201972116794</v>
      </c>
      <c r="I189" s="409"/>
      <c r="J189" s="380">
        <f>(P98*100*($E98/365)/($R98))+(P99*100*($E99/365)/($R99))</f>
        <v>0</v>
      </c>
      <c r="K189" s="380"/>
      <c r="L189" s="380">
        <f>(Q98*100*($E98/365)/($R98))+(Q99*100*($E99/365)/($R99))</f>
        <v>53.104798027883206</v>
      </c>
      <c r="M189" s="380"/>
      <c r="N189" s="379">
        <f t="shared" si="59"/>
        <v>100</v>
      </c>
      <c r="O189" s="379"/>
      <c r="R189" s="1">
        <v>2003</v>
      </c>
      <c r="S189" s="5">
        <f>(O98*($E98/365))+(O99*($E99/365))</f>
        <v>29.859452054794524</v>
      </c>
      <c r="T189" s="5">
        <f>(P98*($E98/365))+(P99*($E99/365))</f>
        <v>0</v>
      </c>
      <c r="U189" s="5">
        <f>(Q98*($E98/365))+(Q99*($E99/365))</f>
        <v>33.735890410958902</v>
      </c>
      <c r="V189" s="5"/>
      <c r="W189" s="5">
        <f>R98*(E98/365) + R99*(E99/365)</f>
        <v>63.595342465753419</v>
      </c>
    </row>
    <row r="190" spans="1:23" x14ac:dyDescent="0.15">
      <c r="A190" s="1">
        <v>2004</v>
      </c>
      <c r="B190" s="5">
        <f>(K100*($E100/366))+(K101*($E101/366))</f>
        <v>46.666666666666664</v>
      </c>
      <c r="C190" s="5">
        <f>(L100*($E100/366))+(L101*($E101/366))</f>
        <v>0</v>
      </c>
      <c r="D190" s="5">
        <f>(M100*($E100/366))+(M101*($E101/366))</f>
        <v>53.333333333333336</v>
      </c>
      <c r="E190" s="18">
        <f t="shared" si="60"/>
        <v>100</v>
      </c>
      <c r="G190" s="1">
        <v>2004</v>
      </c>
      <c r="H190" s="409">
        <f>(O100*100*($E100/366)/($R100))+(O101*100*($E101/366)/($R101))</f>
        <v>50.540958268933544</v>
      </c>
      <c r="I190" s="409"/>
      <c r="J190" s="380">
        <f>(P100*100*($E100/366)/($R100))+(P101*100*($E101/366)/($R101))</f>
        <v>0</v>
      </c>
      <c r="K190" s="380"/>
      <c r="L190" s="380">
        <f>(Q100*100*($E100/366)/($R100))+(Q101*100*($E101/366)/($R101))</f>
        <v>49.459041731066456</v>
      </c>
      <c r="M190" s="380"/>
      <c r="N190" s="379">
        <f t="shared" si="59"/>
        <v>100</v>
      </c>
      <c r="O190" s="379"/>
      <c r="R190" s="1">
        <v>2004</v>
      </c>
      <c r="S190" s="5">
        <f>(O100*($E100/366))+(O101*($E101/366))</f>
        <v>32.700000000000003</v>
      </c>
      <c r="T190" s="5">
        <f>(P100*($E100/366))+(P101*($E101/366))</f>
        <v>0</v>
      </c>
      <c r="U190" s="5">
        <f>(Q100*($E100/366))+(Q101*($E101/366))</f>
        <v>32</v>
      </c>
      <c r="V190" s="5"/>
      <c r="W190" s="5">
        <f>R100*(E100/366) + R101*(E101/366)</f>
        <v>64.7</v>
      </c>
    </row>
    <row r="191" spans="1:23" x14ac:dyDescent="0.15">
      <c r="A191" s="1">
        <v>2005</v>
      </c>
      <c r="B191" s="5">
        <f>(K102*($E102/365))+(K103*($E103/365))</f>
        <v>46.666666666666664</v>
      </c>
      <c r="C191" s="5">
        <f>(L102*($E102/365))+(L103*($E103/365))</f>
        <v>0</v>
      </c>
      <c r="D191" s="5">
        <f>(M102*($E102/365))+(M103*($E103/365))</f>
        <v>53.333333333333336</v>
      </c>
      <c r="E191" s="18">
        <f t="shared" si="60"/>
        <v>100</v>
      </c>
      <c r="G191" s="1">
        <v>2005</v>
      </c>
      <c r="H191" s="409">
        <f>(O102*100*($E102/365)/($R102))+(O103*100*($E103/365)/($R103))</f>
        <v>50.540958268933544</v>
      </c>
      <c r="I191" s="409"/>
      <c r="J191" s="380">
        <f>(P102*100*($E102/365)/($R102))+(P103*100*($E103/365)/($R103))</f>
        <v>0</v>
      </c>
      <c r="K191" s="380"/>
      <c r="L191" s="380">
        <f>(Q102*100*($E102/365)/($R102))+(Q103*100*($E103/365)/($R103))</f>
        <v>49.459041731066456</v>
      </c>
      <c r="M191" s="380"/>
      <c r="N191" s="379">
        <f t="shared" si="59"/>
        <v>100</v>
      </c>
      <c r="O191" s="379"/>
      <c r="R191" s="1">
        <v>2005</v>
      </c>
      <c r="S191" s="5">
        <f>(O102*($E102/365))+(O103*($E103/365))</f>
        <v>32.700000000000003</v>
      </c>
      <c r="T191" s="5">
        <f>(P102*($E102/365))+(P103*($E103/365))</f>
        <v>0</v>
      </c>
      <c r="U191" s="5">
        <f>(Q102*($E102/365))+(Q103*($E103/365))</f>
        <v>32</v>
      </c>
      <c r="V191" s="5"/>
      <c r="W191" s="5">
        <f>R102*(E102/365) + R103*(E103/365)</f>
        <v>64.7</v>
      </c>
    </row>
    <row r="192" spans="1:23" x14ac:dyDescent="0.15">
      <c r="A192" s="1">
        <v>2006</v>
      </c>
      <c r="B192" s="5">
        <f>(K104*($E104/365))+(K105*($E105/365))</f>
        <v>46.666666666666664</v>
      </c>
      <c r="C192" s="5">
        <f>(L104*($E104/365))+(L105*($E105/365))</f>
        <v>0</v>
      </c>
      <c r="D192" s="5">
        <f>(M104*($E104/365))+(M105*($E105/365))</f>
        <v>53.333333333333336</v>
      </c>
      <c r="E192" s="18">
        <f t="shared" si="60"/>
        <v>100</v>
      </c>
      <c r="G192" s="1">
        <v>2006</v>
      </c>
      <c r="H192" s="409">
        <f>(O104*100*($E104/365)/($R104))+(O105*100*($E105/365)/($R105))</f>
        <v>50.540958268933544</v>
      </c>
      <c r="I192" s="409"/>
      <c r="J192" s="380">
        <f>(P104*100*($E104/365)/($R104))+(P105*100*($E105/365)/($R105))</f>
        <v>0</v>
      </c>
      <c r="K192" s="380"/>
      <c r="L192" s="380">
        <f>(Q104*100*($E104/365)/($R104))+(Q105*100*($E105/365)/($R105))</f>
        <v>49.459041731066456</v>
      </c>
      <c r="M192" s="380"/>
      <c r="N192" s="379">
        <f t="shared" si="59"/>
        <v>100</v>
      </c>
      <c r="O192" s="379"/>
      <c r="R192" s="1">
        <v>2006</v>
      </c>
      <c r="S192" s="5">
        <f>(O104*($E104/365))+(O105*($E105/365))</f>
        <v>32.700000000000003</v>
      </c>
      <c r="T192" s="5">
        <f>(P104*($E104/365))+(P105*($E105/365))</f>
        <v>0</v>
      </c>
      <c r="U192" s="5">
        <f>(Q104*($E104/365))+(Q105*($E105/365))</f>
        <v>32</v>
      </c>
      <c r="V192" s="5"/>
      <c r="W192" s="5">
        <f>R104*(E104/365) + R105*(E105/365)</f>
        <v>64.7</v>
      </c>
    </row>
    <row r="193" spans="1:23" x14ac:dyDescent="0.15">
      <c r="A193" s="1">
        <v>2007</v>
      </c>
      <c r="B193" s="5">
        <f>(K106*($E106/365))+(K107*($E107/365))</f>
        <v>46.551859099804304</v>
      </c>
      <c r="C193" s="5">
        <f>(L106*($E106/365))+(L107*($E107/365))</f>
        <v>1.076320939334638</v>
      </c>
      <c r="D193" s="5">
        <f>(M106*($E106/365))+(M107*($E107/365))</f>
        <v>52.37181996086106</v>
      </c>
      <c r="E193" s="18">
        <f t="shared" si="60"/>
        <v>100</v>
      </c>
      <c r="G193" s="1">
        <v>2007</v>
      </c>
      <c r="H193" s="409">
        <f>(O106*100*($E106/365)/($R106))+(O107*100*($E107/365)/($R107))</f>
        <v>50.240301980122801</v>
      </c>
      <c r="I193" s="409"/>
      <c r="J193" s="380">
        <f>(P106*100*($E106/365)/($R106))+(P107*100*($E107/365)/($R107))</f>
        <v>1.1956278369191313</v>
      </c>
      <c r="K193" s="380"/>
      <c r="L193" s="380">
        <f>(Q106*100*($E106/365)/($R106))+(Q107*100*($E107/365)/($R107))</f>
        <v>48.564070182958069</v>
      </c>
      <c r="M193" s="380"/>
      <c r="N193" s="379">
        <f t="shared" si="59"/>
        <v>100</v>
      </c>
      <c r="O193" s="379"/>
      <c r="R193" s="1">
        <v>2007</v>
      </c>
      <c r="S193" s="5">
        <f>(O106*($E106/365))+(O107*($E107/365))</f>
        <v>32.537260273972606</v>
      </c>
      <c r="T193" s="5">
        <f>(P106*($E106/365))+(P107*($E107/365))</f>
        <v>0.80465753424657538</v>
      </c>
      <c r="U193" s="5">
        <f>(Q106*($E106/365))+(Q107*($E107/365))</f>
        <v>31.436438356164384</v>
      </c>
      <c r="V193" s="5"/>
      <c r="W193" s="5">
        <f>R106*(E106/365) + R107*(E107/365)</f>
        <v>64.778356164383567</v>
      </c>
    </row>
    <row r="194" spans="1:23" x14ac:dyDescent="0.15">
      <c r="A194" s="1">
        <v>2008</v>
      </c>
      <c r="B194" s="5">
        <f>(K108*($E108/366))+(K109*($E109/366))+(K110*($E110/366))</f>
        <v>45.844392401769447</v>
      </c>
      <c r="C194" s="5">
        <f>(L108*($E108/366))+(L109*($E109/366))+(L110*($E110/366))</f>
        <v>33.847254748894088</v>
      </c>
      <c r="D194" s="5">
        <f>(M108*($E108/366))+(M109*($E109/366))+(M110*($E110/366))</f>
        <v>20.308352849336458</v>
      </c>
      <c r="E194" s="18">
        <f t="shared" si="60"/>
        <v>99.999999999999986</v>
      </c>
      <c r="G194" s="1">
        <v>2008</v>
      </c>
      <c r="H194" s="409">
        <f>(O108*100*($E108/366)/($R108))+(O109*100*($E109/366)/($R109))+(O110*100*($E110/366)/($R110))</f>
        <v>40.564635958395243</v>
      </c>
      <c r="I194" s="409"/>
      <c r="J194" s="380">
        <f>(P108*100*($E108/366)/($R108))+(P109*100*($E109/366)/($R109))+(P110*100*($E110/366)/($R110))</f>
        <v>39.673105497771168</v>
      </c>
      <c r="K194" s="380"/>
      <c r="L194" s="380">
        <f>(Q108*100*($E108/366)/($R108))+(Q109*100*($E109/366)/($R109))+(Q110*100*($E110/366)/($R110))</f>
        <v>19.762258543833578</v>
      </c>
      <c r="M194" s="380"/>
      <c r="N194" s="379">
        <f t="shared" si="59"/>
        <v>100</v>
      </c>
      <c r="O194" s="379"/>
      <c r="R194" s="1">
        <v>2008</v>
      </c>
      <c r="S194" s="5">
        <f>(O108*($E108/366))+(O109*($E109/366))+(O110*($E110/366))</f>
        <v>27.299999999999997</v>
      </c>
      <c r="T194" s="5">
        <f>(P108*($E108/366))+(P109*($E109/366))+(P110*($E110/366))</f>
        <v>26.7</v>
      </c>
      <c r="U194" s="5">
        <f>(Q108*($E108/366))+(Q109*($E109/366))+(Q110*($E110/366))</f>
        <v>13.299999999999999</v>
      </c>
      <c r="V194" s="5"/>
      <c r="W194" s="5">
        <f>R108*(E108/366) + R109*(E109/366) + R110*(E110/366)</f>
        <v>67.3</v>
      </c>
    </row>
    <row r="195" spans="1:23" x14ac:dyDescent="0.15">
      <c r="A195" s="1">
        <v>2009</v>
      </c>
      <c r="B195" s="5">
        <f>(K111*($E111/365))+(K112*($E112/365))+(K113*($E113/365))</f>
        <v>43.598173515981735</v>
      </c>
      <c r="C195" s="5">
        <f>(L111*($E111/365))+(L112*($E112/365))+(L113*($E113/365))</f>
        <v>36.401826484018258</v>
      </c>
      <c r="D195" s="5">
        <f>(M111*($E111/365))+(M112*($E112/365))+(M113*($E113/365))</f>
        <v>20</v>
      </c>
      <c r="E195" s="18">
        <f t="shared" si="60"/>
        <v>100</v>
      </c>
      <c r="G195" s="1">
        <v>2009</v>
      </c>
      <c r="H195" s="409">
        <f>(O111*100*($E111/365)/($R111))+(O112*100*($E112/365)/($R112))+(O113*100*($E113/365)/($R113))</f>
        <v>40.564635958395243</v>
      </c>
      <c r="I195" s="409"/>
      <c r="J195" s="380">
        <f>(P111*100*($E111/365)/($R111))+(P112*100*($E112/365)/($R112))+(P113*100*($E113/365)/($R113))</f>
        <v>39.673105497771175</v>
      </c>
      <c r="K195" s="380"/>
      <c r="L195" s="380">
        <f>(Q111*100*($E111/365)/($R111))+(Q112*100*($E112/365)/($R112))+(Q113*100*($E113/365)/($R113))</f>
        <v>19.762258543833582</v>
      </c>
      <c r="M195" s="380"/>
      <c r="N195" s="379">
        <f t="shared" si="59"/>
        <v>100</v>
      </c>
      <c r="O195" s="379"/>
      <c r="R195" s="1">
        <v>2009</v>
      </c>
      <c r="S195" s="5">
        <f>(O111*($E111/365))+(O112*($E112/365))+(O113*($E113/365))</f>
        <v>27.300000000000004</v>
      </c>
      <c r="T195" s="5">
        <f>(P111*($E111/365))+(P112*($E112/365))+(P113*($E113/365))</f>
        <v>26.700000000000003</v>
      </c>
      <c r="U195" s="5">
        <f>(Q111*($E111/365))+(Q112*($E112/365))+(Q113*($E113/365))</f>
        <v>13.3</v>
      </c>
      <c r="V195" s="5"/>
      <c r="W195" s="5">
        <f>R111*(E111/365) + R112*(E112/365) + R113*(E113/365)</f>
        <v>67.300000000000011</v>
      </c>
    </row>
    <row r="196" spans="1:23" x14ac:dyDescent="0.15">
      <c r="A196" s="1">
        <v>2010</v>
      </c>
      <c r="B196" s="5">
        <f>(K114*($E114/365))+(K115*($E115/365))</f>
        <v>40</v>
      </c>
      <c r="C196" s="5">
        <f>(L114*($E114/365))+(L115*($E115/365))</f>
        <v>40</v>
      </c>
      <c r="D196" s="5">
        <f>(M114*($E114/365))+(M115*($E115/365))</f>
        <v>20</v>
      </c>
      <c r="E196" s="18">
        <f t="shared" si="60"/>
        <v>100</v>
      </c>
      <c r="G196" s="1">
        <v>2010</v>
      </c>
      <c r="H196" s="409">
        <f>(O114*100*($E114/365)/($R114))+(O115*100*($E115/365)/($R115))</f>
        <v>38.831062055804153</v>
      </c>
      <c r="I196" s="409"/>
      <c r="J196" s="409">
        <f>(P114*100*($E114/365)/($R114))+(P115*100*($E115/365)/($R115))</f>
        <v>35.030315620716863</v>
      </c>
      <c r="K196" s="409"/>
      <c r="L196" s="409">
        <f>(Q114*100*($E114/365)/($R114))+(Q115*100*($E115/365)/($R115))</f>
        <v>26.13862232347898</v>
      </c>
      <c r="M196" s="409"/>
      <c r="N196" s="379">
        <f t="shared" si="59"/>
        <v>100</v>
      </c>
      <c r="O196" s="379"/>
      <c r="R196" s="1">
        <v>2010</v>
      </c>
      <c r="S196" s="5">
        <f>(O114*($E114/365))+(O115*($E115/365))</f>
        <v>23.647397260273969</v>
      </c>
      <c r="T196" s="5">
        <f>(P114*($E114/365))+(P115*($E115/365))</f>
        <v>21.497808219178083</v>
      </c>
      <c r="U196" s="5">
        <f>(Q114*($E114/365))+(Q115*($E115/365))</f>
        <v>15.513698630136986</v>
      </c>
      <c r="V196" s="5"/>
      <c r="W196" s="5">
        <f>R114*(E114/365) + R115*(E115/365)</f>
        <v>60.658904109589038</v>
      </c>
    </row>
    <row r="197" spans="1:23" x14ac:dyDescent="0.15">
      <c r="A197" s="1">
        <v>2011</v>
      </c>
      <c r="B197" s="5">
        <f>(K116*($E116/365))+(K117*($E117/365))</f>
        <v>39.890410958904106</v>
      </c>
      <c r="C197" s="5">
        <f>(L116*($E116/365))+(L117*($E117/365))</f>
        <v>38.794520547945204</v>
      </c>
      <c r="D197" s="5">
        <f>(M116*($E116/365))+(M117*($E117/365))</f>
        <v>21.315068493150683</v>
      </c>
      <c r="E197" s="18">
        <f t="shared" si="60"/>
        <v>100</v>
      </c>
      <c r="G197" s="1">
        <v>2011</v>
      </c>
      <c r="H197" s="409">
        <f>(O116*100*($E116/365)/($R116))+(O117*100*($E117/365)/($R117))</f>
        <v>37.069723983749903</v>
      </c>
      <c r="I197" s="409"/>
      <c r="J197" s="409">
        <f>(P116*100*($E116/365)/($R116))+(P117*100*($E117/365)/($R117))</f>
        <v>30.98097704922094</v>
      </c>
      <c r="K197" s="409"/>
      <c r="L197" s="409">
        <f>(Q116*100*($E116/365)/($R116))+(Q117*100*($E117/365)/($R117))</f>
        <v>31.949298967029158</v>
      </c>
      <c r="M197" s="409"/>
      <c r="N197" s="379">
        <f t="shared" si="59"/>
        <v>100</v>
      </c>
      <c r="O197" s="379"/>
      <c r="R197" s="1">
        <v>2011</v>
      </c>
      <c r="S197" s="5">
        <f>(O116*($E116/365))+(O117*($E117/365))</f>
        <v>20.699999999999996</v>
      </c>
      <c r="T197" s="5">
        <f>(P116*($E116/365))+(P117*($E117/365))</f>
        <v>17.3</v>
      </c>
      <c r="U197" s="5">
        <f>(Q116*($E116/365))+(Q117*($E117/365))</f>
        <v>17.91972602739726</v>
      </c>
      <c r="V197" s="5"/>
      <c r="W197" s="5">
        <f>R116*(E116/365) + R117*(E117/365)</f>
        <v>55.91972602739726</v>
      </c>
    </row>
    <row r="198" spans="1:23" x14ac:dyDescent="0.15">
      <c r="A198" s="1">
        <v>2012</v>
      </c>
      <c r="B198" s="5">
        <f>(K118*($E118/366))+(K119*($E119/366))</f>
        <v>38.461538461538467</v>
      </c>
      <c r="C198" s="5">
        <f>(L118*($E118/366))+(L119*($E119/366))</f>
        <v>23.076923076923077</v>
      </c>
      <c r="D198" s="5">
        <f>(M118*($E118/366))+(M119*($E119/366))</f>
        <v>38.461538461538467</v>
      </c>
      <c r="E198" s="18">
        <f t="shared" ref="E198:E204" si="61">SUM(B198:D198)</f>
        <v>100.00000000000001</v>
      </c>
      <c r="G198" s="1">
        <v>2012</v>
      </c>
      <c r="H198" s="409">
        <f>(O118*100*($E118/366)/($R118))+(O119*100*($E119/366)/($R119))</f>
        <v>32.34375</v>
      </c>
      <c r="I198" s="409"/>
      <c r="J198" s="380">
        <f>(P118*100*($E118/366)/($R118))+(P119*100*($E119/366)/($R119))</f>
        <v>27.03125</v>
      </c>
      <c r="K198" s="380"/>
      <c r="L198" s="380">
        <f>(Q118*100*($E118/366)/($R118))+(Q119*100*($E119/366)/($R119))</f>
        <v>40.625</v>
      </c>
      <c r="M198" s="380"/>
      <c r="N198" s="379">
        <f t="shared" si="59"/>
        <v>100</v>
      </c>
      <c r="O198" s="379"/>
      <c r="R198" s="1">
        <v>2012</v>
      </c>
      <c r="S198" s="5">
        <f>(O118*($E118/366))+(O119*($E119/366))</f>
        <v>20.7</v>
      </c>
      <c r="T198" s="5">
        <f>(P118*($E118/366))+(P119*($E119/366))</f>
        <v>17.3</v>
      </c>
      <c r="U198" s="5">
        <f>(Q118*($E118/366))+(Q119*($E119/366))</f>
        <v>26</v>
      </c>
      <c r="V198" s="5"/>
      <c r="W198" s="5">
        <f>R118*(E118/366) + R119*(E119/366)</f>
        <v>64</v>
      </c>
    </row>
    <row r="199" spans="1:23" x14ac:dyDescent="0.15">
      <c r="A199" s="1">
        <v>2013</v>
      </c>
      <c r="B199" s="5">
        <f>(K120*($E120/365))+(K121*($E121/365))</f>
        <v>38.461538461538467</v>
      </c>
      <c r="C199" s="5">
        <f>(L120*($E120/365))+(L121*($E121/365))</f>
        <v>23.076923076923077</v>
      </c>
      <c r="D199" s="5">
        <f>(M120*($E120/365))+(M121*($E121/365))</f>
        <v>38.461538461538467</v>
      </c>
      <c r="E199" s="18">
        <f t="shared" si="61"/>
        <v>100.00000000000001</v>
      </c>
      <c r="G199" s="1">
        <v>2013</v>
      </c>
      <c r="H199" s="409">
        <f>(O120*100*($E120/365)/($R120))+(O121*100*($E121/365)/($R121))</f>
        <v>32.34375</v>
      </c>
      <c r="I199" s="409"/>
      <c r="J199" s="380">
        <f>(P120*100*($E120/365)/($R120))+(P121*100*($E121/365)/($R121))</f>
        <v>27.03125</v>
      </c>
      <c r="K199" s="380"/>
      <c r="L199" s="380">
        <f>(Q120*100*($E120/365)/($R120))+(Q121*100*($E121/365)/($R121))</f>
        <v>40.625</v>
      </c>
      <c r="M199" s="380"/>
      <c r="N199" s="379">
        <f t="shared" ref="N199:N204" si="62">SUM(H199:L199)</f>
        <v>100</v>
      </c>
      <c r="O199" s="379"/>
      <c r="R199" s="1">
        <v>2013</v>
      </c>
      <c r="S199" s="5">
        <f>(O120*($E120/365))+(O121*($E121/365))</f>
        <v>20.7</v>
      </c>
      <c r="T199" s="5">
        <f>(P120*($E120/365))+(P121*($E121/365))</f>
        <v>17.3</v>
      </c>
      <c r="U199" s="5">
        <f>(Q120*($E120/365))+(Q121*($E121/365))</f>
        <v>26</v>
      </c>
      <c r="W199" s="5">
        <f>R120*(E120/365) + R121*(E121/365)</f>
        <v>64</v>
      </c>
    </row>
    <row r="200" spans="1:23" x14ac:dyDescent="0.15">
      <c r="A200" s="1">
        <v>2014</v>
      </c>
      <c r="B200" s="5">
        <f>(K122*($E122/365))+(K123*($E123/365))+(K124*($E124/365))</f>
        <v>44.263134126147833</v>
      </c>
      <c r="C200" s="5">
        <f>(L122*($E122/365))+(L123*($E123/365))+(L124*($E124/365))</f>
        <v>25.916001806412766</v>
      </c>
      <c r="D200" s="5">
        <f>(M122*($E122/365))+(M123*($E123/365))+(M124*($E124/365))</f>
        <v>29.820864067439413</v>
      </c>
      <c r="E200" s="18">
        <f t="shared" si="61"/>
        <v>100.00000000000001</v>
      </c>
      <c r="G200" s="1">
        <v>2014</v>
      </c>
      <c r="H200" s="409">
        <f>(O122*100*($E122/365)/($R122))+(O123*100*($E123/365)/($R123))+(O124*100*($E124/365)/($R124))</f>
        <v>35.046335545441778</v>
      </c>
      <c r="I200" s="409"/>
      <c r="J200" s="380">
        <f>(P122*100*($E122/365)/($R122))+(P123*100*($E123/365)/($R123))+(P124*100*($E124/365)/($R124))</f>
        <v>34.768568606557878</v>
      </c>
      <c r="K200" s="380"/>
      <c r="L200" s="380">
        <f>(Q122*100*($E122/365)/($R122))+(Q123*100*($E123/365)/($R123))+(Q124*100*($E124/365)/($R124))</f>
        <v>30.185095848000341</v>
      </c>
      <c r="M200" s="380"/>
      <c r="N200" s="379">
        <f t="shared" si="62"/>
        <v>100</v>
      </c>
      <c r="O200" s="379"/>
      <c r="R200" s="1">
        <v>2014</v>
      </c>
      <c r="S200" s="5">
        <f>(O122*($E122/365))+(O123*($E123/365))+(O124*($E124/365))</f>
        <v>21.845205479452055</v>
      </c>
      <c r="T200" s="5">
        <f>(P122*($E122/365))+(P123*($E123/365))+(P124*($E124/365))</f>
        <v>21.316438356164383</v>
      </c>
      <c r="U200" s="5">
        <f>(Q122*($E122/365))+(Q123*($E123/365))+(Q124*($E124/365))</f>
        <v>19.402739726027399</v>
      </c>
      <c r="W200" s="5">
        <f>R122*(E122/365) + R123*(E123/365) + R124*(E124/365)</f>
        <v>62.564383561643837</v>
      </c>
    </row>
    <row r="201" spans="1:23" x14ac:dyDescent="0.15">
      <c r="A201" s="1">
        <v>2015</v>
      </c>
      <c r="B201" s="5">
        <f>(K125*($E125/365))+(K126*($E126/365))</f>
        <v>64.285714285714292</v>
      </c>
      <c r="C201" s="5">
        <f>(L125*($E125/365))+(L126*($E126/365))</f>
        <v>35.714285714285715</v>
      </c>
      <c r="D201" s="5">
        <f>(M125*($E125/365))+(M126*($E126/365))</f>
        <v>0</v>
      </c>
      <c r="E201" s="18">
        <f t="shared" si="61"/>
        <v>100</v>
      </c>
      <c r="G201" s="1">
        <v>2015</v>
      </c>
      <c r="H201" s="409">
        <f>(O125*100*($E125/365)/($R125))+(O126*100*($E126/365)/($R126))</f>
        <v>39.929328621908127</v>
      </c>
      <c r="I201" s="409"/>
      <c r="J201" s="380">
        <f>(P125*100*($E125/365)/($R125))+(P126*100*($E126/365)/($R126))</f>
        <v>60.070671378091873</v>
      </c>
      <c r="K201" s="380"/>
      <c r="L201" s="380">
        <f>(Q125*100*($E125/365)/($R125))+(Q126*100*($E126/365)/($R126))</f>
        <v>0</v>
      </c>
      <c r="M201" s="380"/>
      <c r="N201" s="379">
        <f t="shared" si="62"/>
        <v>100</v>
      </c>
      <c r="O201" s="379"/>
      <c r="R201" s="1">
        <v>2015</v>
      </c>
      <c r="S201" s="5">
        <f>(O125*($E125/365))+(O126*($E126/365))</f>
        <v>22.6</v>
      </c>
      <c r="T201" s="5">
        <f>(P125*($E125/365))+(P126*($E126/365))</f>
        <v>34</v>
      </c>
      <c r="U201" s="5">
        <f>(Q125*($E125/365))+(Q126*($E126/365))</f>
        <v>0</v>
      </c>
      <c r="W201" s="5">
        <f>R125*(E125/365) + R126*(E126/365)</f>
        <v>56.6</v>
      </c>
    </row>
    <row r="202" spans="1:23" x14ac:dyDescent="0.15">
      <c r="A202" s="1">
        <v>2016</v>
      </c>
      <c r="B202" s="5">
        <f>(K126*($E127/366))+(K128*($E128/366))</f>
        <v>64.285714285714292</v>
      </c>
      <c r="C202" s="5">
        <f>(L127*($E127/366))+(L128*($E128/366))</f>
        <v>35.714285714285715</v>
      </c>
      <c r="D202" s="5">
        <f>(M127*($E127/366))+(M128*($E128/366))</f>
        <v>0</v>
      </c>
      <c r="E202" s="18">
        <f t="shared" si="61"/>
        <v>100</v>
      </c>
      <c r="G202" s="1">
        <v>2016</v>
      </c>
      <c r="H202" s="409">
        <f>(O127*100*($E127/366)/($R127))+(O128*100*($E128/366)/($R128))</f>
        <v>39.929328621908127</v>
      </c>
      <c r="I202" s="409"/>
      <c r="J202" s="380">
        <f>(P127*100*($E127/366)/($R127))+(P128*100*($E128/366)/($R128))</f>
        <v>60.070671378091873</v>
      </c>
      <c r="K202" s="380"/>
      <c r="L202" s="380">
        <f>(Q127*100*($E127/366)/($R127))+(Q128*100*($E128/366)/($R128))</f>
        <v>0</v>
      </c>
      <c r="M202" s="380"/>
      <c r="N202" s="379">
        <f t="shared" si="62"/>
        <v>100</v>
      </c>
      <c r="O202" s="379"/>
      <c r="R202" s="1">
        <v>2016</v>
      </c>
      <c r="S202" s="5">
        <f>(O127*($E127/366))+(O128*($E128/366))</f>
        <v>22.6</v>
      </c>
      <c r="T202" s="5">
        <f>(P127*($E127/366))+(P128*($E128/366))</f>
        <v>34</v>
      </c>
      <c r="U202" s="5">
        <f>(Q127*($E127/366))+(Q128*($E128/366))</f>
        <v>0</v>
      </c>
      <c r="W202" s="5">
        <f>R127*(E127/366) + R128*(E128/366)</f>
        <v>56.6</v>
      </c>
    </row>
    <row r="203" spans="1:23" x14ac:dyDescent="0.15">
      <c r="A203" s="1">
        <v>2017</v>
      </c>
      <c r="B203" s="5">
        <f>(K129*($E129/365))+(K130*($E130/365))</f>
        <v>64.285714285714292</v>
      </c>
      <c r="C203" s="5">
        <f t="shared" ref="C203:D203" si="63">(L129*($E129/365))+(L130*($E130/365))</f>
        <v>35.714285714285715</v>
      </c>
      <c r="D203" s="5">
        <f t="shared" si="63"/>
        <v>0</v>
      </c>
      <c r="E203" s="18">
        <f t="shared" si="61"/>
        <v>100</v>
      </c>
      <c r="G203" s="1">
        <v>2017</v>
      </c>
      <c r="H203" s="409">
        <f>(O129*100*($E129/365)/($R129))+(O130*100*($E130/365)/($R130))</f>
        <v>39.929328621908127</v>
      </c>
      <c r="I203" s="409"/>
      <c r="J203" s="409">
        <f>(P129*100*($E129/365)/($R129))+(P130*100*($E130/365)/($R130))</f>
        <v>60.070671378091873</v>
      </c>
      <c r="K203" s="409"/>
      <c r="L203" s="409">
        <f>(Q129*100*($E129/365)/($R129))+(Q130*100*($E130/365)/($R130))</f>
        <v>0</v>
      </c>
      <c r="M203" s="409"/>
      <c r="N203" s="379">
        <f t="shared" si="62"/>
        <v>100</v>
      </c>
      <c r="O203" s="379"/>
      <c r="R203" s="1">
        <v>2017</v>
      </c>
      <c r="S203" s="5">
        <f>(O129*($E129/365))+(O130*($E130/365))</f>
        <v>22.6</v>
      </c>
      <c r="T203" s="5">
        <f t="shared" ref="T203:U203" si="64">(P129*($E129/365))+(P130*($E130/365))</f>
        <v>34</v>
      </c>
      <c r="U203" s="5">
        <f t="shared" si="64"/>
        <v>0</v>
      </c>
      <c r="W203" s="5">
        <f>R129*(E129/365) + R130*(E130/365)</f>
        <v>56.6</v>
      </c>
    </row>
    <row r="204" spans="1:23" x14ac:dyDescent="0.15">
      <c r="A204" s="1">
        <v>2018</v>
      </c>
      <c r="B204" s="5">
        <f>(K131*($E131/365))+(K132*($E132/365))+(K133*($E133/365))</f>
        <v>65.082041246424808</v>
      </c>
      <c r="C204" s="5">
        <f>(L131*($E131/365))+(L132*($E132/365))+(L133*($E133/365))</f>
        <v>34.917958753575192</v>
      </c>
      <c r="D204" s="5">
        <f>(M131*($E131/365))+(M132*($E132/365))+(M133*($E133/365))</f>
        <v>0</v>
      </c>
      <c r="E204" s="18">
        <f t="shared" si="61"/>
        <v>100</v>
      </c>
      <c r="G204" s="1">
        <v>2018</v>
      </c>
      <c r="H204" s="409">
        <f>(O131*100*($E131/365)/($R131))+(O132*100*($E132/365)/($R132))+(O133*100*($E133/365)/($R133))</f>
        <v>41.529157609372334</v>
      </c>
      <c r="I204" s="409"/>
      <c r="J204" s="409">
        <f>(P131*100*($E131/365)/($R131))+(P132*100*($E132/365)/($R132))+(P133*100*($E133/365)/($R133))</f>
        <v>58.470842390627659</v>
      </c>
      <c r="K204" s="409"/>
      <c r="L204" s="409">
        <f>(Q131*100*($E131/365)/($R131))+(Q132*100*($E132/365)/($R132))+(Q133*100*($E133/365)/($R133))</f>
        <v>0</v>
      </c>
      <c r="M204" s="409"/>
      <c r="N204" s="379">
        <f t="shared" si="62"/>
        <v>100</v>
      </c>
      <c r="O204" s="379"/>
      <c r="R204" s="1">
        <v>2018</v>
      </c>
      <c r="S204" s="5">
        <f>(O131*($E131/365))+(O132*($E132/365))+(O133*($E133/365))</f>
        <v>22.6</v>
      </c>
      <c r="T204" s="5">
        <f>(P131*($E131/365))+(P132*($E132/365))+(P133*($E133/365))</f>
        <v>32.613698630136987</v>
      </c>
      <c r="U204" s="5">
        <f>(Q131*($E131/365))+(Q132*($E132/365))+(Q133*($E133/365))</f>
        <v>0</v>
      </c>
      <c r="W204" s="5">
        <f>R131*(E131/365) + R132*(E132/365)</f>
        <v>54.17095890410959</v>
      </c>
    </row>
    <row r="205" spans="1:23" x14ac:dyDescent="0.15">
      <c r="A205" s="1">
        <v>2019</v>
      </c>
      <c r="B205" s="5">
        <f>(K134*($E134/365))+(K135*($E135/365))</f>
        <v>76.923076923076934</v>
      </c>
      <c r="C205" s="5">
        <f>(L134*($E134/365))+(L135*($E135/365))</f>
        <v>23.076923076923077</v>
      </c>
      <c r="D205" s="5">
        <f>(M134*($E134/365))+(M135*($E135/365))</f>
        <v>0</v>
      </c>
      <c r="E205" s="18">
        <f t="shared" ref="E205:E206" si="65">SUM(B205:D205)</f>
        <v>100.00000000000001</v>
      </c>
      <c r="G205" s="1">
        <v>2019</v>
      </c>
      <c r="H205" s="409">
        <f>(O134*100*($E134/365)/($R134))+(O135*100*($E135/365)/($R135))</f>
        <v>65.871510360901581</v>
      </c>
      <c r="I205" s="409"/>
      <c r="J205" s="409">
        <f>(P134*100*($E134/365)/($R134))+(P135*100*($E135/365)/($R135))</f>
        <v>34.128489639098412</v>
      </c>
      <c r="K205" s="409"/>
      <c r="L205" s="409">
        <f>(Q133*100*($E133/365)/($R133))+(Q134*100*($E134/365)/($R134))+(Q135*100*($E135/365)/($R135))</f>
        <v>0</v>
      </c>
      <c r="M205" s="409"/>
      <c r="N205" s="379">
        <f t="shared" ref="N205" si="66">SUM(H205:L205)</f>
        <v>100</v>
      </c>
      <c r="O205" s="379"/>
      <c r="R205" s="1">
        <v>2019</v>
      </c>
      <c r="S205" s="5">
        <f>(O134*($E134/365))+(O135*($E135/365))</f>
        <v>21.641643835616442</v>
      </c>
      <c r="T205" s="5">
        <f>(P134*($E134/365))+(P135*($E135/365))</f>
        <v>11.276712328767122</v>
      </c>
      <c r="U205" s="5">
        <f>(Q134*($E134/365))+(Q135*($E135/365))</f>
        <v>0</v>
      </c>
      <c r="W205" s="5">
        <f>R133*(E133/365) + R134*(E134/365)</f>
        <v>29.386301369863013</v>
      </c>
    </row>
    <row r="206" spans="1:23" x14ac:dyDescent="0.15">
      <c r="A206" s="1">
        <v>2020</v>
      </c>
      <c r="B206" s="5">
        <f>(K136*($E136/366))+(K137*($E137/366))+(K138*($E138/366))</f>
        <v>65.128205128205138</v>
      </c>
      <c r="C206" s="5">
        <f>(L136*($E136/366))+(L137*($E137/366))+(L138*($E138/366))</f>
        <v>21.046658259773015</v>
      </c>
      <c r="D206" s="5">
        <f>(M136*($E136/366))+(M137*($E137/366))+(M138*($E138/366))</f>
        <v>13.82513661202186</v>
      </c>
      <c r="E206" s="18">
        <f t="shared" si="65"/>
        <v>100.00000000000001</v>
      </c>
      <c r="G206" s="1">
        <v>2020</v>
      </c>
      <c r="H206" s="409">
        <f>(O136*100*($E136/366)/($R136))+(O137*100*($E137/366)/($R137))+(O138*100*($E138/366)/($R138))</f>
        <v>58.714758462950059</v>
      </c>
      <c r="I206" s="409"/>
      <c r="J206" s="409">
        <f>(P136*100*($E136/366)/($R136))+(P137*100*($E137/366)/($R137))+(P138*100*($E138/366)/($R138))</f>
        <v>27.151333393271706</v>
      </c>
      <c r="K206" s="409"/>
      <c r="L206" s="409">
        <f>(Q135*100*($E135/366)/($R135))+(Q136*100*($E136/366)/($R136))+(Q137*100*($E137/366)/($R137))+(Q138*100*($E138/366)/($R138))</f>
        <v>14.133908143778246</v>
      </c>
      <c r="M206" s="409"/>
      <c r="N206" s="379">
        <f t="shared" ref="N206" si="67">SUM(H206:L206)</f>
        <v>100.00000000000001</v>
      </c>
      <c r="O206" s="379"/>
      <c r="R206" s="1">
        <v>2020</v>
      </c>
      <c r="S206" s="5">
        <f>(O136*($E136/366))+(O137*($E137/366))+(O138*($E138/366))</f>
        <v>17.3</v>
      </c>
      <c r="T206" s="5">
        <f>(P136*($E136/366))+(P137*($E137/366))+(P138*($E138/366))</f>
        <v>8</v>
      </c>
      <c r="U206" s="5">
        <f>(Q136*($E136/366))+(Q137*($E137/366))+(Q138*($E138/366))</f>
        <v>8.169398907103826</v>
      </c>
      <c r="W206" s="5">
        <f>R136*(E136/366)+ R137*(E137/366)+ R138*(E138/366)</f>
        <v>33.469398907103823</v>
      </c>
    </row>
  </sheetData>
  <mergeCells count="407">
    <mergeCell ref="H206:I206"/>
    <mergeCell ref="J206:K206"/>
    <mergeCell ref="L206:M206"/>
    <mergeCell ref="N206:O206"/>
    <mergeCell ref="C116:D116"/>
    <mergeCell ref="C109:D109"/>
    <mergeCell ref="C110:D110"/>
    <mergeCell ref="C117:D117"/>
    <mergeCell ref="C118:D118"/>
    <mergeCell ref="C119:D119"/>
    <mergeCell ref="C111:D111"/>
    <mergeCell ref="C112:D112"/>
    <mergeCell ref="L145:M145"/>
    <mergeCell ref="C125:D125"/>
    <mergeCell ref="C126:D126"/>
    <mergeCell ref="C122:D122"/>
    <mergeCell ref="C123:D123"/>
    <mergeCell ref="C124:D124"/>
    <mergeCell ref="C127:D127"/>
    <mergeCell ref="C128:D128"/>
    <mergeCell ref="C129:D129"/>
    <mergeCell ref="C130:D130"/>
    <mergeCell ref="C131:D131"/>
    <mergeCell ref="C132:D132"/>
    <mergeCell ref="C133:D133"/>
    <mergeCell ref="C134:D134"/>
    <mergeCell ref="C135:D135"/>
    <mergeCell ref="C136:D136"/>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88:D88"/>
    <mergeCell ref="C89:D89"/>
    <mergeCell ref="C90:D90"/>
    <mergeCell ref="C91:D91"/>
    <mergeCell ref="C92:D92"/>
    <mergeCell ref="C93:D93"/>
    <mergeCell ref="C94:D94"/>
    <mergeCell ref="C95:D95"/>
    <mergeCell ref="C96:D9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G3:M3"/>
    <mergeCell ref="O3:Q3"/>
    <mergeCell ref="C9:D9"/>
    <mergeCell ref="C10:D10"/>
    <mergeCell ref="A4:A5"/>
    <mergeCell ref="B4:B5"/>
    <mergeCell ref="C4:D5"/>
    <mergeCell ref="E4:E5"/>
    <mergeCell ref="F4:F5"/>
    <mergeCell ref="G4:J4"/>
    <mergeCell ref="H147:I147"/>
    <mergeCell ref="H148:I148"/>
    <mergeCell ref="H149:I149"/>
    <mergeCell ref="H150:I150"/>
    <mergeCell ref="H151:I151"/>
    <mergeCell ref="H152:I152"/>
    <mergeCell ref="R142:W142"/>
    <mergeCell ref="H144:I144"/>
    <mergeCell ref="J144:K144"/>
    <mergeCell ref="L144:M144"/>
    <mergeCell ref="N144:O144"/>
    <mergeCell ref="H146:I146"/>
    <mergeCell ref="J146:K146"/>
    <mergeCell ref="L146:M146"/>
    <mergeCell ref="H145:I145"/>
    <mergeCell ref="J145:K145"/>
    <mergeCell ref="N145:O145"/>
    <mergeCell ref="L147:M147"/>
    <mergeCell ref="L148:M148"/>
    <mergeCell ref="L149:M149"/>
    <mergeCell ref="L150:M150"/>
    <mergeCell ref="J147:K147"/>
    <mergeCell ref="J148:K148"/>
    <mergeCell ref="J149:K149"/>
    <mergeCell ref="J150:K150"/>
    <mergeCell ref="J151:K151"/>
    <mergeCell ref="J152:K152"/>
    <mergeCell ref="H171:I171"/>
    <mergeCell ref="H172:I172"/>
    <mergeCell ref="H173:I173"/>
    <mergeCell ref="H165:I165"/>
    <mergeCell ref="H166:I166"/>
    <mergeCell ref="H167:I167"/>
    <mergeCell ref="H168:I168"/>
    <mergeCell ref="H169:I169"/>
    <mergeCell ref="H170:I170"/>
    <mergeCell ref="H159:I159"/>
    <mergeCell ref="H160:I160"/>
    <mergeCell ref="H161:I161"/>
    <mergeCell ref="H162:I162"/>
    <mergeCell ref="H163:I163"/>
    <mergeCell ref="H164:I164"/>
    <mergeCell ref="H153:I153"/>
    <mergeCell ref="H154:I154"/>
    <mergeCell ref="H155:I155"/>
    <mergeCell ref="H158:I158"/>
    <mergeCell ref="J159:K159"/>
    <mergeCell ref="J160:K160"/>
    <mergeCell ref="H181:I181"/>
    <mergeCell ref="H182:I182"/>
    <mergeCell ref="H184:I184"/>
    <mergeCell ref="J182:K182"/>
    <mergeCell ref="J183:K183"/>
    <mergeCell ref="J184:K184"/>
    <mergeCell ref="J167:K167"/>
    <mergeCell ref="J153:K153"/>
    <mergeCell ref="J154:K154"/>
    <mergeCell ref="J155:K155"/>
    <mergeCell ref="J156:K156"/>
    <mergeCell ref="J157:K157"/>
    <mergeCell ref="J158:K158"/>
    <mergeCell ref="H174:I174"/>
    <mergeCell ref="H175:I175"/>
    <mergeCell ref="H176:I176"/>
    <mergeCell ref="H177:I177"/>
    <mergeCell ref="J175:K175"/>
    <mergeCell ref="J176:K176"/>
    <mergeCell ref="J177:K177"/>
    <mergeCell ref="H178:I178"/>
    <mergeCell ref="H179:I179"/>
    <mergeCell ref="H156:I156"/>
    <mergeCell ref="H157:I157"/>
    <mergeCell ref="H197:I197"/>
    <mergeCell ref="H198:I198"/>
    <mergeCell ref="J161:K161"/>
    <mergeCell ref="J162:K162"/>
    <mergeCell ref="J163:K163"/>
    <mergeCell ref="J164:K164"/>
    <mergeCell ref="J165:K165"/>
    <mergeCell ref="J166:K166"/>
    <mergeCell ref="J180:K180"/>
    <mergeCell ref="J181:K181"/>
    <mergeCell ref="H191:I191"/>
    <mergeCell ref="H192:I192"/>
    <mergeCell ref="H189:I189"/>
    <mergeCell ref="H193:I193"/>
    <mergeCell ref="H194:I194"/>
    <mergeCell ref="H196:I196"/>
    <mergeCell ref="H195:I195"/>
    <mergeCell ref="H185:I185"/>
    <mergeCell ref="H186:I186"/>
    <mergeCell ref="H187:I187"/>
    <mergeCell ref="H188:I188"/>
    <mergeCell ref="H183:I183"/>
    <mergeCell ref="H190:I190"/>
    <mergeCell ref="H180:I180"/>
    <mergeCell ref="J168:K168"/>
    <mergeCell ref="J169:K169"/>
    <mergeCell ref="J170:K170"/>
    <mergeCell ref="J171:K171"/>
    <mergeCell ref="J185:K185"/>
    <mergeCell ref="J186:K186"/>
    <mergeCell ref="J178:K178"/>
    <mergeCell ref="J179:K179"/>
    <mergeCell ref="J172:K172"/>
    <mergeCell ref="J173:K173"/>
    <mergeCell ref="J174:K174"/>
    <mergeCell ref="L182:M182"/>
    <mergeCell ref="L172:M172"/>
    <mergeCell ref="L173:M173"/>
    <mergeCell ref="L174:M174"/>
    <mergeCell ref="L175:M175"/>
    <mergeCell ref="L185:M185"/>
    <mergeCell ref="L186:M186"/>
    <mergeCell ref="J199:K199"/>
    <mergeCell ref="J187:K187"/>
    <mergeCell ref="J188:K188"/>
    <mergeCell ref="J189:K189"/>
    <mergeCell ref="J190:K190"/>
    <mergeCell ref="J191:K191"/>
    <mergeCell ref="J196:K196"/>
    <mergeCell ref="J197:K197"/>
    <mergeCell ref="J198:K198"/>
    <mergeCell ref="J192:K192"/>
    <mergeCell ref="J193:K193"/>
    <mergeCell ref="J194:K194"/>
    <mergeCell ref="J195:K195"/>
    <mergeCell ref="L157:M157"/>
    <mergeCell ref="L158:M158"/>
    <mergeCell ref="L159:M159"/>
    <mergeCell ref="L160:M160"/>
    <mergeCell ref="L161:M161"/>
    <mergeCell ref="L162:M162"/>
    <mergeCell ref="L180:M180"/>
    <mergeCell ref="L164:M164"/>
    <mergeCell ref="L165:M165"/>
    <mergeCell ref="L166:M166"/>
    <mergeCell ref="L167:M167"/>
    <mergeCell ref="L168:M168"/>
    <mergeCell ref="L169:M169"/>
    <mergeCell ref="L170:M170"/>
    <mergeCell ref="L171:M171"/>
    <mergeCell ref="L163:M163"/>
    <mergeCell ref="L152:M152"/>
    <mergeCell ref="L153:M153"/>
    <mergeCell ref="L154:M154"/>
    <mergeCell ref="L155:M155"/>
    <mergeCell ref="L156:M156"/>
    <mergeCell ref="N146:O146"/>
    <mergeCell ref="N147:O147"/>
    <mergeCell ref="N148:O148"/>
    <mergeCell ref="N149:O149"/>
    <mergeCell ref="N150:O150"/>
    <mergeCell ref="N151:O151"/>
    <mergeCell ref="N152:O152"/>
    <mergeCell ref="L151:M151"/>
    <mergeCell ref="N153:O153"/>
    <mergeCell ref="N154:O154"/>
    <mergeCell ref="N161:O161"/>
    <mergeCell ref="N162:O162"/>
    <mergeCell ref="N163:O163"/>
    <mergeCell ref="N164:O164"/>
    <mergeCell ref="L199:M199"/>
    <mergeCell ref="L190:M190"/>
    <mergeCell ref="L191:M191"/>
    <mergeCell ref="L192:M192"/>
    <mergeCell ref="L193:M193"/>
    <mergeCell ref="L194:M194"/>
    <mergeCell ref="L176:M176"/>
    <mergeCell ref="L177:M177"/>
    <mergeCell ref="L183:M183"/>
    <mergeCell ref="L184:M184"/>
    <mergeCell ref="L197:M197"/>
    <mergeCell ref="L198:M198"/>
    <mergeCell ref="L195:M195"/>
    <mergeCell ref="L196:M196"/>
    <mergeCell ref="L178:M178"/>
    <mergeCell ref="L179:M179"/>
    <mergeCell ref="L187:M187"/>
    <mergeCell ref="L188:M188"/>
    <mergeCell ref="L189:M189"/>
    <mergeCell ref="L181:M181"/>
    <mergeCell ref="AX4:BA4"/>
    <mergeCell ref="N199:O199"/>
    <mergeCell ref="C120:D120"/>
    <mergeCell ref="C121:D121"/>
    <mergeCell ref="H199:I199"/>
    <mergeCell ref="N189:O189"/>
    <mergeCell ref="N196:O196"/>
    <mergeCell ref="N197:O197"/>
    <mergeCell ref="N198:O198"/>
    <mergeCell ref="N190:O190"/>
    <mergeCell ref="N195:O195"/>
    <mergeCell ref="N183:O183"/>
    <mergeCell ref="N184:O184"/>
    <mergeCell ref="N185:O185"/>
    <mergeCell ref="N186:O186"/>
    <mergeCell ref="N187:O187"/>
    <mergeCell ref="N188:O188"/>
    <mergeCell ref="N177:O177"/>
    <mergeCell ref="C137:D137"/>
    <mergeCell ref="C138:D138"/>
    <mergeCell ref="N178:O178"/>
    <mergeCell ref="N179:O179"/>
    <mergeCell ref="N180:O180"/>
    <mergeCell ref="N181:O181"/>
    <mergeCell ref="AT4:AW4"/>
    <mergeCell ref="N191:O191"/>
    <mergeCell ref="N192:O192"/>
    <mergeCell ref="N193:O193"/>
    <mergeCell ref="N194:O194"/>
    <mergeCell ref="N172:O172"/>
    <mergeCell ref="N173:O173"/>
    <mergeCell ref="N174:O174"/>
    <mergeCell ref="N175:O175"/>
    <mergeCell ref="N176:O176"/>
    <mergeCell ref="N165:O165"/>
    <mergeCell ref="N166:O166"/>
    <mergeCell ref="N167:O167"/>
    <mergeCell ref="N168:O168"/>
    <mergeCell ref="N169:O169"/>
    <mergeCell ref="N170:O170"/>
    <mergeCell ref="N159:O159"/>
    <mergeCell ref="N160:O160"/>
    <mergeCell ref="N182:O182"/>
    <mergeCell ref="N171:O171"/>
    <mergeCell ref="N155:O155"/>
    <mergeCell ref="N156:O156"/>
    <mergeCell ref="N157:O157"/>
    <mergeCell ref="N158:O158"/>
    <mergeCell ref="N200:O200"/>
    <mergeCell ref="H200:I200"/>
    <mergeCell ref="H204:I204"/>
    <mergeCell ref="J204:K204"/>
    <mergeCell ref="L204:M204"/>
    <mergeCell ref="N204:O204"/>
    <mergeCell ref="H205:I205"/>
    <mergeCell ref="J205:K205"/>
    <mergeCell ref="L205:M205"/>
    <mergeCell ref="N205:O205"/>
    <mergeCell ref="H201:I201"/>
    <mergeCell ref="J201:K201"/>
    <mergeCell ref="L201:M201"/>
    <mergeCell ref="N201:O201"/>
    <mergeCell ref="H203:I203"/>
    <mergeCell ref="J203:K203"/>
    <mergeCell ref="L203:M203"/>
    <mergeCell ref="N203:O203"/>
    <mergeCell ref="J200:K200"/>
    <mergeCell ref="L200:M200"/>
    <mergeCell ref="H202:I202"/>
    <mergeCell ref="J202:K202"/>
    <mergeCell ref="L202:M202"/>
    <mergeCell ref="N202:O20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A115"/>
  <sheetViews>
    <sheetView zoomScale="120" zoomScaleNormal="120" workbookViewId="0">
      <pane xSplit="1" ySplit="5" topLeftCell="B6" activePane="bottomRight" state="frozen"/>
      <selection pane="topRight" activeCell="B1" sqref="B1"/>
      <selection pane="bottomLeft" activeCell="A6" sqref="A6"/>
      <selection pane="bottomRight" activeCell="W11" sqref="W11"/>
    </sheetView>
  </sheetViews>
  <sheetFormatPr baseColWidth="10" defaultColWidth="10.6640625" defaultRowHeight="11" x14ac:dyDescent="0.15"/>
  <cols>
    <col min="1" max="1" width="5.83203125" style="1" customWidth="1"/>
    <col min="2" max="6" width="7.83203125" style="1" customWidth="1"/>
    <col min="7" max="13" width="4.5" style="1" customWidth="1"/>
    <col min="14" max="14" width="5.5" style="1" customWidth="1"/>
    <col min="15" max="18" width="4.5" style="1" customWidth="1"/>
    <col min="19" max="19" width="7.83203125" style="1" customWidth="1"/>
    <col min="20" max="20" width="8.83203125" style="1" customWidth="1"/>
    <col min="21" max="21" width="8.5" style="1" customWidth="1"/>
    <col min="22" max="53" width="5.6640625" style="1" customWidth="1"/>
    <col min="54" max="16384" width="10.6640625" style="1"/>
  </cols>
  <sheetData>
    <row r="1" spans="1:53" ht="15" customHeight="1" x14ac:dyDescent="0.15">
      <c r="B1" s="16" t="s">
        <v>14</v>
      </c>
    </row>
    <row r="2" spans="1:53" ht="15" customHeight="1" x14ac:dyDescent="0.15">
      <c r="B2" s="16" t="s">
        <v>136</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1990</v>
      </c>
      <c r="B6" s="41"/>
      <c r="C6" s="421" t="s">
        <v>1263</v>
      </c>
      <c r="D6" s="421"/>
      <c r="E6" s="52">
        <v>262</v>
      </c>
      <c r="G6" s="66"/>
      <c r="J6" s="73"/>
      <c r="K6" s="47"/>
      <c r="L6" s="47"/>
      <c r="M6" s="47"/>
      <c r="N6" s="68"/>
      <c r="O6" s="46"/>
      <c r="P6" s="47"/>
      <c r="Q6" s="47"/>
      <c r="R6" s="48"/>
      <c r="T6" s="37"/>
      <c r="V6" s="38"/>
      <c r="Y6" s="39"/>
      <c r="AD6" s="38"/>
      <c r="AG6" s="39"/>
      <c r="AL6" s="38"/>
      <c r="AO6" s="39"/>
      <c r="AP6" s="38"/>
      <c r="AS6" s="39"/>
      <c r="AW6" s="39"/>
      <c r="BA6" s="40"/>
    </row>
    <row r="7" spans="1:53" s="171" customFormat="1" x14ac:dyDescent="0.15">
      <c r="A7" s="171">
        <v>1990</v>
      </c>
      <c r="B7" s="283">
        <v>33136</v>
      </c>
      <c r="C7" s="410" t="s">
        <v>969</v>
      </c>
      <c r="D7" s="410"/>
      <c r="E7" s="216">
        <v>78</v>
      </c>
      <c r="F7" s="171" t="s">
        <v>335</v>
      </c>
      <c r="G7" s="233"/>
      <c r="I7" s="171">
        <v>18</v>
      </c>
      <c r="J7" s="241">
        <v>18</v>
      </c>
      <c r="K7" s="214">
        <f>G7/J7*100</f>
        <v>0</v>
      </c>
      <c r="L7" s="214">
        <f>H7/J7*100</f>
        <v>0</v>
      </c>
      <c r="M7" s="214">
        <f>I7/J7*100</f>
        <v>100</v>
      </c>
      <c r="N7" s="235">
        <f>SUM(K7:M7)</f>
        <v>100</v>
      </c>
      <c r="O7" s="213"/>
      <c r="P7" s="214"/>
      <c r="Q7" s="214">
        <v>52.7</v>
      </c>
      <c r="R7" s="215">
        <f>SUM(O7:Q7)</f>
        <v>52.7</v>
      </c>
      <c r="S7" s="171">
        <v>1</v>
      </c>
      <c r="T7" s="285">
        <v>33041</v>
      </c>
      <c r="U7" s="283">
        <v>33136</v>
      </c>
      <c r="V7" s="178" t="s">
        <v>964</v>
      </c>
      <c r="W7" s="171" t="s">
        <v>979</v>
      </c>
      <c r="X7" s="171" t="s">
        <v>12</v>
      </c>
      <c r="Y7" s="179">
        <v>52.7</v>
      </c>
      <c r="AD7" s="178"/>
      <c r="AG7" s="179"/>
      <c r="AL7" s="178"/>
      <c r="AO7" s="179"/>
      <c r="AP7" s="178"/>
      <c r="AS7" s="179"/>
      <c r="AW7" s="179"/>
      <c r="BA7" s="180"/>
    </row>
    <row r="8" spans="1:53" s="29" customFormat="1" x14ac:dyDescent="0.15">
      <c r="A8" s="29">
        <v>1990</v>
      </c>
      <c r="B8" s="295">
        <v>33214</v>
      </c>
      <c r="C8" s="411" t="s">
        <v>963</v>
      </c>
      <c r="D8" s="411"/>
      <c r="E8" s="52">
        <v>25</v>
      </c>
      <c r="F8" s="29">
        <v>2</v>
      </c>
      <c r="G8" s="66">
        <v>5</v>
      </c>
      <c r="I8" s="29">
        <v>8</v>
      </c>
      <c r="J8" s="73">
        <v>18</v>
      </c>
      <c r="K8" s="47">
        <f t="shared" ref="K8:K52" si="0">G8/J8*100</f>
        <v>27.777777777777779</v>
      </c>
      <c r="L8" s="47">
        <f t="shared" ref="L8:L52" si="1">H8/J8*100</f>
        <v>0</v>
      </c>
      <c r="M8" s="47">
        <f t="shared" ref="M8:M52" si="2">I8/J8*100</f>
        <v>44.444444444444443</v>
      </c>
      <c r="N8" s="68">
        <f t="shared" ref="N8:N30" si="3">SUM(K8:M8)</f>
        <v>72.222222222222229</v>
      </c>
      <c r="O8" s="46">
        <v>40</v>
      </c>
      <c r="P8" s="47"/>
      <c r="Q8" s="47">
        <v>52.7</v>
      </c>
      <c r="R8" s="48">
        <f t="shared" ref="R8:R56" si="4">SUM(O8:Q8)</f>
        <v>92.7</v>
      </c>
      <c r="S8" s="29">
        <v>6</v>
      </c>
      <c r="T8" s="286"/>
      <c r="U8" s="295">
        <v>33214</v>
      </c>
      <c r="V8" s="38" t="s">
        <v>964</v>
      </c>
      <c r="W8" s="29" t="s">
        <v>979</v>
      </c>
      <c r="X8" s="29" t="s">
        <v>12</v>
      </c>
      <c r="Y8" s="39">
        <v>52.7</v>
      </c>
      <c r="Z8" s="29" t="s">
        <v>867</v>
      </c>
      <c r="AA8" s="29" t="s">
        <v>17</v>
      </c>
      <c r="AB8" s="29" t="s">
        <v>11</v>
      </c>
      <c r="AC8" s="29">
        <v>36</v>
      </c>
      <c r="AD8" s="38" t="s">
        <v>965</v>
      </c>
      <c r="AE8" s="29" t="s">
        <v>869</v>
      </c>
      <c r="AF8" s="29" t="s">
        <v>11</v>
      </c>
      <c r="AG8" s="39">
        <v>4</v>
      </c>
      <c r="AL8" s="38"/>
      <c r="AO8" s="39"/>
      <c r="AP8" s="38"/>
      <c r="AS8" s="39"/>
      <c r="AW8" s="39"/>
      <c r="BA8" s="40"/>
    </row>
    <row r="9" spans="1:53" s="29" customFormat="1" x14ac:dyDescent="0.15">
      <c r="A9" s="29">
        <v>1991</v>
      </c>
      <c r="B9" s="295"/>
      <c r="C9" s="411" t="s">
        <v>963</v>
      </c>
      <c r="D9" s="411"/>
      <c r="E9" s="52">
        <v>311</v>
      </c>
      <c r="G9" s="66">
        <v>5</v>
      </c>
      <c r="I9" s="29">
        <v>8</v>
      </c>
      <c r="J9" s="73">
        <v>18</v>
      </c>
      <c r="K9" s="47">
        <f t="shared" si="0"/>
        <v>27.777777777777779</v>
      </c>
      <c r="L9" s="47">
        <f t="shared" si="1"/>
        <v>0</v>
      </c>
      <c r="M9" s="47">
        <f t="shared" si="2"/>
        <v>44.444444444444443</v>
      </c>
      <c r="N9" s="68">
        <f t="shared" si="3"/>
        <v>72.222222222222229</v>
      </c>
      <c r="O9" s="46">
        <v>40</v>
      </c>
      <c r="P9" s="47"/>
      <c r="Q9" s="47">
        <v>52.7</v>
      </c>
      <c r="R9" s="48">
        <f t="shared" si="4"/>
        <v>92.7</v>
      </c>
      <c r="S9" s="29">
        <v>6</v>
      </c>
      <c r="T9" s="286"/>
      <c r="U9" s="295"/>
      <c r="V9" s="38" t="s">
        <v>964</v>
      </c>
      <c r="W9" s="29" t="s">
        <v>979</v>
      </c>
      <c r="X9" s="29" t="s">
        <v>12</v>
      </c>
      <c r="Y9" s="39">
        <v>52.7</v>
      </c>
      <c r="Z9" s="29" t="s">
        <v>867</v>
      </c>
      <c r="AA9" s="29" t="s">
        <v>17</v>
      </c>
      <c r="AB9" s="29" t="s">
        <v>11</v>
      </c>
      <c r="AC9" s="29">
        <v>36</v>
      </c>
      <c r="AD9" s="38" t="s">
        <v>965</v>
      </c>
      <c r="AE9" s="29" t="s">
        <v>869</v>
      </c>
      <c r="AF9" s="29" t="s">
        <v>11</v>
      </c>
      <c r="AG9" s="39">
        <v>4</v>
      </c>
      <c r="AL9" s="38"/>
      <c r="AO9" s="39"/>
      <c r="AP9" s="38"/>
      <c r="AS9" s="39"/>
      <c r="AW9" s="39"/>
      <c r="BA9" s="40"/>
    </row>
    <row r="10" spans="1:53" s="171" customFormat="1" x14ac:dyDescent="0.15">
      <c r="A10" s="171">
        <v>1991</v>
      </c>
      <c r="B10" s="283">
        <v>33550</v>
      </c>
      <c r="C10" s="410" t="s">
        <v>959</v>
      </c>
      <c r="D10" s="410"/>
      <c r="E10" s="216">
        <v>54</v>
      </c>
      <c r="F10" s="171">
        <v>1</v>
      </c>
      <c r="G10" s="233">
        <v>14</v>
      </c>
      <c r="J10" s="241">
        <v>14</v>
      </c>
      <c r="K10" s="214">
        <f t="shared" si="0"/>
        <v>100</v>
      </c>
      <c r="L10" s="214">
        <f t="shared" si="1"/>
        <v>0</v>
      </c>
      <c r="M10" s="214">
        <f t="shared" si="2"/>
        <v>0</v>
      </c>
      <c r="N10" s="235">
        <f t="shared" si="3"/>
        <v>100</v>
      </c>
      <c r="O10" s="213">
        <v>45.9</v>
      </c>
      <c r="P10" s="214"/>
      <c r="Q10" s="214"/>
      <c r="R10" s="215">
        <f t="shared" si="4"/>
        <v>45.9</v>
      </c>
      <c r="S10" s="171">
        <v>4</v>
      </c>
      <c r="T10" s="285">
        <v>33524</v>
      </c>
      <c r="U10" s="283">
        <v>33550</v>
      </c>
      <c r="V10" s="178" t="s">
        <v>867</v>
      </c>
      <c r="W10" s="171" t="s">
        <v>17</v>
      </c>
      <c r="X10" s="171" t="s">
        <v>11</v>
      </c>
      <c r="Y10" s="179">
        <v>45.9</v>
      </c>
      <c r="AD10" s="178"/>
      <c r="AG10" s="179"/>
      <c r="AL10" s="178"/>
      <c r="AO10" s="179"/>
      <c r="AP10" s="178"/>
      <c r="AS10" s="179"/>
      <c r="AW10" s="179"/>
      <c r="BA10" s="180"/>
    </row>
    <row r="11" spans="1:53" s="171" customFormat="1" x14ac:dyDescent="0.15">
      <c r="A11" s="171">
        <v>1992</v>
      </c>
      <c r="B11" s="283"/>
      <c r="C11" s="410" t="s">
        <v>959</v>
      </c>
      <c r="D11" s="410"/>
      <c r="E11" s="216">
        <v>364</v>
      </c>
      <c r="G11" s="233">
        <v>14</v>
      </c>
      <c r="J11" s="241">
        <v>14</v>
      </c>
      <c r="K11" s="214">
        <f t="shared" si="0"/>
        <v>100</v>
      </c>
      <c r="L11" s="214">
        <f t="shared" si="1"/>
        <v>0</v>
      </c>
      <c r="M11" s="214">
        <f t="shared" si="2"/>
        <v>0</v>
      </c>
      <c r="N11" s="235">
        <f t="shared" si="3"/>
        <v>100</v>
      </c>
      <c r="O11" s="213">
        <v>45.9</v>
      </c>
      <c r="P11" s="214"/>
      <c r="Q11" s="214"/>
      <c r="R11" s="215">
        <f t="shared" si="4"/>
        <v>45.9</v>
      </c>
      <c r="S11" s="171">
        <v>4</v>
      </c>
      <c r="T11" s="285"/>
      <c r="U11" s="283"/>
      <c r="V11" s="178" t="s">
        <v>867</v>
      </c>
      <c r="W11" s="171" t="s">
        <v>17</v>
      </c>
      <c r="X11" s="171" t="s">
        <v>11</v>
      </c>
      <c r="Y11" s="179">
        <v>45.9</v>
      </c>
      <c r="AD11" s="178"/>
      <c r="AG11" s="179"/>
      <c r="AL11" s="178"/>
      <c r="AO11" s="179"/>
      <c r="AP11" s="178"/>
      <c r="AS11" s="179"/>
      <c r="AW11" s="179"/>
      <c r="BA11" s="180"/>
    </row>
    <row r="12" spans="1:53" s="29" customFormat="1" x14ac:dyDescent="0.15">
      <c r="A12" s="29">
        <v>1992</v>
      </c>
      <c r="B12" s="295">
        <v>33968</v>
      </c>
      <c r="C12" s="411" t="s">
        <v>962</v>
      </c>
      <c r="D12" s="411"/>
      <c r="E12" s="52">
        <v>2</v>
      </c>
      <c r="F12" s="29">
        <v>5</v>
      </c>
      <c r="G12" s="66">
        <v>0</v>
      </c>
      <c r="H12" s="29">
        <v>0</v>
      </c>
      <c r="I12" s="29">
        <v>0</v>
      </c>
      <c r="J12" s="73">
        <v>14</v>
      </c>
      <c r="K12" s="47">
        <f t="shared" si="0"/>
        <v>0</v>
      </c>
      <c r="L12" s="47">
        <f t="shared" si="1"/>
        <v>0</v>
      </c>
      <c r="M12" s="47">
        <f t="shared" si="2"/>
        <v>0</v>
      </c>
      <c r="N12" s="68">
        <f t="shared" si="3"/>
        <v>0</v>
      </c>
      <c r="O12" s="46">
        <v>0</v>
      </c>
      <c r="P12" s="47">
        <v>0</v>
      </c>
      <c r="Q12" s="47">
        <v>0</v>
      </c>
      <c r="R12" s="48">
        <f t="shared" si="4"/>
        <v>0</v>
      </c>
      <c r="S12" s="29">
        <v>7</v>
      </c>
      <c r="T12" s="286"/>
      <c r="U12" s="295">
        <v>33968</v>
      </c>
      <c r="V12" s="86" t="s">
        <v>798</v>
      </c>
      <c r="Y12" s="39"/>
      <c r="AD12" s="38"/>
      <c r="AG12" s="39"/>
      <c r="AL12" s="38"/>
      <c r="AO12" s="39"/>
      <c r="AP12" s="38"/>
      <c r="AS12" s="39"/>
      <c r="AW12" s="39"/>
      <c r="BA12" s="40"/>
    </row>
    <row r="13" spans="1:53" s="29" customFormat="1" x14ac:dyDescent="0.15">
      <c r="A13" s="29">
        <v>1993</v>
      </c>
      <c r="B13" s="295"/>
      <c r="C13" s="411" t="s">
        <v>962</v>
      </c>
      <c r="D13" s="411"/>
      <c r="E13" s="52">
        <v>0</v>
      </c>
      <c r="G13" s="66">
        <v>0</v>
      </c>
      <c r="H13" s="29">
        <v>0</v>
      </c>
      <c r="I13" s="29">
        <v>0</v>
      </c>
      <c r="J13" s="73">
        <v>14</v>
      </c>
      <c r="K13" s="47">
        <f t="shared" si="0"/>
        <v>0</v>
      </c>
      <c r="L13" s="47">
        <f t="shared" si="1"/>
        <v>0</v>
      </c>
      <c r="M13" s="47">
        <f t="shared" si="2"/>
        <v>0</v>
      </c>
      <c r="N13" s="68">
        <f t="shared" si="3"/>
        <v>0</v>
      </c>
      <c r="O13" s="46">
        <v>0</v>
      </c>
      <c r="P13" s="47">
        <v>0</v>
      </c>
      <c r="Q13" s="47">
        <v>0</v>
      </c>
      <c r="R13" s="48">
        <f t="shared" si="4"/>
        <v>0</v>
      </c>
      <c r="S13" s="29">
        <v>7</v>
      </c>
      <c r="T13" s="286"/>
      <c r="U13" s="295"/>
      <c r="V13" s="86" t="s">
        <v>798</v>
      </c>
      <c r="Y13" s="39"/>
      <c r="AD13" s="38"/>
      <c r="AG13" s="39"/>
      <c r="AL13" s="38"/>
      <c r="AO13" s="39"/>
      <c r="AP13" s="38"/>
      <c r="AS13" s="39"/>
      <c r="AW13" s="39"/>
      <c r="BA13" s="40"/>
    </row>
    <row r="14" spans="1:53" s="29" customFormat="1" x14ac:dyDescent="0.15">
      <c r="A14" s="29">
        <v>1993</v>
      </c>
      <c r="B14" s="295"/>
      <c r="C14" s="411" t="s">
        <v>962</v>
      </c>
      <c r="D14" s="411"/>
      <c r="E14" s="52">
        <v>365</v>
      </c>
      <c r="G14" s="66">
        <v>0</v>
      </c>
      <c r="H14" s="29">
        <v>0</v>
      </c>
      <c r="I14" s="29">
        <v>0</v>
      </c>
      <c r="J14" s="73">
        <v>14</v>
      </c>
      <c r="K14" s="47">
        <f t="shared" si="0"/>
        <v>0</v>
      </c>
      <c r="L14" s="47">
        <f t="shared" si="1"/>
        <v>0</v>
      </c>
      <c r="M14" s="47">
        <f t="shared" si="2"/>
        <v>0</v>
      </c>
      <c r="N14" s="68">
        <f t="shared" si="3"/>
        <v>0</v>
      </c>
      <c r="O14" s="46">
        <v>0</v>
      </c>
      <c r="P14" s="47">
        <v>0</v>
      </c>
      <c r="Q14" s="47">
        <v>0</v>
      </c>
      <c r="R14" s="48">
        <f t="shared" si="4"/>
        <v>0</v>
      </c>
      <c r="S14" s="29">
        <v>7</v>
      </c>
      <c r="T14" s="286"/>
      <c r="U14" s="295"/>
      <c r="V14" s="86" t="s">
        <v>798</v>
      </c>
      <c r="Y14" s="39"/>
      <c r="AD14" s="38"/>
      <c r="AG14" s="39"/>
      <c r="AL14" s="38"/>
      <c r="AO14" s="39"/>
      <c r="AP14" s="38"/>
      <c r="AS14" s="39"/>
      <c r="AW14" s="39"/>
      <c r="BA14" s="40"/>
    </row>
    <row r="15" spans="1:53" s="29" customFormat="1" x14ac:dyDescent="0.15">
      <c r="A15" s="29">
        <v>1994</v>
      </c>
      <c r="B15" s="295"/>
      <c r="C15" s="411" t="s">
        <v>962</v>
      </c>
      <c r="D15" s="411"/>
      <c r="E15" s="52">
        <v>280</v>
      </c>
      <c r="G15" s="66">
        <v>0</v>
      </c>
      <c r="H15" s="29">
        <v>0</v>
      </c>
      <c r="I15" s="29">
        <v>0</v>
      </c>
      <c r="J15" s="73">
        <v>14</v>
      </c>
      <c r="K15" s="47">
        <f t="shared" si="0"/>
        <v>0</v>
      </c>
      <c r="L15" s="47">
        <f t="shared" si="1"/>
        <v>0</v>
      </c>
      <c r="M15" s="47">
        <f t="shared" si="2"/>
        <v>0</v>
      </c>
      <c r="N15" s="68">
        <f t="shared" si="3"/>
        <v>0</v>
      </c>
      <c r="O15" s="46">
        <v>0</v>
      </c>
      <c r="P15" s="47">
        <v>0</v>
      </c>
      <c r="Q15" s="47">
        <v>0</v>
      </c>
      <c r="R15" s="48">
        <f t="shared" si="4"/>
        <v>0</v>
      </c>
      <c r="S15" s="29">
        <v>7</v>
      </c>
      <c r="T15" s="286"/>
      <c r="U15" s="295"/>
      <c r="V15" s="86" t="s">
        <v>798</v>
      </c>
      <c r="Y15" s="39"/>
      <c r="AD15" s="38"/>
      <c r="AG15" s="39"/>
      <c r="AL15" s="38"/>
      <c r="AO15" s="39"/>
      <c r="AP15" s="38"/>
      <c r="AS15" s="39"/>
      <c r="AW15" s="39"/>
      <c r="BA15" s="40"/>
    </row>
    <row r="16" spans="1:53" s="171" customFormat="1" x14ac:dyDescent="0.15">
      <c r="A16" s="171">
        <v>1994</v>
      </c>
      <c r="B16" s="283">
        <v>34615</v>
      </c>
      <c r="C16" s="410" t="s">
        <v>966</v>
      </c>
      <c r="D16" s="410"/>
      <c r="E16" s="216">
        <v>85</v>
      </c>
      <c r="F16" s="171">
        <v>2</v>
      </c>
      <c r="G16" s="233">
        <v>0</v>
      </c>
      <c r="H16" s="171">
        <v>0</v>
      </c>
      <c r="I16" s="171">
        <v>0</v>
      </c>
      <c r="J16" s="241">
        <v>17</v>
      </c>
      <c r="K16" s="214">
        <f t="shared" si="0"/>
        <v>0</v>
      </c>
      <c r="L16" s="214">
        <f t="shared" si="1"/>
        <v>0</v>
      </c>
      <c r="M16" s="214">
        <f t="shared" si="2"/>
        <v>0</v>
      </c>
      <c r="N16" s="235">
        <f t="shared" si="3"/>
        <v>0</v>
      </c>
      <c r="O16" s="213">
        <v>0</v>
      </c>
      <c r="P16" s="214">
        <v>0</v>
      </c>
      <c r="Q16" s="214">
        <v>0</v>
      </c>
      <c r="R16" s="215">
        <f t="shared" si="4"/>
        <v>0</v>
      </c>
      <c r="S16" s="171">
        <v>6</v>
      </c>
      <c r="T16" s="285"/>
      <c r="U16" s="283">
        <v>34615</v>
      </c>
      <c r="V16" s="242" t="s">
        <v>797</v>
      </c>
      <c r="Y16" s="179"/>
      <c r="AD16" s="178"/>
      <c r="AG16" s="179"/>
      <c r="AL16" s="178"/>
      <c r="AO16" s="179"/>
      <c r="AP16" s="178"/>
      <c r="AS16" s="179"/>
      <c r="AW16" s="179"/>
      <c r="BA16" s="180"/>
    </row>
    <row r="17" spans="1:53" s="171" customFormat="1" x14ac:dyDescent="0.15">
      <c r="A17" s="171">
        <v>1995</v>
      </c>
      <c r="B17" s="283"/>
      <c r="C17" s="410" t="s">
        <v>966</v>
      </c>
      <c r="D17" s="410"/>
      <c r="E17" s="216">
        <v>24</v>
      </c>
      <c r="G17" s="233">
        <v>0</v>
      </c>
      <c r="H17" s="171">
        <v>0</v>
      </c>
      <c r="I17" s="171">
        <v>0</v>
      </c>
      <c r="J17" s="241">
        <v>17</v>
      </c>
      <c r="K17" s="214">
        <f t="shared" si="0"/>
        <v>0</v>
      </c>
      <c r="L17" s="214">
        <f t="shared" si="1"/>
        <v>0</v>
      </c>
      <c r="M17" s="214">
        <f t="shared" si="2"/>
        <v>0</v>
      </c>
      <c r="N17" s="235">
        <f t="shared" si="3"/>
        <v>0</v>
      </c>
      <c r="O17" s="213">
        <v>0</v>
      </c>
      <c r="P17" s="214">
        <v>0</v>
      </c>
      <c r="Q17" s="214">
        <v>0</v>
      </c>
      <c r="R17" s="215">
        <f t="shared" si="4"/>
        <v>0</v>
      </c>
      <c r="S17" s="171">
        <v>6</v>
      </c>
      <c r="T17" s="285">
        <v>34686</v>
      </c>
      <c r="U17" s="283"/>
      <c r="V17" s="242" t="s">
        <v>797</v>
      </c>
      <c r="Y17" s="179"/>
      <c r="AD17" s="178"/>
      <c r="AG17" s="179"/>
      <c r="AL17" s="178"/>
      <c r="AO17" s="179"/>
      <c r="AP17" s="178"/>
      <c r="AS17" s="179"/>
      <c r="AW17" s="179"/>
      <c r="BA17" s="180"/>
    </row>
    <row r="18" spans="1:53" s="29" customFormat="1" x14ac:dyDescent="0.15">
      <c r="A18" s="29">
        <v>1995</v>
      </c>
      <c r="B18" s="295">
        <v>34724</v>
      </c>
      <c r="C18" s="411" t="s">
        <v>968</v>
      </c>
      <c r="D18" s="411"/>
      <c r="E18" s="52">
        <v>341</v>
      </c>
      <c r="F18" s="29">
        <v>1</v>
      </c>
      <c r="G18" s="66"/>
      <c r="I18" s="29">
        <v>10</v>
      </c>
      <c r="J18" s="73">
        <v>18</v>
      </c>
      <c r="K18" s="47">
        <f t="shared" si="0"/>
        <v>0</v>
      </c>
      <c r="L18" s="47">
        <f t="shared" si="1"/>
        <v>0</v>
      </c>
      <c r="M18" s="47">
        <f t="shared" si="2"/>
        <v>55.555555555555557</v>
      </c>
      <c r="N18" s="68">
        <f t="shared" si="3"/>
        <v>55.555555555555557</v>
      </c>
      <c r="O18" s="46"/>
      <c r="P18" s="47"/>
      <c r="Q18" s="47">
        <v>52.1</v>
      </c>
      <c r="R18" s="48">
        <f t="shared" si="4"/>
        <v>52.1</v>
      </c>
      <c r="S18" s="29">
        <v>1</v>
      </c>
      <c r="T18" s="286"/>
      <c r="U18" s="295">
        <v>34724</v>
      </c>
      <c r="V18" s="38" t="s">
        <v>967</v>
      </c>
      <c r="W18" s="29" t="s">
        <v>97</v>
      </c>
      <c r="X18" s="29" t="s">
        <v>12</v>
      </c>
      <c r="Y18" s="39">
        <v>52.1</v>
      </c>
      <c r="AD18" s="38"/>
      <c r="AG18" s="39"/>
      <c r="AL18" s="38"/>
      <c r="AO18" s="39"/>
      <c r="AP18" s="38"/>
      <c r="AS18" s="39"/>
      <c r="AW18" s="39"/>
      <c r="BA18" s="40"/>
    </row>
    <row r="19" spans="1:53" s="29" customFormat="1" x14ac:dyDescent="0.15">
      <c r="A19" s="29">
        <v>1996</v>
      </c>
      <c r="B19" s="295"/>
      <c r="C19" s="411" t="s">
        <v>968</v>
      </c>
      <c r="D19" s="411"/>
      <c r="E19" s="52">
        <v>0</v>
      </c>
      <c r="G19" s="66"/>
      <c r="I19" s="29">
        <v>10</v>
      </c>
      <c r="J19" s="73">
        <v>18</v>
      </c>
      <c r="K19" s="47">
        <f t="shared" si="0"/>
        <v>0</v>
      </c>
      <c r="L19" s="47">
        <f t="shared" si="1"/>
        <v>0</v>
      </c>
      <c r="M19" s="47">
        <f t="shared" si="2"/>
        <v>55.555555555555557</v>
      </c>
      <c r="N19" s="68">
        <f t="shared" si="3"/>
        <v>55.555555555555557</v>
      </c>
      <c r="O19" s="46"/>
      <c r="P19" s="47"/>
      <c r="Q19" s="47">
        <v>52.1</v>
      </c>
      <c r="R19" s="48">
        <f t="shared" si="4"/>
        <v>52.1</v>
      </c>
      <c r="S19" s="29">
        <v>1</v>
      </c>
      <c r="T19" s="286"/>
      <c r="U19" s="295"/>
      <c r="V19" s="38" t="s">
        <v>967</v>
      </c>
      <c r="W19" s="29" t="s">
        <v>97</v>
      </c>
      <c r="X19" s="29" t="s">
        <v>12</v>
      </c>
      <c r="Y19" s="39">
        <v>52.1</v>
      </c>
      <c r="AD19" s="38"/>
      <c r="AG19" s="39"/>
      <c r="AL19" s="38"/>
      <c r="AO19" s="39"/>
      <c r="AP19" s="38"/>
      <c r="AS19" s="39"/>
      <c r="AW19" s="39"/>
      <c r="BA19" s="40"/>
    </row>
    <row r="20" spans="1:53" s="29" customFormat="1" x14ac:dyDescent="0.15">
      <c r="A20" s="29">
        <v>1996</v>
      </c>
      <c r="B20" s="295"/>
      <c r="C20" s="411" t="s">
        <v>968</v>
      </c>
      <c r="D20" s="411"/>
      <c r="E20" s="52">
        <v>366</v>
      </c>
      <c r="G20" s="66"/>
      <c r="I20" s="29">
        <v>10</v>
      </c>
      <c r="J20" s="73">
        <v>18</v>
      </c>
      <c r="K20" s="47">
        <f t="shared" si="0"/>
        <v>0</v>
      </c>
      <c r="L20" s="47">
        <f t="shared" si="1"/>
        <v>0</v>
      </c>
      <c r="M20" s="47">
        <f t="shared" si="2"/>
        <v>55.555555555555557</v>
      </c>
      <c r="N20" s="68">
        <f t="shared" si="3"/>
        <v>55.555555555555557</v>
      </c>
      <c r="O20" s="46"/>
      <c r="P20" s="47"/>
      <c r="Q20" s="47">
        <v>52.1</v>
      </c>
      <c r="R20" s="48">
        <f t="shared" si="4"/>
        <v>52.1</v>
      </c>
      <c r="S20" s="29">
        <v>1</v>
      </c>
      <c r="T20" s="286"/>
      <c r="U20" s="295"/>
      <c r="V20" s="38" t="s">
        <v>967</v>
      </c>
      <c r="W20" s="29" t="s">
        <v>97</v>
      </c>
      <c r="X20" s="29" t="s">
        <v>12</v>
      </c>
      <c r="Y20" s="39">
        <v>52.1</v>
      </c>
      <c r="AD20" s="38"/>
      <c r="AG20" s="39"/>
      <c r="AL20" s="38"/>
      <c r="AO20" s="39"/>
      <c r="AP20" s="38"/>
      <c r="AS20" s="39"/>
      <c r="AW20" s="39"/>
      <c r="BA20" s="40"/>
    </row>
    <row r="21" spans="1:53" s="29" customFormat="1" x14ac:dyDescent="0.15">
      <c r="A21" s="29">
        <v>1997</v>
      </c>
      <c r="B21" s="295"/>
      <c r="C21" s="411" t="s">
        <v>968</v>
      </c>
      <c r="D21" s="411"/>
      <c r="E21" s="52">
        <v>42</v>
      </c>
      <c r="G21" s="66"/>
      <c r="I21" s="29">
        <v>10</v>
      </c>
      <c r="J21" s="73">
        <v>18</v>
      </c>
      <c r="K21" s="47">
        <f t="shared" si="0"/>
        <v>0</v>
      </c>
      <c r="L21" s="47">
        <f t="shared" si="1"/>
        <v>0</v>
      </c>
      <c r="M21" s="47">
        <f t="shared" si="2"/>
        <v>55.555555555555557</v>
      </c>
      <c r="N21" s="68">
        <f t="shared" si="3"/>
        <v>55.555555555555557</v>
      </c>
      <c r="O21" s="46"/>
      <c r="P21" s="47"/>
      <c r="Q21" s="47">
        <v>52.1</v>
      </c>
      <c r="R21" s="48">
        <f t="shared" si="4"/>
        <v>52.1</v>
      </c>
      <c r="S21" s="29">
        <v>1</v>
      </c>
      <c r="T21" s="286"/>
      <c r="U21" s="295"/>
      <c r="V21" s="38" t="s">
        <v>967</v>
      </c>
      <c r="W21" s="29" t="s">
        <v>97</v>
      </c>
      <c r="X21" s="29" t="s">
        <v>12</v>
      </c>
      <c r="Y21" s="39">
        <v>52.1</v>
      </c>
      <c r="AD21" s="38"/>
      <c r="AG21" s="39"/>
      <c r="AL21" s="38"/>
      <c r="AO21" s="39"/>
      <c r="AP21" s="38"/>
      <c r="AS21" s="39"/>
      <c r="AW21" s="39"/>
      <c r="BA21" s="40"/>
    </row>
    <row r="22" spans="1:53" s="171" customFormat="1" x14ac:dyDescent="0.15">
      <c r="A22" s="171">
        <v>1997</v>
      </c>
      <c r="B22" s="283">
        <v>35473</v>
      </c>
      <c r="C22" s="410" t="s">
        <v>960</v>
      </c>
      <c r="D22" s="410"/>
      <c r="E22" s="216">
        <v>98</v>
      </c>
      <c r="F22" s="171">
        <v>4</v>
      </c>
      <c r="G22" s="233">
        <v>1</v>
      </c>
      <c r="J22" s="241">
        <v>17</v>
      </c>
      <c r="K22" s="214">
        <f>G22/J22*100</f>
        <v>5.8823529411764701</v>
      </c>
      <c r="L22" s="214">
        <f>H22/J22*100</f>
        <v>0</v>
      </c>
      <c r="M22" s="214">
        <f>I22/J22*100</f>
        <v>0</v>
      </c>
      <c r="N22" s="235">
        <f>SUM(K22:M22)</f>
        <v>5.8823529411764701</v>
      </c>
      <c r="O22" s="213">
        <v>28.8</v>
      </c>
      <c r="P22" s="214"/>
      <c r="Q22" s="214"/>
      <c r="R22" s="215">
        <f>SUM(O22:Q22)</f>
        <v>28.8</v>
      </c>
      <c r="S22" s="171">
        <v>6</v>
      </c>
      <c r="T22" s="285"/>
      <c r="U22" s="283">
        <v>35473</v>
      </c>
      <c r="V22" s="178" t="s">
        <v>867</v>
      </c>
      <c r="W22" s="171" t="s">
        <v>17</v>
      </c>
      <c r="X22" s="171" t="s">
        <v>11</v>
      </c>
      <c r="Y22" s="179">
        <v>28.8</v>
      </c>
      <c r="AD22" s="178"/>
      <c r="AG22" s="179"/>
      <c r="AL22" s="178"/>
      <c r="AO22" s="179"/>
      <c r="AP22" s="178"/>
      <c r="AS22" s="179"/>
      <c r="AW22" s="179"/>
      <c r="BA22" s="180"/>
    </row>
    <row r="23" spans="1:53" s="29" customFormat="1" x14ac:dyDescent="0.15">
      <c r="A23" s="29">
        <v>1997</v>
      </c>
      <c r="B23" s="295">
        <v>35571</v>
      </c>
      <c r="C23" s="411" t="s">
        <v>961</v>
      </c>
      <c r="D23" s="411"/>
      <c r="E23" s="52">
        <v>225</v>
      </c>
      <c r="F23" s="29">
        <v>1</v>
      </c>
      <c r="G23" s="66">
        <v>17</v>
      </c>
      <c r="J23" s="73">
        <v>17</v>
      </c>
      <c r="K23" s="47">
        <f t="shared" si="0"/>
        <v>100</v>
      </c>
      <c r="L23" s="47">
        <f t="shared" si="1"/>
        <v>0</v>
      </c>
      <c r="M23" s="47">
        <f t="shared" si="2"/>
        <v>0</v>
      </c>
      <c r="N23" s="68">
        <f t="shared" si="3"/>
        <v>100</v>
      </c>
      <c r="O23" s="46">
        <v>57</v>
      </c>
      <c r="P23" s="47"/>
      <c r="Q23" s="47"/>
      <c r="R23" s="48">
        <f t="shared" si="4"/>
        <v>57</v>
      </c>
      <c r="S23" s="29">
        <v>1</v>
      </c>
      <c r="T23" s="286">
        <v>35539</v>
      </c>
      <c r="U23" s="295">
        <v>35571</v>
      </c>
      <c r="V23" s="38" t="s">
        <v>867</v>
      </c>
      <c r="W23" s="29" t="s">
        <v>17</v>
      </c>
      <c r="X23" s="29" t="s">
        <v>11</v>
      </c>
      <c r="Y23" s="39">
        <v>57</v>
      </c>
      <c r="AD23" s="38"/>
      <c r="AG23" s="39"/>
      <c r="AL23" s="38"/>
      <c r="AO23" s="39"/>
      <c r="AP23" s="38"/>
      <c r="AS23" s="39"/>
      <c r="AW23" s="39"/>
      <c r="BA23" s="40"/>
    </row>
    <row r="24" spans="1:53" s="29" customFormat="1" x14ac:dyDescent="0.15">
      <c r="A24" s="29">
        <v>1998</v>
      </c>
      <c r="B24" s="295"/>
      <c r="C24" s="411" t="s">
        <v>961</v>
      </c>
      <c r="D24" s="411"/>
      <c r="E24" s="52">
        <v>0</v>
      </c>
      <c r="G24" s="66">
        <v>17</v>
      </c>
      <c r="J24" s="73">
        <v>17</v>
      </c>
      <c r="K24" s="47">
        <f t="shared" si="0"/>
        <v>100</v>
      </c>
      <c r="L24" s="47">
        <f t="shared" si="1"/>
        <v>0</v>
      </c>
      <c r="M24" s="47">
        <f t="shared" si="2"/>
        <v>0</v>
      </c>
      <c r="N24" s="68">
        <f t="shared" si="3"/>
        <v>100</v>
      </c>
      <c r="O24" s="46">
        <v>57</v>
      </c>
      <c r="P24" s="47"/>
      <c r="Q24" s="47"/>
      <c r="R24" s="48">
        <f t="shared" si="4"/>
        <v>57</v>
      </c>
      <c r="S24" s="29">
        <v>1</v>
      </c>
      <c r="T24" s="286"/>
      <c r="U24" s="295"/>
      <c r="V24" s="38" t="s">
        <v>867</v>
      </c>
      <c r="W24" s="29" t="s">
        <v>17</v>
      </c>
      <c r="X24" s="29" t="s">
        <v>11</v>
      </c>
      <c r="Y24" s="39">
        <v>57</v>
      </c>
      <c r="AD24" s="38"/>
      <c r="AG24" s="39"/>
      <c r="AL24" s="38"/>
      <c r="AO24" s="39"/>
      <c r="AP24" s="38"/>
      <c r="AS24" s="39"/>
      <c r="AW24" s="39"/>
      <c r="BA24" s="40"/>
    </row>
    <row r="25" spans="1:53" s="29" customFormat="1" x14ac:dyDescent="0.15">
      <c r="A25" s="29">
        <v>1998</v>
      </c>
      <c r="B25" s="295"/>
      <c r="C25" s="411" t="s">
        <v>961</v>
      </c>
      <c r="D25" s="411"/>
      <c r="E25" s="52">
        <v>365</v>
      </c>
      <c r="G25" s="66">
        <v>17</v>
      </c>
      <c r="J25" s="73">
        <v>17</v>
      </c>
      <c r="K25" s="47">
        <f t="shared" si="0"/>
        <v>100</v>
      </c>
      <c r="L25" s="47">
        <f t="shared" si="1"/>
        <v>0</v>
      </c>
      <c r="M25" s="47">
        <f t="shared" si="2"/>
        <v>0</v>
      </c>
      <c r="N25" s="68">
        <f t="shared" si="3"/>
        <v>100</v>
      </c>
      <c r="O25" s="46">
        <v>57</v>
      </c>
      <c r="P25" s="47"/>
      <c r="Q25" s="47"/>
      <c r="R25" s="48">
        <f t="shared" si="4"/>
        <v>57</v>
      </c>
      <c r="S25" s="29">
        <v>1</v>
      </c>
      <c r="T25" s="286"/>
      <c r="U25" s="295"/>
      <c r="V25" s="38" t="s">
        <v>867</v>
      </c>
      <c r="W25" s="29" t="s">
        <v>17</v>
      </c>
      <c r="X25" s="29" t="s">
        <v>11</v>
      </c>
      <c r="Y25" s="39">
        <v>57</v>
      </c>
      <c r="AD25" s="38"/>
      <c r="AG25" s="39"/>
      <c r="AL25" s="38"/>
      <c r="AO25" s="39"/>
      <c r="AP25" s="38"/>
      <c r="AS25" s="39"/>
      <c r="AW25" s="39"/>
      <c r="BA25" s="40"/>
    </row>
    <row r="26" spans="1:53" s="29" customFormat="1" x14ac:dyDescent="0.15">
      <c r="A26" s="29">
        <v>1999</v>
      </c>
      <c r="B26" s="295"/>
      <c r="C26" s="411" t="s">
        <v>961</v>
      </c>
      <c r="D26" s="411"/>
      <c r="E26" s="52">
        <v>354</v>
      </c>
      <c r="G26" s="66">
        <v>17</v>
      </c>
      <c r="J26" s="73">
        <v>17</v>
      </c>
      <c r="K26" s="47">
        <f t="shared" si="0"/>
        <v>100</v>
      </c>
      <c r="L26" s="47">
        <f t="shared" si="1"/>
        <v>0</v>
      </c>
      <c r="M26" s="47">
        <f t="shared" si="2"/>
        <v>0</v>
      </c>
      <c r="N26" s="68">
        <f t="shared" si="3"/>
        <v>100</v>
      </c>
      <c r="O26" s="46">
        <v>57</v>
      </c>
      <c r="P26" s="47"/>
      <c r="Q26" s="47"/>
      <c r="R26" s="48">
        <f t="shared" si="4"/>
        <v>57</v>
      </c>
      <c r="S26" s="29">
        <v>1</v>
      </c>
      <c r="T26" s="286"/>
      <c r="U26" s="295"/>
      <c r="V26" s="38" t="s">
        <v>867</v>
      </c>
      <c r="W26" s="29" t="s">
        <v>17</v>
      </c>
      <c r="X26" s="29" t="s">
        <v>11</v>
      </c>
      <c r="Y26" s="39">
        <v>57</v>
      </c>
      <c r="AD26" s="38"/>
      <c r="AG26" s="39"/>
      <c r="AL26" s="38"/>
      <c r="AO26" s="39"/>
      <c r="AP26" s="38"/>
      <c r="AS26" s="39"/>
      <c r="AW26" s="39"/>
      <c r="BA26" s="40"/>
    </row>
    <row r="27" spans="1:53" s="29" customFormat="1" x14ac:dyDescent="0.15">
      <c r="A27" s="29">
        <v>1999</v>
      </c>
      <c r="B27" s="303">
        <v>36515</v>
      </c>
      <c r="C27" s="411" t="s">
        <v>961</v>
      </c>
      <c r="D27" s="411"/>
      <c r="E27" s="52">
        <v>11</v>
      </c>
      <c r="F27" s="84">
        <v>0</v>
      </c>
      <c r="G27" s="66">
        <v>8</v>
      </c>
      <c r="H27" s="29">
        <v>2</v>
      </c>
      <c r="J27" s="73">
        <v>16</v>
      </c>
      <c r="K27" s="47">
        <f t="shared" si="0"/>
        <v>50</v>
      </c>
      <c r="L27" s="47">
        <f t="shared" si="1"/>
        <v>12.5</v>
      </c>
      <c r="M27" s="47">
        <f t="shared" si="2"/>
        <v>0</v>
      </c>
      <c r="N27" s="68">
        <f t="shared" si="3"/>
        <v>62.5</v>
      </c>
      <c r="O27" s="46">
        <v>57</v>
      </c>
      <c r="P27" s="47"/>
      <c r="Q27" s="47"/>
      <c r="R27" s="48">
        <f t="shared" si="4"/>
        <v>57</v>
      </c>
      <c r="S27" s="29">
        <v>1</v>
      </c>
      <c r="T27" s="286"/>
      <c r="U27" s="295"/>
      <c r="V27" s="38" t="s">
        <v>867</v>
      </c>
      <c r="W27" s="29" t="s">
        <v>17</v>
      </c>
      <c r="X27" s="29" t="s">
        <v>11</v>
      </c>
      <c r="Y27" s="39">
        <v>57</v>
      </c>
      <c r="AD27" s="38"/>
      <c r="AG27" s="39"/>
      <c r="AL27" s="38"/>
      <c r="AO27" s="39"/>
      <c r="AP27" s="38"/>
      <c r="AS27" s="39"/>
      <c r="AW27" s="39"/>
      <c r="BA27" s="40"/>
    </row>
    <row r="28" spans="1:53" s="29" customFormat="1" x14ac:dyDescent="0.15">
      <c r="A28" s="29">
        <v>2000</v>
      </c>
      <c r="B28" s="295"/>
      <c r="C28" s="411" t="s">
        <v>961</v>
      </c>
      <c r="D28" s="411"/>
      <c r="E28" s="52">
        <v>0</v>
      </c>
      <c r="G28" s="66">
        <v>8</v>
      </c>
      <c r="H28" s="29">
        <v>2</v>
      </c>
      <c r="J28" s="73">
        <v>16</v>
      </c>
      <c r="K28" s="47">
        <f t="shared" si="0"/>
        <v>50</v>
      </c>
      <c r="L28" s="47">
        <f t="shared" si="1"/>
        <v>12.5</v>
      </c>
      <c r="M28" s="47">
        <f t="shared" si="2"/>
        <v>0</v>
      </c>
      <c r="N28" s="68">
        <f t="shared" si="3"/>
        <v>62.5</v>
      </c>
      <c r="O28" s="46">
        <v>57</v>
      </c>
      <c r="P28" s="47"/>
      <c r="Q28" s="47"/>
      <c r="R28" s="48">
        <f t="shared" si="4"/>
        <v>57</v>
      </c>
      <c r="S28" s="29">
        <v>1</v>
      </c>
      <c r="T28" s="286"/>
      <c r="U28" s="295"/>
      <c r="V28" s="38" t="s">
        <v>867</v>
      </c>
      <c r="W28" s="29" t="s">
        <v>17</v>
      </c>
      <c r="X28" s="29" t="s">
        <v>11</v>
      </c>
      <c r="Y28" s="39">
        <v>57</v>
      </c>
      <c r="AD28" s="38"/>
      <c r="AG28" s="39"/>
      <c r="AL28" s="38"/>
      <c r="AO28" s="39"/>
      <c r="AP28" s="38"/>
      <c r="AS28" s="39"/>
      <c r="AW28" s="39"/>
      <c r="BA28" s="40"/>
    </row>
    <row r="29" spans="1:53" s="29" customFormat="1" x14ac:dyDescent="0.15">
      <c r="A29" s="29">
        <v>2000</v>
      </c>
      <c r="B29" s="295"/>
      <c r="C29" s="411" t="s">
        <v>961</v>
      </c>
      <c r="D29" s="411"/>
      <c r="E29" s="52">
        <v>366</v>
      </c>
      <c r="G29" s="66">
        <v>8</v>
      </c>
      <c r="H29" s="29">
        <v>2</v>
      </c>
      <c r="J29" s="73">
        <v>16</v>
      </c>
      <c r="K29" s="47">
        <f t="shared" si="0"/>
        <v>50</v>
      </c>
      <c r="L29" s="47">
        <f t="shared" si="1"/>
        <v>12.5</v>
      </c>
      <c r="M29" s="47">
        <f t="shared" si="2"/>
        <v>0</v>
      </c>
      <c r="N29" s="68">
        <f t="shared" si="3"/>
        <v>62.5</v>
      </c>
      <c r="O29" s="46">
        <v>57</v>
      </c>
      <c r="P29" s="47"/>
      <c r="Q29" s="47"/>
      <c r="R29" s="48">
        <f t="shared" si="4"/>
        <v>57</v>
      </c>
      <c r="S29" s="29">
        <v>1</v>
      </c>
      <c r="T29" s="286"/>
      <c r="U29" s="295"/>
      <c r="V29" s="38" t="s">
        <v>867</v>
      </c>
      <c r="W29" s="29" t="s">
        <v>17</v>
      </c>
      <c r="X29" s="29" t="s">
        <v>11</v>
      </c>
      <c r="Y29" s="39">
        <v>57</v>
      </c>
      <c r="AD29" s="38"/>
      <c r="AG29" s="39"/>
      <c r="AL29" s="38"/>
      <c r="AO29" s="39"/>
      <c r="AP29" s="38"/>
      <c r="AS29" s="39"/>
      <c r="AW29" s="39"/>
      <c r="BA29" s="40"/>
    </row>
    <row r="30" spans="1:53" s="29" customFormat="1" x14ac:dyDescent="0.15">
      <c r="A30" s="29">
        <v>2001</v>
      </c>
      <c r="B30" s="295"/>
      <c r="C30" s="411" t="s">
        <v>961</v>
      </c>
      <c r="D30" s="411"/>
      <c r="E30" s="52">
        <v>204</v>
      </c>
      <c r="G30" s="66">
        <v>8</v>
      </c>
      <c r="H30" s="29">
        <v>2</v>
      </c>
      <c r="J30" s="73">
        <v>16</v>
      </c>
      <c r="K30" s="47">
        <f t="shared" si="0"/>
        <v>50</v>
      </c>
      <c r="L30" s="47">
        <f t="shared" si="1"/>
        <v>12.5</v>
      </c>
      <c r="M30" s="47">
        <f t="shared" si="2"/>
        <v>0</v>
      </c>
      <c r="N30" s="68">
        <f t="shared" si="3"/>
        <v>62.5</v>
      </c>
      <c r="O30" s="46">
        <v>57</v>
      </c>
      <c r="P30" s="47"/>
      <c r="Q30" s="47"/>
      <c r="R30" s="48">
        <f t="shared" si="4"/>
        <v>57</v>
      </c>
      <c r="S30" s="29">
        <v>1</v>
      </c>
      <c r="T30" s="286"/>
      <c r="U30" s="295"/>
      <c r="V30" s="38" t="s">
        <v>867</v>
      </c>
      <c r="W30" s="29" t="s">
        <v>17</v>
      </c>
      <c r="X30" s="29" t="s">
        <v>11</v>
      </c>
      <c r="Y30" s="39">
        <v>57</v>
      </c>
      <c r="AD30" s="38"/>
      <c r="AG30" s="39"/>
      <c r="AL30" s="38"/>
      <c r="AO30" s="39"/>
      <c r="AP30" s="38"/>
      <c r="AS30" s="39"/>
      <c r="AW30" s="39"/>
      <c r="BA30" s="40"/>
    </row>
    <row r="31" spans="1:53" s="171" customFormat="1" x14ac:dyDescent="0.15">
      <c r="A31" s="171">
        <v>2001</v>
      </c>
      <c r="B31" s="283">
        <v>37096</v>
      </c>
      <c r="C31" s="410" t="s">
        <v>970</v>
      </c>
      <c r="D31" s="410"/>
      <c r="E31" s="216">
        <v>161</v>
      </c>
      <c r="F31" s="171">
        <v>1</v>
      </c>
      <c r="G31" s="233">
        <v>15</v>
      </c>
      <c r="I31" s="171">
        <v>2</v>
      </c>
      <c r="J31" s="241">
        <v>17</v>
      </c>
      <c r="K31" s="214">
        <f t="shared" si="0"/>
        <v>88.235294117647058</v>
      </c>
      <c r="L31" s="214">
        <f t="shared" si="1"/>
        <v>0</v>
      </c>
      <c r="M31" s="214">
        <f t="shared" si="2"/>
        <v>11.76470588235294</v>
      </c>
      <c r="N31" s="235">
        <f>SUM(K31:M31)</f>
        <v>100</v>
      </c>
      <c r="O31" s="213">
        <v>58.75</v>
      </c>
      <c r="P31" s="214"/>
      <c r="Q31" s="214">
        <v>20</v>
      </c>
      <c r="R31" s="215">
        <f t="shared" si="4"/>
        <v>78.75</v>
      </c>
      <c r="S31" s="171">
        <v>3</v>
      </c>
      <c r="T31" s="285">
        <v>37059</v>
      </c>
      <c r="U31" s="283">
        <v>37096</v>
      </c>
      <c r="V31" s="178" t="s">
        <v>971</v>
      </c>
      <c r="W31" s="171" t="s">
        <v>972</v>
      </c>
      <c r="X31" s="171" t="s">
        <v>11</v>
      </c>
      <c r="Y31" s="179">
        <v>50</v>
      </c>
      <c r="Z31" s="171" t="s">
        <v>973</v>
      </c>
      <c r="AA31" s="171" t="s">
        <v>89</v>
      </c>
      <c r="AB31" s="171" t="s">
        <v>11</v>
      </c>
      <c r="AC31" s="171">
        <v>8.8000000000000007</v>
      </c>
      <c r="AD31" s="178" t="s">
        <v>975</v>
      </c>
      <c r="AE31" s="171" t="s">
        <v>115</v>
      </c>
      <c r="AF31" s="171" t="s">
        <v>12</v>
      </c>
      <c r="AG31" s="179">
        <v>20</v>
      </c>
      <c r="AL31" s="178"/>
      <c r="AO31" s="179"/>
      <c r="AP31" s="178"/>
      <c r="AS31" s="179"/>
      <c r="AW31" s="179"/>
      <c r="BA31" s="180"/>
    </row>
    <row r="32" spans="1:53" s="171" customFormat="1" x14ac:dyDescent="0.15">
      <c r="A32" s="171">
        <v>2002</v>
      </c>
      <c r="B32" s="283"/>
      <c r="C32" s="410" t="s">
        <v>970</v>
      </c>
      <c r="D32" s="410"/>
      <c r="E32" s="243">
        <v>148</v>
      </c>
      <c r="G32" s="233">
        <v>15</v>
      </c>
      <c r="I32" s="171">
        <v>2</v>
      </c>
      <c r="J32" s="241">
        <v>17</v>
      </c>
      <c r="K32" s="214">
        <f t="shared" si="0"/>
        <v>88.235294117647058</v>
      </c>
      <c r="L32" s="214">
        <f t="shared" si="1"/>
        <v>0</v>
      </c>
      <c r="M32" s="214">
        <f t="shared" si="2"/>
        <v>11.76470588235294</v>
      </c>
      <c r="N32" s="235">
        <f t="shared" ref="N32:N60" si="5">SUM(K32:M32)</f>
        <v>100</v>
      </c>
      <c r="O32" s="213">
        <v>58.75</v>
      </c>
      <c r="P32" s="214"/>
      <c r="Q32" s="214">
        <v>20</v>
      </c>
      <c r="R32" s="215">
        <f t="shared" si="4"/>
        <v>78.75</v>
      </c>
      <c r="S32" s="171">
        <v>3</v>
      </c>
      <c r="T32" s="285"/>
      <c r="U32" s="283"/>
      <c r="V32" s="178" t="s">
        <v>971</v>
      </c>
      <c r="W32" s="171" t="s">
        <v>972</v>
      </c>
      <c r="X32" s="171" t="s">
        <v>11</v>
      </c>
      <c r="Y32" s="179">
        <v>50</v>
      </c>
      <c r="Z32" s="171" t="s">
        <v>973</v>
      </c>
      <c r="AA32" s="171" t="s">
        <v>89</v>
      </c>
      <c r="AB32" s="171" t="s">
        <v>11</v>
      </c>
      <c r="AC32" s="171">
        <v>8.8000000000000007</v>
      </c>
      <c r="AD32" s="178" t="s">
        <v>975</v>
      </c>
      <c r="AE32" s="171" t="s">
        <v>115</v>
      </c>
      <c r="AF32" s="171" t="s">
        <v>12</v>
      </c>
      <c r="AG32" s="179">
        <v>20</v>
      </c>
      <c r="AL32" s="178"/>
      <c r="AO32" s="179"/>
      <c r="AP32" s="178"/>
      <c r="AS32" s="179"/>
      <c r="AW32" s="179"/>
      <c r="BA32" s="180"/>
    </row>
    <row r="33" spans="1:53" s="171" customFormat="1" x14ac:dyDescent="0.15">
      <c r="A33" s="171">
        <v>2002</v>
      </c>
      <c r="B33" s="305">
        <v>37405</v>
      </c>
      <c r="C33" s="410" t="s">
        <v>970</v>
      </c>
      <c r="D33" s="410"/>
      <c r="E33" s="243">
        <f>365-E32</f>
        <v>217</v>
      </c>
      <c r="F33" s="244">
        <v>0</v>
      </c>
      <c r="G33" s="233">
        <v>16</v>
      </c>
      <c r="I33" s="171">
        <v>2</v>
      </c>
      <c r="J33" s="241">
        <v>18</v>
      </c>
      <c r="K33" s="214">
        <f t="shared" si="0"/>
        <v>88.888888888888886</v>
      </c>
      <c r="L33" s="214">
        <f t="shared" si="1"/>
        <v>0</v>
      </c>
      <c r="M33" s="214">
        <f t="shared" si="2"/>
        <v>11.111111111111111</v>
      </c>
      <c r="N33" s="235">
        <f t="shared" si="5"/>
        <v>100</v>
      </c>
      <c r="O33" s="213">
        <v>58.75</v>
      </c>
      <c r="P33" s="214"/>
      <c r="Q33" s="214">
        <v>20</v>
      </c>
      <c r="R33" s="215">
        <f t="shared" si="4"/>
        <v>78.75</v>
      </c>
      <c r="S33" s="171">
        <v>3</v>
      </c>
      <c r="T33" s="285"/>
      <c r="U33" s="283"/>
      <c r="V33" s="178" t="s">
        <v>971</v>
      </c>
      <c r="W33" s="171" t="s">
        <v>972</v>
      </c>
      <c r="X33" s="171" t="s">
        <v>11</v>
      </c>
      <c r="Y33" s="179">
        <v>50</v>
      </c>
      <c r="Z33" s="171" t="s">
        <v>973</v>
      </c>
      <c r="AA33" s="171" t="s">
        <v>89</v>
      </c>
      <c r="AB33" s="171" t="s">
        <v>11</v>
      </c>
      <c r="AC33" s="171">
        <v>8.8000000000000007</v>
      </c>
      <c r="AD33" s="178" t="s">
        <v>975</v>
      </c>
      <c r="AE33" s="171" t="s">
        <v>115</v>
      </c>
      <c r="AF33" s="171" t="s">
        <v>12</v>
      </c>
      <c r="AG33" s="179">
        <v>20</v>
      </c>
      <c r="AL33" s="178"/>
      <c r="AO33" s="179"/>
      <c r="AP33" s="178"/>
      <c r="AS33" s="179"/>
      <c r="AW33" s="179"/>
      <c r="BA33" s="180"/>
    </row>
    <row r="34" spans="1:53" s="171" customFormat="1" x14ac:dyDescent="0.15">
      <c r="A34" s="171">
        <v>2003</v>
      </c>
      <c r="B34" s="306"/>
      <c r="C34" s="410" t="s">
        <v>970</v>
      </c>
      <c r="D34" s="410"/>
      <c r="E34" s="243">
        <v>0</v>
      </c>
      <c r="G34" s="233">
        <v>16</v>
      </c>
      <c r="I34" s="171">
        <v>2</v>
      </c>
      <c r="J34" s="241">
        <v>18</v>
      </c>
      <c r="K34" s="214">
        <f t="shared" si="0"/>
        <v>88.888888888888886</v>
      </c>
      <c r="L34" s="214">
        <f t="shared" si="1"/>
        <v>0</v>
      </c>
      <c r="M34" s="214">
        <f t="shared" si="2"/>
        <v>11.111111111111111</v>
      </c>
      <c r="N34" s="235">
        <f t="shared" si="5"/>
        <v>100</v>
      </c>
      <c r="O34" s="213">
        <v>58.75</v>
      </c>
      <c r="P34" s="214"/>
      <c r="Q34" s="214">
        <v>20</v>
      </c>
      <c r="R34" s="215">
        <f t="shared" si="4"/>
        <v>78.75</v>
      </c>
      <c r="S34" s="171">
        <v>3</v>
      </c>
      <c r="T34" s="285"/>
      <c r="U34" s="283"/>
      <c r="V34" s="178" t="s">
        <v>971</v>
      </c>
      <c r="W34" s="171" t="s">
        <v>972</v>
      </c>
      <c r="X34" s="171" t="s">
        <v>11</v>
      </c>
      <c r="Y34" s="179">
        <v>50</v>
      </c>
      <c r="Z34" s="171" t="s">
        <v>973</v>
      </c>
      <c r="AA34" s="171" t="s">
        <v>89</v>
      </c>
      <c r="AB34" s="171" t="s">
        <v>11</v>
      </c>
      <c r="AC34" s="171">
        <v>8.8000000000000007</v>
      </c>
      <c r="AD34" s="178" t="s">
        <v>975</v>
      </c>
      <c r="AE34" s="171" t="s">
        <v>115</v>
      </c>
      <c r="AF34" s="171" t="s">
        <v>12</v>
      </c>
      <c r="AG34" s="179">
        <v>20</v>
      </c>
      <c r="AL34" s="178"/>
      <c r="AO34" s="179"/>
      <c r="AP34" s="178"/>
      <c r="AS34" s="179"/>
      <c r="AW34" s="179"/>
      <c r="BA34" s="180"/>
    </row>
    <row r="35" spans="1:53" s="171" customFormat="1" x14ac:dyDescent="0.15">
      <c r="A35" s="171">
        <v>2003</v>
      </c>
      <c r="B35" s="306"/>
      <c r="C35" s="410" t="s">
        <v>970</v>
      </c>
      <c r="D35" s="410"/>
      <c r="E35" s="243">
        <v>365</v>
      </c>
      <c r="G35" s="233">
        <v>16</v>
      </c>
      <c r="I35" s="171">
        <v>2</v>
      </c>
      <c r="J35" s="241">
        <v>18</v>
      </c>
      <c r="K35" s="214">
        <f t="shared" si="0"/>
        <v>88.888888888888886</v>
      </c>
      <c r="L35" s="214">
        <f t="shared" si="1"/>
        <v>0</v>
      </c>
      <c r="M35" s="214">
        <f t="shared" si="2"/>
        <v>11.111111111111111</v>
      </c>
      <c r="N35" s="235">
        <f t="shared" si="5"/>
        <v>100</v>
      </c>
      <c r="O35" s="213">
        <v>58.75</v>
      </c>
      <c r="P35" s="214"/>
      <c r="Q35" s="214">
        <v>20</v>
      </c>
      <c r="R35" s="215">
        <f t="shared" si="4"/>
        <v>78.75</v>
      </c>
      <c r="S35" s="171">
        <v>3</v>
      </c>
      <c r="T35" s="285"/>
      <c r="U35" s="283"/>
      <c r="V35" s="178" t="s">
        <v>971</v>
      </c>
      <c r="W35" s="171" t="s">
        <v>972</v>
      </c>
      <c r="X35" s="171" t="s">
        <v>11</v>
      </c>
      <c r="Y35" s="179">
        <v>50</v>
      </c>
      <c r="Z35" s="171" t="s">
        <v>973</v>
      </c>
      <c r="AA35" s="171" t="s">
        <v>89</v>
      </c>
      <c r="AB35" s="171" t="s">
        <v>11</v>
      </c>
      <c r="AC35" s="171">
        <v>8.8000000000000007</v>
      </c>
      <c r="AD35" s="178" t="s">
        <v>975</v>
      </c>
      <c r="AE35" s="171" t="s">
        <v>115</v>
      </c>
      <c r="AF35" s="171" t="s">
        <v>12</v>
      </c>
      <c r="AG35" s="179">
        <v>20</v>
      </c>
      <c r="AL35" s="178"/>
      <c r="AO35" s="179"/>
      <c r="AP35" s="178"/>
      <c r="AS35" s="179"/>
      <c r="AW35" s="179"/>
      <c r="BA35" s="180"/>
    </row>
    <row r="36" spans="1:53" s="171" customFormat="1" x14ac:dyDescent="0.15">
      <c r="A36" s="171">
        <v>2004</v>
      </c>
      <c r="B36" s="306"/>
      <c r="C36" s="410" t="s">
        <v>970</v>
      </c>
      <c r="D36" s="410"/>
      <c r="E36" s="243">
        <v>0</v>
      </c>
      <c r="G36" s="233">
        <v>16</v>
      </c>
      <c r="I36" s="171">
        <v>2</v>
      </c>
      <c r="J36" s="241">
        <v>18</v>
      </c>
      <c r="K36" s="214">
        <f t="shared" si="0"/>
        <v>88.888888888888886</v>
      </c>
      <c r="L36" s="214">
        <f t="shared" si="1"/>
        <v>0</v>
      </c>
      <c r="M36" s="214">
        <f t="shared" si="2"/>
        <v>11.111111111111111</v>
      </c>
      <c r="N36" s="235">
        <f t="shared" si="5"/>
        <v>100</v>
      </c>
      <c r="O36" s="213">
        <v>58.75</v>
      </c>
      <c r="P36" s="214"/>
      <c r="Q36" s="214">
        <v>20</v>
      </c>
      <c r="R36" s="215">
        <f t="shared" si="4"/>
        <v>78.75</v>
      </c>
      <c r="S36" s="171">
        <v>3</v>
      </c>
      <c r="T36" s="285"/>
      <c r="U36" s="283"/>
      <c r="V36" s="178" t="s">
        <v>971</v>
      </c>
      <c r="W36" s="171" t="s">
        <v>972</v>
      </c>
      <c r="X36" s="171" t="s">
        <v>11</v>
      </c>
      <c r="Y36" s="179">
        <v>50</v>
      </c>
      <c r="Z36" s="171" t="s">
        <v>973</v>
      </c>
      <c r="AA36" s="171" t="s">
        <v>89</v>
      </c>
      <c r="AB36" s="171" t="s">
        <v>11</v>
      </c>
      <c r="AC36" s="171">
        <v>8.8000000000000007</v>
      </c>
      <c r="AD36" s="178" t="s">
        <v>975</v>
      </c>
      <c r="AE36" s="171" t="s">
        <v>115</v>
      </c>
      <c r="AF36" s="171" t="s">
        <v>12</v>
      </c>
      <c r="AG36" s="179">
        <v>20</v>
      </c>
      <c r="AL36" s="178"/>
      <c r="AO36" s="179"/>
      <c r="AP36" s="178"/>
      <c r="AS36" s="179"/>
      <c r="AW36" s="179"/>
      <c r="BA36" s="180"/>
    </row>
    <row r="37" spans="1:53" s="171" customFormat="1" x14ac:dyDescent="0.15">
      <c r="A37" s="171">
        <v>2004</v>
      </c>
      <c r="B37" s="306"/>
      <c r="C37" s="410" t="s">
        <v>970</v>
      </c>
      <c r="D37" s="410"/>
      <c r="E37" s="243">
        <v>366</v>
      </c>
      <c r="G37" s="233">
        <v>16</v>
      </c>
      <c r="I37" s="171">
        <v>2</v>
      </c>
      <c r="J37" s="241">
        <v>18</v>
      </c>
      <c r="K37" s="214">
        <f t="shared" si="0"/>
        <v>88.888888888888886</v>
      </c>
      <c r="L37" s="214">
        <f t="shared" si="1"/>
        <v>0</v>
      </c>
      <c r="M37" s="214">
        <f t="shared" si="2"/>
        <v>11.111111111111111</v>
      </c>
      <c r="N37" s="235">
        <f t="shared" si="5"/>
        <v>100</v>
      </c>
      <c r="O37" s="213">
        <v>58.75</v>
      </c>
      <c r="P37" s="214"/>
      <c r="Q37" s="214">
        <v>20</v>
      </c>
      <c r="R37" s="215">
        <f t="shared" si="4"/>
        <v>78.75</v>
      </c>
      <c r="S37" s="171">
        <v>3</v>
      </c>
      <c r="T37" s="285"/>
      <c r="U37" s="283"/>
      <c r="V37" s="178" t="s">
        <v>971</v>
      </c>
      <c r="W37" s="171" t="s">
        <v>972</v>
      </c>
      <c r="X37" s="171" t="s">
        <v>11</v>
      </c>
      <c r="Y37" s="179">
        <v>50</v>
      </c>
      <c r="Z37" s="171" t="s">
        <v>973</v>
      </c>
      <c r="AA37" s="171" t="s">
        <v>89</v>
      </c>
      <c r="AB37" s="171" t="s">
        <v>11</v>
      </c>
      <c r="AC37" s="171">
        <v>8.8000000000000007</v>
      </c>
      <c r="AD37" s="178" t="s">
        <v>975</v>
      </c>
      <c r="AE37" s="171" t="s">
        <v>115</v>
      </c>
      <c r="AF37" s="171" t="s">
        <v>12</v>
      </c>
      <c r="AG37" s="179">
        <v>20</v>
      </c>
      <c r="AL37" s="178"/>
      <c r="AO37" s="179"/>
      <c r="AP37" s="178"/>
      <c r="AS37" s="179"/>
      <c r="AW37" s="179"/>
      <c r="BA37" s="180"/>
    </row>
    <row r="38" spans="1:53" s="171" customFormat="1" x14ac:dyDescent="0.15">
      <c r="A38" s="171">
        <v>2005</v>
      </c>
      <c r="B38" s="306"/>
      <c r="C38" s="410" t="s">
        <v>970</v>
      </c>
      <c r="D38" s="410"/>
      <c r="E38" s="245">
        <v>51</v>
      </c>
      <c r="G38" s="233">
        <v>16</v>
      </c>
      <c r="I38" s="171">
        <v>2</v>
      </c>
      <c r="J38" s="241">
        <v>18</v>
      </c>
      <c r="K38" s="214">
        <f t="shared" si="0"/>
        <v>88.888888888888886</v>
      </c>
      <c r="L38" s="214">
        <f t="shared" si="1"/>
        <v>0</v>
      </c>
      <c r="M38" s="214">
        <f t="shared" si="2"/>
        <v>11.111111111111111</v>
      </c>
      <c r="N38" s="235">
        <f t="shared" si="5"/>
        <v>100</v>
      </c>
      <c r="O38" s="213">
        <v>58.75</v>
      </c>
      <c r="P38" s="214"/>
      <c r="Q38" s="214">
        <v>20</v>
      </c>
      <c r="R38" s="215">
        <f t="shared" si="4"/>
        <v>78.75</v>
      </c>
      <c r="S38" s="171">
        <v>3</v>
      </c>
      <c r="T38" s="285"/>
      <c r="U38" s="283"/>
      <c r="V38" s="178" t="s">
        <v>971</v>
      </c>
      <c r="W38" s="171" t="s">
        <v>972</v>
      </c>
      <c r="X38" s="171" t="s">
        <v>11</v>
      </c>
      <c r="Y38" s="179">
        <v>50</v>
      </c>
      <c r="Z38" s="171" t="s">
        <v>973</v>
      </c>
      <c r="AA38" s="171" t="s">
        <v>89</v>
      </c>
      <c r="AB38" s="171" t="s">
        <v>11</v>
      </c>
      <c r="AC38" s="171">
        <v>8.8000000000000007</v>
      </c>
      <c r="AD38" s="178" t="s">
        <v>975</v>
      </c>
      <c r="AE38" s="171" t="s">
        <v>115</v>
      </c>
      <c r="AF38" s="171" t="s">
        <v>12</v>
      </c>
      <c r="AG38" s="179">
        <v>20</v>
      </c>
      <c r="AL38" s="178"/>
      <c r="AO38" s="179"/>
      <c r="AP38" s="178"/>
      <c r="AS38" s="179"/>
      <c r="AW38" s="179"/>
      <c r="BA38" s="180"/>
    </row>
    <row r="39" spans="1:53" s="171" customFormat="1" x14ac:dyDescent="0.15">
      <c r="A39" s="171">
        <v>2005</v>
      </c>
      <c r="B39" s="305">
        <v>38404</v>
      </c>
      <c r="C39" s="410" t="s">
        <v>970</v>
      </c>
      <c r="D39" s="410"/>
      <c r="E39" s="245">
        <f>365-E40-E38</f>
        <v>176</v>
      </c>
      <c r="F39" s="244">
        <v>0</v>
      </c>
      <c r="G39" s="233">
        <v>17</v>
      </c>
      <c r="I39" s="171">
        <v>2</v>
      </c>
      <c r="J39" s="241">
        <v>19</v>
      </c>
      <c r="K39" s="214">
        <f>G39/J39*100</f>
        <v>89.473684210526315</v>
      </c>
      <c r="L39" s="214">
        <f>H39/J39*100</f>
        <v>0</v>
      </c>
      <c r="M39" s="214">
        <f>I39/J39*100</f>
        <v>10.526315789473683</v>
      </c>
      <c r="N39" s="235">
        <f t="shared" si="5"/>
        <v>100</v>
      </c>
      <c r="O39" s="213">
        <v>58.75</v>
      </c>
      <c r="P39" s="214"/>
      <c r="Q39" s="214">
        <v>20</v>
      </c>
      <c r="R39" s="215">
        <f t="shared" si="4"/>
        <v>78.75</v>
      </c>
      <c r="S39" s="171">
        <v>3</v>
      </c>
      <c r="T39" s="285"/>
      <c r="U39" s="283"/>
      <c r="V39" s="178" t="s">
        <v>971</v>
      </c>
      <c r="W39" s="171" t="s">
        <v>972</v>
      </c>
      <c r="X39" s="171" t="s">
        <v>11</v>
      </c>
      <c r="Y39" s="179">
        <v>50</v>
      </c>
      <c r="Z39" s="171" t="s">
        <v>973</v>
      </c>
      <c r="AA39" s="171" t="s">
        <v>89</v>
      </c>
      <c r="AB39" s="171" t="s">
        <v>11</v>
      </c>
      <c r="AC39" s="171">
        <v>8.8000000000000007</v>
      </c>
      <c r="AD39" s="178" t="s">
        <v>975</v>
      </c>
      <c r="AE39" s="171" t="s">
        <v>115</v>
      </c>
      <c r="AF39" s="171" t="s">
        <v>12</v>
      </c>
      <c r="AG39" s="179">
        <v>20</v>
      </c>
      <c r="AL39" s="178"/>
      <c r="AO39" s="179"/>
      <c r="AP39" s="178"/>
      <c r="AS39" s="179"/>
      <c r="AW39" s="179"/>
      <c r="BA39" s="180"/>
    </row>
    <row r="40" spans="1:53" s="29" customFormat="1" x14ac:dyDescent="0.15">
      <c r="A40" s="29">
        <v>2005</v>
      </c>
      <c r="B40" s="277">
        <v>38580</v>
      </c>
      <c r="C40" s="411" t="s">
        <v>974</v>
      </c>
      <c r="D40" s="411"/>
      <c r="E40" s="87">
        <v>138</v>
      </c>
      <c r="F40" s="29">
        <v>1</v>
      </c>
      <c r="G40" s="66">
        <v>8</v>
      </c>
      <c r="I40" s="29">
        <v>9</v>
      </c>
      <c r="J40" s="73">
        <v>18</v>
      </c>
      <c r="K40" s="47">
        <f t="shared" si="0"/>
        <v>44.444444444444443</v>
      </c>
      <c r="L40" s="47">
        <f t="shared" si="1"/>
        <v>0</v>
      </c>
      <c r="M40" s="47">
        <f t="shared" si="2"/>
        <v>50</v>
      </c>
      <c r="N40" s="68">
        <f t="shared" si="5"/>
        <v>94.444444444444443</v>
      </c>
      <c r="O40" s="46">
        <v>35.869999999999997</v>
      </c>
      <c r="P40" s="47"/>
      <c r="Q40" s="47">
        <v>33.979999999999997</v>
      </c>
      <c r="R40" s="48">
        <f t="shared" si="4"/>
        <v>69.849999999999994</v>
      </c>
      <c r="S40" s="29">
        <v>3</v>
      </c>
      <c r="T40" s="286">
        <v>38528</v>
      </c>
      <c r="U40" s="295">
        <v>38580</v>
      </c>
      <c r="V40" s="38" t="s">
        <v>976</v>
      </c>
      <c r="W40" s="29" t="s">
        <v>115</v>
      </c>
      <c r="X40" s="29" t="s">
        <v>12</v>
      </c>
      <c r="Y40" s="39">
        <v>34</v>
      </c>
      <c r="Z40" s="29" t="s">
        <v>971</v>
      </c>
      <c r="AA40" s="29" t="s">
        <v>972</v>
      </c>
      <c r="AB40" s="29" t="s">
        <v>11</v>
      </c>
      <c r="AC40" s="29">
        <v>21.7</v>
      </c>
      <c r="AD40" s="38" t="s">
        <v>973</v>
      </c>
      <c r="AE40" s="29" t="s">
        <v>89</v>
      </c>
      <c r="AF40" s="29" t="s">
        <v>11</v>
      </c>
      <c r="AG40" s="39">
        <v>14.2</v>
      </c>
      <c r="AL40" s="38"/>
      <c r="AO40" s="39"/>
      <c r="AP40" s="38"/>
      <c r="AS40" s="39"/>
      <c r="AW40" s="39"/>
      <c r="BA40" s="40"/>
    </row>
    <row r="41" spans="1:53" s="29" customFormat="1" x14ac:dyDescent="0.15">
      <c r="A41" s="29">
        <v>2006</v>
      </c>
      <c r="B41" s="277"/>
      <c r="C41" s="411" t="s">
        <v>974</v>
      </c>
      <c r="D41" s="411"/>
      <c r="E41" s="87">
        <v>0</v>
      </c>
      <c r="G41" s="66">
        <v>8</v>
      </c>
      <c r="I41" s="29">
        <v>9</v>
      </c>
      <c r="J41" s="73">
        <v>18</v>
      </c>
      <c r="K41" s="47">
        <f t="shared" si="0"/>
        <v>44.444444444444443</v>
      </c>
      <c r="L41" s="47">
        <f t="shared" si="1"/>
        <v>0</v>
      </c>
      <c r="M41" s="47">
        <f t="shared" si="2"/>
        <v>50</v>
      </c>
      <c r="N41" s="68">
        <f t="shared" si="5"/>
        <v>94.444444444444443</v>
      </c>
      <c r="O41" s="46">
        <v>35.869999999999997</v>
      </c>
      <c r="P41" s="47"/>
      <c r="Q41" s="47">
        <v>33.979999999999997</v>
      </c>
      <c r="R41" s="48">
        <f t="shared" si="4"/>
        <v>69.849999999999994</v>
      </c>
      <c r="S41" s="29">
        <v>3</v>
      </c>
      <c r="T41" s="286"/>
      <c r="U41" s="295"/>
      <c r="V41" s="38" t="s">
        <v>976</v>
      </c>
      <c r="W41" s="29" t="s">
        <v>115</v>
      </c>
      <c r="X41" s="29" t="s">
        <v>12</v>
      </c>
      <c r="Y41" s="39">
        <v>34</v>
      </c>
      <c r="Z41" s="29" t="s">
        <v>971</v>
      </c>
      <c r="AA41" s="29" t="s">
        <v>972</v>
      </c>
      <c r="AB41" s="29" t="s">
        <v>11</v>
      </c>
      <c r="AC41" s="29">
        <v>21.7</v>
      </c>
      <c r="AD41" s="38" t="s">
        <v>973</v>
      </c>
      <c r="AE41" s="29" t="s">
        <v>89</v>
      </c>
      <c r="AF41" s="29" t="s">
        <v>11</v>
      </c>
      <c r="AG41" s="39">
        <v>14.2</v>
      </c>
      <c r="AL41" s="38"/>
      <c r="AO41" s="39"/>
      <c r="AP41" s="38"/>
      <c r="AS41" s="39"/>
      <c r="AW41" s="39"/>
      <c r="BA41" s="40"/>
    </row>
    <row r="42" spans="1:53" s="29" customFormat="1" x14ac:dyDescent="0.15">
      <c r="A42" s="29">
        <v>2006</v>
      </c>
      <c r="B42" s="277"/>
      <c r="C42" s="411" t="s">
        <v>974</v>
      </c>
      <c r="D42" s="411"/>
      <c r="E42" s="87">
        <v>365</v>
      </c>
      <c r="G42" s="66">
        <v>8</v>
      </c>
      <c r="I42" s="29">
        <v>9</v>
      </c>
      <c r="J42" s="73">
        <v>18</v>
      </c>
      <c r="K42" s="47">
        <f t="shared" si="0"/>
        <v>44.444444444444443</v>
      </c>
      <c r="L42" s="47">
        <f t="shared" si="1"/>
        <v>0</v>
      </c>
      <c r="M42" s="47">
        <f t="shared" si="2"/>
        <v>50</v>
      </c>
      <c r="N42" s="68">
        <f t="shared" si="5"/>
        <v>94.444444444444443</v>
      </c>
      <c r="O42" s="46">
        <v>35.869999999999997</v>
      </c>
      <c r="P42" s="47"/>
      <c r="Q42" s="47">
        <v>33.979999999999997</v>
      </c>
      <c r="R42" s="48">
        <f t="shared" si="4"/>
        <v>69.849999999999994</v>
      </c>
      <c r="S42" s="29">
        <v>3</v>
      </c>
      <c r="T42" s="286"/>
      <c r="U42" s="295"/>
      <c r="V42" s="38" t="s">
        <v>976</v>
      </c>
      <c r="W42" s="29" t="s">
        <v>115</v>
      </c>
      <c r="X42" s="29" t="s">
        <v>12</v>
      </c>
      <c r="Y42" s="39">
        <v>34</v>
      </c>
      <c r="Z42" s="29" t="s">
        <v>971</v>
      </c>
      <c r="AA42" s="29" t="s">
        <v>972</v>
      </c>
      <c r="AB42" s="29" t="s">
        <v>11</v>
      </c>
      <c r="AC42" s="29">
        <v>21.7</v>
      </c>
      <c r="AD42" s="38" t="s">
        <v>973</v>
      </c>
      <c r="AE42" s="29" t="s">
        <v>89</v>
      </c>
      <c r="AF42" s="29" t="s">
        <v>11</v>
      </c>
      <c r="AG42" s="39">
        <v>14.2</v>
      </c>
      <c r="AL42" s="38"/>
      <c r="AO42" s="39"/>
      <c r="AP42" s="38"/>
      <c r="AS42" s="39"/>
      <c r="AW42" s="39"/>
      <c r="BA42" s="40"/>
    </row>
    <row r="43" spans="1:53" s="29" customFormat="1" x14ac:dyDescent="0.15">
      <c r="A43" s="29">
        <v>2007</v>
      </c>
      <c r="B43" s="277"/>
      <c r="C43" s="411" t="s">
        <v>974</v>
      </c>
      <c r="D43" s="411"/>
      <c r="E43" s="87">
        <v>0</v>
      </c>
      <c r="G43" s="66">
        <v>8</v>
      </c>
      <c r="I43" s="29">
        <v>9</v>
      </c>
      <c r="J43" s="73">
        <v>18</v>
      </c>
      <c r="K43" s="47">
        <f t="shared" si="0"/>
        <v>44.444444444444443</v>
      </c>
      <c r="L43" s="47">
        <f t="shared" si="1"/>
        <v>0</v>
      </c>
      <c r="M43" s="47">
        <f t="shared" si="2"/>
        <v>50</v>
      </c>
      <c r="N43" s="68">
        <f t="shared" si="5"/>
        <v>94.444444444444443</v>
      </c>
      <c r="O43" s="46">
        <v>35.869999999999997</v>
      </c>
      <c r="P43" s="47"/>
      <c r="Q43" s="47">
        <v>33.979999999999997</v>
      </c>
      <c r="R43" s="48">
        <f t="shared" si="4"/>
        <v>69.849999999999994</v>
      </c>
      <c r="S43" s="29">
        <v>3</v>
      </c>
      <c r="T43" s="286"/>
      <c r="U43" s="295"/>
      <c r="V43" s="38" t="s">
        <v>976</v>
      </c>
      <c r="W43" s="29" t="s">
        <v>115</v>
      </c>
      <c r="X43" s="29" t="s">
        <v>12</v>
      </c>
      <c r="Y43" s="39">
        <v>34</v>
      </c>
      <c r="Z43" s="29" t="s">
        <v>971</v>
      </c>
      <c r="AA43" s="29" t="s">
        <v>972</v>
      </c>
      <c r="AB43" s="29" t="s">
        <v>11</v>
      </c>
      <c r="AC43" s="29">
        <v>21.7</v>
      </c>
      <c r="AD43" s="38" t="s">
        <v>973</v>
      </c>
      <c r="AE43" s="29" t="s">
        <v>89</v>
      </c>
      <c r="AF43" s="29" t="s">
        <v>11</v>
      </c>
      <c r="AG43" s="39">
        <v>14.2</v>
      </c>
      <c r="AL43" s="38"/>
      <c r="AO43" s="39"/>
      <c r="AP43" s="38"/>
      <c r="AS43" s="39"/>
      <c r="AW43" s="39"/>
      <c r="BA43" s="40"/>
    </row>
    <row r="44" spans="1:53" s="29" customFormat="1" x14ac:dyDescent="0.15">
      <c r="A44" s="29">
        <v>2007</v>
      </c>
      <c r="B44" s="277"/>
      <c r="C44" s="411" t="s">
        <v>974</v>
      </c>
      <c r="D44" s="411"/>
      <c r="E44" s="87">
        <v>365</v>
      </c>
      <c r="G44" s="66">
        <v>8</v>
      </c>
      <c r="I44" s="29">
        <v>9</v>
      </c>
      <c r="J44" s="73">
        <v>18</v>
      </c>
      <c r="K44" s="47">
        <f t="shared" si="0"/>
        <v>44.444444444444443</v>
      </c>
      <c r="L44" s="47">
        <f t="shared" si="1"/>
        <v>0</v>
      </c>
      <c r="M44" s="47">
        <f t="shared" si="2"/>
        <v>50</v>
      </c>
      <c r="N44" s="68">
        <f t="shared" si="5"/>
        <v>94.444444444444443</v>
      </c>
      <c r="O44" s="46">
        <v>35.869999999999997</v>
      </c>
      <c r="P44" s="47"/>
      <c r="Q44" s="47">
        <v>33.979999999999997</v>
      </c>
      <c r="R44" s="48">
        <f t="shared" si="4"/>
        <v>69.849999999999994</v>
      </c>
      <c r="S44" s="29">
        <v>3</v>
      </c>
      <c r="T44" s="286"/>
      <c r="U44" s="295"/>
      <c r="V44" s="38" t="s">
        <v>976</v>
      </c>
      <c r="W44" s="29" t="s">
        <v>115</v>
      </c>
      <c r="X44" s="29" t="s">
        <v>12</v>
      </c>
      <c r="Y44" s="39">
        <v>34</v>
      </c>
      <c r="Z44" s="29" t="s">
        <v>971</v>
      </c>
      <c r="AA44" s="29" t="s">
        <v>972</v>
      </c>
      <c r="AB44" s="29" t="s">
        <v>11</v>
      </c>
      <c r="AC44" s="29">
        <v>21.7</v>
      </c>
      <c r="AD44" s="38" t="s">
        <v>973</v>
      </c>
      <c r="AE44" s="29" t="s">
        <v>89</v>
      </c>
      <c r="AF44" s="29" t="s">
        <v>11</v>
      </c>
      <c r="AG44" s="39">
        <v>14.2</v>
      </c>
      <c r="AL44" s="38"/>
      <c r="AO44" s="39"/>
      <c r="AP44" s="38"/>
      <c r="AS44" s="39"/>
      <c r="AW44" s="39"/>
      <c r="BA44" s="40"/>
    </row>
    <row r="45" spans="1:53" s="29" customFormat="1" x14ac:dyDescent="0.15">
      <c r="A45" s="29">
        <v>2008</v>
      </c>
      <c r="B45" s="277"/>
      <c r="C45" s="411" t="s">
        <v>974</v>
      </c>
      <c r="D45" s="411"/>
      <c r="E45" s="87">
        <v>114</v>
      </c>
      <c r="G45" s="66">
        <v>8</v>
      </c>
      <c r="I45" s="29">
        <v>9</v>
      </c>
      <c r="J45" s="73">
        <v>18</v>
      </c>
      <c r="K45" s="47">
        <f t="shared" si="0"/>
        <v>44.444444444444443</v>
      </c>
      <c r="L45" s="47">
        <f t="shared" si="1"/>
        <v>0</v>
      </c>
      <c r="M45" s="47">
        <f t="shared" si="2"/>
        <v>50</v>
      </c>
      <c r="N45" s="68">
        <f t="shared" si="5"/>
        <v>94.444444444444443</v>
      </c>
      <c r="O45" s="46">
        <v>35.869999999999997</v>
      </c>
      <c r="P45" s="47"/>
      <c r="Q45" s="47">
        <v>33.979999999999997</v>
      </c>
      <c r="R45" s="48">
        <f t="shared" si="4"/>
        <v>69.849999999999994</v>
      </c>
      <c r="S45" s="29">
        <v>3</v>
      </c>
      <c r="T45" s="286"/>
      <c r="U45" s="295"/>
      <c r="V45" s="38" t="s">
        <v>976</v>
      </c>
      <c r="W45" s="29" t="s">
        <v>115</v>
      </c>
      <c r="X45" s="29" t="s">
        <v>12</v>
      </c>
      <c r="Y45" s="39">
        <v>34</v>
      </c>
      <c r="Z45" s="29" t="s">
        <v>971</v>
      </c>
      <c r="AA45" s="29" t="s">
        <v>972</v>
      </c>
      <c r="AB45" s="29" t="s">
        <v>11</v>
      </c>
      <c r="AC45" s="29">
        <v>21.7</v>
      </c>
      <c r="AD45" s="38" t="s">
        <v>973</v>
      </c>
      <c r="AE45" s="29" t="s">
        <v>89</v>
      </c>
      <c r="AF45" s="29" t="s">
        <v>11</v>
      </c>
      <c r="AG45" s="39">
        <v>14.2</v>
      </c>
      <c r="AL45" s="38"/>
      <c r="AO45" s="39"/>
      <c r="AP45" s="38"/>
      <c r="AS45" s="39"/>
      <c r="AW45" s="39"/>
      <c r="BA45" s="40"/>
    </row>
    <row r="46" spans="1:53" s="29" customFormat="1" x14ac:dyDescent="0.15">
      <c r="A46" s="29">
        <v>2008</v>
      </c>
      <c r="B46" s="303">
        <v>39562</v>
      </c>
      <c r="C46" s="411" t="s">
        <v>974</v>
      </c>
      <c r="D46" s="411"/>
      <c r="E46" s="87">
        <v>252</v>
      </c>
      <c r="F46" s="84">
        <v>0</v>
      </c>
      <c r="G46" s="66">
        <v>8</v>
      </c>
      <c r="I46" s="29">
        <v>10</v>
      </c>
      <c r="J46" s="73">
        <v>19</v>
      </c>
      <c r="K46" s="47">
        <f t="shared" si="0"/>
        <v>42.105263157894733</v>
      </c>
      <c r="L46" s="47">
        <f t="shared" si="1"/>
        <v>0</v>
      </c>
      <c r="M46" s="47">
        <f t="shared" si="2"/>
        <v>52.631578947368418</v>
      </c>
      <c r="N46" s="68">
        <f t="shared" si="5"/>
        <v>94.73684210526315</v>
      </c>
      <c r="O46" s="46">
        <v>35.869999999999997</v>
      </c>
      <c r="P46" s="47"/>
      <c r="Q46" s="47">
        <v>33.979999999999997</v>
      </c>
      <c r="R46" s="48">
        <f t="shared" si="4"/>
        <v>69.849999999999994</v>
      </c>
      <c r="S46" s="29">
        <v>3</v>
      </c>
      <c r="T46" s="286"/>
      <c r="U46" s="295"/>
      <c r="V46" s="38" t="s">
        <v>976</v>
      </c>
      <c r="W46" s="29" t="s">
        <v>115</v>
      </c>
      <c r="X46" s="29" t="s">
        <v>12</v>
      </c>
      <c r="Y46" s="39">
        <v>34</v>
      </c>
      <c r="Z46" s="29" t="s">
        <v>971</v>
      </c>
      <c r="AA46" s="29" t="s">
        <v>972</v>
      </c>
      <c r="AB46" s="29" t="s">
        <v>11</v>
      </c>
      <c r="AC46" s="29">
        <v>21.7</v>
      </c>
      <c r="AD46" s="38" t="s">
        <v>973</v>
      </c>
      <c r="AE46" s="29" t="s">
        <v>89</v>
      </c>
      <c r="AF46" s="29" t="s">
        <v>11</v>
      </c>
      <c r="AG46" s="39">
        <v>14.2</v>
      </c>
      <c r="AL46" s="38"/>
      <c r="AO46" s="39"/>
      <c r="AP46" s="38"/>
      <c r="AS46" s="39"/>
      <c r="AW46" s="39"/>
      <c r="BA46" s="40"/>
    </row>
    <row r="47" spans="1:53" s="29" customFormat="1" x14ac:dyDescent="0.15">
      <c r="A47" s="29">
        <v>2009</v>
      </c>
      <c r="B47" s="277"/>
      <c r="C47" s="411" t="s">
        <v>974</v>
      </c>
      <c r="D47" s="411"/>
      <c r="E47" s="87">
        <v>207</v>
      </c>
      <c r="G47" s="66">
        <v>8</v>
      </c>
      <c r="I47" s="29">
        <v>10</v>
      </c>
      <c r="J47" s="73">
        <v>19</v>
      </c>
      <c r="K47" s="47">
        <f t="shared" si="0"/>
        <v>42.105263157894733</v>
      </c>
      <c r="L47" s="47">
        <f t="shared" si="1"/>
        <v>0</v>
      </c>
      <c r="M47" s="47">
        <f t="shared" si="2"/>
        <v>52.631578947368418</v>
      </c>
      <c r="N47" s="68">
        <f t="shared" si="5"/>
        <v>94.73684210526315</v>
      </c>
      <c r="O47" s="46">
        <v>35.869999999999997</v>
      </c>
      <c r="P47" s="47"/>
      <c r="Q47" s="47">
        <v>33.979999999999997</v>
      </c>
      <c r="R47" s="48">
        <f t="shared" si="4"/>
        <v>69.849999999999994</v>
      </c>
      <c r="S47" s="29">
        <v>3</v>
      </c>
      <c r="T47" s="286"/>
      <c r="U47" s="295"/>
      <c r="V47" s="38" t="s">
        <v>976</v>
      </c>
      <c r="W47" s="29" t="s">
        <v>115</v>
      </c>
      <c r="X47" s="29" t="s">
        <v>12</v>
      </c>
      <c r="Y47" s="39">
        <v>34</v>
      </c>
      <c r="Z47" s="29" t="s">
        <v>971</v>
      </c>
      <c r="AA47" s="29" t="s">
        <v>972</v>
      </c>
      <c r="AB47" s="29" t="s">
        <v>11</v>
      </c>
      <c r="AC47" s="29">
        <v>21.7</v>
      </c>
      <c r="AD47" s="38" t="s">
        <v>973</v>
      </c>
      <c r="AE47" s="29" t="s">
        <v>89</v>
      </c>
      <c r="AF47" s="29" t="s">
        <v>11</v>
      </c>
      <c r="AG47" s="39">
        <v>14.2</v>
      </c>
      <c r="AL47" s="38"/>
      <c r="AO47" s="39"/>
      <c r="AP47" s="38"/>
      <c r="AS47" s="39"/>
      <c r="AW47" s="39"/>
      <c r="BA47" s="40"/>
    </row>
    <row r="48" spans="1:53" s="171" customFormat="1" x14ac:dyDescent="0.15">
      <c r="A48" s="171">
        <v>2009</v>
      </c>
      <c r="B48" s="306">
        <v>40021</v>
      </c>
      <c r="C48" s="410" t="s">
        <v>977</v>
      </c>
      <c r="D48" s="410"/>
      <c r="E48" s="246">
        <f>365-E47</f>
        <v>158</v>
      </c>
      <c r="F48" s="171">
        <v>1</v>
      </c>
      <c r="G48" s="233">
        <v>16</v>
      </c>
      <c r="J48" s="241">
        <v>17</v>
      </c>
      <c r="K48" s="214">
        <f t="shared" si="0"/>
        <v>94.117647058823522</v>
      </c>
      <c r="L48" s="214">
        <f t="shared" si="1"/>
        <v>0</v>
      </c>
      <c r="M48" s="214">
        <f t="shared" si="2"/>
        <v>0</v>
      </c>
      <c r="N48" s="235">
        <f t="shared" si="5"/>
        <v>94.117647058823522</v>
      </c>
      <c r="O48" s="213">
        <v>48.8</v>
      </c>
      <c r="P48" s="214"/>
      <c r="Q48" s="214"/>
      <c r="R48" s="215">
        <f t="shared" si="4"/>
        <v>48.8</v>
      </c>
      <c r="S48" s="171">
        <v>4</v>
      </c>
      <c r="T48" s="285">
        <v>39999</v>
      </c>
      <c r="U48" s="283">
        <v>40021</v>
      </c>
      <c r="V48" s="178" t="s">
        <v>978</v>
      </c>
      <c r="W48" s="171" t="s">
        <v>74</v>
      </c>
      <c r="X48" s="171" t="s">
        <v>11</v>
      </c>
      <c r="Y48" s="179">
        <v>48.8</v>
      </c>
      <c r="AD48" s="178"/>
      <c r="AG48" s="179"/>
      <c r="AL48" s="178"/>
      <c r="AO48" s="179"/>
      <c r="AP48" s="178"/>
      <c r="AS48" s="179"/>
      <c r="AW48" s="179"/>
      <c r="BA48" s="180"/>
    </row>
    <row r="49" spans="1:53" s="171" customFormat="1" x14ac:dyDescent="0.15">
      <c r="A49" s="171">
        <v>2010</v>
      </c>
      <c r="B49" s="306"/>
      <c r="C49" s="410" t="s">
        <v>977</v>
      </c>
      <c r="D49" s="410"/>
      <c r="E49" s="246">
        <v>76</v>
      </c>
      <c r="G49" s="233">
        <v>16</v>
      </c>
      <c r="J49" s="241">
        <v>17</v>
      </c>
      <c r="K49" s="214">
        <f>G49/J49*100</f>
        <v>94.117647058823522</v>
      </c>
      <c r="L49" s="214">
        <f>H49/J49*100</f>
        <v>0</v>
      </c>
      <c r="M49" s="214">
        <f>I49/J49*100</f>
        <v>0</v>
      </c>
      <c r="N49" s="235">
        <f t="shared" si="5"/>
        <v>94.117647058823522</v>
      </c>
      <c r="O49" s="213">
        <v>48.8</v>
      </c>
      <c r="P49" s="214"/>
      <c r="Q49" s="214"/>
      <c r="R49" s="215">
        <f t="shared" si="4"/>
        <v>48.8</v>
      </c>
      <c r="S49" s="171">
        <v>4</v>
      </c>
      <c r="T49" s="285"/>
      <c r="U49" s="283"/>
      <c r="V49" s="178" t="s">
        <v>978</v>
      </c>
      <c r="W49" s="171" t="s">
        <v>74</v>
      </c>
      <c r="X49" s="171" t="s">
        <v>11</v>
      </c>
      <c r="Y49" s="179">
        <v>48.8</v>
      </c>
      <c r="AD49" s="178"/>
      <c r="AG49" s="179"/>
      <c r="AL49" s="178"/>
      <c r="AO49" s="179"/>
      <c r="AP49" s="178"/>
      <c r="AS49" s="179"/>
      <c r="AW49" s="179"/>
      <c r="BA49" s="180"/>
    </row>
    <row r="50" spans="1:53" s="171" customFormat="1" x14ac:dyDescent="0.15">
      <c r="A50" s="171">
        <v>2010</v>
      </c>
      <c r="B50" s="305">
        <v>40255</v>
      </c>
      <c r="C50" s="410" t="s">
        <v>977</v>
      </c>
      <c r="D50" s="410"/>
      <c r="E50" s="246">
        <v>12</v>
      </c>
      <c r="F50" s="244">
        <v>0</v>
      </c>
      <c r="G50" s="233">
        <v>17</v>
      </c>
      <c r="J50" s="241">
        <v>18</v>
      </c>
      <c r="K50" s="214">
        <f>G50/J50*100</f>
        <v>94.444444444444443</v>
      </c>
      <c r="L50" s="214">
        <f>H50/J50*100</f>
        <v>0</v>
      </c>
      <c r="M50" s="214">
        <f>I50/J50*100</f>
        <v>0</v>
      </c>
      <c r="N50" s="235">
        <f t="shared" si="5"/>
        <v>94.444444444444443</v>
      </c>
      <c r="O50" s="213">
        <v>48.8</v>
      </c>
      <c r="P50" s="214"/>
      <c r="Q50" s="214"/>
      <c r="R50" s="215">
        <f t="shared" si="4"/>
        <v>48.8</v>
      </c>
      <c r="S50" s="171">
        <v>4</v>
      </c>
      <c r="T50" s="285"/>
      <c r="U50" s="283"/>
      <c r="V50" s="178" t="s">
        <v>978</v>
      </c>
      <c r="W50" s="171" t="s">
        <v>74</v>
      </c>
      <c r="X50" s="171" t="s">
        <v>11</v>
      </c>
      <c r="Y50" s="179">
        <v>48.8</v>
      </c>
      <c r="AD50" s="178"/>
      <c r="AG50" s="179"/>
      <c r="AL50" s="178"/>
      <c r="AO50" s="179"/>
      <c r="AP50" s="178"/>
      <c r="AS50" s="179"/>
      <c r="AW50" s="179"/>
      <c r="BA50" s="180"/>
    </row>
    <row r="51" spans="1:53" s="171" customFormat="1" x14ac:dyDescent="0.15">
      <c r="A51" s="171">
        <v>2010</v>
      </c>
      <c r="B51" s="305">
        <v>40267</v>
      </c>
      <c r="C51" s="410" t="s">
        <v>977</v>
      </c>
      <c r="D51" s="410"/>
      <c r="E51" s="246">
        <v>264</v>
      </c>
      <c r="F51" s="244">
        <v>0</v>
      </c>
      <c r="G51" s="233">
        <v>16</v>
      </c>
      <c r="J51" s="241">
        <v>18</v>
      </c>
      <c r="K51" s="214">
        <f t="shared" si="0"/>
        <v>88.888888888888886</v>
      </c>
      <c r="L51" s="214">
        <f t="shared" si="1"/>
        <v>0</v>
      </c>
      <c r="M51" s="214">
        <f t="shared" si="2"/>
        <v>0</v>
      </c>
      <c r="N51" s="235">
        <f t="shared" si="5"/>
        <v>88.888888888888886</v>
      </c>
      <c r="O51" s="213">
        <v>48.8</v>
      </c>
      <c r="P51" s="214"/>
      <c r="Q51" s="214"/>
      <c r="R51" s="215">
        <f t="shared" si="4"/>
        <v>48.8</v>
      </c>
      <c r="S51" s="171">
        <v>4</v>
      </c>
      <c r="T51" s="285"/>
      <c r="U51" s="283"/>
      <c r="V51" s="178" t="s">
        <v>978</v>
      </c>
      <c r="W51" s="171" t="s">
        <v>74</v>
      </c>
      <c r="X51" s="171" t="s">
        <v>11</v>
      </c>
      <c r="Y51" s="179">
        <v>48.8</v>
      </c>
      <c r="AD51" s="178"/>
      <c r="AG51" s="179"/>
      <c r="AL51" s="178"/>
      <c r="AO51" s="179"/>
      <c r="AP51" s="178"/>
      <c r="AS51" s="179"/>
      <c r="AW51" s="179"/>
      <c r="BA51" s="180"/>
    </row>
    <row r="52" spans="1:53" s="171" customFormat="1" x14ac:dyDescent="0.15">
      <c r="A52" s="171">
        <v>2010</v>
      </c>
      <c r="B52" s="305">
        <v>40531</v>
      </c>
      <c r="C52" s="410" t="s">
        <v>977</v>
      </c>
      <c r="D52" s="410"/>
      <c r="E52" s="246">
        <v>13</v>
      </c>
      <c r="F52" s="244">
        <v>0</v>
      </c>
      <c r="G52" s="233">
        <v>15</v>
      </c>
      <c r="J52" s="241">
        <v>17</v>
      </c>
      <c r="K52" s="214">
        <f t="shared" si="0"/>
        <v>88.235294117647058</v>
      </c>
      <c r="L52" s="214">
        <f t="shared" si="1"/>
        <v>0</v>
      </c>
      <c r="M52" s="214">
        <f t="shared" si="2"/>
        <v>0</v>
      </c>
      <c r="N52" s="235">
        <f t="shared" si="5"/>
        <v>88.235294117647058</v>
      </c>
      <c r="O52" s="213">
        <v>48.8</v>
      </c>
      <c r="P52" s="214"/>
      <c r="Q52" s="214"/>
      <c r="R52" s="215">
        <f t="shared" si="4"/>
        <v>48.8</v>
      </c>
      <c r="S52" s="171">
        <v>4</v>
      </c>
      <c r="T52" s="285"/>
      <c r="U52" s="283"/>
      <c r="V52" s="178" t="s">
        <v>978</v>
      </c>
      <c r="W52" s="171" t="s">
        <v>74</v>
      </c>
      <c r="X52" s="171" t="s">
        <v>11</v>
      </c>
      <c r="Y52" s="179">
        <v>48.8</v>
      </c>
      <c r="AD52" s="178"/>
      <c r="AG52" s="179"/>
      <c r="AL52" s="178"/>
      <c r="AO52" s="179"/>
      <c r="AP52" s="178"/>
      <c r="AS52" s="179"/>
      <c r="AW52" s="179"/>
      <c r="BA52" s="180"/>
    </row>
    <row r="53" spans="1:53" s="171" customFormat="1" x14ac:dyDescent="0.15">
      <c r="A53" s="171">
        <v>2011</v>
      </c>
      <c r="B53" s="305"/>
      <c r="C53" s="410" t="s">
        <v>977</v>
      </c>
      <c r="D53" s="410"/>
      <c r="E53" s="246">
        <v>0</v>
      </c>
      <c r="G53" s="233">
        <v>15</v>
      </c>
      <c r="J53" s="241">
        <v>17</v>
      </c>
      <c r="K53" s="214">
        <f t="shared" ref="K53:K60" si="6">G53/J53*100</f>
        <v>88.235294117647058</v>
      </c>
      <c r="L53" s="214">
        <f t="shared" ref="L53:L60" si="7">H53/J53*100</f>
        <v>0</v>
      </c>
      <c r="M53" s="214">
        <f t="shared" ref="M53:M60" si="8">I53/J53*100</f>
        <v>0</v>
      </c>
      <c r="N53" s="235">
        <f t="shared" si="5"/>
        <v>88.235294117647058</v>
      </c>
      <c r="O53" s="213">
        <v>48.8</v>
      </c>
      <c r="P53" s="214"/>
      <c r="Q53" s="214"/>
      <c r="R53" s="215">
        <f t="shared" si="4"/>
        <v>48.8</v>
      </c>
      <c r="S53" s="171">
        <v>4</v>
      </c>
      <c r="T53" s="285"/>
      <c r="U53" s="283"/>
      <c r="V53" s="178" t="s">
        <v>978</v>
      </c>
      <c r="W53" s="171" t="s">
        <v>74</v>
      </c>
      <c r="X53" s="171" t="s">
        <v>11</v>
      </c>
      <c r="Y53" s="179">
        <v>48.8</v>
      </c>
      <c r="AD53" s="178"/>
      <c r="AG53" s="179"/>
      <c r="AL53" s="178"/>
      <c r="AO53" s="179"/>
      <c r="AP53" s="178"/>
      <c r="AS53" s="179"/>
      <c r="AW53" s="179"/>
      <c r="BA53" s="180"/>
    </row>
    <row r="54" spans="1:53" s="171" customFormat="1" x14ac:dyDescent="0.15">
      <c r="A54" s="171">
        <v>2011</v>
      </c>
      <c r="B54" s="305"/>
      <c r="C54" s="410" t="s">
        <v>977</v>
      </c>
      <c r="D54" s="410"/>
      <c r="E54" s="246">
        <v>365</v>
      </c>
      <c r="F54" s="244"/>
      <c r="G54" s="233">
        <v>15</v>
      </c>
      <c r="J54" s="241">
        <v>17</v>
      </c>
      <c r="K54" s="214">
        <f t="shared" si="6"/>
        <v>88.235294117647058</v>
      </c>
      <c r="L54" s="214">
        <f t="shared" si="7"/>
        <v>0</v>
      </c>
      <c r="M54" s="214">
        <f t="shared" si="8"/>
        <v>0</v>
      </c>
      <c r="N54" s="235">
        <f t="shared" si="5"/>
        <v>88.235294117647058</v>
      </c>
      <c r="O54" s="213">
        <v>48.8</v>
      </c>
      <c r="P54" s="214"/>
      <c r="Q54" s="214"/>
      <c r="R54" s="215">
        <f t="shared" si="4"/>
        <v>48.8</v>
      </c>
      <c r="S54" s="171">
        <v>4</v>
      </c>
      <c r="T54" s="285"/>
      <c r="U54" s="283"/>
      <c r="V54" s="178" t="s">
        <v>978</v>
      </c>
      <c r="W54" s="171" t="s">
        <v>74</v>
      </c>
      <c r="X54" s="171" t="s">
        <v>11</v>
      </c>
      <c r="Y54" s="179">
        <v>48.8</v>
      </c>
      <c r="AD54" s="178"/>
      <c r="AG54" s="179"/>
      <c r="AL54" s="178"/>
      <c r="AO54" s="179"/>
      <c r="AP54" s="178"/>
      <c r="AS54" s="179"/>
      <c r="AW54" s="179"/>
      <c r="BA54" s="180"/>
    </row>
    <row r="55" spans="1:53" s="171" customFormat="1" x14ac:dyDescent="0.15">
      <c r="A55" s="171">
        <v>2012</v>
      </c>
      <c r="B55" s="305"/>
      <c r="C55" s="410" t="s">
        <v>977</v>
      </c>
      <c r="D55" s="410"/>
      <c r="E55" s="246">
        <v>80</v>
      </c>
      <c r="F55" s="180"/>
      <c r="G55" s="171">
        <v>15</v>
      </c>
      <c r="J55" s="241">
        <v>17</v>
      </c>
      <c r="K55" s="214">
        <f t="shared" si="6"/>
        <v>88.235294117647058</v>
      </c>
      <c r="L55" s="214">
        <f t="shared" si="7"/>
        <v>0</v>
      </c>
      <c r="M55" s="214">
        <f t="shared" si="8"/>
        <v>0</v>
      </c>
      <c r="N55" s="235">
        <f t="shared" si="5"/>
        <v>88.235294117647058</v>
      </c>
      <c r="O55" s="213">
        <v>48.8</v>
      </c>
      <c r="P55" s="214"/>
      <c r="Q55" s="214"/>
      <c r="R55" s="215">
        <f t="shared" si="4"/>
        <v>48.8</v>
      </c>
      <c r="S55" s="171">
        <v>4</v>
      </c>
      <c r="T55" s="285"/>
      <c r="U55" s="283"/>
      <c r="V55" s="178" t="s">
        <v>978</v>
      </c>
      <c r="W55" s="171" t="s">
        <v>74</v>
      </c>
      <c r="X55" s="171" t="s">
        <v>11</v>
      </c>
      <c r="Y55" s="179">
        <v>48.8</v>
      </c>
      <c r="AD55" s="178"/>
      <c r="AG55" s="179"/>
      <c r="AL55" s="178"/>
      <c r="AO55" s="179"/>
      <c r="AP55" s="178"/>
      <c r="AS55" s="179"/>
      <c r="AW55" s="179"/>
      <c r="BA55" s="180"/>
    </row>
    <row r="56" spans="1:53" s="171" customFormat="1" x14ac:dyDescent="0.15">
      <c r="A56" s="171">
        <v>2012</v>
      </c>
      <c r="B56" s="305">
        <v>40989</v>
      </c>
      <c r="C56" s="410" t="s">
        <v>977</v>
      </c>
      <c r="D56" s="410"/>
      <c r="E56" s="246">
        <v>286</v>
      </c>
      <c r="F56" s="247">
        <v>0</v>
      </c>
      <c r="G56" s="171">
        <v>16</v>
      </c>
      <c r="J56" s="241">
        <v>17</v>
      </c>
      <c r="K56" s="214">
        <f t="shared" si="6"/>
        <v>94.117647058823522</v>
      </c>
      <c r="L56" s="214">
        <f t="shared" si="7"/>
        <v>0</v>
      </c>
      <c r="M56" s="214">
        <f t="shared" si="8"/>
        <v>0</v>
      </c>
      <c r="N56" s="235">
        <f t="shared" si="5"/>
        <v>94.117647058823522</v>
      </c>
      <c r="O56" s="213">
        <v>48.8</v>
      </c>
      <c r="P56" s="214"/>
      <c r="Q56" s="214"/>
      <c r="R56" s="215">
        <f t="shared" si="4"/>
        <v>48.8</v>
      </c>
      <c r="S56" s="171">
        <v>4</v>
      </c>
      <c r="T56" s="285"/>
      <c r="U56" s="283"/>
      <c r="V56" s="178" t="s">
        <v>978</v>
      </c>
      <c r="W56" s="171" t="s">
        <v>74</v>
      </c>
      <c r="X56" s="171" t="s">
        <v>11</v>
      </c>
      <c r="Y56" s="179">
        <v>48.8</v>
      </c>
      <c r="AD56" s="178"/>
      <c r="AG56" s="179"/>
      <c r="AL56" s="178"/>
      <c r="AO56" s="179"/>
      <c r="AP56" s="178"/>
      <c r="AS56" s="179"/>
      <c r="AW56" s="179"/>
      <c r="BA56" s="180"/>
    </row>
    <row r="57" spans="1:53" s="171" customFormat="1" x14ac:dyDescent="0.15">
      <c r="A57" s="171">
        <v>2013</v>
      </c>
      <c r="B57" s="305"/>
      <c r="C57" s="410" t="s">
        <v>977</v>
      </c>
      <c r="D57" s="410"/>
      <c r="E57" s="246">
        <v>36</v>
      </c>
      <c r="F57" s="247"/>
      <c r="G57" s="171">
        <v>16</v>
      </c>
      <c r="J57" s="241">
        <v>17</v>
      </c>
      <c r="K57" s="214">
        <f t="shared" si="6"/>
        <v>94.117647058823522</v>
      </c>
      <c r="L57" s="214">
        <f t="shared" si="7"/>
        <v>0</v>
      </c>
      <c r="M57" s="214">
        <f t="shared" si="8"/>
        <v>0</v>
      </c>
      <c r="N57" s="235">
        <f t="shared" si="5"/>
        <v>94.117647058823522</v>
      </c>
      <c r="O57" s="213">
        <v>48.8</v>
      </c>
      <c r="P57" s="214"/>
      <c r="Q57" s="214"/>
      <c r="R57" s="215">
        <f t="shared" ref="R57:R64" si="9">SUM(O57:Q57)</f>
        <v>48.8</v>
      </c>
      <c r="S57" s="171">
        <v>4</v>
      </c>
      <c r="T57" s="285"/>
      <c r="U57" s="283"/>
      <c r="V57" s="178" t="s">
        <v>978</v>
      </c>
      <c r="W57" s="171" t="s">
        <v>74</v>
      </c>
      <c r="X57" s="171" t="s">
        <v>11</v>
      </c>
      <c r="Y57" s="179">
        <v>48.8</v>
      </c>
      <c r="AD57" s="178"/>
      <c r="AG57" s="179"/>
      <c r="AL57" s="178"/>
      <c r="AO57" s="179"/>
      <c r="AP57" s="178"/>
      <c r="AS57" s="179"/>
      <c r="AW57" s="179"/>
      <c r="BA57" s="180"/>
    </row>
    <row r="58" spans="1:53" s="171" customFormat="1" x14ac:dyDescent="0.15">
      <c r="A58" s="171">
        <v>2013</v>
      </c>
      <c r="B58" s="305">
        <v>41311</v>
      </c>
      <c r="C58" s="410" t="s">
        <v>977</v>
      </c>
      <c r="D58" s="410"/>
      <c r="E58" s="246">
        <v>35</v>
      </c>
      <c r="F58" s="247">
        <v>0</v>
      </c>
      <c r="G58" s="171">
        <v>15</v>
      </c>
      <c r="J58" s="241">
        <v>17</v>
      </c>
      <c r="K58" s="214">
        <f t="shared" si="6"/>
        <v>88.235294117647058</v>
      </c>
      <c r="L58" s="214">
        <f t="shared" si="7"/>
        <v>0</v>
      </c>
      <c r="M58" s="214">
        <f t="shared" si="8"/>
        <v>0</v>
      </c>
      <c r="N58" s="235">
        <f t="shared" si="5"/>
        <v>88.235294117647058</v>
      </c>
      <c r="O58" s="213">
        <v>48.8</v>
      </c>
      <c r="P58" s="214"/>
      <c r="Q58" s="214"/>
      <c r="R58" s="215">
        <f t="shared" si="9"/>
        <v>48.8</v>
      </c>
      <c r="S58" s="171">
        <v>4</v>
      </c>
      <c r="T58" s="285"/>
      <c r="U58" s="283"/>
      <c r="V58" s="178" t="s">
        <v>978</v>
      </c>
      <c r="W58" s="171" t="s">
        <v>74</v>
      </c>
      <c r="X58" s="171" t="s">
        <v>11</v>
      </c>
      <c r="Y58" s="179">
        <v>48.8</v>
      </c>
      <c r="AD58" s="178"/>
      <c r="AG58" s="179"/>
      <c r="AL58" s="178"/>
      <c r="AO58" s="179"/>
      <c r="AP58" s="178"/>
      <c r="AS58" s="179"/>
      <c r="AW58" s="179"/>
      <c r="BA58" s="180"/>
    </row>
    <row r="59" spans="1:53" s="29" customFormat="1" x14ac:dyDescent="0.15">
      <c r="A59" s="29">
        <v>2013</v>
      </c>
      <c r="B59" s="277">
        <v>41346</v>
      </c>
      <c r="C59" s="411" t="s">
        <v>1239</v>
      </c>
      <c r="D59" s="411"/>
      <c r="E59" s="87">
        <v>77</v>
      </c>
      <c r="F59" s="29">
        <v>2</v>
      </c>
      <c r="G59" s="66"/>
      <c r="J59" s="73">
        <v>17</v>
      </c>
      <c r="K59" s="47">
        <f t="shared" si="6"/>
        <v>0</v>
      </c>
      <c r="L59" s="47">
        <f t="shared" si="7"/>
        <v>0</v>
      </c>
      <c r="M59" s="47">
        <f t="shared" si="8"/>
        <v>0</v>
      </c>
      <c r="N59" s="68">
        <f t="shared" si="5"/>
        <v>0</v>
      </c>
      <c r="O59" s="46">
        <v>0</v>
      </c>
      <c r="P59" s="47">
        <v>0</v>
      </c>
      <c r="Q59" s="47">
        <v>0</v>
      </c>
      <c r="R59" s="48">
        <f t="shared" si="9"/>
        <v>0</v>
      </c>
      <c r="S59" s="29">
        <v>6</v>
      </c>
      <c r="T59" s="286"/>
      <c r="U59" s="295">
        <v>41346</v>
      </c>
      <c r="V59" s="89" t="s">
        <v>797</v>
      </c>
      <c r="Y59" s="39"/>
      <c r="AD59" s="38"/>
      <c r="AG59" s="39"/>
      <c r="AL59" s="38"/>
      <c r="AO59" s="39"/>
      <c r="AP59" s="38"/>
      <c r="AS59" s="39"/>
      <c r="AW59" s="39"/>
      <c r="BA59" s="40"/>
    </row>
    <row r="60" spans="1:53" s="171" customFormat="1" x14ac:dyDescent="0.15">
      <c r="A60" s="171">
        <v>2013</v>
      </c>
      <c r="B60" s="306">
        <v>41423</v>
      </c>
      <c r="C60" s="410" t="s">
        <v>1240</v>
      </c>
      <c r="D60" s="410"/>
      <c r="E60" s="246">
        <v>29</v>
      </c>
      <c r="F60" s="171">
        <v>1</v>
      </c>
      <c r="G60" s="233">
        <v>2</v>
      </c>
      <c r="I60" s="171">
        <v>4</v>
      </c>
      <c r="J60" s="241">
        <v>17</v>
      </c>
      <c r="K60" s="214">
        <f t="shared" si="6"/>
        <v>11.76470588235294</v>
      </c>
      <c r="L60" s="214">
        <f t="shared" si="7"/>
        <v>0</v>
      </c>
      <c r="M60" s="214">
        <f t="shared" si="8"/>
        <v>23.52941176470588</v>
      </c>
      <c r="N60" s="235">
        <f t="shared" si="5"/>
        <v>35.294117647058819</v>
      </c>
      <c r="O60" s="213">
        <v>15</v>
      </c>
      <c r="P60" s="214"/>
      <c r="Q60" s="214">
        <v>35</v>
      </c>
      <c r="R60" s="215">
        <f t="shared" si="9"/>
        <v>50</v>
      </c>
      <c r="S60" s="171">
        <v>5</v>
      </c>
      <c r="T60" s="285">
        <v>41406</v>
      </c>
      <c r="U60" s="283">
        <v>41423</v>
      </c>
      <c r="V60" s="178" t="s">
        <v>976</v>
      </c>
      <c r="W60" s="171" t="s">
        <v>115</v>
      </c>
      <c r="X60" s="171" t="s">
        <v>12</v>
      </c>
      <c r="Y60" s="179">
        <v>35</v>
      </c>
      <c r="Z60" s="171" t="s">
        <v>973</v>
      </c>
      <c r="AA60" s="171" t="s">
        <v>89</v>
      </c>
      <c r="AB60" s="171" t="s">
        <v>11</v>
      </c>
      <c r="AC60" s="171">
        <v>15</v>
      </c>
      <c r="AD60" s="178"/>
      <c r="AG60" s="179"/>
      <c r="AL60" s="178"/>
      <c r="AO60" s="179"/>
      <c r="AP60" s="178"/>
      <c r="AS60" s="179"/>
      <c r="AW60" s="179"/>
      <c r="BA60" s="180"/>
    </row>
    <row r="61" spans="1:53" s="171" customFormat="1" x14ac:dyDescent="0.15">
      <c r="A61" s="171">
        <v>2013</v>
      </c>
      <c r="B61" s="305">
        <v>41452</v>
      </c>
      <c r="C61" s="410" t="s">
        <v>1240</v>
      </c>
      <c r="D61" s="410"/>
      <c r="E61" s="246">
        <f>365-E60-E59-E58-E57</f>
        <v>188</v>
      </c>
      <c r="F61" s="244">
        <v>0</v>
      </c>
      <c r="G61" s="233">
        <v>2</v>
      </c>
      <c r="I61" s="171">
        <v>4</v>
      </c>
      <c r="J61" s="241">
        <v>18</v>
      </c>
      <c r="K61" s="214">
        <f t="shared" ref="K61:K67" si="10">G61/J61*100</f>
        <v>11.111111111111111</v>
      </c>
      <c r="L61" s="214">
        <f t="shared" ref="L61:L67" si="11">H61/J61*100</f>
        <v>0</v>
      </c>
      <c r="M61" s="214">
        <f t="shared" ref="M61:M67" si="12">I61/J61*100</f>
        <v>22.222222222222221</v>
      </c>
      <c r="N61" s="235">
        <f t="shared" ref="N61:N66" si="13">SUM(K61:M61)</f>
        <v>33.333333333333329</v>
      </c>
      <c r="O61" s="213">
        <v>15</v>
      </c>
      <c r="P61" s="214"/>
      <c r="Q61" s="214">
        <v>35</v>
      </c>
      <c r="R61" s="215">
        <f t="shared" si="9"/>
        <v>50</v>
      </c>
      <c r="S61" s="171">
        <v>5</v>
      </c>
      <c r="T61" s="285"/>
      <c r="U61" s="283"/>
      <c r="V61" s="178" t="s">
        <v>976</v>
      </c>
      <c r="W61" s="171" t="s">
        <v>115</v>
      </c>
      <c r="X61" s="171" t="s">
        <v>12</v>
      </c>
      <c r="Y61" s="179">
        <v>35</v>
      </c>
      <c r="Z61" s="171" t="s">
        <v>973</v>
      </c>
      <c r="AA61" s="171" t="s">
        <v>89</v>
      </c>
      <c r="AB61" s="171" t="s">
        <v>11</v>
      </c>
      <c r="AC61" s="171">
        <v>15</v>
      </c>
      <c r="AD61" s="178"/>
      <c r="AG61" s="179"/>
      <c r="AL61" s="178"/>
      <c r="AO61" s="179"/>
      <c r="AP61" s="178"/>
      <c r="AS61" s="179"/>
      <c r="AW61" s="179"/>
      <c r="BA61" s="180"/>
    </row>
    <row r="62" spans="1:53" s="171" customFormat="1" x14ac:dyDescent="0.15">
      <c r="A62" s="171">
        <v>2014</v>
      </c>
      <c r="B62" s="306"/>
      <c r="C62" s="410" t="s">
        <v>1240</v>
      </c>
      <c r="D62" s="410"/>
      <c r="E62" s="246">
        <v>217</v>
      </c>
      <c r="G62" s="233">
        <v>2</v>
      </c>
      <c r="I62" s="171">
        <v>4</v>
      </c>
      <c r="J62" s="241">
        <v>18</v>
      </c>
      <c r="K62" s="214">
        <f t="shared" si="10"/>
        <v>11.111111111111111</v>
      </c>
      <c r="L62" s="214">
        <f t="shared" si="11"/>
        <v>0</v>
      </c>
      <c r="M62" s="214">
        <f t="shared" si="12"/>
        <v>22.222222222222221</v>
      </c>
      <c r="N62" s="235">
        <f t="shared" si="13"/>
        <v>33.333333333333329</v>
      </c>
      <c r="O62" s="213">
        <v>15</v>
      </c>
      <c r="P62" s="214"/>
      <c r="Q62" s="214">
        <v>35</v>
      </c>
      <c r="R62" s="215">
        <f t="shared" si="9"/>
        <v>50</v>
      </c>
      <c r="S62" s="171">
        <v>5</v>
      </c>
      <c r="T62" s="285"/>
      <c r="U62" s="283"/>
      <c r="V62" s="178" t="s">
        <v>976</v>
      </c>
      <c r="W62" s="171" t="s">
        <v>115</v>
      </c>
      <c r="X62" s="171" t="s">
        <v>12</v>
      </c>
      <c r="Y62" s="179">
        <v>35</v>
      </c>
      <c r="Z62" s="171" t="s">
        <v>973</v>
      </c>
      <c r="AA62" s="171" t="s">
        <v>89</v>
      </c>
      <c r="AB62" s="171" t="s">
        <v>11</v>
      </c>
      <c r="AC62" s="171">
        <v>15</v>
      </c>
      <c r="AD62" s="178"/>
      <c r="AG62" s="179"/>
      <c r="AL62" s="178"/>
      <c r="AO62" s="179"/>
      <c r="AP62" s="178"/>
      <c r="AS62" s="179"/>
      <c r="AW62" s="179"/>
      <c r="BA62" s="180"/>
    </row>
    <row r="63" spans="1:53" s="29" customFormat="1" x14ac:dyDescent="0.15">
      <c r="A63" s="29">
        <v>2014</v>
      </c>
      <c r="B63" s="277"/>
      <c r="C63" s="411" t="s">
        <v>1280</v>
      </c>
      <c r="D63" s="411"/>
      <c r="E63" s="87">
        <v>93</v>
      </c>
      <c r="F63" s="29">
        <v>2</v>
      </c>
      <c r="G63" s="66"/>
      <c r="J63" s="73">
        <v>17</v>
      </c>
      <c r="K63" s="47">
        <f t="shared" si="10"/>
        <v>0</v>
      </c>
      <c r="L63" s="47">
        <f t="shared" si="11"/>
        <v>0</v>
      </c>
      <c r="M63" s="47">
        <f t="shared" si="12"/>
        <v>0</v>
      </c>
      <c r="N63" s="68">
        <f t="shared" si="13"/>
        <v>0</v>
      </c>
      <c r="O63" s="46">
        <v>0</v>
      </c>
      <c r="P63" s="47">
        <v>0</v>
      </c>
      <c r="Q63" s="47">
        <v>0</v>
      </c>
      <c r="R63" s="48">
        <f t="shared" si="9"/>
        <v>0</v>
      </c>
      <c r="S63" s="29">
        <v>6</v>
      </c>
      <c r="T63" s="286"/>
      <c r="U63" s="295">
        <v>41857</v>
      </c>
      <c r="V63" s="89" t="s">
        <v>797</v>
      </c>
      <c r="Y63" s="39"/>
      <c r="AD63" s="38"/>
      <c r="AG63" s="39"/>
      <c r="AL63" s="38"/>
      <c r="AO63" s="39"/>
      <c r="AP63" s="38"/>
      <c r="AS63" s="39"/>
      <c r="AW63" s="39"/>
      <c r="BA63" s="40"/>
    </row>
    <row r="64" spans="1:53" s="171" customFormat="1" x14ac:dyDescent="0.15">
      <c r="A64" s="171">
        <v>2014</v>
      </c>
      <c r="B64" s="306">
        <v>41950</v>
      </c>
      <c r="C64" s="410" t="s">
        <v>1281</v>
      </c>
      <c r="D64" s="410"/>
      <c r="E64" s="246">
        <v>55</v>
      </c>
      <c r="F64" s="171">
        <v>1</v>
      </c>
      <c r="G64" s="233">
        <v>19</v>
      </c>
      <c r="I64" s="171">
        <v>1</v>
      </c>
      <c r="J64" s="241">
        <v>20</v>
      </c>
      <c r="K64" s="214">
        <f t="shared" si="10"/>
        <v>95</v>
      </c>
      <c r="L64" s="214">
        <f t="shared" si="11"/>
        <v>0</v>
      </c>
      <c r="M64" s="214">
        <f t="shared" si="12"/>
        <v>5</v>
      </c>
      <c r="N64" s="235">
        <f t="shared" si="13"/>
        <v>100</v>
      </c>
      <c r="O64" s="213">
        <v>44.6</v>
      </c>
      <c r="P64" s="214"/>
      <c r="Q64" s="214">
        <v>4.5999999999999996</v>
      </c>
      <c r="R64" s="215">
        <f t="shared" si="9"/>
        <v>49.2</v>
      </c>
      <c r="S64" s="171">
        <v>5</v>
      </c>
      <c r="T64" s="285">
        <v>41917</v>
      </c>
      <c r="U64" s="283">
        <v>41950</v>
      </c>
      <c r="V64" s="178" t="s">
        <v>978</v>
      </c>
      <c r="W64" s="171" t="s">
        <v>74</v>
      </c>
      <c r="X64" s="171" t="s">
        <v>11</v>
      </c>
      <c r="Y64" s="179">
        <v>35</v>
      </c>
      <c r="Z64" s="171" t="s">
        <v>1282</v>
      </c>
      <c r="AA64" s="171" t="s">
        <v>79</v>
      </c>
      <c r="AB64" s="171" t="s">
        <v>11</v>
      </c>
      <c r="AC64" s="171">
        <v>9.6</v>
      </c>
      <c r="AD64" s="178" t="s">
        <v>1283</v>
      </c>
      <c r="AE64" s="171" t="s">
        <v>304</v>
      </c>
      <c r="AF64" s="171" t="s">
        <v>12</v>
      </c>
      <c r="AG64" s="179">
        <v>4.5999999999999996</v>
      </c>
      <c r="AL64" s="178"/>
      <c r="AO64" s="179"/>
      <c r="AP64" s="178"/>
      <c r="AS64" s="179"/>
      <c r="AW64" s="179"/>
      <c r="BA64" s="180"/>
    </row>
    <row r="65" spans="1:53" s="171" customFormat="1" x14ac:dyDescent="0.15">
      <c r="A65" s="171">
        <v>2015</v>
      </c>
      <c r="B65" s="306"/>
      <c r="C65" s="410" t="s">
        <v>1281</v>
      </c>
      <c r="D65" s="410"/>
      <c r="E65" s="246">
        <v>351</v>
      </c>
      <c r="G65" s="233">
        <v>19</v>
      </c>
      <c r="I65" s="171">
        <v>1</v>
      </c>
      <c r="J65" s="241">
        <v>20</v>
      </c>
      <c r="K65" s="214">
        <f t="shared" si="10"/>
        <v>95</v>
      </c>
      <c r="L65" s="214">
        <f t="shared" si="11"/>
        <v>0</v>
      </c>
      <c r="M65" s="214">
        <f t="shared" si="12"/>
        <v>5</v>
      </c>
      <c r="N65" s="235">
        <f t="shared" si="13"/>
        <v>100</v>
      </c>
      <c r="O65" s="213">
        <v>44.6</v>
      </c>
      <c r="P65" s="214"/>
      <c r="Q65" s="214">
        <v>4.5999999999999996</v>
      </c>
      <c r="R65" s="215">
        <f t="shared" ref="R65" si="14">SUM(O65:Q65)</f>
        <v>49.2</v>
      </c>
      <c r="S65" s="171">
        <v>5</v>
      </c>
      <c r="T65" s="285"/>
      <c r="U65" s="283"/>
      <c r="V65" s="178" t="s">
        <v>978</v>
      </c>
      <c r="W65" s="171" t="s">
        <v>74</v>
      </c>
      <c r="X65" s="171" t="s">
        <v>11</v>
      </c>
      <c r="Y65" s="179">
        <v>35</v>
      </c>
      <c r="Z65" s="171" t="s">
        <v>1282</v>
      </c>
      <c r="AA65" s="171" t="s">
        <v>79</v>
      </c>
      <c r="AB65" s="171" t="s">
        <v>11</v>
      </c>
      <c r="AC65" s="171">
        <v>9.6</v>
      </c>
      <c r="AD65" s="178" t="s">
        <v>1283</v>
      </c>
      <c r="AE65" s="171" t="s">
        <v>304</v>
      </c>
      <c r="AF65" s="171" t="s">
        <v>12</v>
      </c>
      <c r="AG65" s="179">
        <v>4.5999999999999996</v>
      </c>
      <c r="AL65" s="178"/>
      <c r="AO65" s="179"/>
      <c r="AP65" s="178"/>
      <c r="AS65" s="179"/>
      <c r="AW65" s="179"/>
      <c r="BA65" s="180"/>
    </row>
    <row r="66" spans="1:53" s="171" customFormat="1" x14ac:dyDescent="0.15">
      <c r="A66" s="171">
        <v>2015</v>
      </c>
      <c r="B66" s="305">
        <v>42356</v>
      </c>
      <c r="C66" s="410" t="s">
        <v>1281</v>
      </c>
      <c r="D66" s="410"/>
      <c r="E66" s="246">
        <v>14</v>
      </c>
      <c r="F66" s="244">
        <v>0</v>
      </c>
      <c r="G66" s="233">
        <v>18</v>
      </c>
      <c r="I66" s="171">
        <v>1</v>
      </c>
      <c r="J66" s="241">
        <v>20</v>
      </c>
      <c r="K66" s="214">
        <f t="shared" si="10"/>
        <v>90</v>
      </c>
      <c r="L66" s="214">
        <f t="shared" si="11"/>
        <v>0</v>
      </c>
      <c r="M66" s="214">
        <f t="shared" si="12"/>
        <v>5</v>
      </c>
      <c r="N66" s="235">
        <f t="shared" si="13"/>
        <v>95</v>
      </c>
      <c r="O66" s="213">
        <v>44.6</v>
      </c>
      <c r="P66" s="214"/>
      <c r="Q66" s="214">
        <v>4.5999999999999996</v>
      </c>
      <c r="R66" s="215">
        <f>SUM(O66:Q66)</f>
        <v>49.2</v>
      </c>
      <c r="S66" s="171">
        <v>5</v>
      </c>
      <c r="T66" s="285"/>
      <c r="U66" s="283"/>
      <c r="V66" s="178" t="s">
        <v>978</v>
      </c>
      <c r="W66" s="171" t="s">
        <v>74</v>
      </c>
      <c r="X66" s="171" t="s">
        <v>11</v>
      </c>
      <c r="Y66" s="179">
        <v>35</v>
      </c>
      <c r="Z66" s="171" t="s">
        <v>1282</v>
      </c>
      <c r="AA66" s="171" t="s">
        <v>79</v>
      </c>
      <c r="AB66" s="171" t="s">
        <v>11</v>
      </c>
      <c r="AC66" s="171">
        <v>9.6</v>
      </c>
      <c r="AD66" s="178" t="s">
        <v>1283</v>
      </c>
      <c r="AE66" s="171" t="s">
        <v>304</v>
      </c>
      <c r="AF66" s="171" t="s">
        <v>12</v>
      </c>
      <c r="AG66" s="179">
        <v>4.5999999999999996</v>
      </c>
      <c r="AL66" s="178"/>
      <c r="AO66" s="179"/>
      <c r="AP66" s="178"/>
      <c r="AS66" s="179"/>
      <c r="AW66" s="179"/>
      <c r="BA66" s="180"/>
    </row>
    <row r="67" spans="1:53" s="171" customFormat="1" x14ac:dyDescent="0.15">
      <c r="A67" s="171">
        <v>2016</v>
      </c>
      <c r="B67" s="283"/>
      <c r="C67" s="410" t="s">
        <v>1281</v>
      </c>
      <c r="D67" s="410"/>
      <c r="E67" s="246">
        <v>77</v>
      </c>
      <c r="F67" s="244"/>
      <c r="G67" s="233">
        <v>18</v>
      </c>
      <c r="I67" s="171">
        <v>1</v>
      </c>
      <c r="J67" s="241">
        <v>20</v>
      </c>
      <c r="K67" s="213">
        <f t="shared" si="10"/>
        <v>90</v>
      </c>
      <c r="L67" s="214">
        <f t="shared" si="11"/>
        <v>0</v>
      </c>
      <c r="M67" s="214">
        <f t="shared" si="12"/>
        <v>5</v>
      </c>
      <c r="N67" s="215">
        <f>SUM(K67:M67)</f>
        <v>95</v>
      </c>
      <c r="O67" s="213">
        <v>44.6</v>
      </c>
      <c r="P67" s="214"/>
      <c r="Q67" s="214">
        <v>4.5999999999999996</v>
      </c>
      <c r="R67" s="215">
        <f t="shared" ref="R67:R71" si="15">SUM(O67:Q67)</f>
        <v>49.2</v>
      </c>
      <c r="S67" s="171">
        <v>5</v>
      </c>
      <c r="T67" s="285"/>
      <c r="U67" s="283"/>
      <c r="V67" s="178" t="s">
        <v>978</v>
      </c>
      <c r="W67" s="171" t="s">
        <v>74</v>
      </c>
      <c r="X67" s="171" t="s">
        <v>11</v>
      </c>
      <c r="Y67" s="179">
        <v>35</v>
      </c>
      <c r="Z67" s="171" t="s">
        <v>1282</v>
      </c>
      <c r="AA67" s="171" t="s">
        <v>79</v>
      </c>
      <c r="AB67" s="171" t="s">
        <v>11</v>
      </c>
      <c r="AC67" s="171">
        <v>9.6</v>
      </c>
      <c r="AD67" s="178" t="s">
        <v>1283</v>
      </c>
      <c r="AE67" s="171" t="s">
        <v>304</v>
      </c>
      <c r="AF67" s="171" t="s">
        <v>12</v>
      </c>
      <c r="AG67" s="179">
        <v>4.5999999999999996</v>
      </c>
      <c r="AK67" s="179"/>
      <c r="AO67" s="179"/>
      <c r="AS67" s="179"/>
      <c r="AW67" s="179"/>
      <c r="BA67" s="180"/>
    </row>
    <row r="68" spans="1:53" s="171" customFormat="1" x14ac:dyDescent="0.15">
      <c r="A68" s="171">
        <v>2016</v>
      </c>
      <c r="B68" s="305">
        <v>42447</v>
      </c>
      <c r="C68" s="410" t="s">
        <v>1281</v>
      </c>
      <c r="D68" s="410"/>
      <c r="E68" s="246">
        <v>289</v>
      </c>
      <c r="F68" s="244">
        <v>0</v>
      </c>
      <c r="G68" s="233">
        <v>17</v>
      </c>
      <c r="J68" s="241">
        <v>18</v>
      </c>
      <c r="K68" s="213">
        <f t="shared" ref="K68:K69" si="16">G68/J68*100</f>
        <v>94.444444444444443</v>
      </c>
      <c r="L68" s="214">
        <f t="shared" ref="L68:L69" si="17">H68/J68*100</f>
        <v>0</v>
      </c>
      <c r="M68" s="214">
        <f t="shared" ref="M68:M69" si="18">I68/J68*100</f>
        <v>0</v>
      </c>
      <c r="N68" s="215">
        <f t="shared" ref="N68:N69" si="19">SUM(K68:M68)</f>
        <v>94.444444444444443</v>
      </c>
      <c r="O68" s="213">
        <v>44.6</v>
      </c>
      <c r="P68" s="214"/>
      <c r="Q68" s="214">
        <v>4.5999999999999996</v>
      </c>
      <c r="R68" s="215">
        <f t="shared" si="15"/>
        <v>49.2</v>
      </c>
      <c r="S68" s="171">
        <v>5</v>
      </c>
      <c r="T68" s="285"/>
      <c r="U68" s="283"/>
      <c r="V68" s="178" t="s">
        <v>978</v>
      </c>
      <c r="W68" s="171" t="s">
        <v>74</v>
      </c>
      <c r="X68" s="171" t="s">
        <v>11</v>
      </c>
      <c r="Y68" s="179">
        <v>35</v>
      </c>
      <c r="Z68" s="171" t="s">
        <v>1282</v>
      </c>
      <c r="AA68" s="171" t="s">
        <v>79</v>
      </c>
      <c r="AB68" s="171" t="s">
        <v>11</v>
      </c>
      <c r="AC68" s="171">
        <v>9.6</v>
      </c>
      <c r="AD68" s="178" t="s">
        <v>1283</v>
      </c>
      <c r="AE68" s="171" t="s">
        <v>304</v>
      </c>
      <c r="AF68" s="171" t="s">
        <v>12</v>
      </c>
      <c r="AG68" s="179">
        <v>4.5999999999999996</v>
      </c>
      <c r="AK68" s="179"/>
      <c r="AO68" s="179"/>
      <c r="AS68" s="179"/>
      <c r="AW68" s="179"/>
      <c r="BA68" s="180"/>
    </row>
    <row r="69" spans="1:53" s="171" customFormat="1" x14ac:dyDescent="0.15">
      <c r="A69" s="171">
        <v>2017</v>
      </c>
      <c r="B69" s="305"/>
      <c r="C69" s="410" t="s">
        <v>1281</v>
      </c>
      <c r="D69" s="410"/>
      <c r="E69" s="246">
        <v>26</v>
      </c>
      <c r="F69" s="171">
        <v>2</v>
      </c>
      <c r="G69" s="233">
        <v>17</v>
      </c>
      <c r="J69" s="241">
        <v>18</v>
      </c>
      <c r="K69" s="213">
        <f t="shared" si="16"/>
        <v>94.444444444444443</v>
      </c>
      <c r="L69" s="214">
        <f t="shared" si="17"/>
        <v>0</v>
      </c>
      <c r="M69" s="214">
        <f t="shared" si="18"/>
        <v>0</v>
      </c>
      <c r="N69" s="215">
        <f t="shared" si="19"/>
        <v>94.444444444444443</v>
      </c>
      <c r="O69" s="213">
        <v>44.6</v>
      </c>
      <c r="P69" s="214"/>
      <c r="Q69" s="214">
        <v>4.5999999999999996</v>
      </c>
      <c r="R69" s="215">
        <f t="shared" si="15"/>
        <v>49.2</v>
      </c>
      <c r="S69" s="171">
        <v>5</v>
      </c>
      <c r="T69" s="285"/>
      <c r="U69" s="283"/>
      <c r="V69" s="178" t="s">
        <v>978</v>
      </c>
      <c r="W69" s="171" t="s">
        <v>74</v>
      </c>
      <c r="X69" s="171" t="s">
        <v>11</v>
      </c>
      <c r="Y69" s="179">
        <v>35</v>
      </c>
      <c r="Z69" s="171" t="s">
        <v>1282</v>
      </c>
      <c r="AA69" s="171" t="s">
        <v>79</v>
      </c>
      <c r="AB69" s="171" t="s">
        <v>11</v>
      </c>
      <c r="AC69" s="171">
        <v>9.6</v>
      </c>
      <c r="AD69" s="178" t="s">
        <v>1283</v>
      </c>
      <c r="AE69" s="171" t="s">
        <v>304</v>
      </c>
      <c r="AF69" s="171" t="s">
        <v>12</v>
      </c>
      <c r="AG69" s="179">
        <v>4.5999999999999996</v>
      </c>
      <c r="AK69" s="179"/>
      <c r="AO69" s="179"/>
      <c r="AS69" s="179"/>
      <c r="AW69" s="179"/>
      <c r="BA69" s="180"/>
    </row>
    <row r="70" spans="1:53" s="29" customFormat="1" x14ac:dyDescent="0.15">
      <c r="A70" s="29">
        <v>2017</v>
      </c>
      <c r="B70" s="295">
        <v>42762</v>
      </c>
      <c r="C70" s="411" t="s">
        <v>1365</v>
      </c>
      <c r="D70" s="411"/>
      <c r="E70" s="87">
        <v>97</v>
      </c>
      <c r="F70" s="29">
        <v>2</v>
      </c>
      <c r="G70" s="66"/>
      <c r="I70" s="29">
        <v>1</v>
      </c>
      <c r="J70" s="73">
        <v>20</v>
      </c>
      <c r="K70" s="46">
        <f t="shared" ref="K70" si="20">G70/J70*100</f>
        <v>0</v>
      </c>
      <c r="L70" s="47">
        <f t="shared" ref="L70" si="21">H70/J70*100</f>
        <v>0</v>
      </c>
      <c r="M70" s="47">
        <f t="shared" ref="M70" si="22">I70/J70*100</f>
        <v>5</v>
      </c>
      <c r="N70" s="48">
        <f t="shared" ref="N70" si="23">SUM(K70:M70)</f>
        <v>5</v>
      </c>
      <c r="O70" s="46">
        <v>0</v>
      </c>
      <c r="P70" s="47">
        <v>0</v>
      </c>
      <c r="Q70" s="47">
        <v>0</v>
      </c>
      <c r="R70" s="48">
        <f t="shared" si="15"/>
        <v>0</v>
      </c>
      <c r="S70" s="29">
        <v>6</v>
      </c>
      <c r="T70" s="286"/>
      <c r="U70" s="295">
        <v>42762</v>
      </c>
      <c r="V70" s="38" t="s">
        <v>964</v>
      </c>
      <c r="W70" s="29" t="s">
        <v>97</v>
      </c>
      <c r="X70" s="29" t="s">
        <v>12</v>
      </c>
      <c r="Y70" s="39">
        <v>5</v>
      </c>
      <c r="AD70" s="38"/>
      <c r="AG70" s="39"/>
      <c r="AK70" s="39"/>
      <c r="AO70" s="39"/>
      <c r="AS70" s="39"/>
      <c r="AW70" s="39"/>
      <c r="BA70" s="40"/>
    </row>
    <row r="71" spans="1:53" s="171" customFormat="1" x14ac:dyDescent="0.15">
      <c r="A71" s="171">
        <v>2017</v>
      </c>
      <c r="B71" s="283">
        <v>42859</v>
      </c>
      <c r="C71" s="410" t="s">
        <v>1364</v>
      </c>
      <c r="D71" s="410"/>
      <c r="E71" s="246">
        <v>242</v>
      </c>
      <c r="F71" s="171">
        <v>1</v>
      </c>
      <c r="G71" s="233">
        <v>21</v>
      </c>
      <c r="J71" s="241">
        <v>21</v>
      </c>
      <c r="K71" s="213">
        <f t="shared" ref="K71:K73" si="24">G71/J71*100</f>
        <v>100</v>
      </c>
      <c r="L71" s="214">
        <f t="shared" ref="L71:L73" si="25">H71/J71*100</f>
        <v>0</v>
      </c>
      <c r="M71" s="214">
        <f t="shared" ref="M71:M73" si="26">I71/J71*100</f>
        <v>0</v>
      </c>
      <c r="N71" s="215">
        <f t="shared" ref="N71:N73" si="27">SUM(K71:M71)</f>
        <v>100</v>
      </c>
      <c r="O71" s="213">
        <v>50.9</v>
      </c>
      <c r="P71" s="214">
        <v>0</v>
      </c>
      <c r="Q71" s="214">
        <v>0</v>
      </c>
      <c r="R71" s="215">
        <f t="shared" si="15"/>
        <v>50.9</v>
      </c>
      <c r="S71" s="171">
        <v>2</v>
      </c>
      <c r="T71" s="285">
        <v>42820</v>
      </c>
      <c r="U71" s="283">
        <v>42859</v>
      </c>
      <c r="V71" s="178" t="s">
        <v>978</v>
      </c>
      <c r="W71" s="171" t="s">
        <v>74</v>
      </c>
      <c r="X71" s="171" t="s">
        <v>11</v>
      </c>
      <c r="Y71" s="179">
        <v>39.6</v>
      </c>
      <c r="Z71" s="171" t="s">
        <v>1366</v>
      </c>
      <c r="AA71" s="171" t="s">
        <v>1135</v>
      </c>
      <c r="AB71" s="171" t="s">
        <v>11</v>
      </c>
      <c r="AC71" s="171">
        <v>11.3</v>
      </c>
      <c r="AD71" s="178"/>
      <c r="AG71" s="179"/>
      <c r="AK71" s="179"/>
      <c r="AO71" s="179"/>
      <c r="AS71" s="179"/>
      <c r="AW71" s="179"/>
      <c r="BA71" s="180"/>
    </row>
    <row r="72" spans="1:53" s="171" customFormat="1" x14ac:dyDescent="0.15">
      <c r="A72" s="171">
        <v>2018</v>
      </c>
      <c r="B72" s="283"/>
      <c r="C72" s="410" t="s">
        <v>1364</v>
      </c>
      <c r="D72" s="410"/>
      <c r="E72" s="246">
        <v>354</v>
      </c>
      <c r="G72" s="233">
        <v>21</v>
      </c>
      <c r="J72" s="241">
        <v>21</v>
      </c>
      <c r="K72" s="213">
        <f t="shared" si="24"/>
        <v>100</v>
      </c>
      <c r="L72" s="214">
        <f t="shared" si="25"/>
        <v>0</v>
      </c>
      <c r="M72" s="214">
        <f t="shared" si="26"/>
        <v>0</v>
      </c>
      <c r="N72" s="215">
        <f t="shared" si="27"/>
        <v>100</v>
      </c>
      <c r="O72" s="213">
        <v>50.9</v>
      </c>
      <c r="P72" s="214">
        <v>0</v>
      </c>
      <c r="Q72" s="214">
        <v>0</v>
      </c>
      <c r="R72" s="215">
        <f t="shared" ref="R72:R73" si="28">SUM(O72:Q72)</f>
        <v>50.9</v>
      </c>
      <c r="S72" s="171">
        <v>2</v>
      </c>
      <c r="T72" s="285"/>
      <c r="U72" s="283"/>
      <c r="V72" s="178" t="s">
        <v>978</v>
      </c>
      <c r="W72" s="171" t="s">
        <v>74</v>
      </c>
      <c r="X72" s="171" t="s">
        <v>11</v>
      </c>
      <c r="Y72" s="179">
        <v>39.6</v>
      </c>
      <c r="Z72" s="171" t="s">
        <v>1366</v>
      </c>
      <c r="AA72" s="171" t="s">
        <v>1135</v>
      </c>
      <c r="AB72" s="171" t="s">
        <v>11</v>
      </c>
      <c r="AC72" s="171">
        <v>11.3</v>
      </c>
      <c r="AD72" s="178"/>
      <c r="AG72" s="179"/>
      <c r="AK72" s="179"/>
      <c r="AO72" s="179"/>
      <c r="AS72" s="179"/>
      <c r="AW72" s="179"/>
      <c r="BA72" s="180"/>
    </row>
    <row r="73" spans="1:53" s="171" customFormat="1" x14ac:dyDescent="0.15">
      <c r="A73" s="171">
        <v>2018</v>
      </c>
      <c r="B73" s="305">
        <v>43455</v>
      </c>
      <c r="C73" s="410" t="s">
        <v>1364</v>
      </c>
      <c r="D73" s="410"/>
      <c r="E73" s="246">
        <v>11</v>
      </c>
      <c r="F73" s="244">
        <v>0</v>
      </c>
      <c r="G73" s="233">
        <v>20</v>
      </c>
      <c r="J73" s="241">
        <v>20</v>
      </c>
      <c r="K73" s="213">
        <f t="shared" si="24"/>
        <v>100</v>
      </c>
      <c r="L73" s="214">
        <f t="shared" si="25"/>
        <v>0</v>
      </c>
      <c r="M73" s="214">
        <f t="shared" si="26"/>
        <v>0</v>
      </c>
      <c r="N73" s="215">
        <f t="shared" si="27"/>
        <v>100</v>
      </c>
      <c r="O73" s="213">
        <v>50.9</v>
      </c>
      <c r="P73" s="214">
        <v>0</v>
      </c>
      <c r="Q73" s="214">
        <v>0</v>
      </c>
      <c r="R73" s="215">
        <f t="shared" si="28"/>
        <v>50.9</v>
      </c>
      <c r="S73" s="171">
        <v>2</v>
      </c>
      <c r="T73" s="285"/>
      <c r="U73" s="283"/>
      <c r="V73" s="178" t="s">
        <v>978</v>
      </c>
      <c r="W73" s="171" t="s">
        <v>74</v>
      </c>
      <c r="X73" s="171" t="s">
        <v>11</v>
      </c>
      <c r="Y73" s="179">
        <v>39.6</v>
      </c>
      <c r="Z73" s="171" t="s">
        <v>1366</v>
      </c>
      <c r="AA73" s="171" t="s">
        <v>1135</v>
      </c>
      <c r="AB73" s="171" t="s">
        <v>11</v>
      </c>
      <c r="AC73" s="171">
        <v>11.3</v>
      </c>
      <c r="AD73" s="178"/>
      <c r="AG73" s="179"/>
      <c r="AK73" s="179"/>
      <c r="AO73" s="179"/>
      <c r="AS73" s="179"/>
      <c r="AW73" s="179"/>
      <c r="BA73" s="180"/>
    </row>
    <row r="74" spans="1:53" s="171" customFormat="1" x14ac:dyDescent="0.15">
      <c r="A74" s="171">
        <v>2019</v>
      </c>
      <c r="B74" s="305"/>
      <c r="C74" s="410" t="s">
        <v>1364</v>
      </c>
      <c r="D74" s="410"/>
      <c r="E74" s="246">
        <v>0</v>
      </c>
      <c r="F74" s="244"/>
      <c r="G74" s="233">
        <v>20</v>
      </c>
      <c r="J74" s="241">
        <v>20</v>
      </c>
      <c r="K74" s="213">
        <f t="shared" ref="K74:K77" si="29">G74/J74*100</f>
        <v>100</v>
      </c>
      <c r="L74" s="214">
        <f t="shared" ref="L74:L77" si="30">H74/J74*100</f>
        <v>0</v>
      </c>
      <c r="M74" s="214">
        <f t="shared" ref="M74:M77" si="31">I74/J74*100</f>
        <v>0</v>
      </c>
      <c r="N74" s="215">
        <f t="shared" ref="N74" si="32">SUM(K74:M74)</f>
        <v>100</v>
      </c>
      <c r="O74" s="213">
        <v>50.9</v>
      </c>
      <c r="P74" s="214">
        <v>0</v>
      </c>
      <c r="Q74" s="214">
        <v>0</v>
      </c>
      <c r="R74" s="215">
        <f t="shared" ref="R74:R77" si="33">SUM(O74:Q74)</f>
        <v>50.9</v>
      </c>
      <c r="S74" s="171">
        <v>2</v>
      </c>
      <c r="T74" s="285"/>
      <c r="U74" s="283"/>
      <c r="V74" s="178" t="s">
        <v>978</v>
      </c>
      <c r="W74" s="171" t="s">
        <v>74</v>
      </c>
      <c r="X74" s="171" t="s">
        <v>11</v>
      </c>
      <c r="Y74" s="179">
        <v>39.6</v>
      </c>
      <c r="Z74" s="171" t="s">
        <v>1366</v>
      </c>
      <c r="AA74" s="171" t="s">
        <v>1135</v>
      </c>
      <c r="AB74" s="171" t="s">
        <v>11</v>
      </c>
      <c r="AC74" s="171">
        <v>11.3</v>
      </c>
      <c r="AD74" s="178"/>
      <c r="AG74" s="179"/>
      <c r="AK74" s="179"/>
      <c r="AO74" s="179"/>
      <c r="AS74" s="179"/>
      <c r="AW74" s="179"/>
      <c r="BA74" s="180"/>
    </row>
    <row r="75" spans="1:53" s="171" customFormat="1" x14ac:dyDescent="0.15">
      <c r="A75" s="171">
        <v>2019</v>
      </c>
      <c r="B75" s="305"/>
      <c r="C75" s="410" t="s">
        <v>1364</v>
      </c>
      <c r="D75" s="410"/>
      <c r="E75" s="246">
        <v>365</v>
      </c>
      <c r="F75" s="244"/>
      <c r="G75" s="233">
        <v>20</v>
      </c>
      <c r="J75" s="241">
        <v>20</v>
      </c>
      <c r="K75" s="213">
        <f t="shared" si="29"/>
        <v>100</v>
      </c>
      <c r="L75" s="214">
        <f t="shared" si="30"/>
        <v>0</v>
      </c>
      <c r="M75" s="214">
        <f t="shared" si="31"/>
        <v>0</v>
      </c>
      <c r="N75" s="215">
        <f>SUM(K75:M75)</f>
        <v>100</v>
      </c>
      <c r="O75" s="213">
        <v>50.9</v>
      </c>
      <c r="P75" s="214">
        <v>0</v>
      </c>
      <c r="Q75" s="214">
        <v>0</v>
      </c>
      <c r="R75" s="215">
        <f t="shared" si="33"/>
        <v>50.9</v>
      </c>
      <c r="S75" s="171">
        <v>2</v>
      </c>
      <c r="T75" s="285"/>
      <c r="U75" s="283"/>
      <c r="V75" s="178" t="s">
        <v>978</v>
      </c>
      <c r="W75" s="171" t="s">
        <v>74</v>
      </c>
      <c r="X75" s="171" t="s">
        <v>11</v>
      </c>
      <c r="Y75" s="179">
        <v>39.6</v>
      </c>
      <c r="Z75" s="171" t="s">
        <v>1366</v>
      </c>
      <c r="AA75" s="171" t="s">
        <v>1135</v>
      </c>
      <c r="AB75" s="171" t="s">
        <v>11</v>
      </c>
      <c r="AC75" s="171">
        <v>11.3</v>
      </c>
      <c r="AD75" s="178"/>
      <c r="AG75" s="179"/>
      <c r="AK75" s="179"/>
      <c r="AO75" s="179"/>
      <c r="AS75" s="179"/>
      <c r="AW75" s="179"/>
      <c r="BA75" s="180"/>
    </row>
    <row r="76" spans="1:53" s="171" customFormat="1" x14ac:dyDescent="0.15">
      <c r="A76" s="171">
        <v>2020</v>
      </c>
      <c r="B76" s="305"/>
      <c r="C76" s="410" t="s">
        <v>1364</v>
      </c>
      <c r="D76" s="410"/>
      <c r="E76" s="246">
        <v>206</v>
      </c>
      <c r="F76" s="247"/>
      <c r="G76" s="171">
        <v>19</v>
      </c>
      <c r="J76" s="241">
        <v>20</v>
      </c>
      <c r="K76" s="214">
        <f t="shared" si="29"/>
        <v>95</v>
      </c>
      <c r="L76" s="214">
        <f t="shared" si="30"/>
        <v>0</v>
      </c>
      <c r="M76" s="214">
        <f t="shared" si="31"/>
        <v>0</v>
      </c>
      <c r="N76" s="235">
        <f>SUM(K76:M76)</f>
        <v>95</v>
      </c>
      <c r="O76" s="213">
        <v>50.9</v>
      </c>
      <c r="P76" s="214">
        <v>0</v>
      </c>
      <c r="Q76" s="214">
        <v>0</v>
      </c>
      <c r="R76" s="215">
        <f t="shared" si="33"/>
        <v>50.9</v>
      </c>
      <c r="S76" s="190">
        <v>2</v>
      </c>
      <c r="T76" s="285"/>
      <c r="U76" s="298"/>
      <c r="V76" s="178" t="s">
        <v>978</v>
      </c>
      <c r="W76" s="171" t="s">
        <v>74</v>
      </c>
      <c r="X76" s="171" t="s">
        <v>11</v>
      </c>
      <c r="Y76" s="179">
        <v>39.6</v>
      </c>
      <c r="Z76" s="171" t="s">
        <v>1366</v>
      </c>
      <c r="AA76" s="171" t="s">
        <v>1135</v>
      </c>
      <c r="AB76" s="171" t="s">
        <v>11</v>
      </c>
      <c r="AC76" s="171">
        <v>11.3</v>
      </c>
      <c r="AD76" s="178"/>
      <c r="AH76" s="178"/>
      <c r="AK76" s="179"/>
      <c r="AO76" s="179"/>
      <c r="AS76" s="179"/>
      <c r="AW76" s="179"/>
      <c r="BA76" s="180"/>
    </row>
    <row r="77" spans="1:53" s="171" customFormat="1" x14ac:dyDescent="0.15">
      <c r="A77" s="171">
        <v>2020</v>
      </c>
      <c r="B77" s="305">
        <v>44036</v>
      </c>
      <c r="C77" s="410" t="s">
        <v>1364</v>
      </c>
      <c r="D77" s="410"/>
      <c r="E77" s="246">
        <v>160</v>
      </c>
      <c r="F77" s="244">
        <v>0</v>
      </c>
      <c r="G77" s="233">
        <v>17</v>
      </c>
      <c r="J77" s="240">
        <v>20</v>
      </c>
      <c r="K77" s="213">
        <f t="shared" si="29"/>
        <v>85</v>
      </c>
      <c r="L77" s="214">
        <f t="shared" si="30"/>
        <v>0</v>
      </c>
      <c r="M77" s="214">
        <f t="shared" si="31"/>
        <v>0</v>
      </c>
      <c r="N77" s="235">
        <f>SUM(K77:M77)</f>
        <v>85</v>
      </c>
      <c r="O77" s="213">
        <v>50.9</v>
      </c>
      <c r="P77" s="214">
        <v>0</v>
      </c>
      <c r="Q77" s="214">
        <v>0</v>
      </c>
      <c r="R77" s="215">
        <f t="shared" si="33"/>
        <v>50.9</v>
      </c>
      <c r="S77" s="190">
        <v>2</v>
      </c>
      <c r="T77" s="288"/>
      <c r="U77" s="298"/>
      <c r="V77" s="178" t="s">
        <v>978</v>
      </c>
      <c r="W77" s="171" t="s">
        <v>74</v>
      </c>
      <c r="X77" s="171" t="s">
        <v>11</v>
      </c>
      <c r="Y77" s="179">
        <v>39.6</v>
      </c>
      <c r="Z77" s="171" t="s">
        <v>1366</v>
      </c>
      <c r="AA77" s="171" t="s">
        <v>1135</v>
      </c>
      <c r="AB77" s="171" t="s">
        <v>11</v>
      </c>
      <c r="AC77" s="179">
        <v>11.3</v>
      </c>
      <c r="AD77" s="178"/>
      <c r="AH77" s="178"/>
      <c r="AK77" s="179"/>
      <c r="AO77" s="179"/>
      <c r="AS77" s="179"/>
      <c r="AW77" s="179"/>
      <c r="BA77" s="180"/>
    </row>
    <row r="78" spans="1:53" x14ac:dyDescent="0.15">
      <c r="E78" s="14"/>
    </row>
    <row r="80" spans="1:53" ht="18" customHeight="1" x14ac:dyDescent="0.15">
      <c r="B80" s="16" t="s">
        <v>1264</v>
      </c>
    </row>
    <row r="81" spans="1:30" ht="9" customHeight="1" x14ac:dyDescent="0.15"/>
    <row r="82" spans="1:30" s="195" customFormat="1" ht="9" customHeight="1" x14ac:dyDescent="0.15">
      <c r="A82" s="193"/>
      <c r="B82" s="194" t="s">
        <v>1215</v>
      </c>
      <c r="C82" s="194"/>
      <c r="D82" s="194"/>
      <c r="E82" s="194"/>
      <c r="F82" s="194"/>
      <c r="G82" s="194" t="s">
        <v>1216</v>
      </c>
      <c r="H82" s="194"/>
      <c r="I82" s="194"/>
      <c r="J82" s="194"/>
      <c r="K82" s="194"/>
      <c r="L82" s="194"/>
      <c r="M82" s="194"/>
      <c r="N82" s="194"/>
      <c r="R82" s="388" t="s">
        <v>1217</v>
      </c>
      <c r="S82" s="388"/>
      <c r="T82" s="388"/>
      <c r="U82" s="388"/>
      <c r="V82" s="388"/>
      <c r="W82" s="388"/>
      <c r="X82" s="196"/>
      <c r="Y82" s="196"/>
      <c r="AA82" s="196"/>
      <c r="AB82" s="196"/>
      <c r="AC82" s="196"/>
      <c r="AD82" s="196"/>
    </row>
    <row r="83" spans="1:30" s="200" customFormat="1" ht="9" customHeight="1" x14ac:dyDescent="0.15">
      <c r="A83" s="197"/>
      <c r="B83" s="198" t="s">
        <v>1219</v>
      </c>
      <c r="C83" s="199"/>
      <c r="D83" s="199"/>
      <c r="E83" s="199"/>
      <c r="F83" s="199"/>
      <c r="G83" s="198" t="s">
        <v>1218</v>
      </c>
      <c r="H83" s="199"/>
      <c r="I83" s="199"/>
      <c r="J83" s="199"/>
      <c r="K83" s="199"/>
      <c r="L83" s="199"/>
      <c r="M83" s="199"/>
      <c r="N83" s="199"/>
      <c r="R83" s="201" t="s">
        <v>1220</v>
      </c>
      <c r="S83" s="202"/>
      <c r="T83" s="203"/>
      <c r="U83" s="203"/>
      <c r="V83" s="203"/>
      <c r="W83" s="201" t="s">
        <v>1221</v>
      </c>
      <c r="X83" s="203"/>
      <c r="Y83" s="203"/>
      <c r="AA83" s="203"/>
      <c r="AB83" s="203"/>
      <c r="AC83" s="203"/>
      <c r="AD83" s="203"/>
    </row>
    <row r="84" spans="1:30" s="186" customFormat="1" ht="12" customHeight="1" x14ac:dyDescent="0.15">
      <c r="A84" s="204" t="s">
        <v>3</v>
      </c>
      <c r="B84" s="205" t="s">
        <v>8</v>
      </c>
      <c r="C84" s="205" t="s">
        <v>9</v>
      </c>
      <c r="D84" s="205" t="s">
        <v>10</v>
      </c>
      <c r="E84" s="206" t="s">
        <v>1195</v>
      </c>
      <c r="F84" s="205"/>
      <c r="G84" s="186" t="s">
        <v>3</v>
      </c>
      <c r="H84" s="389" t="s">
        <v>0</v>
      </c>
      <c r="I84" s="389"/>
      <c r="J84" s="389" t="s">
        <v>1</v>
      </c>
      <c r="K84" s="389"/>
      <c r="L84" s="389" t="s">
        <v>2</v>
      </c>
      <c r="M84" s="389"/>
      <c r="N84" s="390" t="s">
        <v>1195</v>
      </c>
      <c r="O84" s="390"/>
      <c r="P84" s="207"/>
      <c r="Q84" s="207"/>
      <c r="R84" s="208" t="s">
        <v>3</v>
      </c>
      <c r="S84" s="209" t="s">
        <v>135</v>
      </c>
      <c r="T84" s="207" t="s">
        <v>133</v>
      </c>
      <c r="U84" s="205" t="s">
        <v>134</v>
      </c>
      <c r="V84" s="207"/>
      <c r="W84" s="210" t="s">
        <v>26</v>
      </c>
    </row>
    <row r="85" spans="1:30" x14ac:dyDescent="0.15">
      <c r="A85" s="1">
        <v>1990</v>
      </c>
      <c r="B85" s="5">
        <f>(K7*($E7/103))+(K8*($E8/103))</f>
        <v>6.7421790722761603</v>
      </c>
      <c r="C85" s="5">
        <f>(L7*($E7/103))+(L8*($E8/103))</f>
        <v>0</v>
      </c>
      <c r="D85" s="5">
        <f>(M7*($E7/103))+(M8*($E8/103))</f>
        <v>86.515641855447683</v>
      </c>
      <c r="E85" s="18">
        <f>SUM(B85:D85)</f>
        <v>93.257820927723841</v>
      </c>
      <c r="G85" s="1">
        <v>1990</v>
      </c>
      <c r="H85" s="419">
        <f>(O7/$R7*100*($E7/103))+(O8/$R8*100*($E8/103))</f>
        <v>10.473287879263935</v>
      </c>
      <c r="I85" s="419"/>
      <c r="J85" s="419">
        <f>(P7/$R7*100*($E7/103))+(P8/$R8*100*($E8/103))</f>
        <v>0</v>
      </c>
      <c r="K85" s="419"/>
      <c r="L85" s="419">
        <f>(Q7/$R7*100*($E7/103))+(Q8/$R8*100*($E8/103))</f>
        <v>89.526712120736065</v>
      </c>
      <c r="M85" s="419"/>
      <c r="N85" s="420">
        <f t="shared" ref="N85:N107" si="34">SUM(H85:M85)</f>
        <v>100</v>
      </c>
      <c r="O85" s="420"/>
      <c r="R85" s="1">
        <v>1990</v>
      </c>
      <c r="S85" s="5">
        <f>(O7*($E7/103))+(O8*($E8/103))</f>
        <v>9.7087378640776691</v>
      </c>
      <c r="T85" s="5">
        <f>(P7*($E7/103))+(P8*($E8/103))</f>
        <v>0</v>
      </c>
      <c r="U85" s="5">
        <f>(Q7*($E7/103))+(Q8*($E8/103))</f>
        <v>52.7</v>
      </c>
      <c r="W85" s="5">
        <f>SUM(S85:U85)</f>
        <v>62.408737864077672</v>
      </c>
      <c r="Y85" s="28" t="s">
        <v>1140</v>
      </c>
    </row>
    <row r="86" spans="1:30" x14ac:dyDescent="0.15">
      <c r="A86" s="1">
        <v>1991</v>
      </c>
      <c r="B86" s="5">
        <f>(K9*($E9/365))+(K10*($E10/365))</f>
        <v>38.462709284627095</v>
      </c>
      <c r="C86" s="5">
        <f>(L9*($E9/365))+(L10*($E10/365))</f>
        <v>0</v>
      </c>
      <c r="D86" s="5">
        <f>(M9*($E9/365))+(M10*($E10/365))</f>
        <v>37.86910197869102</v>
      </c>
      <c r="E86" s="18">
        <f t="shared" ref="E86:E107" si="35">SUM(B86:D86)</f>
        <v>76.331811263318116</v>
      </c>
      <c r="G86" s="1">
        <v>1991</v>
      </c>
      <c r="H86" s="409">
        <f>(O9/$R9*100*($E9/365))+(O10/$R10*100*($E10/365))</f>
        <v>51.560638973858815</v>
      </c>
      <c r="I86" s="409"/>
      <c r="J86" s="409">
        <f>(P9/$R9*100*($E9/365))+(P10/$R10*100*($E10/365))</f>
        <v>0</v>
      </c>
      <c r="K86" s="409"/>
      <c r="L86" s="409">
        <f>(Q9/$R9*100*($E9/365))+(Q10/$R10*100*($E10/365))</f>
        <v>48.439361026141185</v>
      </c>
      <c r="M86" s="409"/>
      <c r="N86" s="379">
        <f t="shared" si="34"/>
        <v>100</v>
      </c>
      <c r="O86" s="379"/>
      <c r="R86" s="1">
        <v>1991</v>
      </c>
      <c r="S86" s="5">
        <f>(O9*($E9/365))+(O10*($E10/365))</f>
        <v>40.872876712328775</v>
      </c>
      <c r="T86" s="5">
        <f>(P9*($E9/365))+(P10*($E10/365))</f>
        <v>0</v>
      </c>
      <c r="U86" s="5">
        <f>(Q9*($E9/365))+(Q10*($E10/365))</f>
        <v>44.903287671232881</v>
      </c>
      <c r="W86" s="5">
        <f t="shared" ref="W86:W108" si="36">SUM(S86:U86)</f>
        <v>85.77616438356165</v>
      </c>
    </row>
    <row r="87" spans="1:30" x14ac:dyDescent="0.15">
      <c r="A87" s="1">
        <v>1992</v>
      </c>
      <c r="B87" s="5">
        <f>(K11*($E11/366))+(K12*($E12/366))</f>
        <v>99.453551912568301</v>
      </c>
      <c r="C87" s="5">
        <f>(L11*($E11/366))+(L12*($E12/366))</f>
        <v>0</v>
      </c>
      <c r="D87" s="5">
        <f>(M11*($E11/366))+(M12*($E12/366))</f>
        <v>0</v>
      </c>
      <c r="E87" s="18">
        <f t="shared" si="35"/>
        <v>99.453551912568301</v>
      </c>
      <c r="G87" s="1">
        <v>1992</v>
      </c>
      <c r="H87" s="409">
        <f>(O11/$R11*100*($E11/366))</f>
        <v>99.453551912568301</v>
      </c>
      <c r="I87" s="409"/>
      <c r="J87" s="409">
        <f>(P11/$R11*100*($E11/366))</f>
        <v>0</v>
      </c>
      <c r="K87" s="409"/>
      <c r="L87" s="409">
        <f>(Q11/$R11*100*($E11/366))</f>
        <v>0</v>
      </c>
      <c r="M87" s="409"/>
      <c r="N87" s="379">
        <f t="shared" si="34"/>
        <v>99.453551912568301</v>
      </c>
      <c r="O87" s="379"/>
      <c r="R87" s="1">
        <v>1992</v>
      </c>
      <c r="S87" s="5">
        <f>(O11*($E11/366))+(O12*($E12/366))</f>
        <v>45.649180327868848</v>
      </c>
      <c r="T87" s="5">
        <f>(P11*($E11/366))+(P12*($E12/366))</f>
        <v>0</v>
      </c>
      <c r="U87" s="5">
        <f>(Q11*($E11/366))+(Q12*($E12/366))</f>
        <v>0</v>
      </c>
      <c r="W87" s="5">
        <f t="shared" si="36"/>
        <v>45.649180327868848</v>
      </c>
    </row>
    <row r="88" spans="1:30" x14ac:dyDescent="0.15">
      <c r="A88" s="1">
        <v>1993</v>
      </c>
      <c r="B88" s="5">
        <f>(K13*($E13/365))+(K14*($E14/365))</f>
        <v>0</v>
      </c>
      <c r="C88" s="5">
        <f>(L13*($E13/365))+(L14*($E14/365))</f>
        <v>0</v>
      </c>
      <c r="D88" s="5">
        <f>(M13*($E13/365))+(M14*($E14/365))</f>
        <v>0</v>
      </c>
      <c r="E88" s="18">
        <f t="shared" si="35"/>
        <v>0</v>
      </c>
      <c r="G88" s="1">
        <v>1993</v>
      </c>
      <c r="H88" s="409">
        <v>0</v>
      </c>
      <c r="I88" s="409"/>
      <c r="J88" s="409">
        <v>0</v>
      </c>
      <c r="K88" s="409"/>
      <c r="L88" s="409">
        <v>0</v>
      </c>
      <c r="M88" s="409"/>
      <c r="N88" s="379">
        <f t="shared" si="34"/>
        <v>0</v>
      </c>
      <c r="O88" s="379"/>
      <c r="R88" s="1">
        <v>1993</v>
      </c>
      <c r="S88" s="5">
        <f>(O13*($E13/365))+(O14*($E14/365))</f>
        <v>0</v>
      </c>
      <c r="T88" s="5">
        <f>(P13*($E13/365))+(P14*($E14/365))</f>
        <v>0</v>
      </c>
      <c r="U88" s="5">
        <f>(Q13*($E13/365))+(Q14*($E14/365))</f>
        <v>0</v>
      </c>
      <c r="W88" s="5">
        <f t="shared" si="36"/>
        <v>0</v>
      </c>
    </row>
    <row r="89" spans="1:30" x14ac:dyDescent="0.15">
      <c r="A89" s="1">
        <v>1994</v>
      </c>
      <c r="B89" s="5">
        <f>(K15*($E15/365))+(K16*($E16/365))</f>
        <v>0</v>
      </c>
      <c r="C89" s="5">
        <f>(L15*($E15/365))+(L16*($E16/365))</f>
        <v>0</v>
      </c>
      <c r="D89" s="5">
        <f>(M15*($E15/365))+(M16*($E16/365))</f>
        <v>0</v>
      </c>
      <c r="E89" s="18">
        <f t="shared" si="35"/>
        <v>0</v>
      </c>
      <c r="G89" s="1">
        <v>1994</v>
      </c>
      <c r="H89" s="409">
        <v>0</v>
      </c>
      <c r="I89" s="409"/>
      <c r="J89" s="409">
        <v>0</v>
      </c>
      <c r="K89" s="409"/>
      <c r="L89" s="409">
        <v>0</v>
      </c>
      <c r="M89" s="409"/>
      <c r="N89" s="379">
        <f t="shared" si="34"/>
        <v>0</v>
      </c>
      <c r="O89" s="379"/>
      <c r="R89" s="1">
        <v>1994</v>
      </c>
      <c r="S89" s="5">
        <f>(O15*($E15/365))+(O16*($E16/365))</f>
        <v>0</v>
      </c>
      <c r="T89" s="5">
        <f>(P15*($E15/365))+(P16*($E16/365))</f>
        <v>0</v>
      </c>
      <c r="U89" s="5">
        <f>(Q15*($E15/365))+(Q16*($E16/365))</f>
        <v>0</v>
      </c>
      <c r="W89" s="5">
        <f t="shared" si="36"/>
        <v>0</v>
      </c>
    </row>
    <row r="90" spans="1:30" x14ac:dyDescent="0.15">
      <c r="A90" s="1">
        <v>1995</v>
      </c>
      <c r="B90" s="5">
        <f>(K17*($E17/365))+(K18*($E18/365))</f>
        <v>0</v>
      </c>
      <c r="C90" s="5">
        <f>(L17*($E17/365))+(L18*($E18/365))</f>
        <v>0</v>
      </c>
      <c r="D90" s="5">
        <f>(M17*($E17/365))+(M18*($E18/365))</f>
        <v>51.902587519025879</v>
      </c>
      <c r="E90" s="18">
        <f t="shared" si="35"/>
        <v>51.902587519025879</v>
      </c>
      <c r="G90" s="1">
        <v>1995</v>
      </c>
      <c r="H90" s="409">
        <f>(O18/$R18*100*($E18/365))</f>
        <v>0</v>
      </c>
      <c r="I90" s="409"/>
      <c r="J90" s="409">
        <f>(P18/$R18*100*($E18/365))</f>
        <v>0</v>
      </c>
      <c r="K90" s="409"/>
      <c r="L90" s="409">
        <f>(Q18/$R18*100*($E18/365))</f>
        <v>93.424657534246577</v>
      </c>
      <c r="M90" s="409"/>
      <c r="N90" s="379">
        <f t="shared" si="34"/>
        <v>93.424657534246577</v>
      </c>
      <c r="O90" s="379"/>
      <c r="R90" s="1">
        <v>1995</v>
      </c>
      <c r="S90" s="5">
        <f>(O17*($E17/365))+(O18*($E18/365))</f>
        <v>0</v>
      </c>
      <c r="T90" s="5">
        <f>(P17*($E17/365))+(P18*($E18/365))</f>
        <v>0</v>
      </c>
      <c r="U90" s="5">
        <f>(Q17*($E17/365))+(Q18*($E18/365))</f>
        <v>48.674246575342472</v>
      </c>
      <c r="W90" s="5">
        <f t="shared" si="36"/>
        <v>48.674246575342472</v>
      </c>
    </row>
    <row r="91" spans="1:30" x14ac:dyDescent="0.15">
      <c r="A91" s="1">
        <v>1996</v>
      </c>
      <c r="B91" s="5">
        <f>(K19*($E19/366))+(K20*($E20/366))</f>
        <v>0</v>
      </c>
      <c r="C91" s="5">
        <f>(L19*($E19/366))+(L20*($E20/366))</f>
        <v>0</v>
      </c>
      <c r="D91" s="5">
        <f>(M19*($E19/366))+(M20*($E20/366))</f>
        <v>55.555555555555557</v>
      </c>
      <c r="E91" s="18">
        <f t="shared" si="35"/>
        <v>55.555555555555557</v>
      </c>
      <c r="G91" s="1">
        <v>1996</v>
      </c>
      <c r="H91" s="409">
        <f>(O19/$R19*100*($E19/366))+(O20/$R20*100*($E20/366))</f>
        <v>0</v>
      </c>
      <c r="I91" s="409"/>
      <c r="J91" s="409">
        <f>(P19/$R19*100*($E19/366))+(P20/$R20*100*($E20/366))</f>
        <v>0</v>
      </c>
      <c r="K91" s="409"/>
      <c r="L91" s="409">
        <f>(Q19/$R19*100*($E19/366))+(Q20/$R20*100*($E20/366))</f>
        <v>100</v>
      </c>
      <c r="M91" s="409"/>
      <c r="N91" s="379">
        <f t="shared" si="34"/>
        <v>100</v>
      </c>
      <c r="O91" s="379"/>
      <c r="R91" s="1">
        <v>1996</v>
      </c>
      <c r="S91" s="5">
        <f>(O19*($E19/366))+(O20*($E20/366))</f>
        <v>0</v>
      </c>
      <c r="T91" s="5">
        <f>(P19*($E19/366))+(P20*($E20/366))</f>
        <v>0</v>
      </c>
      <c r="U91" s="5">
        <f>(Q19*($E19/366))+(Q20*($E20/366))</f>
        <v>52.1</v>
      </c>
      <c r="W91" s="5">
        <f t="shared" si="36"/>
        <v>52.1</v>
      </c>
    </row>
    <row r="92" spans="1:30" x14ac:dyDescent="0.15">
      <c r="A92" s="1">
        <v>1997</v>
      </c>
      <c r="B92" s="5">
        <f>(K21*($E21/365))+(K22*($E22/365))+(K23*($E23/365))</f>
        <v>63.223207091055606</v>
      </c>
      <c r="C92" s="5">
        <f>(L21*($E21/365))+(L22*($E22/365))+(L23*($E23/365))</f>
        <v>0</v>
      </c>
      <c r="D92" s="5">
        <f>(M21*($E21/365))+(M22*($E22/365))+(M23*($E23/365))</f>
        <v>6.3926940639269407</v>
      </c>
      <c r="E92" s="18">
        <f t="shared" si="35"/>
        <v>69.615901154982552</v>
      </c>
      <c r="G92" s="1">
        <v>1997</v>
      </c>
      <c r="H92" s="409">
        <f>(O21/$R21*100*($E21/365))+(O22/$R22*100*($E22/365))+(O23/$R23*100*($E23/365))</f>
        <v>88.493150684931507</v>
      </c>
      <c r="I92" s="409"/>
      <c r="J92" s="409">
        <f>(P21/$R21*100*($E21/365))+(P22/$R22*100*($E22/365))+(P23/$R23*100*($E23/365))</f>
        <v>0</v>
      </c>
      <c r="K92" s="409"/>
      <c r="L92" s="409">
        <f>(Q21/$R21*100*($E21/365))+(Q22/$R22*100*($E22/365))+(Q23/$R23*100*($E23/365))</f>
        <v>11.506849315068493</v>
      </c>
      <c r="M92" s="409"/>
      <c r="N92" s="379">
        <f t="shared" si="34"/>
        <v>100</v>
      </c>
      <c r="O92" s="379"/>
      <c r="R92" s="1">
        <v>1997</v>
      </c>
      <c r="S92" s="5">
        <f>(O21*($E21/365))+(O22*($E22/365))+(O23*($E23/365))</f>
        <v>42.869589041095892</v>
      </c>
      <c r="T92" s="5">
        <f>(P21*($E21/365))+(P22*($E22/365))+(P23*($E23/365))</f>
        <v>0</v>
      </c>
      <c r="U92" s="5">
        <f>(Q21*($E21/365))+(Q22*($E22/365))+(Q23*($E23/365))</f>
        <v>5.9950684931506855</v>
      </c>
      <c r="W92" s="5">
        <f t="shared" si="36"/>
        <v>48.864657534246575</v>
      </c>
    </row>
    <row r="93" spans="1:30" x14ac:dyDescent="0.15">
      <c r="A93" s="1">
        <v>1998</v>
      </c>
      <c r="B93" s="5">
        <f>(K24*($E24/365))+(K25*($E25/365))</f>
        <v>100</v>
      </c>
      <c r="C93" s="5">
        <f>(L24*($E24/365))+(L25*($E25/365))</f>
        <v>0</v>
      </c>
      <c r="D93" s="5">
        <f>(M24*($E24/365))+(M25*($E25/365))</f>
        <v>0</v>
      </c>
      <c r="E93" s="18">
        <f t="shared" si="35"/>
        <v>100</v>
      </c>
      <c r="G93" s="1">
        <v>1998</v>
      </c>
      <c r="H93" s="409">
        <f>(O24/$R24*100*($E24/365))+(O25/$R25*100*($E25/365))</f>
        <v>100</v>
      </c>
      <c r="I93" s="409"/>
      <c r="J93" s="409">
        <f>(P24/$R24*100*($E24/365))+(P25/$R25*100*($E25/365))</f>
        <v>0</v>
      </c>
      <c r="K93" s="409"/>
      <c r="L93" s="409">
        <f>(Q24/$R24*100*($E24/365))+(Q25/$R25*100*($E25/365))</f>
        <v>0</v>
      </c>
      <c r="M93" s="409"/>
      <c r="N93" s="379">
        <f t="shared" si="34"/>
        <v>100</v>
      </c>
      <c r="O93" s="379"/>
      <c r="R93" s="1">
        <v>1998</v>
      </c>
      <c r="S93" s="5">
        <f>(O24*($E24/365))+(O25*($E25/365))</f>
        <v>57</v>
      </c>
      <c r="T93" s="5">
        <f>(P24*($E24/365))+(P25*($E25/365))</f>
        <v>0</v>
      </c>
      <c r="U93" s="5">
        <f>(Q24*($E24/365))+(Q25*($E25/365))</f>
        <v>0</v>
      </c>
      <c r="W93" s="5">
        <f t="shared" si="36"/>
        <v>57</v>
      </c>
    </row>
    <row r="94" spans="1:30" x14ac:dyDescent="0.15">
      <c r="A94" s="1">
        <v>1999</v>
      </c>
      <c r="B94" s="5">
        <f>(K26*($E26/365))+(K27*($E27/365))</f>
        <v>98.493150684931507</v>
      </c>
      <c r="C94" s="5">
        <f>(L26*($E26/365))+(L27*($E27/365))</f>
        <v>0.37671232876712329</v>
      </c>
      <c r="D94" s="5">
        <f>(M26*($E26/365))+(M27*($E27/365))</f>
        <v>0</v>
      </c>
      <c r="E94" s="18">
        <f t="shared" si="35"/>
        <v>98.869863013698634</v>
      </c>
      <c r="G94" s="1">
        <v>1999</v>
      </c>
      <c r="H94" s="409">
        <f>(O26/$R26*100*($E26/365))+(O27/$R27*100*($E27/365))</f>
        <v>100</v>
      </c>
      <c r="I94" s="409"/>
      <c r="J94" s="409">
        <f>(P26/$R26*100*($E26/365))+(P27/$R27*100*($E27/365))</f>
        <v>0</v>
      </c>
      <c r="K94" s="409"/>
      <c r="L94" s="409">
        <f>(Q26/$R26*100*($E26/365))+(Q27/$R27*100*($E27/365))</f>
        <v>0</v>
      </c>
      <c r="M94" s="409"/>
      <c r="N94" s="379">
        <f t="shared" si="34"/>
        <v>100</v>
      </c>
      <c r="O94" s="379"/>
      <c r="R94" s="1">
        <v>1999</v>
      </c>
      <c r="S94" s="5">
        <f>(O26*($E26/365))+(O27*($E27/365))</f>
        <v>57</v>
      </c>
      <c r="T94" s="5">
        <f>(P26*($E26/365))+(P27*($E27/365))</f>
        <v>0</v>
      </c>
      <c r="U94" s="5">
        <f>(Q26*($E26/365))+(Q27*($E27/365))</f>
        <v>0</v>
      </c>
      <c r="W94" s="5">
        <f t="shared" si="36"/>
        <v>57</v>
      </c>
    </row>
    <row r="95" spans="1:30" x14ac:dyDescent="0.15">
      <c r="A95" s="1">
        <v>2000</v>
      </c>
      <c r="B95" s="5">
        <f>(K28*($E28/366))+(K29*($E29/366))</f>
        <v>50</v>
      </c>
      <c r="C95" s="5">
        <f>(L28*($E28/366))+(L29*($E29/366))</f>
        <v>12.5</v>
      </c>
      <c r="D95" s="5">
        <f>(M28*($E28/366))+(M29*($E29/366))</f>
        <v>0</v>
      </c>
      <c r="E95" s="18">
        <f t="shared" si="35"/>
        <v>62.5</v>
      </c>
      <c r="G95" s="1">
        <v>2000</v>
      </c>
      <c r="H95" s="409">
        <f>(O28/$R28*100*($E28/366))+(O29/$R29*100*($E29/366))</f>
        <v>100</v>
      </c>
      <c r="I95" s="409"/>
      <c r="J95" s="409">
        <f>(P28/$R28*100*($E28/366))+(P29/$R29*100*($E29/366))</f>
        <v>0</v>
      </c>
      <c r="K95" s="409"/>
      <c r="L95" s="409">
        <f>(Q28/$R28*100*($E28/366))+(Q29/$R29*100*($E29/366))</f>
        <v>0</v>
      </c>
      <c r="M95" s="409"/>
      <c r="N95" s="379">
        <f t="shared" si="34"/>
        <v>100</v>
      </c>
      <c r="O95" s="379"/>
      <c r="R95" s="1">
        <v>2000</v>
      </c>
      <c r="S95" s="5">
        <f>(O28*($E28/366))+(O29*($E29/366))</f>
        <v>57</v>
      </c>
      <c r="T95" s="5">
        <f>(P28*($E28/366))+(P29*($E29/366))</f>
        <v>0</v>
      </c>
      <c r="U95" s="5">
        <f>(Q28*($E28/366))+(Q29*($E29/366))</f>
        <v>0</v>
      </c>
      <c r="W95" s="5">
        <f t="shared" si="36"/>
        <v>57</v>
      </c>
    </row>
    <row r="96" spans="1:30" x14ac:dyDescent="0.15">
      <c r="A96" s="1">
        <v>2001</v>
      </c>
      <c r="B96" s="5">
        <f>(K30*($E30/365))+(K31*($E31/365))</f>
        <v>66.865431103948424</v>
      </c>
      <c r="C96" s="5">
        <f>(L30*($E30/365))+(L31*($E31/365))</f>
        <v>6.9863013698630141</v>
      </c>
      <c r="D96" s="5">
        <f>(M30*($E30/365))+(M31*($E31/365))</f>
        <v>5.1893634165995159</v>
      </c>
      <c r="E96" s="18">
        <f t="shared" si="35"/>
        <v>79.041095890410958</v>
      </c>
      <c r="G96" s="1">
        <v>2001</v>
      </c>
      <c r="H96" s="409">
        <f>(O30/$R30*100*($E30/365))+(O31/$R31*100*($E31/365))</f>
        <v>88.797564687975651</v>
      </c>
      <c r="I96" s="409"/>
      <c r="J96" s="409">
        <f>(P30/$R30*100*($E30/365))+(P31/$R31*100*($E31/365))</f>
        <v>0</v>
      </c>
      <c r="K96" s="409"/>
      <c r="L96" s="409">
        <f>(Q30/$R30*100*($E30/365))+(Q31/$R31*100*($E31/365))</f>
        <v>11.202435312024352</v>
      </c>
      <c r="M96" s="409"/>
      <c r="N96" s="379">
        <f t="shared" si="34"/>
        <v>100</v>
      </c>
      <c r="O96" s="379"/>
      <c r="R96" s="1">
        <v>2001</v>
      </c>
      <c r="S96" s="5">
        <f>(O30*($E30/365))+(O31*($E31/365))</f>
        <v>57.771917808219186</v>
      </c>
      <c r="T96" s="5">
        <f>(P30*($E30/365))+(P31*($E31/365))</f>
        <v>0</v>
      </c>
      <c r="U96" s="5">
        <f>(Q30*($E30/365))+(Q31*($E31/365))</f>
        <v>8.8219178082191778</v>
      </c>
      <c r="W96" s="5">
        <f t="shared" si="36"/>
        <v>66.593835616438369</v>
      </c>
    </row>
    <row r="97" spans="1:23" x14ac:dyDescent="0.15">
      <c r="A97" s="1">
        <v>2002</v>
      </c>
      <c r="B97" s="5">
        <f>(K32*($E32/365))+(K33*($E33/365))</f>
        <v>88.623869639179873</v>
      </c>
      <c r="C97" s="5">
        <f>(L32*($E32/365))+(L33*($E33/365))</f>
        <v>0</v>
      </c>
      <c r="D97" s="5">
        <f>(M32*($E32/365))+(M33*($E33/365))</f>
        <v>11.376130360820127</v>
      </c>
      <c r="E97" s="18">
        <f t="shared" si="35"/>
        <v>100</v>
      </c>
      <c r="G97" s="1">
        <v>2002</v>
      </c>
      <c r="H97" s="409">
        <f>(O32/$R32*100*($E32/365))+(O33/$R33*100*($E33/365))</f>
        <v>74.603174603174608</v>
      </c>
      <c r="I97" s="409"/>
      <c r="J97" s="409">
        <f>(P32/$R32*100*($E32/365))+(P33/$R33*100*($E33/365))</f>
        <v>0</v>
      </c>
      <c r="K97" s="409"/>
      <c r="L97" s="409">
        <f>(Q32/$R32*100*($E32/365))+(Q33/$R33*100*($E33/365))</f>
        <v>25.396825396825395</v>
      </c>
      <c r="M97" s="409"/>
      <c r="N97" s="379">
        <f t="shared" si="34"/>
        <v>100</v>
      </c>
      <c r="O97" s="379"/>
      <c r="R97" s="1">
        <v>2002</v>
      </c>
      <c r="S97" s="5">
        <f>(O32*($E32/365))+(O33*($E33/365))</f>
        <v>58.75</v>
      </c>
      <c r="T97" s="5">
        <f>(P32*($E32/365))+(P33*($E33/365))</f>
        <v>0</v>
      </c>
      <c r="U97" s="5">
        <f>(Q32*($E32/365))+(Q33*($E33/365))</f>
        <v>20</v>
      </c>
      <c r="W97" s="5">
        <f t="shared" si="36"/>
        <v>78.75</v>
      </c>
    </row>
    <row r="98" spans="1:23" x14ac:dyDescent="0.15">
      <c r="A98" s="1">
        <v>2003</v>
      </c>
      <c r="B98" s="5">
        <f>(K34*($E34/365))+(K35*($E35/365))</f>
        <v>88.888888888888886</v>
      </c>
      <c r="C98" s="5">
        <f>(L34*($E34/365))+(L35*($E35/365))</f>
        <v>0</v>
      </c>
      <c r="D98" s="5">
        <f>(M34*($E34/365))+(M35*($E35/365))</f>
        <v>11.111111111111111</v>
      </c>
      <c r="E98" s="18">
        <f t="shared" si="35"/>
        <v>100</v>
      </c>
      <c r="G98" s="1">
        <v>2003</v>
      </c>
      <c r="H98" s="409">
        <f>(O34/$R34*100*($E34/365))+(O35/$R35*100*($E35/365))</f>
        <v>74.603174603174608</v>
      </c>
      <c r="I98" s="409"/>
      <c r="J98" s="409">
        <f>(P34/$R34*100*($E34/365))+(P35/$R35*100*($E35/365))</f>
        <v>0</v>
      </c>
      <c r="K98" s="409"/>
      <c r="L98" s="409">
        <f>(Q34/$R34*100*($E34/365))+(Q35/$R35*100*($E35/365))</f>
        <v>25.396825396825395</v>
      </c>
      <c r="M98" s="409"/>
      <c r="N98" s="379">
        <f t="shared" si="34"/>
        <v>100</v>
      </c>
      <c r="O98" s="379"/>
      <c r="R98" s="1">
        <v>2003</v>
      </c>
      <c r="S98" s="5">
        <f>(O34*($E34/365))+(O35*($E35/365))</f>
        <v>58.75</v>
      </c>
      <c r="T98" s="5">
        <f>(P34*($E34/365))+(P35*($E35/365))</f>
        <v>0</v>
      </c>
      <c r="U98" s="5">
        <f>(Q34*($E34/365))+(Q35*($E35/365))</f>
        <v>20</v>
      </c>
      <c r="W98" s="5">
        <f t="shared" si="36"/>
        <v>78.75</v>
      </c>
    </row>
    <row r="99" spans="1:23" x14ac:dyDescent="0.15">
      <c r="A99" s="1">
        <v>2004</v>
      </c>
      <c r="B99" s="5">
        <f>(K36*($E36/366))+(K37*($E37/366))</f>
        <v>88.888888888888886</v>
      </c>
      <c r="C99" s="5">
        <f>(L36*($E36/366))+(L37*($E37/366))</f>
        <v>0</v>
      </c>
      <c r="D99" s="5">
        <f>(M36*($E36/366))+(M37*($E37/366))</f>
        <v>11.111111111111111</v>
      </c>
      <c r="E99" s="18">
        <f t="shared" si="35"/>
        <v>100</v>
      </c>
      <c r="G99" s="1">
        <v>2004</v>
      </c>
      <c r="H99" s="409">
        <f>(O36/$R36*100*($E36/366))+(O37/$R37*100*($E37/366))</f>
        <v>74.603174603174608</v>
      </c>
      <c r="I99" s="409"/>
      <c r="J99" s="409">
        <f>(P36/$R36*100*($E36/366))+(P37/$R37*100*($E37/366))</f>
        <v>0</v>
      </c>
      <c r="K99" s="409"/>
      <c r="L99" s="409">
        <f>(Q36/$R36*100*($E36/366))+(Q37/$R37*100*($E37/366))</f>
        <v>25.396825396825395</v>
      </c>
      <c r="M99" s="409"/>
      <c r="N99" s="379">
        <f t="shared" si="34"/>
        <v>100</v>
      </c>
      <c r="O99" s="379"/>
      <c r="R99" s="1">
        <v>2004</v>
      </c>
      <c r="S99" s="5">
        <f>(O36*($E36/366))+(O37*($E37/366))</f>
        <v>58.75</v>
      </c>
      <c r="T99" s="5">
        <f>(P36*($E36/366))+(P37*($E37/366))</f>
        <v>0</v>
      </c>
      <c r="U99" s="5">
        <f>(Q36*($E36/366))+(Q37*($E37/366))</f>
        <v>20</v>
      </c>
      <c r="W99" s="5">
        <f t="shared" si="36"/>
        <v>78.75</v>
      </c>
    </row>
    <row r="100" spans="1:23" x14ac:dyDescent="0.15">
      <c r="A100" s="1">
        <v>2005</v>
      </c>
      <c r="B100" s="5">
        <f>(K38*($E38/365))+(K39*($E39/365))+(K40*($E40/365))</f>
        <v>72.367219418409036</v>
      </c>
      <c r="C100" s="5">
        <f>(L38*($E38/365))+(L39*($E39/365))+(L40*($E40/365))</f>
        <v>0</v>
      </c>
      <c r="D100" s="5">
        <f>(M38*($E38/365))+(M39*($E39/365))+(M40*($E40/365))</f>
        <v>25.532323960586396</v>
      </c>
      <c r="E100" s="18">
        <f t="shared" si="35"/>
        <v>97.899543378995432</v>
      </c>
      <c r="G100" s="1">
        <v>2005</v>
      </c>
      <c r="H100" s="409">
        <f>(O38/$R38*100*($E38/365))+(O39/$R39*100*($E39/365))+(O40/$R40*100*($E40/365))</f>
        <v>65.812659469870127</v>
      </c>
      <c r="I100" s="409"/>
      <c r="J100" s="409">
        <f>(P38/$R38*100*($E38/365))+(P39/$R39*100*($E39/365))+(P40/$R40*100*($E40/365))</f>
        <v>0</v>
      </c>
      <c r="K100" s="409"/>
      <c r="L100" s="409">
        <f>(Q38/$R38*100*($E38/365))+(Q39/$R39*100*($E39/365))+(Q40/$R40*100*($E40/365))</f>
        <v>34.187340530129873</v>
      </c>
      <c r="M100" s="409"/>
      <c r="N100" s="379">
        <f t="shared" si="34"/>
        <v>100</v>
      </c>
      <c r="O100" s="379"/>
      <c r="R100" s="1">
        <v>2005</v>
      </c>
      <c r="S100" s="5">
        <f>(O38*($E38/365))+(O39*($E39/365))+(O40*($E40/365))</f>
        <v>50.099479452054801</v>
      </c>
      <c r="T100" s="5">
        <f>(P38*($E38/365))+(P39*($E39/365))+(P40*($E40/365))</f>
        <v>0</v>
      </c>
      <c r="U100" s="5">
        <f>(Q38*($E38/365))+(Q39*($E39/365))+(Q40*($E40/365))</f>
        <v>25.285589041095889</v>
      </c>
      <c r="W100" s="5">
        <f t="shared" si="36"/>
        <v>75.385068493150698</v>
      </c>
    </row>
    <row r="101" spans="1:23" x14ac:dyDescent="0.15">
      <c r="A101" s="1">
        <v>2006</v>
      </c>
      <c r="B101" s="5">
        <f>(K41*($E41/365))+(K42*($E42/365))</f>
        <v>44.444444444444443</v>
      </c>
      <c r="C101" s="5">
        <f>(L41*($E41/365))+(L42*($E42/365))</f>
        <v>0</v>
      </c>
      <c r="D101" s="5">
        <f>(M41*($E41/365))+(M42*($E42/365))</f>
        <v>50</v>
      </c>
      <c r="E101" s="18">
        <f t="shared" si="35"/>
        <v>94.444444444444443</v>
      </c>
      <c r="G101" s="1">
        <v>2006</v>
      </c>
      <c r="H101" s="409">
        <f>(O41/$R41*100*($E41/365))+(O42/$R42*100*($E42/365))</f>
        <v>51.3528990694345</v>
      </c>
      <c r="I101" s="409"/>
      <c r="J101" s="409">
        <f>(P41/$R41*100*($E41/365))+(P42/$R42*100*($E42/365))</f>
        <v>0</v>
      </c>
      <c r="K101" s="409"/>
      <c r="L101" s="409">
        <f>(Q41/$R41*100*($E41/365))+(Q42/$R42*100*($E42/365))</f>
        <v>48.647100930565493</v>
      </c>
      <c r="M101" s="409"/>
      <c r="N101" s="379">
        <f t="shared" si="34"/>
        <v>100</v>
      </c>
      <c r="O101" s="379"/>
      <c r="R101" s="1">
        <v>2006</v>
      </c>
      <c r="S101" s="5">
        <f>(O41*($E41/365))+(O42*($E42/365))</f>
        <v>35.869999999999997</v>
      </c>
      <c r="T101" s="5">
        <f>(P41*($E41/365))+(P42*($E42/365))</f>
        <v>0</v>
      </c>
      <c r="U101" s="5">
        <f>(Q41*($E41/365))+(Q42*($E42/365))</f>
        <v>33.979999999999997</v>
      </c>
      <c r="W101" s="5">
        <f t="shared" si="36"/>
        <v>69.849999999999994</v>
      </c>
    </row>
    <row r="102" spans="1:23" x14ac:dyDescent="0.15">
      <c r="A102" s="1">
        <v>2007</v>
      </c>
      <c r="B102" s="5">
        <f>(K43*($E43/365))+(K44*($E44/365))</f>
        <v>44.444444444444443</v>
      </c>
      <c r="C102" s="5">
        <f>(L43*($E43/365))+(L44*($E44/365))</f>
        <v>0</v>
      </c>
      <c r="D102" s="5">
        <f>(M43*($E43/365))+(M44*($E44/365))</f>
        <v>50</v>
      </c>
      <c r="E102" s="18">
        <f t="shared" si="35"/>
        <v>94.444444444444443</v>
      </c>
      <c r="G102" s="1">
        <v>2007</v>
      </c>
      <c r="H102" s="409">
        <f>(O43/$R43*100*($E43/365))+(O44/$R44*100*($E44/365))</f>
        <v>51.3528990694345</v>
      </c>
      <c r="I102" s="409"/>
      <c r="J102" s="409">
        <f>(P43/$R43*100*($E43/365))+(P44/$R44*100*($E44/365))</f>
        <v>0</v>
      </c>
      <c r="K102" s="409"/>
      <c r="L102" s="409">
        <f>(Q43/$R43*100*($E43/365))+(Q44/$R44*100*($E44/365))</f>
        <v>48.647100930565493</v>
      </c>
      <c r="M102" s="409"/>
      <c r="N102" s="379">
        <f t="shared" si="34"/>
        <v>100</v>
      </c>
      <c r="O102" s="379"/>
      <c r="R102" s="1">
        <v>2007</v>
      </c>
      <c r="S102" s="5">
        <f>(O43*($E43/365))+(O44*($E44/365))</f>
        <v>35.869999999999997</v>
      </c>
      <c r="T102" s="5">
        <f>(P43*($E43/365))+(P44*($E44/365))</f>
        <v>0</v>
      </c>
      <c r="U102" s="5">
        <f>(Q43*($E43/365))+(Q44*($E44/365))</f>
        <v>33.979999999999997</v>
      </c>
      <c r="W102" s="5">
        <f t="shared" si="36"/>
        <v>69.849999999999994</v>
      </c>
    </row>
    <row r="103" spans="1:23" x14ac:dyDescent="0.15">
      <c r="A103" s="1">
        <v>2008</v>
      </c>
      <c r="B103" s="5">
        <f>(K45*($E45/366))+(K46*($E46/366))</f>
        <v>42.833860607803658</v>
      </c>
      <c r="C103" s="5">
        <f>(L45*($E45/366))+(L46*($E46/366))</f>
        <v>0</v>
      </c>
      <c r="D103" s="5">
        <f>(M45*($E45/366))+(M46*($E46/366))</f>
        <v>51.811906816220876</v>
      </c>
      <c r="E103" s="18">
        <f t="shared" si="35"/>
        <v>94.645767424024541</v>
      </c>
      <c r="G103" s="1">
        <v>2008</v>
      </c>
      <c r="H103" s="409">
        <f>(O45/$R45*100*($E45/366))+(O46/$R46*100*($E46/366))</f>
        <v>51.3528990694345</v>
      </c>
      <c r="I103" s="409"/>
      <c r="J103" s="409">
        <f>(P45/$R45*100*($E45/366))+(P46/$R46*100*($E46/366))</f>
        <v>0</v>
      </c>
      <c r="K103" s="409"/>
      <c r="L103" s="409">
        <f>(Q45/$R45*100*($E45/366))+(Q46/$R46*100*($E46/366))</f>
        <v>48.647100930565493</v>
      </c>
      <c r="M103" s="409"/>
      <c r="N103" s="379">
        <f t="shared" si="34"/>
        <v>100</v>
      </c>
      <c r="O103" s="379"/>
      <c r="R103" s="1">
        <v>2008</v>
      </c>
      <c r="S103" s="5">
        <f>(O45*($E45/366))+(O46*($E46/366))</f>
        <v>35.869999999999997</v>
      </c>
      <c r="T103" s="5">
        <f>(P45*($E45/366))+(P46*($E46/366))</f>
        <v>0</v>
      </c>
      <c r="U103" s="5">
        <f>(Q45*($E45/366))+(Q46*($E46/366))</f>
        <v>33.979999999999997</v>
      </c>
      <c r="W103" s="5">
        <f t="shared" si="36"/>
        <v>69.849999999999994</v>
      </c>
    </row>
    <row r="104" spans="1:23" x14ac:dyDescent="0.15">
      <c r="A104" s="1">
        <v>2009</v>
      </c>
      <c r="B104" s="5">
        <f>(K47*($E47/365))+(K48*($E48/365))</f>
        <v>64.620212901310481</v>
      </c>
      <c r="C104" s="5">
        <f>(L47*($E47/365))+(L48*($E48/365))</f>
        <v>0</v>
      </c>
      <c r="D104" s="5">
        <f>(M47*($E47/365))+(M48*($E48/365))</f>
        <v>29.848594087959622</v>
      </c>
      <c r="E104" s="18">
        <f t="shared" si="35"/>
        <v>94.468806989270107</v>
      </c>
      <c r="G104" s="1">
        <v>2009</v>
      </c>
      <c r="H104" s="409">
        <f>(O47/$R47*100*($E47/365))+(O48/$R48*100*($E48/365))</f>
        <v>72.4110961845834</v>
      </c>
      <c r="I104" s="409"/>
      <c r="J104" s="409">
        <f>(P47/$R47*100*($E47/365))+(P48/$R48*100*($E48/365))</f>
        <v>0</v>
      </c>
      <c r="K104" s="409"/>
      <c r="L104" s="409">
        <f>(Q47/$R47*100*($E47/365))+(Q48/$R48*100*($E48/365))</f>
        <v>27.588903815416593</v>
      </c>
      <c r="M104" s="409"/>
      <c r="N104" s="379">
        <f t="shared" si="34"/>
        <v>100</v>
      </c>
      <c r="O104" s="379"/>
      <c r="R104" s="1">
        <v>2009</v>
      </c>
      <c r="S104" s="5">
        <f>(O47*($E47/365))+(O48*($E48/365))</f>
        <v>41.46709589041096</v>
      </c>
      <c r="T104" s="5">
        <f>(P47*($E47/365))+(P48*($E48/365))</f>
        <v>0</v>
      </c>
      <c r="U104" s="5">
        <f>(Q47*($E47/365))+(Q48*($E48/365))</f>
        <v>19.270849315068492</v>
      </c>
      <c r="W104" s="5">
        <f t="shared" si="36"/>
        <v>60.737945205479448</v>
      </c>
    </row>
    <row r="105" spans="1:23" x14ac:dyDescent="0.15">
      <c r="A105" s="1">
        <v>2010</v>
      </c>
      <c r="B105" s="5">
        <f>(K49*($E49/365))+(K50*($E50/365))+(K51*($E51/365))+(K52*($E52/365))</f>
        <v>90.136986301369859</v>
      </c>
      <c r="C105" s="5">
        <f>(L49*($E49/365))+(L50*($E50/365))+(L51*($E51/365))+(L52*($E52/365))</f>
        <v>0</v>
      </c>
      <c r="D105" s="5">
        <f>(M49*($E49/365))+(M50*($E50/365))+(M51*($E51/365))+(M52*($E52/365))</f>
        <v>0</v>
      </c>
      <c r="E105" s="18">
        <f t="shared" si="35"/>
        <v>90.136986301369859</v>
      </c>
      <c r="G105" s="1">
        <v>2010</v>
      </c>
      <c r="H105" s="409">
        <f>(O49/$R49*100*($E49/365))+(O50/$R50*100*($E50/365))+(O51/$R51*100*($E51/365))+(O52/$R52*100*($E52/365))</f>
        <v>100</v>
      </c>
      <c r="I105" s="409"/>
      <c r="J105" s="409">
        <f>(P49/$R49*100*($E49/365))+(P50/$R50*100*($E50/365))+(P51/$R51*100*($E51/365))+(P52/$R52*100*($E52/365))</f>
        <v>0</v>
      </c>
      <c r="K105" s="409"/>
      <c r="L105" s="409">
        <f>(Q49/$R49*100*($E49/365))+(Q50/$R50*100*($E50/365))+(Q51/$R51*100*($E51/365))+(Q52/$R52*100*($E52/365))</f>
        <v>0</v>
      </c>
      <c r="M105" s="409"/>
      <c r="N105" s="379">
        <f t="shared" si="34"/>
        <v>100</v>
      </c>
      <c r="O105" s="379"/>
      <c r="R105" s="1">
        <v>2010</v>
      </c>
      <c r="S105" s="5">
        <f>(O49*($E49/365))+(O50*($E50/365))+(O51*($E51/365))+(O52*($E52/365))</f>
        <v>48.8</v>
      </c>
      <c r="T105" s="5">
        <f>(P49*($E49/365))+(P50*($E50/365))+(P51*($E51/365))+(P52*($E52/365))</f>
        <v>0</v>
      </c>
      <c r="U105" s="5">
        <f>(Q49*($E49/365))+(Q50*($E50/365))+(Q51*($E51/365))+(Q52*($E52/365))</f>
        <v>0</v>
      </c>
      <c r="W105" s="5">
        <f t="shared" si="36"/>
        <v>48.8</v>
      </c>
    </row>
    <row r="106" spans="1:23" x14ac:dyDescent="0.15">
      <c r="A106" s="1">
        <v>2011</v>
      </c>
      <c r="B106" s="5">
        <f>(K53*($E53/365))+(K54*($E54/365))</f>
        <v>88.235294117647058</v>
      </c>
      <c r="C106" s="5">
        <f>(L53*($E53/365))+(L54*($E54/365))</f>
        <v>0</v>
      </c>
      <c r="D106" s="5">
        <f>(M53*($E53/365))+(M54*($E54/365))</f>
        <v>0</v>
      </c>
      <c r="E106" s="18">
        <f t="shared" si="35"/>
        <v>88.235294117647058</v>
      </c>
      <c r="G106" s="1">
        <v>2011</v>
      </c>
      <c r="H106" s="409">
        <f>(O53/$R53*100*($E53/365))+(O54/$R54*100*($E54/365))</f>
        <v>100</v>
      </c>
      <c r="I106" s="409"/>
      <c r="J106" s="409">
        <f>(P53/$R53*100*($E53/365))+(P54/$R54*100*($E54/365))</f>
        <v>0</v>
      </c>
      <c r="K106" s="409"/>
      <c r="L106" s="409">
        <f>(Q53/$R53*100*($E53/365))+(Q54/$R54*100*($E54/365))</f>
        <v>0</v>
      </c>
      <c r="M106" s="409"/>
      <c r="N106" s="379">
        <f t="shared" si="34"/>
        <v>100</v>
      </c>
      <c r="O106" s="379"/>
      <c r="R106" s="1">
        <v>2011</v>
      </c>
      <c r="S106" s="5">
        <f>(O53*($E53/365))+(O54*($E54/365))</f>
        <v>48.8</v>
      </c>
      <c r="T106" s="5">
        <f>(P53*($E53/365))+(P54*($E54/365))</f>
        <v>0</v>
      </c>
      <c r="U106" s="5">
        <f>(Q53*($E53/365))+(Q54*($E54/365))</f>
        <v>0</v>
      </c>
      <c r="W106" s="5">
        <f t="shared" si="36"/>
        <v>48.8</v>
      </c>
    </row>
    <row r="107" spans="1:23" x14ac:dyDescent="0.15">
      <c r="A107" s="1">
        <v>2012</v>
      </c>
      <c r="B107" s="5">
        <f>(K55*($E55/366))+(K56*($E56/366))</f>
        <v>92.831886853101878</v>
      </c>
      <c r="C107" s="5">
        <f>(L55*($E55/366))+(L56*($E56/366))</f>
        <v>0</v>
      </c>
      <c r="D107" s="5">
        <f>(M55*($E55/366))+(M56*($E56/366))</f>
        <v>0</v>
      </c>
      <c r="E107" s="18">
        <f t="shared" si="35"/>
        <v>92.831886853101878</v>
      </c>
      <c r="G107" s="1">
        <v>2012</v>
      </c>
      <c r="H107" s="409">
        <f>(O55/$R55*100*($E55/366))+(O56/$R56*100*($E56/366))</f>
        <v>100</v>
      </c>
      <c r="I107" s="409"/>
      <c r="J107" s="409">
        <f>(P55/$R55*100*($E55/366))+(P56/$R56*100*($E56/366))</f>
        <v>0</v>
      </c>
      <c r="K107" s="409"/>
      <c r="L107" s="409">
        <f>(Q55/$R55*100*($E55/366))+(Q56/$R56*100*($E56/366))</f>
        <v>0</v>
      </c>
      <c r="M107" s="409"/>
      <c r="N107" s="379">
        <f t="shared" si="34"/>
        <v>100</v>
      </c>
      <c r="O107" s="379"/>
      <c r="R107" s="1">
        <v>2012</v>
      </c>
      <c r="S107" s="5">
        <f>(O55*($E55/366))+(O56*($E56/366))</f>
        <v>48.8</v>
      </c>
      <c r="T107" s="5">
        <f>(P55*($E55/366))+(P56*($E56/366))</f>
        <v>0</v>
      </c>
      <c r="U107" s="5">
        <f>(Q55*($E55/366))+(Q56*($E56/366))</f>
        <v>0</v>
      </c>
      <c r="W107" s="5">
        <f t="shared" si="36"/>
        <v>48.8</v>
      </c>
    </row>
    <row r="108" spans="1:23" x14ac:dyDescent="0.15">
      <c r="A108" s="1">
        <v>2013</v>
      </c>
      <c r="B108" s="5">
        <f>(K57*($E57/365))+(K58*($E58/365))+(K59*($E59/365))+(K60*($E60/365))+(K61*($E61/365))</f>
        <v>24.401468349897034</v>
      </c>
      <c r="C108" s="5">
        <f>(L57*($E57/365))+(L58*($E58/365))+(L59*($E59/365))+(L60*($E60/365))+(L61*($E61/365))</f>
        <v>0</v>
      </c>
      <c r="D108" s="5">
        <f>(M57*($E57/365))+(M58*($E58/365))+(M59*($E59/365))+(M60*($E60/365))+(M61*($E61/365))</f>
        <v>13.315426627271913</v>
      </c>
      <c r="E108" s="18">
        <f t="shared" ref="E108:E113" si="37">SUM(B108:D108)</f>
        <v>37.716894977168948</v>
      </c>
      <c r="G108" s="1">
        <v>2013</v>
      </c>
      <c r="H108" s="409">
        <f>(O57/$R57*100*($E57/365))+(O58/$R58*100*($E58/365))+(O60/$R60*100*($E60/365))+(O61/$R61*100*($E61/365))</f>
        <v>37.287671232876711</v>
      </c>
      <c r="I108" s="409"/>
      <c r="J108" s="409">
        <f>(P57/$R57*100*($E57/365))+(P58/$R58*100*($E58/365))+(P60/$R60*100*($E60/365))+(P61/$R61*100*($E61/365))</f>
        <v>0</v>
      </c>
      <c r="K108" s="409"/>
      <c r="L108" s="409">
        <f>(Q57/$R57*100*($E57/365))+(Q58/$R58*100*($E58/365))+(Q60/$R60*100*($E60/365))+(Q61/$R61*100*($E61/365))</f>
        <v>41.61643835616438</v>
      </c>
      <c r="M108" s="409"/>
      <c r="N108" s="379">
        <f t="shared" ref="N108:N113" si="38">SUM(H108:M108)</f>
        <v>78.904109589041099</v>
      </c>
      <c r="O108" s="379"/>
      <c r="R108" s="1">
        <v>2013</v>
      </c>
      <c r="S108" s="5">
        <f>(O57*($E57/365))+(O58*($E58/365))+(O59*($E59/365))+(O60*($E60/365))+(O61*($E61/365))</f>
        <v>18.410410958904109</v>
      </c>
      <c r="T108" s="5">
        <f>(P57*($E57/365))+(P58*($E58/365))+(P59*($E59/365))+(P60*($E60/365))+(P61*($E61/365))</f>
        <v>0</v>
      </c>
      <c r="U108" s="5">
        <f>(Q57*($E57/365))+(Q58*($E58/365))+(Q59*($E59/365))+(Q60*($E60/365))+(Q61*($E61/365))</f>
        <v>20.80821917808219</v>
      </c>
      <c r="W108" s="5">
        <f t="shared" si="36"/>
        <v>39.218630136986299</v>
      </c>
    </row>
    <row r="109" spans="1:23" x14ac:dyDescent="0.15">
      <c r="A109" s="1">
        <v>2014</v>
      </c>
      <c r="B109" s="5">
        <f>(K62*($E62/365))+(K63*($E63/365))+(K64*($E64/365))</f>
        <v>20.920852359208524</v>
      </c>
      <c r="C109" s="5">
        <f>(L62*($E62/365))+(L63*($E63/365))+(L64*($E64/365))</f>
        <v>0</v>
      </c>
      <c r="D109" s="5">
        <f>(M62*($E62/365))+(M63*($E63/365))+(M64*($E64/365))</f>
        <v>13.964992389649924</v>
      </c>
      <c r="E109" s="18">
        <f t="shared" si="37"/>
        <v>34.885844748858446</v>
      </c>
      <c r="G109" s="1">
        <v>2014</v>
      </c>
      <c r="H109" s="409">
        <f>(O62/$R62*100*($E62/365))+(O64/$R64*100*($E64/365))</f>
        <v>31.495266733489252</v>
      </c>
      <c r="I109" s="409"/>
      <c r="J109" s="409">
        <f>(P62/$R62*100*($E62/365))+(P64/$R64*100*($E64/365))</f>
        <v>0</v>
      </c>
      <c r="K109" s="409"/>
      <c r="L109" s="409">
        <f>(Q62/$R62*100*($E62/365))+(Q64/$R64*100*($E64/365))</f>
        <v>43.025281211716226</v>
      </c>
      <c r="M109" s="409"/>
      <c r="N109" s="379">
        <f t="shared" si="38"/>
        <v>74.520547945205479</v>
      </c>
      <c r="O109" s="379"/>
      <c r="R109" s="1">
        <v>2014</v>
      </c>
      <c r="S109" s="5">
        <f>(O62*($E62/365))+(O63*($E63/365))+(O64*($E64/365))</f>
        <v>15.638356164383563</v>
      </c>
      <c r="T109" s="5">
        <f>(P62*($E62/365))+(P63*($E63/365))+(P64*($E64/365))</f>
        <v>0</v>
      </c>
      <c r="U109" s="5">
        <f>(Q62*($E62/365))+(Q63*($E63/365))+(Q64*($E64/365))</f>
        <v>21.501369863013696</v>
      </c>
      <c r="W109" s="5">
        <f t="shared" ref="W109:W114" si="39">SUM(S109:U109)</f>
        <v>37.139726027397259</v>
      </c>
    </row>
    <row r="110" spans="1:23" x14ac:dyDescent="0.15">
      <c r="A110" s="1">
        <v>2015</v>
      </c>
      <c r="B110" s="5">
        <f>(K65*($E65/365))+(K66*($E66/365))</f>
        <v>94.808219178082197</v>
      </c>
      <c r="C110" s="5">
        <f>(L65*($E65/365))+(L66*($E66/365))</f>
        <v>0</v>
      </c>
      <c r="D110" s="5">
        <f>(M65*($E65/365))+(M66*($E66/365))</f>
        <v>5</v>
      </c>
      <c r="E110" s="18">
        <f t="shared" si="37"/>
        <v>99.808219178082197</v>
      </c>
      <c r="G110" s="1">
        <v>2015</v>
      </c>
      <c r="H110" s="409">
        <f>(O65/$R65*100*($E65/365))+(O66/$R66*100*($E66/365))</f>
        <v>90.650406504065046</v>
      </c>
      <c r="I110" s="409"/>
      <c r="J110" s="409">
        <f>(P65/$R65*100*($E65/365))+(P66/$R66*100*($E66/365))</f>
        <v>0</v>
      </c>
      <c r="K110" s="409"/>
      <c r="L110" s="409">
        <f>(Q65/$R65*100*($E65/365))+(Q66/$R66*100*($E66/365))</f>
        <v>9.3495934959349576</v>
      </c>
      <c r="M110" s="409"/>
      <c r="N110" s="379">
        <f t="shared" si="38"/>
        <v>100</v>
      </c>
      <c r="O110" s="379"/>
      <c r="R110" s="1">
        <v>2015</v>
      </c>
      <c r="S110" s="5">
        <f>(O65*($E65/365))+(O66*($E66/365))</f>
        <v>44.6</v>
      </c>
      <c r="T110" s="5">
        <f>(P65*($E65/365))+(P66*($E66/365))</f>
        <v>0</v>
      </c>
      <c r="U110" s="5">
        <f>(Q65*($E65/365))+(Q66*($E66/365))</f>
        <v>4.5999999999999996</v>
      </c>
      <c r="W110" s="5">
        <f t="shared" si="39"/>
        <v>49.2</v>
      </c>
    </row>
    <row r="111" spans="1:23" x14ac:dyDescent="0.15">
      <c r="A111" s="1">
        <v>2016</v>
      </c>
      <c r="B111" s="5">
        <f>(K67*($E67/366))+(K68*($E68/366))</f>
        <v>93.509411050394647</v>
      </c>
      <c r="C111" s="5">
        <f>(L67*($E67/366))+(L68*($E68/366))</f>
        <v>0</v>
      </c>
      <c r="D111" s="5">
        <f>(M67*($E67/366))+(M68*($E68/366))</f>
        <v>1.0519125683060109</v>
      </c>
      <c r="E111" s="18">
        <f t="shared" si="37"/>
        <v>94.561323618700655</v>
      </c>
      <c r="G111" s="1">
        <v>2016</v>
      </c>
      <c r="H111" s="409">
        <f>(O67/$R67*100*($E67/366))+(O68/$R68*100*($E68/366))</f>
        <v>90.650406504065046</v>
      </c>
      <c r="I111" s="409"/>
      <c r="J111" s="409">
        <f>(P67/$R67*100*($E67/366))+(P68/$R68*100*($E68/366))</f>
        <v>0</v>
      </c>
      <c r="K111" s="409"/>
      <c r="L111" s="409">
        <f>(Q67/$R67*100*($E67/366))+(Q68/$R68*100*($E68/366))</f>
        <v>9.3495934959349576</v>
      </c>
      <c r="M111" s="409"/>
      <c r="N111" s="379">
        <f t="shared" si="38"/>
        <v>100</v>
      </c>
      <c r="O111" s="379"/>
      <c r="R111" s="1">
        <v>2016</v>
      </c>
      <c r="S111" s="5">
        <f>(O67*($E67/366))+(O68*($E68/366))</f>
        <v>44.6</v>
      </c>
      <c r="T111" s="5">
        <f>(P67*($E67/366))+(P68*($E68/366))</f>
        <v>0</v>
      </c>
      <c r="U111" s="5">
        <f>(Q67*($E67/366))+(Q68*($E68/366))</f>
        <v>4.5999999999999996</v>
      </c>
      <c r="W111" s="5">
        <f t="shared" si="39"/>
        <v>49.2</v>
      </c>
    </row>
    <row r="112" spans="1:23" x14ac:dyDescent="0.15">
      <c r="A112" s="1">
        <v>2017</v>
      </c>
      <c r="B112" s="5">
        <f>(K69*($E69/365))+(K70*($E70/365))+(K71*($E71/365))</f>
        <v>73.028919330289199</v>
      </c>
      <c r="C112" s="5">
        <f>(L69*($E69/365))+(L70*($E70/365))+(L71*($E71/365))</f>
        <v>0</v>
      </c>
      <c r="D112" s="5">
        <f>(M69*($E69/365))+(M70*($E70/365))+(M71*($E71/365))</f>
        <v>1.3287671232876712</v>
      </c>
      <c r="E112" s="18">
        <f t="shared" si="37"/>
        <v>74.357686453576875</v>
      </c>
      <c r="G112" s="1">
        <v>2017</v>
      </c>
      <c r="H112" s="409">
        <f>(O69/$R69*100*($E69/365))+(O71/$R71*100*($E71/365))</f>
        <v>72.758659093440258</v>
      </c>
      <c r="I112" s="409"/>
      <c r="J112" s="409">
        <f>(P69/$R69*100*($E69/365))+(P71/$R71*100*($E71/365))</f>
        <v>0</v>
      </c>
      <c r="K112" s="409"/>
      <c r="L112" s="409">
        <f>(Q69/$R69*100*($E69/365))+(Q71/$R71*100*($E71/365))</f>
        <v>0.66599844080632575</v>
      </c>
      <c r="M112" s="409"/>
      <c r="N112" s="379">
        <f t="shared" si="38"/>
        <v>73.424657534246577</v>
      </c>
      <c r="O112" s="379"/>
      <c r="R112" s="1">
        <v>2017</v>
      </c>
      <c r="S112" s="5">
        <f>(O69*($E69/365))+(O70*($E70/365))+(O71*($E71/365))</f>
        <v>36.924383561643843</v>
      </c>
      <c r="T112" s="5">
        <f>(P69*($E69/365))+(P70*($E70/365))+(P71*($E71/365))</f>
        <v>0</v>
      </c>
      <c r="U112" s="5">
        <f>(Q69*($E69/365))+(Q70*($E70/365))+(Q71*($E71/365))</f>
        <v>0.32767123287671229</v>
      </c>
      <c r="W112" s="5">
        <f t="shared" si="39"/>
        <v>37.252054794520554</v>
      </c>
    </row>
    <row r="113" spans="1:23" x14ac:dyDescent="0.15">
      <c r="A113" s="1">
        <v>2018</v>
      </c>
      <c r="B113" s="5">
        <f>(K72*($E72/365))+(K73*($E73/365))</f>
        <v>100</v>
      </c>
      <c r="C113" s="5">
        <f>(L72*($E72/365))+(L73*($E73/365))</f>
        <v>0</v>
      </c>
      <c r="D113" s="5">
        <f>(M72*($E72/365))+(M73*($E73/365))</f>
        <v>0</v>
      </c>
      <c r="E113" s="18">
        <f t="shared" si="37"/>
        <v>100</v>
      </c>
      <c r="G113" s="1">
        <v>2018</v>
      </c>
      <c r="H113" s="409">
        <f>(O72/$R72*100*($E72/365))+(O73/$R73*100*($E73/365))</f>
        <v>100</v>
      </c>
      <c r="I113" s="409"/>
      <c r="J113" s="409">
        <f>(P72/$R72*100*($E72/365))+(P73/$R73*100*($E73/365))</f>
        <v>0</v>
      </c>
      <c r="K113" s="409"/>
      <c r="L113" s="409">
        <f>(Q72/$R72*100*($E72/365))+(Q73/$R73*100*($E73/365))</f>
        <v>0</v>
      </c>
      <c r="M113" s="409"/>
      <c r="N113" s="379">
        <f t="shared" si="38"/>
        <v>100</v>
      </c>
      <c r="O113" s="379"/>
      <c r="R113" s="1">
        <v>2018</v>
      </c>
      <c r="S113" s="5">
        <f>(O72*($E72/365))+(O73*($E73/365))</f>
        <v>50.9</v>
      </c>
      <c r="T113" s="5">
        <f>(P72*($E72/365))+(P73*($E73/365))</f>
        <v>0</v>
      </c>
      <c r="U113" s="5">
        <f>(Q72*($E72/365))+(Q73*($E73/365))</f>
        <v>0</v>
      </c>
      <c r="W113" s="5">
        <f t="shared" si="39"/>
        <v>50.9</v>
      </c>
    </row>
    <row r="114" spans="1:23" x14ac:dyDescent="0.15">
      <c r="A114" s="1">
        <v>2019</v>
      </c>
      <c r="B114" s="5">
        <f>(K74*($E74/365))+(K75*($E75/365))</f>
        <v>100</v>
      </c>
      <c r="C114" s="5">
        <f>(L74*($E74/365))+(L75*($E75/365))</f>
        <v>0</v>
      </c>
      <c r="D114" s="5">
        <f>(M74*($E74/365))+(M75*($E75/365))</f>
        <v>0</v>
      </c>
      <c r="E114" s="18">
        <f t="shared" ref="E114:E115" si="40">SUM(B114:D114)</f>
        <v>100</v>
      </c>
      <c r="G114" s="1">
        <v>2019</v>
      </c>
      <c r="H114" s="409">
        <f>(O74/$R74*100*($E74/365))+(O75/$R75*100*($E75/365))</f>
        <v>100</v>
      </c>
      <c r="I114" s="409"/>
      <c r="J114" s="409">
        <f>(P74/$R74*100*($E74/365))+(P75/$R75*100*($E75/365))</f>
        <v>0</v>
      </c>
      <c r="K114" s="409"/>
      <c r="L114" s="409">
        <f>(Q74/$R74*100*($E74/365))+(Q75/$R75*100*($E75/365))</f>
        <v>0</v>
      </c>
      <c r="M114" s="409"/>
      <c r="N114" s="379">
        <f t="shared" ref="N114" si="41">SUM(H114:M114)</f>
        <v>100</v>
      </c>
      <c r="O114" s="379"/>
      <c r="R114" s="1">
        <v>2019</v>
      </c>
      <c r="S114" s="5">
        <f>(O74*($E74/365))+(O75*($E75/365))</f>
        <v>50.9</v>
      </c>
      <c r="T114" s="5">
        <f>(P74*($E74/365))+(P75*($E75/365))</f>
        <v>0</v>
      </c>
      <c r="U114" s="5">
        <f>(Q74*($E74/365))+(Q75*($E75/365))</f>
        <v>0</v>
      </c>
      <c r="W114" s="5">
        <f t="shared" si="39"/>
        <v>50.9</v>
      </c>
    </row>
    <row r="115" spans="1:23" x14ac:dyDescent="0.15">
      <c r="A115" s="1">
        <v>2020</v>
      </c>
      <c r="B115" s="5">
        <f>(K76*($E76/366))+(K77*($E77/366))</f>
        <v>90.628415300546436</v>
      </c>
      <c r="C115" s="5">
        <f>(L76*($E76/366))+(L77*($E77/366))</f>
        <v>0</v>
      </c>
      <c r="D115" s="5">
        <f>(M76*($E76/366))+(M77*($E77/366))</f>
        <v>0</v>
      </c>
      <c r="E115" s="18">
        <f t="shared" si="40"/>
        <v>90.628415300546436</v>
      </c>
      <c r="G115" s="1">
        <v>2020</v>
      </c>
      <c r="H115" s="409">
        <f>(O76/$R76*100*($E76/366))+(O77/$R77*100*($E77/366))</f>
        <v>100</v>
      </c>
      <c r="I115" s="409"/>
      <c r="J115" s="409">
        <f>(P76/$R76*100*($E76/366))+(P77/$R77*100*($E77/366))</f>
        <v>0</v>
      </c>
      <c r="K115" s="409"/>
      <c r="L115" s="409">
        <f>(Q76/$R76*100*($E76/366))+(Q77/$R77*100*($E77/366))</f>
        <v>0</v>
      </c>
      <c r="M115" s="409"/>
      <c r="N115" s="379">
        <f t="shared" ref="N115" si="42">SUM(H115:M115)</f>
        <v>100</v>
      </c>
      <c r="O115" s="379"/>
      <c r="R115" s="1">
        <v>2020</v>
      </c>
      <c r="S115" s="5">
        <f>(O76*($E76/366))+(O77*($E77/366))</f>
        <v>50.899999999999991</v>
      </c>
      <c r="T115" s="5">
        <f>(P76*($E76/366))+(P77*($E77/366))</f>
        <v>0</v>
      </c>
      <c r="U115" s="5">
        <f>(Q76*($E76/366))+(Q77*($E77/366))</f>
        <v>0</v>
      </c>
      <c r="W115" s="5">
        <f>SUM(S115:U115)</f>
        <v>50.899999999999991</v>
      </c>
    </row>
  </sheetData>
  <mergeCells count="222">
    <mergeCell ref="H115:I115"/>
    <mergeCell ref="J115:K115"/>
    <mergeCell ref="L115:M115"/>
    <mergeCell ref="N115:O115"/>
    <mergeCell ref="H93:I93"/>
    <mergeCell ref="H94:I94"/>
    <mergeCell ref="N103:O103"/>
    <mergeCell ref="N104:O104"/>
    <mergeCell ref="N95:O95"/>
    <mergeCell ref="N96:O96"/>
    <mergeCell ref="H109:I109"/>
    <mergeCell ref="J108:K108"/>
    <mergeCell ref="L102:M102"/>
    <mergeCell ref="L103:M103"/>
    <mergeCell ref="H113:I113"/>
    <mergeCell ref="J113:K113"/>
    <mergeCell ref="L113:M113"/>
    <mergeCell ref="H110:I110"/>
    <mergeCell ref="J110:K110"/>
    <mergeCell ref="L110:M110"/>
    <mergeCell ref="N113:O113"/>
    <mergeCell ref="H114:I114"/>
    <mergeCell ref="J114:K114"/>
    <mergeCell ref="L114:M114"/>
    <mergeCell ref="C68:D68"/>
    <mergeCell ref="C69:D69"/>
    <mergeCell ref="C70:D70"/>
    <mergeCell ref="C71:D71"/>
    <mergeCell ref="J92:K92"/>
    <mergeCell ref="N98:O98"/>
    <mergeCell ref="C74:D74"/>
    <mergeCell ref="C75:D75"/>
    <mergeCell ref="L101:M101"/>
    <mergeCell ref="J90:K90"/>
    <mergeCell ref="J93:K93"/>
    <mergeCell ref="J94:K94"/>
    <mergeCell ref="J99:K99"/>
    <mergeCell ref="J100:K100"/>
    <mergeCell ref="H95:I95"/>
    <mergeCell ref="J95:K95"/>
    <mergeCell ref="L95:M95"/>
    <mergeCell ref="H96:I96"/>
    <mergeCell ref="J96:K96"/>
    <mergeCell ref="L96:M96"/>
    <mergeCell ref="C76:D76"/>
    <mergeCell ref="C77:D77"/>
    <mergeCell ref="C62:D62"/>
    <mergeCell ref="C63:D63"/>
    <mergeCell ref="C64:D64"/>
    <mergeCell ref="N108:O108"/>
    <mergeCell ref="H108:I108"/>
    <mergeCell ref="H97:I97"/>
    <mergeCell ref="J91:K91"/>
    <mergeCell ref="L91:M91"/>
    <mergeCell ref="N100:O100"/>
    <mergeCell ref="N105:O105"/>
    <mergeCell ref="N101:O101"/>
    <mergeCell ref="H98:I98"/>
    <mergeCell ref="H90:I90"/>
    <mergeCell ref="C72:D72"/>
    <mergeCell ref="C73:D73"/>
    <mergeCell ref="N99:O99"/>
    <mergeCell ref="J98:K98"/>
    <mergeCell ref="L98:M98"/>
    <mergeCell ref="N97:O97"/>
    <mergeCell ref="N107:O107"/>
    <mergeCell ref="H91:I91"/>
    <mergeCell ref="J101:K101"/>
    <mergeCell ref="J104:K104"/>
    <mergeCell ref="H92:I92"/>
    <mergeCell ref="C55:D55"/>
    <mergeCell ref="C56:D56"/>
    <mergeCell ref="N106:O106"/>
    <mergeCell ref="H106:I106"/>
    <mergeCell ref="C57:D57"/>
    <mergeCell ref="C58:D58"/>
    <mergeCell ref="C59:D59"/>
    <mergeCell ref="N87:O87"/>
    <mergeCell ref="N88:O88"/>
    <mergeCell ref="C60:D60"/>
    <mergeCell ref="H87:I87"/>
    <mergeCell ref="J87:K87"/>
    <mergeCell ref="L87:M87"/>
    <mergeCell ref="C61:D61"/>
    <mergeCell ref="J88:K88"/>
    <mergeCell ref="L88:M88"/>
    <mergeCell ref="C65:D65"/>
    <mergeCell ref="C66:D66"/>
    <mergeCell ref="C67:D67"/>
    <mergeCell ref="H99:I99"/>
    <mergeCell ref="H100:I100"/>
    <mergeCell ref="H101:I101"/>
    <mergeCell ref="L104:M104"/>
    <mergeCell ref="H103:I103"/>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C29:D29"/>
    <mergeCell ref="C30:D30"/>
    <mergeCell ref="C31:D31"/>
    <mergeCell ref="C32:D32"/>
    <mergeCell ref="C33:D33"/>
    <mergeCell ref="C34:D34"/>
    <mergeCell ref="C35:D35"/>
    <mergeCell ref="C36:D36"/>
    <mergeCell ref="C37:D37"/>
    <mergeCell ref="C19:D19"/>
    <mergeCell ref="C20:D20"/>
    <mergeCell ref="C21:D21"/>
    <mergeCell ref="C23:D23"/>
    <mergeCell ref="C24:D24"/>
    <mergeCell ref="C25:D25"/>
    <mergeCell ref="C26:D26"/>
    <mergeCell ref="C27:D27"/>
    <mergeCell ref="C28:D28"/>
    <mergeCell ref="C22:D22"/>
    <mergeCell ref="C10:D10"/>
    <mergeCell ref="C11:D11"/>
    <mergeCell ref="C12:D12"/>
    <mergeCell ref="C13:D13"/>
    <mergeCell ref="C14:D14"/>
    <mergeCell ref="C15:D15"/>
    <mergeCell ref="C16:D16"/>
    <mergeCell ref="C17:D17"/>
    <mergeCell ref="C18:D18"/>
    <mergeCell ref="A4:A5"/>
    <mergeCell ref="B4:B5"/>
    <mergeCell ref="C4:D5"/>
    <mergeCell ref="E4:E5"/>
    <mergeCell ref="F4:F5"/>
    <mergeCell ref="C6:D6"/>
    <mergeCell ref="C8:D8"/>
    <mergeCell ref="C9:D9"/>
    <mergeCell ref="S4:S5"/>
    <mergeCell ref="K4:N4"/>
    <mergeCell ref="O4:R4"/>
    <mergeCell ref="C7:D7"/>
    <mergeCell ref="G4:J4"/>
    <mergeCell ref="G3:M3"/>
    <mergeCell ref="O3:Q3"/>
    <mergeCell ref="V4:Y4"/>
    <mergeCell ref="H85:I85"/>
    <mergeCell ref="T4:T5"/>
    <mergeCell ref="U4:U5"/>
    <mergeCell ref="N89:O89"/>
    <mergeCell ref="N85:O85"/>
    <mergeCell ref="N86:O86"/>
    <mergeCell ref="J85:K85"/>
    <mergeCell ref="L85:M85"/>
    <mergeCell ref="H88:I88"/>
    <mergeCell ref="R82:W82"/>
    <mergeCell ref="H84:I84"/>
    <mergeCell ref="J84:K84"/>
    <mergeCell ref="L84:M84"/>
    <mergeCell ref="N84:O84"/>
    <mergeCell ref="H86:I86"/>
    <mergeCell ref="J86:K86"/>
    <mergeCell ref="H89:I89"/>
    <mergeCell ref="J89:K89"/>
    <mergeCell ref="AX4:BA4"/>
    <mergeCell ref="L89:M89"/>
    <mergeCell ref="L90:M90"/>
    <mergeCell ref="L93:M93"/>
    <mergeCell ref="L94:M94"/>
    <mergeCell ref="AH4:AK4"/>
    <mergeCell ref="AL4:AO4"/>
    <mergeCell ref="AP4:AS4"/>
    <mergeCell ref="L86:M86"/>
    <mergeCell ref="Z4:AC4"/>
    <mergeCell ref="AD4:AG4"/>
    <mergeCell ref="N91:O91"/>
    <mergeCell ref="L92:M92"/>
    <mergeCell ref="N92:O92"/>
    <mergeCell ref="N90:O90"/>
    <mergeCell ref="AT4:AW4"/>
    <mergeCell ref="N93:O93"/>
    <mergeCell ref="N94:O94"/>
    <mergeCell ref="N114:O114"/>
    <mergeCell ref="H111:I111"/>
    <mergeCell ref="J111:K111"/>
    <mergeCell ref="L111:M111"/>
    <mergeCell ref="N111:O111"/>
    <mergeCell ref="H112:I112"/>
    <mergeCell ref="J112:K112"/>
    <mergeCell ref="L112:M112"/>
    <mergeCell ref="N112:O112"/>
    <mergeCell ref="N110:O110"/>
    <mergeCell ref="J102:K102"/>
    <mergeCell ref="J103:K103"/>
    <mergeCell ref="L99:M99"/>
    <mergeCell ref="J97:K97"/>
    <mergeCell ref="L97:M97"/>
    <mergeCell ref="N102:O102"/>
    <mergeCell ref="H104:I104"/>
    <mergeCell ref="H102:I102"/>
    <mergeCell ref="L108:M108"/>
    <mergeCell ref="H107:I107"/>
    <mergeCell ref="J107:K107"/>
    <mergeCell ref="L107:M107"/>
    <mergeCell ref="H105:I105"/>
    <mergeCell ref="J105:K105"/>
    <mergeCell ref="L105:M105"/>
    <mergeCell ref="L106:M106"/>
    <mergeCell ref="J106:K106"/>
    <mergeCell ref="J109:K109"/>
    <mergeCell ref="L109:M109"/>
    <mergeCell ref="N109:O109"/>
    <mergeCell ref="L100:M100"/>
  </mergeCells>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88:N89"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A200"/>
  <sheetViews>
    <sheetView zoomScale="125" zoomScaleNormal="120" workbookViewId="0">
      <pane xSplit="1" ySplit="5" topLeftCell="B52" activePane="bottomRight" state="frozen"/>
      <selection pane="topRight" activeCell="B1" sqref="B1"/>
      <selection pane="bottomLeft" activeCell="A6" sqref="A6"/>
      <selection pane="bottomRight" activeCell="B2" sqref="B2"/>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50</v>
      </c>
    </row>
    <row r="3" spans="1:53" x14ac:dyDescent="0.15">
      <c r="G3" s="415"/>
      <c r="H3" s="415"/>
      <c r="I3" s="415"/>
      <c r="J3" s="415"/>
      <c r="K3" s="415"/>
      <c r="L3" s="415"/>
      <c r="M3" s="415"/>
      <c r="O3" s="415"/>
      <c r="P3" s="415"/>
      <c r="Q3" s="415"/>
      <c r="R3" s="4"/>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138"/>
      <c r="C6" s="405" t="s">
        <v>228</v>
      </c>
      <c r="D6" s="405"/>
      <c r="E6" s="140">
        <v>0</v>
      </c>
      <c r="G6" s="148">
        <v>21</v>
      </c>
      <c r="J6" s="154">
        <v>21</v>
      </c>
      <c r="K6" s="134">
        <f>G6/J6*100</f>
        <v>100</v>
      </c>
      <c r="L6" s="134">
        <f>H6/J6*100</f>
        <v>0</v>
      </c>
      <c r="M6" s="134">
        <f>I6/J6*100</f>
        <v>0</v>
      </c>
      <c r="N6" s="150">
        <f>SUM(K6:M6)</f>
        <v>100</v>
      </c>
      <c r="O6" s="133">
        <v>78.5</v>
      </c>
      <c r="P6" s="134"/>
      <c r="Q6" s="134"/>
      <c r="R6" s="135">
        <f>SUM(O6:Q6)</f>
        <v>78.5</v>
      </c>
      <c r="S6" s="140">
        <v>1</v>
      </c>
      <c r="T6" s="137"/>
      <c r="U6" s="138"/>
      <c r="V6" s="139" t="s">
        <v>100</v>
      </c>
      <c r="W6" s="140" t="s">
        <v>74</v>
      </c>
      <c r="X6" s="140" t="s">
        <v>11</v>
      </c>
      <c r="Y6" s="141">
        <v>78.5</v>
      </c>
      <c r="AD6" s="139"/>
      <c r="AG6" s="141"/>
      <c r="AL6" s="139"/>
      <c r="AO6" s="141"/>
      <c r="AP6" s="139"/>
      <c r="AS6" s="141"/>
      <c r="AW6" s="141"/>
      <c r="BA6" s="142"/>
    </row>
    <row r="7" spans="1:53" s="140" customFormat="1" x14ac:dyDescent="0.15">
      <c r="A7" s="146">
        <v>1959</v>
      </c>
      <c r="B7" s="138"/>
      <c r="C7" s="405" t="s">
        <v>228</v>
      </c>
      <c r="D7" s="405"/>
      <c r="E7" s="140">
        <v>365</v>
      </c>
      <c r="G7" s="148">
        <v>21</v>
      </c>
      <c r="J7" s="154">
        <v>21</v>
      </c>
      <c r="K7" s="134">
        <f>G7/J7*100</f>
        <v>100</v>
      </c>
      <c r="L7" s="134">
        <f>H7/J7*100</f>
        <v>0</v>
      </c>
      <c r="M7" s="134">
        <f>I7/J7*100</f>
        <v>0</v>
      </c>
      <c r="N7" s="150">
        <f>SUM(K7:M7)</f>
        <v>100</v>
      </c>
      <c r="O7" s="133">
        <v>78.5</v>
      </c>
      <c r="P7" s="134"/>
      <c r="Q7" s="134"/>
      <c r="R7" s="135">
        <f>SUM(O7:Q7)</f>
        <v>78.5</v>
      </c>
      <c r="S7" s="140">
        <v>1</v>
      </c>
      <c r="T7" s="137"/>
      <c r="U7" s="138"/>
      <c r="V7" s="139" t="s">
        <v>100</v>
      </c>
      <c r="W7" s="140" t="s">
        <v>74</v>
      </c>
      <c r="X7" s="140" t="s">
        <v>11</v>
      </c>
      <c r="Y7" s="141">
        <v>78.5</v>
      </c>
      <c r="AD7" s="139"/>
      <c r="AG7" s="141"/>
      <c r="AL7" s="139"/>
      <c r="AO7" s="141"/>
      <c r="AP7" s="139"/>
      <c r="AS7" s="141"/>
      <c r="AW7" s="141"/>
      <c r="BA7" s="142"/>
    </row>
    <row r="8" spans="1:53" s="29" customFormat="1" x14ac:dyDescent="0.15">
      <c r="A8" s="52">
        <v>1960</v>
      </c>
      <c r="B8" s="41"/>
      <c r="C8" s="394" t="s">
        <v>228</v>
      </c>
      <c r="D8" s="394"/>
      <c r="E8" s="29">
        <v>0</v>
      </c>
      <c r="G8" s="66">
        <v>21</v>
      </c>
      <c r="J8" s="73">
        <v>21</v>
      </c>
      <c r="K8" s="47">
        <f>G8/J8*100</f>
        <v>100</v>
      </c>
      <c r="L8" s="47">
        <f>H8/J8*100</f>
        <v>0</v>
      </c>
      <c r="M8" s="47">
        <f>I8/J8*100</f>
        <v>0</v>
      </c>
      <c r="N8" s="68">
        <f>SUM(K8:M8)</f>
        <v>100</v>
      </c>
      <c r="O8" s="46">
        <v>78.5</v>
      </c>
      <c r="P8" s="47"/>
      <c r="Q8" s="47"/>
      <c r="R8" s="48">
        <f>SUM(O8:Q8)</f>
        <v>78.5</v>
      </c>
      <c r="S8" s="29">
        <v>1</v>
      </c>
      <c r="T8" s="50"/>
      <c r="U8" s="41"/>
      <c r="V8" s="38" t="s">
        <v>100</v>
      </c>
      <c r="W8" s="29" t="s">
        <v>74</v>
      </c>
      <c r="X8" s="29" t="s">
        <v>11</v>
      </c>
      <c r="Y8" s="39">
        <v>78.5</v>
      </c>
      <c r="AD8" s="38"/>
      <c r="AG8" s="39"/>
      <c r="AL8" s="38"/>
      <c r="AO8" s="39"/>
      <c r="AP8" s="38"/>
      <c r="AS8" s="39"/>
      <c r="AW8" s="39"/>
      <c r="BA8" s="40"/>
    </row>
    <row r="9" spans="1:53" s="29" customFormat="1" x14ac:dyDescent="0.15">
      <c r="A9" s="52">
        <v>1960</v>
      </c>
      <c r="B9" s="41"/>
      <c r="C9" s="394" t="s">
        <v>228</v>
      </c>
      <c r="D9" s="394"/>
      <c r="E9" s="29">
        <v>366</v>
      </c>
      <c r="G9" s="66">
        <v>21</v>
      </c>
      <c r="J9" s="73">
        <v>21</v>
      </c>
      <c r="K9" s="47">
        <f t="shared" ref="K9:K14" si="0">G9/J9*100</f>
        <v>100</v>
      </c>
      <c r="L9" s="47">
        <f t="shared" ref="L9:L14" si="1">H9/J9*100</f>
        <v>0</v>
      </c>
      <c r="M9" s="47">
        <f t="shared" ref="M9:M14" si="2">I9/J9*100</f>
        <v>0</v>
      </c>
      <c r="N9" s="68">
        <f t="shared" ref="N9:N72" si="3">SUM(K9:M9)</f>
        <v>100</v>
      </c>
      <c r="O9" s="46">
        <v>78.5</v>
      </c>
      <c r="P9" s="47"/>
      <c r="Q9" s="47"/>
      <c r="R9" s="48">
        <f t="shared" ref="R9:R72" si="4">SUM(O9:Q9)</f>
        <v>78.5</v>
      </c>
      <c r="S9" s="29">
        <v>1</v>
      </c>
      <c r="T9" s="50"/>
      <c r="U9" s="41"/>
      <c r="V9" s="38" t="s">
        <v>100</v>
      </c>
      <c r="W9" s="29" t="s">
        <v>74</v>
      </c>
      <c r="X9" s="29" t="s">
        <v>11</v>
      </c>
      <c r="Y9" s="39">
        <v>78.5</v>
      </c>
      <c r="AD9" s="38"/>
      <c r="AG9" s="39"/>
      <c r="AL9" s="38"/>
      <c r="AO9" s="39"/>
      <c r="AP9" s="38"/>
      <c r="AS9" s="39"/>
      <c r="AW9" s="39"/>
      <c r="BA9" s="40"/>
    </row>
    <row r="10" spans="1:53" s="29" customFormat="1" x14ac:dyDescent="0.15">
      <c r="A10" s="52">
        <v>1961</v>
      </c>
      <c r="B10" s="41"/>
      <c r="C10" s="394" t="s">
        <v>228</v>
      </c>
      <c r="D10" s="394"/>
      <c r="E10" s="29">
        <v>0</v>
      </c>
      <c r="G10" s="66">
        <v>21</v>
      </c>
      <c r="J10" s="73">
        <v>21</v>
      </c>
      <c r="K10" s="47">
        <f t="shared" si="0"/>
        <v>100</v>
      </c>
      <c r="L10" s="47">
        <f t="shared" si="1"/>
        <v>0</v>
      </c>
      <c r="M10" s="47">
        <f t="shared" si="2"/>
        <v>0</v>
      </c>
      <c r="N10" s="68">
        <f t="shared" si="3"/>
        <v>100</v>
      </c>
      <c r="O10" s="46">
        <v>78.5</v>
      </c>
      <c r="P10" s="47"/>
      <c r="Q10" s="47"/>
      <c r="R10" s="48">
        <f t="shared" si="4"/>
        <v>78.5</v>
      </c>
      <c r="S10" s="29">
        <v>1</v>
      </c>
      <c r="T10" s="50"/>
      <c r="U10" s="41"/>
      <c r="V10" s="38" t="s">
        <v>100</v>
      </c>
      <c r="W10" s="29" t="s">
        <v>74</v>
      </c>
      <c r="X10" s="29" t="s">
        <v>11</v>
      </c>
      <c r="Y10" s="39">
        <v>78.5</v>
      </c>
      <c r="AD10" s="38"/>
      <c r="AG10" s="39"/>
      <c r="AL10" s="38"/>
      <c r="AO10" s="39"/>
      <c r="AP10" s="38"/>
      <c r="AS10" s="39"/>
      <c r="AW10" s="39"/>
      <c r="BA10" s="40"/>
    </row>
    <row r="11" spans="1:53" s="29" customFormat="1" x14ac:dyDescent="0.15">
      <c r="A11" s="52">
        <v>1961</v>
      </c>
      <c r="B11" s="41"/>
      <c r="C11" s="394" t="s">
        <v>228</v>
      </c>
      <c r="D11" s="394"/>
      <c r="E11" s="29">
        <f>365-E10</f>
        <v>365</v>
      </c>
      <c r="G11" s="66">
        <v>21</v>
      </c>
      <c r="J11" s="73">
        <v>21</v>
      </c>
      <c r="K11" s="47">
        <f t="shared" si="0"/>
        <v>100</v>
      </c>
      <c r="L11" s="47">
        <f t="shared" si="1"/>
        <v>0</v>
      </c>
      <c r="M11" s="47">
        <f t="shared" si="2"/>
        <v>0</v>
      </c>
      <c r="N11" s="68">
        <f t="shared" si="3"/>
        <v>100</v>
      </c>
      <c r="O11" s="46">
        <v>78.5</v>
      </c>
      <c r="P11" s="47"/>
      <c r="Q11" s="47"/>
      <c r="R11" s="48">
        <f t="shared" si="4"/>
        <v>78.5</v>
      </c>
      <c r="S11" s="29">
        <v>1</v>
      </c>
      <c r="T11" s="50"/>
      <c r="U11" s="41"/>
      <c r="V11" s="38" t="s">
        <v>100</v>
      </c>
      <c r="W11" s="29" t="s">
        <v>74</v>
      </c>
      <c r="X11" s="29" t="s">
        <v>11</v>
      </c>
      <c r="Y11" s="39">
        <v>78.5</v>
      </c>
      <c r="AD11" s="38"/>
      <c r="AG11" s="39"/>
      <c r="AL11" s="38"/>
      <c r="AO11" s="39"/>
      <c r="AP11" s="38"/>
      <c r="AS11" s="39"/>
      <c r="AW11" s="39"/>
      <c r="BA11" s="40"/>
    </row>
    <row r="12" spans="1:53" s="29" customFormat="1" x14ac:dyDescent="0.15">
      <c r="A12" s="52">
        <v>1962</v>
      </c>
      <c r="B12" s="41"/>
      <c r="C12" s="394" t="s">
        <v>228</v>
      </c>
      <c r="D12" s="394"/>
      <c r="E12" s="29">
        <v>220</v>
      </c>
      <c r="G12" s="66">
        <v>21</v>
      </c>
      <c r="J12" s="73">
        <v>21</v>
      </c>
      <c r="K12" s="47">
        <f t="shared" si="0"/>
        <v>100</v>
      </c>
      <c r="L12" s="47">
        <f t="shared" si="1"/>
        <v>0</v>
      </c>
      <c r="M12" s="47">
        <f t="shared" si="2"/>
        <v>0</v>
      </c>
      <c r="N12" s="68">
        <f t="shared" si="3"/>
        <v>100</v>
      </c>
      <c r="O12" s="46">
        <v>78.5</v>
      </c>
      <c r="P12" s="47"/>
      <c r="Q12" s="47"/>
      <c r="R12" s="48">
        <f t="shared" si="4"/>
        <v>78.5</v>
      </c>
      <c r="S12" s="29">
        <v>1</v>
      </c>
      <c r="T12" s="50"/>
      <c r="U12" s="41"/>
      <c r="V12" s="38" t="s">
        <v>100</v>
      </c>
      <c r="W12" s="29" t="s">
        <v>74</v>
      </c>
      <c r="X12" s="29" t="s">
        <v>11</v>
      </c>
      <c r="Y12" s="39">
        <v>78.5</v>
      </c>
      <c r="AD12" s="38"/>
      <c r="AG12" s="39"/>
      <c r="AL12" s="38"/>
      <c r="AO12" s="39"/>
      <c r="AP12" s="38"/>
      <c r="AS12" s="39"/>
      <c r="AW12" s="39"/>
      <c r="BA12" s="40"/>
    </row>
    <row r="13" spans="1:53" s="171" customFormat="1" x14ac:dyDescent="0.15">
      <c r="A13" s="216">
        <v>1962</v>
      </c>
      <c r="B13" s="283">
        <v>22867</v>
      </c>
      <c r="C13" s="402" t="s">
        <v>227</v>
      </c>
      <c r="D13" s="402"/>
      <c r="E13" s="171">
        <f>365-E12</f>
        <v>145</v>
      </c>
      <c r="F13" s="171">
        <v>1</v>
      </c>
      <c r="G13" s="233">
        <v>20</v>
      </c>
      <c r="J13" s="241">
        <v>20</v>
      </c>
      <c r="K13" s="214">
        <f t="shared" si="0"/>
        <v>100</v>
      </c>
      <c r="L13" s="214">
        <f t="shared" si="1"/>
        <v>0</v>
      </c>
      <c r="M13" s="214">
        <f t="shared" si="2"/>
        <v>0</v>
      </c>
      <c r="N13" s="235">
        <f t="shared" si="3"/>
        <v>100</v>
      </c>
      <c r="O13" s="213">
        <v>43.8</v>
      </c>
      <c r="P13" s="214"/>
      <c r="Q13" s="214"/>
      <c r="R13" s="215">
        <f t="shared" si="4"/>
        <v>43.8</v>
      </c>
      <c r="S13" s="171">
        <v>4</v>
      </c>
      <c r="T13" s="285">
        <v>22815</v>
      </c>
      <c r="U13" s="283">
        <v>22867</v>
      </c>
      <c r="V13" s="178" t="s">
        <v>100</v>
      </c>
      <c r="W13" s="171" t="s">
        <v>74</v>
      </c>
      <c r="X13" s="171" t="s">
        <v>11</v>
      </c>
      <c r="Y13" s="179">
        <v>43.8</v>
      </c>
      <c r="AD13" s="178"/>
      <c r="AG13" s="179"/>
      <c r="AL13" s="178"/>
      <c r="AO13" s="179"/>
      <c r="AP13" s="178"/>
      <c r="AS13" s="179"/>
      <c r="AW13" s="179"/>
      <c r="BA13" s="180"/>
    </row>
    <row r="14" spans="1:53" s="171" customFormat="1" x14ac:dyDescent="0.15">
      <c r="A14" s="216">
        <v>1962.6</v>
      </c>
      <c r="B14" s="283"/>
      <c r="C14" s="402" t="s">
        <v>227</v>
      </c>
      <c r="D14" s="402"/>
      <c r="E14" s="171">
        <v>111</v>
      </c>
      <c r="G14" s="233">
        <v>20</v>
      </c>
      <c r="J14" s="241">
        <v>20</v>
      </c>
      <c r="K14" s="214">
        <f t="shared" si="0"/>
        <v>100</v>
      </c>
      <c r="L14" s="214">
        <f t="shared" si="1"/>
        <v>0</v>
      </c>
      <c r="M14" s="214">
        <f t="shared" si="2"/>
        <v>0</v>
      </c>
      <c r="N14" s="235">
        <f t="shared" si="3"/>
        <v>100</v>
      </c>
      <c r="O14" s="213">
        <v>43.8</v>
      </c>
      <c r="P14" s="214"/>
      <c r="Q14" s="214"/>
      <c r="R14" s="215">
        <f t="shared" si="4"/>
        <v>43.8</v>
      </c>
      <c r="S14" s="171">
        <v>4</v>
      </c>
      <c r="T14" s="285"/>
      <c r="U14" s="283"/>
      <c r="V14" s="178" t="s">
        <v>100</v>
      </c>
      <c r="W14" s="171" t="s">
        <v>74</v>
      </c>
      <c r="X14" s="171" t="s">
        <v>11</v>
      </c>
      <c r="Y14" s="179">
        <v>43.8</v>
      </c>
      <c r="AD14" s="178"/>
      <c r="AG14" s="179"/>
      <c r="AL14" s="178"/>
      <c r="AO14" s="179"/>
      <c r="AP14" s="178"/>
      <c r="AS14" s="179"/>
      <c r="AW14" s="179"/>
      <c r="BA14" s="180"/>
    </row>
    <row r="15" spans="1:53" s="29" customFormat="1" x14ac:dyDescent="0.15">
      <c r="A15" s="52">
        <v>1963.05714285714</v>
      </c>
      <c r="B15" s="295">
        <v>23123</v>
      </c>
      <c r="C15" s="394" t="s">
        <v>229</v>
      </c>
      <c r="D15" s="394"/>
      <c r="E15" s="29">
        <v>254</v>
      </c>
      <c r="F15" s="29">
        <v>5</v>
      </c>
      <c r="G15" s="66"/>
      <c r="H15" s="29">
        <v>24</v>
      </c>
      <c r="J15" s="73">
        <v>24</v>
      </c>
      <c r="K15" s="47">
        <f>G15/J15*100</f>
        <v>0</v>
      </c>
      <c r="L15" s="47">
        <f>H15/J15*100</f>
        <v>100</v>
      </c>
      <c r="M15" s="47">
        <f>I15/J15*100</f>
        <v>0</v>
      </c>
      <c r="N15" s="68">
        <f t="shared" si="3"/>
        <v>100</v>
      </c>
      <c r="O15" s="46"/>
      <c r="P15" s="47">
        <v>48.7</v>
      </c>
      <c r="Q15" s="47"/>
      <c r="R15" s="48">
        <f t="shared" si="4"/>
        <v>48.7</v>
      </c>
      <c r="S15" s="29">
        <v>4</v>
      </c>
      <c r="T15" s="286">
        <v>23109</v>
      </c>
      <c r="U15" s="295">
        <v>23123</v>
      </c>
      <c r="V15" s="38" t="s">
        <v>72</v>
      </c>
      <c r="W15" s="29" t="s">
        <v>22</v>
      </c>
      <c r="X15" s="29" t="s">
        <v>18</v>
      </c>
      <c r="Y15" s="39">
        <v>48.7</v>
      </c>
      <c r="AD15" s="38"/>
      <c r="AG15" s="39"/>
      <c r="AL15" s="38"/>
      <c r="AO15" s="39"/>
      <c r="AP15" s="38"/>
      <c r="AS15" s="39"/>
      <c r="AW15" s="39"/>
      <c r="BA15" s="40"/>
    </row>
    <row r="16" spans="1:53" s="29" customFormat="1" x14ac:dyDescent="0.15">
      <c r="A16" s="52">
        <v>1963.5142857142901</v>
      </c>
      <c r="B16" s="295"/>
      <c r="C16" s="394" t="s">
        <v>229</v>
      </c>
      <c r="D16" s="394"/>
      <c r="E16" s="29">
        <v>0</v>
      </c>
      <c r="G16" s="66"/>
      <c r="H16" s="29">
        <v>24</v>
      </c>
      <c r="J16" s="73">
        <v>24</v>
      </c>
      <c r="K16" s="47">
        <f t="shared" ref="K16:K21" si="5">G16/J16*100</f>
        <v>0</v>
      </c>
      <c r="L16" s="47">
        <f t="shared" ref="L16:L21" si="6">H16/J16*100</f>
        <v>100</v>
      </c>
      <c r="M16" s="47">
        <f t="shared" ref="M16:M21" si="7">I16/J16*100</f>
        <v>0</v>
      </c>
      <c r="N16" s="68">
        <f t="shared" si="3"/>
        <v>100</v>
      </c>
      <c r="O16" s="46"/>
      <c r="P16" s="47">
        <v>48.7</v>
      </c>
      <c r="Q16" s="47"/>
      <c r="R16" s="48">
        <f t="shared" si="4"/>
        <v>48.7</v>
      </c>
      <c r="S16" s="29">
        <v>4</v>
      </c>
      <c r="T16" s="286"/>
      <c r="U16" s="295"/>
      <c r="V16" s="38" t="s">
        <v>72</v>
      </c>
      <c r="W16" s="29" t="s">
        <v>22</v>
      </c>
      <c r="X16" s="29" t="s">
        <v>18</v>
      </c>
      <c r="Y16" s="39">
        <v>48.7</v>
      </c>
      <c r="AD16" s="38"/>
      <c r="AG16" s="39"/>
      <c r="AL16" s="38"/>
      <c r="AO16" s="39"/>
      <c r="AP16" s="38"/>
      <c r="AS16" s="39"/>
      <c r="AW16" s="39"/>
      <c r="BA16" s="40"/>
    </row>
    <row r="17" spans="1:53" s="29" customFormat="1" x14ac:dyDescent="0.15">
      <c r="A17" s="52">
        <v>1963.9714285714299</v>
      </c>
      <c r="B17" s="295"/>
      <c r="C17" s="394" t="s">
        <v>229</v>
      </c>
      <c r="D17" s="394"/>
      <c r="E17" s="29">
        <v>366</v>
      </c>
      <c r="G17" s="66"/>
      <c r="H17" s="29">
        <v>24</v>
      </c>
      <c r="J17" s="73">
        <v>24</v>
      </c>
      <c r="K17" s="47">
        <f t="shared" si="5"/>
        <v>0</v>
      </c>
      <c r="L17" s="47">
        <f t="shared" si="6"/>
        <v>100</v>
      </c>
      <c r="M17" s="47">
        <f t="shared" si="7"/>
        <v>0</v>
      </c>
      <c r="N17" s="68">
        <f t="shared" si="3"/>
        <v>100</v>
      </c>
      <c r="O17" s="46"/>
      <c r="P17" s="47">
        <v>48.7</v>
      </c>
      <c r="Q17" s="47"/>
      <c r="R17" s="48">
        <f t="shared" si="4"/>
        <v>48.7</v>
      </c>
      <c r="S17" s="29">
        <v>4</v>
      </c>
      <c r="T17" s="286"/>
      <c r="U17" s="295"/>
      <c r="V17" s="38" t="s">
        <v>72</v>
      </c>
      <c r="W17" s="29" t="s">
        <v>22</v>
      </c>
      <c r="X17" s="29" t="s">
        <v>18</v>
      </c>
      <c r="Y17" s="39">
        <v>48.7</v>
      </c>
      <c r="AD17" s="38"/>
      <c r="AG17" s="39"/>
      <c r="AL17" s="38"/>
      <c r="AO17" s="39"/>
      <c r="AP17" s="38"/>
      <c r="AS17" s="39"/>
      <c r="AW17" s="39"/>
      <c r="BA17" s="40"/>
    </row>
    <row r="18" spans="1:53" s="29" customFormat="1" x14ac:dyDescent="0.15">
      <c r="A18" s="52">
        <v>1965</v>
      </c>
      <c r="B18" s="295"/>
      <c r="C18" s="394" t="s">
        <v>229</v>
      </c>
      <c r="D18" s="394"/>
      <c r="E18" s="29">
        <v>351</v>
      </c>
      <c r="G18" s="66"/>
      <c r="H18" s="29">
        <v>24</v>
      </c>
      <c r="J18" s="73">
        <v>24</v>
      </c>
      <c r="K18" s="47">
        <f t="shared" si="5"/>
        <v>0</v>
      </c>
      <c r="L18" s="47">
        <f t="shared" si="6"/>
        <v>100</v>
      </c>
      <c r="M18" s="47">
        <f t="shared" si="7"/>
        <v>0</v>
      </c>
      <c r="N18" s="68">
        <f t="shared" si="3"/>
        <v>100</v>
      </c>
      <c r="O18" s="46"/>
      <c r="P18" s="47">
        <v>48.7</v>
      </c>
      <c r="Q18" s="47"/>
      <c r="R18" s="48">
        <f t="shared" si="4"/>
        <v>48.7</v>
      </c>
      <c r="S18" s="29">
        <v>4</v>
      </c>
      <c r="T18" s="286"/>
      <c r="U18" s="295"/>
      <c r="V18" s="38" t="s">
        <v>72</v>
      </c>
      <c r="W18" s="29" t="s">
        <v>22</v>
      </c>
      <c r="X18" s="29" t="s">
        <v>18</v>
      </c>
      <c r="Y18" s="39">
        <v>48.7</v>
      </c>
      <c r="AD18" s="38"/>
      <c r="AG18" s="39"/>
      <c r="AL18" s="38"/>
      <c r="AO18" s="39"/>
      <c r="AP18" s="38"/>
      <c r="AS18" s="39"/>
      <c r="AW18" s="39"/>
      <c r="BA18" s="40"/>
    </row>
    <row r="19" spans="1:53" s="171" customFormat="1" x14ac:dyDescent="0.15">
      <c r="A19" s="216">
        <v>1964.88571428572</v>
      </c>
      <c r="B19" s="283">
        <v>24094</v>
      </c>
      <c r="C19" s="402" t="s">
        <v>230</v>
      </c>
      <c r="D19" s="402"/>
      <c r="E19" s="171">
        <v>14</v>
      </c>
      <c r="F19" s="171">
        <v>1</v>
      </c>
      <c r="G19" s="233"/>
      <c r="H19" s="171">
        <v>23</v>
      </c>
      <c r="J19" s="241">
        <v>23</v>
      </c>
      <c r="K19" s="214">
        <f t="shared" si="5"/>
        <v>0</v>
      </c>
      <c r="L19" s="214">
        <f t="shared" si="6"/>
        <v>100</v>
      </c>
      <c r="M19" s="214">
        <f t="shared" si="7"/>
        <v>0</v>
      </c>
      <c r="N19" s="235">
        <f t="shared" si="3"/>
        <v>100</v>
      </c>
      <c r="O19" s="213"/>
      <c r="P19" s="214">
        <v>49.4</v>
      </c>
      <c r="Q19" s="214"/>
      <c r="R19" s="215">
        <f t="shared" si="4"/>
        <v>49.4</v>
      </c>
      <c r="S19" s="171">
        <v>4</v>
      </c>
      <c r="T19" s="285">
        <v>24054</v>
      </c>
      <c r="U19" s="283">
        <v>24094</v>
      </c>
      <c r="V19" s="178" t="s">
        <v>72</v>
      </c>
      <c r="W19" s="171" t="s">
        <v>22</v>
      </c>
      <c r="X19" s="171" t="s">
        <v>18</v>
      </c>
      <c r="Y19" s="179">
        <v>49.4</v>
      </c>
      <c r="AD19" s="178"/>
      <c r="AG19" s="179"/>
      <c r="AL19" s="178"/>
      <c r="AO19" s="179"/>
      <c r="AP19" s="178"/>
      <c r="AS19" s="179"/>
      <c r="AW19" s="179"/>
      <c r="BA19" s="180"/>
    </row>
    <row r="20" spans="1:53" s="171" customFormat="1" x14ac:dyDescent="0.15">
      <c r="A20" s="216">
        <v>1966</v>
      </c>
      <c r="B20" s="283"/>
      <c r="C20" s="402" t="s">
        <v>230</v>
      </c>
      <c r="D20" s="402"/>
      <c r="E20" s="171">
        <v>0</v>
      </c>
      <c r="G20" s="233"/>
      <c r="H20" s="171">
        <v>23</v>
      </c>
      <c r="J20" s="241">
        <v>23</v>
      </c>
      <c r="K20" s="214">
        <f t="shared" si="5"/>
        <v>0</v>
      </c>
      <c r="L20" s="214">
        <f t="shared" si="6"/>
        <v>100</v>
      </c>
      <c r="M20" s="214">
        <f t="shared" si="7"/>
        <v>0</v>
      </c>
      <c r="N20" s="235">
        <f t="shared" si="3"/>
        <v>100</v>
      </c>
      <c r="O20" s="213"/>
      <c r="P20" s="214">
        <v>49.4</v>
      </c>
      <c r="Q20" s="214"/>
      <c r="R20" s="215">
        <f t="shared" si="4"/>
        <v>49.4</v>
      </c>
      <c r="S20" s="171">
        <v>4</v>
      </c>
      <c r="T20" s="285"/>
      <c r="U20" s="283"/>
      <c r="V20" s="178" t="s">
        <v>72</v>
      </c>
      <c r="W20" s="171" t="s">
        <v>22</v>
      </c>
      <c r="X20" s="171" t="s">
        <v>18</v>
      </c>
      <c r="Y20" s="179">
        <v>49.4</v>
      </c>
      <c r="AD20" s="178"/>
      <c r="AG20" s="179"/>
      <c r="AL20" s="178"/>
      <c r="AO20" s="179"/>
      <c r="AP20" s="178"/>
      <c r="AS20" s="179"/>
      <c r="AW20" s="179"/>
      <c r="BA20" s="180"/>
    </row>
    <row r="21" spans="1:53" s="171" customFormat="1" x14ac:dyDescent="0.15">
      <c r="A21" s="216">
        <v>1965.8</v>
      </c>
      <c r="B21" s="283"/>
      <c r="C21" s="402" t="s">
        <v>230</v>
      </c>
      <c r="D21" s="402"/>
      <c r="E21" s="171">
        <v>365</v>
      </c>
      <c r="G21" s="233"/>
      <c r="H21" s="171">
        <v>23</v>
      </c>
      <c r="J21" s="241">
        <v>23</v>
      </c>
      <c r="K21" s="214">
        <f t="shared" si="5"/>
        <v>0</v>
      </c>
      <c r="L21" s="214">
        <f t="shared" si="6"/>
        <v>100</v>
      </c>
      <c r="M21" s="214">
        <f t="shared" si="7"/>
        <v>0</v>
      </c>
      <c r="N21" s="235">
        <f t="shared" si="3"/>
        <v>100</v>
      </c>
      <c r="O21" s="213"/>
      <c r="P21" s="214">
        <v>49.4</v>
      </c>
      <c r="Q21" s="214"/>
      <c r="R21" s="215">
        <f t="shared" si="4"/>
        <v>49.4</v>
      </c>
      <c r="S21" s="171">
        <v>4</v>
      </c>
      <c r="T21" s="285"/>
      <c r="U21" s="283"/>
      <c r="V21" s="178" t="s">
        <v>72</v>
      </c>
      <c r="W21" s="171" t="s">
        <v>22</v>
      </c>
      <c r="X21" s="171" t="s">
        <v>18</v>
      </c>
      <c r="Y21" s="179">
        <v>49.4</v>
      </c>
      <c r="AD21" s="178"/>
      <c r="AG21" s="179"/>
      <c r="AL21" s="178"/>
      <c r="AO21" s="179"/>
      <c r="AP21" s="178"/>
      <c r="AS21" s="179"/>
      <c r="AW21" s="179"/>
      <c r="BA21" s="180"/>
    </row>
    <row r="22" spans="1:53" s="171" customFormat="1" x14ac:dyDescent="0.15">
      <c r="A22" s="216">
        <v>1967</v>
      </c>
      <c r="B22" s="283"/>
      <c r="C22" s="402" t="s">
        <v>230</v>
      </c>
      <c r="D22" s="402"/>
      <c r="E22" s="171">
        <v>0</v>
      </c>
      <c r="G22" s="233"/>
      <c r="H22" s="171">
        <v>23</v>
      </c>
      <c r="J22" s="241">
        <v>23</v>
      </c>
      <c r="K22" s="214">
        <f>G22/J22*100</f>
        <v>0</v>
      </c>
      <c r="L22" s="214">
        <f>H22/J22*100</f>
        <v>100</v>
      </c>
      <c r="M22" s="214">
        <f>I22/J22*100</f>
        <v>0</v>
      </c>
      <c r="N22" s="235">
        <f t="shared" si="3"/>
        <v>100</v>
      </c>
      <c r="O22" s="213"/>
      <c r="P22" s="214">
        <v>49.4</v>
      </c>
      <c r="Q22" s="214"/>
      <c r="R22" s="215">
        <f t="shared" si="4"/>
        <v>49.4</v>
      </c>
      <c r="S22" s="171">
        <v>4</v>
      </c>
      <c r="T22" s="285"/>
      <c r="U22" s="283"/>
      <c r="V22" s="178" t="s">
        <v>72</v>
      </c>
      <c r="W22" s="171" t="s">
        <v>22</v>
      </c>
      <c r="X22" s="171" t="s">
        <v>18</v>
      </c>
      <c r="Y22" s="179">
        <v>49.4</v>
      </c>
      <c r="AD22" s="178"/>
      <c r="AG22" s="179"/>
      <c r="AL22" s="178"/>
      <c r="AO22" s="179"/>
      <c r="AP22" s="178"/>
      <c r="AS22" s="179"/>
      <c r="AW22" s="179"/>
      <c r="BA22" s="180"/>
    </row>
    <row r="23" spans="1:53" s="171" customFormat="1" x14ac:dyDescent="0.15">
      <c r="A23" s="216">
        <v>1966.7142857142901</v>
      </c>
      <c r="B23" s="283"/>
      <c r="C23" s="402" t="s">
        <v>230</v>
      </c>
      <c r="D23" s="402"/>
      <c r="E23" s="171">
        <f>365-E22</f>
        <v>365</v>
      </c>
      <c r="G23" s="233"/>
      <c r="H23" s="171">
        <v>23</v>
      </c>
      <c r="J23" s="241">
        <v>23</v>
      </c>
      <c r="K23" s="214">
        <f t="shared" ref="K23:K29" si="8">G23/J23*100</f>
        <v>0</v>
      </c>
      <c r="L23" s="214">
        <f t="shared" ref="L23:L29" si="9">H23/J23*100</f>
        <v>100</v>
      </c>
      <c r="M23" s="214">
        <f t="shared" ref="M23:M29" si="10">I23/J23*100</f>
        <v>0</v>
      </c>
      <c r="N23" s="235">
        <f t="shared" si="3"/>
        <v>100</v>
      </c>
      <c r="O23" s="213"/>
      <c r="P23" s="214">
        <v>49.4</v>
      </c>
      <c r="Q23" s="214"/>
      <c r="R23" s="215">
        <f t="shared" si="4"/>
        <v>49.4</v>
      </c>
      <c r="S23" s="171">
        <v>4</v>
      </c>
      <c r="T23" s="285"/>
      <c r="U23" s="283"/>
      <c r="V23" s="178" t="s">
        <v>72</v>
      </c>
      <c r="W23" s="171" t="s">
        <v>22</v>
      </c>
      <c r="X23" s="171" t="s">
        <v>18</v>
      </c>
      <c r="Y23" s="179">
        <v>49.4</v>
      </c>
      <c r="AD23" s="178"/>
      <c r="AG23" s="179"/>
      <c r="AL23" s="178"/>
      <c r="AO23" s="179"/>
      <c r="AP23" s="178"/>
      <c r="AS23" s="179"/>
      <c r="AW23" s="179"/>
      <c r="BA23" s="180"/>
    </row>
    <row r="24" spans="1:53" s="171" customFormat="1" x14ac:dyDescent="0.15">
      <c r="A24" s="216">
        <v>1968</v>
      </c>
      <c r="B24" s="283"/>
      <c r="C24" s="402" t="s">
        <v>230</v>
      </c>
      <c r="D24" s="402"/>
      <c r="E24" s="171">
        <v>111</v>
      </c>
      <c r="G24" s="233"/>
      <c r="H24" s="171">
        <v>23</v>
      </c>
      <c r="J24" s="241">
        <v>23</v>
      </c>
      <c r="K24" s="214">
        <f t="shared" si="8"/>
        <v>0</v>
      </c>
      <c r="L24" s="214">
        <f t="shared" si="9"/>
        <v>100</v>
      </c>
      <c r="M24" s="214">
        <f t="shared" si="10"/>
        <v>0</v>
      </c>
      <c r="N24" s="235">
        <f t="shared" si="3"/>
        <v>100</v>
      </c>
      <c r="O24" s="213"/>
      <c r="P24" s="214">
        <v>49.4</v>
      </c>
      <c r="Q24" s="214"/>
      <c r="R24" s="215">
        <f t="shared" si="4"/>
        <v>49.4</v>
      </c>
      <c r="S24" s="171">
        <v>4</v>
      </c>
      <c r="T24" s="285"/>
      <c r="U24" s="283"/>
      <c r="V24" s="178" t="s">
        <v>72</v>
      </c>
      <c r="W24" s="171" t="s">
        <v>22</v>
      </c>
      <c r="X24" s="171" t="s">
        <v>18</v>
      </c>
      <c r="Y24" s="179">
        <v>49.4</v>
      </c>
      <c r="AD24" s="178"/>
      <c r="AG24" s="179"/>
      <c r="AL24" s="178"/>
      <c r="AO24" s="179"/>
      <c r="AP24" s="178"/>
      <c r="AS24" s="179"/>
      <c r="AW24" s="179"/>
      <c r="BA24" s="180"/>
    </row>
    <row r="25" spans="1:53" s="29" customFormat="1" x14ac:dyDescent="0.15">
      <c r="A25" s="52">
        <v>1967.62857142857</v>
      </c>
      <c r="B25" s="295">
        <v>24949</v>
      </c>
      <c r="C25" s="394" t="s">
        <v>1441</v>
      </c>
      <c r="D25" s="394"/>
      <c r="E25" s="29">
        <v>77</v>
      </c>
      <c r="F25" s="29">
        <v>2</v>
      </c>
      <c r="G25" s="66"/>
      <c r="H25" s="29">
        <v>25</v>
      </c>
      <c r="J25" s="73">
        <v>25</v>
      </c>
      <c r="K25" s="47">
        <f>G25/J25*100</f>
        <v>0</v>
      </c>
      <c r="L25" s="47">
        <f>H25/J25*100</f>
        <v>100</v>
      </c>
      <c r="M25" s="47">
        <f>I25/J25*100</f>
        <v>0</v>
      </c>
      <c r="N25" s="68">
        <f t="shared" si="3"/>
        <v>100</v>
      </c>
      <c r="O25" s="46"/>
      <c r="P25" s="47">
        <v>49.4</v>
      </c>
      <c r="Q25" s="47"/>
      <c r="R25" s="48">
        <f t="shared" si="4"/>
        <v>49.4</v>
      </c>
      <c r="S25" s="29">
        <v>4</v>
      </c>
      <c r="T25" s="286"/>
      <c r="U25" s="295">
        <v>24949</v>
      </c>
      <c r="V25" s="38" t="s">
        <v>72</v>
      </c>
      <c r="W25" s="29" t="s">
        <v>22</v>
      </c>
      <c r="X25" s="29" t="s">
        <v>18</v>
      </c>
      <c r="Y25" s="39">
        <v>49.4</v>
      </c>
      <c r="AD25" s="38"/>
      <c r="AG25" s="39"/>
      <c r="AL25" s="38"/>
      <c r="AO25" s="39"/>
      <c r="AP25" s="38"/>
      <c r="AS25" s="39"/>
      <c r="AW25" s="39"/>
      <c r="BA25" s="40"/>
    </row>
    <row r="26" spans="1:53" s="171" customFormat="1" x14ac:dyDescent="0.15">
      <c r="A26" s="216">
        <v>1967.62857142857</v>
      </c>
      <c r="B26" s="283">
        <v>25026</v>
      </c>
      <c r="C26" s="402" t="s">
        <v>1442</v>
      </c>
      <c r="D26" s="402"/>
      <c r="E26" s="171">
        <v>178</v>
      </c>
      <c r="F26" s="171">
        <v>1</v>
      </c>
      <c r="G26" s="233"/>
      <c r="H26" s="171">
        <v>28</v>
      </c>
      <c r="J26" s="241">
        <v>28</v>
      </c>
      <c r="K26" s="214">
        <f t="shared" si="8"/>
        <v>0</v>
      </c>
      <c r="L26" s="214">
        <f t="shared" si="9"/>
        <v>100</v>
      </c>
      <c r="M26" s="214">
        <f t="shared" si="10"/>
        <v>0</v>
      </c>
      <c r="N26" s="235">
        <f t="shared" si="3"/>
        <v>100</v>
      </c>
      <c r="O26" s="213"/>
      <c r="P26" s="214">
        <v>58.7</v>
      </c>
      <c r="Q26" s="214"/>
      <c r="R26" s="215">
        <f t="shared" si="4"/>
        <v>58.7</v>
      </c>
      <c r="S26" s="171">
        <v>1</v>
      </c>
      <c r="T26" s="285">
        <v>25014</v>
      </c>
      <c r="U26" s="283">
        <v>25026</v>
      </c>
      <c r="V26" s="178" t="s">
        <v>72</v>
      </c>
      <c r="W26" s="171" t="s">
        <v>22</v>
      </c>
      <c r="X26" s="171" t="s">
        <v>18</v>
      </c>
      <c r="Y26" s="179">
        <v>58.7</v>
      </c>
      <c r="AD26" s="178"/>
      <c r="AG26" s="179"/>
      <c r="AL26" s="178"/>
      <c r="AO26" s="179"/>
      <c r="AP26" s="178"/>
      <c r="AS26" s="179"/>
      <c r="AW26" s="179"/>
      <c r="BA26" s="180"/>
    </row>
    <row r="27" spans="1:53" s="171" customFormat="1" x14ac:dyDescent="0.15">
      <c r="A27" s="216">
        <v>1969</v>
      </c>
      <c r="B27" s="283"/>
      <c r="C27" s="402" t="s">
        <v>1442</v>
      </c>
      <c r="D27" s="402"/>
      <c r="E27" s="171">
        <v>0</v>
      </c>
      <c r="G27" s="233"/>
      <c r="H27" s="171">
        <v>28</v>
      </c>
      <c r="J27" s="241">
        <v>28</v>
      </c>
      <c r="K27" s="214">
        <f t="shared" si="8"/>
        <v>0</v>
      </c>
      <c r="L27" s="214">
        <f t="shared" si="9"/>
        <v>100</v>
      </c>
      <c r="M27" s="214">
        <f t="shared" si="10"/>
        <v>0</v>
      </c>
      <c r="N27" s="235">
        <f t="shared" si="3"/>
        <v>100</v>
      </c>
      <c r="O27" s="213"/>
      <c r="P27" s="214">
        <v>58.7</v>
      </c>
      <c r="Q27" s="214"/>
      <c r="R27" s="215">
        <f t="shared" si="4"/>
        <v>58.7</v>
      </c>
      <c r="S27" s="171">
        <v>1</v>
      </c>
      <c r="T27" s="285"/>
      <c r="U27" s="283"/>
      <c r="V27" s="178" t="s">
        <v>72</v>
      </c>
      <c r="W27" s="171" t="s">
        <v>22</v>
      </c>
      <c r="X27" s="171" t="s">
        <v>18</v>
      </c>
      <c r="Y27" s="179">
        <v>58.7</v>
      </c>
      <c r="AD27" s="178"/>
      <c r="AG27" s="179"/>
      <c r="AL27" s="178"/>
      <c r="AO27" s="179"/>
      <c r="AP27" s="178"/>
      <c r="AS27" s="179"/>
      <c r="AW27" s="179"/>
      <c r="BA27" s="180"/>
    </row>
    <row r="28" spans="1:53" s="171" customFormat="1" x14ac:dyDescent="0.15">
      <c r="A28" s="216">
        <v>1968.5428571428599</v>
      </c>
      <c r="B28" s="283"/>
      <c r="C28" s="402" t="s">
        <v>1442</v>
      </c>
      <c r="D28" s="402"/>
      <c r="E28" s="171">
        <f>365-E27</f>
        <v>365</v>
      </c>
      <c r="G28" s="233"/>
      <c r="H28" s="171">
        <v>28</v>
      </c>
      <c r="J28" s="241">
        <v>28</v>
      </c>
      <c r="K28" s="214">
        <f t="shared" si="8"/>
        <v>0</v>
      </c>
      <c r="L28" s="214">
        <f t="shared" si="9"/>
        <v>100</v>
      </c>
      <c r="M28" s="214">
        <f t="shared" si="10"/>
        <v>0</v>
      </c>
      <c r="N28" s="235">
        <f t="shared" si="3"/>
        <v>100</v>
      </c>
      <c r="O28" s="213"/>
      <c r="P28" s="214">
        <v>58.7</v>
      </c>
      <c r="Q28" s="214"/>
      <c r="R28" s="215">
        <f t="shared" si="4"/>
        <v>58.7</v>
      </c>
      <c r="S28" s="171">
        <v>1</v>
      </c>
      <c r="T28" s="285"/>
      <c r="U28" s="283"/>
      <c r="V28" s="178" t="s">
        <v>72</v>
      </c>
      <c r="W28" s="171" t="s">
        <v>22</v>
      </c>
      <c r="X28" s="171" t="s">
        <v>18</v>
      </c>
      <c r="Y28" s="179">
        <v>58.7</v>
      </c>
      <c r="AD28" s="178"/>
      <c r="AG28" s="179"/>
      <c r="AL28" s="178"/>
      <c r="AO28" s="179"/>
      <c r="AP28" s="178"/>
      <c r="AS28" s="179"/>
      <c r="AW28" s="179"/>
      <c r="BA28" s="180"/>
    </row>
    <row r="29" spans="1:53" s="171" customFormat="1" x14ac:dyDescent="0.15">
      <c r="A29" s="216">
        <v>1970</v>
      </c>
      <c r="B29" s="283"/>
      <c r="C29" s="402" t="s">
        <v>1442</v>
      </c>
      <c r="D29" s="402"/>
      <c r="E29" s="171">
        <v>0</v>
      </c>
      <c r="G29" s="233"/>
      <c r="H29" s="171">
        <v>28</v>
      </c>
      <c r="J29" s="241">
        <v>28</v>
      </c>
      <c r="K29" s="214">
        <f t="shared" si="8"/>
        <v>0</v>
      </c>
      <c r="L29" s="214">
        <f t="shared" si="9"/>
        <v>100</v>
      </c>
      <c r="M29" s="214">
        <f t="shared" si="10"/>
        <v>0</v>
      </c>
      <c r="N29" s="235">
        <f t="shared" si="3"/>
        <v>100</v>
      </c>
      <c r="O29" s="213"/>
      <c r="P29" s="214">
        <v>58.7</v>
      </c>
      <c r="Q29" s="214"/>
      <c r="R29" s="215">
        <f t="shared" si="4"/>
        <v>58.7</v>
      </c>
      <c r="S29" s="171">
        <v>1</v>
      </c>
      <c r="T29" s="285"/>
      <c r="U29" s="283"/>
      <c r="V29" s="178" t="s">
        <v>72</v>
      </c>
      <c r="W29" s="171" t="s">
        <v>22</v>
      </c>
      <c r="X29" s="171" t="s">
        <v>18</v>
      </c>
      <c r="Y29" s="179">
        <v>58.7</v>
      </c>
      <c r="AD29" s="178"/>
      <c r="AG29" s="179"/>
      <c r="AL29" s="178"/>
      <c r="AO29" s="179"/>
      <c r="AP29" s="178"/>
      <c r="AS29" s="179"/>
      <c r="AW29" s="179"/>
      <c r="BA29" s="180"/>
    </row>
    <row r="30" spans="1:53" s="171" customFormat="1" x14ac:dyDescent="0.15">
      <c r="A30" s="216">
        <v>1970</v>
      </c>
      <c r="B30" s="283"/>
      <c r="C30" s="402" t="s">
        <v>1442</v>
      </c>
      <c r="D30" s="402"/>
      <c r="E30" s="171">
        <v>365</v>
      </c>
      <c r="G30" s="233"/>
      <c r="H30" s="171">
        <v>28</v>
      </c>
      <c r="J30" s="241">
        <v>28</v>
      </c>
      <c r="K30" s="214">
        <f>G30/J30*100</f>
        <v>0</v>
      </c>
      <c r="L30" s="214">
        <f>H30/J30*100</f>
        <v>100</v>
      </c>
      <c r="M30" s="214">
        <f>I30/J30*100</f>
        <v>0</v>
      </c>
      <c r="N30" s="235">
        <f t="shared" si="3"/>
        <v>100</v>
      </c>
      <c r="O30" s="213"/>
      <c r="P30" s="214">
        <v>58.7</v>
      </c>
      <c r="Q30" s="214"/>
      <c r="R30" s="215">
        <f t="shared" si="4"/>
        <v>58.7</v>
      </c>
      <c r="S30" s="171">
        <v>1</v>
      </c>
      <c r="T30" s="285"/>
      <c r="U30" s="283"/>
      <c r="V30" s="178" t="s">
        <v>72</v>
      </c>
      <c r="W30" s="171" t="s">
        <v>22</v>
      </c>
      <c r="X30" s="171" t="s">
        <v>18</v>
      </c>
      <c r="Y30" s="179">
        <v>58.7</v>
      </c>
      <c r="AD30" s="178"/>
      <c r="AG30" s="179"/>
      <c r="AL30" s="178"/>
      <c r="AO30" s="179"/>
      <c r="AP30" s="178"/>
      <c r="AS30" s="179"/>
      <c r="AW30" s="179"/>
      <c r="BA30" s="180"/>
    </row>
    <row r="31" spans="1:53" s="171" customFormat="1" x14ac:dyDescent="0.15">
      <c r="A31" s="216">
        <v>1971</v>
      </c>
      <c r="B31" s="283"/>
      <c r="C31" s="402" t="s">
        <v>1442</v>
      </c>
      <c r="D31" s="402"/>
      <c r="E31" s="171">
        <f>365-E30</f>
        <v>0</v>
      </c>
      <c r="G31" s="233"/>
      <c r="H31" s="171">
        <v>28</v>
      </c>
      <c r="J31" s="241">
        <v>28</v>
      </c>
      <c r="K31" s="214">
        <f t="shared" ref="K31:K36" si="11">G31/J31*100</f>
        <v>0</v>
      </c>
      <c r="L31" s="214">
        <f t="shared" ref="L31:L36" si="12">H31/J31*100</f>
        <v>100</v>
      </c>
      <c r="M31" s="214">
        <f t="shared" ref="M31:M36" si="13">I31/J31*100</f>
        <v>0</v>
      </c>
      <c r="N31" s="235">
        <f t="shared" si="3"/>
        <v>100</v>
      </c>
      <c r="O31" s="213"/>
      <c r="P31" s="214">
        <v>58.7</v>
      </c>
      <c r="Q31" s="214"/>
      <c r="R31" s="215">
        <f t="shared" si="4"/>
        <v>58.7</v>
      </c>
      <c r="S31" s="171">
        <v>1</v>
      </c>
      <c r="T31" s="285"/>
      <c r="U31" s="283"/>
      <c r="V31" s="178" t="s">
        <v>72</v>
      </c>
      <c r="W31" s="171" t="s">
        <v>22</v>
      </c>
      <c r="X31" s="171" t="s">
        <v>18</v>
      </c>
      <c r="Y31" s="179">
        <v>58.7</v>
      </c>
      <c r="AD31" s="178"/>
      <c r="AG31" s="179"/>
      <c r="AL31" s="178"/>
      <c r="AO31" s="179"/>
      <c r="AP31" s="178"/>
      <c r="AS31" s="179"/>
      <c r="AW31" s="179"/>
      <c r="BA31" s="180"/>
    </row>
    <row r="32" spans="1:53" s="171" customFormat="1" x14ac:dyDescent="0.15">
      <c r="A32" s="216">
        <v>1971</v>
      </c>
      <c r="B32" s="283"/>
      <c r="C32" s="402" t="s">
        <v>1442</v>
      </c>
      <c r="D32" s="402"/>
      <c r="E32" s="171">
        <v>365</v>
      </c>
      <c r="G32" s="233"/>
      <c r="H32" s="171">
        <v>28</v>
      </c>
      <c r="J32" s="241">
        <v>28</v>
      </c>
      <c r="K32" s="214">
        <f t="shared" si="11"/>
        <v>0</v>
      </c>
      <c r="L32" s="214">
        <f t="shared" si="12"/>
        <v>100</v>
      </c>
      <c r="M32" s="214">
        <f t="shared" si="13"/>
        <v>0</v>
      </c>
      <c r="N32" s="235">
        <f t="shared" si="3"/>
        <v>100</v>
      </c>
      <c r="O32" s="213"/>
      <c r="P32" s="214">
        <v>58.7</v>
      </c>
      <c r="Q32" s="214"/>
      <c r="R32" s="215">
        <f t="shared" si="4"/>
        <v>58.7</v>
      </c>
      <c r="S32" s="171">
        <v>1</v>
      </c>
      <c r="T32" s="285"/>
      <c r="U32" s="283"/>
      <c r="V32" s="178" t="s">
        <v>72</v>
      </c>
      <c r="W32" s="171" t="s">
        <v>22</v>
      </c>
      <c r="X32" s="171" t="s">
        <v>18</v>
      </c>
      <c r="Y32" s="179">
        <v>58.7</v>
      </c>
      <c r="AD32" s="178"/>
      <c r="AG32" s="179"/>
      <c r="AL32" s="178"/>
      <c r="AO32" s="179"/>
      <c r="AP32" s="178"/>
      <c r="AS32" s="179"/>
      <c r="AW32" s="179"/>
      <c r="BA32" s="180"/>
    </row>
    <row r="33" spans="1:53" s="171" customFormat="1" x14ac:dyDescent="0.15">
      <c r="A33" s="216">
        <v>1972</v>
      </c>
      <c r="B33" s="283"/>
      <c r="C33" s="402" t="s">
        <v>1442</v>
      </c>
      <c r="D33" s="402"/>
      <c r="E33" s="171">
        <v>331</v>
      </c>
      <c r="G33" s="233"/>
      <c r="H33" s="171">
        <v>28</v>
      </c>
      <c r="J33" s="241">
        <v>28</v>
      </c>
      <c r="K33" s="214">
        <f t="shared" si="11"/>
        <v>0</v>
      </c>
      <c r="L33" s="214">
        <f t="shared" si="12"/>
        <v>100</v>
      </c>
      <c r="M33" s="214">
        <f t="shared" si="13"/>
        <v>0</v>
      </c>
      <c r="N33" s="235">
        <f t="shared" si="3"/>
        <v>100</v>
      </c>
      <c r="O33" s="213"/>
      <c r="P33" s="214">
        <v>58.7</v>
      </c>
      <c r="Q33" s="214"/>
      <c r="R33" s="215">
        <f t="shared" si="4"/>
        <v>58.7</v>
      </c>
      <c r="S33" s="171">
        <v>1</v>
      </c>
      <c r="T33" s="285"/>
      <c r="U33" s="283"/>
      <c r="V33" s="178" t="s">
        <v>72</v>
      </c>
      <c r="W33" s="171" t="s">
        <v>22</v>
      </c>
      <c r="X33" s="171" t="s">
        <v>18</v>
      </c>
      <c r="Y33" s="179">
        <v>58.7</v>
      </c>
      <c r="AD33" s="178"/>
      <c r="AG33" s="179"/>
      <c r="AL33" s="178"/>
      <c r="AO33" s="179"/>
      <c r="AP33" s="178"/>
      <c r="AS33" s="179"/>
      <c r="AW33" s="179"/>
      <c r="BA33" s="180"/>
    </row>
    <row r="34" spans="1:53" s="29" customFormat="1" x14ac:dyDescent="0.15">
      <c r="A34" s="52">
        <v>1972</v>
      </c>
      <c r="B34" s="295">
        <v>26630</v>
      </c>
      <c r="C34" s="394" t="s">
        <v>1443</v>
      </c>
      <c r="D34" s="394"/>
      <c r="E34" s="29">
        <v>35</v>
      </c>
      <c r="F34" s="29">
        <v>1</v>
      </c>
      <c r="G34" s="66"/>
      <c r="H34" s="29">
        <v>27</v>
      </c>
      <c r="J34" s="73">
        <v>27</v>
      </c>
      <c r="K34" s="47">
        <f t="shared" si="11"/>
        <v>0</v>
      </c>
      <c r="L34" s="47">
        <f t="shared" si="12"/>
        <v>100</v>
      </c>
      <c r="M34" s="47">
        <f t="shared" si="13"/>
        <v>0</v>
      </c>
      <c r="N34" s="68">
        <f t="shared" si="3"/>
        <v>100</v>
      </c>
      <c r="O34" s="46"/>
      <c r="P34" s="47">
        <v>41.3</v>
      </c>
      <c r="Q34" s="47"/>
      <c r="R34" s="48">
        <f t="shared" si="4"/>
        <v>41.3</v>
      </c>
      <c r="S34" s="29">
        <v>4</v>
      </c>
      <c r="T34" s="286">
        <v>26602</v>
      </c>
      <c r="U34" s="295">
        <v>26630</v>
      </c>
      <c r="V34" s="38" t="s">
        <v>72</v>
      </c>
      <c r="W34" s="29" t="s">
        <v>22</v>
      </c>
      <c r="X34" s="29" t="s">
        <v>18</v>
      </c>
      <c r="Y34" s="39">
        <v>41.3</v>
      </c>
      <c r="AD34" s="38"/>
      <c r="AG34" s="39"/>
      <c r="AL34" s="38"/>
      <c r="AO34" s="39"/>
      <c r="AP34" s="38"/>
      <c r="AS34" s="39"/>
      <c r="AW34" s="39"/>
      <c r="BA34" s="40"/>
    </row>
    <row r="35" spans="1:53" s="29" customFormat="1" x14ac:dyDescent="0.15">
      <c r="A35" s="52">
        <v>1973</v>
      </c>
      <c r="B35" s="295"/>
      <c r="C35" s="394" t="s">
        <v>1443</v>
      </c>
      <c r="D35" s="394"/>
      <c r="E35" s="29">
        <v>0</v>
      </c>
      <c r="G35" s="66"/>
      <c r="H35" s="29">
        <v>27</v>
      </c>
      <c r="J35" s="73">
        <v>27</v>
      </c>
      <c r="K35" s="47">
        <f t="shared" si="11"/>
        <v>0</v>
      </c>
      <c r="L35" s="47">
        <f t="shared" si="12"/>
        <v>100</v>
      </c>
      <c r="M35" s="47">
        <f t="shared" si="13"/>
        <v>0</v>
      </c>
      <c r="N35" s="68">
        <f t="shared" si="3"/>
        <v>100</v>
      </c>
      <c r="O35" s="46"/>
      <c r="P35" s="47">
        <v>41.3</v>
      </c>
      <c r="Q35" s="47"/>
      <c r="R35" s="48">
        <f t="shared" si="4"/>
        <v>41.3</v>
      </c>
      <c r="S35" s="29">
        <v>4</v>
      </c>
      <c r="T35" s="286"/>
      <c r="U35" s="295"/>
      <c r="V35" s="38" t="s">
        <v>72</v>
      </c>
      <c r="W35" s="29" t="s">
        <v>22</v>
      </c>
      <c r="X35" s="29" t="s">
        <v>18</v>
      </c>
      <c r="Y35" s="39">
        <v>41.3</v>
      </c>
      <c r="AD35" s="38"/>
      <c r="AG35" s="39"/>
      <c r="AL35" s="38"/>
      <c r="AO35" s="39"/>
      <c r="AP35" s="38"/>
      <c r="AS35" s="39"/>
      <c r="AW35" s="39"/>
      <c r="BA35" s="40"/>
    </row>
    <row r="36" spans="1:53" s="29" customFormat="1" x14ac:dyDescent="0.15">
      <c r="A36" s="52">
        <v>1973</v>
      </c>
      <c r="B36" s="295"/>
      <c r="C36" s="394" t="s">
        <v>1443</v>
      </c>
      <c r="D36" s="394"/>
      <c r="E36" s="29">
        <v>365</v>
      </c>
      <c r="G36" s="66"/>
      <c r="H36" s="29">
        <v>27</v>
      </c>
      <c r="J36" s="73">
        <v>27</v>
      </c>
      <c r="K36" s="47">
        <f t="shared" si="11"/>
        <v>0</v>
      </c>
      <c r="L36" s="47">
        <f t="shared" si="12"/>
        <v>100</v>
      </c>
      <c r="M36" s="47">
        <f t="shared" si="13"/>
        <v>0</v>
      </c>
      <c r="N36" s="68">
        <f t="shared" si="3"/>
        <v>100</v>
      </c>
      <c r="O36" s="46"/>
      <c r="P36" s="47">
        <v>41.3</v>
      </c>
      <c r="Q36" s="47"/>
      <c r="R36" s="48">
        <f t="shared" si="4"/>
        <v>41.3</v>
      </c>
      <c r="S36" s="29">
        <v>4</v>
      </c>
      <c r="T36" s="286"/>
      <c r="U36" s="295"/>
      <c r="V36" s="38" t="s">
        <v>72</v>
      </c>
      <c r="W36" s="29" t="s">
        <v>22</v>
      </c>
      <c r="X36" s="29" t="s">
        <v>18</v>
      </c>
      <c r="Y36" s="39">
        <v>41.3</v>
      </c>
      <c r="AD36" s="38"/>
      <c r="AG36" s="39"/>
      <c r="AL36" s="38"/>
      <c r="AO36" s="39"/>
      <c r="AP36" s="38"/>
      <c r="AS36" s="39"/>
      <c r="AW36" s="39"/>
      <c r="BA36" s="40"/>
    </row>
    <row r="37" spans="1:53" s="29" customFormat="1" x14ac:dyDescent="0.15">
      <c r="A37" s="52">
        <v>1974</v>
      </c>
      <c r="B37" s="295"/>
      <c r="C37" s="394" t="s">
        <v>1443</v>
      </c>
      <c r="D37" s="394"/>
      <c r="E37" s="29">
        <v>219</v>
      </c>
      <c r="G37" s="66"/>
      <c r="H37" s="29">
        <v>27</v>
      </c>
      <c r="J37" s="73">
        <v>27</v>
      </c>
      <c r="K37" s="47">
        <f>G37/J37*100</f>
        <v>0</v>
      </c>
      <c r="L37" s="47">
        <f>H37/J37*100</f>
        <v>100</v>
      </c>
      <c r="M37" s="47">
        <f>I37/J37*100</f>
        <v>0</v>
      </c>
      <c r="N37" s="68">
        <f t="shared" si="3"/>
        <v>100</v>
      </c>
      <c r="O37" s="46"/>
      <c r="P37" s="47">
        <v>41.3</v>
      </c>
      <c r="Q37" s="47"/>
      <c r="R37" s="48">
        <f t="shared" si="4"/>
        <v>41.3</v>
      </c>
      <c r="S37" s="29">
        <v>4</v>
      </c>
      <c r="T37" s="286"/>
      <c r="U37" s="295"/>
      <c r="V37" s="38" t="s">
        <v>72</v>
      </c>
      <c r="W37" s="29" t="s">
        <v>22</v>
      </c>
      <c r="X37" s="29" t="s">
        <v>18</v>
      </c>
      <c r="Y37" s="39">
        <v>41.3</v>
      </c>
      <c r="AD37" s="38"/>
      <c r="AG37" s="39"/>
      <c r="AL37" s="38"/>
      <c r="AO37" s="39"/>
      <c r="AP37" s="38"/>
      <c r="AS37" s="39"/>
      <c r="AW37" s="39"/>
      <c r="BA37" s="40"/>
    </row>
    <row r="38" spans="1:53" s="171" customFormat="1" x14ac:dyDescent="0.15">
      <c r="A38" s="216">
        <v>1974</v>
      </c>
      <c r="B38" s="283">
        <v>27249</v>
      </c>
      <c r="C38" s="402" t="s">
        <v>1444</v>
      </c>
      <c r="D38" s="402"/>
      <c r="E38" s="171">
        <v>146</v>
      </c>
      <c r="F38" s="171">
        <v>5</v>
      </c>
      <c r="G38" s="233"/>
      <c r="H38" s="171">
        <v>28</v>
      </c>
      <c r="J38" s="241">
        <v>28</v>
      </c>
      <c r="K38" s="214">
        <f t="shared" ref="K38:K43" si="14">G38/J38*100</f>
        <v>0</v>
      </c>
      <c r="L38" s="214">
        <f t="shared" ref="L38:L43" si="15">H38/J38*100</f>
        <v>100</v>
      </c>
      <c r="M38" s="214">
        <f t="shared" ref="M38:M43" si="16">I38/J38*100</f>
        <v>0</v>
      </c>
      <c r="N38" s="235">
        <f t="shared" si="3"/>
        <v>100</v>
      </c>
      <c r="O38" s="213"/>
      <c r="P38" s="214">
        <v>53.4</v>
      </c>
      <c r="Q38" s="214"/>
      <c r="R38" s="215">
        <f t="shared" si="4"/>
        <v>53.4</v>
      </c>
      <c r="S38" s="171">
        <v>1</v>
      </c>
      <c r="T38" s="285">
        <v>27218</v>
      </c>
      <c r="U38" s="283">
        <v>27249</v>
      </c>
      <c r="V38" s="178" t="s">
        <v>72</v>
      </c>
      <c r="W38" s="171" t="s">
        <v>22</v>
      </c>
      <c r="X38" s="171" t="s">
        <v>18</v>
      </c>
      <c r="Y38" s="179">
        <v>53.4</v>
      </c>
      <c r="AD38" s="178"/>
      <c r="AG38" s="179"/>
      <c r="AL38" s="178"/>
      <c r="AO38" s="179"/>
      <c r="AP38" s="178"/>
      <c r="AS38" s="179"/>
      <c r="AW38" s="179"/>
      <c r="BA38" s="180"/>
    </row>
    <row r="39" spans="1:53" s="171" customFormat="1" x14ac:dyDescent="0.15">
      <c r="A39" s="216">
        <v>1975</v>
      </c>
      <c r="B39" s="283"/>
      <c r="C39" s="402" t="s">
        <v>1444</v>
      </c>
      <c r="D39" s="402"/>
      <c r="E39" s="171">
        <v>0</v>
      </c>
      <c r="G39" s="233"/>
      <c r="H39" s="171">
        <v>28</v>
      </c>
      <c r="J39" s="241">
        <v>28</v>
      </c>
      <c r="K39" s="214">
        <f t="shared" si="14"/>
        <v>0</v>
      </c>
      <c r="L39" s="214">
        <f t="shared" si="15"/>
        <v>100</v>
      </c>
      <c r="M39" s="214">
        <f t="shared" si="16"/>
        <v>0</v>
      </c>
      <c r="N39" s="235">
        <f t="shared" si="3"/>
        <v>100</v>
      </c>
      <c r="O39" s="213"/>
      <c r="P39" s="214">
        <v>53.4</v>
      </c>
      <c r="Q39" s="214"/>
      <c r="R39" s="215">
        <f t="shared" si="4"/>
        <v>53.4</v>
      </c>
      <c r="S39" s="171">
        <v>1</v>
      </c>
      <c r="T39" s="285"/>
      <c r="U39" s="283"/>
      <c r="V39" s="178" t="s">
        <v>72</v>
      </c>
      <c r="W39" s="171" t="s">
        <v>22</v>
      </c>
      <c r="X39" s="171" t="s">
        <v>18</v>
      </c>
      <c r="Y39" s="179">
        <v>53.4</v>
      </c>
      <c r="AD39" s="178"/>
      <c r="AG39" s="179"/>
      <c r="AL39" s="178"/>
      <c r="AO39" s="179"/>
      <c r="AP39" s="178"/>
      <c r="AS39" s="179"/>
      <c r="AW39" s="179"/>
      <c r="BA39" s="180"/>
    </row>
    <row r="40" spans="1:53" s="171" customFormat="1" x14ac:dyDescent="0.15">
      <c r="A40" s="216">
        <v>1975</v>
      </c>
      <c r="B40" s="283"/>
      <c r="C40" s="402" t="s">
        <v>1444</v>
      </c>
      <c r="D40" s="402"/>
      <c r="E40" s="171">
        <f>365-E39</f>
        <v>365</v>
      </c>
      <c r="G40" s="233"/>
      <c r="H40" s="171">
        <v>28</v>
      </c>
      <c r="J40" s="241">
        <v>28</v>
      </c>
      <c r="K40" s="214">
        <f t="shared" si="14"/>
        <v>0</v>
      </c>
      <c r="L40" s="214">
        <f t="shared" si="15"/>
        <v>100</v>
      </c>
      <c r="M40" s="214">
        <f t="shared" si="16"/>
        <v>0</v>
      </c>
      <c r="N40" s="235">
        <f t="shared" si="3"/>
        <v>100</v>
      </c>
      <c r="O40" s="213"/>
      <c r="P40" s="214">
        <v>53.4</v>
      </c>
      <c r="Q40" s="214"/>
      <c r="R40" s="215">
        <f t="shared" si="4"/>
        <v>53.4</v>
      </c>
      <c r="S40" s="171">
        <v>1</v>
      </c>
      <c r="T40" s="285"/>
      <c r="U40" s="283"/>
      <c r="V40" s="178" t="s">
        <v>72</v>
      </c>
      <c r="W40" s="171" t="s">
        <v>22</v>
      </c>
      <c r="X40" s="171" t="s">
        <v>18</v>
      </c>
      <c r="Y40" s="179">
        <v>53.4</v>
      </c>
      <c r="AD40" s="178"/>
      <c r="AG40" s="179"/>
      <c r="AL40" s="178"/>
      <c r="AO40" s="179"/>
      <c r="AP40" s="178"/>
      <c r="AS40" s="179"/>
      <c r="AW40" s="179"/>
      <c r="BA40" s="180"/>
    </row>
    <row r="41" spans="1:53" s="171" customFormat="1" x14ac:dyDescent="0.15">
      <c r="A41" s="216">
        <v>1976</v>
      </c>
      <c r="B41" s="283"/>
      <c r="C41" s="402" t="s">
        <v>1444</v>
      </c>
      <c r="D41" s="402"/>
      <c r="E41" s="171">
        <v>0</v>
      </c>
      <c r="G41" s="233"/>
      <c r="H41" s="171">
        <v>28</v>
      </c>
      <c r="J41" s="241">
        <v>28</v>
      </c>
      <c r="K41" s="214">
        <f t="shared" si="14"/>
        <v>0</v>
      </c>
      <c r="L41" s="214">
        <f t="shared" si="15"/>
        <v>100</v>
      </c>
      <c r="M41" s="214">
        <f t="shared" si="16"/>
        <v>0</v>
      </c>
      <c r="N41" s="235">
        <f t="shared" si="3"/>
        <v>100</v>
      </c>
      <c r="O41" s="213"/>
      <c r="P41" s="214">
        <v>53.4</v>
      </c>
      <c r="Q41" s="214"/>
      <c r="R41" s="215">
        <f t="shared" si="4"/>
        <v>53.4</v>
      </c>
      <c r="S41" s="171">
        <v>1</v>
      </c>
      <c r="T41" s="285"/>
      <c r="U41" s="283"/>
      <c r="V41" s="178" t="s">
        <v>72</v>
      </c>
      <c r="W41" s="171" t="s">
        <v>22</v>
      </c>
      <c r="X41" s="171" t="s">
        <v>18</v>
      </c>
      <c r="Y41" s="179">
        <v>53.4</v>
      </c>
      <c r="AD41" s="178"/>
      <c r="AG41" s="179"/>
      <c r="AL41" s="178"/>
      <c r="AO41" s="179"/>
      <c r="AP41" s="178"/>
      <c r="AS41" s="179"/>
      <c r="AW41" s="179"/>
      <c r="BA41" s="180"/>
    </row>
    <row r="42" spans="1:53" s="171" customFormat="1" x14ac:dyDescent="0.15">
      <c r="A42" s="216">
        <v>1976</v>
      </c>
      <c r="B42" s="283"/>
      <c r="C42" s="402" t="s">
        <v>1444</v>
      </c>
      <c r="D42" s="402"/>
      <c r="E42" s="171">
        <v>366</v>
      </c>
      <c r="G42" s="233"/>
      <c r="H42" s="171">
        <v>28</v>
      </c>
      <c r="J42" s="241">
        <v>28</v>
      </c>
      <c r="K42" s="214">
        <f t="shared" si="14"/>
        <v>0</v>
      </c>
      <c r="L42" s="214">
        <f t="shared" si="15"/>
        <v>100</v>
      </c>
      <c r="M42" s="214">
        <f t="shared" si="16"/>
        <v>0</v>
      </c>
      <c r="N42" s="235">
        <f t="shared" si="3"/>
        <v>100</v>
      </c>
      <c r="O42" s="213"/>
      <c r="P42" s="214">
        <v>53.4</v>
      </c>
      <c r="Q42" s="214"/>
      <c r="R42" s="215">
        <f t="shared" si="4"/>
        <v>53.4</v>
      </c>
      <c r="S42" s="171">
        <v>1</v>
      </c>
      <c r="T42" s="285"/>
      <c r="U42" s="283"/>
      <c r="V42" s="178" t="s">
        <v>72</v>
      </c>
      <c r="W42" s="171" t="s">
        <v>22</v>
      </c>
      <c r="X42" s="171" t="s">
        <v>18</v>
      </c>
      <c r="Y42" s="179">
        <v>53.4</v>
      </c>
      <c r="AD42" s="178"/>
      <c r="AG42" s="179"/>
      <c r="AL42" s="178"/>
      <c r="AO42" s="179"/>
      <c r="AP42" s="178"/>
      <c r="AS42" s="179"/>
      <c r="AW42" s="179"/>
      <c r="BA42" s="180"/>
    </row>
    <row r="43" spans="1:53" s="171" customFormat="1" x14ac:dyDescent="0.15">
      <c r="A43" s="216">
        <v>1977</v>
      </c>
      <c r="B43" s="283"/>
      <c r="C43" s="402" t="s">
        <v>1444</v>
      </c>
      <c r="D43" s="402"/>
      <c r="E43" s="171">
        <v>0</v>
      </c>
      <c r="G43" s="233"/>
      <c r="H43" s="171">
        <v>28</v>
      </c>
      <c r="J43" s="241">
        <v>28</v>
      </c>
      <c r="K43" s="214">
        <f t="shared" si="14"/>
        <v>0</v>
      </c>
      <c r="L43" s="214">
        <f t="shared" si="15"/>
        <v>100</v>
      </c>
      <c r="M43" s="214">
        <f t="shared" si="16"/>
        <v>0</v>
      </c>
      <c r="N43" s="235">
        <f t="shared" si="3"/>
        <v>100</v>
      </c>
      <c r="O43" s="213"/>
      <c r="P43" s="214">
        <v>53.4</v>
      </c>
      <c r="Q43" s="214"/>
      <c r="R43" s="215">
        <f t="shared" si="4"/>
        <v>53.4</v>
      </c>
      <c r="S43" s="171">
        <v>1</v>
      </c>
      <c r="T43" s="285"/>
      <c r="U43" s="283"/>
      <c r="V43" s="178" t="s">
        <v>72</v>
      </c>
      <c r="W43" s="171" t="s">
        <v>22</v>
      </c>
      <c r="X43" s="171" t="s">
        <v>18</v>
      </c>
      <c r="Y43" s="179">
        <v>53.4</v>
      </c>
      <c r="AD43" s="178"/>
      <c r="AG43" s="179"/>
      <c r="AL43" s="178"/>
      <c r="AO43" s="179"/>
      <c r="AP43" s="178"/>
      <c r="AS43" s="179"/>
      <c r="AW43" s="179"/>
      <c r="BA43" s="180"/>
    </row>
    <row r="44" spans="1:53" s="171" customFormat="1" x14ac:dyDescent="0.15">
      <c r="A44" s="216">
        <v>1977</v>
      </c>
      <c r="B44" s="283"/>
      <c r="C44" s="402" t="s">
        <v>1444</v>
      </c>
      <c r="D44" s="402"/>
      <c r="E44" s="171">
        <v>365</v>
      </c>
      <c r="G44" s="233"/>
      <c r="H44" s="171">
        <v>28</v>
      </c>
      <c r="J44" s="241">
        <v>28</v>
      </c>
      <c r="K44" s="214">
        <f>G44/J44*100</f>
        <v>0</v>
      </c>
      <c r="L44" s="214">
        <f>H44/J44*100</f>
        <v>100</v>
      </c>
      <c r="M44" s="214">
        <f>I44/J44*100</f>
        <v>0</v>
      </c>
      <c r="N44" s="235">
        <f t="shared" si="3"/>
        <v>100</v>
      </c>
      <c r="O44" s="213"/>
      <c r="P44" s="214">
        <v>53.4</v>
      </c>
      <c r="Q44" s="214"/>
      <c r="R44" s="215">
        <f t="shared" si="4"/>
        <v>53.4</v>
      </c>
      <c r="S44" s="171">
        <v>1</v>
      </c>
      <c r="T44" s="285"/>
      <c r="U44" s="283"/>
      <c r="V44" s="178" t="s">
        <v>72</v>
      </c>
      <c r="W44" s="171" t="s">
        <v>22</v>
      </c>
      <c r="X44" s="171" t="s">
        <v>18</v>
      </c>
      <c r="Y44" s="179">
        <v>53.4</v>
      </c>
      <c r="AD44" s="178"/>
      <c r="AG44" s="179"/>
      <c r="AL44" s="178"/>
      <c r="AO44" s="179"/>
      <c r="AP44" s="178"/>
      <c r="AS44" s="179"/>
      <c r="AW44" s="179"/>
      <c r="BA44" s="180"/>
    </row>
    <row r="45" spans="1:53" s="171" customFormat="1" x14ac:dyDescent="0.15">
      <c r="A45" s="216">
        <v>1978</v>
      </c>
      <c r="B45" s="283"/>
      <c r="C45" s="402" t="s">
        <v>1444</v>
      </c>
      <c r="D45" s="402"/>
      <c r="E45" s="171">
        <v>0</v>
      </c>
      <c r="G45" s="233"/>
      <c r="H45" s="171">
        <v>28</v>
      </c>
      <c r="J45" s="241">
        <v>28</v>
      </c>
      <c r="K45" s="214">
        <f t="shared" ref="K45:K50" si="17">G45/J45*100</f>
        <v>0</v>
      </c>
      <c r="L45" s="214">
        <f t="shared" ref="L45:L50" si="18">H45/J45*100</f>
        <v>100</v>
      </c>
      <c r="M45" s="214">
        <f t="shared" ref="M45:M50" si="19">I45/J45*100</f>
        <v>0</v>
      </c>
      <c r="N45" s="235">
        <f t="shared" si="3"/>
        <v>100</v>
      </c>
      <c r="O45" s="213"/>
      <c r="P45" s="214">
        <v>53.4</v>
      </c>
      <c r="Q45" s="214"/>
      <c r="R45" s="215">
        <f t="shared" si="4"/>
        <v>53.4</v>
      </c>
      <c r="S45" s="171">
        <v>1</v>
      </c>
      <c r="T45" s="285"/>
      <c r="U45" s="283"/>
      <c r="V45" s="178" t="s">
        <v>72</v>
      </c>
      <c r="W45" s="171" t="s">
        <v>22</v>
      </c>
      <c r="X45" s="171" t="s">
        <v>18</v>
      </c>
      <c r="Y45" s="179">
        <v>53.4</v>
      </c>
      <c r="AD45" s="178"/>
      <c r="AG45" s="179"/>
      <c r="AL45" s="178"/>
      <c r="AO45" s="179"/>
      <c r="AP45" s="178"/>
      <c r="AS45" s="179"/>
      <c r="AW45" s="179"/>
      <c r="BA45" s="180"/>
    </row>
    <row r="46" spans="1:53" s="171" customFormat="1" x14ac:dyDescent="0.15">
      <c r="A46" s="216">
        <v>1978</v>
      </c>
      <c r="B46" s="283"/>
      <c r="C46" s="402" t="s">
        <v>1444</v>
      </c>
      <c r="D46" s="402"/>
      <c r="E46" s="171">
        <v>365</v>
      </c>
      <c r="G46" s="233"/>
      <c r="H46" s="171">
        <v>28</v>
      </c>
      <c r="J46" s="241">
        <v>28</v>
      </c>
      <c r="K46" s="214">
        <f t="shared" si="17"/>
        <v>0</v>
      </c>
      <c r="L46" s="214">
        <f t="shared" si="18"/>
        <v>100</v>
      </c>
      <c r="M46" s="214">
        <f t="shared" si="19"/>
        <v>0</v>
      </c>
      <c r="N46" s="235">
        <f t="shared" si="3"/>
        <v>100</v>
      </c>
      <c r="O46" s="213"/>
      <c r="P46" s="214">
        <v>53.4</v>
      </c>
      <c r="Q46" s="214"/>
      <c r="R46" s="215">
        <f t="shared" si="4"/>
        <v>53.4</v>
      </c>
      <c r="S46" s="171">
        <v>1</v>
      </c>
      <c r="T46" s="285"/>
      <c r="U46" s="283"/>
      <c r="V46" s="178" t="s">
        <v>72</v>
      </c>
      <c r="W46" s="171" t="s">
        <v>22</v>
      </c>
      <c r="X46" s="171" t="s">
        <v>18</v>
      </c>
      <c r="Y46" s="179">
        <v>53.4</v>
      </c>
      <c r="AD46" s="178"/>
      <c r="AG46" s="179"/>
      <c r="AL46" s="178"/>
      <c r="AO46" s="179"/>
      <c r="AP46" s="178"/>
      <c r="AS46" s="179"/>
      <c r="AW46" s="179"/>
      <c r="BA46" s="180"/>
    </row>
    <row r="47" spans="1:53" s="171" customFormat="1" x14ac:dyDescent="0.15">
      <c r="A47" s="216">
        <v>1979</v>
      </c>
      <c r="B47" s="283"/>
      <c r="C47" s="402" t="s">
        <v>1444</v>
      </c>
      <c r="D47" s="402"/>
      <c r="E47" s="171">
        <v>154</v>
      </c>
      <c r="G47" s="233"/>
      <c r="H47" s="171">
        <v>28</v>
      </c>
      <c r="J47" s="241">
        <v>28</v>
      </c>
      <c r="K47" s="214">
        <f t="shared" si="17"/>
        <v>0</v>
      </c>
      <c r="L47" s="214">
        <f t="shared" si="18"/>
        <v>100</v>
      </c>
      <c r="M47" s="214">
        <f t="shared" si="19"/>
        <v>0</v>
      </c>
      <c r="N47" s="235">
        <f t="shared" si="3"/>
        <v>100</v>
      </c>
      <c r="O47" s="213"/>
      <c r="P47" s="214">
        <v>53.4</v>
      </c>
      <c r="Q47" s="214"/>
      <c r="R47" s="215">
        <f t="shared" si="4"/>
        <v>53.4</v>
      </c>
      <c r="S47" s="171">
        <v>1</v>
      </c>
      <c r="T47" s="285"/>
      <c r="U47" s="283"/>
      <c r="V47" s="178" t="s">
        <v>72</v>
      </c>
      <c r="W47" s="171" t="s">
        <v>22</v>
      </c>
      <c r="X47" s="171" t="s">
        <v>18</v>
      </c>
      <c r="Y47" s="179">
        <v>53.4</v>
      </c>
      <c r="AD47" s="178"/>
      <c r="AG47" s="179"/>
      <c r="AL47" s="178"/>
      <c r="AO47" s="179"/>
      <c r="AP47" s="178"/>
      <c r="AS47" s="179"/>
      <c r="AW47" s="179"/>
      <c r="BA47" s="180"/>
    </row>
    <row r="48" spans="1:53" s="29" customFormat="1" x14ac:dyDescent="0.15">
      <c r="A48" s="52">
        <v>1979</v>
      </c>
      <c r="B48" s="295">
        <v>29010</v>
      </c>
      <c r="C48" s="394" t="s">
        <v>231</v>
      </c>
      <c r="D48" s="394"/>
      <c r="E48" s="29">
        <v>211</v>
      </c>
      <c r="F48" s="29">
        <v>1</v>
      </c>
      <c r="G48" s="66">
        <v>11</v>
      </c>
      <c r="J48" s="73">
        <v>11</v>
      </c>
      <c r="K48" s="47">
        <f t="shared" si="17"/>
        <v>100</v>
      </c>
      <c r="L48" s="47">
        <f t="shared" si="18"/>
        <v>0</v>
      </c>
      <c r="M48" s="47">
        <f t="shared" si="19"/>
        <v>0</v>
      </c>
      <c r="N48" s="68">
        <f t="shared" si="3"/>
        <v>100</v>
      </c>
      <c r="O48" s="46">
        <v>48.2</v>
      </c>
      <c r="P48" s="47"/>
      <c r="Q48" s="47"/>
      <c r="R48" s="48">
        <f t="shared" si="4"/>
        <v>48.2</v>
      </c>
      <c r="S48" s="29">
        <v>4</v>
      </c>
      <c r="T48" s="286">
        <v>28997</v>
      </c>
      <c r="U48" s="295">
        <v>29010</v>
      </c>
      <c r="V48" s="38" t="s">
        <v>100</v>
      </c>
      <c r="W48" s="29" t="s">
        <v>74</v>
      </c>
      <c r="X48" s="29" t="s">
        <v>11</v>
      </c>
      <c r="Y48" s="39">
        <v>48.2</v>
      </c>
      <c r="AD48" s="38"/>
      <c r="AG48" s="39"/>
      <c r="AL48" s="38"/>
      <c r="AO48" s="39"/>
      <c r="AP48" s="38"/>
      <c r="AS48" s="39"/>
      <c r="AW48" s="39"/>
      <c r="BA48" s="40"/>
    </row>
    <row r="49" spans="1:53" s="29" customFormat="1" x14ac:dyDescent="0.15">
      <c r="A49" s="52">
        <v>1980</v>
      </c>
      <c r="B49" s="295"/>
      <c r="C49" s="394" t="s">
        <v>231</v>
      </c>
      <c r="D49" s="394"/>
      <c r="E49" s="29">
        <v>62</v>
      </c>
      <c r="G49" s="66">
        <v>11</v>
      </c>
      <c r="J49" s="73">
        <v>11</v>
      </c>
      <c r="K49" s="47">
        <f t="shared" si="17"/>
        <v>100</v>
      </c>
      <c r="L49" s="47">
        <f t="shared" si="18"/>
        <v>0</v>
      </c>
      <c r="M49" s="47">
        <f t="shared" si="19"/>
        <v>0</v>
      </c>
      <c r="N49" s="68">
        <f t="shared" si="3"/>
        <v>100</v>
      </c>
      <c r="O49" s="46">
        <v>48.2</v>
      </c>
      <c r="P49" s="47"/>
      <c r="Q49" s="47"/>
      <c r="R49" s="48">
        <f t="shared" si="4"/>
        <v>48.2</v>
      </c>
      <c r="S49" s="29">
        <v>4</v>
      </c>
      <c r="T49" s="286"/>
      <c r="U49" s="295"/>
      <c r="V49" s="38" t="s">
        <v>100</v>
      </c>
      <c r="W49" s="29" t="s">
        <v>74</v>
      </c>
      <c r="X49" s="29" t="s">
        <v>11</v>
      </c>
      <c r="Y49" s="39">
        <v>48.2</v>
      </c>
      <c r="AD49" s="38"/>
      <c r="AG49" s="39"/>
      <c r="AL49" s="38"/>
      <c r="AO49" s="39"/>
      <c r="AP49" s="38"/>
      <c r="AS49" s="39"/>
      <c r="AW49" s="39"/>
      <c r="BA49" s="40"/>
    </row>
    <row r="50" spans="1:53" s="171" customFormat="1" x14ac:dyDescent="0.15">
      <c r="A50" s="216">
        <v>1980</v>
      </c>
      <c r="B50" s="283">
        <v>29283</v>
      </c>
      <c r="C50" s="402" t="s">
        <v>1445</v>
      </c>
      <c r="D50" s="402"/>
      <c r="E50" s="171">
        <v>304</v>
      </c>
      <c r="F50" s="171">
        <v>5</v>
      </c>
      <c r="G50" s="233"/>
      <c r="H50" s="171">
        <v>27</v>
      </c>
      <c r="J50" s="241">
        <v>27</v>
      </c>
      <c r="K50" s="214">
        <f t="shared" si="17"/>
        <v>0</v>
      </c>
      <c r="L50" s="214">
        <f t="shared" si="18"/>
        <v>100</v>
      </c>
      <c r="M50" s="214">
        <f t="shared" si="19"/>
        <v>0</v>
      </c>
      <c r="N50" s="235">
        <f t="shared" si="3"/>
        <v>100</v>
      </c>
      <c r="O50" s="213"/>
      <c r="P50" s="214">
        <v>52.1</v>
      </c>
      <c r="Q50" s="214"/>
      <c r="R50" s="215">
        <f t="shared" si="4"/>
        <v>52.1</v>
      </c>
      <c r="S50" s="171">
        <v>1</v>
      </c>
      <c r="T50" s="285">
        <v>29269</v>
      </c>
      <c r="U50" s="283">
        <v>29283</v>
      </c>
      <c r="V50" s="178" t="s">
        <v>72</v>
      </c>
      <c r="W50" s="171" t="s">
        <v>22</v>
      </c>
      <c r="X50" s="171" t="s">
        <v>18</v>
      </c>
      <c r="Y50" s="179">
        <v>52.1</v>
      </c>
      <c r="AD50" s="178"/>
      <c r="AG50" s="179"/>
      <c r="AL50" s="178"/>
      <c r="AO50" s="179"/>
      <c r="AP50" s="178"/>
      <c r="AS50" s="179"/>
      <c r="AW50" s="179"/>
      <c r="BA50" s="180"/>
    </row>
    <row r="51" spans="1:53" s="171" customFormat="1" x14ac:dyDescent="0.15">
      <c r="A51" s="216">
        <v>1981</v>
      </c>
      <c r="B51" s="283"/>
      <c r="C51" s="402" t="s">
        <v>1445</v>
      </c>
      <c r="D51" s="402"/>
      <c r="E51" s="171">
        <v>0</v>
      </c>
      <c r="G51" s="233"/>
      <c r="H51" s="171">
        <v>27</v>
      </c>
      <c r="J51" s="241">
        <v>27</v>
      </c>
      <c r="K51" s="214">
        <f>G51/J51*100</f>
        <v>0</v>
      </c>
      <c r="L51" s="214">
        <f>H51/J51*100</f>
        <v>100</v>
      </c>
      <c r="M51" s="214">
        <f>I51/J51*100</f>
        <v>0</v>
      </c>
      <c r="N51" s="235">
        <f t="shared" si="3"/>
        <v>100</v>
      </c>
      <c r="O51" s="213"/>
      <c r="P51" s="214">
        <v>52.1</v>
      </c>
      <c r="Q51" s="214"/>
      <c r="R51" s="215">
        <f t="shared" si="4"/>
        <v>52.1</v>
      </c>
      <c r="S51" s="171">
        <v>1</v>
      </c>
      <c r="T51" s="285"/>
      <c r="U51" s="283"/>
      <c r="V51" s="178" t="s">
        <v>72</v>
      </c>
      <c r="W51" s="171" t="s">
        <v>22</v>
      </c>
      <c r="X51" s="171" t="s">
        <v>18</v>
      </c>
      <c r="Y51" s="179">
        <v>52.1</v>
      </c>
      <c r="AD51" s="178"/>
      <c r="AG51" s="179"/>
      <c r="AL51" s="178"/>
      <c r="AO51" s="179"/>
      <c r="AP51" s="178"/>
      <c r="AS51" s="179"/>
      <c r="AW51" s="179"/>
      <c r="BA51" s="180"/>
    </row>
    <row r="52" spans="1:53" s="171" customFormat="1" x14ac:dyDescent="0.15">
      <c r="A52" s="216">
        <v>1981</v>
      </c>
      <c r="B52" s="283"/>
      <c r="C52" s="402" t="s">
        <v>1445</v>
      </c>
      <c r="D52" s="402"/>
      <c r="E52" s="171">
        <f>365-E51</f>
        <v>365</v>
      </c>
      <c r="G52" s="233"/>
      <c r="H52" s="171">
        <v>27</v>
      </c>
      <c r="J52" s="241">
        <v>27</v>
      </c>
      <c r="K52" s="214">
        <f t="shared" ref="K52:K57" si="20">G52/J52*100</f>
        <v>0</v>
      </c>
      <c r="L52" s="214">
        <f t="shared" ref="L52:L57" si="21">H52/J52*100</f>
        <v>100</v>
      </c>
      <c r="M52" s="214">
        <f t="shared" ref="M52:M57" si="22">I52/J52*100</f>
        <v>0</v>
      </c>
      <c r="N52" s="235">
        <f t="shared" si="3"/>
        <v>100</v>
      </c>
      <c r="O52" s="213"/>
      <c r="P52" s="214">
        <v>52.1</v>
      </c>
      <c r="Q52" s="214"/>
      <c r="R52" s="215">
        <f t="shared" si="4"/>
        <v>52.1</v>
      </c>
      <c r="S52" s="171">
        <v>1</v>
      </c>
      <c r="T52" s="285"/>
      <c r="U52" s="283"/>
      <c r="V52" s="178" t="s">
        <v>72</v>
      </c>
      <c r="W52" s="171" t="s">
        <v>22</v>
      </c>
      <c r="X52" s="171" t="s">
        <v>18</v>
      </c>
      <c r="Y52" s="179">
        <v>52.1</v>
      </c>
      <c r="AD52" s="178"/>
      <c r="AG52" s="179"/>
      <c r="AL52" s="178"/>
      <c r="AO52" s="179"/>
      <c r="AP52" s="178"/>
      <c r="AS52" s="179"/>
      <c r="AW52" s="179"/>
      <c r="BA52" s="180"/>
    </row>
    <row r="53" spans="1:53" s="171" customFormat="1" x14ac:dyDescent="0.15">
      <c r="A53" s="216">
        <v>1982</v>
      </c>
      <c r="B53" s="283"/>
      <c r="C53" s="402" t="s">
        <v>1445</v>
      </c>
      <c r="D53" s="402"/>
      <c r="E53" s="171">
        <v>0</v>
      </c>
      <c r="G53" s="233"/>
      <c r="H53" s="171">
        <v>27</v>
      </c>
      <c r="J53" s="241">
        <v>27</v>
      </c>
      <c r="K53" s="214">
        <f t="shared" si="20"/>
        <v>0</v>
      </c>
      <c r="L53" s="214">
        <f t="shared" si="21"/>
        <v>100</v>
      </c>
      <c r="M53" s="214">
        <f t="shared" si="22"/>
        <v>0</v>
      </c>
      <c r="N53" s="235">
        <f t="shared" si="3"/>
        <v>100</v>
      </c>
      <c r="O53" s="213"/>
      <c r="P53" s="214">
        <v>52.1</v>
      </c>
      <c r="Q53" s="214"/>
      <c r="R53" s="215">
        <f t="shared" si="4"/>
        <v>52.1</v>
      </c>
      <c r="S53" s="171">
        <v>1</v>
      </c>
      <c r="T53" s="285"/>
      <c r="U53" s="283"/>
      <c r="V53" s="178" t="s">
        <v>72</v>
      </c>
      <c r="W53" s="171" t="s">
        <v>22</v>
      </c>
      <c r="X53" s="171" t="s">
        <v>18</v>
      </c>
      <c r="Y53" s="179">
        <v>52.1</v>
      </c>
      <c r="AD53" s="178"/>
      <c r="AG53" s="179"/>
      <c r="AL53" s="178"/>
      <c r="AO53" s="179"/>
      <c r="AP53" s="178"/>
      <c r="AS53" s="179"/>
      <c r="AW53" s="179"/>
      <c r="BA53" s="180"/>
    </row>
    <row r="54" spans="1:53" s="171" customFormat="1" x14ac:dyDescent="0.15">
      <c r="A54" s="216">
        <v>1982</v>
      </c>
      <c r="B54" s="283"/>
      <c r="C54" s="402" t="s">
        <v>1445</v>
      </c>
      <c r="D54" s="402"/>
      <c r="E54" s="171">
        <f>365-E53</f>
        <v>365</v>
      </c>
      <c r="G54" s="233"/>
      <c r="H54" s="171">
        <v>27</v>
      </c>
      <c r="J54" s="241">
        <v>27</v>
      </c>
      <c r="K54" s="214">
        <f t="shared" si="20"/>
        <v>0</v>
      </c>
      <c r="L54" s="214">
        <f t="shared" si="21"/>
        <v>100</v>
      </c>
      <c r="M54" s="214">
        <f t="shared" si="22"/>
        <v>0</v>
      </c>
      <c r="N54" s="235">
        <f t="shared" si="3"/>
        <v>100</v>
      </c>
      <c r="O54" s="213"/>
      <c r="P54" s="214">
        <v>52.1</v>
      </c>
      <c r="Q54" s="214"/>
      <c r="R54" s="215">
        <f t="shared" si="4"/>
        <v>52.1</v>
      </c>
      <c r="S54" s="171">
        <v>1</v>
      </c>
      <c r="T54" s="285"/>
      <c r="U54" s="283"/>
      <c r="V54" s="178" t="s">
        <v>72</v>
      </c>
      <c r="W54" s="171" t="s">
        <v>22</v>
      </c>
      <c r="X54" s="171" t="s">
        <v>18</v>
      </c>
      <c r="Y54" s="179">
        <v>52.1</v>
      </c>
      <c r="AD54" s="178"/>
      <c r="AG54" s="179"/>
      <c r="AL54" s="178"/>
      <c r="AO54" s="179"/>
      <c r="AP54" s="178"/>
      <c r="AS54" s="179"/>
      <c r="AW54" s="179"/>
      <c r="BA54" s="180"/>
    </row>
    <row r="55" spans="1:53" s="171" customFormat="1" x14ac:dyDescent="0.15">
      <c r="A55" s="216">
        <v>1983</v>
      </c>
      <c r="B55" s="283"/>
      <c r="C55" s="402" t="s">
        <v>1445</v>
      </c>
      <c r="D55" s="402"/>
      <c r="E55" s="171">
        <v>180</v>
      </c>
      <c r="G55" s="233"/>
      <c r="H55" s="171">
        <v>27</v>
      </c>
      <c r="J55" s="241">
        <v>27</v>
      </c>
      <c r="K55" s="214">
        <f t="shared" si="20"/>
        <v>0</v>
      </c>
      <c r="L55" s="214">
        <f t="shared" si="21"/>
        <v>100</v>
      </c>
      <c r="M55" s="214">
        <f t="shared" si="22"/>
        <v>0</v>
      </c>
      <c r="N55" s="235">
        <f t="shared" si="3"/>
        <v>100</v>
      </c>
      <c r="O55" s="213"/>
      <c r="P55" s="214">
        <v>52.1</v>
      </c>
      <c r="Q55" s="214"/>
      <c r="R55" s="215">
        <f t="shared" si="4"/>
        <v>52.1</v>
      </c>
      <c r="S55" s="171">
        <v>1</v>
      </c>
      <c r="T55" s="285"/>
      <c r="U55" s="283"/>
      <c r="V55" s="178" t="s">
        <v>72</v>
      </c>
      <c r="W55" s="171" t="s">
        <v>22</v>
      </c>
      <c r="X55" s="171" t="s">
        <v>18</v>
      </c>
      <c r="Y55" s="179">
        <v>52.1</v>
      </c>
      <c r="AD55" s="178"/>
      <c r="AG55" s="179"/>
      <c r="AL55" s="178"/>
      <c r="AO55" s="179"/>
      <c r="AP55" s="178"/>
      <c r="AS55" s="179"/>
      <c r="AW55" s="179"/>
      <c r="BA55" s="180"/>
    </row>
    <row r="56" spans="1:53" s="29" customFormat="1" x14ac:dyDescent="0.15">
      <c r="A56" s="52">
        <v>1983</v>
      </c>
      <c r="B56" s="295">
        <v>30497</v>
      </c>
      <c r="C56" s="394" t="s">
        <v>232</v>
      </c>
      <c r="D56" s="394"/>
      <c r="E56" s="29">
        <f>365-E55</f>
        <v>185</v>
      </c>
      <c r="F56" s="29">
        <v>2</v>
      </c>
      <c r="G56" s="66"/>
      <c r="H56" s="29">
        <v>25</v>
      </c>
      <c r="J56" s="73">
        <v>25</v>
      </c>
      <c r="K56" s="47">
        <f t="shared" si="20"/>
        <v>0</v>
      </c>
      <c r="L56" s="47">
        <f t="shared" si="21"/>
        <v>100</v>
      </c>
      <c r="M56" s="47">
        <f t="shared" si="22"/>
        <v>0</v>
      </c>
      <c r="N56" s="68">
        <f t="shared" si="3"/>
        <v>100</v>
      </c>
      <c r="O56" s="46"/>
      <c r="P56" s="47">
        <v>52.1</v>
      </c>
      <c r="Q56" s="47"/>
      <c r="R56" s="48">
        <f t="shared" si="4"/>
        <v>52.1</v>
      </c>
      <c r="S56" s="29">
        <v>1</v>
      </c>
      <c r="T56" s="286"/>
      <c r="U56" s="295">
        <v>30497</v>
      </c>
      <c r="V56" s="38" t="s">
        <v>72</v>
      </c>
      <c r="W56" s="29" t="s">
        <v>22</v>
      </c>
      <c r="X56" s="29" t="s">
        <v>18</v>
      </c>
      <c r="Y56" s="39">
        <v>52.1</v>
      </c>
      <c r="AD56" s="38"/>
      <c r="AG56" s="39"/>
      <c r="AL56" s="38"/>
      <c r="AO56" s="39"/>
      <c r="AP56" s="38"/>
      <c r="AS56" s="39"/>
      <c r="AW56" s="39"/>
      <c r="BA56" s="40"/>
    </row>
    <row r="57" spans="1:53" s="29" customFormat="1" x14ac:dyDescent="0.15">
      <c r="A57" s="52">
        <v>1984</v>
      </c>
      <c r="B57" s="295"/>
      <c r="C57" s="394" t="s">
        <v>232</v>
      </c>
      <c r="D57" s="394"/>
      <c r="E57" s="29">
        <v>260</v>
      </c>
      <c r="G57" s="66"/>
      <c r="H57" s="29">
        <v>25</v>
      </c>
      <c r="J57" s="73">
        <v>25</v>
      </c>
      <c r="K57" s="47">
        <f t="shared" si="20"/>
        <v>0</v>
      </c>
      <c r="L57" s="47">
        <f t="shared" si="21"/>
        <v>100</v>
      </c>
      <c r="M57" s="47">
        <f t="shared" si="22"/>
        <v>0</v>
      </c>
      <c r="N57" s="68">
        <f t="shared" si="3"/>
        <v>100</v>
      </c>
      <c r="O57" s="46"/>
      <c r="P57" s="47">
        <v>52.1</v>
      </c>
      <c r="Q57" s="47"/>
      <c r="R57" s="48">
        <f t="shared" si="4"/>
        <v>52.1</v>
      </c>
      <c r="S57" s="29">
        <v>1</v>
      </c>
      <c r="T57" s="286"/>
      <c r="U57" s="295"/>
      <c r="V57" s="38" t="s">
        <v>72</v>
      </c>
      <c r="W57" s="29" t="s">
        <v>22</v>
      </c>
      <c r="X57" s="29" t="s">
        <v>18</v>
      </c>
      <c r="Y57" s="39">
        <v>52.1</v>
      </c>
      <c r="AD57" s="38"/>
      <c r="AG57" s="39"/>
      <c r="AL57" s="38"/>
      <c r="AO57" s="39"/>
      <c r="AP57" s="38"/>
      <c r="AS57" s="39"/>
      <c r="AW57" s="39"/>
      <c r="BA57" s="40"/>
    </row>
    <row r="58" spans="1:53" s="171" customFormat="1" x14ac:dyDescent="0.15">
      <c r="A58" s="216">
        <v>1984</v>
      </c>
      <c r="B58" s="283">
        <v>30942</v>
      </c>
      <c r="C58" s="402" t="s">
        <v>233</v>
      </c>
      <c r="D58" s="402"/>
      <c r="E58" s="171">
        <v>106</v>
      </c>
      <c r="F58" s="171">
        <v>1</v>
      </c>
      <c r="G58" s="233">
        <v>30</v>
      </c>
      <c r="J58" s="241">
        <v>30</v>
      </c>
      <c r="K58" s="214">
        <f>G58/J58*100</f>
        <v>100</v>
      </c>
      <c r="L58" s="214">
        <f>H58/J58*100</f>
        <v>0</v>
      </c>
      <c r="M58" s="214">
        <f>I58/J58*100</f>
        <v>0</v>
      </c>
      <c r="N58" s="235">
        <f t="shared" si="3"/>
        <v>100</v>
      </c>
      <c r="O58" s="213">
        <v>74.8</v>
      </c>
      <c r="P58" s="214"/>
      <c r="Q58" s="214"/>
      <c r="R58" s="215">
        <f t="shared" si="4"/>
        <v>74.8</v>
      </c>
      <c r="S58" s="171">
        <v>1</v>
      </c>
      <c r="T58" s="285">
        <v>30929</v>
      </c>
      <c r="U58" s="283">
        <v>30942</v>
      </c>
      <c r="V58" s="178" t="s">
        <v>100</v>
      </c>
      <c r="W58" s="171" t="s">
        <v>74</v>
      </c>
      <c r="X58" s="171" t="s">
        <v>11</v>
      </c>
      <c r="Y58" s="179">
        <v>74.8</v>
      </c>
      <c r="AD58" s="178"/>
      <c r="AG58" s="179"/>
      <c r="AL58" s="178"/>
      <c r="AO58" s="179"/>
      <c r="AP58" s="178"/>
      <c r="AS58" s="179"/>
      <c r="AW58" s="179"/>
      <c r="BA58" s="180"/>
    </row>
    <row r="59" spans="1:53" s="171" customFormat="1" x14ac:dyDescent="0.15">
      <c r="A59" s="216">
        <v>1985</v>
      </c>
      <c r="B59" s="283"/>
      <c r="C59" s="402" t="s">
        <v>233</v>
      </c>
      <c r="D59" s="402"/>
      <c r="E59" s="171">
        <v>0</v>
      </c>
      <c r="G59" s="233">
        <v>30</v>
      </c>
      <c r="J59" s="241">
        <v>30</v>
      </c>
      <c r="K59" s="214">
        <f t="shared" ref="K59:K64" si="23">G59/J59*100</f>
        <v>100</v>
      </c>
      <c r="L59" s="214">
        <f t="shared" ref="L59:L64" si="24">H59/J59*100</f>
        <v>0</v>
      </c>
      <c r="M59" s="214">
        <f t="shared" ref="M59:M64" si="25">I59/J59*100</f>
        <v>0</v>
      </c>
      <c r="N59" s="235">
        <f t="shared" si="3"/>
        <v>100</v>
      </c>
      <c r="O59" s="213">
        <v>74.8</v>
      </c>
      <c r="P59" s="214"/>
      <c r="Q59" s="214"/>
      <c r="R59" s="215">
        <f t="shared" si="4"/>
        <v>74.8</v>
      </c>
      <c r="S59" s="171">
        <v>1</v>
      </c>
      <c r="T59" s="285"/>
      <c r="U59" s="283"/>
      <c r="V59" s="178" t="s">
        <v>100</v>
      </c>
      <c r="W59" s="171" t="s">
        <v>74</v>
      </c>
      <c r="X59" s="171" t="s">
        <v>11</v>
      </c>
      <c r="Y59" s="179">
        <v>74.8</v>
      </c>
      <c r="AD59" s="178"/>
      <c r="AG59" s="179"/>
      <c r="AL59" s="178"/>
      <c r="AO59" s="179"/>
      <c r="AP59" s="178"/>
      <c r="AS59" s="179"/>
      <c r="AW59" s="179"/>
      <c r="BA59" s="180"/>
    </row>
    <row r="60" spans="1:53" s="171" customFormat="1" x14ac:dyDescent="0.15">
      <c r="A60" s="216">
        <v>1985</v>
      </c>
      <c r="B60" s="283"/>
      <c r="C60" s="402" t="s">
        <v>233</v>
      </c>
      <c r="D60" s="402"/>
      <c r="E60" s="171">
        <v>365</v>
      </c>
      <c r="G60" s="233">
        <v>30</v>
      </c>
      <c r="J60" s="241">
        <v>30</v>
      </c>
      <c r="K60" s="214">
        <f t="shared" si="23"/>
        <v>100</v>
      </c>
      <c r="L60" s="214">
        <f t="shared" si="24"/>
        <v>0</v>
      </c>
      <c r="M60" s="214">
        <f t="shared" si="25"/>
        <v>0</v>
      </c>
      <c r="N60" s="235">
        <f t="shared" si="3"/>
        <v>100</v>
      </c>
      <c r="O60" s="213">
        <v>74.8</v>
      </c>
      <c r="P60" s="214"/>
      <c r="Q60" s="214"/>
      <c r="R60" s="215">
        <f t="shared" si="4"/>
        <v>74.8</v>
      </c>
      <c r="S60" s="171">
        <v>1</v>
      </c>
      <c r="T60" s="285"/>
      <c r="U60" s="283"/>
      <c r="V60" s="178" t="s">
        <v>100</v>
      </c>
      <c r="W60" s="171" t="s">
        <v>74</v>
      </c>
      <c r="X60" s="171" t="s">
        <v>11</v>
      </c>
      <c r="Y60" s="179">
        <v>74.8</v>
      </c>
      <c r="AD60" s="178"/>
      <c r="AG60" s="179"/>
      <c r="AL60" s="178"/>
      <c r="AO60" s="179"/>
      <c r="AP60" s="178"/>
      <c r="AS60" s="179"/>
      <c r="AW60" s="179"/>
      <c r="BA60" s="180"/>
    </row>
    <row r="61" spans="1:53" s="171" customFormat="1" x14ac:dyDescent="0.15">
      <c r="A61" s="216">
        <v>1986</v>
      </c>
      <c r="B61" s="283"/>
      <c r="C61" s="402" t="s">
        <v>233</v>
      </c>
      <c r="D61" s="402"/>
      <c r="E61" s="171">
        <f>365-E60</f>
        <v>0</v>
      </c>
      <c r="G61" s="233">
        <v>30</v>
      </c>
      <c r="J61" s="241">
        <v>30</v>
      </c>
      <c r="K61" s="214">
        <f t="shared" si="23"/>
        <v>100</v>
      </c>
      <c r="L61" s="214">
        <f t="shared" si="24"/>
        <v>0</v>
      </c>
      <c r="M61" s="214">
        <f t="shared" si="25"/>
        <v>0</v>
      </c>
      <c r="N61" s="235">
        <f t="shared" si="3"/>
        <v>100</v>
      </c>
      <c r="O61" s="213">
        <v>74.8</v>
      </c>
      <c r="P61" s="214"/>
      <c r="Q61" s="214"/>
      <c r="R61" s="215">
        <f t="shared" si="4"/>
        <v>74.8</v>
      </c>
      <c r="S61" s="171">
        <v>1</v>
      </c>
      <c r="T61" s="285"/>
      <c r="U61" s="283"/>
      <c r="V61" s="178" t="s">
        <v>100</v>
      </c>
      <c r="W61" s="171" t="s">
        <v>74</v>
      </c>
      <c r="X61" s="171" t="s">
        <v>11</v>
      </c>
      <c r="Y61" s="179">
        <v>74.8</v>
      </c>
      <c r="AD61" s="178"/>
      <c r="AG61" s="179"/>
      <c r="AL61" s="178"/>
      <c r="AO61" s="179"/>
      <c r="AP61" s="178"/>
      <c r="AS61" s="179"/>
      <c r="AW61" s="179"/>
      <c r="BA61" s="180"/>
    </row>
    <row r="62" spans="1:53" s="171" customFormat="1" x14ac:dyDescent="0.15">
      <c r="A62" s="216">
        <v>1986</v>
      </c>
      <c r="B62" s="283"/>
      <c r="C62" s="402" t="s">
        <v>233</v>
      </c>
      <c r="D62" s="402"/>
      <c r="E62" s="171">
        <v>365</v>
      </c>
      <c r="G62" s="233">
        <v>30</v>
      </c>
      <c r="J62" s="241">
        <v>30</v>
      </c>
      <c r="K62" s="214">
        <f t="shared" si="23"/>
        <v>100</v>
      </c>
      <c r="L62" s="214">
        <f t="shared" si="24"/>
        <v>0</v>
      </c>
      <c r="M62" s="214">
        <f t="shared" si="25"/>
        <v>0</v>
      </c>
      <c r="N62" s="235">
        <f t="shared" si="3"/>
        <v>100</v>
      </c>
      <c r="O62" s="213">
        <v>74.8</v>
      </c>
      <c r="P62" s="214"/>
      <c r="Q62" s="214"/>
      <c r="R62" s="215">
        <f t="shared" si="4"/>
        <v>74.8</v>
      </c>
      <c r="S62" s="171">
        <v>1</v>
      </c>
      <c r="T62" s="285"/>
      <c r="U62" s="283"/>
      <c r="V62" s="178" t="s">
        <v>100</v>
      </c>
      <c r="W62" s="171" t="s">
        <v>74</v>
      </c>
      <c r="X62" s="171" t="s">
        <v>11</v>
      </c>
      <c r="Y62" s="179">
        <v>74.8</v>
      </c>
      <c r="AD62" s="178"/>
      <c r="AG62" s="179"/>
      <c r="AL62" s="178"/>
      <c r="AO62" s="179"/>
      <c r="AP62" s="178"/>
      <c r="AS62" s="179"/>
      <c r="AW62" s="179"/>
      <c r="BA62" s="180"/>
    </row>
    <row r="63" spans="1:53" s="171" customFormat="1" x14ac:dyDescent="0.15">
      <c r="A63" s="216">
        <v>1987</v>
      </c>
      <c r="B63" s="283"/>
      <c r="C63" s="402" t="s">
        <v>233</v>
      </c>
      <c r="D63" s="402"/>
      <c r="E63" s="171">
        <f>365-E62</f>
        <v>0</v>
      </c>
      <c r="G63" s="233">
        <v>30</v>
      </c>
      <c r="J63" s="241">
        <v>30</v>
      </c>
      <c r="K63" s="214">
        <f t="shared" si="23"/>
        <v>100</v>
      </c>
      <c r="L63" s="214">
        <f t="shared" si="24"/>
        <v>0</v>
      </c>
      <c r="M63" s="214">
        <f t="shared" si="25"/>
        <v>0</v>
      </c>
      <c r="N63" s="235">
        <f t="shared" si="3"/>
        <v>100</v>
      </c>
      <c r="O63" s="213">
        <v>74.8</v>
      </c>
      <c r="P63" s="214"/>
      <c r="Q63" s="214"/>
      <c r="R63" s="215">
        <f t="shared" si="4"/>
        <v>74.8</v>
      </c>
      <c r="S63" s="171">
        <v>1</v>
      </c>
      <c r="T63" s="285"/>
      <c r="U63" s="283"/>
      <c r="V63" s="178" t="s">
        <v>100</v>
      </c>
      <c r="W63" s="171" t="s">
        <v>74</v>
      </c>
      <c r="X63" s="171" t="s">
        <v>11</v>
      </c>
      <c r="Y63" s="179">
        <v>74.8</v>
      </c>
      <c r="AD63" s="178"/>
      <c r="AG63" s="179"/>
      <c r="AL63" s="178"/>
      <c r="AO63" s="179"/>
      <c r="AP63" s="178"/>
      <c r="AS63" s="179"/>
      <c r="AW63" s="179"/>
      <c r="BA63" s="180"/>
    </row>
    <row r="64" spans="1:53" s="171" customFormat="1" x14ac:dyDescent="0.15">
      <c r="A64" s="216">
        <v>1987</v>
      </c>
      <c r="B64" s="283"/>
      <c r="C64" s="402" t="s">
        <v>233</v>
      </c>
      <c r="D64" s="402"/>
      <c r="E64" s="171">
        <v>365</v>
      </c>
      <c r="G64" s="233">
        <v>30</v>
      </c>
      <c r="J64" s="241">
        <v>30</v>
      </c>
      <c r="K64" s="214">
        <f t="shared" si="23"/>
        <v>100</v>
      </c>
      <c r="L64" s="214">
        <f t="shared" si="24"/>
        <v>0</v>
      </c>
      <c r="M64" s="214">
        <f t="shared" si="25"/>
        <v>0</v>
      </c>
      <c r="N64" s="235">
        <f t="shared" si="3"/>
        <v>100</v>
      </c>
      <c r="O64" s="213">
        <v>74.8</v>
      </c>
      <c r="P64" s="214"/>
      <c r="Q64" s="214"/>
      <c r="R64" s="215">
        <f t="shared" si="4"/>
        <v>74.8</v>
      </c>
      <c r="S64" s="171">
        <v>1</v>
      </c>
      <c r="T64" s="285"/>
      <c r="U64" s="283"/>
      <c r="V64" s="178" t="s">
        <v>100</v>
      </c>
      <c r="W64" s="171" t="s">
        <v>74</v>
      </c>
      <c r="X64" s="171" t="s">
        <v>11</v>
      </c>
      <c r="Y64" s="179">
        <v>74.8</v>
      </c>
      <c r="AD64" s="178"/>
      <c r="AG64" s="179"/>
      <c r="AL64" s="178"/>
      <c r="AO64" s="179"/>
      <c r="AP64" s="178"/>
      <c r="AS64" s="179"/>
      <c r="AW64" s="179"/>
      <c r="BA64" s="180"/>
    </row>
    <row r="65" spans="1:53" s="171" customFormat="1" x14ac:dyDescent="0.15">
      <c r="A65" s="216">
        <v>1988</v>
      </c>
      <c r="B65" s="283"/>
      <c r="C65" s="402" t="s">
        <v>233</v>
      </c>
      <c r="D65" s="402"/>
      <c r="E65" s="171">
        <v>341</v>
      </c>
      <c r="G65" s="233">
        <v>30</v>
      </c>
      <c r="J65" s="241">
        <v>30</v>
      </c>
      <c r="K65" s="214">
        <f>G65/J65*100</f>
        <v>100</v>
      </c>
      <c r="L65" s="214">
        <f>H65/J65*100</f>
        <v>0</v>
      </c>
      <c r="M65" s="214">
        <f>I65/J65*100</f>
        <v>0</v>
      </c>
      <c r="N65" s="235">
        <f t="shared" si="3"/>
        <v>100</v>
      </c>
      <c r="O65" s="213">
        <v>74.8</v>
      </c>
      <c r="P65" s="214"/>
      <c r="Q65" s="214"/>
      <c r="R65" s="215">
        <f t="shared" si="4"/>
        <v>74.8</v>
      </c>
      <c r="S65" s="171">
        <v>1</v>
      </c>
      <c r="T65" s="285"/>
      <c r="U65" s="283"/>
      <c r="V65" s="178" t="s">
        <v>100</v>
      </c>
      <c r="W65" s="171" t="s">
        <v>74</v>
      </c>
      <c r="X65" s="171" t="s">
        <v>11</v>
      </c>
      <c r="Y65" s="179">
        <v>74.8</v>
      </c>
      <c r="AD65" s="178"/>
      <c r="AG65" s="179"/>
      <c r="AL65" s="178"/>
      <c r="AO65" s="179"/>
      <c r="AP65" s="178"/>
      <c r="AS65" s="179"/>
      <c r="AW65" s="179"/>
      <c r="BA65" s="180"/>
    </row>
    <row r="66" spans="1:53" s="29" customFormat="1" x14ac:dyDescent="0.15">
      <c r="A66" s="52">
        <v>1988</v>
      </c>
      <c r="B66" s="295">
        <v>32484</v>
      </c>
      <c r="C66" s="394" t="s">
        <v>234</v>
      </c>
      <c r="D66" s="394"/>
      <c r="E66" s="29">
        <v>25</v>
      </c>
      <c r="F66" s="29">
        <v>1</v>
      </c>
      <c r="G66" s="66">
        <v>22</v>
      </c>
      <c r="J66" s="73">
        <v>22</v>
      </c>
      <c r="K66" s="47">
        <f>G66/J66*100</f>
        <v>100</v>
      </c>
      <c r="L66" s="47">
        <f>H66/J66*100</f>
        <v>0</v>
      </c>
      <c r="M66" s="47">
        <f>I66/J66*100</f>
        <v>0</v>
      </c>
      <c r="N66" s="68">
        <f t="shared" si="3"/>
        <v>100</v>
      </c>
      <c r="O66" s="46">
        <v>57.3</v>
      </c>
      <c r="P66" s="47"/>
      <c r="Q66" s="47"/>
      <c r="R66" s="48">
        <f t="shared" si="4"/>
        <v>57.3</v>
      </c>
      <c r="S66" s="29">
        <v>1</v>
      </c>
      <c r="T66" s="286">
        <v>32468</v>
      </c>
      <c r="U66" s="295">
        <v>32484</v>
      </c>
      <c r="V66" s="38" t="s">
        <v>100</v>
      </c>
      <c r="W66" s="29" t="s">
        <v>74</v>
      </c>
      <c r="X66" s="29" t="s">
        <v>11</v>
      </c>
      <c r="Y66" s="39">
        <v>57.3</v>
      </c>
      <c r="AD66" s="38"/>
      <c r="AG66" s="39"/>
      <c r="AL66" s="38"/>
      <c r="AO66" s="39"/>
      <c r="AP66" s="38"/>
      <c r="AS66" s="39"/>
      <c r="AW66" s="39"/>
      <c r="BA66" s="40"/>
    </row>
    <row r="67" spans="1:53" s="29" customFormat="1" x14ac:dyDescent="0.15">
      <c r="A67" s="29">
        <v>1989</v>
      </c>
      <c r="B67" s="295"/>
      <c r="C67" s="394" t="s">
        <v>234</v>
      </c>
      <c r="D67" s="394"/>
      <c r="E67" s="29">
        <v>0</v>
      </c>
      <c r="G67" s="66">
        <v>22</v>
      </c>
      <c r="J67" s="73">
        <v>22</v>
      </c>
      <c r="K67" s="47">
        <f>G67/J67*100</f>
        <v>100</v>
      </c>
      <c r="L67" s="47">
        <f>H67/J67*100</f>
        <v>0</v>
      </c>
      <c r="M67" s="47">
        <f>I67/J67*100</f>
        <v>0</v>
      </c>
      <c r="N67" s="68">
        <f t="shared" si="3"/>
        <v>100</v>
      </c>
      <c r="O67" s="46">
        <v>57.3</v>
      </c>
      <c r="P67" s="47"/>
      <c r="Q67" s="47"/>
      <c r="R67" s="48">
        <f t="shared" si="4"/>
        <v>57.3</v>
      </c>
      <c r="S67" s="29">
        <v>1</v>
      </c>
      <c r="T67" s="286"/>
      <c r="U67" s="295"/>
      <c r="V67" s="38" t="s">
        <v>100</v>
      </c>
      <c r="W67" s="29" t="s">
        <v>74</v>
      </c>
      <c r="X67" s="29" t="s">
        <v>11</v>
      </c>
      <c r="Y67" s="39">
        <v>57.3</v>
      </c>
      <c r="AD67" s="38"/>
      <c r="AG67" s="39"/>
      <c r="AL67" s="38"/>
      <c r="AO67" s="39"/>
      <c r="AP67" s="38"/>
      <c r="AS67" s="39"/>
      <c r="AW67" s="39"/>
      <c r="BA67" s="40"/>
    </row>
    <row r="68" spans="1:53" s="74" customFormat="1" x14ac:dyDescent="0.15">
      <c r="A68" s="74">
        <v>1989</v>
      </c>
      <c r="B68" s="302"/>
      <c r="C68" s="418" t="s">
        <v>234</v>
      </c>
      <c r="D68" s="418"/>
      <c r="E68" s="74">
        <f>365-E67</f>
        <v>365</v>
      </c>
      <c r="G68" s="75">
        <v>22</v>
      </c>
      <c r="J68" s="76">
        <v>22</v>
      </c>
      <c r="K68" s="77">
        <f>G68/J68*100</f>
        <v>100</v>
      </c>
      <c r="L68" s="77">
        <f>H68/J68*100</f>
        <v>0</v>
      </c>
      <c r="M68" s="77">
        <f>I68/J68*100</f>
        <v>0</v>
      </c>
      <c r="N68" s="78">
        <f t="shared" si="3"/>
        <v>100</v>
      </c>
      <c r="O68" s="79">
        <v>57.3</v>
      </c>
      <c r="P68" s="77"/>
      <c r="Q68" s="77"/>
      <c r="R68" s="80">
        <f t="shared" si="4"/>
        <v>57.3</v>
      </c>
      <c r="S68" s="74">
        <v>1</v>
      </c>
      <c r="T68" s="304"/>
      <c r="U68" s="302"/>
      <c r="V68" s="81" t="s">
        <v>100</v>
      </c>
      <c r="W68" s="74" t="s">
        <v>74</v>
      </c>
      <c r="X68" s="74" t="s">
        <v>11</v>
      </c>
      <c r="Y68" s="82">
        <v>57.3</v>
      </c>
      <c r="AD68" s="81"/>
      <c r="AG68" s="82"/>
      <c r="AL68" s="81"/>
      <c r="AO68" s="82"/>
      <c r="AP68" s="81"/>
      <c r="AS68" s="82"/>
      <c r="AW68" s="82"/>
      <c r="BA68" s="83"/>
    </row>
    <row r="69" spans="1:53" s="29" customFormat="1" x14ac:dyDescent="0.15">
      <c r="A69" s="29">
        <v>1990</v>
      </c>
      <c r="B69" s="295"/>
      <c r="C69" s="394" t="s">
        <v>234</v>
      </c>
      <c r="D69" s="394"/>
      <c r="E69" s="29">
        <v>0</v>
      </c>
      <c r="G69" s="66">
        <v>22</v>
      </c>
      <c r="J69" s="73">
        <v>22</v>
      </c>
      <c r="K69" s="47">
        <v>100</v>
      </c>
      <c r="L69" s="47">
        <v>0</v>
      </c>
      <c r="M69" s="47">
        <v>0</v>
      </c>
      <c r="N69" s="68">
        <f t="shared" si="3"/>
        <v>100</v>
      </c>
      <c r="O69" s="46">
        <v>57.3</v>
      </c>
      <c r="P69" s="47"/>
      <c r="Q69" s="47"/>
      <c r="R69" s="48">
        <f t="shared" si="4"/>
        <v>57.3</v>
      </c>
      <c r="S69" s="29">
        <v>1</v>
      </c>
      <c r="T69" s="286"/>
      <c r="U69" s="295"/>
      <c r="V69" s="38" t="s">
        <v>100</v>
      </c>
      <c r="W69" s="29" t="s">
        <v>74</v>
      </c>
      <c r="X69" s="29" t="s">
        <v>11</v>
      </c>
      <c r="Y69" s="39">
        <v>57.3</v>
      </c>
      <c r="AD69" s="38"/>
      <c r="AG69" s="39"/>
      <c r="AL69" s="38"/>
      <c r="AO69" s="39"/>
      <c r="AP69" s="38"/>
      <c r="AS69" s="39"/>
      <c r="AW69" s="39"/>
      <c r="BA69" s="40"/>
    </row>
    <row r="70" spans="1:53" s="29" customFormat="1" x14ac:dyDescent="0.15">
      <c r="A70" s="29">
        <v>1990</v>
      </c>
      <c r="B70" s="295"/>
      <c r="C70" s="394" t="s">
        <v>234</v>
      </c>
      <c r="D70" s="394"/>
      <c r="E70" s="29">
        <f>365-E69</f>
        <v>365</v>
      </c>
      <c r="G70" s="66">
        <v>22</v>
      </c>
      <c r="J70" s="73">
        <v>22</v>
      </c>
      <c r="K70" s="47">
        <v>100</v>
      </c>
      <c r="L70" s="47">
        <v>0</v>
      </c>
      <c r="M70" s="47">
        <v>0</v>
      </c>
      <c r="N70" s="68">
        <f t="shared" si="3"/>
        <v>100</v>
      </c>
      <c r="O70" s="46">
        <v>57.3</v>
      </c>
      <c r="P70" s="47"/>
      <c r="Q70" s="47"/>
      <c r="R70" s="48">
        <f t="shared" si="4"/>
        <v>57.3</v>
      </c>
      <c r="S70" s="29">
        <v>1</v>
      </c>
      <c r="T70" s="286"/>
      <c r="U70" s="295"/>
      <c r="V70" s="38" t="s">
        <v>100</v>
      </c>
      <c r="W70" s="29" t="s">
        <v>74</v>
      </c>
      <c r="X70" s="29" t="s">
        <v>11</v>
      </c>
      <c r="Y70" s="39">
        <v>57.3</v>
      </c>
      <c r="AD70" s="38"/>
      <c r="AG70" s="39"/>
      <c r="AL70" s="38"/>
      <c r="AO70" s="39"/>
      <c r="AP70" s="38"/>
      <c r="AS70" s="39"/>
      <c r="AW70" s="39"/>
      <c r="BA70" s="40"/>
    </row>
    <row r="71" spans="1:53" s="29" customFormat="1" x14ac:dyDescent="0.15">
      <c r="A71" s="29">
        <v>1991</v>
      </c>
      <c r="B71" s="295"/>
      <c r="C71" s="394" t="s">
        <v>234</v>
      </c>
      <c r="D71" s="394"/>
      <c r="E71" s="29">
        <v>0</v>
      </c>
      <c r="G71" s="66">
        <v>22</v>
      </c>
      <c r="J71" s="73">
        <v>22</v>
      </c>
      <c r="K71" s="47">
        <f>G71/J71*100</f>
        <v>100</v>
      </c>
      <c r="L71" s="47">
        <f>H71/J71*100</f>
        <v>0</v>
      </c>
      <c r="M71" s="47">
        <f>I71/J71*100</f>
        <v>0</v>
      </c>
      <c r="N71" s="68">
        <f t="shared" si="3"/>
        <v>100</v>
      </c>
      <c r="O71" s="46">
        <v>57.3</v>
      </c>
      <c r="P71" s="47"/>
      <c r="Q71" s="47"/>
      <c r="R71" s="48">
        <f t="shared" si="4"/>
        <v>57.3</v>
      </c>
      <c r="S71" s="29">
        <v>1</v>
      </c>
      <c r="T71" s="286"/>
      <c r="U71" s="295"/>
      <c r="V71" s="38" t="s">
        <v>100</v>
      </c>
      <c r="W71" s="29" t="s">
        <v>74</v>
      </c>
      <c r="X71" s="29" t="s">
        <v>11</v>
      </c>
      <c r="Y71" s="39">
        <v>57.3</v>
      </c>
      <c r="AD71" s="38"/>
      <c r="AG71" s="39"/>
      <c r="AL71" s="38"/>
      <c r="AO71" s="39"/>
      <c r="AP71" s="38"/>
      <c r="AS71" s="39"/>
      <c r="AW71" s="39"/>
      <c r="BA71" s="40"/>
    </row>
    <row r="72" spans="1:53" s="29" customFormat="1" x14ac:dyDescent="0.15">
      <c r="A72" s="29">
        <v>1991</v>
      </c>
      <c r="B72" s="295"/>
      <c r="C72" s="394" t="s">
        <v>234</v>
      </c>
      <c r="D72" s="394"/>
      <c r="E72" s="29">
        <f>365-E71</f>
        <v>365</v>
      </c>
      <c r="G72" s="66">
        <v>22</v>
      </c>
      <c r="J72" s="73">
        <v>22</v>
      </c>
      <c r="K72" s="47">
        <f>G72/J72*100</f>
        <v>100</v>
      </c>
      <c r="L72" s="47">
        <f>H72/J72*100</f>
        <v>0</v>
      </c>
      <c r="M72" s="47">
        <f>I72/J72*100</f>
        <v>0</v>
      </c>
      <c r="N72" s="68">
        <f t="shared" si="3"/>
        <v>100</v>
      </c>
      <c r="O72" s="46">
        <v>57.3</v>
      </c>
      <c r="P72" s="47"/>
      <c r="Q72" s="47"/>
      <c r="R72" s="48">
        <f t="shared" si="4"/>
        <v>57.3</v>
      </c>
      <c r="S72" s="29">
        <v>1</v>
      </c>
      <c r="T72" s="286"/>
      <c r="U72" s="295"/>
      <c r="V72" s="38" t="s">
        <v>100</v>
      </c>
      <c r="W72" s="29" t="s">
        <v>74</v>
      </c>
      <c r="X72" s="29" t="s">
        <v>11</v>
      </c>
      <c r="Y72" s="39">
        <v>57.3</v>
      </c>
      <c r="AD72" s="38"/>
      <c r="AG72" s="39"/>
      <c r="AL72" s="38"/>
      <c r="AO72" s="39"/>
      <c r="AP72" s="38"/>
      <c r="AS72" s="39"/>
      <c r="AW72" s="39"/>
      <c r="BA72" s="40"/>
    </row>
    <row r="73" spans="1:53" s="29" customFormat="1" x14ac:dyDescent="0.15">
      <c r="A73" s="29">
        <v>1992</v>
      </c>
      <c r="B73" s="295"/>
      <c r="C73" s="394" t="s">
        <v>234</v>
      </c>
      <c r="D73" s="394"/>
      <c r="E73" s="29">
        <v>0</v>
      </c>
      <c r="G73" s="66">
        <v>22</v>
      </c>
      <c r="J73" s="73">
        <v>22</v>
      </c>
      <c r="K73" s="47">
        <f>G73/J73*100</f>
        <v>100</v>
      </c>
      <c r="L73" s="47">
        <f>H73/J73*100</f>
        <v>0</v>
      </c>
      <c r="M73" s="47">
        <f>I73/J73*100</f>
        <v>0</v>
      </c>
      <c r="N73" s="68">
        <f t="shared" ref="N73:N117" si="26">SUM(K73:M73)</f>
        <v>100</v>
      </c>
      <c r="O73" s="46">
        <v>57.3</v>
      </c>
      <c r="P73" s="47"/>
      <c r="Q73" s="47"/>
      <c r="R73" s="48">
        <f t="shared" ref="R73:R117" si="27">SUM(O73:Q73)</f>
        <v>57.3</v>
      </c>
      <c r="S73" s="29">
        <v>1</v>
      </c>
      <c r="T73" s="286"/>
      <c r="U73" s="295"/>
      <c r="V73" s="38" t="s">
        <v>100</v>
      </c>
      <c r="W73" s="29" t="s">
        <v>74</v>
      </c>
      <c r="X73" s="29" t="s">
        <v>11</v>
      </c>
      <c r="Y73" s="39">
        <v>57.3</v>
      </c>
      <c r="AD73" s="38"/>
      <c r="AG73" s="39"/>
      <c r="AL73" s="38"/>
      <c r="AO73" s="39"/>
      <c r="AP73" s="38"/>
      <c r="AS73" s="39"/>
      <c r="AW73" s="39"/>
      <c r="BA73" s="40"/>
    </row>
    <row r="74" spans="1:53" s="29" customFormat="1" x14ac:dyDescent="0.15">
      <c r="A74" s="29">
        <v>1992</v>
      </c>
      <c r="B74" s="295"/>
      <c r="C74" s="394" t="s">
        <v>234</v>
      </c>
      <c r="D74" s="394"/>
      <c r="E74" s="29">
        <v>366</v>
      </c>
      <c r="G74" s="66">
        <v>22</v>
      </c>
      <c r="J74" s="73">
        <v>22</v>
      </c>
      <c r="K74" s="47">
        <f>G74/J74*100</f>
        <v>100</v>
      </c>
      <c r="L74" s="47">
        <f>H74/J74*100</f>
        <v>0</v>
      </c>
      <c r="M74" s="47">
        <f>I74/J74*100</f>
        <v>0</v>
      </c>
      <c r="N74" s="68">
        <f t="shared" si="26"/>
        <v>100</v>
      </c>
      <c r="O74" s="46">
        <v>57.3</v>
      </c>
      <c r="P74" s="47"/>
      <c r="Q74" s="47"/>
      <c r="R74" s="48">
        <f t="shared" si="27"/>
        <v>57.3</v>
      </c>
      <c r="S74" s="29">
        <v>1</v>
      </c>
      <c r="T74" s="286"/>
      <c r="U74" s="295"/>
      <c r="V74" s="38" t="s">
        <v>100</v>
      </c>
      <c r="W74" s="29" t="s">
        <v>74</v>
      </c>
      <c r="X74" s="29" t="s">
        <v>11</v>
      </c>
      <c r="Y74" s="39">
        <v>57.3</v>
      </c>
      <c r="AD74" s="38"/>
      <c r="AG74" s="39"/>
      <c r="AL74" s="38"/>
      <c r="AO74" s="39"/>
      <c r="AP74" s="38"/>
      <c r="AS74" s="39"/>
      <c r="AW74" s="39"/>
      <c r="BA74" s="40"/>
    </row>
    <row r="75" spans="1:53" s="29" customFormat="1" x14ac:dyDescent="0.15">
      <c r="A75" s="29">
        <v>1993</v>
      </c>
      <c r="B75" s="295"/>
      <c r="C75" s="394" t="s">
        <v>234</v>
      </c>
      <c r="D75" s="394"/>
      <c r="E75" s="29">
        <v>175</v>
      </c>
      <c r="G75" s="66">
        <v>22</v>
      </c>
      <c r="J75" s="73">
        <v>22</v>
      </c>
      <c r="K75" s="47">
        <f>G75/J75*100</f>
        <v>100</v>
      </c>
      <c r="L75" s="47">
        <f>H75/J75*100</f>
        <v>0</v>
      </c>
      <c r="M75" s="47">
        <f>I75/J75*100</f>
        <v>0</v>
      </c>
      <c r="N75" s="68">
        <f t="shared" si="26"/>
        <v>100</v>
      </c>
      <c r="O75" s="46">
        <v>57.3</v>
      </c>
      <c r="P75" s="47"/>
      <c r="Q75" s="47"/>
      <c r="R75" s="48">
        <f>SUM(O75:Q75)</f>
        <v>57.3</v>
      </c>
      <c r="S75" s="29">
        <v>1</v>
      </c>
      <c r="T75" s="286"/>
      <c r="U75" s="295"/>
      <c r="V75" s="38" t="s">
        <v>100</v>
      </c>
      <c r="W75" s="29" t="s">
        <v>74</v>
      </c>
      <c r="X75" s="29" t="s">
        <v>11</v>
      </c>
      <c r="Y75" s="39">
        <v>57.3</v>
      </c>
      <c r="AD75" s="38"/>
      <c r="AG75" s="39"/>
      <c r="AL75" s="38"/>
      <c r="AO75" s="39"/>
      <c r="AP75" s="38"/>
      <c r="AS75" s="39"/>
      <c r="AW75" s="39"/>
      <c r="BA75" s="40"/>
    </row>
    <row r="76" spans="1:53" s="171" customFormat="1" x14ac:dyDescent="0.15">
      <c r="A76" s="171">
        <v>1993</v>
      </c>
      <c r="B76" s="283">
        <v>34145</v>
      </c>
      <c r="C76" s="402" t="s">
        <v>235</v>
      </c>
      <c r="D76" s="402"/>
      <c r="E76" s="171">
        <v>132</v>
      </c>
      <c r="F76" s="171">
        <v>2</v>
      </c>
      <c r="G76" s="233">
        <v>25</v>
      </c>
      <c r="J76" s="241">
        <v>25</v>
      </c>
      <c r="K76" s="214">
        <f t="shared" ref="K76:K99" si="28">G76/J76*100</f>
        <v>100</v>
      </c>
      <c r="L76" s="214">
        <f t="shared" ref="L76:L99" si="29">H76/J76*100</f>
        <v>0</v>
      </c>
      <c r="M76" s="214">
        <f t="shared" ref="M76:M99" si="30">I76/J76*100</f>
        <v>0</v>
      </c>
      <c r="N76" s="235">
        <f t="shared" si="26"/>
        <v>100</v>
      </c>
      <c r="O76" s="213">
        <v>57.3</v>
      </c>
      <c r="P76" s="214"/>
      <c r="Q76" s="214"/>
      <c r="R76" s="215">
        <f t="shared" si="27"/>
        <v>57.3</v>
      </c>
      <c r="S76" s="171">
        <v>1</v>
      </c>
      <c r="T76" s="285"/>
      <c r="U76" s="283"/>
      <c r="V76" s="178" t="s">
        <v>100</v>
      </c>
      <c r="W76" s="171" t="s">
        <v>74</v>
      </c>
      <c r="X76" s="171" t="s">
        <v>11</v>
      </c>
      <c r="Y76" s="179">
        <v>57.3</v>
      </c>
      <c r="AD76" s="178"/>
      <c r="AG76" s="179"/>
      <c r="AL76" s="178"/>
      <c r="AO76" s="179"/>
      <c r="AP76" s="178"/>
      <c r="AS76" s="179"/>
      <c r="AW76" s="179"/>
      <c r="BA76" s="180"/>
    </row>
    <row r="77" spans="1:53" s="29" customFormat="1" x14ac:dyDescent="0.15">
      <c r="A77" s="29">
        <v>1993</v>
      </c>
      <c r="B77" s="295">
        <v>34277</v>
      </c>
      <c r="C77" s="411" t="s">
        <v>236</v>
      </c>
      <c r="D77" s="411"/>
      <c r="E77" s="29">
        <v>58</v>
      </c>
      <c r="F77" s="29">
        <v>1</v>
      </c>
      <c r="G77" s="66"/>
      <c r="H77" s="29">
        <v>23</v>
      </c>
      <c r="J77" s="73">
        <v>23</v>
      </c>
      <c r="K77" s="47">
        <f t="shared" si="28"/>
        <v>0</v>
      </c>
      <c r="L77" s="47">
        <f t="shared" si="29"/>
        <v>100</v>
      </c>
      <c r="M77" s="47">
        <f t="shared" si="30"/>
        <v>0</v>
      </c>
      <c r="N77" s="68">
        <f t="shared" si="26"/>
        <v>100</v>
      </c>
      <c r="O77" s="46"/>
      <c r="P77" s="47">
        <v>60</v>
      </c>
      <c r="Q77" s="47"/>
      <c r="R77" s="48">
        <f t="shared" si="27"/>
        <v>60</v>
      </c>
      <c r="S77" s="29">
        <v>1</v>
      </c>
      <c r="T77" s="286">
        <v>34267</v>
      </c>
      <c r="U77" s="295">
        <v>34277</v>
      </c>
      <c r="V77" s="38" t="s">
        <v>72</v>
      </c>
      <c r="W77" s="29" t="s">
        <v>22</v>
      </c>
      <c r="X77" s="29" t="s">
        <v>18</v>
      </c>
      <c r="Y77" s="39">
        <v>60</v>
      </c>
      <c r="AD77" s="38"/>
      <c r="AG77" s="39"/>
      <c r="AL77" s="38"/>
      <c r="AO77" s="39"/>
      <c r="AP77" s="38"/>
      <c r="AS77" s="39"/>
      <c r="AW77" s="39"/>
      <c r="BA77" s="40"/>
    </row>
    <row r="78" spans="1:53" s="29" customFormat="1" x14ac:dyDescent="0.15">
      <c r="A78" s="29">
        <v>1994</v>
      </c>
      <c r="B78" s="295"/>
      <c r="C78" s="411" t="s">
        <v>236</v>
      </c>
      <c r="D78" s="411"/>
      <c r="E78" s="29">
        <v>0</v>
      </c>
      <c r="G78" s="66"/>
      <c r="H78" s="29">
        <v>23</v>
      </c>
      <c r="J78" s="73">
        <v>23</v>
      </c>
      <c r="K78" s="47">
        <f t="shared" si="28"/>
        <v>0</v>
      </c>
      <c r="L78" s="47">
        <f t="shared" si="29"/>
        <v>100</v>
      </c>
      <c r="M78" s="47">
        <f t="shared" si="30"/>
        <v>0</v>
      </c>
      <c r="N78" s="68">
        <f t="shared" si="26"/>
        <v>100</v>
      </c>
      <c r="O78" s="46"/>
      <c r="P78" s="47">
        <v>60</v>
      </c>
      <c r="Q78" s="47"/>
      <c r="R78" s="48">
        <f t="shared" si="27"/>
        <v>60</v>
      </c>
      <c r="S78" s="29">
        <v>1</v>
      </c>
      <c r="T78" s="286"/>
      <c r="U78" s="295"/>
      <c r="V78" s="38" t="s">
        <v>72</v>
      </c>
      <c r="W78" s="29" t="s">
        <v>22</v>
      </c>
      <c r="X78" s="29" t="s">
        <v>18</v>
      </c>
      <c r="Y78" s="39">
        <v>60</v>
      </c>
      <c r="AD78" s="38"/>
      <c r="AG78" s="39"/>
      <c r="AL78" s="38"/>
      <c r="AO78" s="39"/>
      <c r="AP78" s="38"/>
      <c r="AS78" s="39"/>
      <c r="AW78" s="39"/>
      <c r="BA78" s="40"/>
    </row>
    <row r="79" spans="1:53" s="29" customFormat="1" x14ac:dyDescent="0.15">
      <c r="A79" s="29">
        <v>1994</v>
      </c>
      <c r="B79" s="295"/>
      <c r="C79" s="411" t="s">
        <v>236</v>
      </c>
      <c r="D79" s="411"/>
      <c r="E79" s="29">
        <f>365-E78</f>
        <v>365</v>
      </c>
      <c r="G79" s="66"/>
      <c r="H79" s="29">
        <v>23</v>
      </c>
      <c r="J79" s="73">
        <v>23</v>
      </c>
      <c r="K79" s="47">
        <f t="shared" si="28"/>
        <v>0</v>
      </c>
      <c r="L79" s="47">
        <f t="shared" si="29"/>
        <v>100</v>
      </c>
      <c r="M79" s="47">
        <f t="shared" si="30"/>
        <v>0</v>
      </c>
      <c r="N79" s="68">
        <f t="shared" si="26"/>
        <v>100</v>
      </c>
      <c r="O79" s="46"/>
      <c r="P79" s="47">
        <v>60</v>
      </c>
      <c r="Q79" s="47"/>
      <c r="R79" s="48">
        <f t="shared" si="27"/>
        <v>60</v>
      </c>
      <c r="S79" s="29">
        <v>1</v>
      </c>
      <c r="T79" s="286"/>
      <c r="U79" s="295"/>
      <c r="V79" s="38" t="s">
        <v>72</v>
      </c>
      <c r="W79" s="29" t="s">
        <v>22</v>
      </c>
      <c r="X79" s="29" t="s">
        <v>18</v>
      </c>
      <c r="Y79" s="39">
        <v>60</v>
      </c>
      <c r="AD79" s="38"/>
      <c r="AG79" s="39"/>
      <c r="AL79" s="38"/>
      <c r="AO79" s="39"/>
      <c r="AP79" s="38"/>
      <c r="AS79" s="39"/>
      <c r="AW79" s="39"/>
      <c r="BA79" s="40"/>
    </row>
    <row r="80" spans="1:53" s="29" customFormat="1" x14ac:dyDescent="0.15">
      <c r="A80" s="29">
        <v>1995</v>
      </c>
      <c r="B80" s="295"/>
      <c r="C80" s="411" t="s">
        <v>236</v>
      </c>
      <c r="D80" s="411"/>
      <c r="E80" s="29">
        <v>0</v>
      </c>
      <c r="G80" s="66"/>
      <c r="H80" s="29">
        <v>23</v>
      </c>
      <c r="J80" s="73">
        <v>23</v>
      </c>
      <c r="K80" s="47">
        <f t="shared" si="28"/>
        <v>0</v>
      </c>
      <c r="L80" s="47">
        <f t="shared" si="29"/>
        <v>100</v>
      </c>
      <c r="M80" s="47">
        <f t="shared" si="30"/>
        <v>0</v>
      </c>
      <c r="N80" s="68">
        <f t="shared" si="26"/>
        <v>100</v>
      </c>
      <c r="O80" s="46"/>
      <c r="P80" s="47">
        <v>60</v>
      </c>
      <c r="Q80" s="47"/>
      <c r="R80" s="48">
        <f t="shared" si="27"/>
        <v>60</v>
      </c>
      <c r="S80" s="29">
        <v>1</v>
      </c>
      <c r="T80" s="286"/>
      <c r="U80" s="295"/>
      <c r="V80" s="38" t="s">
        <v>72</v>
      </c>
      <c r="W80" s="29" t="s">
        <v>22</v>
      </c>
      <c r="X80" s="29" t="s">
        <v>18</v>
      </c>
      <c r="Y80" s="39">
        <v>60</v>
      </c>
      <c r="AD80" s="38"/>
      <c r="AG80" s="39"/>
      <c r="AL80" s="38"/>
      <c r="AO80" s="39"/>
      <c r="AP80" s="38"/>
      <c r="AS80" s="39"/>
      <c r="AW80" s="39"/>
      <c r="BA80" s="40"/>
    </row>
    <row r="81" spans="1:53" s="29" customFormat="1" x14ac:dyDescent="0.15">
      <c r="A81" s="29">
        <v>1995</v>
      </c>
      <c r="B81" s="295"/>
      <c r="C81" s="411" t="s">
        <v>236</v>
      </c>
      <c r="D81" s="411"/>
      <c r="E81" s="29">
        <f>365-E80</f>
        <v>365</v>
      </c>
      <c r="G81" s="66"/>
      <c r="H81" s="29">
        <v>23</v>
      </c>
      <c r="J81" s="73">
        <v>23</v>
      </c>
      <c r="K81" s="47">
        <f t="shared" si="28"/>
        <v>0</v>
      </c>
      <c r="L81" s="47">
        <f t="shared" si="29"/>
        <v>100</v>
      </c>
      <c r="M81" s="47">
        <f t="shared" si="30"/>
        <v>0</v>
      </c>
      <c r="N81" s="68">
        <f t="shared" si="26"/>
        <v>100</v>
      </c>
      <c r="O81" s="46"/>
      <c r="P81" s="47">
        <v>60</v>
      </c>
      <c r="Q81" s="47"/>
      <c r="R81" s="48">
        <f t="shared" si="27"/>
        <v>60</v>
      </c>
      <c r="S81" s="29">
        <v>1</v>
      </c>
      <c r="T81" s="286"/>
      <c r="U81" s="295"/>
      <c r="V81" s="38" t="s">
        <v>72</v>
      </c>
      <c r="W81" s="29" t="s">
        <v>22</v>
      </c>
      <c r="X81" s="29" t="s">
        <v>18</v>
      </c>
      <c r="Y81" s="39">
        <v>60</v>
      </c>
      <c r="AD81" s="38"/>
      <c r="AG81" s="39"/>
      <c r="AL81" s="38"/>
      <c r="AO81" s="39"/>
      <c r="AP81" s="38"/>
      <c r="AS81" s="39"/>
      <c r="AW81" s="39"/>
      <c r="BA81" s="40"/>
    </row>
    <row r="82" spans="1:53" s="29" customFormat="1" x14ac:dyDescent="0.15">
      <c r="A82" s="29">
        <v>1996</v>
      </c>
      <c r="B82" s="295"/>
      <c r="C82" s="411" t="s">
        <v>236</v>
      </c>
      <c r="D82" s="411"/>
      <c r="E82" s="29">
        <v>0</v>
      </c>
      <c r="G82" s="66"/>
      <c r="H82" s="29">
        <v>23</v>
      </c>
      <c r="J82" s="73">
        <v>23</v>
      </c>
      <c r="K82" s="47">
        <f t="shared" si="28"/>
        <v>0</v>
      </c>
      <c r="L82" s="47">
        <f t="shared" si="29"/>
        <v>100</v>
      </c>
      <c r="M82" s="47">
        <f t="shared" si="30"/>
        <v>0</v>
      </c>
      <c r="N82" s="68">
        <f t="shared" si="26"/>
        <v>100</v>
      </c>
      <c r="O82" s="46"/>
      <c r="P82" s="47">
        <v>60</v>
      </c>
      <c r="Q82" s="47"/>
      <c r="R82" s="48">
        <f t="shared" si="27"/>
        <v>60</v>
      </c>
      <c r="S82" s="29">
        <v>1</v>
      </c>
      <c r="T82" s="286"/>
      <c r="U82" s="295"/>
      <c r="V82" s="38" t="s">
        <v>72</v>
      </c>
      <c r="W82" s="29" t="s">
        <v>22</v>
      </c>
      <c r="X82" s="29" t="s">
        <v>18</v>
      </c>
      <c r="Y82" s="39">
        <v>60</v>
      </c>
      <c r="AD82" s="38"/>
      <c r="AG82" s="39"/>
      <c r="AL82" s="38"/>
      <c r="AO82" s="39"/>
      <c r="AP82" s="38"/>
      <c r="AS82" s="39"/>
      <c r="AW82" s="39"/>
      <c r="BA82" s="40"/>
    </row>
    <row r="83" spans="1:53" s="29" customFormat="1" x14ac:dyDescent="0.15">
      <c r="A83" s="29">
        <v>1996</v>
      </c>
      <c r="B83" s="295"/>
      <c r="C83" s="411" t="s">
        <v>236</v>
      </c>
      <c r="D83" s="411"/>
      <c r="E83" s="29">
        <v>366</v>
      </c>
      <c r="G83" s="66"/>
      <c r="H83" s="29">
        <v>25</v>
      </c>
      <c r="J83" s="73">
        <v>25</v>
      </c>
      <c r="K83" s="47">
        <f t="shared" si="28"/>
        <v>0</v>
      </c>
      <c r="L83" s="47">
        <f t="shared" si="29"/>
        <v>100</v>
      </c>
      <c r="M83" s="47">
        <f t="shared" si="30"/>
        <v>0</v>
      </c>
      <c r="N83" s="68">
        <f t="shared" si="26"/>
        <v>100</v>
      </c>
      <c r="O83" s="46"/>
      <c r="P83" s="47">
        <v>60</v>
      </c>
      <c r="Q83" s="47"/>
      <c r="R83" s="48">
        <f t="shared" si="27"/>
        <v>60</v>
      </c>
      <c r="S83" s="29">
        <v>1</v>
      </c>
      <c r="T83" s="286"/>
      <c r="U83" s="295"/>
      <c r="V83" s="38" t="s">
        <v>72</v>
      </c>
      <c r="W83" s="29" t="s">
        <v>22</v>
      </c>
      <c r="X83" s="29" t="s">
        <v>18</v>
      </c>
      <c r="Y83" s="39">
        <v>60</v>
      </c>
      <c r="AD83" s="38"/>
      <c r="AG83" s="39"/>
      <c r="AL83" s="38"/>
      <c r="AO83" s="39"/>
      <c r="AP83" s="38"/>
      <c r="AS83" s="39"/>
      <c r="AW83" s="39"/>
      <c r="BA83" s="40"/>
    </row>
    <row r="84" spans="1:53" s="29" customFormat="1" x14ac:dyDescent="0.15">
      <c r="A84" s="29">
        <v>1997</v>
      </c>
      <c r="B84" s="295"/>
      <c r="C84" s="411" t="s">
        <v>236</v>
      </c>
      <c r="D84" s="411"/>
      <c r="E84" s="29">
        <v>161</v>
      </c>
      <c r="G84" s="66"/>
      <c r="H84" s="29">
        <v>25</v>
      </c>
      <c r="J84" s="73">
        <v>25</v>
      </c>
      <c r="K84" s="47">
        <f t="shared" si="28"/>
        <v>0</v>
      </c>
      <c r="L84" s="47">
        <f t="shared" si="29"/>
        <v>100</v>
      </c>
      <c r="M84" s="47">
        <f t="shared" si="30"/>
        <v>0</v>
      </c>
      <c r="N84" s="68">
        <f t="shared" si="26"/>
        <v>100</v>
      </c>
      <c r="O84" s="46"/>
      <c r="P84" s="47">
        <v>60</v>
      </c>
      <c r="Q84" s="47"/>
      <c r="R84" s="48">
        <f t="shared" si="27"/>
        <v>60</v>
      </c>
      <c r="S84" s="29">
        <v>1</v>
      </c>
      <c r="T84" s="286"/>
      <c r="U84" s="295"/>
      <c r="V84" s="38" t="s">
        <v>72</v>
      </c>
      <c r="W84" s="29" t="s">
        <v>22</v>
      </c>
      <c r="X84" s="29" t="s">
        <v>18</v>
      </c>
      <c r="Y84" s="39">
        <v>60</v>
      </c>
      <c r="AD84" s="38"/>
      <c r="AG84" s="39"/>
      <c r="AL84" s="38"/>
      <c r="AO84" s="39"/>
      <c r="AP84" s="38"/>
      <c r="AS84" s="39"/>
      <c r="AW84" s="39"/>
      <c r="BA84" s="40"/>
    </row>
    <row r="85" spans="1:53" s="171" customFormat="1" x14ac:dyDescent="0.15">
      <c r="A85" s="171">
        <v>1997</v>
      </c>
      <c r="B85" s="283">
        <v>35592</v>
      </c>
      <c r="C85" s="410" t="s">
        <v>237</v>
      </c>
      <c r="D85" s="410"/>
      <c r="E85" s="171">
        <v>204</v>
      </c>
      <c r="F85" s="171">
        <v>1</v>
      </c>
      <c r="G85" s="233"/>
      <c r="H85" s="171">
        <v>28</v>
      </c>
      <c r="J85" s="241">
        <v>28</v>
      </c>
      <c r="K85" s="214">
        <f t="shared" si="28"/>
        <v>0</v>
      </c>
      <c r="L85" s="214">
        <f t="shared" si="29"/>
        <v>100</v>
      </c>
      <c r="M85" s="214">
        <f t="shared" si="30"/>
        <v>0</v>
      </c>
      <c r="N85" s="235">
        <f t="shared" si="26"/>
        <v>100</v>
      </c>
      <c r="O85" s="213"/>
      <c r="P85" s="214">
        <v>51.5</v>
      </c>
      <c r="Q85" s="214"/>
      <c r="R85" s="215">
        <f t="shared" si="27"/>
        <v>51.5</v>
      </c>
      <c r="S85" s="171">
        <v>1</v>
      </c>
      <c r="T85" s="285">
        <v>35583</v>
      </c>
      <c r="U85" s="283">
        <v>35592</v>
      </c>
      <c r="V85" s="178" t="s">
        <v>72</v>
      </c>
      <c r="W85" s="171" t="s">
        <v>22</v>
      </c>
      <c r="X85" s="171" t="s">
        <v>18</v>
      </c>
      <c r="Y85" s="179">
        <v>51.5</v>
      </c>
      <c r="AD85" s="178"/>
      <c r="AG85" s="179"/>
      <c r="AL85" s="178"/>
      <c r="AO85" s="179"/>
      <c r="AP85" s="178"/>
      <c r="AS85" s="179"/>
      <c r="AW85" s="179"/>
      <c r="BA85" s="180"/>
    </row>
    <row r="86" spans="1:53" s="171" customFormat="1" x14ac:dyDescent="0.15">
      <c r="A86" s="171">
        <v>1998</v>
      </c>
      <c r="B86" s="283"/>
      <c r="C86" s="410" t="s">
        <v>237</v>
      </c>
      <c r="D86" s="410"/>
      <c r="E86" s="171">
        <v>0</v>
      </c>
      <c r="G86" s="233"/>
      <c r="H86" s="171">
        <v>28</v>
      </c>
      <c r="J86" s="241">
        <v>28</v>
      </c>
      <c r="K86" s="214">
        <f t="shared" si="28"/>
        <v>0</v>
      </c>
      <c r="L86" s="214">
        <f t="shared" si="29"/>
        <v>100</v>
      </c>
      <c r="M86" s="214">
        <f t="shared" si="30"/>
        <v>0</v>
      </c>
      <c r="N86" s="235">
        <f t="shared" si="26"/>
        <v>100</v>
      </c>
      <c r="O86" s="213"/>
      <c r="P86" s="214">
        <v>51.5</v>
      </c>
      <c r="Q86" s="214"/>
      <c r="R86" s="215">
        <f t="shared" si="27"/>
        <v>51.5</v>
      </c>
      <c r="S86" s="171">
        <v>1</v>
      </c>
      <c r="T86" s="285"/>
      <c r="U86" s="283"/>
      <c r="V86" s="178" t="s">
        <v>72</v>
      </c>
      <c r="W86" s="171" t="s">
        <v>22</v>
      </c>
      <c r="X86" s="171" t="s">
        <v>18</v>
      </c>
      <c r="Y86" s="179">
        <v>51.5</v>
      </c>
      <c r="AD86" s="178"/>
      <c r="AG86" s="179"/>
      <c r="AL86" s="178"/>
      <c r="AO86" s="179"/>
      <c r="AP86" s="178"/>
      <c r="AS86" s="179"/>
      <c r="AW86" s="179"/>
      <c r="BA86" s="180"/>
    </row>
    <row r="87" spans="1:53" s="171" customFormat="1" x14ac:dyDescent="0.15">
      <c r="A87" s="171">
        <v>1998</v>
      </c>
      <c r="B87" s="283"/>
      <c r="C87" s="410" t="s">
        <v>237</v>
      </c>
      <c r="D87" s="410"/>
      <c r="E87" s="171">
        <f>365-E86</f>
        <v>365</v>
      </c>
      <c r="G87" s="233"/>
      <c r="H87" s="171">
        <v>28</v>
      </c>
      <c r="J87" s="241">
        <v>28</v>
      </c>
      <c r="K87" s="214">
        <f t="shared" si="28"/>
        <v>0</v>
      </c>
      <c r="L87" s="214">
        <f t="shared" si="29"/>
        <v>100</v>
      </c>
      <c r="M87" s="214">
        <f t="shared" si="30"/>
        <v>0</v>
      </c>
      <c r="N87" s="235">
        <f t="shared" si="26"/>
        <v>100</v>
      </c>
      <c r="O87" s="213"/>
      <c r="P87" s="214">
        <v>51.5</v>
      </c>
      <c r="Q87" s="214"/>
      <c r="R87" s="215">
        <f t="shared" si="27"/>
        <v>51.5</v>
      </c>
      <c r="S87" s="171">
        <v>1</v>
      </c>
      <c r="T87" s="285"/>
      <c r="U87" s="283"/>
      <c r="V87" s="178" t="s">
        <v>72</v>
      </c>
      <c r="W87" s="171" t="s">
        <v>22</v>
      </c>
      <c r="X87" s="171" t="s">
        <v>18</v>
      </c>
      <c r="Y87" s="179">
        <v>51.5</v>
      </c>
      <c r="AD87" s="178"/>
      <c r="AG87" s="179"/>
      <c r="AL87" s="178"/>
      <c r="AO87" s="179"/>
      <c r="AP87" s="178"/>
      <c r="AS87" s="179"/>
      <c r="AW87" s="179"/>
      <c r="BA87" s="180"/>
    </row>
    <row r="88" spans="1:53" s="171" customFormat="1" x14ac:dyDescent="0.15">
      <c r="A88" s="171">
        <v>1999</v>
      </c>
      <c r="B88" s="283"/>
      <c r="C88" s="410" t="s">
        <v>237</v>
      </c>
      <c r="D88" s="410"/>
      <c r="E88" s="171">
        <v>0</v>
      </c>
      <c r="G88" s="233"/>
      <c r="H88" s="171">
        <v>28</v>
      </c>
      <c r="J88" s="241">
        <v>28</v>
      </c>
      <c r="K88" s="214">
        <f t="shared" si="28"/>
        <v>0</v>
      </c>
      <c r="L88" s="214">
        <f t="shared" si="29"/>
        <v>100</v>
      </c>
      <c r="M88" s="214">
        <f t="shared" si="30"/>
        <v>0</v>
      </c>
      <c r="N88" s="235">
        <f t="shared" si="26"/>
        <v>100</v>
      </c>
      <c r="O88" s="213"/>
      <c r="P88" s="214">
        <v>51.5</v>
      </c>
      <c r="Q88" s="214"/>
      <c r="R88" s="215">
        <f t="shared" si="27"/>
        <v>51.5</v>
      </c>
      <c r="S88" s="171">
        <v>1</v>
      </c>
      <c r="T88" s="285"/>
      <c r="U88" s="283"/>
      <c r="V88" s="178" t="s">
        <v>72</v>
      </c>
      <c r="W88" s="171" t="s">
        <v>22</v>
      </c>
      <c r="X88" s="171" t="s">
        <v>18</v>
      </c>
      <c r="Y88" s="179">
        <v>51.5</v>
      </c>
      <c r="AD88" s="178"/>
      <c r="AG88" s="179"/>
      <c r="AL88" s="178"/>
      <c r="AO88" s="179"/>
      <c r="AP88" s="178"/>
      <c r="AS88" s="179"/>
      <c r="AW88" s="179"/>
      <c r="BA88" s="180"/>
    </row>
    <row r="89" spans="1:53" s="171" customFormat="1" x14ac:dyDescent="0.15">
      <c r="A89" s="171">
        <v>1999</v>
      </c>
      <c r="B89" s="283"/>
      <c r="C89" s="410" t="s">
        <v>237</v>
      </c>
      <c r="D89" s="410"/>
      <c r="E89" s="171">
        <f>365-E88</f>
        <v>365</v>
      </c>
      <c r="G89" s="233"/>
      <c r="H89" s="171">
        <v>28</v>
      </c>
      <c r="J89" s="241">
        <v>28</v>
      </c>
      <c r="K89" s="214">
        <f t="shared" si="28"/>
        <v>0</v>
      </c>
      <c r="L89" s="214">
        <f t="shared" si="29"/>
        <v>100</v>
      </c>
      <c r="M89" s="214">
        <f t="shared" si="30"/>
        <v>0</v>
      </c>
      <c r="N89" s="235">
        <f t="shared" si="26"/>
        <v>100</v>
      </c>
      <c r="O89" s="213"/>
      <c r="P89" s="214">
        <v>51.5</v>
      </c>
      <c r="Q89" s="214"/>
      <c r="R89" s="215">
        <f t="shared" si="27"/>
        <v>51.5</v>
      </c>
      <c r="S89" s="171">
        <v>1</v>
      </c>
      <c r="T89" s="285"/>
      <c r="U89" s="283"/>
      <c r="V89" s="178" t="s">
        <v>72</v>
      </c>
      <c r="W89" s="171" t="s">
        <v>22</v>
      </c>
      <c r="X89" s="171" t="s">
        <v>18</v>
      </c>
      <c r="Y89" s="179">
        <v>51.5</v>
      </c>
      <c r="AD89" s="178"/>
      <c r="AG89" s="179"/>
      <c r="AL89" s="178"/>
      <c r="AO89" s="179"/>
      <c r="AP89" s="178"/>
      <c r="AS89" s="179"/>
      <c r="AW89" s="179"/>
      <c r="BA89" s="180"/>
    </row>
    <row r="90" spans="1:53" s="171" customFormat="1" x14ac:dyDescent="0.15">
      <c r="A90" s="171">
        <v>2000</v>
      </c>
      <c r="B90" s="283"/>
      <c r="C90" s="410" t="s">
        <v>237</v>
      </c>
      <c r="D90" s="410"/>
      <c r="E90" s="171">
        <v>331</v>
      </c>
      <c r="G90" s="233"/>
      <c r="H90" s="171">
        <v>28</v>
      </c>
      <c r="J90" s="241">
        <v>28</v>
      </c>
      <c r="K90" s="214">
        <f t="shared" si="28"/>
        <v>0</v>
      </c>
      <c r="L90" s="214">
        <f t="shared" si="29"/>
        <v>100</v>
      </c>
      <c r="M90" s="214">
        <f t="shared" si="30"/>
        <v>0</v>
      </c>
      <c r="N90" s="235">
        <f t="shared" si="26"/>
        <v>100</v>
      </c>
      <c r="O90" s="213"/>
      <c r="P90" s="214">
        <v>51.5</v>
      </c>
      <c r="Q90" s="214"/>
      <c r="R90" s="215">
        <f t="shared" si="27"/>
        <v>51.5</v>
      </c>
      <c r="S90" s="171">
        <v>1</v>
      </c>
      <c r="T90" s="285"/>
      <c r="U90" s="283"/>
      <c r="V90" s="178" t="s">
        <v>72</v>
      </c>
      <c r="W90" s="171" t="s">
        <v>22</v>
      </c>
      <c r="X90" s="171" t="s">
        <v>18</v>
      </c>
      <c r="Y90" s="179">
        <v>51.5</v>
      </c>
      <c r="AD90" s="178"/>
      <c r="AG90" s="179"/>
      <c r="AL90" s="178"/>
      <c r="AO90" s="179"/>
      <c r="AP90" s="178"/>
      <c r="AS90" s="179"/>
      <c r="AW90" s="179"/>
      <c r="BA90" s="180"/>
    </row>
    <row r="91" spans="1:53" s="29" customFormat="1" x14ac:dyDescent="0.15">
      <c r="A91" s="29">
        <v>2000</v>
      </c>
      <c r="B91" s="295">
        <v>36857</v>
      </c>
      <c r="C91" s="411" t="s">
        <v>238</v>
      </c>
      <c r="D91" s="411"/>
      <c r="E91" s="29">
        <v>35</v>
      </c>
      <c r="F91" s="29">
        <v>1</v>
      </c>
      <c r="G91" s="66"/>
      <c r="H91" s="29">
        <v>28</v>
      </c>
      <c r="J91" s="73">
        <v>28</v>
      </c>
      <c r="K91" s="47">
        <f t="shared" si="28"/>
        <v>0</v>
      </c>
      <c r="L91" s="47">
        <f t="shared" si="29"/>
        <v>100</v>
      </c>
      <c r="M91" s="47">
        <f t="shared" si="30"/>
        <v>0</v>
      </c>
      <c r="N91" s="68">
        <f t="shared" si="26"/>
        <v>100</v>
      </c>
      <c r="O91" s="46"/>
      <c r="P91" s="47">
        <v>57.1</v>
      </c>
      <c r="Q91" s="47"/>
      <c r="R91" s="48">
        <f t="shared" si="27"/>
        <v>57.1</v>
      </c>
      <c r="S91" s="29">
        <v>1</v>
      </c>
      <c r="T91" s="286">
        <v>36857</v>
      </c>
      <c r="U91" s="295">
        <v>36857</v>
      </c>
      <c r="V91" s="38" t="s">
        <v>72</v>
      </c>
      <c r="W91" s="29" t="s">
        <v>22</v>
      </c>
      <c r="X91" s="29" t="s">
        <v>18</v>
      </c>
      <c r="Y91" s="39">
        <v>57.1</v>
      </c>
      <c r="AD91" s="38"/>
      <c r="AG91" s="39"/>
      <c r="AL91" s="38"/>
      <c r="AO91" s="39"/>
      <c r="AP91" s="38"/>
      <c r="AS91" s="39"/>
      <c r="AW91" s="39"/>
      <c r="BA91" s="40"/>
    </row>
    <row r="92" spans="1:53" s="29" customFormat="1" x14ac:dyDescent="0.15">
      <c r="A92" s="29">
        <v>2001</v>
      </c>
      <c r="B92" s="295"/>
      <c r="C92" s="411" t="s">
        <v>238</v>
      </c>
      <c r="D92" s="411"/>
      <c r="E92" s="29">
        <v>0</v>
      </c>
      <c r="G92" s="66"/>
      <c r="H92" s="29">
        <v>28</v>
      </c>
      <c r="J92" s="73">
        <v>28</v>
      </c>
      <c r="K92" s="47">
        <f t="shared" si="28"/>
        <v>0</v>
      </c>
      <c r="L92" s="47">
        <f t="shared" si="29"/>
        <v>100</v>
      </c>
      <c r="M92" s="47">
        <f t="shared" si="30"/>
        <v>0</v>
      </c>
      <c r="N92" s="68">
        <f t="shared" si="26"/>
        <v>100</v>
      </c>
      <c r="O92" s="46"/>
      <c r="P92" s="47">
        <v>57.1</v>
      </c>
      <c r="Q92" s="47"/>
      <c r="R92" s="48">
        <f t="shared" si="27"/>
        <v>57.1</v>
      </c>
      <c r="S92" s="29">
        <v>1</v>
      </c>
      <c r="T92" s="286"/>
      <c r="U92" s="295"/>
      <c r="V92" s="38" t="s">
        <v>72</v>
      </c>
      <c r="W92" s="29" t="s">
        <v>22</v>
      </c>
      <c r="X92" s="29" t="s">
        <v>18</v>
      </c>
      <c r="Y92" s="39">
        <v>57.1</v>
      </c>
      <c r="AD92" s="38"/>
      <c r="AG92" s="39"/>
      <c r="AL92" s="38"/>
      <c r="AO92" s="39"/>
      <c r="AP92" s="38"/>
      <c r="AS92" s="39"/>
      <c r="AW92" s="39"/>
      <c r="BA92" s="40"/>
    </row>
    <row r="93" spans="1:53" s="29" customFormat="1" x14ac:dyDescent="0.15">
      <c r="A93" s="29">
        <v>2001</v>
      </c>
      <c r="B93" s="295"/>
      <c r="C93" s="411" t="s">
        <v>238</v>
      </c>
      <c r="D93" s="411"/>
      <c r="E93" s="29">
        <f>365-E92</f>
        <v>365</v>
      </c>
      <c r="G93" s="66"/>
      <c r="H93" s="29">
        <v>28</v>
      </c>
      <c r="J93" s="73">
        <v>28</v>
      </c>
      <c r="K93" s="47">
        <f t="shared" si="28"/>
        <v>0</v>
      </c>
      <c r="L93" s="47">
        <f t="shared" si="29"/>
        <v>100</v>
      </c>
      <c r="M93" s="47">
        <f t="shared" si="30"/>
        <v>0</v>
      </c>
      <c r="N93" s="68">
        <f t="shared" si="26"/>
        <v>100</v>
      </c>
      <c r="O93" s="46"/>
      <c r="P93" s="47">
        <v>57.1</v>
      </c>
      <c r="Q93" s="47"/>
      <c r="R93" s="48">
        <f t="shared" si="27"/>
        <v>57.1</v>
      </c>
      <c r="S93" s="29">
        <v>1</v>
      </c>
      <c r="T93" s="286"/>
      <c r="U93" s="295"/>
      <c r="V93" s="38" t="s">
        <v>72</v>
      </c>
      <c r="W93" s="29" t="s">
        <v>22</v>
      </c>
      <c r="X93" s="29" t="s">
        <v>18</v>
      </c>
      <c r="Y93" s="39">
        <v>57.1</v>
      </c>
      <c r="AD93" s="38"/>
      <c r="AG93" s="39"/>
      <c r="AL93" s="38"/>
      <c r="AO93" s="39"/>
      <c r="AP93" s="38"/>
      <c r="AS93" s="39"/>
      <c r="AW93" s="39"/>
      <c r="BA93" s="40"/>
    </row>
    <row r="94" spans="1:53" s="29" customFormat="1" x14ac:dyDescent="0.15">
      <c r="A94" s="29">
        <v>2002</v>
      </c>
      <c r="B94" s="295"/>
      <c r="C94" s="411" t="s">
        <v>238</v>
      </c>
      <c r="D94" s="411"/>
      <c r="E94" s="29">
        <v>0</v>
      </c>
      <c r="G94" s="66"/>
      <c r="H94" s="29">
        <v>28</v>
      </c>
      <c r="J94" s="73">
        <v>28</v>
      </c>
      <c r="K94" s="47">
        <f t="shared" si="28"/>
        <v>0</v>
      </c>
      <c r="L94" s="47">
        <f t="shared" si="29"/>
        <v>100</v>
      </c>
      <c r="M94" s="47">
        <f t="shared" si="30"/>
        <v>0</v>
      </c>
      <c r="N94" s="68">
        <f t="shared" si="26"/>
        <v>100</v>
      </c>
      <c r="O94" s="46"/>
      <c r="P94" s="47">
        <v>57.1</v>
      </c>
      <c r="Q94" s="47"/>
      <c r="R94" s="48">
        <f t="shared" si="27"/>
        <v>57.1</v>
      </c>
      <c r="S94" s="29">
        <v>1</v>
      </c>
      <c r="T94" s="286"/>
      <c r="U94" s="295"/>
      <c r="V94" s="38" t="s">
        <v>72</v>
      </c>
      <c r="W94" s="29" t="s">
        <v>22</v>
      </c>
      <c r="X94" s="29" t="s">
        <v>18</v>
      </c>
      <c r="Y94" s="39">
        <v>57.1</v>
      </c>
      <c r="AD94" s="38"/>
      <c r="AG94" s="39"/>
      <c r="AL94" s="38"/>
      <c r="AO94" s="39"/>
      <c r="AP94" s="38"/>
      <c r="AS94" s="39"/>
      <c r="AW94" s="39"/>
      <c r="BA94" s="40"/>
    </row>
    <row r="95" spans="1:53" s="29" customFormat="1" x14ac:dyDescent="0.15">
      <c r="A95" s="29">
        <v>2002</v>
      </c>
      <c r="B95" s="295"/>
      <c r="C95" s="411" t="s">
        <v>238</v>
      </c>
      <c r="D95" s="411"/>
      <c r="E95" s="29">
        <f>365-E94</f>
        <v>365</v>
      </c>
      <c r="G95" s="66"/>
      <c r="H95" s="29">
        <v>28</v>
      </c>
      <c r="J95" s="73">
        <v>28</v>
      </c>
      <c r="K95" s="47">
        <f t="shared" si="28"/>
        <v>0</v>
      </c>
      <c r="L95" s="47">
        <f t="shared" si="29"/>
        <v>100</v>
      </c>
      <c r="M95" s="47">
        <f t="shared" si="30"/>
        <v>0</v>
      </c>
      <c r="N95" s="68">
        <f t="shared" si="26"/>
        <v>100</v>
      </c>
      <c r="O95" s="46"/>
      <c r="P95" s="47">
        <v>57.1</v>
      </c>
      <c r="Q95" s="47"/>
      <c r="R95" s="48">
        <f t="shared" si="27"/>
        <v>57.1</v>
      </c>
      <c r="S95" s="29">
        <v>1</v>
      </c>
      <c r="T95" s="286"/>
      <c r="U95" s="295"/>
      <c r="V95" s="38" t="s">
        <v>72</v>
      </c>
      <c r="W95" s="29" t="s">
        <v>22</v>
      </c>
      <c r="X95" s="29" t="s">
        <v>18</v>
      </c>
      <c r="Y95" s="39">
        <v>57.1</v>
      </c>
      <c r="AD95" s="38"/>
      <c r="AG95" s="39"/>
      <c r="AL95" s="38"/>
      <c r="AO95" s="39"/>
      <c r="AP95" s="38"/>
      <c r="AS95" s="39"/>
      <c r="AW95" s="39"/>
      <c r="BA95" s="40"/>
    </row>
    <row r="96" spans="1:53" s="29" customFormat="1" x14ac:dyDescent="0.15">
      <c r="A96" s="29">
        <v>2003</v>
      </c>
      <c r="B96" s="295"/>
      <c r="C96" s="411" t="s">
        <v>238</v>
      </c>
      <c r="D96" s="411"/>
      <c r="E96" s="29">
        <v>345</v>
      </c>
      <c r="G96" s="66"/>
      <c r="H96" s="29">
        <v>28</v>
      </c>
      <c r="J96" s="73">
        <v>28</v>
      </c>
      <c r="K96" s="47">
        <f t="shared" si="28"/>
        <v>0</v>
      </c>
      <c r="L96" s="47">
        <f t="shared" si="29"/>
        <v>100</v>
      </c>
      <c r="M96" s="47">
        <f t="shared" si="30"/>
        <v>0</v>
      </c>
      <c r="N96" s="68">
        <f t="shared" si="26"/>
        <v>100</v>
      </c>
      <c r="O96" s="46"/>
      <c r="P96" s="47">
        <v>57.1</v>
      </c>
      <c r="Q96" s="47"/>
      <c r="R96" s="48">
        <f t="shared" si="27"/>
        <v>57.1</v>
      </c>
      <c r="S96" s="29">
        <v>1</v>
      </c>
      <c r="T96" s="286"/>
      <c r="U96" s="295"/>
      <c r="V96" s="38" t="s">
        <v>72</v>
      </c>
      <c r="W96" s="29" t="s">
        <v>22</v>
      </c>
      <c r="X96" s="29" t="s">
        <v>18</v>
      </c>
      <c r="Y96" s="39">
        <v>57.1</v>
      </c>
      <c r="AD96" s="38"/>
      <c r="AG96" s="39"/>
      <c r="AL96" s="38"/>
      <c r="AO96" s="39"/>
      <c r="AP96" s="38"/>
      <c r="AS96" s="39"/>
      <c r="AW96" s="39"/>
      <c r="BA96" s="40"/>
    </row>
    <row r="97" spans="1:53" s="171" customFormat="1" x14ac:dyDescent="0.15">
      <c r="A97" s="171">
        <v>2003</v>
      </c>
      <c r="B97" s="283">
        <v>37967</v>
      </c>
      <c r="C97" s="410" t="s">
        <v>239</v>
      </c>
      <c r="D97" s="410"/>
      <c r="E97" s="171">
        <f>365-E96</f>
        <v>20</v>
      </c>
      <c r="F97" s="171">
        <v>2</v>
      </c>
      <c r="G97" s="233"/>
      <c r="H97" s="171">
        <v>28</v>
      </c>
      <c r="J97" s="241">
        <v>28</v>
      </c>
      <c r="K97" s="214">
        <f t="shared" si="28"/>
        <v>0</v>
      </c>
      <c r="L97" s="214">
        <f t="shared" si="29"/>
        <v>100</v>
      </c>
      <c r="M97" s="214">
        <f t="shared" si="30"/>
        <v>0</v>
      </c>
      <c r="N97" s="235">
        <f t="shared" si="26"/>
        <v>100</v>
      </c>
      <c r="O97" s="213"/>
      <c r="P97" s="214">
        <v>57.1</v>
      </c>
      <c r="Q97" s="214"/>
      <c r="R97" s="215">
        <f t="shared" si="27"/>
        <v>57.1</v>
      </c>
      <c r="S97" s="171">
        <v>1</v>
      </c>
      <c r="T97" s="285"/>
      <c r="U97" s="283">
        <v>37967</v>
      </c>
      <c r="V97" s="178" t="s">
        <v>72</v>
      </c>
      <c r="W97" s="171" t="s">
        <v>22</v>
      </c>
      <c r="X97" s="171" t="s">
        <v>18</v>
      </c>
      <c r="Y97" s="179">
        <v>57.1</v>
      </c>
      <c r="AD97" s="178"/>
      <c r="AG97" s="179"/>
      <c r="AL97" s="178"/>
      <c r="AO97" s="179"/>
      <c r="AP97" s="178"/>
      <c r="AS97" s="179"/>
      <c r="AW97" s="179"/>
      <c r="BA97" s="180"/>
    </row>
    <row r="98" spans="1:53" s="171" customFormat="1" x14ac:dyDescent="0.15">
      <c r="A98" s="171">
        <v>2004</v>
      </c>
      <c r="B98" s="283"/>
      <c r="C98" s="410" t="s">
        <v>239</v>
      </c>
      <c r="D98" s="410"/>
      <c r="E98" s="171">
        <v>201</v>
      </c>
      <c r="G98" s="233"/>
      <c r="H98" s="171">
        <v>28</v>
      </c>
      <c r="J98" s="241">
        <v>28</v>
      </c>
      <c r="K98" s="214">
        <f t="shared" si="28"/>
        <v>0</v>
      </c>
      <c r="L98" s="214">
        <f t="shared" si="29"/>
        <v>100</v>
      </c>
      <c r="M98" s="214">
        <f t="shared" si="30"/>
        <v>0</v>
      </c>
      <c r="N98" s="235">
        <f t="shared" si="26"/>
        <v>100</v>
      </c>
      <c r="O98" s="213"/>
      <c r="P98" s="214">
        <v>57.1</v>
      </c>
      <c r="Q98" s="214"/>
      <c r="R98" s="215">
        <f t="shared" si="27"/>
        <v>57.1</v>
      </c>
      <c r="S98" s="171">
        <v>1</v>
      </c>
      <c r="T98" s="285"/>
      <c r="U98" s="283"/>
      <c r="V98" s="178" t="s">
        <v>72</v>
      </c>
      <c r="W98" s="171" t="s">
        <v>22</v>
      </c>
      <c r="X98" s="171" t="s">
        <v>18</v>
      </c>
      <c r="Y98" s="179">
        <v>57.1</v>
      </c>
      <c r="AD98" s="178"/>
      <c r="AG98" s="179"/>
      <c r="AL98" s="178"/>
      <c r="AO98" s="179"/>
      <c r="AP98" s="178"/>
      <c r="AS98" s="179"/>
      <c r="AW98" s="179"/>
      <c r="BA98" s="180"/>
    </row>
    <row r="99" spans="1:53" s="29" customFormat="1" x14ac:dyDescent="0.15">
      <c r="A99" s="29">
        <v>2004</v>
      </c>
      <c r="B99" s="295">
        <v>38188</v>
      </c>
      <c r="C99" s="411" t="s">
        <v>240</v>
      </c>
      <c r="D99" s="411"/>
      <c r="E99" s="29">
        <v>165</v>
      </c>
      <c r="F99" s="29">
        <v>1</v>
      </c>
      <c r="G99" s="66"/>
      <c r="H99" s="29">
        <v>39</v>
      </c>
      <c r="J99" s="73">
        <v>39</v>
      </c>
      <c r="K99" s="47">
        <f t="shared" si="28"/>
        <v>0</v>
      </c>
      <c r="L99" s="47">
        <f t="shared" si="29"/>
        <v>100</v>
      </c>
      <c r="M99" s="47">
        <f t="shared" si="30"/>
        <v>0</v>
      </c>
      <c r="N99" s="68">
        <f t="shared" si="26"/>
        <v>100</v>
      </c>
      <c r="O99" s="46"/>
      <c r="P99" s="47">
        <v>43.8</v>
      </c>
      <c r="Q99" s="47"/>
      <c r="R99" s="48">
        <f t="shared" si="27"/>
        <v>43.8</v>
      </c>
      <c r="S99" s="29">
        <v>4</v>
      </c>
      <c r="T99" s="286">
        <v>38166</v>
      </c>
      <c r="U99" s="295">
        <v>38188</v>
      </c>
      <c r="V99" s="38" t="s">
        <v>72</v>
      </c>
      <c r="W99" s="29" t="s">
        <v>22</v>
      </c>
      <c r="X99" s="29" t="s">
        <v>18</v>
      </c>
      <c r="Y99" s="39">
        <v>43.8</v>
      </c>
      <c r="AD99" s="38"/>
      <c r="AG99" s="39"/>
      <c r="AL99" s="38"/>
      <c r="AO99" s="39"/>
      <c r="AP99" s="38"/>
      <c r="AS99" s="39"/>
      <c r="AW99" s="39"/>
      <c r="BA99" s="40"/>
    </row>
    <row r="100" spans="1:53" s="29" customFormat="1" x14ac:dyDescent="0.15">
      <c r="A100" s="29">
        <v>2005</v>
      </c>
      <c r="B100" s="295"/>
      <c r="C100" s="411" t="s">
        <v>240</v>
      </c>
      <c r="D100" s="411"/>
      <c r="E100" s="29">
        <v>0</v>
      </c>
      <c r="G100" s="66"/>
      <c r="H100" s="29">
        <v>39</v>
      </c>
      <c r="J100" s="73">
        <v>39</v>
      </c>
      <c r="K100" s="47">
        <f>G100/J100*100</f>
        <v>0</v>
      </c>
      <c r="L100" s="47">
        <f>H100/J100*100</f>
        <v>100</v>
      </c>
      <c r="M100" s="47">
        <f>I100/J100*100</f>
        <v>0</v>
      </c>
      <c r="N100" s="68">
        <f t="shared" si="26"/>
        <v>100</v>
      </c>
      <c r="O100" s="46"/>
      <c r="P100" s="47">
        <v>43.8</v>
      </c>
      <c r="Q100" s="47"/>
      <c r="R100" s="48">
        <f t="shared" si="27"/>
        <v>43.8</v>
      </c>
      <c r="S100" s="29">
        <v>4</v>
      </c>
      <c r="T100" s="286"/>
      <c r="U100" s="295"/>
      <c r="V100" s="38" t="s">
        <v>72</v>
      </c>
      <c r="W100" s="29" t="s">
        <v>22</v>
      </c>
      <c r="X100" s="29" t="s">
        <v>18</v>
      </c>
      <c r="Y100" s="39">
        <v>43.8</v>
      </c>
      <c r="AD100" s="38"/>
      <c r="AG100" s="39"/>
      <c r="AL100" s="38"/>
      <c r="AO100" s="39"/>
      <c r="AP100" s="38"/>
      <c r="AS100" s="39"/>
      <c r="AW100" s="39"/>
      <c r="BA100" s="40"/>
    </row>
    <row r="101" spans="1:53" s="29" customFormat="1" x14ac:dyDescent="0.15">
      <c r="A101" s="29">
        <v>2005</v>
      </c>
      <c r="B101" s="295"/>
      <c r="C101" s="411" t="s">
        <v>240</v>
      </c>
      <c r="D101" s="411"/>
      <c r="E101" s="29">
        <f>365-E100</f>
        <v>365</v>
      </c>
      <c r="G101" s="66"/>
      <c r="H101" s="29">
        <v>39</v>
      </c>
      <c r="J101" s="73">
        <v>39</v>
      </c>
      <c r="K101" s="47">
        <f>G101/J101*100</f>
        <v>0</v>
      </c>
      <c r="L101" s="47">
        <f>H101/J101*100</f>
        <v>100</v>
      </c>
      <c r="M101" s="47">
        <f>I101/J101*100</f>
        <v>0</v>
      </c>
      <c r="N101" s="68">
        <f>SUM(K101:M101)</f>
        <v>100</v>
      </c>
      <c r="O101" s="46"/>
      <c r="P101" s="47">
        <v>43.8</v>
      </c>
      <c r="Q101" s="47"/>
      <c r="R101" s="48">
        <f t="shared" si="27"/>
        <v>43.8</v>
      </c>
      <c r="S101" s="29">
        <v>4</v>
      </c>
      <c r="T101" s="286"/>
      <c r="U101" s="295"/>
      <c r="V101" s="38" t="s">
        <v>72</v>
      </c>
      <c r="W101" s="29" t="s">
        <v>22</v>
      </c>
      <c r="X101" s="29" t="s">
        <v>18</v>
      </c>
      <c r="Y101" s="39">
        <v>43.8</v>
      </c>
      <c r="AD101" s="38"/>
      <c r="AG101" s="39"/>
      <c r="AL101" s="38"/>
      <c r="AO101" s="39"/>
      <c r="AP101" s="38"/>
      <c r="AS101" s="39"/>
      <c r="AW101" s="39"/>
      <c r="BA101" s="40"/>
    </row>
    <row r="102" spans="1:53" s="29" customFormat="1" x14ac:dyDescent="0.15">
      <c r="A102" s="29">
        <v>2006</v>
      </c>
      <c r="B102" s="295"/>
      <c r="C102" s="411" t="s">
        <v>240</v>
      </c>
      <c r="D102" s="411"/>
      <c r="E102" s="29">
        <v>36</v>
      </c>
      <c r="G102" s="66"/>
      <c r="H102" s="29">
        <v>39</v>
      </c>
      <c r="J102" s="73">
        <v>39</v>
      </c>
      <c r="K102" s="47">
        <f>G102/J102*100</f>
        <v>0</v>
      </c>
      <c r="L102" s="47">
        <f>H102/J102*100</f>
        <v>100</v>
      </c>
      <c r="M102" s="47">
        <f>I102/J102*100</f>
        <v>0</v>
      </c>
      <c r="N102" s="68">
        <f t="shared" si="26"/>
        <v>100</v>
      </c>
      <c r="O102" s="46"/>
      <c r="P102" s="47">
        <v>43.8</v>
      </c>
      <c r="Q102" s="47"/>
      <c r="R102" s="48">
        <f t="shared" si="27"/>
        <v>43.8</v>
      </c>
      <c r="S102" s="29">
        <v>4</v>
      </c>
      <c r="T102" s="286"/>
      <c r="U102" s="295"/>
      <c r="V102" s="38" t="s">
        <v>72</v>
      </c>
      <c r="W102" s="29" t="s">
        <v>22</v>
      </c>
      <c r="X102" s="29" t="s">
        <v>18</v>
      </c>
      <c r="Y102" s="39">
        <v>43.8</v>
      </c>
      <c r="AD102" s="38"/>
      <c r="AG102" s="39"/>
      <c r="AL102" s="38"/>
      <c r="AO102" s="39"/>
      <c r="AP102" s="38"/>
      <c r="AS102" s="39"/>
      <c r="AW102" s="39"/>
      <c r="BA102" s="40"/>
    </row>
    <row r="103" spans="1:53" s="171" customFormat="1" x14ac:dyDescent="0.15">
      <c r="A103" s="171">
        <v>2006</v>
      </c>
      <c r="B103" s="283">
        <v>38754</v>
      </c>
      <c r="C103" s="410" t="s">
        <v>241</v>
      </c>
      <c r="D103" s="410"/>
      <c r="E103" s="171">
        <f>365-E102</f>
        <v>329</v>
      </c>
      <c r="F103" s="171">
        <v>5</v>
      </c>
      <c r="G103" s="233">
        <v>27</v>
      </c>
      <c r="J103" s="241">
        <v>27</v>
      </c>
      <c r="K103" s="214">
        <f t="shared" ref="K103:K108" si="31">G103/J103*100</f>
        <v>100</v>
      </c>
      <c r="L103" s="214">
        <f t="shared" ref="L103:L111" si="32">H103/J103*100</f>
        <v>0</v>
      </c>
      <c r="M103" s="214">
        <f t="shared" ref="M103:M111" si="33">I103/J103*100</f>
        <v>0</v>
      </c>
      <c r="N103" s="235">
        <f t="shared" si="26"/>
        <v>100</v>
      </c>
      <c r="O103" s="213">
        <v>40.299999999999997</v>
      </c>
      <c r="P103" s="214"/>
      <c r="Q103" s="214"/>
      <c r="R103" s="215">
        <f t="shared" si="27"/>
        <v>40.299999999999997</v>
      </c>
      <c r="S103" s="171">
        <v>4</v>
      </c>
      <c r="T103" s="285">
        <v>38740</v>
      </c>
      <c r="U103" s="283">
        <v>38754</v>
      </c>
      <c r="V103" s="178" t="s">
        <v>100</v>
      </c>
      <c r="W103" s="171" t="s">
        <v>74</v>
      </c>
      <c r="X103" s="171" t="s">
        <v>11</v>
      </c>
      <c r="Y103" s="179">
        <v>40.299999999999997</v>
      </c>
      <c r="AD103" s="178"/>
      <c r="AG103" s="179"/>
      <c r="AL103" s="178"/>
      <c r="AO103" s="179"/>
      <c r="AP103" s="178"/>
      <c r="AS103" s="179"/>
      <c r="AW103" s="179"/>
      <c r="BA103" s="180"/>
    </row>
    <row r="104" spans="1:53" s="171" customFormat="1" x14ac:dyDescent="0.15">
      <c r="A104" s="171">
        <v>2007</v>
      </c>
      <c r="B104" s="283"/>
      <c r="C104" s="410" t="s">
        <v>241</v>
      </c>
      <c r="D104" s="410"/>
      <c r="E104" s="171">
        <v>0</v>
      </c>
      <c r="G104" s="233">
        <v>27</v>
      </c>
      <c r="J104" s="241">
        <v>27</v>
      </c>
      <c r="K104" s="214">
        <f t="shared" si="31"/>
        <v>100</v>
      </c>
      <c r="L104" s="214">
        <f t="shared" si="32"/>
        <v>0</v>
      </c>
      <c r="M104" s="214">
        <f t="shared" si="33"/>
        <v>0</v>
      </c>
      <c r="N104" s="235">
        <f t="shared" si="26"/>
        <v>100</v>
      </c>
      <c r="O104" s="213">
        <v>40.299999999999997</v>
      </c>
      <c r="P104" s="214"/>
      <c r="Q104" s="214"/>
      <c r="R104" s="215">
        <f t="shared" si="27"/>
        <v>40.299999999999997</v>
      </c>
      <c r="S104" s="171">
        <v>4</v>
      </c>
      <c r="T104" s="285"/>
      <c r="U104" s="283"/>
      <c r="V104" s="178" t="s">
        <v>100</v>
      </c>
      <c r="W104" s="171" t="s">
        <v>74</v>
      </c>
      <c r="X104" s="171" t="s">
        <v>11</v>
      </c>
      <c r="Y104" s="179">
        <v>40.299999999999997</v>
      </c>
      <c r="AD104" s="178"/>
      <c r="AG104" s="179"/>
      <c r="AL104" s="178"/>
      <c r="AO104" s="179"/>
      <c r="AP104" s="178"/>
      <c r="AS104" s="179"/>
      <c r="AW104" s="179"/>
      <c r="BA104" s="180"/>
    </row>
    <row r="105" spans="1:53" s="171" customFormat="1" x14ac:dyDescent="0.15">
      <c r="A105" s="171">
        <v>2007</v>
      </c>
      <c r="B105" s="283"/>
      <c r="C105" s="410" t="s">
        <v>241</v>
      </c>
      <c r="D105" s="410"/>
      <c r="E105" s="171">
        <f>365-E104</f>
        <v>365</v>
      </c>
      <c r="G105" s="233">
        <v>27</v>
      </c>
      <c r="J105" s="241">
        <v>27</v>
      </c>
      <c r="K105" s="214">
        <f t="shared" si="31"/>
        <v>100</v>
      </c>
      <c r="L105" s="214">
        <f t="shared" si="32"/>
        <v>0</v>
      </c>
      <c r="M105" s="214">
        <f t="shared" si="33"/>
        <v>0</v>
      </c>
      <c r="N105" s="235">
        <f t="shared" si="26"/>
        <v>100</v>
      </c>
      <c r="O105" s="213">
        <v>40.299999999999997</v>
      </c>
      <c r="P105" s="214"/>
      <c r="Q105" s="214"/>
      <c r="R105" s="215">
        <f t="shared" si="27"/>
        <v>40.299999999999997</v>
      </c>
      <c r="S105" s="171">
        <v>4</v>
      </c>
      <c r="T105" s="285"/>
      <c r="U105" s="283"/>
      <c r="V105" s="178" t="s">
        <v>100</v>
      </c>
      <c r="W105" s="171" t="s">
        <v>74</v>
      </c>
      <c r="X105" s="171" t="s">
        <v>11</v>
      </c>
      <c r="Y105" s="179">
        <v>40.299999999999997</v>
      </c>
      <c r="AD105" s="178"/>
      <c r="AG105" s="179"/>
      <c r="AL105" s="178"/>
      <c r="AO105" s="179"/>
      <c r="AP105" s="178"/>
      <c r="AS105" s="179"/>
      <c r="AW105" s="179"/>
      <c r="BA105" s="180"/>
    </row>
    <row r="106" spans="1:53" s="171" customFormat="1" x14ac:dyDescent="0.15">
      <c r="A106" s="171">
        <v>2008</v>
      </c>
      <c r="B106" s="283"/>
      <c r="C106" s="410" t="s">
        <v>241</v>
      </c>
      <c r="D106" s="410"/>
      <c r="E106" s="171">
        <v>303</v>
      </c>
      <c r="G106" s="233">
        <v>27</v>
      </c>
      <c r="J106" s="241">
        <v>27</v>
      </c>
      <c r="K106" s="214">
        <f t="shared" si="31"/>
        <v>100</v>
      </c>
      <c r="L106" s="214">
        <f t="shared" si="32"/>
        <v>0</v>
      </c>
      <c r="M106" s="214">
        <f t="shared" si="33"/>
        <v>0</v>
      </c>
      <c r="N106" s="235">
        <f t="shared" si="26"/>
        <v>100</v>
      </c>
      <c r="O106" s="213">
        <v>40.299999999999997</v>
      </c>
      <c r="P106" s="214"/>
      <c r="Q106" s="214"/>
      <c r="R106" s="215">
        <f t="shared" si="27"/>
        <v>40.299999999999997</v>
      </c>
      <c r="S106" s="171">
        <v>4</v>
      </c>
      <c r="T106" s="285"/>
      <c r="U106" s="283"/>
      <c r="V106" s="178" t="s">
        <v>100</v>
      </c>
      <c r="W106" s="171" t="s">
        <v>74</v>
      </c>
      <c r="X106" s="171" t="s">
        <v>11</v>
      </c>
      <c r="Y106" s="179">
        <v>40.299999999999997</v>
      </c>
      <c r="AD106" s="178"/>
      <c r="AG106" s="179"/>
      <c r="AL106" s="178"/>
      <c r="AO106" s="179"/>
      <c r="AP106" s="178"/>
      <c r="AS106" s="179"/>
      <c r="AW106" s="179"/>
      <c r="BA106" s="180"/>
    </row>
    <row r="107" spans="1:53" s="29" customFormat="1" x14ac:dyDescent="0.15">
      <c r="A107" s="29">
        <v>2008</v>
      </c>
      <c r="B107" s="295">
        <v>39751</v>
      </c>
      <c r="C107" s="411" t="s">
        <v>242</v>
      </c>
      <c r="D107" s="411"/>
      <c r="E107" s="29">
        <v>63</v>
      </c>
      <c r="F107" s="29">
        <v>1</v>
      </c>
      <c r="G107" s="66">
        <v>27</v>
      </c>
      <c r="J107" s="73">
        <v>27</v>
      </c>
      <c r="K107" s="47">
        <f t="shared" si="31"/>
        <v>100</v>
      </c>
      <c r="L107" s="47">
        <f t="shared" si="32"/>
        <v>0</v>
      </c>
      <c r="M107" s="47">
        <f t="shared" si="33"/>
        <v>0</v>
      </c>
      <c r="N107" s="68">
        <f t="shared" si="26"/>
        <v>100</v>
      </c>
      <c r="O107" s="46">
        <v>46.4</v>
      </c>
      <c r="P107" s="47"/>
      <c r="Q107" s="47"/>
      <c r="R107" s="48">
        <f t="shared" si="27"/>
        <v>46.4</v>
      </c>
      <c r="S107" s="29">
        <v>4</v>
      </c>
      <c r="T107" s="286">
        <v>39735</v>
      </c>
      <c r="U107" s="295">
        <v>39751</v>
      </c>
      <c r="V107" s="38" t="s">
        <v>100</v>
      </c>
      <c r="W107" s="29" t="s">
        <v>74</v>
      </c>
      <c r="X107" s="29" t="s">
        <v>11</v>
      </c>
      <c r="Y107" s="39">
        <v>46.4</v>
      </c>
      <c r="AD107" s="38"/>
      <c r="AG107" s="39"/>
      <c r="AL107" s="38"/>
      <c r="AO107" s="39"/>
      <c r="AP107" s="38"/>
      <c r="AS107" s="39"/>
      <c r="AW107" s="39"/>
      <c r="BA107" s="40"/>
    </row>
    <row r="108" spans="1:53" s="29" customFormat="1" x14ac:dyDescent="0.15">
      <c r="A108" s="29">
        <v>2009</v>
      </c>
      <c r="B108" s="295"/>
      <c r="C108" s="411" t="s">
        <v>242</v>
      </c>
      <c r="D108" s="411"/>
      <c r="E108" s="29">
        <v>0</v>
      </c>
      <c r="G108" s="66">
        <v>27</v>
      </c>
      <c r="J108" s="73">
        <v>27</v>
      </c>
      <c r="K108" s="47">
        <f t="shared" si="31"/>
        <v>100</v>
      </c>
      <c r="L108" s="47">
        <f t="shared" si="32"/>
        <v>0</v>
      </c>
      <c r="M108" s="47">
        <f t="shared" si="33"/>
        <v>0</v>
      </c>
      <c r="N108" s="68">
        <f t="shared" si="26"/>
        <v>100</v>
      </c>
      <c r="O108" s="46">
        <v>46.4</v>
      </c>
      <c r="P108" s="47"/>
      <c r="Q108" s="47"/>
      <c r="R108" s="48">
        <f t="shared" si="27"/>
        <v>46.4</v>
      </c>
      <c r="S108" s="29">
        <v>4</v>
      </c>
      <c r="T108" s="286"/>
      <c r="U108" s="295"/>
      <c r="V108" s="38" t="s">
        <v>100</v>
      </c>
      <c r="W108" s="29" t="s">
        <v>74</v>
      </c>
      <c r="X108" s="29" t="s">
        <v>11</v>
      </c>
      <c r="Y108" s="39">
        <v>46.4</v>
      </c>
      <c r="AD108" s="38"/>
      <c r="AG108" s="39"/>
      <c r="AL108" s="38"/>
      <c r="AO108" s="39"/>
      <c r="AP108" s="38"/>
      <c r="AS108" s="39"/>
      <c r="AW108" s="39"/>
      <c r="BA108" s="40"/>
    </row>
    <row r="109" spans="1:53" s="29" customFormat="1" x14ac:dyDescent="0.15">
      <c r="A109" s="29">
        <v>2009</v>
      </c>
      <c r="B109" s="295"/>
      <c r="C109" s="411" t="s">
        <v>242</v>
      </c>
      <c r="D109" s="411"/>
      <c r="E109" s="29">
        <v>365</v>
      </c>
      <c r="G109" s="66">
        <v>27</v>
      </c>
      <c r="J109" s="73">
        <v>27</v>
      </c>
      <c r="K109" s="47">
        <f t="shared" ref="K109:K117" si="34">G109/J109*100</f>
        <v>100</v>
      </c>
      <c r="L109" s="47">
        <f t="shared" si="32"/>
        <v>0</v>
      </c>
      <c r="M109" s="47">
        <f t="shared" si="33"/>
        <v>0</v>
      </c>
      <c r="N109" s="68">
        <f t="shared" si="26"/>
        <v>100</v>
      </c>
      <c r="O109" s="46">
        <v>46.4</v>
      </c>
      <c r="P109" s="47"/>
      <c r="Q109" s="47"/>
      <c r="R109" s="48">
        <f t="shared" si="27"/>
        <v>46.4</v>
      </c>
      <c r="S109" s="29">
        <v>4</v>
      </c>
      <c r="T109" s="286"/>
      <c r="U109" s="295"/>
      <c r="V109" s="38" t="s">
        <v>100</v>
      </c>
      <c r="W109" s="29" t="s">
        <v>74</v>
      </c>
      <c r="X109" s="29" t="s">
        <v>11</v>
      </c>
      <c r="Y109" s="39">
        <v>46.4</v>
      </c>
      <c r="AD109" s="38"/>
      <c r="AG109" s="39"/>
      <c r="AL109" s="38"/>
      <c r="AO109" s="39"/>
      <c r="AP109" s="38"/>
      <c r="AS109" s="39"/>
      <c r="AW109" s="39"/>
      <c r="BA109" s="40"/>
    </row>
    <row r="110" spans="1:53" s="29" customFormat="1" x14ac:dyDescent="0.15">
      <c r="A110" s="29">
        <v>2010</v>
      </c>
      <c r="B110" s="295"/>
      <c r="C110" s="411" t="s">
        <v>242</v>
      </c>
      <c r="D110" s="411"/>
      <c r="E110" s="29">
        <v>0</v>
      </c>
      <c r="G110" s="66">
        <v>27</v>
      </c>
      <c r="J110" s="73">
        <v>27</v>
      </c>
      <c r="K110" s="47">
        <f t="shared" si="34"/>
        <v>100</v>
      </c>
      <c r="L110" s="47">
        <f t="shared" si="32"/>
        <v>0</v>
      </c>
      <c r="M110" s="47">
        <f t="shared" si="33"/>
        <v>0</v>
      </c>
      <c r="N110" s="68">
        <f t="shared" si="26"/>
        <v>100</v>
      </c>
      <c r="O110" s="46">
        <v>46.4</v>
      </c>
      <c r="P110" s="47"/>
      <c r="Q110" s="47"/>
      <c r="R110" s="48">
        <f t="shared" si="27"/>
        <v>46.4</v>
      </c>
      <c r="S110" s="29">
        <v>4</v>
      </c>
      <c r="T110" s="286"/>
      <c r="U110" s="295"/>
      <c r="V110" s="38" t="s">
        <v>100</v>
      </c>
      <c r="W110" s="29" t="s">
        <v>74</v>
      </c>
      <c r="X110" s="29" t="s">
        <v>11</v>
      </c>
      <c r="Y110" s="39">
        <v>46.4</v>
      </c>
      <c r="AD110" s="38"/>
      <c r="AG110" s="39"/>
      <c r="AL110" s="38"/>
      <c r="AO110" s="39"/>
      <c r="AP110" s="38"/>
      <c r="AS110" s="39"/>
      <c r="AW110" s="39"/>
      <c r="BA110" s="40"/>
    </row>
    <row r="111" spans="1:53" s="29" customFormat="1" x14ac:dyDescent="0.15">
      <c r="A111" s="29">
        <v>2010</v>
      </c>
      <c r="B111" s="295"/>
      <c r="C111" s="411" t="s">
        <v>242</v>
      </c>
      <c r="D111" s="411"/>
      <c r="E111" s="29">
        <v>365</v>
      </c>
      <c r="G111" s="66">
        <v>27</v>
      </c>
      <c r="J111" s="73">
        <v>27</v>
      </c>
      <c r="K111" s="47">
        <f t="shared" si="34"/>
        <v>100</v>
      </c>
      <c r="L111" s="47">
        <f t="shared" si="32"/>
        <v>0</v>
      </c>
      <c r="M111" s="47">
        <f t="shared" si="33"/>
        <v>0</v>
      </c>
      <c r="N111" s="68">
        <f t="shared" si="26"/>
        <v>100</v>
      </c>
      <c r="O111" s="46">
        <v>46.4</v>
      </c>
      <c r="P111" s="47"/>
      <c r="Q111" s="47"/>
      <c r="R111" s="48">
        <f t="shared" si="27"/>
        <v>46.4</v>
      </c>
      <c r="S111" s="29">
        <v>4</v>
      </c>
      <c r="T111" s="286"/>
      <c r="U111" s="295"/>
      <c r="V111" s="38" t="s">
        <v>100</v>
      </c>
      <c r="W111" s="29" t="s">
        <v>74</v>
      </c>
      <c r="X111" s="29" t="s">
        <v>11</v>
      </c>
      <c r="Y111" s="39">
        <v>46.4</v>
      </c>
      <c r="AD111" s="38"/>
      <c r="AG111" s="39"/>
      <c r="AL111" s="38"/>
      <c r="AO111" s="39"/>
      <c r="AP111" s="38"/>
      <c r="AS111" s="39"/>
      <c r="AW111" s="39"/>
      <c r="BA111" s="40"/>
    </row>
    <row r="112" spans="1:53" s="29" customFormat="1" x14ac:dyDescent="0.15">
      <c r="A112" s="29">
        <v>2011</v>
      </c>
      <c r="B112" s="295"/>
      <c r="C112" s="411" t="s">
        <v>242</v>
      </c>
      <c r="D112" s="411"/>
      <c r="E112" s="29">
        <v>137</v>
      </c>
      <c r="G112" s="66">
        <v>27</v>
      </c>
      <c r="J112" s="73">
        <v>27</v>
      </c>
      <c r="K112" s="47">
        <f t="shared" si="34"/>
        <v>100</v>
      </c>
      <c r="L112" s="47">
        <f t="shared" ref="L112:L117" si="35">H112/J112*100</f>
        <v>0</v>
      </c>
      <c r="M112" s="47">
        <f t="shared" ref="M112:M117" si="36">I112/J112*100</f>
        <v>0</v>
      </c>
      <c r="N112" s="68">
        <f t="shared" si="26"/>
        <v>100</v>
      </c>
      <c r="O112" s="46">
        <v>46.4</v>
      </c>
      <c r="P112" s="47"/>
      <c r="Q112" s="47"/>
      <c r="R112" s="48">
        <f t="shared" si="27"/>
        <v>46.4</v>
      </c>
      <c r="S112" s="29">
        <v>4</v>
      </c>
      <c r="T112" s="286"/>
      <c r="U112" s="295"/>
      <c r="V112" s="38" t="s">
        <v>100</v>
      </c>
      <c r="W112" s="29" t="s">
        <v>74</v>
      </c>
      <c r="X112" s="29" t="s">
        <v>11</v>
      </c>
      <c r="Y112" s="39">
        <v>46.4</v>
      </c>
      <c r="AD112" s="38"/>
      <c r="AG112" s="39"/>
      <c r="AL112" s="38"/>
      <c r="AO112" s="39"/>
      <c r="AP112" s="38"/>
      <c r="AS112" s="39"/>
      <c r="AW112" s="39"/>
      <c r="BA112" s="40"/>
    </row>
    <row r="113" spans="1:53" s="171" customFormat="1" x14ac:dyDescent="0.15">
      <c r="A113" s="171">
        <v>2011</v>
      </c>
      <c r="B113" s="283">
        <v>40681</v>
      </c>
      <c r="C113" s="410" t="s">
        <v>243</v>
      </c>
      <c r="D113" s="410"/>
      <c r="E113" s="171">
        <v>228</v>
      </c>
      <c r="F113" s="171">
        <v>1</v>
      </c>
      <c r="G113" s="233">
        <v>27</v>
      </c>
      <c r="J113" s="241">
        <v>27</v>
      </c>
      <c r="K113" s="214">
        <f t="shared" si="34"/>
        <v>100</v>
      </c>
      <c r="L113" s="214">
        <f t="shared" si="35"/>
        <v>0</v>
      </c>
      <c r="M113" s="214">
        <f t="shared" si="36"/>
        <v>0</v>
      </c>
      <c r="N113" s="235">
        <f t="shared" si="26"/>
        <v>100</v>
      </c>
      <c r="O113" s="213">
        <v>53.9</v>
      </c>
      <c r="P113" s="214"/>
      <c r="Q113" s="214"/>
      <c r="R113" s="215">
        <f t="shared" si="27"/>
        <v>53.9</v>
      </c>
      <c r="S113" s="171">
        <v>1</v>
      </c>
      <c r="T113" s="285">
        <v>40665</v>
      </c>
      <c r="U113" s="283">
        <v>40681</v>
      </c>
      <c r="V113" s="178" t="s">
        <v>100</v>
      </c>
      <c r="W113" s="171" t="s">
        <v>74</v>
      </c>
      <c r="X113" s="171" t="s">
        <v>11</v>
      </c>
      <c r="Y113" s="179">
        <v>53.9</v>
      </c>
      <c r="AD113" s="178"/>
      <c r="AG113" s="179"/>
      <c r="AL113" s="178"/>
      <c r="AO113" s="179"/>
      <c r="AP113" s="178"/>
      <c r="AS113" s="179"/>
      <c r="AW113" s="179"/>
      <c r="BA113" s="180"/>
    </row>
    <row r="114" spans="1:53" s="171" customFormat="1" x14ac:dyDescent="0.15">
      <c r="A114" s="171">
        <v>2012</v>
      </c>
      <c r="B114" s="283"/>
      <c r="C114" s="410" t="s">
        <v>243</v>
      </c>
      <c r="D114" s="410"/>
      <c r="E114" s="171">
        <v>0</v>
      </c>
      <c r="G114" s="233">
        <v>27</v>
      </c>
      <c r="J114" s="241">
        <v>27</v>
      </c>
      <c r="K114" s="214">
        <f t="shared" si="34"/>
        <v>100</v>
      </c>
      <c r="L114" s="214">
        <f t="shared" si="35"/>
        <v>0</v>
      </c>
      <c r="M114" s="214">
        <f t="shared" si="36"/>
        <v>0</v>
      </c>
      <c r="N114" s="235">
        <f t="shared" si="26"/>
        <v>100</v>
      </c>
      <c r="O114" s="213">
        <v>53.9</v>
      </c>
      <c r="P114" s="214"/>
      <c r="Q114" s="214"/>
      <c r="R114" s="215">
        <f t="shared" si="27"/>
        <v>53.9</v>
      </c>
      <c r="S114" s="171">
        <v>1</v>
      </c>
      <c r="T114" s="285"/>
      <c r="U114" s="283"/>
      <c r="V114" s="178" t="s">
        <v>100</v>
      </c>
      <c r="W114" s="171" t="s">
        <v>74</v>
      </c>
      <c r="X114" s="171" t="s">
        <v>11</v>
      </c>
      <c r="Y114" s="179">
        <v>53.9</v>
      </c>
      <c r="AD114" s="178"/>
      <c r="AG114" s="179"/>
      <c r="AL114" s="178"/>
      <c r="AO114" s="179"/>
      <c r="AP114" s="178"/>
      <c r="AS114" s="179"/>
      <c r="AW114" s="179"/>
      <c r="BA114" s="180"/>
    </row>
    <row r="115" spans="1:53" s="171" customFormat="1" x14ac:dyDescent="0.15">
      <c r="A115" s="171">
        <v>2012</v>
      </c>
      <c r="B115" s="283"/>
      <c r="C115" s="410" t="s">
        <v>243</v>
      </c>
      <c r="D115" s="410"/>
      <c r="E115" s="171">
        <v>366</v>
      </c>
      <c r="G115" s="233">
        <v>27</v>
      </c>
      <c r="J115" s="241">
        <v>27</v>
      </c>
      <c r="K115" s="214">
        <f t="shared" si="34"/>
        <v>100</v>
      </c>
      <c r="L115" s="214">
        <f t="shared" si="35"/>
        <v>0</v>
      </c>
      <c r="M115" s="214">
        <f t="shared" si="36"/>
        <v>0</v>
      </c>
      <c r="N115" s="235">
        <f t="shared" si="26"/>
        <v>100</v>
      </c>
      <c r="O115" s="213">
        <v>53.9</v>
      </c>
      <c r="P115" s="214"/>
      <c r="Q115" s="214"/>
      <c r="R115" s="215">
        <f t="shared" si="27"/>
        <v>53.9</v>
      </c>
      <c r="S115" s="171">
        <v>1</v>
      </c>
      <c r="T115" s="285"/>
      <c r="U115" s="283"/>
      <c r="V115" s="178" t="s">
        <v>100</v>
      </c>
      <c r="W115" s="171" t="s">
        <v>74</v>
      </c>
      <c r="X115" s="171" t="s">
        <v>11</v>
      </c>
      <c r="Y115" s="179">
        <v>53.9</v>
      </c>
      <c r="AD115" s="178"/>
      <c r="AG115" s="179"/>
      <c r="AL115" s="178"/>
      <c r="AO115" s="179"/>
      <c r="AP115" s="178"/>
      <c r="AS115" s="179"/>
      <c r="AW115" s="179"/>
      <c r="BA115" s="180"/>
    </row>
    <row r="116" spans="1:53" s="171" customFormat="1" x14ac:dyDescent="0.15">
      <c r="A116" s="171">
        <v>2013</v>
      </c>
      <c r="B116" s="305"/>
      <c r="C116" s="410" t="s">
        <v>243</v>
      </c>
      <c r="D116" s="410"/>
      <c r="E116" s="171">
        <v>195</v>
      </c>
      <c r="F116" s="244"/>
      <c r="G116" s="233">
        <v>27</v>
      </c>
      <c r="J116" s="241">
        <v>27</v>
      </c>
      <c r="K116" s="214">
        <f t="shared" si="34"/>
        <v>100</v>
      </c>
      <c r="L116" s="214">
        <f t="shared" si="35"/>
        <v>0</v>
      </c>
      <c r="M116" s="214">
        <f t="shared" si="36"/>
        <v>0</v>
      </c>
      <c r="N116" s="235">
        <f t="shared" si="26"/>
        <v>100</v>
      </c>
      <c r="O116" s="213">
        <v>53.9</v>
      </c>
      <c r="P116" s="214"/>
      <c r="Q116" s="214"/>
      <c r="R116" s="215">
        <f t="shared" si="27"/>
        <v>53.9</v>
      </c>
      <c r="S116" s="171">
        <v>1</v>
      </c>
      <c r="T116" s="285"/>
      <c r="U116" s="283"/>
      <c r="V116" s="178" t="s">
        <v>100</v>
      </c>
      <c r="W116" s="171" t="s">
        <v>74</v>
      </c>
      <c r="X116" s="171" t="s">
        <v>11</v>
      </c>
      <c r="Y116" s="179">
        <v>53.9</v>
      </c>
      <c r="AD116" s="178"/>
      <c r="AG116" s="179"/>
      <c r="AL116" s="178"/>
      <c r="AO116" s="179"/>
      <c r="AP116" s="178"/>
      <c r="AS116" s="179"/>
      <c r="AW116" s="179"/>
      <c r="BA116" s="180"/>
    </row>
    <row r="117" spans="1:53" s="171" customFormat="1" x14ac:dyDescent="0.15">
      <c r="A117" s="171">
        <v>2013</v>
      </c>
      <c r="B117" s="305">
        <v>41470</v>
      </c>
      <c r="C117" s="410" t="s">
        <v>243</v>
      </c>
      <c r="D117" s="410"/>
      <c r="E117" s="171">
        <f>365-E116</f>
        <v>170</v>
      </c>
      <c r="F117" s="244">
        <v>0</v>
      </c>
      <c r="G117" s="233">
        <v>27</v>
      </c>
      <c r="J117" s="241">
        <v>27</v>
      </c>
      <c r="K117" s="214">
        <f t="shared" si="34"/>
        <v>100</v>
      </c>
      <c r="L117" s="214">
        <f t="shared" si="35"/>
        <v>0</v>
      </c>
      <c r="M117" s="214">
        <f t="shared" si="36"/>
        <v>0</v>
      </c>
      <c r="N117" s="235">
        <f t="shared" si="26"/>
        <v>100</v>
      </c>
      <c r="O117" s="213">
        <v>53.9</v>
      </c>
      <c r="P117" s="214"/>
      <c r="Q117" s="214"/>
      <c r="R117" s="215">
        <f t="shared" si="27"/>
        <v>53.9</v>
      </c>
      <c r="S117" s="171">
        <v>1</v>
      </c>
      <c r="T117" s="285"/>
      <c r="U117" s="283"/>
      <c r="V117" s="178" t="s">
        <v>100</v>
      </c>
      <c r="W117" s="171" t="s">
        <v>74</v>
      </c>
      <c r="X117" s="171" t="s">
        <v>11</v>
      </c>
      <c r="Y117" s="179">
        <v>53.9</v>
      </c>
      <c r="AD117" s="178"/>
      <c r="AG117" s="179"/>
      <c r="AL117" s="178"/>
      <c r="AO117" s="179"/>
      <c r="AP117" s="178"/>
      <c r="AS117" s="179"/>
      <c r="AW117" s="179"/>
      <c r="BA117" s="180"/>
    </row>
    <row r="118" spans="1:53" s="171" customFormat="1" x14ac:dyDescent="0.15">
      <c r="A118" s="171">
        <v>2014</v>
      </c>
      <c r="B118" s="305"/>
      <c r="C118" s="410" t="s">
        <v>243</v>
      </c>
      <c r="D118" s="410"/>
      <c r="E118" s="171">
        <v>0</v>
      </c>
      <c r="F118" s="244"/>
      <c r="G118" s="233">
        <v>27</v>
      </c>
      <c r="J118" s="241">
        <v>27</v>
      </c>
      <c r="K118" s="214">
        <f>G118/J118*100</f>
        <v>100</v>
      </c>
      <c r="L118" s="214">
        <f>H118/J118*100</f>
        <v>0</v>
      </c>
      <c r="M118" s="214">
        <f>I118/J118*100</f>
        <v>0</v>
      </c>
      <c r="N118" s="235">
        <f>SUM(K118:M118)</f>
        <v>100</v>
      </c>
      <c r="O118" s="213">
        <v>53.9</v>
      </c>
      <c r="P118" s="214"/>
      <c r="Q118" s="214"/>
      <c r="R118" s="215">
        <f>SUM(O118:Q118)</f>
        <v>53.9</v>
      </c>
      <c r="S118" s="171">
        <v>1</v>
      </c>
      <c r="T118" s="285"/>
      <c r="U118" s="283"/>
      <c r="V118" s="178" t="s">
        <v>100</v>
      </c>
      <c r="W118" s="171" t="s">
        <v>74</v>
      </c>
      <c r="X118" s="171" t="s">
        <v>11</v>
      </c>
      <c r="Y118" s="179">
        <v>53.9</v>
      </c>
      <c r="AD118" s="178"/>
      <c r="AG118" s="179"/>
      <c r="AL118" s="178"/>
      <c r="AO118" s="179"/>
      <c r="AP118" s="178"/>
      <c r="AS118" s="179"/>
      <c r="AW118" s="179"/>
      <c r="BA118" s="180"/>
    </row>
    <row r="119" spans="1:53" s="171" customFormat="1" x14ac:dyDescent="0.15">
      <c r="A119" s="171">
        <v>2014</v>
      </c>
      <c r="B119" s="305"/>
      <c r="C119" s="410" t="s">
        <v>243</v>
      </c>
      <c r="D119" s="410"/>
      <c r="E119" s="171">
        <v>365</v>
      </c>
      <c r="F119" s="244"/>
      <c r="G119" s="233">
        <v>27</v>
      </c>
      <c r="J119" s="241">
        <v>27</v>
      </c>
      <c r="K119" s="214">
        <f>G119/J119*100</f>
        <v>100</v>
      </c>
      <c r="L119" s="214">
        <f>H119/J119*100</f>
        <v>0</v>
      </c>
      <c r="M119" s="214">
        <f>I119/J119*100</f>
        <v>0</v>
      </c>
      <c r="N119" s="235">
        <f>SUM(K119:M119)</f>
        <v>100</v>
      </c>
      <c r="O119" s="213">
        <v>53.9</v>
      </c>
      <c r="P119" s="214"/>
      <c r="Q119" s="214"/>
      <c r="R119" s="215">
        <f>SUM(O119:Q119)</f>
        <v>53.9</v>
      </c>
      <c r="S119" s="171">
        <v>1</v>
      </c>
      <c r="T119" s="285"/>
      <c r="U119" s="283"/>
      <c r="V119" s="178" t="s">
        <v>100</v>
      </c>
      <c r="W119" s="171" t="s">
        <v>74</v>
      </c>
      <c r="X119" s="171" t="s">
        <v>11</v>
      </c>
      <c r="Y119" s="179">
        <v>53.9</v>
      </c>
      <c r="AD119" s="178"/>
      <c r="AG119" s="179"/>
      <c r="AL119" s="178"/>
      <c r="AO119" s="179"/>
      <c r="AP119" s="178"/>
      <c r="AS119" s="179"/>
      <c r="AW119" s="179"/>
      <c r="BA119" s="180"/>
    </row>
    <row r="120" spans="1:53" s="171" customFormat="1" x14ac:dyDescent="0.15">
      <c r="A120" s="171">
        <v>2015</v>
      </c>
      <c r="B120" s="305"/>
      <c r="C120" s="410" t="s">
        <v>243</v>
      </c>
      <c r="D120" s="410"/>
      <c r="E120" s="171">
        <v>307</v>
      </c>
      <c r="F120" s="244"/>
      <c r="G120" s="233">
        <v>27</v>
      </c>
      <c r="J120" s="241">
        <v>27</v>
      </c>
      <c r="K120" s="214">
        <f>G120/J120*100</f>
        <v>100</v>
      </c>
      <c r="L120" s="214">
        <f>H120/J120*100</f>
        <v>0</v>
      </c>
      <c r="M120" s="214">
        <f>I120/J120*100</f>
        <v>0</v>
      </c>
      <c r="N120" s="235">
        <f>SUM(K120:M120)</f>
        <v>100</v>
      </c>
      <c r="O120" s="213">
        <v>53.9</v>
      </c>
      <c r="P120" s="214"/>
      <c r="Q120" s="214"/>
      <c r="R120" s="215">
        <f>SUM(O120:Q120)</f>
        <v>53.9</v>
      </c>
      <c r="S120" s="171">
        <v>1</v>
      </c>
      <c r="T120" s="285"/>
      <c r="U120" s="283"/>
      <c r="V120" s="178" t="s">
        <v>100</v>
      </c>
      <c r="W120" s="171" t="s">
        <v>74</v>
      </c>
      <c r="X120" s="171" t="s">
        <v>11</v>
      </c>
      <c r="Y120" s="179">
        <v>53.9</v>
      </c>
      <c r="AD120" s="178"/>
      <c r="AG120" s="179"/>
      <c r="AL120" s="178"/>
      <c r="AO120" s="179"/>
      <c r="AP120" s="178"/>
      <c r="AS120" s="179"/>
      <c r="AW120" s="179"/>
      <c r="BA120" s="180"/>
    </row>
    <row r="121" spans="1:53" s="29" customFormat="1" x14ac:dyDescent="0.15">
      <c r="A121" s="29">
        <v>2015</v>
      </c>
      <c r="B121" s="295">
        <v>42312</v>
      </c>
      <c r="C121" s="411" t="s">
        <v>1446</v>
      </c>
      <c r="D121" s="411"/>
      <c r="E121" s="29">
        <v>58</v>
      </c>
      <c r="F121" s="29">
        <v>1</v>
      </c>
      <c r="G121" s="66"/>
      <c r="H121" s="29">
        <v>31</v>
      </c>
      <c r="J121" s="73">
        <v>31</v>
      </c>
      <c r="K121" s="47">
        <f>G121/J121*100</f>
        <v>0</v>
      </c>
      <c r="L121" s="47">
        <f>H121/J121*100</f>
        <v>100</v>
      </c>
      <c r="M121" s="47">
        <f>I121/J121*100</f>
        <v>0</v>
      </c>
      <c r="N121" s="68">
        <f>SUM(K121:M121)</f>
        <v>100</v>
      </c>
      <c r="O121" s="46"/>
      <c r="P121" s="47">
        <v>54.4</v>
      </c>
      <c r="Q121" s="47"/>
      <c r="R121" s="48">
        <f>SUM(O121:Q121)</f>
        <v>54.4</v>
      </c>
      <c r="S121" s="29">
        <v>1</v>
      </c>
      <c r="T121" s="286">
        <v>42292</v>
      </c>
      <c r="U121" s="295">
        <v>42312</v>
      </c>
      <c r="V121" s="38" t="s">
        <v>72</v>
      </c>
      <c r="W121" s="29" t="s">
        <v>22</v>
      </c>
      <c r="X121" s="29" t="s">
        <v>18</v>
      </c>
      <c r="Y121" s="39">
        <v>54.4</v>
      </c>
      <c r="AC121" s="39"/>
      <c r="AG121" s="39"/>
      <c r="AL121" s="38"/>
      <c r="AO121" s="39"/>
      <c r="AS121" s="39"/>
      <c r="AW121" s="39"/>
      <c r="BA121" s="40"/>
    </row>
    <row r="122" spans="1:53" s="29" customFormat="1" x14ac:dyDescent="0.15">
      <c r="A122" s="29">
        <v>2016</v>
      </c>
      <c r="B122" s="295"/>
      <c r="C122" s="411" t="s">
        <v>1446</v>
      </c>
      <c r="D122" s="411"/>
      <c r="E122" s="29">
        <v>0</v>
      </c>
      <c r="G122" s="66"/>
      <c r="H122" s="29">
        <v>31</v>
      </c>
      <c r="J122" s="73">
        <v>31</v>
      </c>
      <c r="K122" s="47">
        <f t="shared" ref="K122:K127" si="37">G122/J122*100</f>
        <v>0</v>
      </c>
      <c r="L122" s="47">
        <f t="shared" ref="L122:L127" si="38">H122/J122*100</f>
        <v>100</v>
      </c>
      <c r="M122" s="47">
        <f t="shared" ref="M122:M127" si="39">I122/J122*100</f>
        <v>0</v>
      </c>
      <c r="N122" s="68">
        <f t="shared" ref="N122:N127" si="40">SUM(K122:M122)</f>
        <v>100</v>
      </c>
      <c r="O122" s="46"/>
      <c r="P122" s="47">
        <v>54.4</v>
      </c>
      <c r="Q122" s="47"/>
      <c r="R122" s="48">
        <f t="shared" ref="R122:R125" si="41">SUM(O122:Q122)</f>
        <v>54.4</v>
      </c>
      <c r="S122" s="29">
        <v>1</v>
      </c>
      <c r="T122" s="286"/>
      <c r="U122" s="295"/>
      <c r="V122" s="38" t="s">
        <v>72</v>
      </c>
      <c r="W122" s="29" t="s">
        <v>22</v>
      </c>
      <c r="X122" s="29" t="s">
        <v>18</v>
      </c>
      <c r="Y122" s="39">
        <v>54.4</v>
      </c>
      <c r="AC122" s="39"/>
      <c r="AG122" s="39"/>
      <c r="AK122" s="39"/>
      <c r="AO122" s="39"/>
      <c r="AS122" s="39"/>
      <c r="AW122" s="39"/>
      <c r="BA122" s="40"/>
    </row>
    <row r="123" spans="1:53" s="29" customFormat="1" x14ac:dyDescent="0.15">
      <c r="A123" s="29">
        <v>2016</v>
      </c>
      <c r="B123" s="295"/>
      <c r="C123" s="411" t="s">
        <v>1446</v>
      </c>
      <c r="D123" s="411"/>
      <c r="E123" s="29">
        <v>366</v>
      </c>
      <c r="G123" s="66"/>
      <c r="H123" s="29">
        <v>31</v>
      </c>
      <c r="J123" s="73">
        <v>31</v>
      </c>
      <c r="K123" s="47">
        <f t="shared" si="37"/>
        <v>0</v>
      </c>
      <c r="L123" s="47">
        <f t="shared" si="38"/>
        <v>100</v>
      </c>
      <c r="M123" s="47">
        <f t="shared" si="39"/>
        <v>0</v>
      </c>
      <c r="N123" s="68">
        <f t="shared" si="40"/>
        <v>100</v>
      </c>
      <c r="O123" s="46"/>
      <c r="P123" s="47">
        <v>54.4</v>
      </c>
      <c r="Q123" s="47"/>
      <c r="R123" s="48">
        <f t="shared" si="41"/>
        <v>54.4</v>
      </c>
      <c r="S123" s="29">
        <v>1</v>
      </c>
      <c r="T123" s="286"/>
      <c r="U123" s="295"/>
      <c r="V123" s="38" t="s">
        <v>72</v>
      </c>
      <c r="W123" s="29" t="s">
        <v>22</v>
      </c>
      <c r="X123" s="29" t="s">
        <v>18</v>
      </c>
      <c r="Y123" s="39">
        <v>54.4</v>
      </c>
      <c r="AC123" s="39"/>
      <c r="AG123" s="39"/>
      <c r="AK123" s="39"/>
      <c r="AO123" s="39"/>
      <c r="AS123" s="39"/>
      <c r="AW123" s="39"/>
      <c r="BA123" s="40"/>
    </row>
    <row r="124" spans="1:53" s="29" customFormat="1" x14ac:dyDescent="0.15">
      <c r="A124" s="29">
        <v>2017</v>
      </c>
      <c r="B124" s="295"/>
      <c r="C124" s="411" t="s">
        <v>1446</v>
      </c>
      <c r="D124" s="411"/>
      <c r="E124" s="29">
        <v>239</v>
      </c>
      <c r="G124" s="66"/>
      <c r="H124" s="29">
        <v>31</v>
      </c>
      <c r="J124" s="73">
        <v>31</v>
      </c>
      <c r="K124" s="47">
        <f t="shared" si="37"/>
        <v>0</v>
      </c>
      <c r="L124" s="47">
        <f t="shared" si="38"/>
        <v>100</v>
      </c>
      <c r="M124" s="47">
        <f t="shared" si="39"/>
        <v>0</v>
      </c>
      <c r="N124" s="68">
        <f t="shared" si="40"/>
        <v>100</v>
      </c>
      <c r="O124" s="46"/>
      <c r="P124" s="47">
        <v>54.4</v>
      </c>
      <c r="Q124" s="47"/>
      <c r="R124" s="48">
        <f t="shared" si="41"/>
        <v>54.4</v>
      </c>
      <c r="S124" s="29">
        <v>1</v>
      </c>
      <c r="T124" s="286"/>
      <c r="U124" s="295"/>
      <c r="V124" s="38" t="s">
        <v>72</v>
      </c>
      <c r="W124" s="29" t="s">
        <v>22</v>
      </c>
      <c r="X124" s="29" t="s">
        <v>18</v>
      </c>
      <c r="Y124" s="39">
        <v>54.4</v>
      </c>
      <c r="AC124" s="39"/>
      <c r="AG124" s="39"/>
      <c r="AK124" s="39"/>
      <c r="AO124" s="39"/>
      <c r="AS124" s="39"/>
      <c r="AW124" s="39"/>
      <c r="BA124" s="40"/>
    </row>
    <row r="125" spans="1:53" s="29" customFormat="1" x14ac:dyDescent="0.15">
      <c r="A125" s="29">
        <v>2017</v>
      </c>
      <c r="B125" s="307">
        <v>42975</v>
      </c>
      <c r="C125" s="411" t="s">
        <v>1446</v>
      </c>
      <c r="D125" s="411"/>
      <c r="E125" s="29">
        <v>126</v>
      </c>
      <c r="F125" s="121">
        <v>0</v>
      </c>
      <c r="G125" s="66"/>
      <c r="H125" s="29">
        <v>30</v>
      </c>
      <c r="J125" s="73">
        <v>30</v>
      </c>
      <c r="K125" s="47">
        <f t="shared" si="37"/>
        <v>0</v>
      </c>
      <c r="L125" s="47">
        <f t="shared" si="38"/>
        <v>100</v>
      </c>
      <c r="M125" s="47">
        <f t="shared" si="39"/>
        <v>0</v>
      </c>
      <c r="N125" s="68">
        <f t="shared" si="40"/>
        <v>100</v>
      </c>
      <c r="O125" s="46"/>
      <c r="P125" s="47">
        <v>54.4</v>
      </c>
      <c r="Q125" s="47"/>
      <c r="R125" s="48">
        <f t="shared" si="41"/>
        <v>54.4</v>
      </c>
      <c r="S125" s="29">
        <v>1</v>
      </c>
      <c r="T125" s="286"/>
      <c r="U125" s="295"/>
      <c r="V125" s="38" t="s">
        <v>72</v>
      </c>
      <c r="W125" s="29" t="s">
        <v>22</v>
      </c>
      <c r="X125" s="29" t="s">
        <v>18</v>
      </c>
      <c r="Y125" s="39">
        <v>54.4</v>
      </c>
      <c r="AC125" s="39"/>
      <c r="AG125" s="39"/>
      <c r="AK125" s="39"/>
      <c r="AO125" s="39"/>
      <c r="AS125" s="39"/>
      <c r="AW125" s="39"/>
      <c r="BA125" s="40"/>
    </row>
    <row r="126" spans="1:53" s="29" customFormat="1" x14ac:dyDescent="0.15">
      <c r="A126" s="29">
        <v>2018</v>
      </c>
      <c r="B126" s="307"/>
      <c r="C126" s="411" t="s">
        <v>1446</v>
      </c>
      <c r="D126" s="411"/>
      <c r="E126" s="29">
        <v>198</v>
      </c>
      <c r="F126" s="121"/>
      <c r="G126" s="66"/>
      <c r="H126" s="29">
        <v>31</v>
      </c>
      <c r="J126" s="73">
        <v>31</v>
      </c>
      <c r="K126" s="47">
        <f t="shared" si="37"/>
        <v>0</v>
      </c>
      <c r="L126" s="47">
        <f t="shared" si="38"/>
        <v>100</v>
      </c>
      <c r="M126" s="47">
        <f t="shared" si="39"/>
        <v>0</v>
      </c>
      <c r="N126" s="68">
        <f t="shared" si="40"/>
        <v>100</v>
      </c>
      <c r="O126" s="46"/>
      <c r="P126" s="47">
        <v>54.4</v>
      </c>
      <c r="Q126" s="47"/>
      <c r="R126" s="48">
        <f t="shared" ref="R126:R127" si="42">SUM(O126:Q126)</f>
        <v>54.4</v>
      </c>
      <c r="S126" s="29">
        <v>1</v>
      </c>
      <c r="T126" s="286"/>
      <c r="U126" s="295"/>
      <c r="V126" s="38" t="s">
        <v>72</v>
      </c>
      <c r="W126" s="29" t="s">
        <v>22</v>
      </c>
      <c r="X126" s="29" t="s">
        <v>18</v>
      </c>
      <c r="Y126" s="39">
        <v>54.4</v>
      </c>
      <c r="AC126" s="39"/>
      <c r="AG126" s="39"/>
      <c r="AK126" s="39"/>
      <c r="AO126" s="39"/>
      <c r="AS126" s="39"/>
      <c r="AW126" s="39"/>
      <c r="BA126" s="40"/>
    </row>
    <row r="127" spans="1:53" s="29" customFormat="1" x14ac:dyDescent="0.15">
      <c r="A127" s="29">
        <v>2018</v>
      </c>
      <c r="B127" s="307">
        <v>43299</v>
      </c>
      <c r="C127" s="411" t="s">
        <v>1446</v>
      </c>
      <c r="D127" s="411"/>
      <c r="E127" s="29">
        <v>167</v>
      </c>
      <c r="F127" s="121">
        <v>0</v>
      </c>
      <c r="G127" s="66"/>
      <c r="H127" s="29">
        <v>35</v>
      </c>
      <c r="J127" s="73">
        <v>35</v>
      </c>
      <c r="K127" s="47">
        <f t="shared" si="37"/>
        <v>0</v>
      </c>
      <c r="L127" s="47">
        <f t="shared" si="38"/>
        <v>100</v>
      </c>
      <c r="M127" s="47">
        <f t="shared" si="39"/>
        <v>0</v>
      </c>
      <c r="N127" s="68">
        <f t="shared" si="40"/>
        <v>100</v>
      </c>
      <c r="O127" s="46"/>
      <c r="P127" s="47">
        <v>54.4</v>
      </c>
      <c r="Q127" s="47"/>
      <c r="R127" s="48">
        <f t="shared" si="42"/>
        <v>54.4</v>
      </c>
      <c r="S127" s="29">
        <v>1</v>
      </c>
      <c r="T127" s="286"/>
      <c r="U127" s="295"/>
      <c r="V127" s="38" t="s">
        <v>72</v>
      </c>
      <c r="W127" s="29" t="s">
        <v>22</v>
      </c>
      <c r="X127" s="29" t="s">
        <v>18</v>
      </c>
      <c r="Y127" s="39">
        <v>54.4</v>
      </c>
      <c r="AC127" s="39"/>
      <c r="AG127" s="39"/>
      <c r="AK127" s="39"/>
      <c r="AO127" s="39"/>
      <c r="AS127" s="39"/>
      <c r="AW127" s="39"/>
      <c r="BA127" s="40"/>
    </row>
    <row r="128" spans="1:53" s="29" customFormat="1" x14ac:dyDescent="0.15">
      <c r="A128" s="29">
        <v>2019</v>
      </c>
      <c r="B128" s="307"/>
      <c r="C128" s="411" t="s">
        <v>1446</v>
      </c>
      <c r="D128" s="411"/>
      <c r="E128" s="29">
        <v>323</v>
      </c>
      <c r="F128" s="121"/>
      <c r="G128" s="66"/>
      <c r="H128" s="29">
        <v>35</v>
      </c>
      <c r="J128" s="73">
        <v>35</v>
      </c>
      <c r="K128" s="47">
        <f t="shared" ref="K128:K131" si="43">G128/J128*100</f>
        <v>0</v>
      </c>
      <c r="L128" s="47">
        <f t="shared" ref="L128:L131" si="44">H128/J128*100</f>
        <v>100</v>
      </c>
      <c r="M128" s="47">
        <f t="shared" ref="M128:M131" si="45">I128/J128*100</f>
        <v>0</v>
      </c>
      <c r="N128" s="68">
        <f t="shared" ref="N128:N131" si="46">SUM(K128:M128)</f>
        <v>100</v>
      </c>
      <c r="O128" s="46"/>
      <c r="P128" s="47">
        <v>54.4</v>
      </c>
      <c r="Q128" s="47"/>
      <c r="R128" s="48">
        <f t="shared" ref="R128:R131" si="47">SUM(O128:Q128)</f>
        <v>54.4</v>
      </c>
      <c r="S128" s="29">
        <v>1</v>
      </c>
      <c r="T128" s="286"/>
      <c r="U128" s="295"/>
      <c r="V128" s="38" t="s">
        <v>72</v>
      </c>
      <c r="W128" s="29" t="s">
        <v>22</v>
      </c>
      <c r="X128" s="29" t="s">
        <v>18</v>
      </c>
      <c r="Y128" s="39">
        <v>54.4</v>
      </c>
      <c r="AC128" s="39"/>
      <c r="AG128" s="39"/>
      <c r="AK128" s="39"/>
      <c r="AO128" s="39"/>
      <c r="AS128" s="39"/>
      <c r="AW128" s="39"/>
      <c r="BA128" s="40"/>
    </row>
    <row r="129" spans="1:53" s="171" customFormat="1" x14ac:dyDescent="0.15">
      <c r="A129" s="171">
        <v>2019</v>
      </c>
      <c r="B129" s="306">
        <v>43789</v>
      </c>
      <c r="C129" s="410" t="s">
        <v>1447</v>
      </c>
      <c r="D129" s="410"/>
      <c r="E129" s="171">
        <v>42</v>
      </c>
      <c r="F129" s="191">
        <v>1</v>
      </c>
      <c r="G129" s="233"/>
      <c r="H129" s="171">
        <v>37</v>
      </c>
      <c r="J129" s="241">
        <v>37</v>
      </c>
      <c r="K129" s="214">
        <f t="shared" si="43"/>
        <v>0</v>
      </c>
      <c r="L129" s="214">
        <f t="shared" si="44"/>
        <v>100</v>
      </c>
      <c r="M129" s="214">
        <f t="shared" si="45"/>
        <v>0</v>
      </c>
      <c r="N129" s="235">
        <f t="shared" si="46"/>
        <v>100</v>
      </c>
      <c r="O129" s="213"/>
      <c r="P129" s="214">
        <v>46.4</v>
      </c>
      <c r="Q129" s="214"/>
      <c r="R129" s="215">
        <f t="shared" si="47"/>
        <v>46.4</v>
      </c>
      <c r="S129" s="171">
        <v>4</v>
      </c>
      <c r="T129" s="285">
        <v>43759</v>
      </c>
      <c r="U129" s="283">
        <v>43789</v>
      </c>
      <c r="V129" s="178" t="s">
        <v>72</v>
      </c>
      <c r="W129" s="171" t="s">
        <v>22</v>
      </c>
      <c r="X129" s="171" t="s">
        <v>18</v>
      </c>
      <c r="Y129" s="179">
        <v>46.4</v>
      </c>
      <c r="AC129" s="179"/>
      <c r="AG129" s="179"/>
      <c r="AK129" s="179"/>
      <c r="AO129" s="179"/>
      <c r="AS129" s="179"/>
      <c r="AW129" s="179"/>
      <c r="BA129" s="180"/>
    </row>
    <row r="130" spans="1:53" s="171" customFormat="1" x14ac:dyDescent="0.15">
      <c r="A130" s="171">
        <v>2020</v>
      </c>
      <c r="B130" s="306"/>
      <c r="C130" s="410" t="s">
        <v>1447</v>
      </c>
      <c r="D130" s="410"/>
      <c r="E130" s="171">
        <v>229</v>
      </c>
      <c r="F130" s="338"/>
      <c r="H130" s="171">
        <v>37</v>
      </c>
      <c r="J130" s="241">
        <v>37</v>
      </c>
      <c r="K130" s="214">
        <f t="shared" si="43"/>
        <v>0</v>
      </c>
      <c r="L130" s="214">
        <f t="shared" si="44"/>
        <v>100</v>
      </c>
      <c r="M130" s="214">
        <f t="shared" si="45"/>
        <v>0</v>
      </c>
      <c r="N130" s="215">
        <f t="shared" si="46"/>
        <v>100</v>
      </c>
      <c r="O130" s="214"/>
      <c r="P130" s="214">
        <v>46.4</v>
      </c>
      <c r="Q130" s="214"/>
      <c r="R130" s="215">
        <f t="shared" si="47"/>
        <v>46.4</v>
      </c>
      <c r="S130" s="190">
        <v>4</v>
      </c>
      <c r="T130" s="285"/>
      <c r="U130" s="283"/>
      <c r="V130" s="178" t="s">
        <v>72</v>
      </c>
      <c r="W130" s="171" t="s">
        <v>22</v>
      </c>
      <c r="X130" s="171" t="s">
        <v>18</v>
      </c>
      <c r="Y130" s="179">
        <v>46.4</v>
      </c>
      <c r="AC130" s="179"/>
      <c r="AG130" s="179"/>
      <c r="AK130" s="179"/>
      <c r="AO130" s="179"/>
      <c r="AS130" s="179"/>
      <c r="AW130" s="179"/>
      <c r="BA130" s="180"/>
    </row>
    <row r="131" spans="1:53" s="171" customFormat="1" x14ac:dyDescent="0.15">
      <c r="A131" s="171">
        <v>2020</v>
      </c>
      <c r="B131" s="305">
        <v>44060</v>
      </c>
      <c r="C131" s="410" t="s">
        <v>1447</v>
      </c>
      <c r="D131" s="410"/>
      <c r="E131" s="171">
        <v>137</v>
      </c>
      <c r="F131" s="247">
        <v>0</v>
      </c>
      <c r="H131" s="171">
        <v>36</v>
      </c>
      <c r="J131" s="241">
        <v>36</v>
      </c>
      <c r="K131" s="214">
        <f t="shared" si="43"/>
        <v>0</v>
      </c>
      <c r="L131" s="214">
        <f t="shared" si="44"/>
        <v>100</v>
      </c>
      <c r="M131" s="214">
        <f t="shared" si="45"/>
        <v>0</v>
      </c>
      <c r="N131" s="215">
        <f t="shared" si="46"/>
        <v>100</v>
      </c>
      <c r="O131" s="214"/>
      <c r="P131" s="214">
        <v>46.4</v>
      </c>
      <c r="Q131" s="214"/>
      <c r="R131" s="215">
        <f t="shared" si="47"/>
        <v>46.4</v>
      </c>
      <c r="S131" s="190">
        <v>4</v>
      </c>
      <c r="T131" s="285"/>
      <c r="U131" s="283"/>
      <c r="V131" s="178" t="s">
        <v>72</v>
      </c>
      <c r="W131" s="171" t="s">
        <v>22</v>
      </c>
      <c r="X131" s="171" t="s">
        <v>18</v>
      </c>
      <c r="Y131" s="179">
        <v>46.4</v>
      </c>
      <c r="AC131" s="346"/>
      <c r="AG131" s="179"/>
      <c r="AK131" s="179"/>
      <c r="AO131" s="179"/>
      <c r="AS131" s="179"/>
      <c r="AW131" s="179"/>
      <c r="BA131" s="180"/>
    </row>
    <row r="132" spans="1:53" x14ac:dyDescent="0.15">
      <c r="AC132" s="17"/>
      <c r="AO132" s="17"/>
      <c r="AW132" s="17"/>
    </row>
    <row r="134" spans="1:53" ht="18" customHeight="1" x14ac:dyDescent="0.15">
      <c r="B134" s="16" t="s">
        <v>1264</v>
      </c>
    </row>
    <row r="135" spans="1:53" ht="9" customHeight="1" x14ac:dyDescent="0.15"/>
    <row r="136" spans="1:53" s="195" customFormat="1" ht="9" customHeight="1" x14ac:dyDescent="0.15">
      <c r="A136" s="193"/>
      <c r="B136" s="194" t="s">
        <v>1215</v>
      </c>
      <c r="C136" s="194"/>
      <c r="D136" s="194"/>
      <c r="E136" s="194"/>
      <c r="F136" s="194"/>
      <c r="G136" s="194" t="s">
        <v>1216</v>
      </c>
      <c r="H136" s="194"/>
      <c r="I136" s="194"/>
      <c r="J136" s="194"/>
      <c r="K136" s="194"/>
      <c r="L136" s="194"/>
      <c r="M136" s="194"/>
      <c r="N136" s="194"/>
      <c r="R136" s="388" t="s">
        <v>1217</v>
      </c>
      <c r="S136" s="388"/>
      <c r="T136" s="388"/>
      <c r="U136" s="388"/>
      <c r="V136" s="388"/>
      <c r="W136" s="388"/>
      <c r="X136" s="196"/>
      <c r="Y136" s="196"/>
      <c r="AA136" s="196"/>
      <c r="AB136" s="196"/>
      <c r="AC136" s="196"/>
      <c r="AD136" s="196"/>
    </row>
    <row r="137" spans="1:53" s="200" customFormat="1" ht="9" customHeight="1" x14ac:dyDescent="0.15">
      <c r="A137" s="197"/>
      <c r="B137" s="198" t="s">
        <v>1219</v>
      </c>
      <c r="C137" s="199"/>
      <c r="D137" s="199"/>
      <c r="E137" s="199"/>
      <c r="F137" s="199"/>
      <c r="G137" s="198" t="s">
        <v>1218</v>
      </c>
      <c r="H137" s="199"/>
      <c r="I137" s="199"/>
      <c r="J137" s="199"/>
      <c r="K137" s="199"/>
      <c r="L137" s="199"/>
      <c r="M137" s="199"/>
      <c r="N137" s="199"/>
      <c r="R137" s="201" t="s">
        <v>1220</v>
      </c>
      <c r="S137" s="202"/>
      <c r="T137" s="203"/>
      <c r="U137" s="203"/>
      <c r="V137" s="203"/>
      <c r="W137" s="201" t="s">
        <v>1221</v>
      </c>
      <c r="X137" s="203"/>
      <c r="Y137" s="203"/>
      <c r="AA137" s="203"/>
      <c r="AB137" s="203"/>
      <c r="AC137" s="203"/>
      <c r="AD137" s="203"/>
    </row>
    <row r="138" spans="1:53" s="186" customFormat="1" ht="12" customHeight="1" x14ac:dyDescent="0.15">
      <c r="A138" s="204" t="s">
        <v>3</v>
      </c>
      <c r="B138" s="205" t="s">
        <v>8</v>
      </c>
      <c r="C138" s="205" t="s">
        <v>9</v>
      </c>
      <c r="D138" s="205" t="s">
        <v>10</v>
      </c>
      <c r="E138" s="206" t="s">
        <v>1195</v>
      </c>
      <c r="F138" s="205"/>
      <c r="G138" s="186" t="s">
        <v>3</v>
      </c>
      <c r="H138" s="389" t="s">
        <v>0</v>
      </c>
      <c r="I138" s="389"/>
      <c r="J138" s="389" t="s">
        <v>1</v>
      </c>
      <c r="K138" s="389"/>
      <c r="L138" s="389" t="s">
        <v>2</v>
      </c>
      <c r="M138" s="389"/>
      <c r="N138" s="390" t="s">
        <v>1195</v>
      </c>
      <c r="O138" s="390"/>
      <c r="P138" s="207"/>
      <c r="Q138" s="207"/>
      <c r="R138" s="208" t="s">
        <v>3</v>
      </c>
      <c r="S138" s="209" t="s">
        <v>135</v>
      </c>
      <c r="T138" s="207" t="s">
        <v>133</v>
      </c>
      <c r="U138" s="205" t="s">
        <v>134</v>
      </c>
      <c r="V138" s="207"/>
      <c r="W138" s="210" t="s">
        <v>26</v>
      </c>
    </row>
    <row r="139" spans="1:53" s="140" customFormat="1" x14ac:dyDescent="0.15">
      <c r="A139" s="146">
        <v>1959</v>
      </c>
      <c r="B139" s="143">
        <f>(K6*($E6/365))+(K7*($E7/365))</f>
        <v>100</v>
      </c>
      <c r="C139" s="143">
        <f>(L6*($E6/365))+(L7*($E7/365))</f>
        <v>0</v>
      </c>
      <c r="D139" s="143">
        <f>(M6*($E6/365))+(M7*($E7/365))</f>
        <v>0</v>
      </c>
      <c r="E139" s="144">
        <f>B139+C139+D139</f>
        <v>100</v>
      </c>
      <c r="G139" s="146">
        <v>1959</v>
      </c>
      <c r="H139" s="422">
        <f>(O6/$R6*100*($E6/365))+(O7/$R7*100*($E7/365))</f>
        <v>100</v>
      </c>
      <c r="I139" s="422"/>
      <c r="J139" s="422">
        <f>(P6/$R6*100*($E6/365))+(P7/$R7*100*($E7/365))</f>
        <v>0</v>
      </c>
      <c r="K139" s="422"/>
      <c r="L139" s="422">
        <f>(Q6/$R6*100*($E6/365))+(Q7/$R7*100*($E7/365))</f>
        <v>0</v>
      </c>
      <c r="M139" s="422"/>
      <c r="N139" s="423">
        <f>H139+J139+K139</f>
        <v>100</v>
      </c>
      <c r="O139" s="423"/>
      <c r="R139" s="146">
        <v>1959</v>
      </c>
      <c r="S139" s="143">
        <f>(O6*($E6/365))+(O7*($E7/365))</f>
        <v>78.5</v>
      </c>
      <c r="T139" s="143">
        <f>(P6*($E6/365))+(P7*($E7/365))</f>
        <v>0</v>
      </c>
      <c r="U139" s="143">
        <f>(Q6*($E6/365))+(Q7*($E7/365))</f>
        <v>0</v>
      </c>
      <c r="V139" s="153"/>
      <c r="W139" s="143">
        <f>S139+T139+U139</f>
        <v>78.5</v>
      </c>
      <c r="X139" s="145"/>
    </row>
    <row r="140" spans="1:53" x14ac:dyDescent="0.15">
      <c r="A140" s="14">
        <v>1960</v>
      </c>
      <c r="B140" s="5">
        <f>(K8*($E8/366))+(K9*($E9/366))</f>
        <v>100</v>
      </c>
      <c r="C140" s="5">
        <f>(L8*($E8/366))+(L9*($E9/366))</f>
        <v>0</v>
      </c>
      <c r="D140" s="5">
        <f>(M8*($E8/366))+(M9*($E9/366))</f>
        <v>0</v>
      </c>
      <c r="E140" s="18">
        <f t="shared" ref="E140:E170" si="48">SUM(B140:D140)</f>
        <v>100</v>
      </c>
      <c r="G140" s="14">
        <v>1960</v>
      </c>
      <c r="H140" s="380">
        <f>(O8/$R8*100*($E8/366))+(O9/$R9*100*($E9/366))</f>
        <v>100</v>
      </c>
      <c r="I140" s="380"/>
      <c r="J140" s="380">
        <f>(P8/$R8*100*($E8/366))+(P9/$R9*100*($E9/366))</f>
        <v>0</v>
      </c>
      <c r="K140" s="380"/>
      <c r="L140" s="380">
        <f>(Q8/$R8*100*($E8/366))+(Q9/$R9*100*($E9/366))</f>
        <v>0</v>
      </c>
      <c r="M140" s="380"/>
      <c r="N140" s="379">
        <f>SUM(H140:M140)</f>
        <v>100</v>
      </c>
      <c r="O140" s="379"/>
      <c r="R140" s="14">
        <v>1960</v>
      </c>
      <c r="S140" s="5">
        <f>(O8*($E8/366))+(O9*($E9/366))</f>
        <v>78.5</v>
      </c>
      <c r="T140" s="5">
        <f>(P8*($E8/366))+(P9*($E9/366))</f>
        <v>0</v>
      </c>
      <c r="U140" s="5">
        <f>(Q8*($E8/366))+(Q9*($E9/366))</f>
        <v>0</v>
      </c>
      <c r="V140" s="9"/>
      <c r="W140" s="5">
        <f>R8*(E8/366) + R9*(E9/366)</f>
        <v>78.5</v>
      </c>
      <c r="X140" s="4"/>
    </row>
    <row r="141" spans="1:53" x14ac:dyDescent="0.15">
      <c r="A141" s="14">
        <v>1961</v>
      </c>
      <c r="B141" s="5">
        <f>(K10*($E10/365))+(K11*($E11/365))</f>
        <v>100</v>
      </c>
      <c r="C141" s="5">
        <f>(L10*($E10/365))+(L11*($E11/365))</f>
        <v>0</v>
      </c>
      <c r="D141" s="5">
        <f>(M10*($E10/365))+(M11*($E11/365))</f>
        <v>0</v>
      </c>
      <c r="E141" s="18">
        <f t="shared" si="48"/>
        <v>100</v>
      </c>
      <c r="G141" s="14">
        <v>1961</v>
      </c>
      <c r="H141" s="380">
        <f>(O10/$R10*100*($E10/365))+(O11/$R11*100*($E11/365))</f>
        <v>100</v>
      </c>
      <c r="I141" s="380"/>
      <c r="J141" s="380">
        <f>(P10/$R10*100*($E10/365))+(P11/$R11*100*($E11/365))</f>
        <v>0</v>
      </c>
      <c r="K141" s="380"/>
      <c r="L141" s="380">
        <f>(Q10/$R10*100*($E10/365))+(Q11/$R11*100*($E11/365))</f>
        <v>0</v>
      </c>
      <c r="M141" s="380"/>
      <c r="N141" s="379">
        <f>SUM(H141:M141)</f>
        <v>100</v>
      </c>
      <c r="O141" s="379"/>
      <c r="R141" s="14">
        <v>1961</v>
      </c>
      <c r="S141" s="5">
        <f>(O10*($E10/365))+(O11*($E11/365))</f>
        <v>78.5</v>
      </c>
      <c r="T141" s="5">
        <f>(P10*($E10/365))+(P11*($E11/365))</f>
        <v>0</v>
      </c>
      <c r="U141" s="5">
        <f>(Q10*($E10/365))+(Q11*($E11/365))</f>
        <v>0</v>
      </c>
      <c r="V141" s="9"/>
      <c r="W141" s="5">
        <f>R10*(E10/365) + R11*(E11/365)</f>
        <v>78.5</v>
      </c>
      <c r="X141" s="4"/>
    </row>
    <row r="142" spans="1:53" x14ac:dyDescent="0.15">
      <c r="A142" s="14">
        <v>1962</v>
      </c>
      <c r="B142" s="5">
        <f>(K12*($E12/365))+(K13*($E13/365))</f>
        <v>100</v>
      </c>
      <c r="C142" s="5">
        <f>(L12*($E12/365))+(L13*($E13/365))</f>
        <v>0</v>
      </c>
      <c r="D142" s="5">
        <f>(M12*($E12/365))+(M13*($E13/365))</f>
        <v>0</v>
      </c>
      <c r="E142" s="18">
        <f t="shared" si="48"/>
        <v>100</v>
      </c>
      <c r="G142" s="14">
        <v>1962</v>
      </c>
      <c r="H142" s="380">
        <f>(O12/$R12*100*($E12/365))+(O13/$R13*100*($E13/365))</f>
        <v>100</v>
      </c>
      <c r="I142" s="380"/>
      <c r="J142" s="380">
        <f>(P12/$R12*100*($E12/365))+(P13/$R13*100*($E13/365))</f>
        <v>0</v>
      </c>
      <c r="K142" s="380"/>
      <c r="L142" s="380">
        <f>(Q12/$R12*100*($E12/365))+(Q13/$R13*100*($E13/365))</f>
        <v>0</v>
      </c>
      <c r="M142" s="380"/>
      <c r="N142" s="379">
        <f t="shared" ref="N142:N192" si="49">SUM(H142:M142)</f>
        <v>100</v>
      </c>
      <c r="O142" s="379"/>
      <c r="R142" s="14">
        <v>1962</v>
      </c>
      <c r="S142" s="5">
        <f>(O12*($E12/365))+(O13*($E13/365))</f>
        <v>64.715068493150682</v>
      </c>
      <c r="T142" s="5">
        <f>(P12*($E12/365))+(P13*($E13/365))</f>
        <v>0</v>
      </c>
      <c r="U142" s="5">
        <f>(Q12*($E12/365))+(Q13*($E13/365))</f>
        <v>0</v>
      </c>
      <c r="V142" s="9"/>
      <c r="W142" s="5">
        <f>R12*(E12/365) + R13*(E13/365)</f>
        <v>64.715068493150682</v>
      </c>
      <c r="X142" s="4"/>
    </row>
    <row r="143" spans="1:53" x14ac:dyDescent="0.15">
      <c r="A143" s="14">
        <v>1963</v>
      </c>
      <c r="B143" s="5">
        <f>(K14*($E14/365))+(K15*($E15/365))</f>
        <v>30.410958904109592</v>
      </c>
      <c r="C143" s="5">
        <f>(L14*($E14/365))+(L15*($E15/365))</f>
        <v>69.589041095890408</v>
      </c>
      <c r="D143" s="5">
        <f>(M14*($E14/365))+(M15*($E15/365))</f>
        <v>0</v>
      </c>
      <c r="E143" s="18">
        <f t="shared" si="48"/>
        <v>100</v>
      </c>
      <c r="G143" s="14">
        <v>1963</v>
      </c>
      <c r="H143" s="380">
        <f>(O14/$R14*100*($E14/365))+(O15/$R15*100*($E15/365))</f>
        <v>30.410958904109592</v>
      </c>
      <c r="I143" s="380"/>
      <c r="J143" s="380">
        <f>(P14/$R14*100*($E14/365))+(P15/$R15*100*($E15/365))</f>
        <v>69.589041095890408</v>
      </c>
      <c r="K143" s="380"/>
      <c r="L143" s="380">
        <f>(Q14/$R14*100*($E14/365))+(Q15/$R15*100*($E15/365))</f>
        <v>0</v>
      </c>
      <c r="M143" s="380"/>
      <c r="N143" s="379">
        <f t="shared" si="49"/>
        <v>100</v>
      </c>
      <c r="O143" s="379"/>
      <c r="R143" s="14">
        <v>1963</v>
      </c>
      <c r="S143" s="5">
        <f>(O14*($E14/365))+(O15*($E15/365))</f>
        <v>13.32</v>
      </c>
      <c r="T143" s="5">
        <f>(P14*($E14/365))+(P15*($E15/365))</f>
        <v>33.889863013698637</v>
      </c>
      <c r="U143" s="5">
        <f>(Q14*($E14/365))+(Q15*($E15/365))</f>
        <v>0</v>
      </c>
      <c r="V143" s="9"/>
      <c r="W143" s="5">
        <f>R14*(E14/365) + R15*(E15/365)</f>
        <v>47.209863013698637</v>
      </c>
      <c r="X143" s="4"/>
    </row>
    <row r="144" spans="1:53" x14ac:dyDescent="0.15">
      <c r="A144" s="14">
        <v>1964</v>
      </c>
      <c r="B144" s="5">
        <f>(K16*($E16/366))+(K17*($E17/366))</f>
        <v>0</v>
      </c>
      <c r="C144" s="5">
        <f>(L16*($E16/366))+(L17*($E17/366))</f>
        <v>100</v>
      </c>
      <c r="D144" s="5">
        <f>(M16*($E16/366))+(M17*($E17/366))</f>
        <v>0</v>
      </c>
      <c r="E144" s="18">
        <f t="shared" si="48"/>
        <v>100</v>
      </c>
      <c r="G144" s="14">
        <v>1964</v>
      </c>
      <c r="H144" s="380">
        <f>(O16/$R16*100*($E16/366))+(O17/$R17*100*($E17/366))</f>
        <v>0</v>
      </c>
      <c r="I144" s="380"/>
      <c r="J144" s="380">
        <f>(P16/$R16*100*($E16/366))+(P17/$R17*100*($E17/366))</f>
        <v>100</v>
      </c>
      <c r="K144" s="380"/>
      <c r="L144" s="380">
        <f>(Q16/$R16*100*($E16/366))+(Q17/$R17*100*($E17/366))</f>
        <v>0</v>
      </c>
      <c r="M144" s="380"/>
      <c r="N144" s="379">
        <f t="shared" si="49"/>
        <v>100</v>
      </c>
      <c r="O144" s="379"/>
      <c r="R144" s="14">
        <v>1964</v>
      </c>
      <c r="S144" s="5">
        <f>(O16*($E16/366))+(O17*($E17/366))</f>
        <v>0</v>
      </c>
      <c r="T144" s="5">
        <f>(P16*($E16/366))+(P17*($E17/366))</f>
        <v>48.7</v>
      </c>
      <c r="U144" s="5">
        <f>(Q16*($E16/366))+(Q17*($E17/366))</f>
        <v>0</v>
      </c>
      <c r="V144" s="9"/>
      <c r="W144" s="5">
        <f>R16*(E16/366) + R17*(E17/366)</f>
        <v>48.7</v>
      </c>
      <c r="X144" s="4"/>
    </row>
    <row r="145" spans="1:24" x14ac:dyDescent="0.15">
      <c r="A145" s="14">
        <v>1965</v>
      </c>
      <c r="B145" s="5">
        <f>(K18*($E18/365))+(K19*($E19/365))</f>
        <v>0</v>
      </c>
      <c r="C145" s="5">
        <f>(L18*($E18/365))+(L19*($E19/365))</f>
        <v>100.00000000000001</v>
      </c>
      <c r="D145" s="5">
        <f>(M18*($E18/365))+(M19*($E19/365))</f>
        <v>0</v>
      </c>
      <c r="E145" s="18">
        <f t="shared" si="48"/>
        <v>100.00000000000001</v>
      </c>
      <c r="G145" s="14">
        <v>1965</v>
      </c>
      <c r="H145" s="380">
        <f>(O18/$R18*100*($E18/365))+(O19/$R19*100*($E19/365))</f>
        <v>0</v>
      </c>
      <c r="I145" s="380"/>
      <c r="J145" s="380">
        <f>(P18/$R18*100*($E18/365))+(P19/$R19*100*($E19/365))</f>
        <v>100.00000000000001</v>
      </c>
      <c r="K145" s="380"/>
      <c r="L145" s="380">
        <f>(Q18/$R18*100*($E18/365))+(Q19/$R19*100*($E19/365))</f>
        <v>0</v>
      </c>
      <c r="M145" s="380"/>
      <c r="N145" s="379">
        <f t="shared" si="49"/>
        <v>100.00000000000001</v>
      </c>
      <c r="O145" s="379"/>
      <c r="R145" s="14">
        <v>1965</v>
      </c>
      <c r="S145" s="5">
        <f>(O18*($E18/365))+(O19*($E19/365))</f>
        <v>0</v>
      </c>
      <c r="T145" s="5">
        <f>(P18*($E18/365))+(P19*($E19/365))</f>
        <v>48.726849315068499</v>
      </c>
      <c r="U145" s="5">
        <f>(Q18*($E18/365))+(Q19*($E19/365))</f>
        <v>0</v>
      </c>
      <c r="V145" s="9"/>
      <c r="W145" s="5">
        <f>R18*(E18/365) + R19*(E19/365)</f>
        <v>48.726849315068499</v>
      </c>
      <c r="X145" s="4"/>
    </row>
    <row r="146" spans="1:24" x14ac:dyDescent="0.15">
      <c r="A146" s="14">
        <v>1966</v>
      </c>
      <c r="B146" s="5">
        <f>(K20*($E20/365))+(K21*($E21/365))</f>
        <v>0</v>
      </c>
      <c r="C146" s="5">
        <f>(L20*($E20/365))+(L21*($E21/365))</f>
        <v>100</v>
      </c>
      <c r="D146" s="5">
        <f>(M20*($E20/365))+(M21*($E21/365))</f>
        <v>0</v>
      </c>
      <c r="E146" s="18">
        <f t="shared" si="48"/>
        <v>100</v>
      </c>
      <c r="G146" s="14">
        <v>1966</v>
      </c>
      <c r="H146" s="380">
        <f>(O20/$R20*100*($E20/365))+(O21/$R21*100*($E21/365))</f>
        <v>0</v>
      </c>
      <c r="I146" s="380"/>
      <c r="J146" s="380">
        <f>(P20/$R20*100*($E20/365))+(P21/$R21*100*($E21/365))</f>
        <v>100</v>
      </c>
      <c r="K146" s="380"/>
      <c r="L146" s="380">
        <f>(Q20/$R20*100*($E20/365))+(Q21/$R21*100*($E21/365))</f>
        <v>0</v>
      </c>
      <c r="M146" s="380"/>
      <c r="N146" s="379">
        <f t="shared" si="49"/>
        <v>100</v>
      </c>
      <c r="O146" s="379"/>
      <c r="R146" s="14">
        <v>1966</v>
      </c>
      <c r="S146" s="5">
        <f>(O20*($E20/365))+(O21*($E21/365))</f>
        <v>0</v>
      </c>
      <c r="T146" s="5">
        <f>(P20*($E20/365))+(P21*($E21/365))</f>
        <v>49.4</v>
      </c>
      <c r="U146" s="5">
        <f>(Q20*($E20/365))+(Q21*($E21/365))</f>
        <v>0</v>
      </c>
      <c r="V146" s="9"/>
      <c r="W146" s="5">
        <f>R20*(E20/365) + R21*(E21/365)</f>
        <v>49.4</v>
      </c>
      <c r="X146" s="4"/>
    </row>
    <row r="147" spans="1:24" x14ac:dyDescent="0.15">
      <c r="A147" s="14">
        <v>1967</v>
      </c>
      <c r="B147" s="5">
        <f>(K22*($E22/365))+(K23*($E23/365))</f>
        <v>0</v>
      </c>
      <c r="C147" s="5">
        <f>(L22*($E22/365))+(L23*($E23/365))</f>
        <v>100</v>
      </c>
      <c r="D147" s="5">
        <f>(M22*($E22/365))+(M23*($E23/365))</f>
        <v>0</v>
      </c>
      <c r="E147" s="18">
        <f t="shared" si="48"/>
        <v>100</v>
      </c>
      <c r="G147" s="14">
        <v>1967</v>
      </c>
      <c r="H147" s="380">
        <f>(O22/$R22*100*($E22/365))+(O23/$R23*100*($E23/365))</f>
        <v>0</v>
      </c>
      <c r="I147" s="380"/>
      <c r="J147" s="380">
        <f>(P22/$R22*100*($E22/365))+(P23/$R23*100*($E23/365))</f>
        <v>100</v>
      </c>
      <c r="K147" s="380"/>
      <c r="L147" s="380">
        <f>(Q22/$R22*100*($E22/365))+(Q23/$R23*100*($E23/365))</f>
        <v>0</v>
      </c>
      <c r="M147" s="380"/>
      <c r="N147" s="379">
        <f t="shared" si="49"/>
        <v>100</v>
      </c>
      <c r="O147" s="379"/>
      <c r="R147" s="14">
        <v>1967</v>
      </c>
      <c r="S147" s="5">
        <f>(O22*($E22/365))+(O23*($E23/365))</f>
        <v>0</v>
      </c>
      <c r="T147" s="5">
        <f>(P22*($E22/365))+(P23*($E23/365))</f>
        <v>49.4</v>
      </c>
      <c r="U147" s="5">
        <f>(Q22*($E22/365))+(Q23*($E23/365))</f>
        <v>0</v>
      </c>
      <c r="V147" s="9"/>
      <c r="W147" s="5">
        <f>R22*(E22/365) + R23*(E23/365)</f>
        <v>49.4</v>
      </c>
      <c r="X147" s="4"/>
    </row>
    <row r="148" spans="1:24" x14ac:dyDescent="0.15">
      <c r="A148" s="14">
        <v>1968</v>
      </c>
      <c r="B148" s="5">
        <f>(K24*($E24/366))+(K25*($E25/366))+(K26*($E26/366))</f>
        <v>0</v>
      </c>
      <c r="C148" s="5">
        <f>(L24*($E24/366))+(L25*($E25/366))+(L26*($E26/366))</f>
        <v>100</v>
      </c>
      <c r="D148" s="5">
        <f>(M24*($E24/366))+(M25*($E25/366))+(M26*($E26/366))</f>
        <v>0</v>
      </c>
      <c r="E148" s="18">
        <f t="shared" si="48"/>
        <v>100</v>
      </c>
      <c r="G148" s="14">
        <v>1968</v>
      </c>
      <c r="H148" s="380">
        <f>(O24/$R24*100*($E24/366))+(O25/$R25*100*($E25/366))+(O26/$R26*100*($E26/366))</f>
        <v>0</v>
      </c>
      <c r="I148" s="380"/>
      <c r="J148" s="380">
        <f>(P24/$R24*100*($E24/366))+(P25/$R25*100*($E25/366))+(P26/$R26*100*($E26/366))</f>
        <v>100</v>
      </c>
      <c r="K148" s="380"/>
      <c r="L148" s="380">
        <f>(Q24/$R24*100*($E24/366))+(Q25/$R25*100*($E25/366))+(Q26/$R26*100*($E26/366))</f>
        <v>0</v>
      </c>
      <c r="M148" s="380"/>
      <c r="N148" s="379">
        <f t="shared" si="49"/>
        <v>100</v>
      </c>
      <c r="O148" s="379"/>
      <c r="R148" s="14">
        <v>1968</v>
      </c>
      <c r="S148" s="5">
        <f>(O24*($E24/366))+(O25*($E25/366))+(O26*($E26/366))</f>
        <v>0</v>
      </c>
      <c r="T148" s="5">
        <f>(P24*($E24/366))+(P25*($E25/366))+(P26*($E26/366))</f>
        <v>53.922950819672131</v>
      </c>
      <c r="U148" s="5">
        <f>(Q24*($E24/366))+(Q25*($E25/366))+(Q26*($E26/366))</f>
        <v>0</v>
      </c>
      <c r="V148" s="9"/>
      <c r="W148" s="5">
        <f>R24*(E24/366) + R25*(E25/366) + R26*(E26/366)</f>
        <v>53.922950819672131</v>
      </c>
      <c r="X148" s="4"/>
    </row>
    <row r="149" spans="1:24" x14ac:dyDescent="0.15">
      <c r="A149" s="14">
        <v>1969</v>
      </c>
      <c r="B149" s="5">
        <f>(K27*($E27/365))+(K28*($E28/365))</f>
        <v>0</v>
      </c>
      <c r="C149" s="5">
        <f>(L27*($E27/365))+(L28*($E28/365))</f>
        <v>100</v>
      </c>
      <c r="D149" s="5">
        <f>(M27*($E27/365))+(M28*($E28/365))</f>
        <v>0</v>
      </c>
      <c r="E149" s="18">
        <f t="shared" si="48"/>
        <v>100</v>
      </c>
      <c r="G149" s="14">
        <v>1969</v>
      </c>
      <c r="H149" s="380">
        <f>(O27/$R27*100*($E27/365))+(O28/$R28*100*($E28/365))</f>
        <v>0</v>
      </c>
      <c r="I149" s="380"/>
      <c r="J149" s="380">
        <f>(P27/$R27*100*($E27/365))+(P28/$R28*100*($E28/365))</f>
        <v>100</v>
      </c>
      <c r="K149" s="380"/>
      <c r="L149" s="380">
        <f>(Q27/$R27*100*($E27/365))+(Q28/$R28*100*($E28/365))</f>
        <v>0</v>
      </c>
      <c r="M149" s="380"/>
      <c r="N149" s="379">
        <f t="shared" si="49"/>
        <v>100</v>
      </c>
      <c r="O149" s="379"/>
      <c r="R149" s="14">
        <v>1969</v>
      </c>
      <c r="S149" s="5">
        <f>(O27*($E27/365))+(O28*($E28/365))</f>
        <v>0</v>
      </c>
      <c r="T149" s="5">
        <f>(P27*($E27/365))+(P28*($E28/365))</f>
        <v>58.7</v>
      </c>
      <c r="U149" s="5">
        <f>(Q27*($E27/365))+(Q28*($E28/365))</f>
        <v>0</v>
      </c>
      <c r="V149" s="9"/>
      <c r="W149" s="5">
        <f>R27*(E27/365) + R28*(E28/365)</f>
        <v>58.7</v>
      </c>
      <c r="X149" s="4"/>
    </row>
    <row r="150" spans="1:24" x14ac:dyDescent="0.15">
      <c r="A150" s="14">
        <v>1970</v>
      </c>
      <c r="B150" s="5">
        <f>(K29*($E29/365))+(K30*($E30/365))</f>
        <v>0</v>
      </c>
      <c r="C150" s="5">
        <f>(L29*($E29/365))+(L30*($E30/365))</f>
        <v>100</v>
      </c>
      <c r="D150" s="5">
        <f>(M29*($E29/365))+(M30*($E30/365))</f>
        <v>0</v>
      </c>
      <c r="E150" s="18">
        <f t="shared" si="48"/>
        <v>100</v>
      </c>
      <c r="G150" s="14">
        <v>1970</v>
      </c>
      <c r="H150" s="380">
        <f>(O29/$R29*100*($E29/365))+(O30/$R30*100*($E30/365))</f>
        <v>0</v>
      </c>
      <c r="I150" s="380"/>
      <c r="J150" s="380">
        <f>(P29/$R29*100*($E29/365))+(P30/$R30*100*($E30/365))</f>
        <v>100</v>
      </c>
      <c r="K150" s="380"/>
      <c r="L150" s="380">
        <f>(Q29/$R29*100*($E29/365))+(Q30/$R30*100*($E30/365))</f>
        <v>0</v>
      </c>
      <c r="M150" s="380"/>
      <c r="N150" s="379">
        <f t="shared" si="49"/>
        <v>100</v>
      </c>
      <c r="O150" s="379"/>
      <c r="R150" s="14">
        <v>1970</v>
      </c>
      <c r="S150" s="5">
        <f>(O29*($E29/365))+(O30*($E30/365))</f>
        <v>0</v>
      </c>
      <c r="T150" s="5">
        <f>(P29*($E29/365))+(P30*($E30/365))</f>
        <v>58.7</v>
      </c>
      <c r="U150" s="5">
        <f>(Q29*($E29/365))+(Q30*($E30/365))</f>
        <v>0</v>
      </c>
      <c r="V150" s="9"/>
      <c r="W150" s="5">
        <f>R29*(E29/365) + R30*(E30/365)</f>
        <v>58.7</v>
      </c>
      <c r="X150" s="4"/>
    </row>
    <row r="151" spans="1:24" x14ac:dyDescent="0.15">
      <c r="A151" s="14">
        <v>1971</v>
      </c>
      <c r="B151" s="5">
        <f>(K31*($E31/365))+(K32*($E32/365))</f>
        <v>0</v>
      </c>
      <c r="C151" s="5">
        <f>(L31*($E31/365))+(L32*($E32/365))</f>
        <v>100</v>
      </c>
      <c r="D151" s="5">
        <f>(M31*($E31/365))+(M32*($E32/365))</f>
        <v>0</v>
      </c>
      <c r="E151" s="18">
        <f t="shared" si="48"/>
        <v>100</v>
      </c>
      <c r="G151" s="14">
        <v>1971</v>
      </c>
      <c r="H151" s="380">
        <f>(O31/$R31*100*($E31/365))+(O32/$R32*100*($E32/365))</f>
        <v>0</v>
      </c>
      <c r="I151" s="380"/>
      <c r="J151" s="380">
        <f>(P31/$R31*100*($E31/365))+(P32/$R32*100*($E32/365))</f>
        <v>100</v>
      </c>
      <c r="K151" s="380"/>
      <c r="L151" s="380">
        <f>(Q31/$R31*100*($E31/365))+(Q32/$R32*100*($E32/365))</f>
        <v>0</v>
      </c>
      <c r="M151" s="380"/>
      <c r="N151" s="379">
        <f t="shared" si="49"/>
        <v>100</v>
      </c>
      <c r="O151" s="379"/>
      <c r="R151" s="14">
        <v>1971</v>
      </c>
      <c r="S151" s="5">
        <f>(O31*($E31/365))+(O32*($E32/365))</f>
        <v>0</v>
      </c>
      <c r="T151" s="5">
        <f>(P31*($E31/365))+(P32*($E32/365))</f>
        <v>58.7</v>
      </c>
      <c r="U151" s="5">
        <f>(Q31*($E31/365))+(Q32*($E32/365))</f>
        <v>0</v>
      </c>
      <c r="V151" s="9"/>
      <c r="W151" s="5">
        <f>R31*(E31/365) + R32*(E32/365)</f>
        <v>58.7</v>
      </c>
      <c r="X151" s="4"/>
    </row>
    <row r="152" spans="1:24" x14ac:dyDescent="0.15">
      <c r="A152" s="14">
        <v>1972</v>
      </c>
      <c r="B152" s="5">
        <f>(K33*($E33/366))+(K34*($E34/366))</f>
        <v>0</v>
      </c>
      <c r="C152" s="5">
        <f>(L33*($E33/366))+(L34*($E34/366))</f>
        <v>100</v>
      </c>
      <c r="D152" s="5">
        <f>(M33*($E33/366))+(M34*($E34/366))</f>
        <v>0</v>
      </c>
      <c r="E152" s="18">
        <f t="shared" si="48"/>
        <v>100</v>
      </c>
      <c r="G152" s="14">
        <v>1972</v>
      </c>
      <c r="H152" s="380">
        <f>(O33/$R33*100*($E33/366))+(O34/$R34*100*($E34/366))</f>
        <v>0</v>
      </c>
      <c r="I152" s="380"/>
      <c r="J152" s="380">
        <f>(P33/$R33*100*($E33/366))+(P34/$R34*100*($E34/366))</f>
        <v>100</v>
      </c>
      <c r="K152" s="380"/>
      <c r="L152" s="380">
        <f>(Q33/$R33*100*($E33/366))+(Q34/$R34*100*($E34/366))</f>
        <v>0</v>
      </c>
      <c r="M152" s="380"/>
      <c r="N152" s="379">
        <f t="shared" si="49"/>
        <v>100</v>
      </c>
      <c r="O152" s="379"/>
      <c r="R152" s="14">
        <v>1972</v>
      </c>
      <c r="S152" s="5">
        <f>(O33*($E33/366))+(O34*($E34/366))</f>
        <v>0</v>
      </c>
      <c r="T152" s="5">
        <f>(P33*($E33/366))+(P34*($E34/366))</f>
        <v>57.036065573770493</v>
      </c>
      <c r="U152" s="5">
        <f>(Q33*($E33/366))+(Q34*($E34/366))</f>
        <v>0</v>
      </c>
      <c r="V152" s="9"/>
      <c r="W152" s="5">
        <f>R33*(E33/366) + R34*(E34/366)</f>
        <v>57.036065573770493</v>
      </c>
      <c r="X152" s="4"/>
    </row>
    <row r="153" spans="1:24" x14ac:dyDescent="0.15">
      <c r="A153" s="14">
        <v>1973</v>
      </c>
      <c r="B153" s="5">
        <f>(K35*($E35/365))+(K36*($E36/365))</f>
        <v>0</v>
      </c>
      <c r="C153" s="5">
        <f>(L35*($E35/365))+(L36*($E36/365))</f>
        <v>100</v>
      </c>
      <c r="D153" s="5">
        <f>(M35*($E35/365))+(M36*($E36/365))</f>
        <v>0</v>
      </c>
      <c r="E153" s="18">
        <f t="shared" si="48"/>
        <v>100</v>
      </c>
      <c r="G153" s="14">
        <v>1973</v>
      </c>
      <c r="H153" s="380">
        <f>(O35/$R35*100*($E35/365))+(O36/$R36*100*($E36/365))</f>
        <v>0</v>
      </c>
      <c r="I153" s="380"/>
      <c r="J153" s="380">
        <f>(P35/$R35*100*($E35/365))+(P36/$R36*100*($E36/365))</f>
        <v>100</v>
      </c>
      <c r="K153" s="380"/>
      <c r="L153" s="380">
        <f>(Q35/$R35*100*($E35/365))+(Q36/$R36*100*($E36/365))</f>
        <v>0</v>
      </c>
      <c r="M153" s="380"/>
      <c r="N153" s="379">
        <f t="shared" si="49"/>
        <v>100</v>
      </c>
      <c r="O153" s="379"/>
      <c r="R153" s="14">
        <v>1973</v>
      </c>
      <c r="S153" s="5">
        <f>(O35*($E35/365))+(O36*($E36/365))</f>
        <v>0</v>
      </c>
      <c r="T153" s="5">
        <f>(P35*($E35/365))+(P36*($E36/365))</f>
        <v>41.3</v>
      </c>
      <c r="U153" s="5">
        <f>(Q35*($E35/365))+(Q36*($E36/365))</f>
        <v>0</v>
      </c>
      <c r="V153" s="9"/>
      <c r="W153" s="5">
        <f>R35*(E35/365) + R36*(E36/365)</f>
        <v>41.3</v>
      </c>
      <c r="X153" s="4"/>
    </row>
    <row r="154" spans="1:24" x14ac:dyDescent="0.15">
      <c r="A154" s="14">
        <v>1974</v>
      </c>
      <c r="B154" s="5">
        <f>(K37*($E37/365))+(K38*($E38/365))</f>
        <v>0</v>
      </c>
      <c r="C154" s="5">
        <f>(L37*($E37/365))+(L38*($E38/365))</f>
        <v>100</v>
      </c>
      <c r="D154" s="5">
        <f>(M37*($E37/365))+(M38*($E38/365))</f>
        <v>0</v>
      </c>
      <c r="E154" s="18">
        <f t="shared" si="48"/>
        <v>100</v>
      </c>
      <c r="G154" s="14">
        <v>1974</v>
      </c>
      <c r="H154" s="380">
        <f>(O37/$R37*100*($E37/365))+(O38/$R38*100*($E38/365))</f>
        <v>0</v>
      </c>
      <c r="I154" s="380"/>
      <c r="J154" s="380">
        <f>(P37/$R37*100*($E37/365))+(P38/$R38*100*($E38/365))</f>
        <v>100</v>
      </c>
      <c r="K154" s="380"/>
      <c r="L154" s="380">
        <f>(Q37/$R37*100*($E37/365))+(Q38/$R38*100*($E38/365))</f>
        <v>0</v>
      </c>
      <c r="M154" s="380"/>
      <c r="N154" s="379">
        <f t="shared" si="49"/>
        <v>100</v>
      </c>
      <c r="O154" s="379"/>
      <c r="R154" s="14">
        <v>1974</v>
      </c>
      <c r="S154" s="5">
        <f>(O37*($E37/365))+(O38*($E38/365))</f>
        <v>0</v>
      </c>
      <c r="T154" s="5">
        <f>(P37*($E37/365))+(P38*($E38/365))</f>
        <v>46.14</v>
      </c>
      <c r="U154" s="5">
        <f>(Q37*($E37/365))+(Q38*($E38/365))</f>
        <v>0</v>
      </c>
      <c r="V154" s="9"/>
      <c r="W154" s="5">
        <f>R37*(E37/365) + R38*(E38/365)</f>
        <v>46.14</v>
      </c>
      <c r="X154" s="4"/>
    </row>
    <row r="155" spans="1:24" x14ac:dyDescent="0.15">
      <c r="A155" s="14">
        <v>1975</v>
      </c>
      <c r="B155" s="5">
        <f>(K39*($E39/365))+(K40*($E40/365))</f>
        <v>0</v>
      </c>
      <c r="C155" s="5">
        <f>(L39*($E39/365))+(L40*($E40/365))</f>
        <v>100</v>
      </c>
      <c r="D155" s="5">
        <f>(M39*($E39/365))+(M40*($E40/365))</f>
        <v>0</v>
      </c>
      <c r="E155" s="18">
        <f t="shared" si="48"/>
        <v>100</v>
      </c>
      <c r="G155" s="14">
        <v>1975</v>
      </c>
      <c r="H155" s="380">
        <f>(O39/$R39*100*($E39/365))+(O40/$R40*100*($E40/365))</f>
        <v>0</v>
      </c>
      <c r="I155" s="380"/>
      <c r="J155" s="380">
        <f>(P39/$R39*100*($E39/365))+(P40/$R40*100*($E40/365))</f>
        <v>100</v>
      </c>
      <c r="K155" s="380"/>
      <c r="L155" s="380">
        <f>(Q39/$R39*100*($E39/365))+(Q40/$R40*100*($E40/365))</f>
        <v>0</v>
      </c>
      <c r="M155" s="380"/>
      <c r="N155" s="379">
        <f t="shared" si="49"/>
        <v>100</v>
      </c>
      <c r="O155" s="379"/>
      <c r="R155" s="14">
        <v>1975</v>
      </c>
      <c r="S155" s="5">
        <f>(O39*($E39/365))+(O40*($E40/365))</f>
        <v>0</v>
      </c>
      <c r="T155" s="5">
        <f>(P39*($E39/365))+(P40*($E40/365))</f>
        <v>53.4</v>
      </c>
      <c r="U155" s="5">
        <f>(Q39*($E39/365))+(Q40*($E40/365))</f>
        <v>0</v>
      </c>
      <c r="V155" s="9"/>
      <c r="W155" s="5">
        <f>R39*(E39/365) + R40*(E40/365)</f>
        <v>53.4</v>
      </c>
      <c r="X155" s="4"/>
    </row>
    <row r="156" spans="1:24" x14ac:dyDescent="0.15">
      <c r="A156" s="14">
        <v>1976</v>
      </c>
      <c r="B156" s="5">
        <f>(K41*($E41/366))+(K42*($E42/366))</f>
        <v>0</v>
      </c>
      <c r="C156" s="5">
        <f>(L41*($E41/366))+(L42*($E42/366))</f>
        <v>100</v>
      </c>
      <c r="D156" s="5">
        <f>(M41*($E41/366))+(M42*($E42/366))</f>
        <v>0</v>
      </c>
      <c r="E156" s="18">
        <f t="shared" si="48"/>
        <v>100</v>
      </c>
      <c r="G156" s="14">
        <v>1976</v>
      </c>
      <c r="H156" s="380">
        <f>(O41/$R41*100*($E41/366))+(O42/$R42*100*($E42/366))</f>
        <v>0</v>
      </c>
      <c r="I156" s="380"/>
      <c r="J156" s="380">
        <f>(P41/$R41*100*($E41/366))+(P42/$R42*100*($E42/366))</f>
        <v>100</v>
      </c>
      <c r="K156" s="380"/>
      <c r="L156" s="380">
        <f>(Q41/$R41*100*($E41/366))+(Q42/$R42*100*($E42/366))</f>
        <v>0</v>
      </c>
      <c r="M156" s="380"/>
      <c r="N156" s="379">
        <f t="shared" si="49"/>
        <v>100</v>
      </c>
      <c r="O156" s="379"/>
      <c r="R156" s="14">
        <v>1976</v>
      </c>
      <c r="S156" s="5">
        <f>(O41*($E41/366))+(O42*($E42/366))</f>
        <v>0</v>
      </c>
      <c r="T156" s="5">
        <f>(P41*($E41/366))+(P42*($E42/366))</f>
        <v>53.4</v>
      </c>
      <c r="U156" s="5">
        <f>(Q41*($E41/366))+(Q42*($E42/366))</f>
        <v>0</v>
      </c>
      <c r="V156" s="9"/>
      <c r="W156" s="5">
        <f>R41*(E41/366) + R42*(E42/366)</f>
        <v>53.4</v>
      </c>
      <c r="X156" s="4"/>
    </row>
    <row r="157" spans="1:24" x14ac:dyDescent="0.15">
      <c r="A157" s="14">
        <v>1977</v>
      </c>
      <c r="B157" s="5">
        <f>(K43*($E43/365))+(K44*($E44/365))</f>
        <v>0</v>
      </c>
      <c r="C157" s="5">
        <f>(L43*($E43/365))+(L44*($E44/365))</f>
        <v>100</v>
      </c>
      <c r="D157" s="5">
        <f>(M43*($E43/365))+(M44*($E44/365))</f>
        <v>0</v>
      </c>
      <c r="E157" s="18">
        <f t="shared" si="48"/>
        <v>100</v>
      </c>
      <c r="G157" s="14">
        <v>1977</v>
      </c>
      <c r="H157" s="380">
        <f>(O43/$R43*100*($E43/365))+(O44/$R44*100*($E44/365))</f>
        <v>0</v>
      </c>
      <c r="I157" s="380"/>
      <c r="J157" s="380">
        <f>(P43/$R43*100*($E43/365))+(P44/$R44*100*($E44/365))</f>
        <v>100</v>
      </c>
      <c r="K157" s="380"/>
      <c r="L157" s="380">
        <f>(Q43/$R43*100*($E43/365))+(Q44/$R44*100*($E44/365))</f>
        <v>0</v>
      </c>
      <c r="M157" s="380"/>
      <c r="N157" s="379">
        <f t="shared" si="49"/>
        <v>100</v>
      </c>
      <c r="O157" s="379"/>
      <c r="R157" s="14">
        <v>1977</v>
      </c>
      <c r="S157" s="5">
        <f>(O43*($E43/365))+(O44*($E44/365))</f>
        <v>0</v>
      </c>
      <c r="T157" s="5">
        <f>(P43*($E43/365))+(P44*($E44/365))</f>
        <v>53.4</v>
      </c>
      <c r="U157" s="5">
        <f>(Q43*($E43/365))+(Q44*($E44/365))</f>
        <v>0</v>
      </c>
      <c r="V157" s="9"/>
      <c r="W157" s="5">
        <f>R43*(E43/365) + R44*(E44/365)</f>
        <v>53.4</v>
      </c>
      <c r="X157" s="4"/>
    </row>
    <row r="158" spans="1:24" x14ac:dyDescent="0.15">
      <c r="A158" s="14">
        <v>1978</v>
      </c>
      <c r="B158" s="5">
        <f>(K45*($E45/365))+(K46*($E46/365))</f>
        <v>0</v>
      </c>
      <c r="C158" s="5">
        <f>(L45*($E45/365))+(L46*($E46/365))</f>
        <v>100</v>
      </c>
      <c r="D158" s="5">
        <f>(M45*($E45/365))+(M46*($E46/365))</f>
        <v>0</v>
      </c>
      <c r="E158" s="18">
        <f t="shared" si="48"/>
        <v>100</v>
      </c>
      <c r="G158" s="14">
        <v>1978</v>
      </c>
      <c r="H158" s="380">
        <f>(O45/$R45*100*($E45/365))+(O46/$R46*100*($E46/365))</f>
        <v>0</v>
      </c>
      <c r="I158" s="380"/>
      <c r="J158" s="380">
        <f>(P45/$R45*100*($E45/365))+(P46/$R46*100*($E46/365))</f>
        <v>100</v>
      </c>
      <c r="K158" s="380"/>
      <c r="L158" s="380">
        <f>(Q45/$R45*100*($E45/365))+(Q46/$R46*100*($E46/365))</f>
        <v>0</v>
      </c>
      <c r="M158" s="380"/>
      <c r="N158" s="379">
        <f t="shared" si="49"/>
        <v>100</v>
      </c>
      <c r="O158" s="379"/>
      <c r="R158" s="14">
        <v>1978</v>
      </c>
      <c r="S158" s="5">
        <f>(O45*($E45/365))+(O46*($E46/365))</f>
        <v>0</v>
      </c>
      <c r="T158" s="5">
        <f>(P45*($E45/365))+(P46*($E46/365))</f>
        <v>53.4</v>
      </c>
      <c r="U158" s="5">
        <f>(Q45*($E45/365))+(Q46*($E46/365))</f>
        <v>0</v>
      </c>
      <c r="V158" s="9"/>
      <c r="W158" s="5">
        <f>R45*(E45/365) + R46*(E46/365)</f>
        <v>53.4</v>
      </c>
      <c r="X158" s="4"/>
    </row>
    <row r="159" spans="1:24" x14ac:dyDescent="0.15">
      <c r="A159" s="14">
        <v>1979</v>
      </c>
      <c r="B159" s="5">
        <f>(K47*($E47/365))+(K48*($E48/365))</f>
        <v>57.80821917808219</v>
      </c>
      <c r="C159" s="5">
        <f>(L47*($E47/365))+(L48*($E48/365))</f>
        <v>42.19178082191781</v>
      </c>
      <c r="D159" s="5">
        <f>(M47*($E47/365))+(M48*($E48/365))</f>
        <v>0</v>
      </c>
      <c r="E159" s="18">
        <f t="shared" si="48"/>
        <v>100</v>
      </c>
      <c r="G159" s="14">
        <v>1979</v>
      </c>
      <c r="H159" s="380">
        <f>(O47/$R47*100*($E47/365))+(O48/$R48*100*($E48/365))</f>
        <v>57.80821917808219</v>
      </c>
      <c r="I159" s="380"/>
      <c r="J159" s="380">
        <f>(P47/$R47*100*($E47/365))+(P48/$R48*100*($E48/365))</f>
        <v>42.19178082191781</v>
      </c>
      <c r="K159" s="380"/>
      <c r="L159" s="380">
        <f>(Q47/$R47*100*($E47/365))+(Q48/$R48*100*($E48/365))</f>
        <v>0</v>
      </c>
      <c r="M159" s="380"/>
      <c r="N159" s="379">
        <f t="shared" si="49"/>
        <v>100</v>
      </c>
      <c r="O159" s="379"/>
      <c r="R159" s="14">
        <v>1979</v>
      </c>
      <c r="S159" s="5">
        <f>(O47*($E47/365))+(O48*($E48/365))</f>
        <v>27.863561643835617</v>
      </c>
      <c r="T159" s="5">
        <f>(P47*($E47/365))+(P48*($E48/365))</f>
        <v>22.53041095890411</v>
      </c>
      <c r="U159" s="5">
        <f>(Q47*($E47/365))+(Q48*($E48/365))</f>
        <v>0</v>
      </c>
      <c r="V159" s="9"/>
      <c r="W159" s="5">
        <f>R47*(E47/365) + R48*(E48/365)</f>
        <v>50.393972602739723</v>
      </c>
      <c r="X159" s="4"/>
    </row>
    <row r="160" spans="1:24" x14ac:dyDescent="0.15">
      <c r="A160" s="14">
        <v>1980</v>
      </c>
      <c r="B160" s="5">
        <f>(K49*($E49/366))+(K50*($E50/366))</f>
        <v>16.939890710382514</v>
      </c>
      <c r="C160" s="5">
        <f>(L49*($E49/366))+(L50*($E50/366))</f>
        <v>83.060109289617486</v>
      </c>
      <c r="D160" s="5">
        <f>(M49*($E49/366))+(M50*($E50/366))</f>
        <v>0</v>
      </c>
      <c r="E160" s="18">
        <f t="shared" si="48"/>
        <v>100</v>
      </c>
      <c r="G160" s="14">
        <v>1980</v>
      </c>
      <c r="H160" s="380">
        <f>(O49/$R49*100*($E49/366))+(O50/$R50*100*($E50/366))</f>
        <v>16.939890710382514</v>
      </c>
      <c r="I160" s="380"/>
      <c r="J160" s="380">
        <f>(P49/$R49*100*($E49/366))+(P50/$R50*100*($E50/366))</f>
        <v>83.060109289617486</v>
      </c>
      <c r="K160" s="380"/>
      <c r="L160" s="380">
        <f>(Q49/$R49*100*($E49/366))+(Q50/$R50*100*($E50/366))</f>
        <v>0</v>
      </c>
      <c r="M160" s="380"/>
      <c r="N160" s="379">
        <f t="shared" si="49"/>
        <v>100</v>
      </c>
      <c r="O160" s="379"/>
      <c r="R160" s="14">
        <v>1980</v>
      </c>
      <c r="S160" s="5">
        <f>(O49*($E49/366))+(O50*($E50/366))</f>
        <v>8.1650273224043719</v>
      </c>
      <c r="T160" s="5">
        <f>(P49*($E49/366))+(P50*($E50/366))</f>
        <v>43.27431693989071</v>
      </c>
      <c r="U160" s="5">
        <f>(Q49*($E49/366))+(Q50*($E50/366))</f>
        <v>0</v>
      </c>
      <c r="V160" s="9"/>
      <c r="W160" s="5">
        <f>R49*(E49/366) + R50*(E50/366)</f>
        <v>51.43934426229508</v>
      </c>
      <c r="X160" s="4"/>
    </row>
    <row r="161" spans="1:24" x14ac:dyDescent="0.15">
      <c r="A161" s="14">
        <v>1981</v>
      </c>
      <c r="B161" s="5">
        <f>(K51*($E51/365))+(K52*($E52/365))</f>
        <v>0</v>
      </c>
      <c r="C161" s="5">
        <f>(L51*($E51/365))+(L52*($E52/365))</f>
        <v>100</v>
      </c>
      <c r="D161" s="5">
        <f>(M51*($E51/365))+(M52*($E52/365))</f>
        <v>0</v>
      </c>
      <c r="E161" s="18">
        <f t="shared" si="48"/>
        <v>100</v>
      </c>
      <c r="G161" s="14">
        <v>1981</v>
      </c>
      <c r="H161" s="380">
        <f>(O51/$R51*100*($E51/365))+(O52/$R52*100*($E52/365))</f>
        <v>0</v>
      </c>
      <c r="I161" s="380"/>
      <c r="J161" s="380">
        <f>(P51/$R51*100*($E51/365))+(P52/$R52*100*($E52/365))</f>
        <v>100</v>
      </c>
      <c r="K161" s="380"/>
      <c r="L161" s="380">
        <f>(Q51/$R51*100*($E51/365))+(Q52/$R52*100*($E52/365))</f>
        <v>0</v>
      </c>
      <c r="M161" s="380"/>
      <c r="N161" s="379">
        <f t="shared" si="49"/>
        <v>100</v>
      </c>
      <c r="O161" s="379"/>
      <c r="R161" s="14">
        <v>1981</v>
      </c>
      <c r="S161" s="5">
        <f>(O51*($E51/365))+(O52*($E52/365))</f>
        <v>0</v>
      </c>
      <c r="T161" s="5">
        <f>(P51*($E51/365))+(P52*($E52/365))</f>
        <v>52.1</v>
      </c>
      <c r="U161" s="5">
        <f>(Q51*($E51/365))+(Q52*($E52/365))</f>
        <v>0</v>
      </c>
      <c r="V161" s="9"/>
      <c r="W161" s="5">
        <f>R51*(E51/365) + R52*(E52/365)</f>
        <v>52.1</v>
      </c>
      <c r="X161" s="4"/>
    </row>
    <row r="162" spans="1:24" x14ac:dyDescent="0.15">
      <c r="A162" s="14">
        <v>1982</v>
      </c>
      <c r="B162" s="5">
        <f>(K53*($E53/365))+(K54*($E54/365))</f>
        <v>0</v>
      </c>
      <c r="C162" s="5">
        <f>(L53*($E53/365))+(L54*($E54/365))</f>
        <v>100</v>
      </c>
      <c r="D162" s="5">
        <f>(M53*($E53/365))+(M54*($E54/365))</f>
        <v>0</v>
      </c>
      <c r="E162" s="18">
        <f t="shared" si="48"/>
        <v>100</v>
      </c>
      <c r="G162" s="14">
        <v>1982</v>
      </c>
      <c r="H162" s="380">
        <f>(O53/$R53*100*($E53/365))+(O54/$R54*100*($E54/365))</f>
        <v>0</v>
      </c>
      <c r="I162" s="380"/>
      <c r="J162" s="380">
        <f>(P53/$R53*100*($E53/365))+(P54/$R54*100*($E54/365))</f>
        <v>100</v>
      </c>
      <c r="K162" s="380"/>
      <c r="L162" s="380">
        <f>(Q53/$R53*100*($E53/365))+(Q54/$R54*100*($E54/365))</f>
        <v>0</v>
      </c>
      <c r="M162" s="380"/>
      <c r="N162" s="379">
        <f t="shared" si="49"/>
        <v>100</v>
      </c>
      <c r="O162" s="379"/>
      <c r="R162" s="14">
        <v>1982</v>
      </c>
      <c r="S162" s="5">
        <f>(O53*($E53/365))+(O54*($E54/365))</f>
        <v>0</v>
      </c>
      <c r="T162" s="5">
        <f>(P53*($E53/365))+(P54*($E54/365))</f>
        <v>52.1</v>
      </c>
      <c r="U162" s="5">
        <f>(Q53*($E53/365))+(Q54*($E54/365))</f>
        <v>0</v>
      </c>
      <c r="V162" s="9"/>
      <c r="W162" s="5">
        <f>R53*(E53/365) + R54*(E54/365)</f>
        <v>52.1</v>
      </c>
      <c r="X162" s="4"/>
    </row>
    <row r="163" spans="1:24" x14ac:dyDescent="0.15">
      <c r="A163" s="14">
        <v>1983</v>
      </c>
      <c r="B163" s="5">
        <f>(K55*($E55/365))+(K56*($E56/365))</f>
        <v>0</v>
      </c>
      <c r="C163" s="5">
        <f>(L55*($E55/365))+(L56*($E56/365))</f>
        <v>100</v>
      </c>
      <c r="D163" s="5">
        <f>(M55*($E55/365))+(M56*($E56/365))</f>
        <v>0</v>
      </c>
      <c r="E163" s="18">
        <f t="shared" si="48"/>
        <v>100</v>
      </c>
      <c r="G163" s="14">
        <v>1983</v>
      </c>
      <c r="H163" s="380">
        <f>(O55/$R55*100*($E55/365))+(O56/$R56*100*($E56/365))</f>
        <v>0</v>
      </c>
      <c r="I163" s="380"/>
      <c r="J163" s="380">
        <f>(P55/$R55*100*($E55/365))+(P56/$R56*100*($E56/365))</f>
        <v>100</v>
      </c>
      <c r="K163" s="380"/>
      <c r="L163" s="380">
        <f>(Q55/$R55*100*($E55/365))+(Q56/$R56*100*($E56/365))</f>
        <v>0</v>
      </c>
      <c r="M163" s="380"/>
      <c r="N163" s="379">
        <f t="shared" si="49"/>
        <v>100</v>
      </c>
      <c r="O163" s="379"/>
      <c r="R163" s="14">
        <v>1983</v>
      </c>
      <c r="S163" s="5">
        <f>(O55*($E55/365))+(O56*($E56/365))</f>
        <v>0</v>
      </c>
      <c r="T163" s="5">
        <f>(P55*($E55/365))+(P56*($E56/365))</f>
        <v>52.1</v>
      </c>
      <c r="U163" s="5">
        <f>(Q55*($E55/365))+(Q56*($E56/365))</f>
        <v>0</v>
      </c>
      <c r="V163" s="9"/>
      <c r="W163" s="5">
        <f>R55*(E55/365) + R56*(E56/365)</f>
        <v>52.1</v>
      </c>
      <c r="X163" s="4"/>
    </row>
    <row r="164" spans="1:24" x14ac:dyDescent="0.15">
      <c r="A164" s="14">
        <v>1984</v>
      </c>
      <c r="B164" s="5">
        <f>(K57*($E57/366))+(K58*($E58/366))</f>
        <v>28.961748633879779</v>
      </c>
      <c r="C164" s="5">
        <f>(L57*($E57/366))+(L58*($E58/366))</f>
        <v>71.038251366120221</v>
      </c>
      <c r="D164" s="5">
        <f>(M57*($E57/366))+(M58*($E58/366))</f>
        <v>0</v>
      </c>
      <c r="E164" s="18">
        <f t="shared" si="48"/>
        <v>100</v>
      </c>
      <c r="G164" s="14">
        <v>1984</v>
      </c>
      <c r="H164" s="380">
        <f>(O57/$R57*100*($E57/366))+(O58/$R58*100*($E58/366))</f>
        <v>28.961748633879779</v>
      </c>
      <c r="I164" s="380"/>
      <c r="J164" s="380">
        <f>(P57/$R57*100*($E57/366))+(P58/$R58*100*($E58/366))</f>
        <v>71.038251366120221</v>
      </c>
      <c r="K164" s="380"/>
      <c r="L164" s="380">
        <f>(Q57/$R57*100*($E57/366))+(Q58/$R58*100*($E58/366))</f>
        <v>0</v>
      </c>
      <c r="M164" s="380"/>
      <c r="N164" s="379">
        <f t="shared" si="49"/>
        <v>100</v>
      </c>
      <c r="O164" s="379"/>
      <c r="R164" s="14">
        <v>1984</v>
      </c>
      <c r="S164" s="5">
        <f>(O57*($E57/366))+(O58*($E58/366))</f>
        <v>21.663387978142076</v>
      </c>
      <c r="T164" s="5">
        <f>(P57*($E57/366))+(P58*($E58/366))</f>
        <v>37.010928961748633</v>
      </c>
      <c r="U164" s="5">
        <f>(Q57*($E57/366))+(Q58*($E58/366))</f>
        <v>0</v>
      </c>
      <c r="V164" s="9"/>
      <c r="W164" s="5">
        <f>R57*(E57/366) + R58*(E58/366)</f>
        <v>58.674316939890709</v>
      </c>
      <c r="X164" s="4"/>
    </row>
    <row r="165" spans="1:24" x14ac:dyDescent="0.15">
      <c r="A165" s="14">
        <v>1985</v>
      </c>
      <c r="B165" s="5">
        <f>(K59*($E59/365))+(K60*($E60/365))</f>
        <v>100</v>
      </c>
      <c r="C165" s="5">
        <f>(L59*($E59/365))+(L60*($E60/365))</f>
        <v>0</v>
      </c>
      <c r="D165" s="5">
        <f>(M59*($E59/365))+(M60*($E60/365))</f>
        <v>0</v>
      </c>
      <c r="E165" s="18">
        <f t="shared" si="48"/>
        <v>100</v>
      </c>
      <c r="G165" s="14">
        <v>1985</v>
      </c>
      <c r="H165" s="380">
        <f>(O59/$R59*100*($E59/365))+(O60/$R60*100*($E60/365))</f>
        <v>100</v>
      </c>
      <c r="I165" s="380"/>
      <c r="J165" s="380">
        <f>(P59/$R59*100*($E59/365))+(P60/$R60*100*($E60/365))</f>
        <v>0</v>
      </c>
      <c r="K165" s="380"/>
      <c r="L165" s="380">
        <f>(Q59/$R59*100*($E59/365))+(Q60/$R60*100*($E60/365))</f>
        <v>0</v>
      </c>
      <c r="M165" s="380"/>
      <c r="N165" s="379">
        <f t="shared" si="49"/>
        <v>100</v>
      </c>
      <c r="O165" s="379"/>
      <c r="R165" s="14">
        <v>1985</v>
      </c>
      <c r="S165" s="5">
        <f>(O59*($E59/365))+(O60*($E60/365))</f>
        <v>74.8</v>
      </c>
      <c r="T165" s="5">
        <f>(P59*($E59/365))+(P60*($E60/365))</f>
        <v>0</v>
      </c>
      <c r="U165" s="5">
        <f>(Q59*($E59/365))+(Q60*($E60/365))</f>
        <v>0</v>
      </c>
      <c r="V165" s="9"/>
      <c r="W165" s="5">
        <f>R59*(E59/365) + R60*(E60/365)</f>
        <v>74.8</v>
      </c>
      <c r="X165" s="4"/>
    </row>
    <row r="166" spans="1:24" x14ac:dyDescent="0.15">
      <c r="A166" s="14">
        <v>1986</v>
      </c>
      <c r="B166" s="5">
        <f>(K61*($E61/365))+(K62*($E62/365))</f>
        <v>100</v>
      </c>
      <c r="C166" s="5">
        <f>(L61*($E61/365))+(L62*($E62/365))</f>
        <v>0</v>
      </c>
      <c r="D166" s="5">
        <f>(M61*($E61/365))+(M62*($E62/365))</f>
        <v>0</v>
      </c>
      <c r="E166" s="18">
        <f t="shared" si="48"/>
        <v>100</v>
      </c>
      <c r="G166" s="14">
        <v>1986</v>
      </c>
      <c r="H166" s="380">
        <f>(O61/$R61*100*($E61/365))+(O62/$R62*100*($E62/365))</f>
        <v>100</v>
      </c>
      <c r="I166" s="380"/>
      <c r="J166" s="380">
        <f>(P61/$R61*100*($E61/365))+(P62/$R62*100*($E62/365))</f>
        <v>0</v>
      </c>
      <c r="K166" s="380"/>
      <c r="L166" s="380">
        <f>(Q61/$R61*100*($E61/365))+(Q62/$R62*100*($E62/365))</f>
        <v>0</v>
      </c>
      <c r="M166" s="380"/>
      <c r="N166" s="379">
        <f t="shared" si="49"/>
        <v>100</v>
      </c>
      <c r="O166" s="379"/>
      <c r="R166" s="14">
        <v>1986</v>
      </c>
      <c r="S166" s="5">
        <f>(O61*($E61/365))+(O62*($E62/365))</f>
        <v>74.8</v>
      </c>
      <c r="T166" s="5">
        <f>(P61*($E61/365))+(P62*($E62/365))</f>
        <v>0</v>
      </c>
      <c r="U166" s="5">
        <f>(Q61*($E61/365))+(Q62*($E62/365))</f>
        <v>0</v>
      </c>
      <c r="V166" s="9"/>
      <c r="W166" s="5">
        <f>R61*(E61/365) + R62*(E62/365)</f>
        <v>74.8</v>
      </c>
      <c r="X166" s="4"/>
    </row>
    <row r="167" spans="1:24" x14ac:dyDescent="0.15">
      <c r="A167" s="14">
        <v>1987</v>
      </c>
      <c r="B167" s="5">
        <f>(K63*($E63/365))+(K64*($E64/365))</f>
        <v>100</v>
      </c>
      <c r="C167" s="5">
        <f>(L63*($E63/365))+(L64*($E64/365))</f>
        <v>0</v>
      </c>
      <c r="D167" s="5">
        <f>(M63*($E63/365))+(M64*($E64/365))</f>
        <v>0</v>
      </c>
      <c r="E167" s="18">
        <f t="shared" si="48"/>
        <v>100</v>
      </c>
      <c r="G167" s="14">
        <v>1987</v>
      </c>
      <c r="H167" s="380">
        <f>(O63/$R63*100*($E63/365))+(O64/$R64*100*($E64/365))</f>
        <v>100</v>
      </c>
      <c r="I167" s="380"/>
      <c r="J167" s="380">
        <f>(P63/$R63*100*($E63/365))+(P64/$R64*100*($E64/365))</f>
        <v>0</v>
      </c>
      <c r="K167" s="380"/>
      <c r="L167" s="380">
        <f>(Q63/$R63*100*($E63/365))+(Q64/$R64*100*($E64/365))</f>
        <v>0</v>
      </c>
      <c r="M167" s="380"/>
      <c r="N167" s="379">
        <f t="shared" si="49"/>
        <v>100</v>
      </c>
      <c r="O167" s="379"/>
      <c r="R167" s="14">
        <v>1987</v>
      </c>
      <c r="S167" s="5">
        <f>(O63*($E63/365))+(O64*($E64/365))</f>
        <v>74.8</v>
      </c>
      <c r="T167" s="5">
        <f>(P63*($E63/365))+(P64*($E64/365))</f>
        <v>0</v>
      </c>
      <c r="U167" s="5">
        <f>(Q63*($E63/365))+(Q64*($E64/365))</f>
        <v>0</v>
      </c>
      <c r="V167" s="9"/>
      <c r="W167" s="5">
        <f>R63*(E63/365) + R64*(E64/365)</f>
        <v>74.8</v>
      </c>
      <c r="X167" s="4"/>
    </row>
    <row r="168" spans="1:24" x14ac:dyDescent="0.15">
      <c r="A168" s="14">
        <v>1988</v>
      </c>
      <c r="B168" s="5">
        <f>(K65*($E65/366))+(K66*($E66/366))</f>
        <v>100</v>
      </c>
      <c r="C168" s="5">
        <f>(L65*($E65/366))+(L66*($E66/366))</f>
        <v>0</v>
      </c>
      <c r="D168" s="5">
        <f>(M65*($E65/366))+(M66*($E66/366))</f>
        <v>0</v>
      </c>
      <c r="E168" s="18">
        <f t="shared" si="48"/>
        <v>100</v>
      </c>
      <c r="G168" s="14">
        <v>1988</v>
      </c>
      <c r="H168" s="380">
        <f>(O65/$R65*100*($E65/366))+(O66/$R66*100*($E66/366))</f>
        <v>100</v>
      </c>
      <c r="I168" s="380"/>
      <c r="J168" s="380">
        <f>(P65/$R65*100*($E65/366))+(P66/$R66*100*($E66/366))</f>
        <v>0</v>
      </c>
      <c r="K168" s="380"/>
      <c r="L168" s="380">
        <f>(Q65/$R65*100*($E65/366))+(Q66/$R66*100*($E66/366))</f>
        <v>0</v>
      </c>
      <c r="M168" s="380"/>
      <c r="N168" s="379">
        <f t="shared" si="49"/>
        <v>100</v>
      </c>
      <c r="O168" s="379"/>
      <c r="R168" s="14">
        <v>1988</v>
      </c>
      <c r="S168" s="5">
        <f>(O65*($E65/366))+(O66*($E66/366))</f>
        <v>73.60464480874316</v>
      </c>
      <c r="T168" s="5">
        <f>(P65*($E65/366))+(P66*($E66/366))</f>
        <v>0</v>
      </c>
      <c r="U168" s="5">
        <f>(Q65*($E65/366))+(Q66*($E66/366))</f>
        <v>0</v>
      </c>
      <c r="V168" s="9"/>
      <c r="W168" s="5">
        <f>R65*(E65/366) + R66*(E66/366)</f>
        <v>73.60464480874316</v>
      </c>
      <c r="X168" s="4"/>
    </row>
    <row r="169" spans="1:24" s="3" customFormat="1" x14ac:dyDescent="0.15">
      <c r="A169" s="15">
        <v>1989</v>
      </c>
      <c r="B169" s="8">
        <f>(K67*($E67/365))+(K68*($E68/365))</f>
        <v>100</v>
      </c>
      <c r="C169" s="8">
        <f>(L67*($E67/365))+(L68*($E68/365))</f>
        <v>0</v>
      </c>
      <c r="D169" s="8">
        <f>(M67*($E67/365))+(M68*($E68/365))</f>
        <v>0</v>
      </c>
      <c r="E169" s="19">
        <f t="shared" si="48"/>
        <v>100</v>
      </c>
      <c r="G169" s="15">
        <v>1989</v>
      </c>
      <c r="H169" s="385">
        <f>(O67/$R67*100*($E67/365))+(O68/$R68*100*($E68/365))</f>
        <v>100</v>
      </c>
      <c r="I169" s="385"/>
      <c r="J169" s="385">
        <f>(P67/$R67*100*($E67/365))+(P68/$R68*100*($E68/365))</f>
        <v>0</v>
      </c>
      <c r="K169" s="385"/>
      <c r="L169" s="385">
        <f>(Q67/$R67*100*($E67/365))+(Q68/$R68*100*($E68/365))</f>
        <v>0</v>
      </c>
      <c r="M169" s="385"/>
      <c r="N169" s="386">
        <f t="shared" si="49"/>
        <v>100</v>
      </c>
      <c r="O169" s="386"/>
      <c r="R169" s="15">
        <v>1989</v>
      </c>
      <c r="S169" s="8">
        <f>(O67*($E67/365))+(O68*($E68/365))</f>
        <v>57.3</v>
      </c>
      <c r="T169" s="8">
        <f>(P67*($E67/365))+(P68*($E68/365))</f>
        <v>0</v>
      </c>
      <c r="U169" s="8">
        <f>(Q67*($E67/365))+(Q68*($E68/365))</f>
        <v>0</v>
      </c>
      <c r="V169" s="21"/>
      <c r="W169" s="8">
        <f>R67*(E67/365) + R68*(E68/365)</f>
        <v>57.3</v>
      </c>
      <c r="X169" s="13"/>
    </row>
    <row r="170" spans="1:24" x14ac:dyDescent="0.15">
      <c r="A170" s="1">
        <v>1990</v>
      </c>
      <c r="B170" s="5">
        <f>(K69*($E69/365))+(K70*($E70/365))</f>
        <v>100</v>
      </c>
      <c r="C170" s="5">
        <f>(L69*($E69/365))+(L70*($E70/365))</f>
        <v>0</v>
      </c>
      <c r="D170" s="5">
        <f>(M69*($E69/365))+(M70*($E70/365))</f>
        <v>0</v>
      </c>
      <c r="E170" s="18">
        <f t="shared" si="48"/>
        <v>100</v>
      </c>
      <c r="G170" s="1">
        <v>1990</v>
      </c>
      <c r="H170" s="380">
        <f>(O69/$R69*100*($E69/365))+(O70/$R70*100*($E70/365))</f>
        <v>100</v>
      </c>
      <c r="I170" s="380"/>
      <c r="J170" s="380">
        <f>(P69/$R69*100*($E69/365))+(P70/$R70*100*($E70/365))</f>
        <v>0</v>
      </c>
      <c r="K170" s="380"/>
      <c r="L170" s="380">
        <f>(Q69/$R69*100*($E69/365))+(Q70/$R70*100*($E70/365))</f>
        <v>0</v>
      </c>
      <c r="M170" s="380"/>
      <c r="N170" s="379">
        <f t="shared" si="49"/>
        <v>100</v>
      </c>
      <c r="O170" s="379"/>
      <c r="R170" s="1">
        <v>1990</v>
      </c>
      <c r="S170" s="5">
        <f>(O69*($E69/365))+(O70*($E70/365))</f>
        <v>57.3</v>
      </c>
      <c r="T170" s="5">
        <f>(P69*($E69/365))+(P70*($E70/365))</f>
        <v>0</v>
      </c>
      <c r="U170" s="5">
        <f>(Q69*($E69/365))+(Q70*($E70/365))</f>
        <v>0</v>
      </c>
      <c r="V170" s="9"/>
      <c r="W170" s="5">
        <f>R69*(E69/365) + R70*(E70/365)</f>
        <v>57.3</v>
      </c>
      <c r="X170" s="4"/>
    </row>
    <row r="171" spans="1:24" x14ac:dyDescent="0.15">
      <c r="A171" s="1">
        <v>1991</v>
      </c>
      <c r="B171" s="5">
        <f>(K71*($E71/365))+(K72*($E72/365))</f>
        <v>100</v>
      </c>
      <c r="C171" s="5">
        <f>(L71*($E71/365))+(L72*($E72/365))</f>
        <v>0</v>
      </c>
      <c r="D171" s="5">
        <f>(M71*($E71/365))+(M72*($E72/365))</f>
        <v>0</v>
      </c>
      <c r="E171" s="18">
        <f t="shared" ref="E171:E194" si="50">SUM(B171:D171)</f>
        <v>100</v>
      </c>
      <c r="G171" s="1">
        <v>1991</v>
      </c>
      <c r="H171" s="380">
        <f>(O71/$R71*100*($E71/365))+(O72/$R72*100*($E72/365))</f>
        <v>100</v>
      </c>
      <c r="I171" s="380"/>
      <c r="J171" s="380">
        <f>(P71/$R71*100*($E71/365))+(P72/$R72*100*($E72/365))</f>
        <v>0</v>
      </c>
      <c r="K171" s="380"/>
      <c r="L171" s="380">
        <f>(Q71/$R71*100*($E71/365))+(Q72/$R72*100*($E72/365))</f>
        <v>0</v>
      </c>
      <c r="M171" s="380"/>
      <c r="N171" s="379">
        <f t="shared" si="49"/>
        <v>100</v>
      </c>
      <c r="O171" s="379"/>
      <c r="R171" s="1">
        <v>1991</v>
      </c>
      <c r="S171" s="5">
        <f>(O71*($E71/365))+(O72*($E72/365))</f>
        <v>57.3</v>
      </c>
      <c r="T171" s="5">
        <f>(P71*($E71/365))+(P72*($E72/365))</f>
        <v>0</v>
      </c>
      <c r="U171" s="5">
        <f>(Q71*($E71/365))+(Q72*($E72/365))</f>
        <v>0</v>
      </c>
      <c r="V171" s="9"/>
      <c r="W171" s="5">
        <f>R71*(E71/365) + R72*(E72/365)</f>
        <v>57.3</v>
      </c>
      <c r="X171" s="4"/>
    </row>
    <row r="172" spans="1:24" x14ac:dyDescent="0.15">
      <c r="A172" s="1">
        <v>1992</v>
      </c>
      <c r="B172" s="5">
        <f>(K73*($E73/366))+(K74*($E74/366))</f>
        <v>100</v>
      </c>
      <c r="C172" s="5">
        <f>(L73*($E73/366))+(L74*($E74/366))</f>
        <v>0</v>
      </c>
      <c r="D172" s="5">
        <f>(M73*($E73/366))+(M74*($E74/366))</f>
        <v>0</v>
      </c>
      <c r="E172" s="18">
        <f t="shared" si="50"/>
        <v>100</v>
      </c>
      <c r="G172" s="1">
        <v>1992</v>
      </c>
      <c r="H172" s="380">
        <f>(O73/$R73*100*($E73/366))+(O74/$R74*100*($E74/366))</f>
        <v>100</v>
      </c>
      <c r="I172" s="380"/>
      <c r="J172" s="380">
        <f>(P73/$R73*100*($E73/366))+(P74/$R74*100*($E74/366))</f>
        <v>0</v>
      </c>
      <c r="K172" s="380"/>
      <c r="L172" s="380">
        <f>(Q73/$R73*100*($E73/366))+(Q74/$R74*100*($E74/366))</f>
        <v>0</v>
      </c>
      <c r="M172" s="380"/>
      <c r="N172" s="379">
        <f t="shared" si="49"/>
        <v>100</v>
      </c>
      <c r="O172" s="379"/>
      <c r="R172" s="1">
        <v>1992</v>
      </c>
      <c r="S172" s="5">
        <f>(O73*($E73/366))+(O74*($E74/366))</f>
        <v>57.3</v>
      </c>
      <c r="T172" s="5">
        <f>(P73*($E73/366))+(P74*($E74/366))</f>
        <v>0</v>
      </c>
      <c r="U172" s="5">
        <f>(Q73*($E73/366))+(Q74*($E74/366))</f>
        <v>0</v>
      </c>
      <c r="V172" s="9"/>
      <c r="W172" s="5">
        <f>R73*(E73/366) + R74*(E74/366)</f>
        <v>57.3</v>
      </c>
      <c r="X172" s="4"/>
    </row>
    <row r="173" spans="1:24" x14ac:dyDescent="0.15">
      <c r="A173" s="1">
        <v>1993</v>
      </c>
      <c r="B173" s="5">
        <f>(K75*($E75/365))+(K76*($E76/365))+(K77*($E77/365))</f>
        <v>84.109589041095887</v>
      </c>
      <c r="C173" s="5">
        <f>(L75*($E75/365))+(L76*($E76/365))+(L77*($E77/365))</f>
        <v>15.890410958904111</v>
      </c>
      <c r="D173" s="5">
        <f>(M75*($E75/365))+(M76*($E76/365))+(M77*($E77/365))</f>
        <v>0</v>
      </c>
      <c r="E173" s="18">
        <f t="shared" si="50"/>
        <v>100</v>
      </c>
      <c r="G173" s="1">
        <v>1993</v>
      </c>
      <c r="H173" s="380">
        <f>(O75/$R75*100*($E75/365))+(O76/$R76*100*($E76/365))+(O77/$R77*100*($E77/365))</f>
        <v>84.109589041095887</v>
      </c>
      <c r="I173" s="380"/>
      <c r="J173" s="380">
        <f>(P75/$R75*100*($E75/365))+(P76/$R76*100*($E76/365))+(P77/$R77*100*($E77/365))</f>
        <v>15.890410958904111</v>
      </c>
      <c r="K173" s="380"/>
      <c r="L173" s="380">
        <f>(Q75/$R75*100*($E75/365))+(Q76/$R76*100*($E76/365))+(Q77/$R77*100*($E77/365))</f>
        <v>0</v>
      </c>
      <c r="M173" s="380"/>
      <c r="N173" s="379">
        <f t="shared" si="49"/>
        <v>100</v>
      </c>
      <c r="O173" s="379"/>
      <c r="R173" s="1">
        <v>1993</v>
      </c>
      <c r="S173" s="5">
        <f>(O75*($E75/365))+(O75*($E75/365))+(O77*($E77/365))</f>
        <v>54.945205479452049</v>
      </c>
      <c r="T173" s="5">
        <f>(P75*($E75/365))+(P75*($E75/365))+(P77*($E77/365))</f>
        <v>9.5342465753424666</v>
      </c>
      <c r="U173" s="5">
        <f>(Q75*($E75/365))+(Q75*($E75/365))+(Q77*($E77/365))</f>
        <v>0</v>
      </c>
      <c r="V173" s="9"/>
      <c r="W173" s="5">
        <f>R76*(E76/365) + R77*(E77/365)</f>
        <v>30.256438356164381</v>
      </c>
      <c r="X173" s="4"/>
    </row>
    <row r="174" spans="1:24" x14ac:dyDescent="0.15">
      <c r="A174" s="1">
        <v>1994</v>
      </c>
      <c r="B174" s="5">
        <f>(K78*($E78/365))+(K79*($E79/365))</f>
        <v>0</v>
      </c>
      <c r="C174" s="5">
        <f>(L78*($E78/365))+(L79*($E79/365))</f>
        <v>100</v>
      </c>
      <c r="D174" s="5">
        <f>(M78*($E78/365))+(M79*($E79/365))</f>
        <v>0</v>
      </c>
      <c r="E174" s="18">
        <f t="shared" si="50"/>
        <v>100</v>
      </c>
      <c r="G174" s="1">
        <v>1994</v>
      </c>
      <c r="H174" s="380">
        <f>(O78/$R78*100*($E78/365))+(O79/$R79*100*($E79/365))</f>
        <v>0</v>
      </c>
      <c r="I174" s="380"/>
      <c r="J174" s="380">
        <f>(P78/$R78*100*($E78/365))+(P79/$R79*100*($E79/365))</f>
        <v>100</v>
      </c>
      <c r="K174" s="380"/>
      <c r="L174" s="380">
        <f>(Q78/$R78*100*($E78/365))+(Q79/$R79*100*($E79/365))</f>
        <v>0</v>
      </c>
      <c r="M174" s="380"/>
      <c r="N174" s="379">
        <f t="shared" si="49"/>
        <v>100</v>
      </c>
      <c r="O174" s="379"/>
      <c r="R174" s="1">
        <v>1994</v>
      </c>
      <c r="S174" s="5">
        <f>(O78*($E78/365))+(O79*($E79/365))</f>
        <v>0</v>
      </c>
      <c r="T174" s="5">
        <f>(P78*($E78/365))+(P79*($E79/365))</f>
        <v>60</v>
      </c>
      <c r="U174" s="5">
        <f>(Q78*($E78/365))+(Q79*($E79/365))</f>
        <v>0</v>
      </c>
      <c r="V174" s="9"/>
      <c r="W174" s="5">
        <f>R78*(E78/365) + R79*(E79/365)</f>
        <v>60</v>
      </c>
      <c r="X174" s="4"/>
    </row>
    <row r="175" spans="1:24" x14ac:dyDescent="0.15">
      <c r="A175" s="1">
        <v>1995</v>
      </c>
      <c r="B175" s="5">
        <f>(K80*($E80/365))+(K81*($E81/365))</f>
        <v>0</v>
      </c>
      <c r="C175" s="5">
        <f>(L80*($E80/365))+(L81*($E81/365))</f>
        <v>100</v>
      </c>
      <c r="D175" s="5">
        <f>(M80*($E80/365))+(M81*($E81/365))</f>
        <v>0</v>
      </c>
      <c r="E175" s="18">
        <f t="shared" si="50"/>
        <v>100</v>
      </c>
      <c r="G175" s="1">
        <v>1995</v>
      </c>
      <c r="H175" s="380">
        <f>(O80/$R80*100*($E80/365))+(O81/$R81*100*($E81/365))</f>
        <v>0</v>
      </c>
      <c r="I175" s="380"/>
      <c r="J175" s="380">
        <f>(P80/$R80*100*($E80/365))+(P81/$R81*100*($E81/365))</f>
        <v>100</v>
      </c>
      <c r="K175" s="380"/>
      <c r="L175" s="380">
        <f>(Q80/$R80*100*($E80/365))+(Q81/$R81*100*($E81/365))</f>
        <v>0</v>
      </c>
      <c r="M175" s="380"/>
      <c r="N175" s="379">
        <f t="shared" si="49"/>
        <v>100</v>
      </c>
      <c r="O175" s="379"/>
      <c r="R175" s="1">
        <v>1995</v>
      </c>
      <c r="S175" s="5">
        <f>(O80*($E80/365))+(O81*($E81/365))</f>
        <v>0</v>
      </c>
      <c r="T175" s="5">
        <f>(P80*($E80/365))+(P81*($E81/365))</f>
        <v>60</v>
      </c>
      <c r="U175" s="5">
        <f>(Q80*($E80/365))+(Q81*($E81/365))</f>
        <v>0</v>
      </c>
      <c r="V175" s="9"/>
      <c r="W175" s="5">
        <f>R80*(E80/365) + R81*(E81/365)</f>
        <v>60</v>
      </c>
      <c r="X175" s="4"/>
    </row>
    <row r="176" spans="1:24" x14ac:dyDescent="0.15">
      <c r="A176" s="1">
        <v>1996</v>
      </c>
      <c r="B176" s="5">
        <f>(K82*($E82/366))+(K83*($E83/366))</f>
        <v>0</v>
      </c>
      <c r="C176" s="5">
        <f>(L82*($E82/366))+(L83*($E83/366))</f>
        <v>100</v>
      </c>
      <c r="D176" s="5">
        <f>(M82*($E82/366))+(M83*($E83/366))</f>
        <v>0</v>
      </c>
      <c r="E176" s="18">
        <f t="shared" si="50"/>
        <v>100</v>
      </c>
      <c r="G176" s="1">
        <v>1996</v>
      </c>
      <c r="H176" s="380">
        <f>(O82/$R82*100*($E82/366))+(O83/$R83*100*($E83/366))</f>
        <v>0</v>
      </c>
      <c r="I176" s="380"/>
      <c r="J176" s="380">
        <f>(P82/$R82*100*($E82/366))+(P83/$R83*100*($E83/366))</f>
        <v>100</v>
      </c>
      <c r="K176" s="380"/>
      <c r="L176" s="380">
        <f>(Q82/$R82*100*($E82/366))+(Q83/$R83*100*($E83/366))</f>
        <v>0</v>
      </c>
      <c r="M176" s="380"/>
      <c r="N176" s="379">
        <f t="shared" si="49"/>
        <v>100</v>
      </c>
      <c r="O176" s="379"/>
      <c r="R176" s="1">
        <v>1996</v>
      </c>
      <c r="S176" s="5">
        <f>(O82*($E82/366))+(O83*($E83/366))</f>
        <v>0</v>
      </c>
      <c r="T176" s="5">
        <f>(P82*($E82/366))+(P83*($E83/366))</f>
        <v>60</v>
      </c>
      <c r="U176" s="5">
        <f>(Q82*($E82/366))+(Q83*($E83/366))</f>
        <v>0</v>
      </c>
      <c r="V176" s="9"/>
      <c r="W176" s="5">
        <f>R82*(E82/366) + R83*(E83/366)</f>
        <v>60</v>
      </c>
      <c r="X176" s="4"/>
    </row>
    <row r="177" spans="1:24" x14ac:dyDescent="0.15">
      <c r="A177" s="1">
        <v>1997</v>
      </c>
      <c r="B177" s="5">
        <f>(K84*($E84/365))+(K85*($E85/365))</f>
        <v>0</v>
      </c>
      <c r="C177" s="5">
        <f>(L84*($E84/365))+(L85*($E85/365))</f>
        <v>100</v>
      </c>
      <c r="D177" s="5">
        <f>(M84*($E84/365))+(M85*($E85/365))</f>
        <v>0</v>
      </c>
      <c r="E177" s="18">
        <f t="shared" si="50"/>
        <v>100</v>
      </c>
      <c r="G177" s="1">
        <v>1997</v>
      </c>
      <c r="H177" s="380">
        <f>(O84/$R84*100*($E84/365))+(O85/$R85*100*($E85/365))</f>
        <v>0</v>
      </c>
      <c r="I177" s="380"/>
      <c r="J177" s="380">
        <f>(P84/$R84*100*($E84/365))+(P85/$R85*100*($E85/365))</f>
        <v>100</v>
      </c>
      <c r="K177" s="380"/>
      <c r="L177" s="380">
        <f>(Q84/$R84*100*($E84/365))+(Q85/$R85*100*($E85/365))</f>
        <v>0</v>
      </c>
      <c r="M177" s="380"/>
      <c r="N177" s="379">
        <f t="shared" si="49"/>
        <v>100</v>
      </c>
      <c r="O177" s="379"/>
      <c r="R177" s="1">
        <v>1997</v>
      </c>
      <c r="S177" s="5">
        <f>(O84*($E84/365))+(O85*($E85/365))</f>
        <v>0</v>
      </c>
      <c r="T177" s="5">
        <f>(P84*($E84/365))+(P85*($E85/365))</f>
        <v>55.249315068493154</v>
      </c>
      <c r="U177" s="5">
        <f>(Q84*($E84/365))+(Q85*($E85/365))</f>
        <v>0</v>
      </c>
      <c r="V177" s="9"/>
      <c r="W177" s="5">
        <f>R84*(E84/365) + R85*(E85/365)</f>
        <v>55.249315068493154</v>
      </c>
      <c r="X177" s="4"/>
    </row>
    <row r="178" spans="1:24" x14ac:dyDescent="0.15">
      <c r="A178" s="1">
        <v>1998</v>
      </c>
      <c r="B178" s="5">
        <f>(K86*($E86/365))+(K87*($E87/365))</f>
        <v>0</v>
      </c>
      <c r="C178" s="5">
        <f>(L86*($E86/365))+(L87*($E87/365))</f>
        <v>100</v>
      </c>
      <c r="D178" s="5">
        <f>(M86*($E86/365))+(M87*($E87/365))</f>
        <v>0</v>
      </c>
      <c r="E178" s="18">
        <f t="shared" si="50"/>
        <v>100</v>
      </c>
      <c r="G178" s="1">
        <v>1998</v>
      </c>
      <c r="H178" s="380">
        <f>(O86/$R86*100*($E86/365))+(O87/$R87*100*($E87/365))</f>
        <v>0</v>
      </c>
      <c r="I178" s="380"/>
      <c r="J178" s="380">
        <f>(P86/$R86*100*($E86/365))+(P87/$R87*100*($E87/365))</f>
        <v>100</v>
      </c>
      <c r="K178" s="380"/>
      <c r="L178" s="380">
        <f>(Q86/$R86*100*($E86/365))+(Q87/$R87*100*($E87/365))</f>
        <v>0</v>
      </c>
      <c r="M178" s="380"/>
      <c r="N178" s="379">
        <f t="shared" si="49"/>
        <v>100</v>
      </c>
      <c r="O178" s="379"/>
      <c r="R178" s="1">
        <v>1998</v>
      </c>
      <c r="S178" s="5">
        <f>(O86*($E86/365))+(O87*($E87/365))</f>
        <v>0</v>
      </c>
      <c r="T178" s="5">
        <f>(P86*($E86/365))+(P87*($E87/365))</f>
        <v>51.5</v>
      </c>
      <c r="U178" s="5">
        <f>(Q86*($E86/365))+(Q87*($E87/365))</f>
        <v>0</v>
      </c>
      <c r="V178" s="9"/>
      <c r="W178" s="5">
        <f>R86*(E86/365) + R87*(E87/365)</f>
        <v>51.5</v>
      </c>
      <c r="X178" s="4"/>
    </row>
    <row r="179" spans="1:24" x14ac:dyDescent="0.15">
      <c r="A179" s="1">
        <v>1999</v>
      </c>
      <c r="B179" s="5">
        <f>(K88*($E88/365))+(K89*($E89/365))</f>
        <v>0</v>
      </c>
      <c r="C179" s="5">
        <f>(L88*($E88/365))+(L89*($E89/365))</f>
        <v>100</v>
      </c>
      <c r="D179" s="5">
        <f>(M88*($E88/365))+(M89*($E89/365))</f>
        <v>0</v>
      </c>
      <c r="E179" s="18">
        <f t="shared" si="50"/>
        <v>100</v>
      </c>
      <c r="G179" s="1">
        <v>1999</v>
      </c>
      <c r="H179" s="380">
        <f>(O88/$R88*100*($E88/365))+(O89/$R89*100*($E89/365))</f>
        <v>0</v>
      </c>
      <c r="I179" s="380"/>
      <c r="J179" s="380">
        <f>(P88/$R88*100*($E88/365))+(P89/$R89*100*($E89/365))</f>
        <v>100</v>
      </c>
      <c r="K179" s="380"/>
      <c r="L179" s="380">
        <f>(Q88/$R88*100*($E88/365))+(Q89/$R89*100*($E89/365))</f>
        <v>0</v>
      </c>
      <c r="M179" s="380"/>
      <c r="N179" s="379">
        <f t="shared" si="49"/>
        <v>100</v>
      </c>
      <c r="O179" s="379"/>
      <c r="R179" s="1">
        <v>1999</v>
      </c>
      <c r="S179" s="5">
        <f>(O88*($E88/365))+(O89*($E89/365))</f>
        <v>0</v>
      </c>
      <c r="T179" s="5">
        <f>(P88*($E88/365))+(P89*($E89/365))</f>
        <v>51.5</v>
      </c>
      <c r="U179" s="5">
        <f>(Q88*($E88/365))+(Q89*($E89/365))</f>
        <v>0</v>
      </c>
      <c r="V179" s="9"/>
      <c r="W179" s="5">
        <f>R88*(E88/365) + R89*(E89/365)</f>
        <v>51.5</v>
      </c>
      <c r="X179" s="4"/>
    </row>
    <row r="180" spans="1:24" x14ac:dyDescent="0.15">
      <c r="A180" s="1">
        <v>2000</v>
      </c>
      <c r="B180" s="5">
        <f>(K90*($E90/366))+(K91*($E91/366))</f>
        <v>0</v>
      </c>
      <c r="C180" s="5">
        <f>(L90*($E90/366))+(L91*($E91/366))</f>
        <v>100</v>
      </c>
      <c r="D180" s="5">
        <f>(M90*($E90/366))+(M91*($E91/366))</f>
        <v>0</v>
      </c>
      <c r="E180" s="18">
        <f t="shared" si="50"/>
        <v>100</v>
      </c>
      <c r="G180" s="1">
        <v>2000</v>
      </c>
      <c r="H180" s="380">
        <f>(O90/$R90*100*($E90/366))+(O91/$R91*100*($E91/366))</f>
        <v>0</v>
      </c>
      <c r="I180" s="380"/>
      <c r="J180" s="380">
        <f>(P90/$R90*100*($E90/366))+(P91/$R91*100*($E91/366))</f>
        <v>100</v>
      </c>
      <c r="K180" s="380"/>
      <c r="L180" s="380">
        <f>(Q90/$R90*100*($E90/366))+(Q91/$R91*100*($E91/366))</f>
        <v>0</v>
      </c>
      <c r="M180" s="380"/>
      <c r="N180" s="379">
        <f t="shared" si="49"/>
        <v>100</v>
      </c>
      <c r="O180" s="379"/>
      <c r="R180" s="1">
        <v>2000</v>
      </c>
      <c r="S180" s="5">
        <f>(O90*($E90/366))+(O91*($E91/366))</f>
        <v>0</v>
      </c>
      <c r="T180" s="5">
        <f>(P90*($E90/366))+(P91*($E91/366))</f>
        <v>52.035519125683059</v>
      </c>
      <c r="U180" s="5">
        <f>(Q90*($E90/366))+(Q91*($E91/366))</f>
        <v>0</v>
      </c>
      <c r="V180" s="9"/>
      <c r="W180" s="5">
        <f>R90*(E90/366) + R91*(E91/366)</f>
        <v>52.035519125683059</v>
      </c>
      <c r="X180" s="4"/>
    </row>
    <row r="181" spans="1:24" x14ac:dyDescent="0.15">
      <c r="A181" s="1">
        <v>2001</v>
      </c>
      <c r="B181" s="5">
        <f>(K92*($E92/365))+(K93*($E93/365))</f>
        <v>0</v>
      </c>
      <c r="C181" s="5">
        <f>(L92*($E92/365))+(L93*($E93/365))</f>
        <v>100</v>
      </c>
      <c r="D181" s="5">
        <f>(M92*($E92/365))+(M93*($E93/365))</f>
        <v>0</v>
      </c>
      <c r="E181" s="18">
        <f t="shared" si="50"/>
        <v>100</v>
      </c>
      <c r="G181" s="1">
        <v>2001</v>
      </c>
      <c r="H181" s="380">
        <f>(O92/$R92*100*($E92/365))+(O93/$R93*100*($E93/365))</f>
        <v>0</v>
      </c>
      <c r="I181" s="380"/>
      <c r="J181" s="380">
        <f>(P92/$R92*100*($E92/365))+(P93/$R93*100*($E93/365))</f>
        <v>100</v>
      </c>
      <c r="K181" s="380"/>
      <c r="L181" s="380">
        <f>(Q92/$R92*100*($E92/365))+(Q93/$R93*100*($E93/365))</f>
        <v>0</v>
      </c>
      <c r="M181" s="380"/>
      <c r="N181" s="379">
        <f t="shared" si="49"/>
        <v>100</v>
      </c>
      <c r="O181" s="379"/>
      <c r="R181" s="1">
        <v>2001</v>
      </c>
      <c r="S181" s="5">
        <f>(O92*($E92/365))+(O93*($E93/365))</f>
        <v>0</v>
      </c>
      <c r="T181" s="5">
        <f>(P92*($E92/365))+(P93*($E93/365))</f>
        <v>57.1</v>
      </c>
      <c r="U181" s="5">
        <f>(Q92*($E92/365))+(Q93*($E93/365))</f>
        <v>0</v>
      </c>
      <c r="V181" s="9"/>
      <c r="W181" s="5">
        <f>R92*(E92/365) + R93*(E93/365)</f>
        <v>57.1</v>
      </c>
      <c r="X181" s="4"/>
    </row>
    <row r="182" spans="1:24" x14ac:dyDescent="0.15">
      <c r="A182" s="1">
        <v>2002</v>
      </c>
      <c r="B182" s="5">
        <f>(K94*($E94/365))+(K95*($E95/365))</f>
        <v>0</v>
      </c>
      <c r="C182" s="5">
        <f>(L94*($E94/365))+(L95*($E95/365))</f>
        <v>100</v>
      </c>
      <c r="D182" s="5">
        <f>(M94*($E94/365))+(M95*($E95/365))</f>
        <v>0</v>
      </c>
      <c r="E182" s="18">
        <f t="shared" si="50"/>
        <v>100</v>
      </c>
      <c r="G182" s="1">
        <v>2002</v>
      </c>
      <c r="H182" s="380">
        <f>(O94/$R94*100*($E94/365))+(O95/$R95*100*($E95/365))</f>
        <v>0</v>
      </c>
      <c r="I182" s="380"/>
      <c r="J182" s="380">
        <f>(P94/$R94*100*($E94/365))+(P95/$R95*100*($E95/365))</f>
        <v>100</v>
      </c>
      <c r="K182" s="380"/>
      <c r="L182" s="380">
        <f>(Q94/$R94*100*($E94/365))+(Q95/$R95*100*($E95/365))</f>
        <v>0</v>
      </c>
      <c r="M182" s="380"/>
      <c r="N182" s="379">
        <f t="shared" si="49"/>
        <v>100</v>
      </c>
      <c r="O182" s="379"/>
      <c r="R182" s="1">
        <v>2002</v>
      </c>
      <c r="S182" s="5">
        <f>(O94*($E94/365))+(O95*($E95/365))</f>
        <v>0</v>
      </c>
      <c r="T182" s="5">
        <f>(P94*($E94/365))+(P95*($E95/365))</f>
        <v>57.1</v>
      </c>
      <c r="U182" s="5">
        <f>(Q94*($E94/365))+(Q95*($E95/365))</f>
        <v>0</v>
      </c>
      <c r="V182" s="9"/>
      <c r="W182" s="5">
        <f>R94*(E94/365) + R95*(E95/365)</f>
        <v>57.1</v>
      </c>
      <c r="X182" s="4"/>
    </row>
    <row r="183" spans="1:24" x14ac:dyDescent="0.15">
      <c r="A183" s="1">
        <v>2003</v>
      </c>
      <c r="B183" s="5">
        <f>(K96*($E96/365))+(K97*($E97/365))</f>
        <v>0</v>
      </c>
      <c r="C183" s="5">
        <f>(L96*($E96/365))+(L97*($E97/365))</f>
        <v>100</v>
      </c>
      <c r="D183" s="5">
        <f>(M96*($E96/365))+(M97*($E97/365))</f>
        <v>0</v>
      </c>
      <c r="E183" s="18">
        <f t="shared" si="50"/>
        <v>100</v>
      </c>
      <c r="G183" s="1">
        <v>2003</v>
      </c>
      <c r="H183" s="380">
        <f>(O96/$R96*100*($E96/365))+(O97/$R97*100*($E97/365))</f>
        <v>0</v>
      </c>
      <c r="I183" s="380"/>
      <c r="J183" s="380">
        <f>(P96/$R96*100*($E96/365))+(P97/$R97*100*($E97/365))</f>
        <v>100</v>
      </c>
      <c r="K183" s="380"/>
      <c r="L183" s="380">
        <f>(Q96/$R96*100*($E96/365))+(Q97/$R97*100*($E97/365))</f>
        <v>0</v>
      </c>
      <c r="M183" s="380"/>
      <c r="N183" s="379">
        <f t="shared" si="49"/>
        <v>100</v>
      </c>
      <c r="O183" s="379"/>
      <c r="R183" s="1">
        <v>2003</v>
      </c>
      <c r="S183" s="5">
        <f>(O96*($E96/365))+(O97*($E97/365))</f>
        <v>0</v>
      </c>
      <c r="T183" s="5">
        <f>(P96*($E96/365))+(P97*($E97/365))</f>
        <v>57.1</v>
      </c>
      <c r="U183" s="5">
        <f>(Q96*($E96/365))+(Q97*($E97/365))</f>
        <v>0</v>
      </c>
      <c r="V183" s="9"/>
      <c r="W183" s="5">
        <f>R96*(E96/365) + R97*(E97/365)</f>
        <v>57.1</v>
      </c>
      <c r="X183" s="4"/>
    </row>
    <row r="184" spans="1:24" x14ac:dyDescent="0.15">
      <c r="A184" s="1">
        <v>2004</v>
      </c>
      <c r="B184" s="5">
        <f>(K98*($E98/366))+(K99*($E99/366))</f>
        <v>0</v>
      </c>
      <c r="C184" s="5">
        <f>(L98*($E98/366))+(L99*($E99/366))</f>
        <v>100</v>
      </c>
      <c r="D184" s="5">
        <f>(M98*($E98/366))+(M99*($E99/366))</f>
        <v>0</v>
      </c>
      <c r="E184" s="18">
        <f t="shared" si="50"/>
        <v>100</v>
      </c>
      <c r="G184" s="1">
        <v>2004</v>
      </c>
      <c r="H184" s="380">
        <f>(O98/$R98*100*($E98/366))+(O99/$R99*100*($E99/366))</f>
        <v>0</v>
      </c>
      <c r="I184" s="380"/>
      <c r="J184" s="380">
        <f>(P98/$R98*100*($E98/366))+(P99/$R99*100*($E99/366))</f>
        <v>100</v>
      </c>
      <c r="K184" s="380"/>
      <c r="L184" s="380">
        <f>(Q98/$R98*100*($E98/366))+(Q99/$R99*100*($E99/366))</f>
        <v>0</v>
      </c>
      <c r="M184" s="380"/>
      <c r="N184" s="379">
        <f t="shared" si="49"/>
        <v>100</v>
      </c>
      <c r="O184" s="379"/>
      <c r="R184" s="1">
        <v>2004</v>
      </c>
      <c r="S184" s="5">
        <f>(O98*($E98/366))+(O99*($E99/366))</f>
        <v>0</v>
      </c>
      <c r="T184" s="5">
        <f>(P98*($E98/366))+(P99*($E99/366))</f>
        <v>51.10409836065574</v>
      </c>
      <c r="U184" s="5">
        <f>(Q98*($E98/366))+(Q99*($E99/366))</f>
        <v>0</v>
      </c>
      <c r="V184" s="9"/>
      <c r="W184" s="5">
        <f>R98*(E98/366) + R99*(E99/366)</f>
        <v>51.10409836065574</v>
      </c>
      <c r="X184" s="4"/>
    </row>
    <row r="185" spans="1:24" x14ac:dyDescent="0.15">
      <c r="A185" s="1">
        <v>2005</v>
      </c>
      <c r="B185" s="5">
        <f>(K100*($E100/365))+(K101*($E101/365))</f>
        <v>0</v>
      </c>
      <c r="C185" s="5">
        <f>(L100*($E100/365))+(L101*($E101/365))</f>
        <v>100</v>
      </c>
      <c r="D185" s="5">
        <f>(M100*($E100/365))+(M101*($E101/365))</f>
        <v>0</v>
      </c>
      <c r="E185" s="18">
        <f t="shared" si="50"/>
        <v>100</v>
      </c>
      <c r="G185" s="1">
        <v>2005</v>
      </c>
      <c r="H185" s="380">
        <f>(O100/$R100*100*($E100/365))+(O101/$R101*100*($E101/365))</f>
        <v>0</v>
      </c>
      <c r="I185" s="380"/>
      <c r="J185" s="380">
        <f>(P100/$R100*100*($E100/365))+(P101/$R101*100*($E101/365))</f>
        <v>100</v>
      </c>
      <c r="K185" s="380"/>
      <c r="L185" s="380">
        <f>(Q100/$R100*100*($E100/365))+(Q101/$R101*100*($E101/365))</f>
        <v>0</v>
      </c>
      <c r="M185" s="380"/>
      <c r="N185" s="379">
        <f t="shared" si="49"/>
        <v>100</v>
      </c>
      <c r="O185" s="379"/>
      <c r="R185" s="1">
        <v>2005</v>
      </c>
      <c r="S185" s="5">
        <f>(O100*($E100/365))+(O101*($E101/365))</f>
        <v>0</v>
      </c>
      <c r="T185" s="5">
        <f>(P100*($E100/365))+(P101*($E101/365))</f>
        <v>43.8</v>
      </c>
      <c r="U185" s="5">
        <f>(Q100*($E100/365))+(Q101*($E101/365))</f>
        <v>0</v>
      </c>
      <c r="V185" s="9"/>
      <c r="W185" s="5">
        <f>R100*(E100/365) + R101*(E101/365)</f>
        <v>43.8</v>
      </c>
      <c r="X185" s="4"/>
    </row>
    <row r="186" spans="1:24" x14ac:dyDescent="0.15">
      <c r="A186" s="1">
        <v>2006</v>
      </c>
      <c r="B186" s="5">
        <f>(K102*($E102/365))+(K103*($E103/365))</f>
        <v>90.136986301369859</v>
      </c>
      <c r="C186" s="5">
        <f>(L102*($E102/365))+(L103*($E103/365))</f>
        <v>9.8630136986301373</v>
      </c>
      <c r="D186" s="5">
        <f>(M102*($E102/365))+(M103*($E103/365))</f>
        <v>0</v>
      </c>
      <c r="E186" s="18">
        <f t="shared" si="50"/>
        <v>100</v>
      </c>
      <c r="G186" s="1">
        <v>2006</v>
      </c>
      <c r="H186" s="380">
        <f>(O102/$R102*100*($E102/365))+(O103/$R103*100*($E103/365))</f>
        <v>90.136986301369859</v>
      </c>
      <c r="I186" s="380"/>
      <c r="J186" s="380">
        <f>(P102/$R102*100*($E102/365))+(P103/$R103*100*($E103/365))</f>
        <v>9.8630136986301373</v>
      </c>
      <c r="K186" s="380"/>
      <c r="L186" s="380">
        <f>(Q102/$R102*100*($E102/365))+(Q103/$R103*100*($E103/365))</f>
        <v>0</v>
      </c>
      <c r="M186" s="380"/>
      <c r="N186" s="379">
        <f t="shared" si="49"/>
        <v>100</v>
      </c>
      <c r="O186" s="379"/>
      <c r="R186" s="1">
        <v>2006</v>
      </c>
      <c r="S186" s="5">
        <f>(O102*($E102/365))+(O103*($E103/365))</f>
        <v>36.325205479452052</v>
      </c>
      <c r="T186" s="5">
        <f>(P102*($E102/365))+(P103*($E103/365))</f>
        <v>4.3199999999999994</v>
      </c>
      <c r="U186" s="5">
        <f>(Q102*($E102/365))+(Q103*($E103/365))</f>
        <v>0</v>
      </c>
      <c r="V186" s="9"/>
      <c r="W186" s="5">
        <f>R102*(E102/365) + R103*(E103/365)</f>
        <v>40.645205479452052</v>
      </c>
      <c r="X186" s="4"/>
    </row>
    <row r="187" spans="1:24" x14ac:dyDescent="0.15">
      <c r="A187" s="1">
        <v>2007</v>
      </c>
      <c r="B187" s="5">
        <f>(K104*($E104/365))+(K105*($E105/365))</f>
        <v>100</v>
      </c>
      <c r="C187" s="5">
        <f>(L104*($E104/365))+(L105*($E105/365))</f>
        <v>0</v>
      </c>
      <c r="D187" s="5">
        <f>(M104*($E104/365))+(M105*($E105/365))</f>
        <v>0</v>
      </c>
      <c r="E187" s="18">
        <f t="shared" si="50"/>
        <v>100</v>
      </c>
      <c r="G187" s="1">
        <v>2007</v>
      </c>
      <c r="H187" s="380">
        <f>(O104/$R104*100*($E104/365))+(O105/$R105*100*($E105/365))</f>
        <v>100</v>
      </c>
      <c r="I187" s="380"/>
      <c r="J187" s="380">
        <f>(P104/$R104*100*($E104/365))+(P105/$R105*100*($E105/365))</f>
        <v>0</v>
      </c>
      <c r="K187" s="380"/>
      <c r="L187" s="380">
        <f>(Q104/$R104*100*($E104/365))+(Q105/$R105*100*($E105/365))</f>
        <v>0</v>
      </c>
      <c r="M187" s="380"/>
      <c r="N187" s="379">
        <f t="shared" si="49"/>
        <v>100</v>
      </c>
      <c r="O187" s="379"/>
      <c r="R187" s="1">
        <v>2007</v>
      </c>
      <c r="S187" s="5">
        <f>(O104*($E104/365))+(O105*($E105/365))</f>
        <v>40.299999999999997</v>
      </c>
      <c r="T187" s="5">
        <f>(P104*($E104/365))+(P105*($E105/365))</f>
        <v>0</v>
      </c>
      <c r="U187" s="5">
        <f>(Q104*($E104/365))+(Q105*($E105/365))</f>
        <v>0</v>
      </c>
      <c r="V187" s="9"/>
      <c r="W187" s="5">
        <f>R104*(E104/365) + R105*(E105/365)</f>
        <v>40.299999999999997</v>
      </c>
      <c r="X187" s="4"/>
    </row>
    <row r="188" spans="1:24" x14ac:dyDescent="0.15">
      <c r="A188" s="1">
        <v>2008</v>
      </c>
      <c r="B188" s="5">
        <f>(K106*($E106/366))+(K107*($E107/366))</f>
        <v>100</v>
      </c>
      <c r="C188" s="5">
        <f>(L106*($E106/366))+(L107*($E107/366))</f>
        <v>0</v>
      </c>
      <c r="D188" s="5">
        <f>(M106*($E106/366))+(M107*($E107/366))</f>
        <v>0</v>
      </c>
      <c r="E188" s="18">
        <f t="shared" si="50"/>
        <v>100</v>
      </c>
      <c r="G188" s="1">
        <v>2008</v>
      </c>
      <c r="H188" s="380">
        <f>(O106/$R106*100*($E106/366))+(O107/$R107*100*($E107/366))</f>
        <v>100</v>
      </c>
      <c r="I188" s="380"/>
      <c r="J188" s="380">
        <f>(P106/$R106*100*($E106/366))+(P107/$R107*100*($E107/366))</f>
        <v>0</v>
      </c>
      <c r="K188" s="380"/>
      <c r="L188" s="380">
        <f>(Q106/$R106*100*($E106/366))+(Q107/$R107*100*($E107/366))</f>
        <v>0</v>
      </c>
      <c r="M188" s="380"/>
      <c r="N188" s="379">
        <f t="shared" si="49"/>
        <v>100</v>
      </c>
      <c r="O188" s="379"/>
      <c r="R188" s="1">
        <v>2008</v>
      </c>
      <c r="S188" s="5">
        <f>(O106*($E106/366))+(O107*($E107/366))</f>
        <v>41.35</v>
      </c>
      <c r="T188" s="5">
        <f>(P106*($E106/366))+(P107*($E107/366))</f>
        <v>0</v>
      </c>
      <c r="U188" s="5">
        <f>(Q106*($E106/366))+(Q107*($E107/366))</f>
        <v>0</v>
      </c>
      <c r="V188" s="9"/>
      <c r="W188" s="5">
        <f>R106*(E106/366) + R107*(E107/366)</f>
        <v>41.35</v>
      </c>
      <c r="X188" s="4"/>
    </row>
    <row r="189" spans="1:24" x14ac:dyDescent="0.15">
      <c r="A189" s="1">
        <v>2009</v>
      </c>
      <c r="B189" s="5">
        <f>(K108*($E108/365))+(K109*($E109/365))</f>
        <v>100</v>
      </c>
      <c r="C189" s="5">
        <f>(L108*($E108/365))+(L109*($E109/365))</f>
        <v>0</v>
      </c>
      <c r="D189" s="5">
        <f>(M108*($E108/365))+(M109*($E109/365))</f>
        <v>0</v>
      </c>
      <c r="E189" s="18">
        <f t="shared" si="50"/>
        <v>100</v>
      </c>
      <c r="G189" s="1">
        <v>2009</v>
      </c>
      <c r="H189" s="380">
        <f>(O108/$R108*100*($E108/365))+(O109/$R109*100*($E109/365))</f>
        <v>100</v>
      </c>
      <c r="I189" s="380"/>
      <c r="J189" s="380">
        <f>(P108/$R108*100*($E108/365))+(P109/$R109*100*($E109/365))</f>
        <v>0</v>
      </c>
      <c r="K189" s="380"/>
      <c r="L189" s="380">
        <f>(Q108/$R108*100*($E108/365))+(Q109/$R109*100*($E109/365))</f>
        <v>0</v>
      </c>
      <c r="M189" s="380"/>
      <c r="N189" s="379">
        <f t="shared" si="49"/>
        <v>100</v>
      </c>
      <c r="O189" s="379"/>
      <c r="R189" s="1">
        <v>2009</v>
      </c>
      <c r="S189" s="5">
        <f>(O108*($E108/365))+(O109*($E109/365))</f>
        <v>46.4</v>
      </c>
      <c r="T189" s="5">
        <f>(P108*($E108/365))+(P109*($E109/365))</f>
        <v>0</v>
      </c>
      <c r="U189" s="5">
        <f>(Q108*($E108/365))+(Q109*($E109/365))</f>
        <v>0</v>
      </c>
      <c r="V189" s="9"/>
      <c r="W189" s="5">
        <f>R108*(E108/365) + R109*(E109/365)</f>
        <v>46.4</v>
      </c>
      <c r="X189" s="4"/>
    </row>
    <row r="190" spans="1:24" x14ac:dyDescent="0.15">
      <c r="A190" s="1">
        <v>2010</v>
      </c>
      <c r="B190" s="5">
        <f>(K110*($E110/365))+(K111*($E111/365))</f>
        <v>100</v>
      </c>
      <c r="C190" s="5">
        <f>(L110*($E110/365))+(L111*($E111/365))</f>
        <v>0</v>
      </c>
      <c r="D190" s="5">
        <f>(M110*($E110/365))+(M111*($E111/365))</f>
        <v>0</v>
      </c>
      <c r="E190" s="18">
        <f t="shared" si="50"/>
        <v>100</v>
      </c>
      <c r="G190" s="1">
        <v>2010</v>
      </c>
      <c r="H190" s="380">
        <f>(O110/$R110*100*($E110/365))+(O111/$R111*100*($E111/365))</f>
        <v>100</v>
      </c>
      <c r="I190" s="380"/>
      <c r="J190" s="380">
        <f>(P110/$R110*100*($E110/365))+(P111/$R111*100*($E111/365))</f>
        <v>0</v>
      </c>
      <c r="K190" s="380"/>
      <c r="L190" s="380">
        <f>(Q110/$R110*100*($E110/365))+(Q111/$R111*100*($E111/365))</f>
        <v>0</v>
      </c>
      <c r="M190" s="380"/>
      <c r="N190" s="379">
        <f t="shared" si="49"/>
        <v>100</v>
      </c>
      <c r="O190" s="379"/>
      <c r="R190" s="1">
        <v>2010</v>
      </c>
      <c r="S190" s="5">
        <f>(O110*($E110/365))+(O111*($E111/365))</f>
        <v>46.4</v>
      </c>
      <c r="T190" s="5">
        <f>(P110*($E110/365))+(P111*($E111/365))</f>
        <v>0</v>
      </c>
      <c r="U190" s="5">
        <f>(Q110*($E110/365))+(Q111*($E111/365))</f>
        <v>0</v>
      </c>
      <c r="V190" s="9"/>
      <c r="W190" s="5">
        <f>R110*(E110/365) + R111*(E111/365)</f>
        <v>46.4</v>
      </c>
      <c r="X190" s="4"/>
    </row>
    <row r="191" spans="1:24" x14ac:dyDescent="0.15">
      <c r="A191" s="1">
        <v>2011</v>
      </c>
      <c r="B191" s="5">
        <f>(K112*($E112/365))+(K113*($E113/365))</f>
        <v>100</v>
      </c>
      <c r="C191" s="5">
        <f>(L112*($E112/365))+(L113*($E113/365))</f>
        <v>0</v>
      </c>
      <c r="D191" s="5">
        <f>(M112*($E112/365))+(M113*($E113/365))</f>
        <v>0</v>
      </c>
      <c r="E191" s="18">
        <f t="shared" si="50"/>
        <v>100</v>
      </c>
      <c r="G191" s="1">
        <v>2011</v>
      </c>
      <c r="H191" s="380">
        <f>(O112/$R112*100*($E112/365))+(O113/$R113*100*($E113/365))</f>
        <v>100</v>
      </c>
      <c r="I191" s="380"/>
      <c r="J191" s="380">
        <f>(P112/$R112*100*($E112/365))+(P113/$R113*100*($E113/365))</f>
        <v>0</v>
      </c>
      <c r="K191" s="380"/>
      <c r="L191" s="380">
        <f>(Q112/$R112*100*($E112/365))+(Q113/$R113*100*($E113/365))</f>
        <v>0</v>
      </c>
      <c r="M191" s="380"/>
      <c r="N191" s="379">
        <f t="shared" si="49"/>
        <v>100</v>
      </c>
      <c r="O191" s="379"/>
      <c r="R191" s="1">
        <v>2011</v>
      </c>
      <c r="S191" s="5">
        <f>(O112*($E112/365))+(O113*($E113/365))</f>
        <v>51.084931506849315</v>
      </c>
      <c r="T191" s="5">
        <f>(P112*($E112/365))+(P113*($E113/365))</f>
        <v>0</v>
      </c>
      <c r="U191" s="5">
        <f>(Q112*($E112/365))+(Q113*($E113/365))</f>
        <v>0</v>
      </c>
      <c r="V191" s="9"/>
      <c r="W191" s="5">
        <f>R112*(E112/365) + R113*(E113/365)</f>
        <v>51.084931506849315</v>
      </c>
      <c r="X191" s="4"/>
    </row>
    <row r="192" spans="1:24" x14ac:dyDescent="0.15">
      <c r="A192" s="1">
        <v>2012</v>
      </c>
      <c r="B192" s="5">
        <f>(K114*($E114/366))+(K115*($E115/366))</f>
        <v>100</v>
      </c>
      <c r="C192" s="5">
        <f>(L114*($E114/366))+(L115*($E115/366))</f>
        <v>0</v>
      </c>
      <c r="D192" s="5">
        <f>(M114*($E114/366))+(M115*($E115/366))</f>
        <v>0</v>
      </c>
      <c r="E192" s="18">
        <f t="shared" si="50"/>
        <v>100</v>
      </c>
      <c r="G192" s="1">
        <v>2012</v>
      </c>
      <c r="H192" s="380">
        <f>(O114/$R114*100*($E114/366))+(O115/$R115*100*($E115/366))</f>
        <v>100</v>
      </c>
      <c r="I192" s="380"/>
      <c r="J192" s="380">
        <f>(P114/$R114*100*($E114/366))+(P115/$R115*100*($E115/366))</f>
        <v>0</v>
      </c>
      <c r="K192" s="380"/>
      <c r="L192" s="380">
        <f>(Q114/$R114*100*($E114/366))+(Q115/$R115*100*($E115/366))</f>
        <v>0</v>
      </c>
      <c r="M192" s="380"/>
      <c r="N192" s="379">
        <f t="shared" si="49"/>
        <v>100</v>
      </c>
      <c r="O192" s="379"/>
      <c r="R192" s="1">
        <v>2012</v>
      </c>
      <c r="S192" s="5">
        <f>(O114*($E114/366))+(O115*($E115/366))</f>
        <v>53.9</v>
      </c>
      <c r="T192" s="5">
        <f>(P114*($E114/366))+(P115*($E115/366))</f>
        <v>0</v>
      </c>
      <c r="U192" s="5">
        <f>(Q114*($E114/366))+(Q115*($E115/366))</f>
        <v>0</v>
      </c>
      <c r="V192" s="9"/>
      <c r="W192" s="5">
        <f>R114*(E114/366) + R115*(E115/366)</f>
        <v>53.9</v>
      </c>
      <c r="X192" s="4"/>
    </row>
    <row r="193" spans="1:23" x14ac:dyDescent="0.15">
      <c r="A193" s="1">
        <v>2013</v>
      </c>
      <c r="B193" s="5">
        <f>(K116*($E116/365))+(K117*($E117/365))</f>
        <v>100</v>
      </c>
      <c r="C193" s="5">
        <f>(L116*($E116/365))+(L117*($E117/365))</f>
        <v>0</v>
      </c>
      <c r="D193" s="5">
        <f>(M116*($E116/365))+(M117*($E117/365))</f>
        <v>0</v>
      </c>
      <c r="E193" s="18">
        <f t="shared" si="50"/>
        <v>100</v>
      </c>
      <c r="G193" s="1">
        <v>2013</v>
      </c>
      <c r="H193" s="380">
        <f>(O116/$R116*100*($E116/365))+(O117/$R117*100*($E117/365))</f>
        <v>100</v>
      </c>
      <c r="I193" s="380"/>
      <c r="J193" s="380">
        <f>(P116/$R116*100*($E116/365))+(P117/$R117*100*($E117/365))</f>
        <v>0</v>
      </c>
      <c r="K193" s="380"/>
      <c r="L193" s="380">
        <f>(Q116/$R116*100*($E116/365))+(Q117/$R117*100*($E117/365))</f>
        <v>0</v>
      </c>
      <c r="M193" s="380"/>
      <c r="N193" s="379">
        <f t="shared" ref="N193:N198" si="51">SUM(H193:M193)</f>
        <v>100</v>
      </c>
      <c r="O193" s="379"/>
      <c r="R193" s="1">
        <v>2013</v>
      </c>
      <c r="S193" s="5">
        <f>(O116*($E116/365))+(O117*($E117/365))</f>
        <v>53.9</v>
      </c>
      <c r="T193" s="5">
        <f>(P116*($E116/365))+(P117*($E117/365))</f>
        <v>0</v>
      </c>
      <c r="U193" s="5">
        <f>(Q116*($E116/365))+(Q117*($E117/365))</f>
        <v>0</v>
      </c>
      <c r="W193" s="5">
        <f>R116*(E116/365) + R117*(E117/365)</f>
        <v>53.9</v>
      </c>
    </row>
    <row r="194" spans="1:23" x14ac:dyDescent="0.15">
      <c r="A194" s="1">
        <v>2014</v>
      </c>
      <c r="B194" s="5">
        <f>(K118*($E118/365))+(K119*($E119/365))</f>
        <v>100</v>
      </c>
      <c r="C194" s="5">
        <f>(L118*($E118/365))+(L119*($E119/365))</f>
        <v>0</v>
      </c>
      <c r="D194" s="5">
        <f>(M118*($E118/365))+(M119*($E119/365))</f>
        <v>0</v>
      </c>
      <c r="E194" s="18">
        <f t="shared" si="50"/>
        <v>100</v>
      </c>
      <c r="G194" s="1">
        <v>2014</v>
      </c>
      <c r="H194" s="380">
        <f>(O118/$R118*100*($E118/365))+(O119/$R119*100*($E119/365))</f>
        <v>100</v>
      </c>
      <c r="I194" s="380"/>
      <c r="J194" s="380">
        <f>(P118/$R118*100*($E118/365))+(P119/$R119*100*($E119/365))</f>
        <v>0</v>
      </c>
      <c r="K194" s="380"/>
      <c r="L194" s="380">
        <f>(Q118/$R118*100*($E118/365))+(Q119/$R119*100*($E119/365))</f>
        <v>0</v>
      </c>
      <c r="M194" s="380"/>
      <c r="N194" s="379">
        <f t="shared" si="51"/>
        <v>100</v>
      </c>
      <c r="O194" s="379"/>
      <c r="R194" s="1">
        <v>2014</v>
      </c>
      <c r="S194" s="5">
        <f>(O118*($E118/365))+(O119*($E119/365))</f>
        <v>53.9</v>
      </c>
      <c r="T194" s="5">
        <f>(P118*($E118/365))+(P119*($E119/365))</f>
        <v>0</v>
      </c>
      <c r="U194" s="5">
        <f>(Q118*($E118/365))+(Q119*($E119/365))</f>
        <v>0</v>
      </c>
      <c r="W194" s="5">
        <f>R118*(E118/365) + R119*(E119/365)</f>
        <v>53.9</v>
      </c>
    </row>
    <row r="195" spans="1:23" x14ac:dyDescent="0.15">
      <c r="A195" s="1">
        <v>2015</v>
      </c>
      <c r="B195" s="5">
        <f>(K120*($E120/365))+(K121*($E121/365))</f>
        <v>84.109589041095887</v>
      </c>
      <c r="C195" s="5">
        <f>(L120*($E120/365))+(L121*($E121/365))</f>
        <v>15.890410958904111</v>
      </c>
      <c r="D195" s="5">
        <f>(M120*($E120/365))+(M121*($E121/365))</f>
        <v>0</v>
      </c>
      <c r="E195" s="18">
        <f>SUM(B195:D195)</f>
        <v>100</v>
      </c>
      <c r="G195" s="1">
        <v>2015</v>
      </c>
      <c r="H195" s="380">
        <f>(O120/$R120*100*($E120/365))+(O121/$R121*100*($E121/365))</f>
        <v>84.109589041095887</v>
      </c>
      <c r="I195" s="380"/>
      <c r="J195" s="380">
        <f>(P120/$R120*100*($E120/365))+(P121/$R121*100*($E121/365))</f>
        <v>15.890410958904111</v>
      </c>
      <c r="K195" s="380"/>
      <c r="L195" s="380">
        <f>(Q120/$R120*100*($E120/365))+(Q121/$R121*100*($E121/365))</f>
        <v>0</v>
      </c>
      <c r="M195" s="380"/>
      <c r="N195" s="379">
        <f t="shared" si="51"/>
        <v>100</v>
      </c>
      <c r="O195" s="379"/>
      <c r="R195" s="1">
        <v>2015</v>
      </c>
      <c r="S195" s="5">
        <f>(O120*($E120/365))+(O121*($E121/365))</f>
        <v>45.335068493150686</v>
      </c>
      <c r="T195" s="5">
        <f>(P120*($E120/365))+(P121*($E121/365))</f>
        <v>8.6443835616438367</v>
      </c>
      <c r="U195" s="5">
        <f>(Q120*($E120/365))+(Q121*($E121/365))</f>
        <v>0</v>
      </c>
      <c r="W195" s="5">
        <f>R120*(E120/365) + R121*(E121/365)</f>
        <v>53.979452054794521</v>
      </c>
    </row>
    <row r="196" spans="1:23" x14ac:dyDescent="0.15">
      <c r="A196" s="1">
        <v>2016</v>
      </c>
      <c r="B196" s="5">
        <f>(K122*($E122/366))+(K123*($E123/366))</f>
        <v>0</v>
      </c>
      <c r="C196" s="5">
        <f>(L122*($E122/366))+(L123*($E123/366))</f>
        <v>100</v>
      </c>
      <c r="D196" s="5">
        <f>(M122*($E122/366))+(M123*($E123/366))</f>
        <v>0</v>
      </c>
      <c r="E196" s="18">
        <f>SUM(B196:D196)</f>
        <v>100</v>
      </c>
      <c r="G196" s="1">
        <v>2016</v>
      </c>
      <c r="H196" s="380">
        <f>(O122/$R122*100*($E122/366))+(O123/$R123*100*($E123/366))</f>
        <v>0</v>
      </c>
      <c r="I196" s="380"/>
      <c r="J196" s="380">
        <f>(P122/$R122*100*($E122/366))+(P123/$R123*100*($E123/366))</f>
        <v>100</v>
      </c>
      <c r="K196" s="380"/>
      <c r="L196" s="380">
        <f>(Q122/$R122*100*($E122/366))+(Q123/$R123*100*($E123/366))</f>
        <v>0</v>
      </c>
      <c r="M196" s="380"/>
      <c r="N196" s="379">
        <f t="shared" si="51"/>
        <v>100</v>
      </c>
      <c r="O196" s="379"/>
      <c r="R196" s="1">
        <v>2016</v>
      </c>
      <c r="S196" s="5">
        <f>(O122*($E122/366))+(O123*($E123/366))</f>
        <v>0</v>
      </c>
      <c r="T196" s="5">
        <f>(P122*($E122/366))+(P123*($E123/366))</f>
        <v>54.4</v>
      </c>
      <c r="U196" s="5">
        <f>(Q122*($E122/366))+(Q123*($E123/366))</f>
        <v>0</v>
      </c>
      <c r="W196" s="5">
        <f>R122*(E122/366) + R123*(E123/366)</f>
        <v>54.4</v>
      </c>
    </row>
    <row r="197" spans="1:23" x14ac:dyDescent="0.15">
      <c r="A197" s="1">
        <v>2017</v>
      </c>
      <c r="B197" s="5">
        <f>(K124*($E124/365))+(K125*($E125/365))</f>
        <v>0</v>
      </c>
      <c r="C197" s="5">
        <f t="shared" ref="C197:D197" si="52">(L124*($E124/365))+(L125*($E125/365))</f>
        <v>100</v>
      </c>
      <c r="D197" s="5">
        <f t="shared" si="52"/>
        <v>0</v>
      </c>
      <c r="E197" s="18">
        <f>SUM(B197:D197)</f>
        <v>100</v>
      </c>
      <c r="G197" s="1">
        <v>2017</v>
      </c>
      <c r="H197" s="380">
        <f>(O124/$R124*100*($E124/365))+(O125/$R125*100*($E125/365))</f>
        <v>0</v>
      </c>
      <c r="I197" s="380"/>
      <c r="J197" s="380">
        <f>(P124/$R124*100*($E124/365))+(P125/$R125*100*($E125/365))</f>
        <v>100</v>
      </c>
      <c r="K197" s="380"/>
      <c r="L197" s="380">
        <f>(Q124/$R124*100*($E124/365))+(Q125/$R125*100*($E125/365))</f>
        <v>0</v>
      </c>
      <c r="M197" s="380"/>
      <c r="N197" s="379">
        <f t="shared" si="51"/>
        <v>100</v>
      </c>
      <c r="O197" s="379"/>
      <c r="R197" s="1">
        <v>2017</v>
      </c>
      <c r="S197" s="5">
        <f>(O124*($E124/365))+(O125*($E125/365))</f>
        <v>0</v>
      </c>
      <c r="T197" s="5">
        <f t="shared" ref="T197:U197" si="53">(P124*($E124/365))+(P125*($E125/365))</f>
        <v>54.399999999999991</v>
      </c>
      <c r="U197" s="5">
        <f t="shared" si="53"/>
        <v>0</v>
      </c>
      <c r="W197" s="5">
        <f>R124*(E124/365) + R125*(E125/365)</f>
        <v>54.399999999999991</v>
      </c>
    </row>
    <row r="198" spans="1:23" x14ac:dyDescent="0.15">
      <c r="A198" s="1">
        <v>2018</v>
      </c>
      <c r="B198" s="5">
        <f>(K126*($E126/365))+(K127*($E127/365))</f>
        <v>0</v>
      </c>
      <c r="C198" s="5">
        <f>(L126*($E126/365))+(L127*($E127/365))</f>
        <v>100</v>
      </c>
      <c r="D198" s="5">
        <f>(M126*($E126/365))+(M127*($E127/365))</f>
        <v>0</v>
      </c>
      <c r="E198" s="18">
        <f>SUM(B198:D198)</f>
        <v>100</v>
      </c>
      <c r="G198" s="1">
        <v>2018</v>
      </c>
      <c r="H198" s="380">
        <f>(O126/$R126*100*($E126/365))+(O127/$R127*100*($E127/365))</f>
        <v>0</v>
      </c>
      <c r="I198" s="380"/>
      <c r="J198" s="380">
        <f>(P126/$R126*100*($E126/365))+(P127/$R127*100*($E127/365))</f>
        <v>100</v>
      </c>
      <c r="K198" s="380"/>
      <c r="L198" s="380">
        <f>(Q126/$R126*100*($E126/365))+(Q127/$R127*100*($E127/365))</f>
        <v>0</v>
      </c>
      <c r="M198" s="380"/>
      <c r="N198" s="379">
        <f t="shared" si="51"/>
        <v>100</v>
      </c>
      <c r="O198" s="379"/>
      <c r="R198" s="1">
        <v>2018</v>
      </c>
      <c r="S198" s="5">
        <f>(O126*($E126/365))+(O127*($E127/365))</f>
        <v>0</v>
      </c>
      <c r="T198" s="5">
        <f>(P126*($E126/365))+(P127*($E127/365))</f>
        <v>54.4</v>
      </c>
      <c r="U198" s="5">
        <f>(Q126*($E126/365))+(Q127*($E127/365))</f>
        <v>0</v>
      </c>
      <c r="W198" s="5">
        <f>R126*(E126/365) + R127*(E127/365)</f>
        <v>54.4</v>
      </c>
    </row>
    <row r="199" spans="1:23" x14ac:dyDescent="0.15">
      <c r="A199" s="1">
        <v>2019</v>
      </c>
      <c r="B199" s="5">
        <f>(K128*($E128/365))+(K129*($E129/365))</f>
        <v>0</v>
      </c>
      <c r="C199" s="5">
        <f>(L128*($E128/365))+(L129*($E129/365))</f>
        <v>100</v>
      </c>
      <c r="D199" s="5">
        <f>(M128*($E128/365))+(M129*($E129/365))</f>
        <v>0</v>
      </c>
      <c r="E199" s="18">
        <f>SUM(B199:D199)</f>
        <v>100</v>
      </c>
      <c r="G199" s="1">
        <v>2019</v>
      </c>
      <c r="H199" s="380">
        <f>(O128/$R128*100*($E128/365))+(O129/$R129*100*($E129/365))</f>
        <v>0</v>
      </c>
      <c r="I199" s="380"/>
      <c r="J199" s="380">
        <f>(P128/$R128*100*($E128/365))+(P129/$R129*100*($E129/365))</f>
        <v>100</v>
      </c>
      <c r="K199" s="380"/>
      <c r="L199" s="380">
        <f>(Q128/$R128*100*($E128/365))+(Q129/$R129*100*($E129/365))</f>
        <v>0</v>
      </c>
      <c r="M199" s="380"/>
      <c r="N199" s="379">
        <f t="shared" ref="N199" si="54">SUM(H199:M199)</f>
        <v>100</v>
      </c>
      <c r="O199" s="379"/>
      <c r="R199" s="1">
        <v>2019</v>
      </c>
      <c r="S199" s="5">
        <f>(O128*($E128/365))+(O129*($E129/365))</f>
        <v>0</v>
      </c>
      <c r="T199" s="5">
        <f>(P128*($E128/365))+(P129*($E129/365))</f>
        <v>53.479452054794521</v>
      </c>
      <c r="U199" s="5">
        <f>(Q128*($E128/365))+(Q129*($E129/365))</f>
        <v>0</v>
      </c>
      <c r="W199" s="5">
        <f>R128*(E128/365) + R129*(E129/365)</f>
        <v>53.479452054794521</v>
      </c>
    </row>
    <row r="200" spans="1:23" x14ac:dyDescent="0.15">
      <c r="A200" s="1">
        <v>2020</v>
      </c>
      <c r="B200" s="5">
        <f>(K130*($E130/366))+(K131*($E131/366))</f>
        <v>0</v>
      </c>
      <c r="C200" s="5">
        <f>(L130*($E130/366))+(L131*($E131/366))</f>
        <v>100</v>
      </c>
      <c r="D200" s="5">
        <f>(M130*($E130/366))+(M131*($E131/366))</f>
        <v>0</v>
      </c>
      <c r="E200" s="18">
        <f t="shared" ref="E200" si="55">SUM(B200:D200)</f>
        <v>100</v>
      </c>
      <c r="G200" s="1">
        <v>2020</v>
      </c>
      <c r="H200" s="380">
        <f>(O130/$R130*100*($E130/366))+(O131/$R131*100*($E131/366))</f>
        <v>0</v>
      </c>
      <c r="I200" s="380"/>
      <c r="J200" s="380">
        <f>(P130/$R130*100*($E130/366))+(P131/$R131*100*($E131/366))</f>
        <v>100</v>
      </c>
      <c r="K200" s="380"/>
      <c r="L200" s="380">
        <f>(Q130/$R130*100*($E130/366))+(Q131/$R131*100*($E131/366))</f>
        <v>0</v>
      </c>
      <c r="M200" s="380"/>
      <c r="N200" s="379">
        <f t="shared" ref="N200" si="56">SUM(H200:M200)</f>
        <v>100</v>
      </c>
      <c r="O200" s="379"/>
      <c r="R200" s="1">
        <v>2020</v>
      </c>
      <c r="S200" s="5">
        <f>(O130*($E130/366))+(O131*($E131/366))</f>
        <v>0</v>
      </c>
      <c r="T200" s="5">
        <f>(P130*($E130/366))+(P131*($E131/366))</f>
        <v>46.4</v>
      </c>
      <c r="U200" s="5">
        <f>(Q130*($E130/366))+(Q131*($E131/366))</f>
        <v>0</v>
      </c>
      <c r="W200" s="5">
        <f>R130*(E130/366) + R131*(E131/366)</f>
        <v>46.4</v>
      </c>
    </row>
  </sheetData>
  <mergeCells count="400">
    <mergeCell ref="C130:D130"/>
    <mergeCell ref="C131:D131"/>
    <mergeCell ref="H200:I200"/>
    <mergeCell ref="J200:K200"/>
    <mergeCell ref="L200:M200"/>
    <mergeCell ref="N200:O200"/>
    <mergeCell ref="C126:D126"/>
    <mergeCell ref="C127:D127"/>
    <mergeCell ref="C124:D124"/>
    <mergeCell ref="C125:D125"/>
    <mergeCell ref="N196:O196"/>
    <mergeCell ref="H199:I199"/>
    <mergeCell ref="J199:K199"/>
    <mergeCell ref="L199:M199"/>
    <mergeCell ref="N199:O199"/>
    <mergeCell ref="J154:K154"/>
    <mergeCell ref="J155:K155"/>
    <mergeCell ref="J156:K156"/>
    <mergeCell ref="J157:K157"/>
    <mergeCell ref="J158:K158"/>
    <mergeCell ref="J159:K159"/>
    <mergeCell ref="J160:K160"/>
    <mergeCell ref="J161:K161"/>
    <mergeCell ref="J162:K162"/>
    <mergeCell ref="H163:I163"/>
    <mergeCell ref="H164:I164"/>
    <mergeCell ref="H165:I165"/>
    <mergeCell ref="H166:I166"/>
    <mergeCell ref="H167:I167"/>
    <mergeCell ref="H168:I168"/>
    <mergeCell ref="L192:M192"/>
    <mergeCell ref="C122:D122"/>
    <mergeCell ref="C123:D123"/>
    <mergeCell ref="H184:I184"/>
    <mergeCell ref="H185:I185"/>
    <mergeCell ref="H169:I169"/>
    <mergeCell ref="H170:I170"/>
    <mergeCell ref="H181:I181"/>
    <mergeCell ref="H182:I182"/>
    <mergeCell ref="H171:I171"/>
    <mergeCell ref="H172:I172"/>
    <mergeCell ref="H173:I173"/>
    <mergeCell ref="H174:I174"/>
    <mergeCell ref="H175:I175"/>
    <mergeCell ref="H176:I176"/>
    <mergeCell ref="H160:I160"/>
    <mergeCell ref="H161:I161"/>
    <mergeCell ref="H162:I162"/>
    <mergeCell ref="J165:K165"/>
    <mergeCell ref="J166:K166"/>
    <mergeCell ref="J167:K167"/>
    <mergeCell ref="H183:I183"/>
    <mergeCell ref="H197:I197"/>
    <mergeCell ref="J197:K197"/>
    <mergeCell ref="L197:M197"/>
    <mergeCell ref="H179:I179"/>
    <mergeCell ref="H180:I180"/>
    <mergeCell ref="H192:I192"/>
    <mergeCell ref="J181:K181"/>
    <mergeCell ref="J182:K182"/>
    <mergeCell ref="H196:I196"/>
    <mergeCell ref="J196:K196"/>
    <mergeCell ref="L196:M196"/>
    <mergeCell ref="H188:I188"/>
    <mergeCell ref="N197:O197"/>
    <mergeCell ref="H198:I198"/>
    <mergeCell ref="J198:K198"/>
    <mergeCell ref="L198:M198"/>
    <mergeCell ref="N198:O198"/>
    <mergeCell ref="C120:D120"/>
    <mergeCell ref="C121:D121"/>
    <mergeCell ref="H195:I195"/>
    <mergeCell ref="J195:K195"/>
    <mergeCell ref="L195:M195"/>
    <mergeCell ref="N195:O195"/>
    <mergeCell ref="H194:I194"/>
    <mergeCell ref="J194:K194"/>
    <mergeCell ref="L194:M194"/>
    <mergeCell ref="J183:K183"/>
    <mergeCell ref="J172:K172"/>
    <mergeCell ref="J173:K173"/>
    <mergeCell ref="H189:I189"/>
    <mergeCell ref="H190:I190"/>
    <mergeCell ref="H191:I191"/>
    <mergeCell ref="H186:I186"/>
    <mergeCell ref="H187:I187"/>
    <mergeCell ref="H177:I177"/>
    <mergeCell ref="H178:I178"/>
    <mergeCell ref="C118:D118"/>
    <mergeCell ref="C119:D119"/>
    <mergeCell ref="N194:O194"/>
    <mergeCell ref="L193:M193"/>
    <mergeCell ref="N193:O193"/>
    <mergeCell ref="L176:M176"/>
    <mergeCell ref="L168:M168"/>
    <mergeCell ref="J190:K190"/>
    <mergeCell ref="J192:K192"/>
    <mergeCell ref="J168:K168"/>
    <mergeCell ref="J169:K169"/>
    <mergeCell ref="J170:K170"/>
    <mergeCell ref="J171:K171"/>
    <mergeCell ref="J184:K184"/>
    <mergeCell ref="J185:K185"/>
    <mergeCell ref="J174:K174"/>
    <mergeCell ref="J175:K175"/>
    <mergeCell ref="J176:K176"/>
    <mergeCell ref="J177:K177"/>
    <mergeCell ref="J178:K178"/>
    <mergeCell ref="J179:K179"/>
    <mergeCell ref="J180:K180"/>
    <mergeCell ref="J163:K163"/>
    <mergeCell ref="J164:K164"/>
    <mergeCell ref="C114:D114"/>
    <mergeCell ref="C115:D115"/>
    <mergeCell ref="H138:I138"/>
    <mergeCell ref="J138:K138"/>
    <mergeCell ref="C116:D116"/>
    <mergeCell ref="C117:D117"/>
    <mergeCell ref="H193:I193"/>
    <mergeCell ref="J193:K193"/>
    <mergeCell ref="L175:M175"/>
    <mergeCell ref="L178:M178"/>
    <mergeCell ref="L179:M179"/>
    <mergeCell ref="L180:M180"/>
    <mergeCell ref="L181:M181"/>
    <mergeCell ref="L177:M177"/>
    <mergeCell ref="L187:M187"/>
    <mergeCell ref="L183:M183"/>
    <mergeCell ref="L184:M184"/>
    <mergeCell ref="L185:M185"/>
    <mergeCell ref="L186:M186"/>
    <mergeCell ref="J191:K191"/>
    <mergeCell ref="J186:K186"/>
    <mergeCell ref="J187:K187"/>
    <mergeCell ref="J188:K188"/>
    <mergeCell ref="J189:K189"/>
    <mergeCell ref="C113:D113"/>
    <mergeCell ref="C104:D104"/>
    <mergeCell ref="C105:D105"/>
    <mergeCell ref="C106:D106"/>
    <mergeCell ref="C107:D107"/>
    <mergeCell ref="C108:D108"/>
    <mergeCell ref="C109:D109"/>
    <mergeCell ref="C110:D110"/>
    <mergeCell ref="C111:D111"/>
    <mergeCell ref="C96:D96"/>
    <mergeCell ref="C97:D97"/>
    <mergeCell ref="C100:D100"/>
    <mergeCell ref="C101:D101"/>
    <mergeCell ref="C98:D98"/>
    <mergeCell ref="C99:D99"/>
    <mergeCell ref="C102:D102"/>
    <mergeCell ref="C103:D103"/>
    <mergeCell ref="C112:D112"/>
    <mergeCell ref="C89:D89"/>
    <mergeCell ref="C86:D86"/>
    <mergeCell ref="C87:D87"/>
    <mergeCell ref="C90:D90"/>
    <mergeCell ref="C91:D91"/>
    <mergeCell ref="C94:D94"/>
    <mergeCell ref="C95:D95"/>
    <mergeCell ref="C92:D92"/>
    <mergeCell ref="C93:D93"/>
    <mergeCell ref="C78:D78"/>
    <mergeCell ref="C79:D79"/>
    <mergeCell ref="C82:D82"/>
    <mergeCell ref="C83:D83"/>
    <mergeCell ref="C80:D80"/>
    <mergeCell ref="C81:D81"/>
    <mergeCell ref="C84:D84"/>
    <mergeCell ref="C85:D85"/>
    <mergeCell ref="C88:D88"/>
    <mergeCell ref="C70:D70"/>
    <mergeCell ref="C67:D67"/>
    <mergeCell ref="C68:D68"/>
    <mergeCell ref="C71:D71"/>
    <mergeCell ref="C72:D72"/>
    <mergeCell ref="C76:D76"/>
    <mergeCell ref="C77:D77"/>
    <mergeCell ref="C73:D73"/>
    <mergeCell ref="C74:D74"/>
    <mergeCell ref="C75:D75"/>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0:D30"/>
    <mergeCell ref="C33:D33"/>
    <mergeCell ref="C34:D34"/>
    <mergeCell ref="C31:D31"/>
    <mergeCell ref="C32:D32"/>
    <mergeCell ref="C35:D35"/>
    <mergeCell ref="C36:D36"/>
    <mergeCell ref="C39:D39"/>
    <mergeCell ref="C40:D40"/>
    <mergeCell ref="C37:D37"/>
    <mergeCell ref="C38:D38"/>
    <mergeCell ref="C21:D21"/>
    <mergeCell ref="C22:D22"/>
    <mergeCell ref="C23:D23"/>
    <mergeCell ref="C24:D24"/>
    <mergeCell ref="C27:D27"/>
    <mergeCell ref="C28:D28"/>
    <mergeCell ref="C25:D25"/>
    <mergeCell ref="C26:D26"/>
    <mergeCell ref="C29:D29"/>
    <mergeCell ref="AL4:AO4"/>
    <mergeCell ref="U4:U5"/>
    <mergeCell ref="V4:Y4"/>
    <mergeCell ref="AP4:AS4"/>
    <mergeCell ref="C8:D8"/>
    <mergeCell ref="K4:N4"/>
    <mergeCell ref="O4:R4"/>
    <mergeCell ref="S4:S5"/>
    <mergeCell ref="C13:D13"/>
    <mergeCell ref="AH4:AK4"/>
    <mergeCell ref="C10:D10"/>
    <mergeCell ref="R136:W136"/>
    <mergeCell ref="L182:M182"/>
    <mergeCell ref="L171:M171"/>
    <mergeCell ref="L174:M174"/>
    <mergeCell ref="T4:T5"/>
    <mergeCell ref="Z4:AC4"/>
    <mergeCell ref="AD4:AG4"/>
    <mergeCell ref="L139:M139"/>
    <mergeCell ref="N139:O139"/>
    <mergeCell ref="L154:M154"/>
    <mergeCell ref="L161:M161"/>
    <mergeCell ref="L162:M162"/>
    <mergeCell ref="L150:M150"/>
    <mergeCell ref="L151:M151"/>
    <mergeCell ref="L152:M152"/>
    <mergeCell ref="N150:O150"/>
    <mergeCell ref="N153:O153"/>
    <mergeCell ref="N154:O154"/>
    <mergeCell ref="N155:O155"/>
    <mergeCell ref="N151:O151"/>
    <mergeCell ref="N152:O152"/>
    <mergeCell ref="N140:O140"/>
    <mergeCell ref="N142:O142"/>
    <mergeCell ref="N143:O143"/>
    <mergeCell ref="A4:A5"/>
    <mergeCell ref="B4:B5"/>
    <mergeCell ref="C4:D5"/>
    <mergeCell ref="E4:E5"/>
    <mergeCell ref="L167:M167"/>
    <mergeCell ref="L166:M166"/>
    <mergeCell ref="L156:M156"/>
    <mergeCell ref="L157:M157"/>
    <mergeCell ref="L158:M158"/>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53:M153"/>
    <mergeCell ref="G3:M3"/>
    <mergeCell ref="O3:Q3"/>
    <mergeCell ref="L172:M172"/>
    <mergeCell ref="L173:M173"/>
    <mergeCell ref="L138:M138"/>
    <mergeCell ref="N138:O138"/>
    <mergeCell ref="L163:M163"/>
    <mergeCell ref="L164:M164"/>
    <mergeCell ref="L165:M165"/>
    <mergeCell ref="L159:M159"/>
    <mergeCell ref="H139:I139"/>
    <mergeCell ref="J139:K139"/>
    <mergeCell ref="L155:M155"/>
    <mergeCell ref="L141:M141"/>
    <mergeCell ref="L142:M142"/>
    <mergeCell ref="L143:M143"/>
    <mergeCell ref="L144:M144"/>
    <mergeCell ref="L145:M145"/>
    <mergeCell ref="L146:M146"/>
    <mergeCell ref="L148:M148"/>
    <mergeCell ref="L149:M149"/>
    <mergeCell ref="L169:M169"/>
    <mergeCell ref="L170:M170"/>
    <mergeCell ref="L160:M160"/>
    <mergeCell ref="J150:K150"/>
    <mergeCell ref="J151:K151"/>
    <mergeCell ref="J152:K152"/>
    <mergeCell ref="J153:K153"/>
    <mergeCell ref="H158:I158"/>
    <mergeCell ref="H159:I159"/>
    <mergeCell ref="N144:O144"/>
    <mergeCell ref="N145:O145"/>
    <mergeCell ref="N148:O148"/>
    <mergeCell ref="N146:O146"/>
    <mergeCell ref="N147:O147"/>
    <mergeCell ref="H155:I155"/>
    <mergeCell ref="H156:I156"/>
    <mergeCell ref="H157:I157"/>
    <mergeCell ref="H153:I153"/>
    <mergeCell ref="H154:I154"/>
    <mergeCell ref="H145:I145"/>
    <mergeCell ref="H146:I146"/>
    <mergeCell ref="H147:I147"/>
    <mergeCell ref="H148:I148"/>
    <mergeCell ref="H150:I150"/>
    <mergeCell ref="H151:I151"/>
    <mergeCell ref="H152:I152"/>
    <mergeCell ref="J144:K144"/>
    <mergeCell ref="N141:O141"/>
    <mergeCell ref="N149:O149"/>
    <mergeCell ref="N163:O163"/>
    <mergeCell ref="N164:O164"/>
    <mergeCell ref="N167:O167"/>
    <mergeCell ref="N156:O156"/>
    <mergeCell ref="N159:O159"/>
    <mergeCell ref="N160:O160"/>
    <mergeCell ref="N157:O157"/>
    <mergeCell ref="N158:O158"/>
    <mergeCell ref="N161:O161"/>
    <mergeCell ref="N165:O165"/>
    <mergeCell ref="N166:O166"/>
    <mergeCell ref="N192:O192"/>
    <mergeCell ref="N183:O183"/>
    <mergeCell ref="N184:O184"/>
    <mergeCell ref="N185:O185"/>
    <mergeCell ref="N186:O186"/>
    <mergeCell ref="N187:O187"/>
    <mergeCell ref="N188:O188"/>
    <mergeCell ref="N189:O189"/>
    <mergeCell ref="N190:O190"/>
    <mergeCell ref="N191:O191"/>
    <mergeCell ref="L140:M140"/>
    <mergeCell ref="H141:I141"/>
    <mergeCell ref="H142:I142"/>
    <mergeCell ref="H143:I143"/>
    <mergeCell ref="H144:I144"/>
    <mergeCell ref="L147:M147"/>
    <mergeCell ref="H140:I140"/>
    <mergeCell ref="J140:K140"/>
    <mergeCell ref="H149:I149"/>
    <mergeCell ref="J146:K146"/>
    <mergeCell ref="J147:K147"/>
    <mergeCell ref="J148:K148"/>
    <mergeCell ref="J149:K149"/>
    <mergeCell ref="J141:K141"/>
    <mergeCell ref="J142:K142"/>
    <mergeCell ref="J143:K143"/>
    <mergeCell ref="J145:K145"/>
    <mergeCell ref="C128:D128"/>
    <mergeCell ref="C129:D129"/>
    <mergeCell ref="AT4:AW4"/>
    <mergeCell ref="AX4:BA4"/>
    <mergeCell ref="L188:M188"/>
    <mergeCell ref="L189:M189"/>
    <mergeCell ref="L190:M190"/>
    <mergeCell ref="L191:M191"/>
    <mergeCell ref="N180:O180"/>
    <mergeCell ref="N181:O181"/>
    <mergeCell ref="N182:O182"/>
    <mergeCell ref="N174:O174"/>
    <mergeCell ref="N177:O177"/>
    <mergeCell ref="N178:O178"/>
    <mergeCell ref="N175:O175"/>
    <mergeCell ref="N176:O176"/>
    <mergeCell ref="N179:O179"/>
    <mergeCell ref="N168:O168"/>
    <mergeCell ref="N171:O171"/>
    <mergeCell ref="N172:O172"/>
    <mergeCell ref="N169:O169"/>
    <mergeCell ref="N170:O170"/>
    <mergeCell ref="N173:O173"/>
    <mergeCell ref="N162:O16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94"/>
  <sheetViews>
    <sheetView zoomScale="131" zoomScaleNormal="120" workbookViewId="0">
      <pane xSplit="1" ySplit="5" topLeftCell="B6" activePane="bottomRight" state="frozen"/>
      <selection pane="topRight" activeCell="B1" sqref="B1"/>
      <selection pane="bottomLeft" activeCell="A6" sqref="A6"/>
      <selection pane="bottomRight" activeCell="L132" sqref="L132"/>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138</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2000</v>
      </c>
      <c r="B6" s="295"/>
      <c r="C6" s="421" t="s">
        <v>1263</v>
      </c>
      <c r="D6" s="421"/>
      <c r="E6" s="29">
        <v>26</v>
      </c>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171">
        <v>2000</v>
      </c>
      <c r="B7" s="306">
        <v>36552</v>
      </c>
      <c r="C7" s="410" t="s">
        <v>1178</v>
      </c>
      <c r="D7" s="410"/>
      <c r="E7" s="171">
        <f>366-26</f>
        <v>340</v>
      </c>
      <c r="F7" s="171" t="s">
        <v>335</v>
      </c>
      <c r="G7" s="233">
        <v>9</v>
      </c>
      <c r="H7" s="171">
        <v>3</v>
      </c>
      <c r="I7" s="171">
        <v>11</v>
      </c>
      <c r="J7" s="241">
        <v>24</v>
      </c>
      <c r="K7" s="214">
        <f t="shared" ref="K7:K37" si="0">G7/J7*100</f>
        <v>37.5</v>
      </c>
      <c r="L7" s="214">
        <f t="shared" ref="L7:L37" si="1">H7/J7*100</f>
        <v>12.5</v>
      </c>
      <c r="M7" s="214">
        <f t="shared" ref="M7:M37" si="2">I7/J7*100</f>
        <v>45.833333333333329</v>
      </c>
      <c r="N7" s="235">
        <f t="shared" ref="N7:N37" si="3">SUM(K7:M7)</f>
        <v>95.833333333333329</v>
      </c>
      <c r="O7" s="213">
        <v>18.57</v>
      </c>
      <c r="P7" s="214">
        <v>10.6</v>
      </c>
      <c r="Q7" s="214">
        <v>30.46</v>
      </c>
      <c r="R7" s="215">
        <f t="shared" ref="R7:R39" si="4">SUM(O7:Q7)</f>
        <v>59.63</v>
      </c>
      <c r="S7" s="171">
        <v>2</v>
      </c>
      <c r="T7" s="285">
        <v>36528</v>
      </c>
      <c r="U7" s="306">
        <v>36552</v>
      </c>
      <c r="V7" s="178" t="s">
        <v>111</v>
      </c>
      <c r="W7" s="171" t="s">
        <v>20</v>
      </c>
      <c r="X7" s="171" t="s">
        <v>12</v>
      </c>
      <c r="Y7" s="248">
        <v>30.46</v>
      </c>
      <c r="Z7" s="171" t="s">
        <v>989</v>
      </c>
      <c r="AA7" s="171" t="s">
        <v>327</v>
      </c>
      <c r="AB7" s="171" t="s">
        <v>11</v>
      </c>
      <c r="AC7" s="248">
        <v>14.6</v>
      </c>
      <c r="AD7" s="178" t="s">
        <v>990</v>
      </c>
      <c r="AE7" s="171" t="s">
        <v>869</v>
      </c>
      <c r="AF7" s="171" t="s">
        <v>18</v>
      </c>
      <c r="AG7" s="248">
        <v>10.6</v>
      </c>
      <c r="AH7" s="171" t="s">
        <v>991</v>
      </c>
      <c r="AI7" s="171" t="s">
        <v>327</v>
      </c>
      <c r="AJ7" s="171" t="s">
        <v>11</v>
      </c>
      <c r="AK7" s="248">
        <v>2.65</v>
      </c>
      <c r="AL7" s="178" t="s">
        <v>992</v>
      </c>
      <c r="AM7" s="171" t="s">
        <v>22</v>
      </c>
      <c r="AN7" s="171" t="s">
        <v>11</v>
      </c>
      <c r="AO7" s="248">
        <v>1.32</v>
      </c>
      <c r="AP7" s="178"/>
      <c r="AS7" s="179"/>
      <c r="AW7" s="179"/>
      <c r="BA7" s="180"/>
    </row>
    <row r="8" spans="1:53" s="171" customFormat="1" x14ac:dyDescent="0.15">
      <c r="A8" s="171">
        <v>2001</v>
      </c>
      <c r="B8" s="306"/>
      <c r="C8" s="410" t="s">
        <v>1178</v>
      </c>
      <c r="D8" s="410"/>
      <c r="E8" s="171">
        <v>270</v>
      </c>
      <c r="G8" s="233">
        <v>9</v>
      </c>
      <c r="H8" s="171">
        <v>3</v>
      </c>
      <c r="I8" s="171">
        <v>11</v>
      </c>
      <c r="J8" s="241">
        <v>24</v>
      </c>
      <c r="K8" s="214">
        <f t="shared" si="0"/>
        <v>37.5</v>
      </c>
      <c r="L8" s="214">
        <f t="shared" si="1"/>
        <v>12.5</v>
      </c>
      <c r="M8" s="214">
        <f t="shared" si="2"/>
        <v>45.833333333333329</v>
      </c>
      <c r="N8" s="235">
        <f t="shared" si="3"/>
        <v>95.833333333333329</v>
      </c>
      <c r="O8" s="213">
        <v>18.57</v>
      </c>
      <c r="P8" s="214">
        <v>10.6</v>
      </c>
      <c r="Q8" s="214">
        <v>30.46</v>
      </c>
      <c r="R8" s="215">
        <f t="shared" si="4"/>
        <v>59.63</v>
      </c>
      <c r="S8" s="171">
        <v>2</v>
      </c>
      <c r="T8" s="285"/>
      <c r="U8" s="283"/>
      <c r="V8" s="178" t="s">
        <v>111</v>
      </c>
      <c r="W8" s="171" t="s">
        <v>20</v>
      </c>
      <c r="X8" s="171" t="s">
        <v>12</v>
      </c>
      <c r="Y8" s="248">
        <v>30.46</v>
      </c>
      <c r="Z8" s="171" t="s">
        <v>989</v>
      </c>
      <c r="AA8" s="171" t="s">
        <v>327</v>
      </c>
      <c r="AB8" s="171" t="s">
        <v>11</v>
      </c>
      <c r="AC8" s="214">
        <v>14.6</v>
      </c>
      <c r="AD8" s="178" t="s">
        <v>990</v>
      </c>
      <c r="AE8" s="171" t="s">
        <v>869</v>
      </c>
      <c r="AF8" s="171" t="s">
        <v>18</v>
      </c>
      <c r="AG8" s="248">
        <v>10.6</v>
      </c>
      <c r="AH8" s="171" t="s">
        <v>991</v>
      </c>
      <c r="AI8" s="171" t="s">
        <v>327</v>
      </c>
      <c r="AJ8" s="171" t="s">
        <v>11</v>
      </c>
      <c r="AK8" s="214">
        <v>2.65</v>
      </c>
      <c r="AL8" s="178" t="s">
        <v>992</v>
      </c>
      <c r="AM8" s="171" t="s">
        <v>22</v>
      </c>
      <c r="AN8" s="171" t="s">
        <v>11</v>
      </c>
      <c r="AO8" s="248">
        <v>1.32</v>
      </c>
      <c r="AP8" s="178"/>
      <c r="AS8" s="179"/>
      <c r="AW8" s="179"/>
      <c r="BA8" s="180"/>
    </row>
    <row r="9" spans="1:53" s="29" customFormat="1" x14ac:dyDescent="0.15">
      <c r="A9" s="29">
        <v>2001</v>
      </c>
      <c r="B9" s="295">
        <v>37162</v>
      </c>
      <c r="C9" s="411" t="s">
        <v>1454</v>
      </c>
      <c r="D9" s="411"/>
      <c r="E9" s="29">
        <v>55</v>
      </c>
      <c r="F9" s="29">
        <v>4</v>
      </c>
      <c r="G9" s="66">
        <v>8</v>
      </c>
      <c r="H9" s="29">
        <v>3</v>
      </c>
      <c r="I9" s="29">
        <v>12</v>
      </c>
      <c r="J9" s="73">
        <v>24</v>
      </c>
      <c r="K9" s="47">
        <f t="shared" si="0"/>
        <v>33.333333333333329</v>
      </c>
      <c r="L9" s="47">
        <f t="shared" si="1"/>
        <v>12.5</v>
      </c>
      <c r="M9" s="47">
        <f t="shared" si="2"/>
        <v>50</v>
      </c>
      <c r="N9" s="68">
        <f t="shared" si="3"/>
        <v>95.833333333333329</v>
      </c>
      <c r="O9" s="46">
        <v>15.92</v>
      </c>
      <c r="P9" s="47">
        <v>10.6</v>
      </c>
      <c r="Q9" s="47">
        <v>30.46</v>
      </c>
      <c r="R9" s="48">
        <f t="shared" si="4"/>
        <v>56.980000000000004</v>
      </c>
      <c r="S9" s="29">
        <v>3</v>
      </c>
      <c r="T9" s="286"/>
      <c r="U9" s="295">
        <v>37162</v>
      </c>
      <c r="V9" s="38" t="s">
        <v>111</v>
      </c>
      <c r="W9" s="29" t="s">
        <v>20</v>
      </c>
      <c r="X9" s="29" t="s">
        <v>12</v>
      </c>
      <c r="Y9" s="88">
        <v>30.46</v>
      </c>
      <c r="Z9" s="29" t="s">
        <v>989</v>
      </c>
      <c r="AA9" s="29" t="s">
        <v>327</v>
      </c>
      <c r="AB9" s="29" t="s">
        <v>11</v>
      </c>
      <c r="AC9" s="47">
        <v>14.6</v>
      </c>
      <c r="AD9" s="38" t="s">
        <v>990</v>
      </c>
      <c r="AE9" s="29" t="s">
        <v>869</v>
      </c>
      <c r="AF9" s="29" t="s">
        <v>18</v>
      </c>
      <c r="AG9" s="88">
        <v>10.6</v>
      </c>
      <c r="AH9" s="38" t="s">
        <v>992</v>
      </c>
      <c r="AI9" s="29" t="s">
        <v>22</v>
      </c>
      <c r="AJ9" s="29" t="s">
        <v>11</v>
      </c>
      <c r="AK9" s="47">
        <v>1.32</v>
      </c>
      <c r="AL9" s="38"/>
      <c r="AO9" s="88"/>
      <c r="AP9" s="38"/>
      <c r="AS9" s="39"/>
      <c r="AW9" s="39"/>
      <c r="BA9" s="40"/>
    </row>
    <row r="10" spans="1:53" s="29" customFormat="1" x14ac:dyDescent="0.15">
      <c r="A10" s="29">
        <v>2001</v>
      </c>
      <c r="B10" s="300">
        <v>37217</v>
      </c>
      <c r="C10" s="411" t="s">
        <v>1454</v>
      </c>
      <c r="D10" s="411"/>
      <c r="E10" s="29">
        <f xml:space="preserve"> 365-E9-E8</f>
        <v>40</v>
      </c>
      <c r="F10" s="70">
        <v>0</v>
      </c>
      <c r="G10" s="66">
        <v>9</v>
      </c>
      <c r="H10" s="29">
        <v>3</v>
      </c>
      <c r="I10" s="29">
        <v>12</v>
      </c>
      <c r="J10" s="73">
        <v>24</v>
      </c>
      <c r="K10" s="47">
        <f t="shared" si="0"/>
        <v>37.5</v>
      </c>
      <c r="L10" s="47">
        <f t="shared" si="1"/>
        <v>12.5</v>
      </c>
      <c r="M10" s="47">
        <f t="shared" si="2"/>
        <v>50</v>
      </c>
      <c r="N10" s="68">
        <f t="shared" si="3"/>
        <v>100</v>
      </c>
      <c r="O10" s="46">
        <v>15.92</v>
      </c>
      <c r="P10" s="47">
        <v>10.6</v>
      </c>
      <c r="Q10" s="47">
        <v>30.46</v>
      </c>
      <c r="R10" s="48">
        <f t="shared" si="4"/>
        <v>56.980000000000004</v>
      </c>
      <c r="S10" s="29">
        <v>3</v>
      </c>
      <c r="T10" s="286"/>
      <c r="U10" s="295"/>
      <c r="V10" s="38" t="s">
        <v>111</v>
      </c>
      <c r="W10" s="29" t="s">
        <v>20</v>
      </c>
      <c r="X10" s="29" t="s">
        <v>12</v>
      </c>
      <c r="Y10" s="88">
        <v>30.46</v>
      </c>
      <c r="Z10" s="29" t="s">
        <v>989</v>
      </c>
      <c r="AA10" s="29" t="s">
        <v>327</v>
      </c>
      <c r="AB10" s="29" t="s">
        <v>11</v>
      </c>
      <c r="AC10" s="47">
        <v>14.6</v>
      </c>
      <c r="AD10" s="38" t="s">
        <v>990</v>
      </c>
      <c r="AE10" s="29" t="s">
        <v>869</v>
      </c>
      <c r="AF10" s="29" t="s">
        <v>18</v>
      </c>
      <c r="AG10" s="88">
        <v>10.6</v>
      </c>
      <c r="AH10" s="38" t="s">
        <v>992</v>
      </c>
      <c r="AI10" s="29" t="s">
        <v>22</v>
      </c>
      <c r="AJ10" s="29" t="s">
        <v>11</v>
      </c>
      <c r="AK10" s="47">
        <v>1.32</v>
      </c>
      <c r="AL10" s="38"/>
      <c r="AO10" s="88"/>
      <c r="AP10" s="38"/>
      <c r="AS10" s="39"/>
      <c r="AW10" s="39"/>
      <c r="BA10" s="40"/>
    </row>
    <row r="11" spans="1:53" s="29" customFormat="1" x14ac:dyDescent="0.15">
      <c r="A11" s="29">
        <v>2002</v>
      </c>
      <c r="B11" s="277"/>
      <c r="C11" s="411" t="s">
        <v>1454</v>
      </c>
      <c r="D11" s="411"/>
      <c r="E11" s="29">
        <v>210</v>
      </c>
      <c r="G11" s="66">
        <v>9</v>
      </c>
      <c r="H11" s="29">
        <v>3</v>
      </c>
      <c r="I11" s="29">
        <v>12</v>
      </c>
      <c r="J11" s="73">
        <v>24</v>
      </c>
      <c r="K11" s="47">
        <f t="shared" si="0"/>
        <v>37.5</v>
      </c>
      <c r="L11" s="47">
        <f t="shared" si="1"/>
        <v>12.5</v>
      </c>
      <c r="M11" s="47">
        <f t="shared" si="2"/>
        <v>50</v>
      </c>
      <c r="N11" s="68">
        <f t="shared" si="3"/>
        <v>100</v>
      </c>
      <c r="O11" s="46">
        <v>15.92</v>
      </c>
      <c r="P11" s="47">
        <v>10.6</v>
      </c>
      <c r="Q11" s="47">
        <v>30.46</v>
      </c>
      <c r="R11" s="48">
        <f t="shared" si="4"/>
        <v>56.980000000000004</v>
      </c>
      <c r="S11" s="29">
        <v>3</v>
      </c>
      <c r="T11" s="286"/>
      <c r="U11" s="295"/>
      <c r="V11" s="38" t="s">
        <v>111</v>
      </c>
      <c r="W11" s="29" t="s">
        <v>20</v>
      </c>
      <c r="X11" s="29" t="s">
        <v>12</v>
      </c>
      <c r="Y11" s="88">
        <v>30.46</v>
      </c>
      <c r="Z11" s="29" t="s">
        <v>989</v>
      </c>
      <c r="AA11" s="29" t="s">
        <v>327</v>
      </c>
      <c r="AB11" s="29" t="s">
        <v>11</v>
      </c>
      <c r="AC11" s="47">
        <v>14.6</v>
      </c>
      <c r="AD11" s="38" t="s">
        <v>990</v>
      </c>
      <c r="AE11" s="29" t="s">
        <v>869</v>
      </c>
      <c r="AF11" s="29" t="s">
        <v>18</v>
      </c>
      <c r="AG11" s="88">
        <v>10.6</v>
      </c>
      <c r="AH11" s="38" t="s">
        <v>992</v>
      </c>
      <c r="AI11" s="29" t="s">
        <v>22</v>
      </c>
      <c r="AJ11" s="29" t="s">
        <v>11</v>
      </c>
      <c r="AK11" s="47">
        <v>1.32</v>
      </c>
      <c r="AL11" s="38"/>
      <c r="AO11" s="88"/>
      <c r="AP11" s="38"/>
      <c r="AS11" s="39"/>
      <c r="AW11" s="39"/>
      <c r="BA11" s="40"/>
    </row>
    <row r="12" spans="1:53" s="171" customFormat="1" x14ac:dyDescent="0.15">
      <c r="A12" s="171">
        <v>2002</v>
      </c>
      <c r="B12" s="306">
        <v>37467</v>
      </c>
      <c r="C12" s="410" t="s">
        <v>1179</v>
      </c>
      <c r="D12" s="410"/>
      <c r="E12" s="171">
        <f xml:space="preserve"> 365-E11</f>
        <v>155</v>
      </c>
      <c r="F12" s="171">
        <v>4</v>
      </c>
      <c r="G12" s="233">
        <v>5</v>
      </c>
      <c r="H12" s="171">
        <v>4</v>
      </c>
      <c r="I12" s="171">
        <v>15</v>
      </c>
      <c r="J12" s="241">
        <v>24</v>
      </c>
      <c r="K12" s="214">
        <f t="shared" si="0"/>
        <v>20.833333333333336</v>
      </c>
      <c r="L12" s="214">
        <f t="shared" si="1"/>
        <v>16.666666666666664</v>
      </c>
      <c r="M12" s="214">
        <f t="shared" si="2"/>
        <v>62.5</v>
      </c>
      <c r="N12" s="235">
        <f t="shared" si="3"/>
        <v>100</v>
      </c>
      <c r="O12" s="213">
        <v>7.28</v>
      </c>
      <c r="P12" s="214">
        <v>10.6</v>
      </c>
      <c r="Q12" s="214">
        <v>30.46</v>
      </c>
      <c r="R12" s="215">
        <f t="shared" si="4"/>
        <v>48.34</v>
      </c>
      <c r="S12" s="171">
        <v>5</v>
      </c>
      <c r="T12" s="285"/>
      <c r="U12" s="306">
        <v>37467</v>
      </c>
      <c r="V12" s="178" t="s">
        <v>111</v>
      </c>
      <c r="W12" s="171" t="s">
        <v>20</v>
      </c>
      <c r="X12" s="171" t="s">
        <v>12</v>
      </c>
      <c r="Y12" s="248">
        <v>30.46</v>
      </c>
      <c r="Z12" s="171" t="s">
        <v>993</v>
      </c>
      <c r="AA12" s="171" t="s">
        <v>327</v>
      </c>
      <c r="AB12" s="171" t="s">
        <v>11</v>
      </c>
      <c r="AC12" s="214">
        <v>5.96</v>
      </c>
      <c r="AD12" s="178" t="s">
        <v>990</v>
      </c>
      <c r="AE12" s="171" t="s">
        <v>869</v>
      </c>
      <c r="AF12" s="171" t="s">
        <v>18</v>
      </c>
      <c r="AG12" s="248">
        <v>10.6</v>
      </c>
      <c r="AH12" s="178" t="s">
        <v>992</v>
      </c>
      <c r="AI12" s="171" t="s">
        <v>22</v>
      </c>
      <c r="AJ12" s="171" t="s">
        <v>11</v>
      </c>
      <c r="AK12" s="214">
        <v>1.32</v>
      </c>
      <c r="AL12" s="178"/>
      <c r="AO12" s="248"/>
      <c r="AP12" s="178"/>
      <c r="AS12" s="179"/>
      <c r="AW12" s="179"/>
      <c r="BA12" s="180"/>
    </row>
    <row r="13" spans="1:53" s="171" customFormat="1" x14ac:dyDescent="0.15">
      <c r="A13" s="171">
        <v>2003</v>
      </c>
      <c r="B13" s="306"/>
      <c r="C13" s="410" t="s">
        <v>1179</v>
      </c>
      <c r="D13" s="410"/>
      <c r="E13" s="171">
        <v>198</v>
      </c>
      <c r="G13" s="233">
        <v>5</v>
      </c>
      <c r="H13" s="171">
        <v>4</v>
      </c>
      <c r="I13" s="171">
        <v>15</v>
      </c>
      <c r="J13" s="241">
        <v>24</v>
      </c>
      <c r="K13" s="214">
        <f t="shared" si="0"/>
        <v>20.833333333333336</v>
      </c>
      <c r="L13" s="214">
        <f t="shared" si="1"/>
        <v>16.666666666666664</v>
      </c>
      <c r="M13" s="214">
        <f t="shared" si="2"/>
        <v>62.5</v>
      </c>
      <c r="N13" s="235">
        <f t="shared" si="3"/>
        <v>100</v>
      </c>
      <c r="O13" s="213">
        <v>7.28</v>
      </c>
      <c r="P13" s="214">
        <v>10.6</v>
      </c>
      <c r="Q13" s="214">
        <v>30.46</v>
      </c>
      <c r="R13" s="215">
        <f t="shared" si="4"/>
        <v>48.34</v>
      </c>
      <c r="S13" s="171">
        <v>5</v>
      </c>
      <c r="T13" s="285"/>
      <c r="U13" s="283"/>
      <c r="V13" s="178" t="s">
        <v>111</v>
      </c>
      <c r="W13" s="171" t="s">
        <v>20</v>
      </c>
      <c r="X13" s="171" t="s">
        <v>12</v>
      </c>
      <c r="Y13" s="248">
        <v>30.46</v>
      </c>
      <c r="Z13" s="171" t="s">
        <v>993</v>
      </c>
      <c r="AA13" s="171" t="s">
        <v>327</v>
      </c>
      <c r="AB13" s="171" t="s">
        <v>11</v>
      </c>
      <c r="AC13" s="214">
        <v>5.96</v>
      </c>
      <c r="AD13" s="178" t="s">
        <v>990</v>
      </c>
      <c r="AE13" s="171" t="s">
        <v>869</v>
      </c>
      <c r="AF13" s="171" t="s">
        <v>18</v>
      </c>
      <c r="AG13" s="248">
        <v>10.6</v>
      </c>
      <c r="AH13" s="171" t="s">
        <v>992</v>
      </c>
      <c r="AI13" s="171" t="s">
        <v>22</v>
      </c>
      <c r="AJ13" s="171" t="s">
        <v>11</v>
      </c>
      <c r="AK13" s="214">
        <v>1.32</v>
      </c>
      <c r="AL13" s="178"/>
      <c r="AO13" s="248"/>
      <c r="AP13" s="178"/>
      <c r="AS13" s="179"/>
      <c r="AW13" s="179"/>
      <c r="BA13" s="180"/>
    </row>
    <row r="14" spans="1:53" s="29" customFormat="1" x14ac:dyDescent="0.15">
      <c r="A14" s="29">
        <v>2003</v>
      </c>
      <c r="B14" s="277">
        <v>37820</v>
      </c>
      <c r="C14" s="411" t="s">
        <v>1180</v>
      </c>
      <c r="D14" s="411"/>
      <c r="E14" s="29">
        <v>158</v>
      </c>
      <c r="F14" s="29">
        <v>7</v>
      </c>
      <c r="G14" s="66">
        <v>5</v>
      </c>
      <c r="H14" s="29">
        <v>4</v>
      </c>
      <c r="I14" s="29">
        <v>15</v>
      </c>
      <c r="J14" s="73">
        <v>24</v>
      </c>
      <c r="K14" s="47">
        <f t="shared" si="0"/>
        <v>20.833333333333336</v>
      </c>
      <c r="L14" s="47">
        <f t="shared" si="1"/>
        <v>16.666666666666664</v>
      </c>
      <c r="M14" s="47">
        <f t="shared" si="2"/>
        <v>62.5</v>
      </c>
      <c r="N14" s="68">
        <f t="shared" si="3"/>
        <v>100</v>
      </c>
      <c r="O14" s="46">
        <v>9.93</v>
      </c>
      <c r="P14" s="47">
        <v>10.6</v>
      </c>
      <c r="Q14" s="47">
        <v>30.46</v>
      </c>
      <c r="R14" s="48">
        <f t="shared" si="4"/>
        <v>50.99</v>
      </c>
      <c r="S14" s="29">
        <v>2</v>
      </c>
      <c r="T14" s="286"/>
      <c r="U14" s="277">
        <v>37820</v>
      </c>
      <c r="V14" s="38" t="s">
        <v>111</v>
      </c>
      <c r="W14" s="29" t="s">
        <v>20</v>
      </c>
      <c r="X14" s="29" t="s">
        <v>12</v>
      </c>
      <c r="Y14" s="88">
        <v>30.46</v>
      </c>
      <c r="Z14" s="29" t="s">
        <v>993</v>
      </c>
      <c r="AA14" s="29" t="s">
        <v>327</v>
      </c>
      <c r="AB14" s="29" t="s">
        <v>11</v>
      </c>
      <c r="AC14" s="47">
        <v>5.96</v>
      </c>
      <c r="AD14" s="38" t="s">
        <v>990</v>
      </c>
      <c r="AE14" s="29" t="s">
        <v>869</v>
      </c>
      <c r="AF14" s="29" t="s">
        <v>18</v>
      </c>
      <c r="AG14" s="88">
        <v>10.6</v>
      </c>
      <c r="AH14" s="38" t="s">
        <v>992</v>
      </c>
      <c r="AI14" s="29" t="s">
        <v>22</v>
      </c>
      <c r="AJ14" s="29" t="s">
        <v>11</v>
      </c>
      <c r="AK14" s="47">
        <v>1.32</v>
      </c>
      <c r="AL14" s="38" t="s">
        <v>994</v>
      </c>
      <c r="AM14" s="29" t="s">
        <v>327</v>
      </c>
      <c r="AN14" s="29" t="s">
        <v>11</v>
      </c>
      <c r="AO14" s="88">
        <v>2.65</v>
      </c>
      <c r="AP14" s="38"/>
      <c r="AS14" s="39"/>
      <c r="AW14" s="39"/>
      <c r="BA14" s="40"/>
    </row>
    <row r="15" spans="1:53" s="171" customFormat="1" x14ac:dyDescent="0.15">
      <c r="A15" s="171">
        <v>2003</v>
      </c>
      <c r="B15" s="306">
        <v>37978</v>
      </c>
      <c r="C15" s="410" t="s">
        <v>995</v>
      </c>
      <c r="D15" s="410"/>
      <c r="E15" s="171">
        <f xml:space="preserve"> 365-E14-E13</f>
        <v>9</v>
      </c>
      <c r="F15" s="171">
        <v>1</v>
      </c>
      <c r="G15" s="233">
        <v>1</v>
      </c>
      <c r="H15" s="171">
        <v>13</v>
      </c>
      <c r="I15" s="171">
        <v>0</v>
      </c>
      <c r="J15" s="241">
        <v>15</v>
      </c>
      <c r="K15" s="214">
        <f t="shared" si="0"/>
        <v>6.666666666666667</v>
      </c>
      <c r="L15" s="214">
        <f t="shared" si="1"/>
        <v>86.666666666666671</v>
      </c>
      <c r="M15" s="214">
        <f t="shared" si="2"/>
        <v>0</v>
      </c>
      <c r="N15" s="235">
        <f t="shared" si="3"/>
        <v>93.333333333333343</v>
      </c>
      <c r="O15" s="213">
        <v>0.66</v>
      </c>
      <c r="P15" s="214">
        <v>43.42</v>
      </c>
      <c r="Q15" s="214">
        <v>0</v>
      </c>
      <c r="R15" s="215">
        <f t="shared" si="4"/>
        <v>44.08</v>
      </c>
      <c r="S15" s="171">
        <v>5</v>
      </c>
      <c r="T15" s="285">
        <v>37948</v>
      </c>
      <c r="U15" s="306">
        <v>37978</v>
      </c>
      <c r="V15" s="178" t="s">
        <v>996</v>
      </c>
      <c r="W15" s="171" t="s">
        <v>17</v>
      </c>
      <c r="X15" s="171" t="s">
        <v>18</v>
      </c>
      <c r="Y15" s="248">
        <v>43.42</v>
      </c>
      <c r="Z15" s="171" t="s">
        <v>503</v>
      </c>
      <c r="AA15" s="171" t="s">
        <v>327</v>
      </c>
      <c r="AB15" s="171" t="s">
        <v>11</v>
      </c>
      <c r="AC15" s="214">
        <v>0.7</v>
      </c>
      <c r="AD15" s="178"/>
      <c r="AG15" s="248"/>
      <c r="AK15" s="214"/>
      <c r="AL15" s="178"/>
      <c r="AO15" s="179"/>
      <c r="AP15" s="178"/>
      <c r="AS15" s="179"/>
      <c r="AW15" s="179"/>
      <c r="BA15" s="180"/>
    </row>
    <row r="16" spans="1:53" s="171" customFormat="1" x14ac:dyDescent="0.15">
      <c r="A16" s="171">
        <v>2004</v>
      </c>
      <c r="B16" s="306"/>
      <c r="C16" s="410" t="s">
        <v>995</v>
      </c>
      <c r="D16" s="410"/>
      <c r="E16" s="171">
        <v>0</v>
      </c>
      <c r="G16" s="233">
        <v>1</v>
      </c>
      <c r="H16" s="171">
        <v>13</v>
      </c>
      <c r="I16" s="171">
        <v>0</v>
      </c>
      <c r="J16" s="241">
        <v>15</v>
      </c>
      <c r="K16" s="214">
        <f t="shared" si="0"/>
        <v>6.666666666666667</v>
      </c>
      <c r="L16" s="214">
        <f t="shared" si="1"/>
        <v>86.666666666666671</v>
      </c>
      <c r="M16" s="214">
        <f t="shared" si="2"/>
        <v>0</v>
      </c>
      <c r="N16" s="235">
        <f t="shared" si="3"/>
        <v>93.333333333333343</v>
      </c>
      <c r="O16" s="213">
        <v>0.66</v>
      </c>
      <c r="P16" s="214">
        <v>43.42</v>
      </c>
      <c r="Q16" s="214">
        <v>0</v>
      </c>
      <c r="R16" s="215">
        <f t="shared" si="4"/>
        <v>44.08</v>
      </c>
      <c r="S16" s="171">
        <v>5</v>
      </c>
      <c r="T16" s="285"/>
      <c r="U16" s="283"/>
      <c r="V16" s="178" t="s">
        <v>996</v>
      </c>
      <c r="W16" s="171" t="s">
        <v>17</v>
      </c>
      <c r="X16" s="171" t="s">
        <v>18</v>
      </c>
      <c r="Y16" s="248">
        <v>43.42</v>
      </c>
      <c r="Z16" s="171" t="s">
        <v>503</v>
      </c>
      <c r="AA16" s="171" t="s">
        <v>327</v>
      </c>
      <c r="AB16" s="171" t="s">
        <v>11</v>
      </c>
      <c r="AC16" s="214">
        <v>0.7</v>
      </c>
      <c r="AD16" s="178"/>
      <c r="AG16" s="248"/>
      <c r="AK16" s="214"/>
      <c r="AL16" s="178"/>
      <c r="AO16" s="179"/>
      <c r="AP16" s="178"/>
      <c r="AS16" s="179"/>
      <c r="AW16" s="179"/>
      <c r="BA16" s="180"/>
    </row>
    <row r="17" spans="1:53" s="171" customFormat="1" x14ac:dyDescent="0.15">
      <c r="A17" s="171">
        <v>2004</v>
      </c>
      <c r="B17" s="306"/>
      <c r="C17" s="410" t="s">
        <v>995</v>
      </c>
      <c r="D17" s="410"/>
      <c r="E17" s="171">
        <v>366</v>
      </c>
      <c r="G17" s="233">
        <v>1</v>
      </c>
      <c r="H17" s="171">
        <v>13</v>
      </c>
      <c r="I17" s="171">
        <v>0</v>
      </c>
      <c r="J17" s="241">
        <v>15</v>
      </c>
      <c r="K17" s="214">
        <f t="shared" si="0"/>
        <v>6.666666666666667</v>
      </c>
      <c r="L17" s="214">
        <f t="shared" si="1"/>
        <v>86.666666666666671</v>
      </c>
      <c r="M17" s="214">
        <f t="shared" si="2"/>
        <v>0</v>
      </c>
      <c r="N17" s="235">
        <f t="shared" si="3"/>
        <v>93.333333333333343</v>
      </c>
      <c r="O17" s="213">
        <v>0.66</v>
      </c>
      <c r="P17" s="214">
        <v>43.42</v>
      </c>
      <c r="Q17" s="214">
        <v>0</v>
      </c>
      <c r="R17" s="215">
        <f t="shared" si="4"/>
        <v>44.08</v>
      </c>
      <c r="S17" s="171">
        <v>5</v>
      </c>
      <c r="T17" s="285"/>
      <c r="U17" s="283"/>
      <c r="V17" s="178" t="s">
        <v>996</v>
      </c>
      <c r="W17" s="171" t="s">
        <v>17</v>
      </c>
      <c r="X17" s="171" t="s">
        <v>18</v>
      </c>
      <c r="Y17" s="248">
        <v>43.42</v>
      </c>
      <c r="Z17" s="171" t="s">
        <v>503</v>
      </c>
      <c r="AA17" s="171" t="s">
        <v>327</v>
      </c>
      <c r="AB17" s="171" t="s">
        <v>11</v>
      </c>
      <c r="AC17" s="214">
        <v>0.7</v>
      </c>
      <c r="AD17" s="178"/>
      <c r="AG17" s="248"/>
      <c r="AK17" s="214"/>
      <c r="AL17" s="178"/>
      <c r="AO17" s="179"/>
      <c r="AP17" s="178"/>
      <c r="AS17" s="179"/>
      <c r="AW17" s="179"/>
      <c r="BA17" s="180"/>
    </row>
    <row r="18" spans="1:53" s="171" customFormat="1" x14ac:dyDescent="0.15">
      <c r="A18" s="191">
        <v>2005</v>
      </c>
      <c r="B18" s="301">
        <v>38400</v>
      </c>
      <c r="C18" s="410" t="s">
        <v>995</v>
      </c>
      <c r="D18" s="410"/>
      <c r="E18" s="171">
        <v>47</v>
      </c>
      <c r="F18" s="192">
        <v>0</v>
      </c>
      <c r="G18" s="233">
        <v>1</v>
      </c>
      <c r="H18" s="171">
        <v>13</v>
      </c>
      <c r="I18" s="171">
        <v>0</v>
      </c>
      <c r="J18" s="241">
        <v>15</v>
      </c>
      <c r="K18" s="214">
        <f t="shared" si="0"/>
        <v>6.666666666666667</v>
      </c>
      <c r="L18" s="214">
        <f t="shared" si="1"/>
        <v>86.666666666666671</v>
      </c>
      <c r="M18" s="214">
        <f t="shared" si="2"/>
        <v>0</v>
      </c>
      <c r="N18" s="235">
        <f t="shared" si="3"/>
        <v>93.333333333333343</v>
      </c>
      <c r="O18" s="213">
        <v>0.66</v>
      </c>
      <c r="P18" s="214">
        <v>43.42</v>
      </c>
      <c r="Q18" s="214">
        <v>0</v>
      </c>
      <c r="R18" s="215">
        <f t="shared" si="4"/>
        <v>44.08</v>
      </c>
      <c r="S18" s="171">
        <v>5</v>
      </c>
      <c r="T18" s="285"/>
      <c r="U18" s="283"/>
      <c r="V18" s="178" t="s">
        <v>996</v>
      </c>
      <c r="W18" s="171" t="s">
        <v>17</v>
      </c>
      <c r="X18" s="171" t="s">
        <v>18</v>
      </c>
      <c r="Y18" s="248">
        <v>43.42</v>
      </c>
      <c r="Z18" s="171" t="s">
        <v>503</v>
      </c>
      <c r="AA18" s="171" t="s">
        <v>327</v>
      </c>
      <c r="AB18" s="171" t="s">
        <v>11</v>
      </c>
      <c r="AC18" s="214">
        <v>0.7</v>
      </c>
      <c r="AD18" s="178"/>
      <c r="AG18" s="248"/>
      <c r="AK18" s="214"/>
      <c r="AL18" s="178"/>
      <c r="AO18" s="179"/>
      <c r="AP18" s="178"/>
      <c r="AS18" s="179"/>
      <c r="AW18" s="179"/>
      <c r="BA18" s="180"/>
    </row>
    <row r="19" spans="1:53" s="171" customFormat="1" x14ac:dyDescent="0.15">
      <c r="A19" s="171">
        <v>2005</v>
      </c>
      <c r="B19" s="306"/>
      <c r="C19" s="410" t="s">
        <v>995</v>
      </c>
      <c r="D19" s="410"/>
      <c r="E19" s="171">
        <f xml:space="preserve"> 365-E18</f>
        <v>318</v>
      </c>
      <c r="G19" s="233">
        <v>1</v>
      </c>
      <c r="H19" s="171">
        <v>13</v>
      </c>
      <c r="I19" s="171">
        <v>0</v>
      </c>
      <c r="J19" s="241">
        <v>15</v>
      </c>
      <c r="K19" s="214">
        <f t="shared" si="0"/>
        <v>6.666666666666667</v>
      </c>
      <c r="L19" s="214">
        <f t="shared" si="1"/>
        <v>86.666666666666671</v>
      </c>
      <c r="M19" s="214">
        <f t="shared" si="2"/>
        <v>0</v>
      </c>
      <c r="N19" s="235">
        <f t="shared" si="3"/>
        <v>93.333333333333343</v>
      </c>
      <c r="O19" s="213">
        <v>0.66</v>
      </c>
      <c r="P19" s="214">
        <v>43.42</v>
      </c>
      <c r="Q19" s="214">
        <v>0</v>
      </c>
      <c r="R19" s="215">
        <f t="shared" si="4"/>
        <v>44.08</v>
      </c>
      <c r="S19" s="171">
        <v>5</v>
      </c>
      <c r="T19" s="285"/>
      <c r="U19" s="283"/>
      <c r="V19" s="178" t="s">
        <v>996</v>
      </c>
      <c r="W19" s="171" t="s">
        <v>17</v>
      </c>
      <c r="X19" s="171" t="s">
        <v>18</v>
      </c>
      <c r="Y19" s="248">
        <v>43.42</v>
      </c>
      <c r="Z19" s="171" t="s">
        <v>503</v>
      </c>
      <c r="AA19" s="171" t="s">
        <v>327</v>
      </c>
      <c r="AB19" s="171" t="s">
        <v>11</v>
      </c>
      <c r="AC19" s="214">
        <v>0.7</v>
      </c>
      <c r="AD19" s="178"/>
      <c r="AG19" s="248"/>
      <c r="AK19" s="214"/>
      <c r="AL19" s="178"/>
      <c r="AO19" s="179"/>
      <c r="AP19" s="178"/>
      <c r="AS19" s="179"/>
      <c r="AW19" s="179"/>
      <c r="BA19" s="180"/>
    </row>
    <row r="20" spans="1:53" s="171" customFormat="1" x14ac:dyDescent="0.15">
      <c r="A20" s="171">
        <v>2006</v>
      </c>
      <c r="B20" s="306"/>
      <c r="C20" s="410" t="s">
        <v>995</v>
      </c>
      <c r="D20" s="410"/>
      <c r="E20" s="171">
        <v>40</v>
      </c>
      <c r="G20" s="233">
        <v>1</v>
      </c>
      <c r="H20" s="171">
        <v>13</v>
      </c>
      <c r="I20" s="171">
        <v>0</v>
      </c>
      <c r="J20" s="241">
        <v>15</v>
      </c>
      <c r="K20" s="214">
        <f t="shared" si="0"/>
        <v>6.666666666666667</v>
      </c>
      <c r="L20" s="214">
        <f t="shared" si="1"/>
        <v>86.666666666666671</v>
      </c>
      <c r="M20" s="214">
        <f t="shared" si="2"/>
        <v>0</v>
      </c>
      <c r="N20" s="235">
        <f t="shared" si="3"/>
        <v>93.333333333333343</v>
      </c>
      <c r="O20" s="213">
        <v>0.66</v>
      </c>
      <c r="P20" s="214">
        <v>43.42</v>
      </c>
      <c r="Q20" s="214">
        <v>0</v>
      </c>
      <c r="R20" s="215">
        <f t="shared" si="4"/>
        <v>44.08</v>
      </c>
      <c r="S20" s="171">
        <v>5</v>
      </c>
      <c r="T20" s="285"/>
      <c r="U20" s="283"/>
      <c r="V20" s="178" t="s">
        <v>996</v>
      </c>
      <c r="W20" s="171" t="s">
        <v>17</v>
      </c>
      <c r="X20" s="171" t="s">
        <v>18</v>
      </c>
      <c r="Y20" s="248">
        <v>43.42</v>
      </c>
      <c r="Z20" s="171" t="s">
        <v>503</v>
      </c>
      <c r="AA20" s="171" t="s">
        <v>327</v>
      </c>
      <c r="AB20" s="171" t="s">
        <v>11</v>
      </c>
      <c r="AC20" s="214">
        <v>0.7</v>
      </c>
      <c r="AD20" s="178"/>
      <c r="AG20" s="248"/>
      <c r="AK20" s="214"/>
      <c r="AL20" s="178"/>
      <c r="AO20" s="179"/>
      <c r="AP20" s="178"/>
      <c r="AS20" s="179"/>
      <c r="AW20" s="179"/>
      <c r="BA20" s="180"/>
    </row>
    <row r="21" spans="1:53" s="29" customFormat="1" x14ac:dyDescent="0.15">
      <c r="A21" s="29">
        <v>2006</v>
      </c>
      <c r="B21" s="277">
        <v>38758</v>
      </c>
      <c r="C21" s="411" t="s">
        <v>997</v>
      </c>
      <c r="D21" s="411"/>
      <c r="E21" s="29">
        <v>325</v>
      </c>
      <c r="F21" s="29">
        <v>4</v>
      </c>
      <c r="G21" s="66">
        <v>0</v>
      </c>
      <c r="H21" s="29">
        <v>14</v>
      </c>
      <c r="I21" s="29">
        <v>0</v>
      </c>
      <c r="J21" s="73">
        <v>15</v>
      </c>
      <c r="K21" s="47">
        <f t="shared" si="0"/>
        <v>0</v>
      </c>
      <c r="L21" s="47">
        <f t="shared" si="1"/>
        <v>93.333333333333329</v>
      </c>
      <c r="M21" s="47">
        <f t="shared" si="2"/>
        <v>0</v>
      </c>
      <c r="N21" s="68">
        <f t="shared" si="3"/>
        <v>93.333333333333329</v>
      </c>
      <c r="O21" s="46">
        <v>0</v>
      </c>
      <c r="P21" s="47">
        <v>43.42</v>
      </c>
      <c r="Q21" s="47">
        <v>0</v>
      </c>
      <c r="R21" s="48">
        <f t="shared" si="4"/>
        <v>43.42</v>
      </c>
      <c r="S21" s="29">
        <v>4</v>
      </c>
      <c r="T21" s="286"/>
      <c r="U21" s="277">
        <v>38758</v>
      </c>
      <c r="V21" s="38" t="s">
        <v>996</v>
      </c>
      <c r="W21" s="29" t="s">
        <v>17</v>
      </c>
      <c r="X21" s="29" t="s">
        <v>18</v>
      </c>
      <c r="Y21" s="88">
        <v>43.42</v>
      </c>
      <c r="AC21" s="47"/>
      <c r="AD21" s="38"/>
      <c r="AG21" s="88"/>
      <c r="AK21" s="47"/>
      <c r="AL21" s="38"/>
      <c r="AO21" s="39"/>
      <c r="AP21" s="38"/>
      <c r="AS21" s="39"/>
      <c r="AW21" s="39"/>
      <c r="BA21" s="40"/>
    </row>
    <row r="22" spans="1:53" s="29" customFormat="1" x14ac:dyDescent="0.15">
      <c r="A22" s="29">
        <v>2007</v>
      </c>
      <c r="B22" s="277"/>
      <c r="C22" s="411" t="s">
        <v>997</v>
      </c>
      <c r="D22" s="411"/>
      <c r="E22" s="29">
        <v>0</v>
      </c>
      <c r="G22" s="66">
        <v>0</v>
      </c>
      <c r="H22" s="29">
        <v>14</v>
      </c>
      <c r="I22" s="29">
        <v>0</v>
      </c>
      <c r="J22" s="73">
        <v>15</v>
      </c>
      <c r="K22" s="47">
        <f t="shared" si="0"/>
        <v>0</v>
      </c>
      <c r="L22" s="47">
        <f t="shared" si="1"/>
        <v>93.333333333333329</v>
      </c>
      <c r="M22" s="47">
        <f t="shared" si="2"/>
        <v>0</v>
      </c>
      <c r="N22" s="68">
        <f t="shared" si="3"/>
        <v>93.333333333333329</v>
      </c>
      <c r="O22" s="46">
        <v>0</v>
      </c>
      <c r="P22" s="47">
        <v>43.42</v>
      </c>
      <c r="Q22" s="47">
        <v>0</v>
      </c>
      <c r="R22" s="48">
        <f t="shared" si="4"/>
        <v>43.42</v>
      </c>
      <c r="S22" s="29">
        <v>4</v>
      </c>
      <c r="T22" s="286"/>
      <c r="U22" s="295"/>
      <c r="V22" s="38" t="s">
        <v>996</v>
      </c>
      <c r="W22" s="29" t="s">
        <v>17</v>
      </c>
      <c r="X22" s="29" t="s">
        <v>18</v>
      </c>
      <c r="Y22" s="88">
        <v>43.42</v>
      </c>
      <c r="AC22" s="47"/>
      <c r="AD22" s="38"/>
      <c r="AG22" s="88"/>
      <c r="AK22" s="47"/>
      <c r="AL22" s="38"/>
      <c r="AO22" s="39"/>
      <c r="AP22" s="38"/>
      <c r="AS22" s="39"/>
      <c r="AW22" s="39"/>
      <c r="BA22" s="40"/>
    </row>
    <row r="23" spans="1:53" s="29" customFormat="1" x14ac:dyDescent="0.15">
      <c r="A23" s="29">
        <v>2007</v>
      </c>
      <c r="B23" s="277"/>
      <c r="C23" s="411" t="s">
        <v>997</v>
      </c>
      <c r="D23" s="411"/>
      <c r="E23" s="29">
        <v>365</v>
      </c>
      <c r="G23" s="66">
        <v>0</v>
      </c>
      <c r="H23" s="29">
        <v>14</v>
      </c>
      <c r="I23" s="29">
        <v>0</v>
      </c>
      <c r="J23" s="73">
        <v>15</v>
      </c>
      <c r="K23" s="47">
        <f t="shared" si="0"/>
        <v>0</v>
      </c>
      <c r="L23" s="47">
        <f t="shared" si="1"/>
        <v>93.333333333333329</v>
      </c>
      <c r="M23" s="47">
        <f t="shared" si="2"/>
        <v>0</v>
      </c>
      <c r="N23" s="68">
        <f t="shared" si="3"/>
        <v>93.333333333333329</v>
      </c>
      <c r="O23" s="46">
        <v>0</v>
      </c>
      <c r="P23" s="47">
        <v>43.42</v>
      </c>
      <c r="Q23" s="47">
        <v>0</v>
      </c>
      <c r="R23" s="48">
        <f t="shared" si="4"/>
        <v>43.42</v>
      </c>
      <c r="S23" s="29">
        <v>4</v>
      </c>
      <c r="T23" s="286">
        <v>39411</v>
      </c>
      <c r="U23" s="295"/>
      <c r="V23" s="38" t="s">
        <v>996</v>
      </c>
      <c r="W23" s="29" t="s">
        <v>17</v>
      </c>
      <c r="X23" s="29" t="s">
        <v>18</v>
      </c>
      <c r="Y23" s="88">
        <v>43.42</v>
      </c>
      <c r="AC23" s="47"/>
      <c r="AD23" s="38"/>
      <c r="AG23" s="88"/>
      <c r="AK23" s="47"/>
      <c r="AL23" s="38"/>
      <c r="AO23" s="39"/>
      <c r="AP23" s="38"/>
      <c r="AS23" s="39"/>
      <c r="AW23" s="39"/>
      <c r="BA23" s="40"/>
    </row>
    <row r="24" spans="1:53" s="29" customFormat="1" x14ac:dyDescent="0.15">
      <c r="A24" s="29">
        <v>2008</v>
      </c>
      <c r="B24" s="277"/>
      <c r="C24" s="411" t="s">
        <v>997</v>
      </c>
      <c r="D24" s="411"/>
      <c r="E24" s="29">
        <v>11</v>
      </c>
      <c r="G24" s="66">
        <v>0</v>
      </c>
      <c r="H24" s="29">
        <v>14</v>
      </c>
      <c r="I24" s="29">
        <v>0</v>
      </c>
      <c r="J24" s="73">
        <v>15</v>
      </c>
      <c r="K24" s="47">
        <f t="shared" si="0"/>
        <v>0</v>
      </c>
      <c r="L24" s="47">
        <f t="shared" si="1"/>
        <v>93.333333333333329</v>
      </c>
      <c r="M24" s="47">
        <f t="shared" si="2"/>
        <v>0</v>
      </c>
      <c r="N24" s="68">
        <f t="shared" si="3"/>
        <v>93.333333333333329</v>
      </c>
      <c r="O24" s="46">
        <v>0</v>
      </c>
      <c r="P24" s="47">
        <v>43.42</v>
      </c>
      <c r="Q24" s="47">
        <v>0</v>
      </c>
      <c r="R24" s="48">
        <f t="shared" si="4"/>
        <v>43.42</v>
      </c>
      <c r="S24" s="29">
        <v>4</v>
      </c>
      <c r="T24" s="286"/>
      <c r="U24" s="295"/>
      <c r="V24" s="38" t="s">
        <v>996</v>
      </c>
      <c r="W24" s="29" t="s">
        <v>17</v>
      </c>
      <c r="X24" s="29" t="s">
        <v>18</v>
      </c>
      <c r="Y24" s="88">
        <v>43.42</v>
      </c>
      <c r="AC24" s="47"/>
      <c r="AD24" s="38"/>
      <c r="AG24" s="88"/>
      <c r="AK24" s="47"/>
      <c r="AL24" s="38"/>
      <c r="AO24" s="39"/>
      <c r="AP24" s="38"/>
      <c r="AS24" s="39"/>
      <c r="AW24" s="39"/>
      <c r="BA24" s="40"/>
    </row>
    <row r="25" spans="1:53" s="171" customFormat="1" x14ac:dyDescent="0.15">
      <c r="A25" s="171">
        <v>2008</v>
      </c>
      <c r="B25" s="306">
        <v>39459</v>
      </c>
      <c r="C25" s="410" t="s">
        <v>998</v>
      </c>
      <c r="D25" s="410"/>
      <c r="E25" s="171">
        <v>272</v>
      </c>
      <c r="F25" s="171">
        <v>1</v>
      </c>
      <c r="G25" s="233">
        <v>1</v>
      </c>
      <c r="H25" s="171">
        <v>16</v>
      </c>
      <c r="I25" s="171">
        <v>0</v>
      </c>
      <c r="J25" s="241">
        <v>18</v>
      </c>
      <c r="K25" s="214">
        <f t="shared" si="0"/>
        <v>5.5555555555555554</v>
      </c>
      <c r="L25" s="214">
        <f t="shared" si="1"/>
        <v>88.888888888888886</v>
      </c>
      <c r="M25" s="214">
        <f t="shared" si="2"/>
        <v>0</v>
      </c>
      <c r="N25" s="235">
        <f t="shared" si="3"/>
        <v>94.444444444444443</v>
      </c>
      <c r="O25" s="213">
        <v>3.3</v>
      </c>
      <c r="P25" s="214">
        <v>47</v>
      </c>
      <c r="Q25" s="214">
        <v>0</v>
      </c>
      <c r="R25" s="215">
        <f t="shared" si="4"/>
        <v>50.3</v>
      </c>
      <c r="S25" s="171">
        <v>2</v>
      </c>
      <c r="T25" s="285"/>
      <c r="U25" s="306">
        <v>39459</v>
      </c>
      <c r="V25" s="178" t="s">
        <v>996</v>
      </c>
      <c r="W25" s="171" t="s">
        <v>17</v>
      </c>
      <c r="X25" s="171" t="s">
        <v>18</v>
      </c>
      <c r="Y25" s="248">
        <v>43.1</v>
      </c>
      <c r="Z25" s="171" t="s">
        <v>990</v>
      </c>
      <c r="AA25" s="171" t="s">
        <v>869</v>
      </c>
      <c r="AB25" s="171" t="s">
        <v>18</v>
      </c>
      <c r="AC25" s="214">
        <v>3.9</v>
      </c>
      <c r="AD25" s="178" t="s">
        <v>989</v>
      </c>
      <c r="AE25" s="171" t="s">
        <v>327</v>
      </c>
      <c r="AF25" s="171" t="s">
        <v>11</v>
      </c>
      <c r="AG25" s="248">
        <v>1.3</v>
      </c>
      <c r="AH25" s="171" t="s">
        <v>999</v>
      </c>
      <c r="AI25" s="171" t="s">
        <v>327</v>
      </c>
      <c r="AJ25" s="171" t="s">
        <v>11</v>
      </c>
      <c r="AK25" s="214">
        <v>1.97</v>
      </c>
      <c r="AL25" s="178"/>
      <c r="AO25" s="179"/>
      <c r="AP25" s="178"/>
      <c r="AS25" s="179"/>
      <c r="AW25" s="179"/>
      <c r="BA25" s="180"/>
    </row>
    <row r="26" spans="1:53" s="171" customFormat="1" x14ac:dyDescent="0.15">
      <c r="A26" s="171">
        <v>2008</v>
      </c>
      <c r="B26" s="301">
        <v>39731</v>
      </c>
      <c r="C26" s="410" t="s">
        <v>998</v>
      </c>
      <c r="D26" s="410"/>
      <c r="E26" s="171">
        <f xml:space="preserve"> 366-E25-E24</f>
        <v>83</v>
      </c>
      <c r="F26" s="192">
        <v>0</v>
      </c>
      <c r="G26" s="233">
        <v>1</v>
      </c>
      <c r="H26" s="171">
        <v>14</v>
      </c>
      <c r="I26" s="171">
        <v>0</v>
      </c>
      <c r="J26" s="241">
        <v>18</v>
      </c>
      <c r="K26" s="214">
        <f t="shared" si="0"/>
        <v>5.5555555555555554</v>
      </c>
      <c r="L26" s="214">
        <f t="shared" si="1"/>
        <v>77.777777777777786</v>
      </c>
      <c r="M26" s="214">
        <f t="shared" si="2"/>
        <v>0</v>
      </c>
      <c r="N26" s="235">
        <f t="shared" si="3"/>
        <v>83.333333333333343</v>
      </c>
      <c r="O26" s="213">
        <v>3.3</v>
      </c>
      <c r="P26" s="214">
        <v>47</v>
      </c>
      <c r="Q26" s="214">
        <v>0</v>
      </c>
      <c r="R26" s="215">
        <f t="shared" si="4"/>
        <v>50.3</v>
      </c>
      <c r="S26" s="171">
        <v>2</v>
      </c>
      <c r="T26" s="285"/>
      <c r="U26" s="283"/>
      <c r="V26" s="178" t="s">
        <v>996</v>
      </c>
      <c r="W26" s="171" t="s">
        <v>17</v>
      </c>
      <c r="X26" s="171" t="s">
        <v>18</v>
      </c>
      <c r="Y26" s="248">
        <v>43.1</v>
      </c>
      <c r="Z26" s="171" t="s">
        <v>990</v>
      </c>
      <c r="AA26" s="171" t="s">
        <v>869</v>
      </c>
      <c r="AB26" s="171" t="s">
        <v>18</v>
      </c>
      <c r="AC26" s="214">
        <v>3.9</v>
      </c>
      <c r="AD26" s="178" t="s">
        <v>989</v>
      </c>
      <c r="AE26" s="171" t="s">
        <v>327</v>
      </c>
      <c r="AF26" s="171" t="s">
        <v>11</v>
      </c>
      <c r="AG26" s="248">
        <v>1.3</v>
      </c>
      <c r="AH26" s="171" t="s">
        <v>999</v>
      </c>
      <c r="AI26" s="171" t="s">
        <v>327</v>
      </c>
      <c r="AJ26" s="171" t="s">
        <v>11</v>
      </c>
      <c r="AK26" s="214">
        <v>1.97</v>
      </c>
      <c r="AL26" s="178"/>
      <c r="AO26" s="179"/>
      <c r="AP26" s="178"/>
      <c r="AS26" s="179"/>
      <c r="AW26" s="179"/>
      <c r="BA26" s="180"/>
    </row>
    <row r="27" spans="1:53" s="171" customFormat="1" x14ac:dyDescent="0.15">
      <c r="A27" s="171">
        <v>2009</v>
      </c>
      <c r="B27" s="306"/>
      <c r="C27" s="410" t="s">
        <v>998</v>
      </c>
      <c r="D27" s="410"/>
      <c r="E27" s="171">
        <v>186</v>
      </c>
      <c r="G27" s="233">
        <v>1</v>
      </c>
      <c r="H27" s="171">
        <v>14</v>
      </c>
      <c r="I27" s="171">
        <v>0</v>
      </c>
      <c r="J27" s="241">
        <v>18</v>
      </c>
      <c r="K27" s="214">
        <f t="shared" si="0"/>
        <v>5.5555555555555554</v>
      </c>
      <c r="L27" s="214">
        <f t="shared" si="1"/>
        <v>77.777777777777786</v>
      </c>
      <c r="M27" s="214">
        <f t="shared" si="2"/>
        <v>0</v>
      </c>
      <c r="N27" s="235">
        <f t="shared" si="3"/>
        <v>83.333333333333343</v>
      </c>
      <c r="O27" s="213">
        <v>3.3</v>
      </c>
      <c r="P27" s="214">
        <v>47</v>
      </c>
      <c r="Q27" s="214">
        <v>0</v>
      </c>
      <c r="R27" s="215">
        <f t="shared" si="4"/>
        <v>50.3</v>
      </c>
      <c r="S27" s="171">
        <v>2</v>
      </c>
      <c r="T27" s="285"/>
      <c r="U27" s="283"/>
      <c r="V27" s="178" t="s">
        <v>996</v>
      </c>
      <c r="W27" s="171" t="s">
        <v>17</v>
      </c>
      <c r="X27" s="171" t="s">
        <v>18</v>
      </c>
      <c r="Y27" s="248">
        <v>43.1</v>
      </c>
      <c r="Z27" s="171" t="s">
        <v>990</v>
      </c>
      <c r="AA27" s="171" t="s">
        <v>869</v>
      </c>
      <c r="AB27" s="171" t="s">
        <v>18</v>
      </c>
      <c r="AC27" s="214">
        <v>3.9</v>
      </c>
      <c r="AD27" s="178" t="s">
        <v>989</v>
      </c>
      <c r="AE27" s="171" t="s">
        <v>327</v>
      </c>
      <c r="AF27" s="171" t="s">
        <v>11</v>
      </c>
      <c r="AG27" s="248">
        <v>1.3</v>
      </c>
      <c r="AH27" s="171" t="s">
        <v>999</v>
      </c>
      <c r="AI27" s="171" t="s">
        <v>327</v>
      </c>
      <c r="AJ27" s="171" t="s">
        <v>11</v>
      </c>
      <c r="AK27" s="214">
        <v>1.97</v>
      </c>
      <c r="AL27" s="178"/>
      <c r="AO27" s="179"/>
      <c r="AP27" s="178"/>
      <c r="AS27" s="179"/>
      <c r="AW27" s="179"/>
      <c r="BA27" s="180"/>
    </row>
    <row r="28" spans="1:53" s="29" customFormat="1" x14ac:dyDescent="0.15">
      <c r="A28" s="29">
        <v>2009</v>
      </c>
      <c r="B28" s="277">
        <v>40000</v>
      </c>
      <c r="C28" s="411" t="s">
        <v>1000</v>
      </c>
      <c r="D28" s="411"/>
      <c r="E28" s="29">
        <f xml:space="preserve"> 365-E27</f>
        <v>179</v>
      </c>
      <c r="F28" s="29">
        <v>2</v>
      </c>
      <c r="G28" s="66">
        <v>1</v>
      </c>
      <c r="H28" s="29">
        <v>16</v>
      </c>
      <c r="I28" s="29">
        <v>0</v>
      </c>
      <c r="J28" s="73">
        <v>20</v>
      </c>
      <c r="K28" s="47">
        <f t="shared" si="0"/>
        <v>5</v>
      </c>
      <c r="L28" s="47">
        <f t="shared" si="1"/>
        <v>80</v>
      </c>
      <c r="M28" s="47">
        <f t="shared" si="2"/>
        <v>0</v>
      </c>
      <c r="N28" s="68">
        <f t="shared" si="3"/>
        <v>85</v>
      </c>
      <c r="O28" s="46">
        <v>3.27</v>
      </c>
      <c r="P28" s="47">
        <v>47</v>
      </c>
      <c r="Q28" s="47">
        <v>0</v>
      </c>
      <c r="R28" s="48">
        <f t="shared" si="4"/>
        <v>50.27</v>
      </c>
      <c r="S28" s="29">
        <v>2</v>
      </c>
      <c r="T28" s="286"/>
      <c r="U28" s="277">
        <v>40000</v>
      </c>
      <c r="V28" s="38" t="s">
        <v>996</v>
      </c>
      <c r="W28" s="29" t="s">
        <v>17</v>
      </c>
      <c r="X28" s="29" t="s">
        <v>18</v>
      </c>
      <c r="Y28" s="88">
        <v>43.1</v>
      </c>
      <c r="Z28" s="29" t="s">
        <v>999</v>
      </c>
      <c r="AA28" s="29" t="s">
        <v>327</v>
      </c>
      <c r="AB28" s="29" t="s">
        <v>11</v>
      </c>
      <c r="AC28" s="47">
        <v>1.97</v>
      </c>
      <c r="AD28" s="38" t="s">
        <v>989</v>
      </c>
      <c r="AE28" s="29" t="s">
        <v>327</v>
      </c>
      <c r="AF28" s="29" t="s">
        <v>11</v>
      </c>
      <c r="AG28" s="88">
        <v>1.3</v>
      </c>
      <c r="AH28" s="29" t="s">
        <v>990</v>
      </c>
      <c r="AI28" s="29" t="s">
        <v>869</v>
      </c>
      <c r="AJ28" s="29" t="s">
        <v>18</v>
      </c>
      <c r="AK28" s="47">
        <v>3.9</v>
      </c>
      <c r="AL28" s="38"/>
      <c r="AO28" s="39"/>
      <c r="AP28" s="38"/>
      <c r="AS28" s="39"/>
      <c r="AW28" s="39"/>
      <c r="BA28" s="40"/>
    </row>
    <row r="29" spans="1:53" s="29" customFormat="1" x14ac:dyDescent="0.15">
      <c r="A29" s="29">
        <v>2010</v>
      </c>
      <c r="B29" s="277"/>
      <c r="C29" s="411" t="s">
        <v>1000</v>
      </c>
      <c r="D29" s="411"/>
      <c r="E29" s="29">
        <v>83</v>
      </c>
      <c r="G29" s="66">
        <v>1</v>
      </c>
      <c r="H29" s="29">
        <v>16</v>
      </c>
      <c r="I29" s="29">
        <v>0</v>
      </c>
      <c r="J29" s="73">
        <v>20</v>
      </c>
      <c r="K29" s="47">
        <f t="shared" si="0"/>
        <v>5</v>
      </c>
      <c r="L29" s="47">
        <f t="shared" si="1"/>
        <v>80</v>
      </c>
      <c r="M29" s="47">
        <f t="shared" si="2"/>
        <v>0</v>
      </c>
      <c r="N29" s="68">
        <f t="shared" si="3"/>
        <v>85</v>
      </c>
      <c r="O29" s="46">
        <v>3.27</v>
      </c>
      <c r="P29" s="47">
        <v>47</v>
      </c>
      <c r="Q29" s="47">
        <v>0</v>
      </c>
      <c r="R29" s="48">
        <f t="shared" si="4"/>
        <v>50.27</v>
      </c>
      <c r="S29" s="29">
        <v>2</v>
      </c>
      <c r="T29" s="286"/>
      <c r="U29" s="295"/>
      <c r="V29" s="38" t="s">
        <v>996</v>
      </c>
      <c r="W29" s="29" t="s">
        <v>17</v>
      </c>
      <c r="X29" s="29" t="s">
        <v>18</v>
      </c>
      <c r="Y29" s="88">
        <v>43.1</v>
      </c>
      <c r="Z29" s="29" t="s">
        <v>999</v>
      </c>
      <c r="AA29" s="29" t="s">
        <v>327</v>
      </c>
      <c r="AB29" s="29" t="s">
        <v>11</v>
      </c>
      <c r="AC29" s="47">
        <v>1.97</v>
      </c>
      <c r="AD29" s="38" t="s">
        <v>989</v>
      </c>
      <c r="AE29" s="29" t="s">
        <v>327</v>
      </c>
      <c r="AF29" s="29" t="s">
        <v>11</v>
      </c>
      <c r="AG29" s="88">
        <v>1.3</v>
      </c>
      <c r="AH29" s="29" t="s">
        <v>990</v>
      </c>
      <c r="AI29" s="29" t="s">
        <v>869</v>
      </c>
      <c r="AJ29" s="29" t="s">
        <v>18</v>
      </c>
      <c r="AK29" s="47">
        <v>3.9</v>
      </c>
      <c r="AL29" s="38"/>
      <c r="AO29" s="39"/>
      <c r="AP29" s="38"/>
      <c r="AS29" s="39"/>
      <c r="AW29" s="39"/>
      <c r="BA29" s="40"/>
    </row>
    <row r="30" spans="1:53" s="29" customFormat="1" x14ac:dyDescent="0.15">
      <c r="A30" s="29">
        <v>2010</v>
      </c>
      <c r="B30" s="300">
        <v>40262</v>
      </c>
      <c r="C30" s="411" t="s">
        <v>1000</v>
      </c>
      <c r="D30" s="411"/>
      <c r="E30" s="29">
        <v>104</v>
      </c>
      <c r="F30" s="70">
        <v>0</v>
      </c>
      <c r="G30" s="66">
        <v>1</v>
      </c>
      <c r="H30" s="29">
        <v>15</v>
      </c>
      <c r="I30" s="29">
        <v>0</v>
      </c>
      <c r="J30" s="73">
        <v>19</v>
      </c>
      <c r="K30" s="47">
        <f t="shared" si="0"/>
        <v>5.2631578947368416</v>
      </c>
      <c r="L30" s="47">
        <f t="shared" si="1"/>
        <v>78.94736842105263</v>
      </c>
      <c r="M30" s="47">
        <f t="shared" si="2"/>
        <v>0</v>
      </c>
      <c r="N30" s="68">
        <f t="shared" si="3"/>
        <v>84.210526315789465</v>
      </c>
      <c r="O30" s="46">
        <v>3.27</v>
      </c>
      <c r="P30" s="47">
        <v>47</v>
      </c>
      <c r="Q30" s="47">
        <v>0</v>
      </c>
      <c r="R30" s="48">
        <f t="shared" si="4"/>
        <v>50.27</v>
      </c>
      <c r="S30" s="29">
        <v>2</v>
      </c>
      <c r="T30" s="286"/>
      <c r="U30" s="295"/>
      <c r="V30" s="38" t="s">
        <v>996</v>
      </c>
      <c r="W30" s="29" t="s">
        <v>17</v>
      </c>
      <c r="X30" s="29" t="s">
        <v>18</v>
      </c>
      <c r="Y30" s="88">
        <v>43.1</v>
      </c>
      <c r="Z30" s="29" t="s">
        <v>999</v>
      </c>
      <c r="AA30" s="29" t="s">
        <v>327</v>
      </c>
      <c r="AB30" s="29" t="s">
        <v>11</v>
      </c>
      <c r="AC30" s="47">
        <v>1.97</v>
      </c>
      <c r="AD30" s="38" t="s">
        <v>989</v>
      </c>
      <c r="AE30" s="29" t="s">
        <v>327</v>
      </c>
      <c r="AF30" s="29" t="s">
        <v>11</v>
      </c>
      <c r="AG30" s="88">
        <v>1.3</v>
      </c>
      <c r="AH30" s="29" t="s">
        <v>990</v>
      </c>
      <c r="AI30" s="29" t="s">
        <v>869</v>
      </c>
      <c r="AJ30" s="29" t="s">
        <v>18</v>
      </c>
      <c r="AK30" s="47">
        <v>3.9</v>
      </c>
      <c r="AL30" s="38"/>
      <c r="AO30" s="39"/>
      <c r="AP30" s="38"/>
      <c r="AS30" s="39"/>
      <c r="AW30" s="39"/>
      <c r="BA30" s="40"/>
    </row>
    <row r="31" spans="1:53" s="29" customFormat="1" x14ac:dyDescent="0.15">
      <c r="A31" s="29">
        <v>2010</v>
      </c>
      <c r="B31" s="300">
        <v>40366</v>
      </c>
      <c r="C31" s="411" t="s">
        <v>1000</v>
      </c>
      <c r="D31" s="411"/>
      <c r="E31" s="29">
        <v>175</v>
      </c>
      <c r="F31" s="70">
        <v>0</v>
      </c>
      <c r="G31" s="66">
        <v>1</v>
      </c>
      <c r="H31" s="29">
        <v>16</v>
      </c>
      <c r="I31" s="29">
        <v>0</v>
      </c>
      <c r="J31" s="73">
        <v>19</v>
      </c>
      <c r="K31" s="47">
        <f t="shared" si="0"/>
        <v>5.2631578947368416</v>
      </c>
      <c r="L31" s="47">
        <f t="shared" si="1"/>
        <v>84.210526315789465</v>
      </c>
      <c r="M31" s="47">
        <f t="shared" si="2"/>
        <v>0</v>
      </c>
      <c r="N31" s="68">
        <f t="shared" si="3"/>
        <v>89.473684210526301</v>
      </c>
      <c r="O31" s="46">
        <v>3.27</v>
      </c>
      <c r="P31" s="47">
        <v>47</v>
      </c>
      <c r="Q31" s="47">
        <v>0</v>
      </c>
      <c r="R31" s="48">
        <f t="shared" si="4"/>
        <v>50.27</v>
      </c>
      <c r="S31" s="29">
        <v>2</v>
      </c>
      <c r="T31" s="286"/>
      <c r="U31" s="295"/>
      <c r="V31" s="38" t="s">
        <v>996</v>
      </c>
      <c r="W31" s="29" t="s">
        <v>17</v>
      </c>
      <c r="X31" s="29" t="s">
        <v>18</v>
      </c>
      <c r="Y31" s="88">
        <v>43.1</v>
      </c>
      <c r="Z31" s="29" t="s">
        <v>999</v>
      </c>
      <c r="AA31" s="29" t="s">
        <v>327</v>
      </c>
      <c r="AB31" s="29" t="s">
        <v>11</v>
      </c>
      <c r="AC31" s="47">
        <v>1.97</v>
      </c>
      <c r="AD31" s="38" t="s">
        <v>989</v>
      </c>
      <c r="AE31" s="29" t="s">
        <v>327</v>
      </c>
      <c r="AF31" s="29" t="s">
        <v>11</v>
      </c>
      <c r="AG31" s="88">
        <v>1.3</v>
      </c>
      <c r="AH31" s="29" t="s">
        <v>990</v>
      </c>
      <c r="AI31" s="29" t="s">
        <v>869</v>
      </c>
      <c r="AJ31" s="29" t="s">
        <v>18</v>
      </c>
      <c r="AK31" s="47">
        <v>3.9</v>
      </c>
      <c r="AL31" s="38"/>
      <c r="AO31" s="39"/>
      <c r="AP31" s="38"/>
      <c r="AS31" s="39"/>
      <c r="AW31" s="39"/>
      <c r="BA31" s="40"/>
    </row>
    <row r="32" spans="1:53" s="171" customFormat="1" x14ac:dyDescent="0.15">
      <c r="A32" s="171">
        <v>2010</v>
      </c>
      <c r="B32" s="306">
        <v>40541</v>
      </c>
      <c r="C32" s="410" t="s">
        <v>1001</v>
      </c>
      <c r="D32" s="410"/>
      <c r="E32" s="171">
        <f xml:space="preserve"> 365-E31-E30-E29</f>
        <v>3</v>
      </c>
      <c r="F32" s="171">
        <v>4</v>
      </c>
      <c r="G32" s="233">
        <v>0</v>
      </c>
      <c r="H32" s="171">
        <v>16</v>
      </c>
      <c r="I32" s="171">
        <v>0</v>
      </c>
      <c r="J32" s="241">
        <v>19</v>
      </c>
      <c r="K32" s="214">
        <f t="shared" si="0"/>
        <v>0</v>
      </c>
      <c r="L32" s="214">
        <f t="shared" si="1"/>
        <v>84.210526315789465</v>
      </c>
      <c r="M32" s="214">
        <f t="shared" si="2"/>
        <v>0</v>
      </c>
      <c r="N32" s="235">
        <f t="shared" si="3"/>
        <v>84.210526315789465</v>
      </c>
      <c r="O32" s="213">
        <v>1.97</v>
      </c>
      <c r="P32" s="214">
        <v>47</v>
      </c>
      <c r="Q32" s="214">
        <v>0</v>
      </c>
      <c r="R32" s="215">
        <f t="shared" si="4"/>
        <v>48.97</v>
      </c>
      <c r="S32" s="171">
        <v>5</v>
      </c>
      <c r="T32" s="285"/>
      <c r="U32" s="306">
        <v>40541</v>
      </c>
      <c r="V32" s="178" t="s">
        <v>996</v>
      </c>
      <c r="W32" s="171" t="s">
        <v>17</v>
      </c>
      <c r="X32" s="171" t="s">
        <v>18</v>
      </c>
      <c r="Y32" s="248">
        <v>43.1</v>
      </c>
      <c r="Z32" s="171" t="s">
        <v>999</v>
      </c>
      <c r="AA32" s="171" t="s">
        <v>327</v>
      </c>
      <c r="AB32" s="171" t="s">
        <v>11</v>
      </c>
      <c r="AC32" s="214">
        <v>1.97</v>
      </c>
      <c r="AD32" s="178" t="s">
        <v>990</v>
      </c>
      <c r="AE32" s="171" t="s">
        <v>869</v>
      </c>
      <c r="AF32" s="171" t="s">
        <v>18</v>
      </c>
      <c r="AG32" s="248">
        <v>3.9</v>
      </c>
      <c r="AL32" s="178"/>
      <c r="AO32" s="179"/>
      <c r="AP32" s="178"/>
      <c r="AS32" s="179"/>
      <c r="AW32" s="179"/>
      <c r="BA32" s="180"/>
    </row>
    <row r="33" spans="1:53" s="171" customFormat="1" x14ac:dyDescent="0.15">
      <c r="A33" s="171">
        <v>2011</v>
      </c>
      <c r="B33" s="306"/>
      <c r="C33" s="410" t="s">
        <v>1001</v>
      </c>
      <c r="D33" s="410"/>
      <c r="E33" s="171">
        <v>356</v>
      </c>
      <c r="G33" s="233">
        <v>0</v>
      </c>
      <c r="H33" s="171">
        <v>16</v>
      </c>
      <c r="I33" s="171">
        <v>0</v>
      </c>
      <c r="J33" s="241">
        <v>19</v>
      </c>
      <c r="K33" s="214">
        <f t="shared" si="0"/>
        <v>0</v>
      </c>
      <c r="L33" s="214">
        <f t="shared" si="1"/>
        <v>84.210526315789465</v>
      </c>
      <c r="M33" s="214">
        <f t="shared" si="2"/>
        <v>0</v>
      </c>
      <c r="N33" s="235">
        <f t="shared" si="3"/>
        <v>84.210526315789465</v>
      </c>
      <c r="O33" s="213">
        <v>1.97</v>
      </c>
      <c r="P33" s="214">
        <v>47</v>
      </c>
      <c r="Q33" s="214">
        <v>0</v>
      </c>
      <c r="R33" s="215">
        <f t="shared" si="4"/>
        <v>48.97</v>
      </c>
      <c r="S33" s="171">
        <v>5</v>
      </c>
      <c r="T33" s="285"/>
      <c r="U33" s="283"/>
      <c r="V33" s="178" t="s">
        <v>996</v>
      </c>
      <c r="W33" s="171" t="s">
        <v>17</v>
      </c>
      <c r="X33" s="171" t="s">
        <v>18</v>
      </c>
      <c r="Y33" s="248">
        <v>43.1</v>
      </c>
      <c r="Z33" s="171" t="s">
        <v>999</v>
      </c>
      <c r="AA33" s="171" t="s">
        <v>327</v>
      </c>
      <c r="AB33" s="171" t="s">
        <v>11</v>
      </c>
      <c r="AC33" s="214">
        <v>1.97</v>
      </c>
      <c r="AD33" s="178" t="s">
        <v>990</v>
      </c>
      <c r="AE33" s="171" t="s">
        <v>869</v>
      </c>
      <c r="AF33" s="171" t="s">
        <v>18</v>
      </c>
      <c r="AG33" s="248">
        <v>3.9</v>
      </c>
      <c r="AL33" s="178"/>
      <c r="AO33" s="179"/>
      <c r="AP33" s="178"/>
      <c r="AS33" s="179"/>
      <c r="AW33" s="179"/>
      <c r="BA33" s="180"/>
    </row>
    <row r="34" spans="1:53" s="29" customFormat="1" x14ac:dyDescent="0.15">
      <c r="A34" s="29">
        <v>2011</v>
      </c>
      <c r="B34" s="277">
        <v>40900</v>
      </c>
      <c r="C34" s="411" t="s">
        <v>1181</v>
      </c>
      <c r="D34" s="411"/>
      <c r="E34" s="29">
        <f xml:space="preserve"> 365-E33</f>
        <v>9</v>
      </c>
      <c r="F34" s="29">
        <v>1</v>
      </c>
      <c r="G34" s="66">
        <v>5</v>
      </c>
      <c r="H34" s="29">
        <v>0</v>
      </c>
      <c r="I34" s="29">
        <v>15</v>
      </c>
      <c r="J34" s="73">
        <v>22</v>
      </c>
      <c r="K34" s="47">
        <f t="shared" si="0"/>
        <v>22.727272727272727</v>
      </c>
      <c r="L34" s="47">
        <f t="shared" si="1"/>
        <v>0</v>
      </c>
      <c r="M34" s="47">
        <f t="shared" si="2"/>
        <v>68.181818181818173</v>
      </c>
      <c r="N34" s="68">
        <f t="shared" si="3"/>
        <v>90.909090909090907</v>
      </c>
      <c r="O34" s="46">
        <v>11.3</v>
      </c>
      <c r="P34" s="47">
        <v>0</v>
      </c>
      <c r="Q34" s="47">
        <v>39.700000000000003</v>
      </c>
      <c r="R34" s="48">
        <f t="shared" si="4"/>
        <v>51</v>
      </c>
      <c r="S34" s="29">
        <v>2</v>
      </c>
      <c r="T34" s="286">
        <v>40881</v>
      </c>
      <c r="U34" s="277">
        <v>40900</v>
      </c>
      <c r="V34" s="38" t="s">
        <v>111</v>
      </c>
      <c r="W34" s="29" t="s">
        <v>20</v>
      </c>
      <c r="X34" s="29" t="s">
        <v>12</v>
      </c>
      <c r="Y34" s="88">
        <v>39.700000000000003</v>
      </c>
      <c r="Z34" s="29" t="s">
        <v>992</v>
      </c>
      <c r="AA34" s="29" t="s">
        <v>22</v>
      </c>
      <c r="AB34" s="29" t="s">
        <v>11</v>
      </c>
      <c r="AC34" s="47">
        <v>9.3000000000000007</v>
      </c>
      <c r="AD34" s="38" t="s">
        <v>991</v>
      </c>
      <c r="AE34" s="29" t="s">
        <v>327</v>
      </c>
      <c r="AF34" s="29" t="s">
        <v>11</v>
      </c>
      <c r="AG34" s="88">
        <v>2</v>
      </c>
      <c r="AL34" s="38"/>
      <c r="AO34" s="39"/>
      <c r="AP34" s="38"/>
      <c r="AS34" s="39"/>
      <c r="AW34" s="39"/>
      <c r="BA34" s="40"/>
    </row>
    <row r="35" spans="1:53" s="29" customFormat="1" x14ac:dyDescent="0.15">
      <c r="A35" s="29">
        <v>2012</v>
      </c>
      <c r="B35" s="295"/>
      <c r="C35" s="411" t="s">
        <v>1181</v>
      </c>
      <c r="D35" s="411"/>
      <c r="E35" s="29">
        <v>0</v>
      </c>
      <c r="G35" s="66">
        <v>5</v>
      </c>
      <c r="H35" s="29">
        <v>0</v>
      </c>
      <c r="I35" s="29">
        <v>15</v>
      </c>
      <c r="J35" s="73">
        <v>22</v>
      </c>
      <c r="K35" s="47">
        <f t="shared" si="0"/>
        <v>22.727272727272727</v>
      </c>
      <c r="L35" s="47">
        <f t="shared" si="1"/>
        <v>0</v>
      </c>
      <c r="M35" s="47">
        <f t="shared" si="2"/>
        <v>68.181818181818173</v>
      </c>
      <c r="N35" s="68">
        <f t="shared" si="3"/>
        <v>90.909090909090907</v>
      </c>
      <c r="O35" s="46">
        <v>11.3</v>
      </c>
      <c r="P35" s="47">
        <v>0</v>
      </c>
      <c r="Q35" s="47">
        <v>39.700000000000003</v>
      </c>
      <c r="R35" s="48">
        <f t="shared" si="4"/>
        <v>51</v>
      </c>
      <c r="S35" s="29">
        <v>2</v>
      </c>
      <c r="T35" s="286"/>
      <c r="U35" s="295"/>
      <c r="V35" s="38" t="s">
        <v>111</v>
      </c>
      <c r="W35" s="29" t="s">
        <v>20</v>
      </c>
      <c r="X35" s="29" t="s">
        <v>12</v>
      </c>
      <c r="Y35" s="88">
        <v>39.700000000000003</v>
      </c>
      <c r="Z35" s="29" t="s">
        <v>992</v>
      </c>
      <c r="AA35" s="29" t="s">
        <v>22</v>
      </c>
      <c r="AB35" s="29" t="s">
        <v>11</v>
      </c>
      <c r="AC35" s="47">
        <v>9.3000000000000007</v>
      </c>
      <c r="AD35" s="38" t="s">
        <v>991</v>
      </c>
      <c r="AE35" s="29" t="s">
        <v>327</v>
      </c>
      <c r="AF35" s="29" t="s">
        <v>11</v>
      </c>
      <c r="AG35" s="88">
        <v>2</v>
      </c>
      <c r="AL35" s="38"/>
      <c r="AO35" s="39"/>
      <c r="AP35" s="38"/>
      <c r="AS35" s="39"/>
      <c r="AW35" s="39"/>
      <c r="BA35" s="40"/>
    </row>
    <row r="36" spans="1:53" s="29" customFormat="1" x14ac:dyDescent="0.15">
      <c r="A36" s="29">
        <v>2012</v>
      </c>
      <c r="B36" s="295"/>
      <c r="C36" s="411" t="s">
        <v>1181</v>
      </c>
      <c r="D36" s="411"/>
      <c r="E36" s="29">
        <v>366</v>
      </c>
      <c r="G36" s="66">
        <v>5</v>
      </c>
      <c r="H36" s="29">
        <v>0</v>
      </c>
      <c r="I36" s="29">
        <v>15</v>
      </c>
      <c r="J36" s="73">
        <v>22</v>
      </c>
      <c r="K36" s="47">
        <f t="shared" si="0"/>
        <v>22.727272727272727</v>
      </c>
      <c r="L36" s="47">
        <f t="shared" si="1"/>
        <v>0</v>
      </c>
      <c r="M36" s="47">
        <f t="shared" si="2"/>
        <v>68.181818181818173</v>
      </c>
      <c r="N36" s="68">
        <f t="shared" si="3"/>
        <v>90.909090909090907</v>
      </c>
      <c r="O36" s="46">
        <v>11.3</v>
      </c>
      <c r="P36" s="47">
        <v>0</v>
      </c>
      <c r="Q36" s="47">
        <v>39.700000000000003</v>
      </c>
      <c r="R36" s="48">
        <f t="shared" si="4"/>
        <v>51</v>
      </c>
      <c r="S36" s="29">
        <v>2</v>
      </c>
      <c r="T36" s="286"/>
      <c r="U36" s="295"/>
      <c r="V36" s="38" t="s">
        <v>111</v>
      </c>
      <c r="W36" s="29" t="s">
        <v>20</v>
      </c>
      <c r="X36" s="29" t="s">
        <v>12</v>
      </c>
      <c r="Y36" s="88">
        <v>39.700000000000003</v>
      </c>
      <c r="Z36" s="29" t="s">
        <v>992</v>
      </c>
      <c r="AA36" s="29" t="s">
        <v>22</v>
      </c>
      <c r="AB36" s="29" t="s">
        <v>11</v>
      </c>
      <c r="AC36" s="47">
        <v>9.3000000000000007</v>
      </c>
      <c r="AD36" s="38" t="s">
        <v>991</v>
      </c>
      <c r="AE36" s="29" t="s">
        <v>327</v>
      </c>
      <c r="AF36" s="29" t="s">
        <v>11</v>
      </c>
      <c r="AG36" s="88">
        <v>2</v>
      </c>
      <c r="AL36" s="38"/>
      <c r="AO36" s="39"/>
      <c r="AP36" s="38"/>
      <c r="AS36" s="39"/>
      <c r="AW36" s="39"/>
      <c r="BA36" s="40"/>
    </row>
    <row r="37" spans="1:53" s="29" customFormat="1" x14ac:dyDescent="0.15">
      <c r="A37" s="29">
        <v>2013</v>
      </c>
      <c r="B37" s="295"/>
      <c r="C37" s="411" t="s">
        <v>1181</v>
      </c>
      <c r="D37" s="411"/>
      <c r="E37" s="29">
        <v>181</v>
      </c>
      <c r="G37" s="66">
        <v>5</v>
      </c>
      <c r="H37" s="29">
        <v>0</v>
      </c>
      <c r="I37" s="29">
        <v>15</v>
      </c>
      <c r="J37" s="73">
        <v>22</v>
      </c>
      <c r="K37" s="47">
        <f t="shared" si="0"/>
        <v>22.727272727272727</v>
      </c>
      <c r="L37" s="47">
        <f t="shared" si="1"/>
        <v>0</v>
      </c>
      <c r="M37" s="47">
        <f t="shared" si="2"/>
        <v>68.181818181818173</v>
      </c>
      <c r="N37" s="68">
        <f t="shared" si="3"/>
        <v>90.909090909090907</v>
      </c>
      <c r="O37" s="46">
        <v>11.3</v>
      </c>
      <c r="P37" s="47">
        <v>0</v>
      </c>
      <c r="Q37" s="47">
        <v>39.700000000000003</v>
      </c>
      <c r="R37" s="48">
        <f t="shared" si="4"/>
        <v>51</v>
      </c>
      <c r="S37" s="29">
        <v>2</v>
      </c>
      <c r="T37" s="286"/>
      <c r="U37" s="295"/>
      <c r="V37" s="38" t="s">
        <v>111</v>
      </c>
      <c r="W37" s="29" t="s">
        <v>20</v>
      </c>
      <c r="X37" s="29" t="s">
        <v>12</v>
      </c>
      <c r="Y37" s="88">
        <v>39.700000000000003</v>
      </c>
      <c r="Z37" s="29" t="s">
        <v>992</v>
      </c>
      <c r="AA37" s="29" t="s">
        <v>22</v>
      </c>
      <c r="AB37" s="29" t="s">
        <v>11</v>
      </c>
      <c r="AC37" s="47">
        <v>9.3000000000000007</v>
      </c>
      <c r="AD37" s="38" t="s">
        <v>991</v>
      </c>
      <c r="AE37" s="29" t="s">
        <v>327</v>
      </c>
      <c r="AF37" s="29" t="s">
        <v>11</v>
      </c>
      <c r="AG37" s="88">
        <v>2</v>
      </c>
      <c r="AL37" s="38"/>
      <c r="AO37" s="39"/>
      <c r="AP37" s="38"/>
      <c r="AS37" s="39"/>
      <c r="AW37" s="39"/>
      <c r="BA37" s="40"/>
    </row>
    <row r="38" spans="1:53" s="29" customFormat="1" x14ac:dyDescent="0.15">
      <c r="A38" s="29">
        <v>2013</v>
      </c>
      <c r="B38" s="300">
        <v>41456</v>
      </c>
      <c r="C38" s="411" t="s">
        <v>1181</v>
      </c>
      <c r="D38" s="411"/>
      <c r="E38" s="29">
        <f>365-E37</f>
        <v>184</v>
      </c>
      <c r="F38" s="70">
        <v>0</v>
      </c>
      <c r="G38" s="66">
        <v>5</v>
      </c>
      <c r="H38" s="29">
        <v>0</v>
      </c>
      <c r="I38" s="29">
        <v>14</v>
      </c>
      <c r="J38" s="73">
        <v>21</v>
      </c>
      <c r="K38" s="47">
        <f>G38/J38*100</f>
        <v>23.809523809523807</v>
      </c>
      <c r="L38" s="47">
        <f>H38/J38*100</f>
        <v>0</v>
      </c>
      <c r="M38" s="47">
        <f>I38/J38*100</f>
        <v>66.666666666666657</v>
      </c>
      <c r="N38" s="68">
        <f>SUM(K38:M38)</f>
        <v>90.476190476190467</v>
      </c>
      <c r="O38" s="46">
        <v>11.3</v>
      </c>
      <c r="P38" s="47">
        <v>0</v>
      </c>
      <c r="Q38" s="47">
        <v>39.700000000000003</v>
      </c>
      <c r="R38" s="48">
        <f t="shared" si="4"/>
        <v>51</v>
      </c>
      <c r="S38" s="29">
        <v>2</v>
      </c>
      <c r="T38" s="286"/>
      <c r="U38" s="295"/>
      <c r="V38" s="38" t="s">
        <v>111</v>
      </c>
      <c r="W38" s="29" t="s">
        <v>20</v>
      </c>
      <c r="X38" s="29" t="s">
        <v>12</v>
      </c>
      <c r="Y38" s="88">
        <v>39.700000000000003</v>
      </c>
      <c r="Z38" s="29" t="s">
        <v>992</v>
      </c>
      <c r="AA38" s="29" t="s">
        <v>22</v>
      </c>
      <c r="AB38" s="29" t="s">
        <v>11</v>
      </c>
      <c r="AC38" s="47">
        <v>9.3000000000000007</v>
      </c>
      <c r="AD38" s="38" t="s">
        <v>991</v>
      </c>
      <c r="AE38" s="29" t="s">
        <v>327</v>
      </c>
      <c r="AF38" s="29" t="s">
        <v>11</v>
      </c>
      <c r="AG38" s="88">
        <v>2</v>
      </c>
      <c r="AH38" s="38"/>
      <c r="AK38" s="47"/>
      <c r="AL38" s="38"/>
      <c r="AO38" s="88"/>
      <c r="AP38" s="38"/>
      <c r="AS38" s="39"/>
      <c r="AW38" s="39"/>
      <c r="BA38" s="40"/>
    </row>
    <row r="39" spans="1:53" s="29" customFormat="1" x14ac:dyDescent="0.15">
      <c r="A39" s="29">
        <v>2014</v>
      </c>
      <c r="B39" s="300"/>
      <c r="C39" s="411" t="s">
        <v>1181</v>
      </c>
      <c r="D39" s="411"/>
      <c r="E39" s="29">
        <v>168</v>
      </c>
      <c r="F39" s="70"/>
      <c r="G39" s="66">
        <v>5</v>
      </c>
      <c r="H39" s="29">
        <v>0</v>
      </c>
      <c r="I39" s="29">
        <v>14</v>
      </c>
      <c r="J39" s="73">
        <v>21</v>
      </c>
      <c r="K39" s="47">
        <f>G39/J39*100</f>
        <v>23.809523809523807</v>
      </c>
      <c r="L39" s="47">
        <f>H39/J39*100</f>
        <v>0</v>
      </c>
      <c r="M39" s="47">
        <f>I39/J39*100</f>
        <v>66.666666666666657</v>
      </c>
      <c r="N39" s="68">
        <f>SUM(K39:M39)</f>
        <v>90.476190476190467</v>
      </c>
      <c r="O39" s="46">
        <v>11.3</v>
      </c>
      <c r="P39" s="47">
        <v>0</v>
      </c>
      <c r="Q39" s="47">
        <v>39.700000000000003</v>
      </c>
      <c r="R39" s="48">
        <f t="shared" si="4"/>
        <v>51</v>
      </c>
      <c r="S39" s="29">
        <v>2</v>
      </c>
      <c r="T39" s="286"/>
      <c r="U39" s="295"/>
      <c r="V39" s="38" t="s">
        <v>111</v>
      </c>
      <c r="W39" s="29" t="s">
        <v>20</v>
      </c>
      <c r="X39" s="29" t="s">
        <v>12</v>
      </c>
      <c r="Y39" s="88">
        <v>39.700000000000003</v>
      </c>
      <c r="Z39" s="29" t="s">
        <v>992</v>
      </c>
      <c r="AA39" s="29" t="s">
        <v>22</v>
      </c>
      <c r="AB39" s="29" t="s">
        <v>11</v>
      </c>
      <c r="AC39" s="47">
        <v>9.3000000000000007</v>
      </c>
      <c r="AD39" s="38" t="s">
        <v>991</v>
      </c>
      <c r="AE39" s="29" t="s">
        <v>327</v>
      </c>
      <c r="AF39" s="29" t="s">
        <v>11</v>
      </c>
      <c r="AG39" s="88">
        <v>2</v>
      </c>
      <c r="AH39" s="38"/>
      <c r="AK39" s="47"/>
      <c r="AL39" s="38"/>
      <c r="AO39" s="88"/>
      <c r="AP39" s="38"/>
      <c r="AS39" s="39"/>
      <c r="AW39" s="39"/>
      <c r="BA39" s="40"/>
    </row>
    <row r="40" spans="1:53" s="29" customFormat="1" x14ac:dyDescent="0.15">
      <c r="A40" s="29">
        <v>2014</v>
      </c>
      <c r="B40" s="300">
        <v>41808</v>
      </c>
      <c r="C40" s="411" t="s">
        <v>1181</v>
      </c>
      <c r="D40" s="411"/>
      <c r="E40" s="29">
        <v>197</v>
      </c>
      <c r="F40" s="70">
        <v>0</v>
      </c>
      <c r="G40" s="66">
        <v>5</v>
      </c>
      <c r="H40" s="29">
        <v>0</v>
      </c>
      <c r="I40" s="29">
        <v>13</v>
      </c>
      <c r="J40" s="73">
        <v>21</v>
      </c>
      <c r="K40" s="47">
        <f>G40/J40*100</f>
        <v>23.809523809523807</v>
      </c>
      <c r="L40" s="47">
        <f>H40/J40*100</f>
        <v>0</v>
      </c>
      <c r="M40" s="47">
        <f>I40/J40*100</f>
        <v>61.904761904761905</v>
      </c>
      <c r="N40" s="68">
        <f>SUM(K40:M40)</f>
        <v>85.714285714285708</v>
      </c>
      <c r="O40" s="46">
        <v>11.3</v>
      </c>
      <c r="P40" s="47">
        <v>0</v>
      </c>
      <c r="Q40" s="47">
        <v>39.700000000000003</v>
      </c>
      <c r="R40" s="48">
        <f>SUM(O40:Q40)</f>
        <v>51</v>
      </c>
      <c r="S40" s="29">
        <v>2</v>
      </c>
      <c r="T40" s="286"/>
      <c r="U40" s="295"/>
      <c r="V40" s="38" t="s">
        <v>111</v>
      </c>
      <c r="W40" s="29" t="s">
        <v>20</v>
      </c>
      <c r="X40" s="29" t="s">
        <v>12</v>
      </c>
      <c r="Y40" s="88">
        <v>39.700000000000003</v>
      </c>
      <c r="Z40" s="29" t="s">
        <v>992</v>
      </c>
      <c r="AA40" s="29" t="s">
        <v>22</v>
      </c>
      <c r="AB40" s="29" t="s">
        <v>11</v>
      </c>
      <c r="AC40" s="47">
        <v>9.3000000000000007</v>
      </c>
      <c r="AD40" s="38" t="s">
        <v>991</v>
      </c>
      <c r="AE40" s="29" t="s">
        <v>327</v>
      </c>
      <c r="AF40" s="29" t="s">
        <v>11</v>
      </c>
      <c r="AG40" s="88">
        <v>2</v>
      </c>
      <c r="AH40" s="38"/>
      <c r="AK40" s="47"/>
      <c r="AL40" s="38"/>
      <c r="AO40" s="88"/>
      <c r="AP40" s="38"/>
      <c r="AS40" s="39"/>
      <c r="AW40" s="39"/>
      <c r="BA40" s="40"/>
    </row>
    <row r="41" spans="1:53" s="29" customFormat="1" x14ac:dyDescent="0.15">
      <c r="A41" s="29">
        <v>2015</v>
      </c>
      <c r="B41" s="300"/>
      <c r="C41" s="411" t="s">
        <v>1181</v>
      </c>
      <c r="D41" s="411"/>
      <c r="E41" s="29">
        <v>113</v>
      </c>
      <c r="F41" s="70"/>
      <c r="G41" s="66">
        <v>5</v>
      </c>
      <c r="H41" s="29">
        <v>0</v>
      </c>
      <c r="I41" s="29">
        <v>13</v>
      </c>
      <c r="J41" s="73">
        <v>21</v>
      </c>
      <c r="K41" s="47">
        <f t="shared" ref="K41:K43" si="5">G41/J41*100</f>
        <v>23.809523809523807</v>
      </c>
      <c r="L41" s="47">
        <f t="shared" ref="L41:L43" si="6">H41/J41*100</f>
        <v>0</v>
      </c>
      <c r="M41" s="47">
        <f t="shared" ref="M41:M43" si="7">I41/J41*100</f>
        <v>61.904761904761905</v>
      </c>
      <c r="N41" s="68">
        <f t="shared" ref="N41:N43" si="8">SUM(K41:M41)</f>
        <v>85.714285714285708</v>
      </c>
      <c r="O41" s="46">
        <v>11.3</v>
      </c>
      <c r="P41" s="47">
        <v>0</v>
      </c>
      <c r="Q41" s="47">
        <v>39.700000000000003</v>
      </c>
      <c r="R41" s="48">
        <f t="shared" ref="R41:R43" si="9">SUM(O41:Q41)</f>
        <v>51</v>
      </c>
      <c r="S41" s="29">
        <v>2</v>
      </c>
      <c r="T41" s="286"/>
      <c r="U41" s="295"/>
      <c r="V41" s="38" t="s">
        <v>111</v>
      </c>
      <c r="W41" s="29" t="s">
        <v>20</v>
      </c>
      <c r="X41" s="29" t="s">
        <v>12</v>
      </c>
      <c r="Y41" s="88">
        <v>39.700000000000003</v>
      </c>
      <c r="Z41" s="29" t="s">
        <v>992</v>
      </c>
      <c r="AA41" s="29" t="s">
        <v>22</v>
      </c>
      <c r="AB41" s="29" t="s">
        <v>11</v>
      </c>
      <c r="AC41" s="47">
        <v>9.3000000000000007</v>
      </c>
      <c r="AD41" s="38" t="s">
        <v>991</v>
      </c>
      <c r="AE41" s="29" t="s">
        <v>327</v>
      </c>
      <c r="AF41" s="29" t="s">
        <v>11</v>
      </c>
      <c r="AG41" s="88">
        <v>2</v>
      </c>
      <c r="AH41" s="38"/>
      <c r="AK41" s="47"/>
      <c r="AL41" s="38"/>
      <c r="AO41" s="88"/>
      <c r="AP41" s="38"/>
      <c r="AS41" s="39"/>
      <c r="AW41" s="39"/>
      <c r="BA41" s="40"/>
    </row>
    <row r="42" spans="1:53" s="29" customFormat="1" x14ac:dyDescent="0.15">
      <c r="A42" s="29">
        <v>2015</v>
      </c>
      <c r="B42" s="300">
        <v>42118</v>
      </c>
      <c r="C42" s="411" t="s">
        <v>1181</v>
      </c>
      <c r="D42" s="411"/>
      <c r="E42" s="29">
        <v>198</v>
      </c>
      <c r="F42" s="70">
        <v>0</v>
      </c>
      <c r="G42" s="66">
        <v>4</v>
      </c>
      <c r="H42" s="29">
        <v>0</v>
      </c>
      <c r="I42" s="29">
        <v>13</v>
      </c>
      <c r="J42" s="73">
        <v>21</v>
      </c>
      <c r="K42" s="47">
        <f t="shared" si="5"/>
        <v>19.047619047619047</v>
      </c>
      <c r="L42" s="47">
        <f t="shared" si="6"/>
        <v>0</v>
      </c>
      <c r="M42" s="47">
        <f t="shared" si="7"/>
        <v>61.904761904761905</v>
      </c>
      <c r="N42" s="68">
        <f t="shared" si="8"/>
        <v>80.952380952380949</v>
      </c>
      <c r="O42" s="46">
        <v>11.3</v>
      </c>
      <c r="P42" s="47">
        <v>0</v>
      </c>
      <c r="Q42" s="47">
        <v>39.700000000000003</v>
      </c>
      <c r="R42" s="48">
        <f t="shared" si="9"/>
        <v>51</v>
      </c>
      <c r="S42" s="29">
        <v>2</v>
      </c>
      <c r="T42" s="286"/>
      <c r="U42" s="295"/>
      <c r="V42" s="38" t="s">
        <v>111</v>
      </c>
      <c r="W42" s="29" t="s">
        <v>20</v>
      </c>
      <c r="X42" s="29" t="s">
        <v>12</v>
      </c>
      <c r="Y42" s="88">
        <v>39.700000000000003</v>
      </c>
      <c r="Z42" s="29" t="s">
        <v>992</v>
      </c>
      <c r="AA42" s="29" t="s">
        <v>22</v>
      </c>
      <c r="AB42" s="29" t="s">
        <v>11</v>
      </c>
      <c r="AC42" s="47">
        <v>9.3000000000000007</v>
      </c>
      <c r="AD42" s="38" t="s">
        <v>991</v>
      </c>
      <c r="AE42" s="29" t="s">
        <v>327</v>
      </c>
      <c r="AF42" s="29" t="s">
        <v>11</v>
      </c>
      <c r="AG42" s="88">
        <v>2</v>
      </c>
      <c r="AH42" s="38"/>
      <c r="AK42" s="47"/>
      <c r="AL42" s="38"/>
      <c r="AO42" s="88"/>
      <c r="AP42" s="38"/>
      <c r="AS42" s="39"/>
      <c r="AW42" s="39"/>
      <c r="BA42" s="40"/>
    </row>
    <row r="43" spans="1:53" s="171" customFormat="1" x14ac:dyDescent="0.15">
      <c r="A43" s="171">
        <v>2015</v>
      </c>
      <c r="B43" s="306">
        <v>42316</v>
      </c>
      <c r="C43" s="410" t="s">
        <v>1314</v>
      </c>
      <c r="D43" s="410"/>
      <c r="E43" s="171">
        <v>54</v>
      </c>
      <c r="F43" s="171">
        <v>1</v>
      </c>
      <c r="G43" s="233">
        <v>4</v>
      </c>
      <c r="H43" s="171">
        <v>0</v>
      </c>
      <c r="I43" s="171">
        <v>13</v>
      </c>
      <c r="J43" s="241">
        <v>21</v>
      </c>
      <c r="K43" s="214">
        <f t="shared" si="5"/>
        <v>19.047619047619047</v>
      </c>
      <c r="L43" s="214">
        <f t="shared" si="6"/>
        <v>0</v>
      </c>
      <c r="M43" s="214">
        <f t="shared" si="7"/>
        <v>61.904761904761905</v>
      </c>
      <c r="N43" s="235">
        <f t="shared" si="8"/>
        <v>80.952380952380949</v>
      </c>
      <c r="O43" s="213">
        <v>9.1999999999999993</v>
      </c>
      <c r="P43" s="214">
        <v>0</v>
      </c>
      <c r="Q43" s="214">
        <v>37.1</v>
      </c>
      <c r="R43" s="215">
        <f t="shared" si="9"/>
        <v>46.3</v>
      </c>
      <c r="S43" s="171">
        <v>5</v>
      </c>
      <c r="T43" s="285">
        <v>42316</v>
      </c>
      <c r="U43" s="306">
        <v>42316</v>
      </c>
      <c r="V43" s="178" t="s">
        <v>111</v>
      </c>
      <c r="W43" s="171" t="s">
        <v>20</v>
      </c>
      <c r="X43" s="171" t="s">
        <v>12</v>
      </c>
      <c r="Y43" s="179">
        <v>37.1</v>
      </c>
      <c r="Z43" s="171" t="s">
        <v>992</v>
      </c>
      <c r="AA43" s="171" t="s">
        <v>22</v>
      </c>
      <c r="AB43" s="171" t="s">
        <v>11</v>
      </c>
      <c r="AC43" s="214">
        <v>7.9</v>
      </c>
      <c r="AD43" s="178" t="s">
        <v>991</v>
      </c>
      <c r="AE43" s="171" t="s">
        <v>327</v>
      </c>
      <c r="AF43" s="171" t="s">
        <v>11</v>
      </c>
      <c r="AG43" s="248">
        <v>1.3</v>
      </c>
      <c r="AL43" s="178"/>
      <c r="AO43" s="179"/>
      <c r="AP43" s="178"/>
      <c r="AS43" s="179"/>
      <c r="AW43" s="179"/>
      <c r="BA43" s="180"/>
    </row>
    <row r="44" spans="1:53" s="171" customFormat="1" x14ac:dyDescent="0.15">
      <c r="A44" s="171">
        <v>2016</v>
      </c>
      <c r="B44" s="306"/>
      <c r="C44" s="410" t="s">
        <v>1314</v>
      </c>
      <c r="D44" s="410"/>
      <c r="E44" s="171">
        <v>21</v>
      </c>
      <c r="G44" s="233">
        <v>4</v>
      </c>
      <c r="H44" s="171">
        <v>0</v>
      </c>
      <c r="I44" s="171">
        <v>13</v>
      </c>
      <c r="J44" s="241">
        <v>21</v>
      </c>
      <c r="K44" s="214">
        <f t="shared" ref="K44:K45" si="10">G44/J44*100</f>
        <v>19.047619047619047</v>
      </c>
      <c r="L44" s="214">
        <f t="shared" ref="L44:L45" si="11">H44/J44*100</f>
        <v>0</v>
      </c>
      <c r="M44" s="214">
        <f t="shared" ref="M44:M45" si="12">I44/J44*100</f>
        <v>61.904761904761905</v>
      </c>
      <c r="N44" s="235">
        <f t="shared" ref="N44:N45" si="13">SUM(K44:M44)</f>
        <v>80.952380952380949</v>
      </c>
      <c r="O44" s="213">
        <v>9.1999999999999993</v>
      </c>
      <c r="P44" s="214">
        <v>0</v>
      </c>
      <c r="Q44" s="214">
        <v>37.1</v>
      </c>
      <c r="R44" s="215">
        <f t="shared" ref="R44:R45" si="14">SUM(O44:Q44)</f>
        <v>46.3</v>
      </c>
      <c r="S44" s="171">
        <v>5</v>
      </c>
      <c r="T44" s="285"/>
      <c r="U44" s="306"/>
      <c r="V44" s="178" t="s">
        <v>111</v>
      </c>
      <c r="W44" s="171" t="s">
        <v>20</v>
      </c>
      <c r="X44" s="171" t="s">
        <v>12</v>
      </c>
      <c r="Y44" s="248">
        <v>37.1</v>
      </c>
      <c r="Z44" s="171" t="s">
        <v>992</v>
      </c>
      <c r="AA44" s="171" t="s">
        <v>22</v>
      </c>
      <c r="AB44" s="171" t="s">
        <v>11</v>
      </c>
      <c r="AC44" s="214">
        <v>7.9</v>
      </c>
      <c r="AD44" s="178" t="s">
        <v>991</v>
      </c>
      <c r="AE44" s="171" t="s">
        <v>327</v>
      </c>
      <c r="AF44" s="171" t="s">
        <v>11</v>
      </c>
      <c r="AG44" s="248">
        <v>1.3</v>
      </c>
      <c r="AK44" s="179"/>
      <c r="AO44" s="179"/>
      <c r="AS44" s="179"/>
      <c r="AW44" s="179"/>
      <c r="BA44" s="180"/>
    </row>
    <row r="45" spans="1:53" s="29" customFormat="1" x14ac:dyDescent="0.15">
      <c r="A45" s="29">
        <v>2016</v>
      </c>
      <c r="B45" s="277">
        <v>42391</v>
      </c>
      <c r="C45" s="411" t="s">
        <v>1335</v>
      </c>
      <c r="D45" s="411"/>
      <c r="E45" s="29">
        <v>271</v>
      </c>
      <c r="F45" s="29">
        <v>1</v>
      </c>
      <c r="G45" s="66">
        <v>5</v>
      </c>
      <c r="H45" s="29">
        <v>12</v>
      </c>
      <c r="I45" s="29">
        <v>0</v>
      </c>
      <c r="J45" s="73">
        <v>23</v>
      </c>
      <c r="K45" s="46">
        <f t="shared" si="10"/>
        <v>21.739130434782609</v>
      </c>
      <c r="L45" s="47">
        <f t="shared" si="11"/>
        <v>52.173913043478258</v>
      </c>
      <c r="M45" s="47">
        <f t="shared" si="12"/>
        <v>0</v>
      </c>
      <c r="N45" s="48">
        <f t="shared" si="13"/>
        <v>73.913043478260875</v>
      </c>
      <c r="O45" s="46">
        <v>9.9</v>
      </c>
      <c r="P45" s="47">
        <v>32.5</v>
      </c>
      <c r="Q45" s="47">
        <v>0</v>
      </c>
      <c r="R45" s="48">
        <f t="shared" si="14"/>
        <v>42.4</v>
      </c>
      <c r="S45" s="37">
        <v>5</v>
      </c>
      <c r="T45" s="286"/>
      <c r="U45" s="277">
        <v>42391</v>
      </c>
      <c r="V45" s="38" t="s">
        <v>996</v>
      </c>
      <c r="W45" s="29" t="s">
        <v>17</v>
      </c>
      <c r="X45" s="29" t="s">
        <v>18</v>
      </c>
      <c r="Y45" s="88">
        <v>32.5</v>
      </c>
      <c r="Z45" s="29" t="s">
        <v>1337</v>
      </c>
      <c r="AA45" s="29" t="s">
        <v>99</v>
      </c>
      <c r="AB45" s="29" t="s">
        <v>11</v>
      </c>
      <c r="AC45" s="88">
        <v>9.9</v>
      </c>
      <c r="AG45" s="88"/>
      <c r="AK45" s="39"/>
      <c r="AO45" s="39"/>
      <c r="AS45" s="39"/>
      <c r="AW45" s="39"/>
      <c r="BA45" s="40"/>
    </row>
    <row r="46" spans="1:53" s="171" customFormat="1" x14ac:dyDescent="0.15">
      <c r="A46" s="171">
        <v>2016</v>
      </c>
      <c r="B46" s="283">
        <v>42662</v>
      </c>
      <c r="C46" s="410" t="s">
        <v>1336</v>
      </c>
      <c r="D46" s="410"/>
      <c r="E46" s="171">
        <v>74</v>
      </c>
      <c r="F46" s="171">
        <v>5</v>
      </c>
      <c r="G46" s="233">
        <v>4</v>
      </c>
      <c r="H46" s="171">
        <v>14</v>
      </c>
      <c r="I46" s="171">
        <v>0</v>
      </c>
      <c r="J46" s="180">
        <v>21</v>
      </c>
      <c r="K46" s="214">
        <f>G46/J46*100</f>
        <v>19.047619047619047</v>
      </c>
      <c r="L46" s="214">
        <f>H46/J46*100</f>
        <v>66.666666666666657</v>
      </c>
      <c r="M46" s="214">
        <f>I46/J46*100</f>
        <v>0</v>
      </c>
      <c r="N46" s="235">
        <f>SUM(K46:M46)</f>
        <v>85.714285714285708</v>
      </c>
      <c r="O46" s="233">
        <v>9.3000000000000007</v>
      </c>
      <c r="P46" s="171">
        <v>37.1</v>
      </c>
      <c r="Q46" s="171">
        <v>0</v>
      </c>
      <c r="R46" s="180">
        <f>SUM(O46:Q46)</f>
        <v>46.400000000000006</v>
      </c>
      <c r="S46" s="190">
        <v>5</v>
      </c>
      <c r="T46" s="285">
        <v>42624</v>
      </c>
      <c r="U46" s="283">
        <v>42662</v>
      </c>
      <c r="V46" s="178" t="s">
        <v>996</v>
      </c>
      <c r="W46" s="171" t="s">
        <v>17</v>
      </c>
      <c r="X46" s="171" t="s">
        <v>18</v>
      </c>
      <c r="Y46" s="248">
        <v>37.1</v>
      </c>
      <c r="Z46" s="171" t="s">
        <v>1337</v>
      </c>
      <c r="AA46" s="171" t="s">
        <v>99</v>
      </c>
      <c r="AB46" s="171" t="s">
        <v>11</v>
      </c>
      <c r="AC46" s="171">
        <v>9.3000000000000007</v>
      </c>
      <c r="AD46" s="178"/>
      <c r="AG46" s="179"/>
      <c r="AK46" s="179"/>
      <c r="AO46" s="179"/>
      <c r="AS46" s="179"/>
      <c r="AW46" s="179"/>
      <c r="BA46" s="180"/>
    </row>
    <row r="47" spans="1:53" s="171" customFormat="1" x14ac:dyDescent="0.15">
      <c r="A47" s="171">
        <v>2017</v>
      </c>
      <c r="B47" s="283"/>
      <c r="C47" s="410" t="s">
        <v>1336</v>
      </c>
      <c r="D47" s="410"/>
      <c r="E47" s="171">
        <v>159</v>
      </c>
      <c r="G47" s="233">
        <v>4</v>
      </c>
      <c r="H47" s="171">
        <v>14</v>
      </c>
      <c r="I47" s="171">
        <v>0</v>
      </c>
      <c r="J47" s="180">
        <v>21</v>
      </c>
      <c r="K47" s="213">
        <f t="shared" ref="K47" si="15">G47/J47*100</f>
        <v>19.047619047619047</v>
      </c>
      <c r="L47" s="214">
        <f t="shared" ref="L47" si="16">H47/J47*100</f>
        <v>66.666666666666657</v>
      </c>
      <c r="M47" s="214">
        <f t="shared" ref="M47" si="17">I47/J47*100</f>
        <v>0</v>
      </c>
      <c r="N47" s="215">
        <f t="shared" ref="N47" si="18">SUM(K47:M47)</f>
        <v>85.714285714285708</v>
      </c>
      <c r="O47" s="233">
        <v>9.3000000000000007</v>
      </c>
      <c r="P47" s="171">
        <v>37.1</v>
      </c>
      <c r="Q47" s="171">
        <v>0</v>
      </c>
      <c r="R47" s="180">
        <f t="shared" ref="R47" si="19">SUM(O47:Q47)</f>
        <v>46.400000000000006</v>
      </c>
      <c r="S47" s="190">
        <v>5</v>
      </c>
      <c r="T47" s="285"/>
      <c r="U47" s="283"/>
      <c r="V47" s="178" t="s">
        <v>996</v>
      </c>
      <c r="W47" s="171" t="s">
        <v>17</v>
      </c>
      <c r="X47" s="171" t="s">
        <v>18</v>
      </c>
      <c r="Y47" s="248">
        <v>37.1</v>
      </c>
      <c r="Z47" s="171" t="s">
        <v>1337</v>
      </c>
      <c r="AA47" s="171" t="s">
        <v>99</v>
      </c>
      <c r="AB47" s="171" t="s">
        <v>11</v>
      </c>
      <c r="AC47" s="171">
        <v>9.3000000000000007</v>
      </c>
      <c r="AD47" s="178"/>
      <c r="AG47" s="179"/>
      <c r="AK47" s="179"/>
      <c r="AO47" s="179"/>
      <c r="AS47" s="179"/>
      <c r="AW47" s="179"/>
      <c r="BA47" s="180"/>
    </row>
    <row r="48" spans="1:53" s="29" customFormat="1" x14ac:dyDescent="0.15">
      <c r="A48" s="29">
        <v>2017</v>
      </c>
      <c r="B48" s="277">
        <v>42895</v>
      </c>
      <c r="C48" s="411" t="s">
        <v>1387</v>
      </c>
      <c r="D48" s="411"/>
      <c r="E48" s="29">
        <v>206</v>
      </c>
      <c r="F48" s="29">
        <v>7</v>
      </c>
      <c r="G48" s="66">
        <v>1</v>
      </c>
      <c r="H48" s="29">
        <v>18</v>
      </c>
      <c r="I48" s="29">
        <v>0</v>
      </c>
      <c r="J48" s="73">
        <v>21</v>
      </c>
      <c r="K48" s="46">
        <f>G48/J48*100</f>
        <v>4.7619047619047619</v>
      </c>
      <c r="L48" s="47">
        <f>H48/J48*100</f>
        <v>85.714285714285708</v>
      </c>
      <c r="M48" s="47">
        <f>I48/J48*100</f>
        <v>0</v>
      </c>
      <c r="N48" s="48">
        <f>SUM(K48:M48)</f>
        <v>90.476190476190467</v>
      </c>
      <c r="O48" s="46">
        <v>3.3</v>
      </c>
      <c r="P48" s="47">
        <v>37.1</v>
      </c>
      <c r="Q48" s="47">
        <v>0</v>
      </c>
      <c r="R48" s="48">
        <f t="shared" ref="R48:R54" si="20">SUM(O48:Q48)</f>
        <v>40.4</v>
      </c>
      <c r="S48" s="37">
        <v>5</v>
      </c>
      <c r="T48" s="286"/>
      <c r="U48" s="277">
        <v>42895</v>
      </c>
      <c r="V48" s="38" t="s">
        <v>996</v>
      </c>
      <c r="W48" s="29" t="s">
        <v>17</v>
      </c>
      <c r="X48" s="29" t="s">
        <v>18</v>
      </c>
      <c r="Y48" s="88">
        <v>37.1</v>
      </c>
      <c r="Z48" s="29" t="s">
        <v>992</v>
      </c>
      <c r="AA48" s="29" t="s">
        <v>22</v>
      </c>
      <c r="AB48" s="29" t="s">
        <v>11</v>
      </c>
      <c r="AC48" s="88">
        <v>3.3</v>
      </c>
      <c r="AG48" s="88"/>
      <c r="AK48" s="39"/>
      <c r="AO48" s="39"/>
      <c r="AS48" s="39"/>
      <c r="AW48" s="39"/>
      <c r="BA48" s="40"/>
    </row>
    <row r="49" spans="1:53" s="29" customFormat="1" x14ac:dyDescent="0.15">
      <c r="A49" s="29">
        <v>2018</v>
      </c>
      <c r="B49" s="277"/>
      <c r="C49" s="411" t="s">
        <v>1387</v>
      </c>
      <c r="D49" s="411"/>
      <c r="E49" s="29">
        <v>0</v>
      </c>
      <c r="G49" s="66">
        <v>1</v>
      </c>
      <c r="H49" s="29">
        <v>18</v>
      </c>
      <c r="I49" s="29">
        <v>0</v>
      </c>
      <c r="J49" s="73">
        <v>21</v>
      </c>
      <c r="K49" s="46">
        <f t="shared" ref="K49:K50" si="21">G49/J49*100</f>
        <v>4.7619047619047619</v>
      </c>
      <c r="L49" s="47">
        <f t="shared" ref="L49:L50" si="22">H49/J49*100</f>
        <v>85.714285714285708</v>
      </c>
      <c r="M49" s="47">
        <f t="shared" ref="M49:M50" si="23">I49/J49*100</f>
        <v>0</v>
      </c>
      <c r="N49" s="48">
        <f t="shared" ref="N49:N50" si="24">SUM(K49:M49)</f>
        <v>90.476190476190467</v>
      </c>
      <c r="O49" s="46">
        <v>3.3</v>
      </c>
      <c r="P49" s="47">
        <v>37.1</v>
      </c>
      <c r="Q49" s="47">
        <v>0</v>
      </c>
      <c r="R49" s="48">
        <f t="shared" si="20"/>
        <v>40.4</v>
      </c>
      <c r="S49" s="37">
        <v>5</v>
      </c>
      <c r="T49" s="286"/>
      <c r="U49" s="277"/>
      <c r="V49" s="38" t="s">
        <v>996</v>
      </c>
      <c r="W49" s="29" t="s">
        <v>17</v>
      </c>
      <c r="X49" s="29" t="s">
        <v>18</v>
      </c>
      <c r="Y49" s="88">
        <v>37.1</v>
      </c>
      <c r="Z49" s="29" t="s">
        <v>992</v>
      </c>
      <c r="AA49" s="29" t="s">
        <v>22</v>
      </c>
      <c r="AB49" s="29" t="s">
        <v>11</v>
      </c>
      <c r="AC49" s="88">
        <v>3.3</v>
      </c>
      <c r="AG49" s="88"/>
      <c r="AK49" s="39"/>
      <c r="AO49" s="39"/>
      <c r="AS49" s="39"/>
      <c r="AW49" s="39"/>
      <c r="BA49" s="40"/>
    </row>
    <row r="50" spans="1:53" s="29" customFormat="1" x14ac:dyDescent="0.15">
      <c r="A50" s="29">
        <v>2018</v>
      </c>
      <c r="B50" s="277"/>
      <c r="C50" s="411" t="s">
        <v>1387</v>
      </c>
      <c r="D50" s="411"/>
      <c r="E50" s="29">
        <v>365</v>
      </c>
      <c r="G50" s="66">
        <v>1</v>
      </c>
      <c r="H50" s="29">
        <v>18</v>
      </c>
      <c r="I50" s="29">
        <v>0</v>
      </c>
      <c r="J50" s="73">
        <v>21</v>
      </c>
      <c r="K50" s="46">
        <f t="shared" si="21"/>
        <v>4.7619047619047619</v>
      </c>
      <c r="L50" s="47">
        <f t="shared" si="22"/>
        <v>85.714285714285708</v>
      </c>
      <c r="M50" s="47">
        <f t="shared" si="23"/>
        <v>0</v>
      </c>
      <c r="N50" s="48">
        <f t="shared" si="24"/>
        <v>90.476190476190467</v>
      </c>
      <c r="O50" s="46">
        <v>3.3</v>
      </c>
      <c r="P50" s="47">
        <v>37.1</v>
      </c>
      <c r="Q50" s="47">
        <v>0</v>
      </c>
      <c r="R50" s="48">
        <f t="shared" si="20"/>
        <v>40.4</v>
      </c>
      <c r="S50" s="37">
        <v>5</v>
      </c>
      <c r="T50" s="286"/>
      <c r="U50" s="277"/>
      <c r="V50" s="38" t="s">
        <v>996</v>
      </c>
      <c r="W50" s="29" t="s">
        <v>17</v>
      </c>
      <c r="X50" s="29" t="s">
        <v>18</v>
      </c>
      <c r="Y50" s="88">
        <v>37.1</v>
      </c>
      <c r="Z50" s="29" t="s">
        <v>992</v>
      </c>
      <c r="AA50" s="29" t="s">
        <v>22</v>
      </c>
      <c r="AB50" s="29" t="s">
        <v>11</v>
      </c>
      <c r="AC50" s="88">
        <v>3.3</v>
      </c>
      <c r="AG50" s="88"/>
      <c r="AK50" s="39"/>
      <c r="AO50" s="39"/>
      <c r="AS50" s="39"/>
      <c r="AW50" s="39"/>
      <c r="BA50" s="40"/>
    </row>
    <row r="51" spans="1:53" s="29" customFormat="1" x14ac:dyDescent="0.15">
      <c r="A51" s="29">
        <v>2019</v>
      </c>
      <c r="B51" s="277"/>
      <c r="C51" s="411" t="s">
        <v>1387</v>
      </c>
      <c r="D51" s="411"/>
      <c r="E51" s="29">
        <v>0</v>
      </c>
      <c r="G51" s="66">
        <v>1</v>
      </c>
      <c r="H51" s="29">
        <v>18</v>
      </c>
      <c r="I51" s="29">
        <v>0</v>
      </c>
      <c r="J51" s="73">
        <v>21</v>
      </c>
      <c r="K51" s="46">
        <f t="shared" ref="K51:K54" si="25">G51/J51*100</f>
        <v>4.7619047619047619</v>
      </c>
      <c r="L51" s="47">
        <f t="shared" ref="L51:L54" si="26">H51/J51*100</f>
        <v>85.714285714285708</v>
      </c>
      <c r="M51" s="47">
        <f t="shared" ref="M51:M54" si="27">I51/J51*100</f>
        <v>0</v>
      </c>
      <c r="N51" s="48">
        <f t="shared" ref="N51:N54" si="28">SUM(K51:M51)</f>
        <v>90.476190476190467</v>
      </c>
      <c r="O51" s="46">
        <v>3.3</v>
      </c>
      <c r="P51" s="47">
        <v>37.1</v>
      </c>
      <c r="Q51" s="47">
        <v>0</v>
      </c>
      <c r="R51" s="48">
        <f t="shared" si="20"/>
        <v>40.4</v>
      </c>
      <c r="S51" s="37">
        <v>5</v>
      </c>
      <c r="T51" s="286"/>
      <c r="U51" s="277"/>
      <c r="V51" s="38" t="s">
        <v>996</v>
      </c>
      <c r="W51" s="29" t="s">
        <v>17</v>
      </c>
      <c r="X51" s="29" t="s">
        <v>18</v>
      </c>
      <c r="Y51" s="88">
        <v>37.1</v>
      </c>
      <c r="Z51" s="29" t="s">
        <v>992</v>
      </c>
      <c r="AA51" s="29" t="s">
        <v>22</v>
      </c>
      <c r="AB51" s="29" t="s">
        <v>11</v>
      </c>
      <c r="AC51" s="88">
        <v>3.3</v>
      </c>
      <c r="AG51" s="88"/>
      <c r="AK51" s="39"/>
      <c r="AO51" s="39"/>
      <c r="AS51" s="39"/>
      <c r="AW51" s="39"/>
      <c r="BA51" s="40"/>
    </row>
    <row r="52" spans="1:53" s="29" customFormat="1" x14ac:dyDescent="0.15">
      <c r="A52" s="29">
        <v>2019</v>
      </c>
      <c r="B52" s="277"/>
      <c r="C52" s="411" t="s">
        <v>1387</v>
      </c>
      <c r="D52" s="411"/>
      <c r="E52" s="29">
        <v>365</v>
      </c>
      <c r="G52" s="66">
        <v>1</v>
      </c>
      <c r="H52" s="29">
        <v>18</v>
      </c>
      <c r="I52" s="29">
        <v>0</v>
      </c>
      <c r="J52" s="73">
        <v>21</v>
      </c>
      <c r="K52" s="46">
        <f t="shared" si="25"/>
        <v>4.7619047619047619</v>
      </c>
      <c r="L52" s="47">
        <f t="shared" si="26"/>
        <v>85.714285714285708</v>
      </c>
      <c r="M52" s="47">
        <f t="shared" si="27"/>
        <v>0</v>
      </c>
      <c r="N52" s="48">
        <f t="shared" si="28"/>
        <v>90.476190476190467</v>
      </c>
      <c r="O52" s="46">
        <v>3.3</v>
      </c>
      <c r="P52" s="47">
        <v>37.1</v>
      </c>
      <c r="Q52" s="47">
        <v>0</v>
      </c>
      <c r="R52" s="48">
        <f t="shared" si="20"/>
        <v>40.4</v>
      </c>
      <c r="S52" s="37">
        <v>5</v>
      </c>
      <c r="T52" s="286"/>
      <c r="U52" s="277"/>
      <c r="V52" s="38" t="s">
        <v>996</v>
      </c>
      <c r="W52" s="29" t="s">
        <v>17</v>
      </c>
      <c r="X52" s="29" t="s">
        <v>18</v>
      </c>
      <c r="Y52" s="88">
        <v>37.1</v>
      </c>
      <c r="Z52" s="29" t="s">
        <v>992</v>
      </c>
      <c r="AA52" s="29" t="s">
        <v>22</v>
      </c>
      <c r="AB52" s="29" t="s">
        <v>11</v>
      </c>
      <c r="AC52" s="88">
        <v>3.3</v>
      </c>
      <c r="AG52" s="88"/>
      <c r="AK52" s="39"/>
      <c r="AO52" s="39"/>
      <c r="AS52" s="39"/>
      <c r="AW52" s="39"/>
      <c r="BA52" s="40"/>
    </row>
    <row r="53" spans="1:53" s="29" customFormat="1" x14ac:dyDescent="0.15">
      <c r="A53" s="29">
        <v>2020</v>
      </c>
      <c r="B53" s="277"/>
      <c r="C53" s="411" t="s">
        <v>1387</v>
      </c>
      <c r="D53" s="411"/>
      <c r="E53" s="29">
        <v>204</v>
      </c>
      <c r="F53" s="40"/>
      <c r="G53" s="66">
        <v>1</v>
      </c>
      <c r="H53" s="29">
        <v>18</v>
      </c>
      <c r="I53" s="29">
        <v>0</v>
      </c>
      <c r="J53" s="73">
        <v>21</v>
      </c>
      <c r="K53" s="46">
        <f t="shared" si="25"/>
        <v>4.7619047619047619</v>
      </c>
      <c r="L53" s="47">
        <f t="shared" si="26"/>
        <v>85.714285714285708</v>
      </c>
      <c r="M53" s="47">
        <f t="shared" si="27"/>
        <v>0</v>
      </c>
      <c r="N53" s="48">
        <f t="shared" si="28"/>
        <v>90.476190476190467</v>
      </c>
      <c r="O53" s="46">
        <v>3.3</v>
      </c>
      <c r="P53" s="47">
        <v>37.1</v>
      </c>
      <c r="Q53" s="47">
        <v>0</v>
      </c>
      <c r="R53" s="48">
        <f t="shared" si="20"/>
        <v>40.4</v>
      </c>
      <c r="S53" s="37">
        <v>5</v>
      </c>
      <c r="T53" s="286"/>
      <c r="U53" s="277"/>
      <c r="V53" s="38" t="s">
        <v>996</v>
      </c>
      <c r="W53" s="29" t="s">
        <v>17</v>
      </c>
      <c r="X53" s="29" t="s">
        <v>18</v>
      </c>
      <c r="Y53" s="88">
        <v>37.1</v>
      </c>
      <c r="Z53" s="29" t="s">
        <v>992</v>
      </c>
      <c r="AA53" s="29" t="s">
        <v>22</v>
      </c>
      <c r="AB53" s="29" t="s">
        <v>11</v>
      </c>
      <c r="AC53" s="88">
        <v>3.3</v>
      </c>
      <c r="AG53" s="88"/>
      <c r="AK53" s="39"/>
      <c r="AO53" s="39"/>
      <c r="AS53" s="39"/>
      <c r="AW53" s="39"/>
      <c r="BA53" s="40"/>
    </row>
    <row r="54" spans="1:53" s="171" customFormat="1" x14ac:dyDescent="0.15">
      <c r="A54" s="171">
        <v>2020</v>
      </c>
      <c r="B54" s="306">
        <v>44035</v>
      </c>
      <c r="C54" s="410" t="s">
        <v>1463</v>
      </c>
      <c r="D54" s="410"/>
      <c r="E54" s="171">
        <v>162</v>
      </c>
      <c r="F54" s="180">
        <v>1</v>
      </c>
      <c r="G54" s="171">
        <v>1</v>
      </c>
      <c r="H54" s="171">
        <v>16</v>
      </c>
      <c r="I54" s="171">
        <v>0</v>
      </c>
      <c r="J54" s="241">
        <v>18</v>
      </c>
      <c r="K54" s="214">
        <f t="shared" si="25"/>
        <v>5.5555555555555554</v>
      </c>
      <c r="L54" s="214">
        <f t="shared" si="26"/>
        <v>88.888888888888886</v>
      </c>
      <c r="M54" s="214">
        <f t="shared" si="27"/>
        <v>0</v>
      </c>
      <c r="N54" s="215">
        <f t="shared" si="28"/>
        <v>94.444444444444443</v>
      </c>
      <c r="O54" s="214">
        <v>2</v>
      </c>
      <c r="P54" s="214">
        <v>41.1</v>
      </c>
      <c r="Q54" s="214">
        <v>0</v>
      </c>
      <c r="R54" s="215">
        <f t="shared" si="20"/>
        <v>43.1</v>
      </c>
      <c r="S54" s="190">
        <v>5</v>
      </c>
      <c r="T54" s="285">
        <v>44017</v>
      </c>
      <c r="U54" s="341">
        <v>44035</v>
      </c>
      <c r="V54" s="171" t="s">
        <v>996</v>
      </c>
      <c r="W54" s="171" t="s">
        <v>17</v>
      </c>
      <c r="X54" s="171" t="s">
        <v>18</v>
      </c>
      <c r="Y54" s="248">
        <v>41.1</v>
      </c>
      <c r="Z54" s="171" t="s">
        <v>999</v>
      </c>
      <c r="AA54" s="171" t="s">
        <v>327</v>
      </c>
      <c r="AB54" s="171" t="s">
        <v>11</v>
      </c>
      <c r="AC54" s="248">
        <v>2</v>
      </c>
      <c r="AG54" s="248"/>
      <c r="AK54" s="179"/>
      <c r="AO54" s="179"/>
      <c r="AS54" s="179"/>
      <c r="AW54" s="179"/>
      <c r="BA54" s="180"/>
    </row>
    <row r="55" spans="1:53" x14ac:dyDescent="0.15">
      <c r="B55" s="339"/>
      <c r="J55" s="26"/>
      <c r="K55" s="12"/>
      <c r="L55" s="12"/>
      <c r="M55" s="12"/>
      <c r="N55" s="20"/>
      <c r="O55" s="12"/>
      <c r="P55" s="12"/>
      <c r="Q55" s="12"/>
      <c r="R55" s="20"/>
      <c r="T55" s="340"/>
      <c r="U55" s="339"/>
      <c r="Y55" s="12"/>
      <c r="AC55" s="12"/>
      <c r="AG55" s="12"/>
      <c r="AO55" s="17"/>
      <c r="AS55" s="17"/>
      <c r="AW55" s="17"/>
    </row>
    <row r="56" spans="1:53" x14ac:dyDescent="0.15">
      <c r="B56" s="339"/>
      <c r="J56" s="26"/>
      <c r="K56" s="12"/>
      <c r="L56" s="12"/>
      <c r="M56" s="12"/>
      <c r="N56" s="20"/>
      <c r="O56" s="12"/>
      <c r="P56" s="12"/>
      <c r="Q56" s="12"/>
      <c r="R56" s="20"/>
      <c r="T56" s="340"/>
      <c r="U56" s="339"/>
      <c r="Y56" s="12"/>
      <c r="AC56" s="12"/>
      <c r="AG56" s="12"/>
    </row>
    <row r="57" spans="1:53" x14ac:dyDescent="0.15">
      <c r="B57" s="339"/>
      <c r="J57" s="26"/>
      <c r="K57" s="12"/>
      <c r="L57" s="12"/>
      <c r="M57" s="12"/>
      <c r="N57" s="20"/>
      <c r="O57" s="12"/>
      <c r="P57" s="12"/>
      <c r="Q57" s="12"/>
      <c r="R57" s="20"/>
      <c r="T57" s="340"/>
      <c r="U57" s="339"/>
      <c r="Y57" s="12"/>
      <c r="AC57" s="12"/>
      <c r="AG57" s="12"/>
    </row>
    <row r="58" spans="1:53" x14ac:dyDescent="0.15">
      <c r="B58" s="339"/>
      <c r="J58" s="26"/>
      <c r="K58" s="12"/>
      <c r="L58" s="12"/>
      <c r="M58" s="12"/>
      <c r="N58" s="20"/>
      <c r="O58" s="12"/>
      <c r="P58" s="12"/>
      <c r="Q58" s="12"/>
      <c r="R58" s="20"/>
      <c r="T58" s="340"/>
      <c r="U58" s="339"/>
      <c r="Y58" s="12"/>
      <c r="AC58" s="12"/>
      <c r="AG58" s="12"/>
    </row>
    <row r="59" spans="1:53" ht="18" customHeight="1" x14ac:dyDescent="0.15">
      <c r="B59" s="16" t="s">
        <v>1264</v>
      </c>
    </row>
    <row r="60" spans="1:53" ht="9" customHeight="1" x14ac:dyDescent="0.15"/>
    <row r="61" spans="1:53" s="195" customFormat="1" ht="9" customHeight="1" x14ac:dyDescent="0.15">
      <c r="A61" s="193"/>
      <c r="B61" s="194" t="s">
        <v>1215</v>
      </c>
      <c r="C61" s="194"/>
      <c r="D61" s="194"/>
      <c r="E61" s="194"/>
      <c r="F61" s="194"/>
      <c r="G61" s="194" t="s">
        <v>1216</v>
      </c>
      <c r="H61" s="194"/>
      <c r="I61" s="194"/>
      <c r="J61" s="194"/>
      <c r="K61" s="194"/>
      <c r="L61" s="194"/>
      <c r="M61" s="194"/>
      <c r="N61" s="194"/>
      <c r="R61" s="388" t="s">
        <v>1217</v>
      </c>
      <c r="S61" s="388"/>
      <c r="T61" s="388"/>
      <c r="U61" s="388"/>
      <c r="V61" s="388"/>
      <c r="W61" s="388"/>
      <c r="X61" s="196"/>
      <c r="Y61" s="196"/>
      <c r="AA61" s="196"/>
      <c r="AB61" s="196"/>
      <c r="AC61" s="196"/>
      <c r="AD61" s="196"/>
    </row>
    <row r="62" spans="1:53" s="200" customFormat="1" ht="9" customHeight="1" x14ac:dyDescent="0.15">
      <c r="A62" s="197"/>
      <c r="B62" s="198" t="s">
        <v>1219</v>
      </c>
      <c r="C62" s="199"/>
      <c r="D62" s="199"/>
      <c r="E62" s="199"/>
      <c r="F62" s="199"/>
      <c r="G62" s="198" t="s">
        <v>1218</v>
      </c>
      <c r="H62" s="199"/>
      <c r="I62" s="199"/>
      <c r="J62" s="199"/>
      <c r="K62" s="199"/>
      <c r="L62" s="199"/>
      <c r="M62" s="199"/>
      <c r="N62" s="199"/>
      <c r="R62" s="201" t="s">
        <v>1220</v>
      </c>
      <c r="S62" s="202"/>
      <c r="T62" s="203"/>
      <c r="U62" s="203"/>
      <c r="V62" s="203"/>
      <c r="W62" s="201" t="s">
        <v>1221</v>
      </c>
      <c r="X62" s="203"/>
      <c r="Y62" s="203"/>
      <c r="AA62" s="203"/>
      <c r="AB62" s="203"/>
      <c r="AC62" s="203"/>
      <c r="AD62" s="203"/>
    </row>
    <row r="63" spans="1:53" s="186" customFormat="1" ht="12" customHeight="1" x14ac:dyDescent="0.15">
      <c r="A63" s="204" t="s">
        <v>3</v>
      </c>
      <c r="B63" s="205" t="s">
        <v>8</v>
      </c>
      <c r="C63" s="205" t="s">
        <v>9</v>
      </c>
      <c r="D63" s="205" t="s">
        <v>10</v>
      </c>
      <c r="E63" s="206" t="s">
        <v>1195</v>
      </c>
      <c r="F63" s="205"/>
      <c r="G63" s="186" t="s">
        <v>3</v>
      </c>
      <c r="H63" s="389" t="s">
        <v>0</v>
      </c>
      <c r="I63" s="389"/>
      <c r="J63" s="389" t="s">
        <v>1</v>
      </c>
      <c r="K63" s="389"/>
      <c r="L63" s="389" t="s">
        <v>2</v>
      </c>
      <c r="M63" s="389"/>
      <c r="N63" s="390" t="s">
        <v>1195</v>
      </c>
      <c r="O63" s="390"/>
      <c r="P63" s="207"/>
      <c r="Q63" s="207"/>
      <c r="R63" s="208" t="s">
        <v>3</v>
      </c>
      <c r="S63" s="209" t="s">
        <v>135</v>
      </c>
      <c r="T63" s="207" t="s">
        <v>133</v>
      </c>
      <c r="U63" s="205" t="s">
        <v>134</v>
      </c>
      <c r="V63" s="207"/>
      <c r="W63" s="210" t="s">
        <v>26</v>
      </c>
    </row>
    <row r="64" spans="1:53" x14ac:dyDescent="0.15">
      <c r="A64" s="1">
        <v>1990</v>
      </c>
      <c r="B64" s="5"/>
      <c r="C64" s="5"/>
      <c r="D64" s="5"/>
      <c r="E64" s="18"/>
      <c r="F64" s="5"/>
      <c r="G64" s="1">
        <v>1990</v>
      </c>
      <c r="H64" s="5"/>
      <c r="I64" s="5"/>
      <c r="J64" s="5"/>
      <c r="K64" s="5"/>
      <c r="L64" s="5"/>
      <c r="M64" s="5"/>
      <c r="N64" s="18"/>
      <c r="O64" s="18"/>
      <c r="P64" s="9"/>
      <c r="Q64" s="9"/>
      <c r="R64" s="1">
        <v>1990</v>
      </c>
      <c r="S64" s="9"/>
      <c r="T64" s="9"/>
      <c r="U64" s="5"/>
      <c r="V64" s="9"/>
      <c r="W64" s="9"/>
    </row>
    <row r="65" spans="1:25" x14ac:dyDescent="0.15">
      <c r="A65" s="14">
        <v>1991</v>
      </c>
      <c r="B65" s="5"/>
      <c r="C65" s="5"/>
      <c r="D65" s="5"/>
      <c r="E65" s="18"/>
      <c r="F65" s="5"/>
      <c r="G65" s="1">
        <v>1991</v>
      </c>
      <c r="H65" s="5"/>
      <c r="I65" s="5"/>
      <c r="J65" s="5"/>
      <c r="K65" s="5"/>
      <c r="L65" s="5"/>
      <c r="M65" s="5"/>
      <c r="N65" s="18"/>
      <c r="O65" s="18"/>
      <c r="P65" s="9"/>
      <c r="Q65" s="9"/>
      <c r="R65" s="1">
        <v>1991</v>
      </c>
      <c r="S65" s="9"/>
      <c r="T65" s="9"/>
      <c r="U65" s="5"/>
      <c r="V65" s="9"/>
      <c r="W65" s="9"/>
    </row>
    <row r="66" spans="1:25" x14ac:dyDescent="0.15">
      <c r="A66" s="1">
        <v>1992</v>
      </c>
      <c r="B66" s="5"/>
      <c r="C66" s="5"/>
      <c r="D66" s="5"/>
      <c r="E66" s="18"/>
      <c r="F66" s="5"/>
      <c r="G66" s="1">
        <v>1992</v>
      </c>
      <c r="H66" s="5"/>
      <c r="I66" s="5"/>
      <c r="J66" s="5"/>
      <c r="K66" s="5"/>
      <c r="L66" s="5"/>
      <c r="M66" s="5"/>
      <c r="N66" s="18"/>
      <c r="O66" s="18"/>
      <c r="P66" s="9"/>
      <c r="Q66" s="9"/>
      <c r="R66" s="1">
        <v>1992</v>
      </c>
      <c r="S66" s="9"/>
      <c r="T66" s="9"/>
      <c r="U66" s="5"/>
      <c r="V66" s="9"/>
      <c r="W66" s="9"/>
    </row>
    <row r="67" spans="1:25" x14ac:dyDescent="0.15">
      <c r="A67" s="14">
        <v>1993</v>
      </c>
      <c r="B67" s="5"/>
      <c r="C67" s="5"/>
      <c r="D67" s="5"/>
      <c r="E67" s="18"/>
      <c r="F67" s="5"/>
      <c r="G67" s="1">
        <v>1993</v>
      </c>
      <c r="H67" s="5"/>
      <c r="I67" s="5"/>
      <c r="J67" s="5"/>
      <c r="K67" s="5"/>
      <c r="L67" s="5"/>
      <c r="M67" s="5"/>
      <c r="N67" s="18"/>
      <c r="O67" s="18"/>
      <c r="P67" s="9"/>
      <c r="Q67" s="9"/>
      <c r="R67" s="1">
        <v>1993</v>
      </c>
      <c r="S67" s="9"/>
      <c r="T67" s="9"/>
      <c r="U67" s="5"/>
      <c r="V67" s="9"/>
      <c r="W67" s="9"/>
    </row>
    <row r="68" spans="1:25" x14ac:dyDescent="0.15">
      <c r="A68" s="1">
        <v>1994</v>
      </c>
      <c r="B68" s="5"/>
      <c r="C68" s="5"/>
      <c r="D68" s="5"/>
      <c r="E68" s="18"/>
      <c r="F68" s="5"/>
      <c r="G68" s="1">
        <v>1994</v>
      </c>
      <c r="H68" s="5"/>
      <c r="I68" s="5"/>
      <c r="J68" s="5"/>
      <c r="K68" s="5"/>
      <c r="L68" s="5"/>
      <c r="M68" s="5"/>
      <c r="N68" s="18"/>
      <c r="O68" s="18"/>
      <c r="P68" s="9"/>
      <c r="Q68" s="9"/>
      <c r="R68" s="1">
        <v>1994</v>
      </c>
      <c r="S68" s="9"/>
      <c r="T68" s="9"/>
      <c r="U68" s="5"/>
      <c r="V68" s="9"/>
      <c r="W68" s="9"/>
    </row>
    <row r="69" spans="1:25" x14ac:dyDescent="0.15">
      <c r="A69" s="14">
        <v>1995</v>
      </c>
      <c r="B69" s="5"/>
      <c r="C69" s="5"/>
      <c r="D69" s="5"/>
      <c r="E69" s="18"/>
      <c r="F69" s="5"/>
      <c r="G69" s="1">
        <v>1995</v>
      </c>
      <c r="H69" s="5"/>
      <c r="I69" s="5"/>
      <c r="J69" s="5"/>
      <c r="K69" s="5"/>
      <c r="L69" s="5"/>
      <c r="M69" s="5"/>
      <c r="N69" s="18"/>
      <c r="O69" s="18"/>
      <c r="P69" s="9"/>
      <c r="Q69" s="9"/>
      <c r="R69" s="1">
        <v>1995</v>
      </c>
      <c r="S69" s="9"/>
      <c r="T69" s="9"/>
      <c r="U69" s="5"/>
      <c r="V69" s="9"/>
      <c r="W69" s="9"/>
    </row>
    <row r="70" spans="1:25" x14ac:dyDescent="0.15">
      <c r="A70" s="1">
        <v>1996</v>
      </c>
      <c r="B70" s="5"/>
      <c r="C70" s="5"/>
      <c r="D70" s="5"/>
      <c r="E70" s="18"/>
      <c r="F70" s="5"/>
      <c r="G70" s="1">
        <v>1996</v>
      </c>
      <c r="H70" s="5"/>
      <c r="I70" s="5"/>
      <c r="J70" s="5"/>
      <c r="K70" s="5"/>
      <c r="L70" s="5"/>
      <c r="M70" s="5"/>
      <c r="N70" s="18"/>
      <c r="O70" s="18"/>
      <c r="P70" s="9"/>
      <c r="Q70" s="9"/>
      <c r="R70" s="1">
        <v>1996</v>
      </c>
      <c r="S70" s="9"/>
      <c r="T70" s="9"/>
      <c r="U70" s="5"/>
      <c r="V70" s="9"/>
      <c r="W70" s="9"/>
    </row>
    <row r="71" spans="1:25" x14ac:dyDescent="0.15">
      <c r="A71" s="14">
        <v>1997</v>
      </c>
      <c r="B71" s="5"/>
      <c r="C71" s="5"/>
      <c r="D71" s="5"/>
      <c r="E71" s="18"/>
      <c r="F71" s="5"/>
      <c r="G71" s="1">
        <v>1997</v>
      </c>
      <c r="H71" s="5"/>
      <c r="I71" s="5"/>
      <c r="J71" s="5"/>
      <c r="K71" s="5"/>
      <c r="L71" s="5"/>
      <c r="M71" s="5"/>
      <c r="N71" s="18"/>
      <c r="O71" s="18"/>
      <c r="P71" s="9"/>
      <c r="Q71" s="9"/>
      <c r="R71" s="1">
        <v>1997</v>
      </c>
      <c r="S71" s="9"/>
      <c r="T71" s="9"/>
      <c r="U71" s="5"/>
      <c r="V71" s="9"/>
      <c r="W71" s="9"/>
    </row>
    <row r="72" spans="1:25" x14ac:dyDescent="0.15">
      <c r="A72" s="1">
        <v>1998</v>
      </c>
      <c r="B72" s="5"/>
      <c r="C72" s="5"/>
      <c r="D72" s="5"/>
      <c r="E72" s="18"/>
      <c r="F72" s="5"/>
      <c r="G72" s="1">
        <v>1998</v>
      </c>
      <c r="H72" s="5"/>
      <c r="I72" s="5"/>
      <c r="J72" s="5"/>
      <c r="K72" s="5"/>
      <c r="L72" s="5"/>
      <c r="M72" s="5"/>
      <c r="N72" s="18"/>
      <c r="O72" s="18"/>
      <c r="P72" s="9"/>
      <c r="Q72" s="9"/>
      <c r="R72" s="1">
        <v>1998</v>
      </c>
      <c r="S72" s="9"/>
      <c r="T72" s="9"/>
      <c r="U72" s="5"/>
      <c r="V72" s="9"/>
      <c r="W72" s="9"/>
    </row>
    <row r="73" spans="1:25" x14ac:dyDescent="0.15">
      <c r="A73" s="14">
        <v>1999</v>
      </c>
      <c r="B73" s="5"/>
      <c r="C73" s="5"/>
      <c r="D73" s="5"/>
      <c r="E73" s="18"/>
      <c r="F73" s="5"/>
      <c r="G73" s="1">
        <v>1999</v>
      </c>
      <c r="H73" s="5"/>
      <c r="I73" s="5"/>
      <c r="J73" s="5"/>
      <c r="K73" s="5"/>
      <c r="L73" s="5"/>
      <c r="M73" s="5"/>
      <c r="N73" s="18"/>
      <c r="O73" s="18"/>
      <c r="P73" s="9"/>
      <c r="Q73" s="9"/>
      <c r="R73" s="1">
        <v>1999</v>
      </c>
      <c r="S73" s="9"/>
      <c r="T73" s="9"/>
      <c r="U73" s="5"/>
      <c r="V73" s="9"/>
      <c r="W73" s="9"/>
    </row>
    <row r="74" spans="1:25" x14ac:dyDescent="0.15">
      <c r="A74" s="1">
        <v>2000</v>
      </c>
      <c r="B74" s="5">
        <f>(K7*($E7/340))</f>
        <v>37.5</v>
      </c>
      <c r="C74" s="5">
        <f>(L7*($E7/340))</f>
        <v>12.5</v>
      </c>
      <c r="D74" s="5">
        <f>(M7*($E7/340))</f>
        <v>45.833333333333329</v>
      </c>
      <c r="E74" s="24">
        <f t="shared" ref="E74:E86" si="29">SUM(B74:D74)</f>
        <v>95.833333333333329</v>
      </c>
      <c r="G74" s="1">
        <v>2000</v>
      </c>
      <c r="H74" s="409">
        <f>(O7/$R7*100*($E7/340))</f>
        <v>31.142042596008718</v>
      </c>
      <c r="I74" s="409"/>
      <c r="J74" s="409">
        <f>(P7/$R7*100*($E7/340))</f>
        <v>17.776287103806805</v>
      </c>
      <c r="K74" s="409"/>
      <c r="L74" s="409">
        <f>(Q7/$R7*100*($E7/340))</f>
        <v>51.08167030018447</v>
      </c>
      <c r="M74" s="409"/>
      <c r="N74" s="424">
        <f t="shared" ref="N74:N86" si="30">H74+J74+L74</f>
        <v>100</v>
      </c>
      <c r="O74" s="424"/>
      <c r="R74" s="1">
        <v>2000</v>
      </c>
      <c r="S74" s="5">
        <f>(O7*($E7/340))</f>
        <v>18.57</v>
      </c>
      <c r="T74" s="5">
        <f>(P7*($E7/340))</f>
        <v>10.6</v>
      </c>
      <c r="U74" s="5">
        <f>(Q7*($E7/340))</f>
        <v>30.46</v>
      </c>
      <c r="V74" s="9"/>
      <c r="W74" s="5">
        <f>S74+T74+U74</f>
        <v>59.63</v>
      </c>
      <c r="Y74" s="125" t="s">
        <v>1214</v>
      </c>
    </row>
    <row r="75" spans="1:25" x14ac:dyDescent="0.15">
      <c r="A75" s="1">
        <v>2001</v>
      </c>
      <c r="B75" s="5">
        <f>(K8* ($E8/365))+(K9*($E9/365))+(K10*($E10/365))</f>
        <v>36.872146118721453</v>
      </c>
      <c r="C75" s="5">
        <f>(L8* ($E8/365))+(L9*($E9/365))+(L10*($E10/365))</f>
        <v>12.5</v>
      </c>
      <c r="D75" s="5">
        <f>(M8* ($E8/365))+(M9*($E9/365))+(M10*($E10/365))</f>
        <v>46.917808219178077</v>
      </c>
      <c r="E75" s="24">
        <f t="shared" si="29"/>
        <v>96.28995433789953</v>
      </c>
      <c r="G75" s="1">
        <v>2001</v>
      </c>
      <c r="H75" s="409">
        <f>(O8/$R8*100*($E8/365))+(O9/$R9*100*($E9/365))+(O10/$R10*100*($E10/365))</f>
        <v>30.308537411471253</v>
      </c>
      <c r="I75" s="409"/>
      <c r="J75" s="409">
        <f>(P8/$R8*100*($E8/365))+(P9/$R9*100*($E9/365))+(P10/$R10*100*($E10/365))</f>
        <v>17.991463795382476</v>
      </c>
      <c r="K75" s="409"/>
      <c r="L75" s="409">
        <f>(Q8/$R8*100*($E8/365))+(Q9/$R9*100*($E9/365))+(Q10/$R10*100*($E10/365))</f>
        <v>51.699998793146257</v>
      </c>
      <c r="M75" s="409"/>
      <c r="N75" s="424">
        <f t="shared" si="30"/>
        <v>99.999999999999986</v>
      </c>
      <c r="O75" s="424"/>
      <c r="R75" s="1">
        <v>2001</v>
      </c>
      <c r="S75" s="5">
        <f>(O8* ($E8/365))+(O9*($E9/365))+(O10*($E10/365))</f>
        <v>17.880273972602737</v>
      </c>
      <c r="T75" s="5">
        <f>(P8* ($E8/365))+(P9*($E9/365))+(P10*($E10/365))</f>
        <v>10.6</v>
      </c>
      <c r="U75" s="5">
        <f>(Q8* ($E8/365))+(Q9*($E9/365))+(Q10*($E10/365))</f>
        <v>30.459999999999997</v>
      </c>
      <c r="V75" s="9"/>
      <c r="W75" s="5">
        <f t="shared" ref="W75:W86" si="31">S75+T75+U75</f>
        <v>58.940273972602739</v>
      </c>
    </row>
    <row r="76" spans="1:25" x14ac:dyDescent="0.15">
      <c r="A76" s="1">
        <v>2002</v>
      </c>
      <c r="B76" s="5">
        <f>(K11* ($E11/365))+(K12*($E12/365))</f>
        <v>30.422374429223744</v>
      </c>
      <c r="C76" s="5">
        <f>(L11* ($E11/365))+(L12*($E12/365))</f>
        <v>14.269406392694062</v>
      </c>
      <c r="D76" s="5">
        <f>(M11* ($E11/365))+(M12*($E12/365))</f>
        <v>55.30821917808219</v>
      </c>
      <c r="E76" s="24">
        <f t="shared" si="29"/>
        <v>100</v>
      </c>
      <c r="G76" s="1">
        <v>2002</v>
      </c>
      <c r="H76" s="409">
        <f>(O11/$R11*100*($E11/365))+(O12/$R12*100*($E12/365))</f>
        <v>22.470193382849732</v>
      </c>
      <c r="I76" s="409"/>
      <c r="J76" s="409">
        <f>(P11/$R11*100*($E11/365))+(P12/$R12*100*($E12/365))</f>
        <v>20.015001221183454</v>
      </c>
      <c r="K76" s="409"/>
      <c r="L76" s="409">
        <f>(Q11/$R11*100*($E11/365))+(Q12/$R12*100*($E12/365))</f>
        <v>57.514805395966789</v>
      </c>
      <c r="M76" s="409"/>
      <c r="N76" s="424">
        <f t="shared" si="30"/>
        <v>99.999999999999972</v>
      </c>
      <c r="O76" s="424"/>
      <c r="R76" s="1">
        <v>2002</v>
      </c>
      <c r="S76" s="5">
        <f>(O11* ($E11/365))+(O12*($E12/365))</f>
        <v>12.25095890410959</v>
      </c>
      <c r="T76" s="5">
        <f>(P11* ($E11/365))+(P12*($E12/365))</f>
        <v>10.599999999999998</v>
      </c>
      <c r="U76" s="5">
        <f>(Q11* ($E11/365))+(Q12*($E12/365))</f>
        <v>30.459999999999997</v>
      </c>
      <c r="V76" s="9"/>
      <c r="W76" s="5">
        <f t="shared" si="31"/>
        <v>53.310958904109583</v>
      </c>
    </row>
    <row r="77" spans="1:25" x14ac:dyDescent="0.15">
      <c r="A77" s="1">
        <v>2003</v>
      </c>
      <c r="B77" s="5">
        <f>(K13* ($E13/365))+(K14*($E14/365))+(K15*($E15/365))</f>
        <v>20.484018264840184</v>
      </c>
      <c r="C77" s="5">
        <f>(L13* ($E13/365))+(L14*($E14/365))+(L15*($E15/365))</f>
        <v>18.392694063926939</v>
      </c>
      <c r="D77" s="5">
        <f>(M13* ($E13/365))+(M14*($E14/365))+(M15*($E15/365))</f>
        <v>60.958904109589042</v>
      </c>
      <c r="E77" s="24">
        <f t="shared" si="29"/>
        <v>99.835616438356169</v>
      </c>
      <c r="G77" s="1">
        <v>2003</v>
      </c>
      <c r="H77" s="409">
        <f>(O13/$R13*100*($E13/365))+(O14/$R14*100*($E14/365))+(O15/$R15*100*($E15/365))</f>
        <v>16.636466100362604</v>
      </c>
      <c r="I77" s="409"/>
      <c r="J77" s="409">
        <f>(P13/$R13*100*($E13/365))+(P14/$R14*100*($E14/365))+(P15/$R15*100*($E15/365))</f>
        <v>23.322838542683122</v>
      </c>
      <c r="K77" s="409"/>
      <c r="L77" s="409">
        <f>(Q13/$R13*100*($E13/365))+(Q14/$R14*100*($E14/365))+(Q15/$R15*100*($E15/365))</f>
        <v>60.040695356954259</v>
      </c>
      <c r="M77" s="409"/>
      <c r="N77" s="424">
        <f t="shared" si="30"/>
        <v>99.999999999999986</v>
      </c>
      <c r="O77" s="424"/>
      <c r="R77" s="1">
        <v>2003</v>
      </c>
      <c r="S77" s="5">
        <f>(O13* ($E13/365))+(O14*($E14/365))+(O15*($E15/365))</f>
        <v>8.2638904109589042</v>
      </c>
      <c r="T77" s="5">
        <f>(P13* ($E13/365))+(P14*($E14/365))+(P15*($E15/365))</f>
        <v>11.409260273972601</v>
      </c>
      <c r="U77" s="5">
        <f>(Q13* ($E13/365))+(Q14*($E14/365))+(Q15*($E15/365))</f>
        <v>29.708931506849318</v>
      </c>
      <c r="V77" s="9"/>
      <c r="W77" s="5">
        <f t="shared" si="31"/>
        <v>49.382082191780825</v>
      </c>
    </row>
    <row r="78" spans="1:25" x14ac:dyDescent="0.15">
      <c r="A78" s="1">
        <v>2004</v>
      </c>
      <c r="B78" s="5">
        <f>(K16* ($E16/366))+(K17*($E17/366))</f>
        <v>6.666666666666667</v>
      </c>
      <c r="C78" s="5">
        <f>(L16* ($E16/366))+(L17*($E17/366))</f>
        <v>86.666666666666671</v>
      </c>
      <c r="D78" s="5">
        <f>(M16* ($E16/366))+(M17*($E17/366))</f>
        <v>0</v>
      </c>
      <c r="E78" s="24">
        <f t="shared" si="29"/>
        <v>93.333333333333343</v>
      </c>
      <c r="G78" s="1">
        <v>2004</v>
      </c>
      <c r="H78" s="409">
        <f>(O16/$R16*100*($E16/366))+(O17/$R17*100*($E17/366))</f>
        <v>1.4972776769509983</v>
      </c>
      <c r="I78" s="409"/>
      <c r="J78" s="409">
        <f>(P16/$R16*100*($E16/366))+(P17/$R17*100*($E17/366))</f>
        <v>98.502722323049014</v>
      </c>
      <c r="K78" s="409"/>
      <c r="L78" s="409">
        <f>(Q16/$R16*100*($E16/366))+(Q17/$R17*100*($E17/366))</f>
        <v>0</v>
      </c>
      <c r="M78" s="409"/>
      <c r="N78" s="424">
        <f t="shared" si="30"/>
        <v>100.00000000000001</v>
      </c>
      <c r="O78" s="424"/>
      <c r="R78" s="1">
        <v>2004</v>
      </c>
      <c r="S78" s="5">
        <f>(O16* ($E16/366))+(O17*($E17/366))</f>
        <v>0.66</v>
      </c>
      <c r="T78" s="5">
        <f>(P16* ($E16/366))+(P17*($E17/366))</f>
        <v>43.42</v>
      </c>
      <c r="U78" s="5">
        <f>(Q16* ($E16/366))+(Q17*($E17/366))</f>
        <v>0</v>
      </c>
      <c r="V78" s="9"/>
      <c r="W78" s="5">
        <f t="shared" si="31"/>
        <v>44.08</v>
      </c>
    </row>
    <row r="79" spans="1:25" x14ac:dyDescent="0.15">
      <c r="A79" s="1">
        <v>2005</v>
      </c>
      <c r="B79" s="5">
        <f>(K18* ($E18/365))+(K19*($E19/365))</f>
        <v>6.666666666666667</v>
      </c>
      <c r="C79" s="5">
        <f>(L18* ($E18/365))+(L19*($E19/365))</f>
        <v>86.666666666666671</v>
      </c>
      <c r="D79" s="5">
        <f>(M18* ($E18/365))+(M19*($E19/365))</f>
        <v>0</v>
      </c>
      <c r="E79" s="24">
        <f t="shared" si="29"/>
        <v>93.333333333333343</v>
      </c>
      <c r="G79" s="1">
        <v>2005</v>
      </c>
      <c r="H79" s="409">
        <f>(O18/$R18*100*($E18/365))+(O19/$R19*100*($E19/365))</f>
        <v>1.4972776769509983</v>
      </c>
      <c r="I79" s="409"/>
      <c r="J79" s="409">
        <f>(P18/$R18*100*($E18/365))+(P19/$R19*100*($E19/365))</f>
        <v>98.502722323048999</v>
      </c>
      <c r="K79" s="409"/>
      <c r="L79" s="409">
        <f>(Q18/$R18*100*($E18/365))+(Q19/$R19*100*($E19/365))</f>
        <v>0</v>
      </c>
      <c r="M79" s="409"/>
      <c r="N79" s="424">
        <f t="shared" si="30"/>
        <v>100</v>
      </c>
      <c r="O79" s="424"/>
      <c r="R79" s="1">
        <v>2005</v>
      </c>
      <c r="S79" s="5">
        <f>(O18* ($E18/365))+(O19*($E19/365))</f>
        <v>0.65999999999999992</v>
      </c>
      <c r="T79" s="5">
        <f>(P18* ($E18/365))+(P19*($E19/365))</f>
        <v>43.42</v>
      </c>
      <c r="U79" s="5">
        <f>(Q18* ($E18/365))+(Q19*($E19/365))</f>
        <v>0</v>
      </c>
      <c r="V79" s="9"/>
      <c r="W79" s="5">
        <f t="shared" si="31"/>
        <v>44.08</v>
      </c>
    </row>
    <row r="80" spans="1:25" x14ac:dyDescent="0.15">
      <c r="A80" s="1">
        <v>2006</v>
      </c>
      <c r="B80" s="5">
        <f>(K20* ($E20/365))+(K21*($E21/365))</f>
        <v>0.73059360730593603</v>
      </c>
      <c r="C80" s="5">
        <f>(L20* ($E20/365))+(L21*($E21/365))</f>
        <v>92.602739726027394</v>
      </c>
      <c r="D80" s="5">
        <f>(M20* ($E20/365))+(M21*($E21/365))</f>
        <v>0</v>
      </c>
      <c r="E80" s="24">
        <f t="shared" si="29"/>
        <v>93.333333333333329</v>
      </c>
      <c r="G80" s="1">
        <v>2006</v>
      </c>
      <c r="H80" s="409">
        <f>(O20/$R20*100*($E20/365))+(O21/$R21*100*($E21/365))</f>
        <v>0.16408522487134228</v>
      </c>
      <c r="I80" s="409"/>
      <c r="J80" s="409">
        <f>(P20/$R20*100*($E20/365))+(P21/$R21*100*($E21/365))</f>
        <v>99.835914775128657</v>
      </c>
      <c r="K80" s="409"/>
      <c r="L80" s="409">
        <f>(Q20/$R20*100*($E20/365))+(Q21/$R21*100*($E21/365))</f>
        <v>0</v>
      </c>
      <c r="M80" s="409"/>
      <c r="N80" s="424">
        <f t="shared" si="30"/>
        <v>100</v>
      </c>
      <c r="O80" s="424"/>
      <c r="R80" s="1">
        <v>2006</v>
      </c>
      <c r="S80" s="5">
        <f>(O20* ($E20/365))+(O21*($E21/365))</f>
        <v>7.2328767123287674E-2</v>
      </c>
      <c r="T80" s="5">
        <f>(P20* ($E20/365))+(P21*($E21/365))</f>
        <v>43.42</v>
      </c>
      <c r="U80" s="5">
        <f>(Q20* ($E20/365))+(Q21*($E21/365))</f>
        <v>0</v>
      </c>
      <c r="V80" s="9"/>
      <c r="W80" s="5">
        <f t="shared" si="31"/>
        <v>43.49232876712329</v>
      </c>
    </row>
    <row r="81" spans="1:23" x14ac:dyDescent="0.15">
      <c r="A81" s="1">
        <v>2007</v>
      </c>
      <c r="B81" s="5">
        <f>(K22* ($E22/365))+(K23*($E23/365))</f>
        <v>0</v>
      </c>
      <c r="C81" s="5">
        <f>(L22* ($E22/365))+(L23*($E23/365))</f>
        <v>93.333333333333329</v>
      </c>
      <c r="D81" s="5">
        <f>(M22* ($E22/365))+(M23*($E23/365))</f>
        <v>0</v>
      </c>
      <c r="E81" s="24">
        <f t="shared" si="29"/>
        <v>93.333333333333329</v>
      </c>
      <c r="G81" s="1">
        <v>2007</v>
      </c>
      <c r="H81" s="409">
        <f>(O22/$R22*100*($E22/365))+(O23/$R23*100*($E23/365))</f>
        <v>0</v>
      </c>
      <c r="I81" s="409"/>
      <c r="J81" s="409">
        <f>(P22/$R22*100*($E22/365))+(P23/$R23*100*($E23/365))</f>
        <v>100</v>
      </c>
      <c r="K81" s="409"/>
      <c r="L81" s="409">
        <f>(Q22/$R22*100*($E22/365))+(Q23/$R23*100*($E23/365))</f>
        <v>0</v>
      </c>
      <c r="M81" s="409"/>
      <c r="N81" s="424">
        <f t="shared" si="30"/>
        <v>100</v>
      </c>
      <c r="O81" s="424"/>
      <c r="R81" s="1">
        <v>2007</v>
      </c>
      <c r="S81" s="5">
        <f>(O22* ($E22/365))+(O23*($E23/365))</f>
        <v>0</v>
      </c>
      <c r="T81" s="5">
        <f>(P22* ($E22/365))+(P23*($E23/365))</f>
        <v>43.42</v>
      </c>
      <c r="U81" s="5">
        <f>(Q22* ($E22/365))+(Q23*($E23/365))</f>
        <v>0</v>
      </c>
      <c r="V81" s="9"/>
      <c r="W81" s="5">
        <f t="shared" si="31"/>
        <v>43.42</v>
      </c>
    </row>
    <row r="82" spans="1:23" x14ac:dyDescent="0.15">
      <c r="A82" s="1">
        <v>2008</v>
      </c>
      <c r="B82" s="5">
        <f>(K24* ($E24/366))+(K25*($E25/366))+(K26*($E26/366))</f>
        <v>5.3885853066180935</v>
      </c>
      <c r="C82" s="5">
        <f>(L24* ($E24/366))+(L25*($E25/366))+(L26*($E26/366))</f>
        <v>86.502732240437155</v>
      </c>
      <c r="D82" s="5">
        <f>(M24* ($E24/366))+(M25*($E25/366))+(M26*($E26/366))</f>
        <v>0</v>
      </c>
      <c r="E82" s="24">
        <f t="shared" si="29"/>
        <v>91.891317547055252</v>
      </c>
      <c r="G82" s="1">
        <v>2008</v>
      </c>
      <c r="H82" s="409">
        <f>(O24/$R24*100*($E24/366))+(O25/$R25*100*($E25/366))+(O26/$R26*100*($E26/366))</f>
        <v>6.3634585927060598</v>
      </c>
      <c r="I82" s="409"/>
      <c r="J82" s="409">
        <f>(P24/$R24*100*($E24/366))+(P25/$R25*100*($E25/366))+(P26/$R26*100*($E26/366))</f>
        <v>93.636541407293947</v>
      </c>
      <c r="K82" s="409"/>
      <c r="L82" s="409">
        <f>(Q24/$R24*100*($E24/366))+(Q25/$R25*100*($E25/366))+(Q26/$R26*100*($E26/366))</f>
        <v>0</v>
      </c>
      <c r="M82" s="409"/>
      <c r="N82" s="424">
        <f t="shared" si="30"/>
        <v>100</v>
      </c>
      <c r="O82" s="424"/>
      <c r="R82" s="1">
        <v>2008</v>
      </c>
      <c r="S82" s="5">
        <f>(O24* ($E24/366))+(O25*($E25/366))+(O26*($E26/366))</f>
        <v>3.2008196721311477</v>
      </c>
      <c r="T82" s="5">
        <f>(P24* ($E24/366))+(P25*($E25/366))+(P26*($E26/366))</f>
        <v>46.892404371584703</v>
      </c>
      <c r="U82" s="5">
        <f>(Q24* ($E24/366))+(Q25*($E25/366))+(Q26*($E26/366))</f>
        <v>0</v>
      </c>
      <c r="V82" s="9"/>
      <c r="W82" s="5">
        <f t="shared" si="31"/>
        <v>50.09322404371585</v>
      </c>
    </row>
    <row r="83" spans="1:23" x14ac:dyDescent="0.15">
      <c r="A83" s="1">
        <v>2009</v>
      </c>
      <c r="B83" s="5">
        <f>(K27* ($E27/365))+(K28*($E28/365))</f>
        <v>5.2831050228310499</v>
      </c>
      <c r="C83" s="5">
        <f>(L27* ($E27/365))+(L28*($E28/365))</f>
        <v>78.867579908675808</v>
      </c>
      <c r="D83" s="5">
        <f>(M27* ($E27/365))+(M28*($E28/365))</f>
        <v>0</v>
      </c>
      <c r="E83" s="24">
        <f t="shared" si="29"/>
        <v>84.150684931506859</v>
      </c>
      <c r="G83" s="1">
        <v>2009</v>
      </c>
      <c r="H83" s="409">
        <f>(O27/$R27*100*($E27/365))+(O28/$R28*100*($E28/365))</f>
        <v>6.5332896414212245</v>
      </c>
      <c r="I83" s="409"/>
      <c r="J83" s="409">
        <f>(P27/$R27*100*($E27/365))+(P28/$R28*100*($E28/365))</f>
        <v>93.46671035857878</v>
      </c>
      <c r="K83" s="409"/>
      <c r="L83" s="409">
        <f>(Q27/$R27*100*($E27/365))+(Q28/$R28*100*($E28/365))</f>
        <v>0</v>
      </c>
      <c r="M83" s="409"/>
      <c r="N83" s="424">
        <f t="shared" si="30"/>
        <v>100</v>
      </c>
      <c r="O83" s="424"/>
      <c r="R83" s="1">
        <v>2009</v>
      </c>
      <c r="S83" s="5">
        <f>(O27* ($E27/365))+(O28*($E28/365))</f>
        <v>3.2852876712328767</v>
      </c>
      <c r="T83" s="5">
        <f>(P27* ($E27/365))+(P28*($E28/365))</f>
        <v>47</v>
      </c>
      <c r="U83" s="5">
        <f>(Q27* ($E27/365))+(Q28*($E28/365))</f>
        <v>0</v>
      </c>
      <c r="V83" s="9"/>
      <c r="W83" s="5">
        <f t="shared" si="31"/>
        <v>50.285287671232879</v>
      </c>
    </row>
    <row r="84" spans="1:23" x14ac:dyDescent="0.15">
      <c r="A84" s="1">
        <v>2010</v>
      </c>
      <c r="B84" s="5">
        <f>(K29* ($E29/365))+(K30*($E30/365))+(K31* ($E31/365))+(K32*($E32/365))</f>
        <v>5.1600576784426817</v>
      </c>
      <c r="C84" s="5">
        <f>(L29* ($E29/365))+(L30*($E30/365))+(L31* ($E31/365))+(L32*($E32/365))</f>
        <v>81.753424657534239</v>
      </c>
      <c r="D84" s="5">
        <f>(M29* ($E29/365))+(M30*($E30/365))+(M31* ($E31/365))+(M32*($E32/365))</f>
        <v>0</v>
      </c>
      <c r="E84" s="24">
        <f t="shared" si="29"/>
        <v>86.913482335976923</v>
      </c>
      <c r="G84" s="1">
        <v>2010</v>
      </c>
      <c r="H84" s="409">
        <f>(O29/$R29*100*($E29/365))+(O30/$R30*100*($E30/365))+(O31/$R31*100*($E31/365))+(O32/$R32*100*($E32/365))</f>
        <v>6.484473661268483</v>
      </c>
      <c r="I84" s="409"/>
      <c r="J84" s="409">
        <f>(P29/$R29*100*($E29/365))+(P30/$R30*100*($E30/365))+(P31/$R31*100*($E31/365))+(P32/$R32*100*($E32/365))</f>
        <v>93.515526338731505</v>
      </c>
      <c r="K84" s="409"/>
      <c r="L84" s="409">
        <f>(Q29/$R29*100*($E29/365))+(Q30/$R30*100*($E30/365))+(Q31/$R31*100*($E31/365))+(Q32/$R32*100*($E32/365))</f>
        <v>0</v>
      </c>
      <c r="M84" s="409"/>
      <c r="N84" s="424">
        <f t="shared" si="30"/>
        <v>99.999999999999986</v>
      </c>
      <c r="O84" s="424"/>
      <c r="R84" s="1">
        <v>2010</v>
      </c>
      <c r="S84" s="5">
        <f>(O29* ($E29/365))+(O30*($E30/365))+(O31* ($E31/365))+(O32*($E32/365))</f>
        <v>3.2593150684931507</v>
      </c>
      <c r="T84" s="5">
        <f>(P29* ($E29/365))+(P30*($E30/365))+(P31* ($E31/365))+(P32*($E32/365))</f>
        <v>47</v>
      </c>
      <c r="U84" s="5">
        <f>(Q29* ($E29/365))+(Q30*($E30/365))+(Q31* ($E31/365))+(Q32*($E32/365))</f>
        <v>0</v>
      </c>
      <c r="V84" s="9"/>
      <c r="W84" s="5">
        <f t="shared" si="31"/>
        <v>50.259315068493152</v>
      </c>
    </row>
    <row r="85" spans="1:23" x14ac:dyDescent="0.15">
      <c r="A85" s="1">
        <v>2011</v>
      </c>
      <c r="B85" s="5">
        <f>(K33* ($E33/365))+(K34*($E34/365))</f>
        <v>0.56039850560398508</v>
      </c>
      <c r="C85" s="5">
        <f>(L33* ($E33/365))+(L34*($E34/365))</f>
        <v>82.134102379235756</v>
      </c>
      <c r="D85" s="5">
        <f>(M33* ($E33/365))+(M34*($E34/365))</f>
        <v>1.681195516811955</v>
      </c>
      <c r="E85" s="24">
        <f t="shared" si="29"/>
        <v>84.375696401651695</v>
      </c>
      <c r="G85" s="1">
        <v>2011</v>
      </c>
      <c r="H85" s="409">
        <f>(O33/$R33*100*($E33/365))+(O34/$R34*100*($E34/365))</f>
        <v>4.4700106644910953</v>
      </c>
      <c r="I85" s="409"/>
      <c r="J85" s="409">
        <f>(P33/$R33*100*($E33/365))+(P34/$R34*100*($E34/365))</f>
        <v>93.61056951278529</v>
      </c>
      <c r="K85" s="409"/>
      <c r="L85" s="409">
        <f>(Q33/$R33*100*($E33/365))+(Q34/$R34*100*($E34/365))</f>
        <v>1.9194198227236099</v>
      </c>
      <c r="M85" s="409"/>
      <c r="N85" s="424">
        <f t="shared" si="30"/>
        <v>100</v>
      </c>
      <c r="O85" s="424"/>
      <c r="R85" s="1">
        <v>2011</v>
      </c>
      <c r="S85" s="5">
        <f>(O33* ($E33/365))+(O34*($E34/365))</f>
        <v>2.2000547945205482</v>
      </c>
      <c r="T85" s="5">
        <f>(P33* ($E33/365))+(P34*($E34/365))</f>
        <v>45.841095890410955</v>
      </c>
      <c r="U85" s="5">
        <f>(Q33* ($E33/365))+(Q34*($E34/365))</f>
        <v>0.97890410958904117</v>
      </c>
      <c r="V85" s="9"/>
      <c r="W85" s="5">
        <f t="shared" si="31"/>
        <v>49.02005479452054</v>
      </c>
    </row>
    <row r="86" spans="1:23" x14ac:dyDescent="0.15">
      <c r="A86" s="1">
        <v>2012</v>
      </c>
      <c r="B86" s="5">
        <f xml:space="preserve"> (K35* ($E35/366))+(K36*($E36/366))</f>
        <v>22.727272727272727</v>
      </c>
      <c r="C86" s="5">
        <f xml:space="preserve"> (L35* ($E35/366))+(L36*($E36/366))</f>
        <v>0</v>
      </c>
      <c r="D86" s="5">
        <f xml:space="preserve"> (M35* ($E35/366))+(M36*($E36/366))</f>
        <v>68.181818181818173</v>
      </c>
      <c r="E86" s="24">
        <f t="shared" si="29"/>
        <v>90.909090909090907</v>
      </c>
      <c r="G86" s="1">
        <v>2012</v>
      </c>
      <c r="H86" s="409">
        <f xml:space="preserve"> (O35/$R35*100*($E35/366))+(O36/$R36*100*($E36/366))</f>
        <v>22.156862745098042</v>
      </c>
      <c r="I86" s="409"/>
      <c r="J86" s="409">
        <f xml:space="preserve"> (P35/$R35*100*($E35/366))+(P36/$R36*100*($E36/366))</f>
        <v>0</v>
      </c>
      <c r="K86" s="409"/>
      <c r="L86" s="409">
        <f xml:space="preserve"> (Q35/$R35*100*($E35/366))+(Q36/$R36*100*($E36/366))</f>
        <v>77.843137254901961</v>
      </c>
      <c r="M86" s="409"/>
      <c r="N86" s="424">
        <f t="shared" si="30"/>
        <v>100</v>
      </c>
      <c r="O86" s="424"/>
      <c r="R86" s="1">
        <v>2012</v>
      </c>
      <c r="S86" s="5">
        <f xml:space="preserve"> (O35* ($E35/366))+(O36*($E36/366))</f>
        <v>11.3</v>
      </c>
      <c r="T86" s="5">
        <f xml:space="preserve"> (P35* ($E35/366))+(P36*($E36/366))</f>
        <v>0</v>
      </c>
      <c r="U86" s="5">
        <f xml:space="preserve"> (Q35* ($E35/366))+(Q36*($E36/366))</f>
        <v>39.700000000000003</v>
      </c>
      <c r="V86" s="9"/>
      <c r="W86" s="5">
        <f t="shared" si="31"/>
        <v>51</v>
      </c>
    </row>
    <row r="87" spans="1:23" x14ac:dyDescent="0.15">
      <c r="A87" s="1">
        <v>2013</v>
      </c>
      <c r="B87" s="5">
        <f xml:space="preserve"> (K37*($E37/365))+(K38*($E38/365))</f>
        <v>23.272845875585602</v>
      </c>
      <c r="C87" s="5">
        <f xml:space="preserve"> (L37* ($E37/365))+(L38*($E38/365))</f>
        <v>0</v>
      </c>
      <c r="D87" s="5">
        <f xml:space="preserve"> (M37* ($E37/365))+(M38*($E38/365))</f>
        <v>67.418015774180148</v>
      </c>
      <c r="E87" s="24">
        <f t="shared" ref="E87:E92" si="32">SUM(B87:D87)</f>
        <v>90.69086164976575</v>
      </c>
      <c r="G87" s="1">
        <v>2013</v>
      </c>
      <c r="H87" s="409">
        <f xml:space="preserve"> (O37/$R37*100*($E37/365))+(O38/$R38*100*($E38/365))</f>
        <v>22.156862745098046</v>
      </c>
      <c r="I87" s="409"/>
      <c r="J87" s="409">
        <f xml:space="preserve"> (P37/$R37*100*($E37/365))+(P38/$R38*100*($E38/365))</f>
        <v>0</v>
      </c>
      <c r="K87" s="409"/>
      <c r="L87" s="409">
        <f xml:space="preserve"> (Q37/$R37*100*($E37/365))+(Q38/$R38*100*($E38/365))</f>
        <v>77.843137254901961</v>
      </c>
      <c r="M87" s="409"/>
      <c r="N87" s="424">
        <f t="shared" ref="N87:N92" si="33">H87+J87+L87</f>
        <v>100</v>
      </c>
      <c r="O87" s="424"/>
      <c r="R87" s="1">
        <v>2013</v>
      </c>
      <c r="S87" s="5">
        <f xml:space="preserve"> (O37* ($E37/365))+(O38*($E38/365))</f>
        <v>11.3</v>
      </c>
      <c r="T87" s="5">
        <f xml:space="preserve"> (P37* ($E37/365))+(P38*($E38/365))</f>
        <v>0</v>
      </c>
      <c r="U87" s="5">
        <f xml:space="preserve"> (Q37* ($E37/365))+(Q38*($E38/365))</f>
        <v>39.700000000000003</v>
      </c>
      <c r="V87" s="9"/>
      <c r="W87" s="5">
        <f t="shared" ref="W87:W92" si="34">S87+T87+U87</f>
        <v>51</v>
      </c>
    </row>
    <row r="88" spans="1:23" x14ac:dyDescent="0.15">
      <c r="A88" s="1">
        <v>2014</v>
      </c>
      <c r="B88" s="5">
        <f xml:space="preserve"> (K39*($E39/365))+(K40*($E40/365))</f>
        <v>23.809523809523807</v>
      </c>
      <c r="C88" s="5">
        <f xml:space="preserve"> (L39* ($E39/365))+(L40*($E40/365))</f>
        <v>0</v>
      </c>
      <c r="D88" s="5">
        <f xml:space="preserve"> (M39* ($E39/365))+(M40*($E40/365))</f>
        <v>64.096542726679701</v>
      </c>
      <c r="E88" s="24">
        <f t="shared" si="32"/>
        <v>87.906066536203511</v>
      </c>
      <c r="G88" s="1">
        <v>2014</v>
      </c>
      <c r="H88" s="409">
        <f xml:space="preserve"> (O39/$R39*100*($E39/365))+(O40/$R40*100*($E40/365))</f>
        <v>22.156862745098042</v>
      </c>
      <c r="I88" s="409"/>
      <c r="J88" s="409">
        <f xml:space="preserve"> (P39/$R39*100*($E39/365))+(P40/$R40*100*($E40/365))</f>
        <v>0</v>
      </c>
      <c r="K88" s="409"/>
      <c r="L88" s="409">
        <f xml:space="preserve"> (Q39/$R39*100*($E39/365))+(Q40/$R40*100*($E40/365))</f>
        <v>77.843137254901961</v>
      </c>
      <c r="M88" s="409"/>
      <c r="N88" s="424">
        <f t="shared" si="33"/>
        <v>100</v>
      </c>
      <c r="O88" s="424"/>
      <c r="R88" s="1">
        <v>2014</v>
      </c>
      <c r="S88" s="5">
        <f xml:space="preserve"> (O39* ($E39/365))+(O40*($E40/365))</f>
        <v>11.3</v>
      </c>
      <c r="T88" s="5">
        <f xml:space="preserve"> (P39* ($E39/365))+(P40*($E40/365))</f>
        <v>0</v>
      </c>
      <c r="U88" s="5">
        <f xml:space="preserve"> (Q39* ($E39/365))+(Q40*($E40/365))</f>
        <v>39.700000000000003</v>
      </c>
      <c r="V88" s="9"/>
      <c r="W88" s="5">
        <f t="shared" si="34"/>
        <v>51</v>
      </c>
    </row>
    <row r="89" spans="1:23" x14ac:dyDescent="0.15">
      <c r="A89" s="1">
        <v>2015</v>
      </c>
      <c r="B89" s="5">
        <f xml:space="preserve"> (K41*($E41/365))+(K42*($E42/365))+(K43*($E43/365))</f>
        <v>20.521852576647092</v>
      </c>
      <c r="C89" s="5">
        <f xml:space="preserve"> (L41* ($E41/365))+(L42*($E42/365))+(L43*($E43/365))</f>
        <v>0</v>
      </c>
      <c r="D89" s="5">
        <f xml:space="preserve"> (M41* ($E41/365))+(M42*($E42/365))+(M43*($E43/365))</f>
        <v>61.904761904761905</v>
      </c>
      <c r="E89" s="24">
        <f t="shared" si="32"/>
        <v>82.42661448140899</v>
      </c>
      <c r="G89" s="1">
        <v>2015</v>
      </c>
      <c r="H89" s="409">
        <f xml:space="preserve"> (O41/$R41*100*($E41/365))+(O42/$R42*100*($E42/365))+(O43/$R43*100*($E43/365))</f>
        <v>21.818593078226588</v>
      </c>
      <c r="I89" s="409"/>
      <c r="J89" s="409">
        <f xml:space="preserve"> (P41/$R41*100*($E41/365))+(P42/$R42*100*($E42/365))+(P43/$R43*100*($E43/365))</f>
        <v>0</v>
      </c>
      <c r="K89" s="409"/>
      <c r="L89" s="409">
        <f xml:space="preserve"> (Q41/$R41*100*($E41/365))+(Q42/$R42*100*($E42/365))+(Q43/$R43*100*($E43/365))</f>
        <v>78.181406921773402</v>
      </c>
      <c r="M89" s="409"/>
      <c r="N89" s="424">
        <f t="shared" si="33"/>
        <v>99.999999999999986</v>
      </c>
      <c r="O89" s="424"/>
      <c r="R89" s="1">
        <v>2015</v>
      </c>
      <c r="S89" s="5">
        <f xml:space="preserve"> (O41* ($E41/365))+(O42*($E42/365))+(O43*($E43/365))</f>
        <v>10.989315068493152</v>
      </c>
      <c r="T89" s="5">
        <f xml:space="preserve"> (P41* ($E41/365))+(P42*($E42/365))+(P43*($E43/365))</f>
        <v>0</v>
      </c>
      <c r="U89" s="5">
        <f xml:space="preserve"> (Q41* ($E41/365))+(Q42*($E42/365))+(Q43*($E43/365))</f>
        <v>39.315342465753432</v>
      </c>
      <c r="V89" s="9"/>
      <c r="W89" s="5">
        <f t="shared" si="34"/>
        <v>50.304657534246587</v>
      </c>
    </row>
    <row r="90" spans="1:23" x14ac:dyDescent="0.15">
      <c r="A90" s="1">
        <v>2016</v>
      </c>
      <c r="B90" s="5">
        <f xml:space="preserve"> (K44*($E44/366))+(K45*($E45/366))+(K46*($E46/366))</f>
        <v>21.040514091119935</v>
      </c>
      <c r="C90" s="5">
        <f xml:space="preserve"> (L44*($E44/366))+(L45*($E45/366))+(L46*($E46/366))</f>
        <v>52.110556743486178</v>
      </c>
      <c r="D90" s="5">
        <f xml:space="preserve"> (M44*($E44/366))+(M45*($E45/366))+(M46*($E46/366))</f>
        <v>3.5519125683060109</v>
      </c>
      <c r="E90" s="24">
        <f t="shared" si="32"/>
        <v>76.702983402912125</v>
      </c>
      <c r="G90" s="1">
        <v>2016</v>
      </c>
      <c r="H90" s="409">
        <f xml:space="preserve"> (O44/$R44*100*($E44/366))+(O45/$R45*100*($E45/366))+(O46/$R46*100*($E46/366))</f>
        <v>22.481045389359668</v>
      </c>
      <c r="I90" s="409"/>
      <c r="J90" s="409">
        <f xml:space="preserve"> (P44/$R44*100*($E44/366))+(P45/$R45*100*($E45/366))+(P46/$R46*100*($E46/366))</f>
        <v>72.921355205477994</v>
      </c>
      <c r="K90" s="409"/>
      <c r="L90" s="409">
        <f xml:space="preserve"> (Q44/$R44*100*($E44/366))+(Q45/$R45*100*($E45/366))+(Q46/$R46*100*($E46/366))</f>
        <v>4.5975994051623417</v>
      </c>
      <c r="M90" s="409"/>
      <c r="N90" s="424">
        <f t="shared" si="33"/>
        <v>100</v>
      </c>
      <c r="O90" s="424"/>
      <c r="R90" s="1">
        <v>2016</v>
      </c>
      <c r="S90" s="5">
        <f xml:space="preserve"> (O44* ($E44/366))+(O45*($E45/366))+(O46*($E46/366))</f>
        <v>9.7385245901639355</v>
      </c>
      <c r="T90" s="5">
        <f xml:space="preserve"> (P44* ($E44/366))+(P45*($E45/366))+(P46*($E46/366))</f>
        <v>31.565300546448089</v>
      </c>
      <c r="U90" s="5">
        <f xml:space="preserve"> (Q44* ($E44/366))+(Q45*($E45/366))+(Q46*($E46/366))</f>
        <v>2.1286885245901641</v>
      </c>
      <c r="V90" s="9"/>
      <c r="W90" s="5">
        <f t="shared" si="34"/>
        <v>43.432513661202194</v>
      </c>
    </row>
    <row r="91" spans="1:23" x14ac:dyDescent="0.15">
      <c r="A91" s="1">
        <v>2017</v>
      </c>
      <c r="B91" s="5">
        <f xml:space="preserve"> (K47*($E47/365))+(K48*($E48/365))</f>
        <v>10.984996738421396</v>
      </c>
      <c r="C91" s="5">
        <f xml:space="preserve"> (L47*($E47/365))+(L48*($E48/365))</f>
        <v>77.416829745596857</v>
      </c>
      <c r="D91" s="5">
        <f xml:space="preserve"> (M47*($E47/365))+(M48*($E48/365))</f>
        <v>0</v>
      </c>
      <c r="E91" s="24">
        <f t="shared" si="32"/>
        <v>88.401826484018258</v>
      </c>
      <c r="G91" s="1">
        <v>2017</v>
      </c>
      <c r="H91" s="409">
        <f xml:space="preserve"> (O47/$R47*100*($E47/365))+(O48/$R48*100*($E48/365))</f>
        <v>13.341169083842725</v>
      </c>
      <c r="I91" s="409"/>
      <c r="J91" s="409">
        <f xml:space="preserve"> (P47/$R47*100*($E47/365))+(P48/$R48*100*($E48/365))</f>
        <v>86.658830916157257</v>
      </c>
      <c r="K91" s="409"/>
      <c r="L91" s="409">
        <f xml:space="preserve"> (Q47/$R47*100*($E47/365))+(Q48/$R48*100*($E48/365))</f>
        <v>0</v>
      </c>
      <c r="M91" s="409"/>
      <c r="N91" s="424">
        <f t="shared" si="33"/>
        <v>99.999999999999986</v>
      </c>
      <c r="O91" s="424"/>
      <c r="R91" s="1">
        <v>2017</v>
      </c>
      <c r="S91" s="5">
        <f xml:space="preserve"> (O47* ($E47/365))+(O48*($E48/365))</f>
        <v>5.9136986301369863</v>
      </c>
      <c r="T91" s="5">
        <f xml:space="preserve"> (P47* ($E47/365))+(P48*($E48/365))</f>
        <v>37.1</v>
      </c>
      <c r="U91" s="5">
        <f xml:space="preserve"> (Q47* ($E47/365))+(Q48*($E48/365))</f>
        <v>0</v>
      </c>
      <c r="V91" s="9"/>
      <c r="W91" s="5">
        <f t="shared" si="34"/>
        <v>43.013698630136986</v>
      </c>
    </row>
    <row r="92" spans="1:23" x14ac:dyDescent="0.15">
      <c r="A92" s="1">
        <v>2018</v>
      </c>
      <c r="B92" s="5">
        <f xml:space="preserve"> (K49*($E49/365))+(K50*($E50/365))</f>
        <v>4.7619047619047619</v>
      </c>
      <c r="C92" s="5">
        <f xml:space="preserve"> (L49*($E49/365))+(L50*($E50/365))</f>
        <v>85.714285714285708</v>
      </c>
      <c r="D92" s="5">
        <f xml:space="preserve"> (M49*($E49/365))+(M50*($E50/365))</f>
        <v>0</v>
      </c>
      <c r="E92" s="24">
        <f t="shared" si="32"/>
        <v>90.476190476190467</v>
      </c>
      <c r="G92" s="1">
        <v>2018</v>
      </c>
      <c r="H92" s="409">
        <f xml:space="preserve"> (O49/$R49*100*($E49/365))+(O50/$R50*100*($E50/365))</f>
        <v>8.1683168316831694</v>
      </c>
      <c r="I92" s="409"/>
      <c r="J92" s="409">
        <f xml:space="preserve"> (P49/$R49*100*($E49/365))+(P50/$R50*100*($E50/365))</f>
        <v>91.831683168316829</v>
      </c>
      <c r="K92" s="409"/>
      <c r="L92" s="409">
        <f xml:space="preserve"> (Q49/$R49*100*($E49/365))+(Q50/$R50*100*($E50/365))</f>
        <v>0</v>
      </c>
      <c r="M92" s="409"/>
      <c r="N92" s="424">
        <f t="shared" si="33"/>
        <v>100</v>
      </c>
      <c r="O92" s="424"/>
      <c r="R92" s="1">
        <v>2018</v>
      </c>
      <c r="S92" s="5">
        <f xml:space="preserve"> (O49* ($E49/365))+(O50*($E50/365))</f>
        <v>3.3</v>
      </c>
      <c r="T92" s="5">
        <f xml:space="preserve"> (P49* ($E49/365))+(P50*($E50/365))</f>
        <v>37.1</v>
      </c>
      <c r="U92" s="5">
        <f xml:space="preserve"> (Q49* ($E49/365))+(Q50*($E50/365))</f>
        <v>0</v>
      </c>
      <c r="V92" s="9"/>
      <c r="W92" s="5">
        <f t="shared" si="34"/>
        <v>40.4</v>
      </c>
    </row>
    <row r="93" spans="1:23" x14ac:dyDescent="0.15">
      <c r="A93" s="1">
        <v>2019</v>
      </c>
      <c r="B93" s="5">
        <f xml:space="preserve"> (K51*($E51/365))+(K52*($E52/365))</f>
        <v>4.7619047619047619</v>
      </c>
      <c r="C93" s="5">
        <f xml:space="preserve"> (L51*($E51/365))+(L52*($E52/365))</f>
        <v>85.714285714285708</v>
      </c>
      <c r="D93" s="5">
        <f xml:space="preserve"> (M51*($E51/365))+(M52*($E52/365))</f>
        <v>0</v>
      </c>
      <c r="E93" s="24">
        <f t="shared" ref="E93" si="35">SUM(B93:D93)</f>
        <v>90.476190476190467</v>
      </c>
      <c r="G93" s="1">
        <v>2019</v>
      </c>
      <c r="H93" s="409">
        <f xml:space="preserve"> (O51/$R51*100*($E51/365))+(O52/$R52*100*($E52/365))</f>
        <v>8.1683168316831694</v>
      </c>
      <c r="I93" s="409"/>
      <c r="J93" s="409">
        <f xml:space="preserve"> (P51/$R51*100*($E51/365))+(P52/$R52*100*($E52/365))</f>
        <v>91.831683168316829</v>
      </c>
      <c r="K93" s="409"/>
      <c r="L93" s="409">
        <f xml:space="preserve"> (Q51/$R51*100*($E51/365))+(Q52/$R52*100*($E52/365))</f>
        <v>0</v>
      </c>
      <c r="M93" s="409"/>
      <c r="N93" s="424">
        <f t="shared" ref="N93" si="36">H93+J93+L93</f>
        <v>100</v>
      </c>
      <c r="O93" s="424"/>
      <c r="R93" s="1">
        <v>2019</v>
      </c>
      <c r="S93" s="5">
        <f xml:space="preserve"> (O51* ($E51/365))+(O52*($E52/365))</f>
        <v>3.3</v>
      </c>
      <c r="T93" s="5">
        <f xml:space="preserve"> (P51* ($E51/365))+(P52*($E52/365))</f>
        <v>37.1</v>
      </c>
      <c r="U93" s="5">
        <f xml:space="preserve"> (Q51* ($E51/365))+(Q52*($E52/365))</f>
        <v>0</v>
      </c>
      <c r="V93" s="9"/>
      <c r="W93" s="5">
        <f t="shared" ref="W93" si="37">S93+T93+U93</f>
        <v>40.4</v>
      </c>
    </row>
    <row r="94" spans="1:23" x14ac:dyDescent="0.15">
      <c r="A94" s="1">
        <v>2020</v>
      </c>
      <c r="B94" s="5">
        <f xml:space="preserve"> (K53*($E53/366))+(K54*($E54/366))</f>
        <v>5.1131928181108508</v>
      </c>
      <c r="C94" s="5">
        <f xml:space="preserve"> (L53*($E53/366))+(L54*($E54/366))</f>
        <v>87.119437939110071</v>
      </c>
      <c r="D94" s="5">
        <f xml:space="preserve"> (M53*($E53/366))+(M54*($E54/366))</f>
        <v>0</v>
      </c>
      <c r="E94" s="24">
        <f>SUM(B94:D94)</f>
        <v>92.232630757220917</v>
      </c>
      <c r="G94" s="1">
        <v>2020</v>
      </c>
      <c r="H94" s="409">
        <f xml:space="preserve"> (O53/$R53*100*($E53/366))+(O54/$R54*100*($E54/366))</f>
        <v>6.6067671390013754</v>
      </c>
      <c r="I94" s="409"/>
      <c r="J94" s="409">
        <f xml:space="preserve"> (P53/$R53*100*($E53/366))+(P54/$R54*100*($E54/366))</f>
        <v>93.393232860998609</v>
      </c>
      <c r="K94" s="409"/>
      <c r="L94" s="409">
        <f xml:space="preserve"> (Q53/$R53*100*($E53/366))+(Q54/$R54*100*($E54/366))</f>
        <v>0</v>
      </c>
      <c r="M94" s="409"/>
      <c r="N94" s="424">
        <f>H94+J94+L94</f>
        <v>99.999999999999986</v>
      </c>
      <c r="O94" s="424"/>
      <c r="R94" s="1">
        <v>2020</v>
      </c>
      <c r="S94" s="5">
        <f xml:space="preserve"> (O53* ($E53/366))+(O54*($E54/366))</f>
        <v>2.7245901639344261</v>
      </c>
      <c r="T94" s="5">
        <f xml:space="preserve"> (P53* ($E53/366))+(P54*($E54/366))</f>
        <v>38.870491803278689</v>
      </c>
      <c r="U94" s="5">
        <f xml:space="preserve"> (Q53* ($E53/366))+(Q54*($E54/366))</f>
        <v>0</v>
      </c>
      <c r="W94" s="5">
        <f>S94+T94+U94</f>
        <v>41.595081967213119</v>
      </c>
    </row>
  </sheetData>
  <mergeCells count="159">
    <mergeCell ref="H92:I92"/>
    <mergeCell ref="J92:K92"/>
    <mergeCell ref="L92:M92"/>
    <mergeCell ref="N92:O92"/>
    <mergeCell ref="H91:I91"/>
    <mergeCell ref="J91:K91"/>
    <mergeCell ref="L91:M91"/>
    <mergeCell ref="N91:O91"/>
    <mergeCell ref="H90:I90"/>
    <mergeCell ref="J90:K90"/>
    <mergeCell ref="L90:M90"/>
    <mergeCell ref="N90:O90"/>
    <mergeCell ref="N88:O88"/>
    <mergeCell ref="H89:I89"/>
    <mergeCell ref="J89:K89"/>
    <mergeCell ref="L89:M89"/>
    <mergeCell ref="N89:O89"/>
    <mergeCell ref="H88:I88"/>
    <mergeCell ref="J88:K88"/>
    <mergeCell ref="L88:M88"/>
    <mergeCell ref="N83:O83"/>
    <mergeCell ref="N84:O84"/>
    <mergeCell ref="H85:I85"/>
    <mergeCell ref="J85:K85"/>
    <mergeCell ref="L85:M85"/>
    <mergeCell ref="N85:O85"/>
    <mergeCell ref="N87:O87"/>
    <mergeCell ref="H87:I87"/>
    <mergeCell ref="J87:K87"/>
    <mergeCell ref="L87:M87"/>
    <mergeCell ref="H86:I86"/>
    <mergeCell ref="J86:K86"/>
    <mergeCell ref="L86:M86"/>
    <mergeCell ref="N86:O86"/>
    <mergeCell ref="H84:I84"/>
    <mergeCell ref="J84:K84"/>
    <mergeCell ref="C29:D29"/>
    <mergeCell ref="C30:D30"/>
    <mergeCell ref="C41:D41"/>
    <mergeCell ref="C43:D43"/>
    <mergeCell ref="C42:D42"/>
    <mergeCell ref="C44:D44"/>
    <mergeCell ref="C26:D26"/>
    <mergeCell ref="L84:M84"/>
    <mergeCell ref="C48:D48"/>
    <mergeCell ref="J76:K76"/>
    <mergeCell ref="L76:M76"/>
    <mergeCell ref="H77:I77"/>
    <mergeCell ref="J77:K77"/>
    <mergeCell ref="L77:M77"/>
    <mergeCell ref="H78:I78"/>
    <mergeCell ref="H76:I76"/>
    <mergeCell ref="C50:D50"/>
    <mergeCell ref="C52:D52"/>
    <mergeCell ref="C49:D49"/>
    <mergeCell ref="L79:M79"/>
    <mergeCell ref="H79:I79"/>
    <mergeCell ref="J79:K79"/>
    <mergeCell ref="H83:I83"/>
    <mergeCell ref="J83:K83"/>
    <mergeCell ref="C27:D27"/>
    <mergeCell ref="C20:D20"/>
    <mergeCell ref="C53:D53"/>
    <mergeCell ref="A4:A5"/>
    <mergeCell ref="B4:B5"/>
    <mergeCell ref="C4:D5"/>
    <mergeCell ref="E4:E5"/>
    <mergeCell ref="F4:F5"/>
    <mergeCell ref="G4:J4"/>
    <mergeCell ref="C24:D24"/>
    <mergeCell ref="C45:D45"/>
    <mergeCell ref="C46:D46"/>
    <mergeCell ref="C47:D47"/>
    <mergeCell ref="C28:D28"/>
    <mergeCell ref="C31:D31"/>
    <mergeCell ref="C32:D32"/>
    <mergeCell ref="C33:D33"/>
    <mergeCell ref="C34:D34"/>
    <mergeCell ref="C35:D35"/>
    <mergeCell ref="C36:D36"/>
    <mergeCell ref="C40:D40"/>
    <mergeCell ref="C37:D37"/>
    <mergeCell ref="C38:D38"/>
    <mergeCell ref="C39:D39"/>
    <mergeCell ref="G3:M3"/>
    <mergeCell ref="O3:Q3"/>
    <mergeCell ref="J78:K78"/>
    <mergeCell ref="L78:M78"/>
    <mergeCell ref="N78:O78"/>
    <mergeCell ref="H63:I63"/>
    <mergeCell ref="J63:K63"/>
    <mergeCell ref="L63:M63"/>
    <mergeCell ref="N63:O63"/>
    <mergeCell ref="H74:I74"/>
    <mergeCell ref="J74:K74"/>
    <mergeCell ref="L74:M74"/>
    <mergeCell ref="H75:I75"/>
    <mergeCell ref="J75:K75"/>
    <mergeCell ref="L75:M75"/>
    <mergeCell ref="N75:O75"/>
    <mergeCell ref="K4:N4"/>
    <mergeCell ref="O4:R4"/>
    <mergeCell ref="R61:W61"/>
    <mergeCell ref="N76:O76"/>
    <mergeCell ref="N74:O74"/>
    <mergeCell ref="N77:O77"/>
    <mergeCell ref="C13:D13"/>
    <mergeCell ref="C21:D21"/>
    <mergeCell ref="C22:D22"/>
    <mergeCell ref="C6:D6"/>
    <mergeCell ref="C8:D8"/>
    <mergeCell ref="C14:D14"/>
    <mergeCell ref="C23:D23"/>
    <mergeCell ref="C25:D25"/>
    <mergeCell ref="C15:D15"/>
    <mergeCell ref="C16:D16"/>
    <mergeCell ref="C17:D17"/>
    <mergeCell ref="C18:D18"/>
    <mergeCell ref="C19:D19"/>
    <mergeCell ref="AT4:AW4"/>
    <mergeCell ref="AX4:BA4"/>
    <mergeCell ref="Z4:AC4"/>
    <mergeCell ref="AD4:AG4"/>
    <mergeCell ref="C7:D7"/>
    <mergeCell ref="C9:D9"/>
    <mergeCell ref="C10:D10"/>
    <mergeCell ref="C11:D11"/>
    <mergeCell ref="C12:D12"/>
    <mergeCell ref="AH4:AK4"/>
    <mergeCell ref="AL4:AO4"/>
    <mergeCell ref="AP4:AS4"/>
    <mergeCell ref="S4:S5"/>
    <mergeCell ref="T4:T5"/>
    <mergeCell ref="U4:U5"/>
    <mergeCell ref="V4:Y4"/>
    <mergeCell ref="H94:I94"/>
    <mergeCell ref="J94:K94"/>
    <mergeCell ref="L94:M94"/>
    <mergeCell ref="N94:O94"/>
    <mergeCell ref="C54:D54"/>
    <mergeCell ref="C51:D51"/>
    <mergeCell ref="H93:I93"/>
    <mergeCell ref="J93:K93"/>
    <mergeCell ref="L93:M93"/>
    <mergeCell ref="N93:O93"/>
    <mergeCell ref="N79:O79"/>
    <mergeCell ref="N80:O80"/>
    <mergeCell ref="N81:O81"/>
    <mergeCell ref="N82:O82"/>
    <mergeCell ref="L83:M83"/>
    <mergeCell ref="H80:I80"/>
    <mergeCell ref="J80:K80"/>
    <mergeCell ref="L80:M80"/>
    <mergeCell ref="H81:I81"/>
    <mergeCell ref="J81:K81"/>
    <mergeCell ref="L81:M81"/>
    <mergeCell ref="H82:I82"/>
    <mergeCell ref="J82:K82"/>
    <mergeCell ref="L82:M82"/>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A153"/>
  <sheetViews>
    <sheetView zoomScale="119" zoomScaleNormal="120" workbookViewId="0">
      <pane xSplit="1" ySplit="5" topLeftCell="B21" activePane="bottomRight" state="frozen"/>
      <selection pane="topRight" activeCell="B1" sqref="B1"/>
      <selection pane="bottomLeft" activeCell="A6" sqref="A6"/>
      <selection pane="bottomRight" activeCell="W63" sqref="W63"/>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51</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1262</v>
      </c>
      <c r="D4" s="382"/>
      <c r="E4" s="396" t="s">
        <v>5</v>
      </c>
      <c r="F4" s="428"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429"/>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52">
        <v>1976</v>
      </c>
      <c r="B6" s="295"/>
      <c r="C6" s="430" t="s">
        <v>1263</v>
      </c>
      <c r="D6" s="430"/>
      <c r="G6" s="66"/>
      <c r="J6" s="73"/>
      <c r="K6" s="47"/>
      <c r="L6" s="47"/>
      <c r="M6" s="47"/>
      <c r="N6" s="68"/>
      <c r="O6" s="46"/>
      <c r="P6" s="47"/>
      <c r="Q6" s="47"/>
      <c r="R6" s="48"/>
      <c r="S6" s="37"/>
      <c r="T6" s="286"/>
      <c r="U6" s="292"/>
      <c r="Z6" s="38"/>
      <c r="AD6" s="38"/>
      <c r="AG6" s="39"/>
      <c r="AL6" s="38"/>
      <c r="AO6" s="39"/>
      <c r="AP6" s="38"/>
      <c r="AS6" s="39"/>
      <c r="AW6" s="39"/>
      <c r="BA6" s="40"/>
    </row>
    <row r="7" spans="1:53" s="29" customFormat="1" x14ac:dyDescent="0.15">
      <c r="A7" s="52">
        <v>1977</v>
      </c>
      <c r="B7" s="295"/>
      <c r="C7" s="430"/>
      <c r="D7" s="430"/>
      <c r="G7" s="66"/>
      <c r="J7" s="73"/>
      <c r="K7" s="47"/>
      <c r="L7" s="47"/>
      <c r="M7" s="47"/>
      <c r="N7" s="68"/>
      <c r="O7" s="46"/>
      <c r="P7" s="47"/>
      <c r="Q7" s="47"/>
      <c r="R7" s="48"/>
      <c r="T7" s="286"/>
      <c r="U7" s="295"/>
      <c r="V7" s="38"/>
      <c r="Z7" s="38"/>
      <c r="AD7" s="38"/>
      <c r="AG7" s="39"/>
      <c r="AL7" s="38"/>
      <c r="AO7" s="39"/>
      <c r="AP7" s="38"/>
      <c r="AS7" s="39"/>
      <c r="AW7" s="39"/>
      <c r="BA7" s="40"/>
    </row>
    <row r="8" spans="1:53" s="29" customFormat="1" x14ac:dyDescent="0.15">
      <c r="A8" s="52">
        <v>1978</v>
      </c>
      <c r="B8" s="295"/>
      <c r="C8" s="430"/>
      <c r="D8" s="430"/>
      <c r="G8" s="66"/>
      <c r="J8" s="73"/>
      <c r="K8" s="47"/>
      <c r="L8" s="47"/>
      <c r="M8" s="47"/>
      <c r="N8" s="68"/>
      <c r="O8" s="46"/>
      <c r="P8" s="47"/>
      <c r="Q8" s="47"/>
      <c r="R8" s="48"/>
      <c r="T8" s="286"/>
      <c r="U8" s="295"/>
      <c r="V8" s="38"/>
      <c r="Z8" s="38"/>
      <c r="AD8" s="38"/>
      <c r="AG8" s="39"/>
      <c r="AL8" s="38"/>
      <c r="AO8" s="39"/>
      <c r="AP8" s="38"/>
      <c r="AS8" s="39"/>
      <c r="AW8" s="39"/>
      <c r="BA8" s="40"/>
    </row>
    <row r="9" spans="1:53" s="171" customFormat="1" x14ac:dyDescent="0.15">
      <c r="A9" s="171">
        <v>1978</v>
      </c>
      <c r="B9" s="283">
        <v>28557</v>
      </c>
      <c r="C9" s="410" t="s">
        <v>1297</v>
      </c>
      <c r="D9" s="410"/>
      <c r="E9" s="171">
        <v>299</v>
      </c>
      <c r="F9" s="244"/>
      <c r="G9" s="233">
        <v>6</v>
      </c>
      <c r="I9" s="171">
        <v>2</v>
      </c>
      <c r="J9" s="241">
        <v>11</v>
      </c>
      <c r="K9" s="214">
        <f t="shared" ref="K9:K35" si="0">G9/J9*100</f>
        <v>54.54545454545454</v>
      </c>
      <c r="L9" s="214">
        <f t="shared" ref="L9:L35" si="1">H9/J9*100</f>
        <v>0</v>
      </c>
      <c r="M9" s="214">
        <f t="shared" ref="M9:M35" si="2">I9/J9*100</f>
        <v>18.181818181818183</v>
      </c>
      <c r="N9" s="235">
        <f t="shared" ref="N9:N35" si="3">SUM(K9:M9)</f>
        <v>72.72727272727272</v>
      </c>
      <c r="O9" s="213">
        <v>60</v>
      </c>
      <c r="P9" s="214"/>
      <c r="Q9" s="214">
        <v>11.4</v>
      </c>
      <c r="R9" s="215">
        <f t="shared" ref="R9:R35" si="4">SUM(O9:Q9)</f>
        <v>71.400000000000006</v>
      </c>
      <c r="S9" s="171">
        <v>1</v>
      </c>
      <c r="T9" s="285"/>
      <c r="U9" s="283">
        <v>28557</v>
      </c>
      <c r="V9" s="178" t="s">
        <v>1041</v>
      </c>
      <c r="W9" s="171" t="s">
        <v>22</v>
      </c>
      <c r="X9" s="171" t="s">
        <v>11</v>
      </c>
      <c r="Y9" s="179">
        <v>60</v>
      </c>
      <c r="Z9" s="171" t="s">
        <v>1043</v>
      </c>
      <c r="AA9" s="171" t="s">
        <v>20</v>
      </c>
      <c r="AB9" s="171" t="s">
        <v>12</v>
      </c>
      <c r="AC9" s="171">
        <v>11.4</v>
      </c>
      <c r="AD9" s="178"/>
      <c r="AG9" s="179"/>
      <c r="AL9" s="178"/>
      <c r="AO9" s="179"/>
      <c r="AP9" s="178"/>
      <c r="AS9" s="179"/>
      <c r="AW9" s="179"/>
      <c r="BA9" s="180"/>
    </row>
    <row r="10" spans="1:53" s="171" customFormat="1" x14ac:dyDescent="0.15">
      <c r="A10" s="171">
        <v>1979</v>
      </c>
      <c r="B10" s="283"/>
      <c r="C10" s="410" t="s">
        <v>1297</v>
      </c>
      <c r="D10" s="410"/>
      <c r="E10" s="171">
        <v>304</v>
      </c>
      <c r="G10" s="233">
        <v>6</v>
      </c>
      <c r="I10" s="171">
        <v>2</v>
      </c>
      <c r="J10" s="241">
        <v>11</v>
      </c>
      <c r="K10" s="214">
        <f t="shared" si="0"/>
        <v>54.54545454545454</v>
      </c>
      <c r="L10" s="214">
        <f t="shared" si="1"/>
        <v>0</v>
      </c>
      <c r="M10" s="214">
        <f t="shared" si="2"/>
        <v>18.181818181818183</v>
      </c>
      <c r="N10" s="235">
        <f t="shared" si="3"/>
        <v>72.72727272727272</v>
      </c>
      <c r="O10" s="213">
        <v>60</v>
      </c>
      <c r="P10" s="214"/>
      <c r="Q10" s="214">
        <v>11.4</v>
      </c>
      <c r="R10" s="215">
        <f t="shared" si="4"/>
        <v>71.400000000000006</v>
      </c>
      <c r="S10" s="171">
        <v>1</v>
      </c>
      <c r="T10" s="285"/>
      <c r="U10" s="283"/>
      <c r="V10" s="178" t="s">
        <v>1041</v>
      </c>
      <c r="W10" s="171" t="s">
        <v>22</v>
      </c>
      <c r="X10" s="171" t="s">
        <v>11</v>
      </c>
      <c r="Y10" s="179">
        <v>60</v>
      </c>
      <c r="Z10" s="171" t="s">
        <v>1043</v>
      </c>
      <c r="AA10" s="171" t="s">
        <v>20</v>
      </c>
      <c r="AB10" s="171" t="s">
        <v>12</v>
      </c>
      <c r="AC10" s="171">
        <v>11.4</v>
      </c>
      <c r="AD10" s="178"/>
      <c r="AG10" s="179"/>
      <c r="AL10" s="178"/>
      <c r="AO10" s="179"/>
      <c r="AP10" s="178"/>
      <c r="AS10" s="179"/>
      <c r="AW10" s="179"/>
      <c r="BA10" s="180"/>
    </row>
    <row r="11" spans="1:53" s="171" customFormat="1" x14ac:dyDescent="0.15">
      <c r="A11" s="171">
        <v>1979</v>
      </c>
      <c r="B11" s="305">
        <v>29160</v>
      </c>
      <c r="C11" s="410" t="s">
        <v>1297</v>
      </c>
      <c r="D11" s="410"/>
      <c r="E11" s="171">
        <v>61</v>
      </c>
      <c r="F11" s="244">
        <v>0</v>
      </c>
      <c r="G11" s="233">
        <v>7</v>
      </c>
      <c r="I11" s="171">
        <v>2</v>
      </c>
      <c r="J11" s="241">
        <v>11</v>
      </c>
      <c r="K11" s="214">
        <f t="shared" si="0"/>
        <v>63.636363636363633</v>
      </c>
      <c r="L11" s="214">
        <f t="shared" si="1"/>
        <v>0</v>
      </c>
      <c r="M11" s="214">
        <f t="shared" si="2"/>
        <v>18.181818181818183</v>
      </c>
      <c r="N11" s="235">
        <f t="shared" si="3"/>
        <v>81.818181818181813</v>
      </c>
      <c r="O11" s="213">
        <v>60</v>
      </c>
      <c r="P11" s="214"/>
      <c r="Q11" s="214">
        <v>11.4</v>
      </c>
      <c r="R11" s="215">
        <f t="shared" si="4"/>
        <v>71.400000000000006</v>
      </c>
      <c r="S11" s="171">
        <v>1</v>
      </c>
      <c r="T11" s="285"/>
      <c r="U11" s="283"/>
      <c r="V11" s="178" t="s">
        <v>1041</v>
      </c>
      <c r="W11" s="171" t="s">
        <v>22</v>
      </c>
      <c r="X11" s="171" t="s">
        <v>11</v>
      </c>
      <c r="Y11" s="179">
        <v>60</v>
      </c>
      <c r="Z11" s="171" t="s">
        <v>1043</v>
      </c>
      <c r="AA11" s="171" t="s">
        <v>20</v>
      </c>
      <c r="AB11" s="171" t="s">
        <v>12</v>
      </c>
      <c r="AC11" s="171">
        <v>11.4</v>
      </c>
      <c r="AD11" s="178"/>
      <c r="AG11" s="179"/>
      <c r="AL11" s="178"/>
      <c r="AO11" s="179"/>
      <c r="AP11" s="178"/>
      <c r="AS11" s="179"/>
      <c r="AW11" s="179"/>
      <c r="BA11" s="180"/>
    </row>
    <row r="12" spans="1:53" s="171" customFormat="1" x14ac:dyDescent="0.15">
      <c r="A12" s="171">
        <v>1980</v>
      </c>
      <c r="B12" s="283"/>
      <c r="C12" s="410" t="s">
        <v>1297</v>
      </c>
      <c r="D12" s="410"/>
      <c r="E12" s="171">
        <v>253</v>
      </c>
      <c r="G12" s="233">
        <v>7</v>
      </c>
      <c r="I12" s="171">
        <v>2</v>
      </c>
      <c r="J12" s="241">
        <v>11</v>
      </c>
      <c r="K12" s="214">
        <f t="shared" si="0"/>
        <v>63.636363636363633</v>
      </c>
      <c r="L12" s="214">
        <f t="shared" si="1"/>
        <v>0</v>
      </c>
      <c r="M12" s="214">
        <f t="shared" si="2"/>
        <v>18.181818181818183</v>
      </c>
      <c r="N12" s="235">
        <f t="shared" si="3"/>
        <v>81.818181818181813</v>
      </c>
      <c r="O12" s="213">
        <v>60</v>
      </c>
      <c r="P12" s="214"/>
      <c r="Q12" s="214">
        <v>11.4</v>
      </c>
      <c r="R12" s="215">
        <f t="shared" si="4"/>
        <v>71.400000000000006</v>
      </c>
      <c r="S12" s="171">
        <v>1</v>
      </c>
      <c r="T12" s="285"/>
      <c r="U12" s="283"/>
      <c r="V12" s="178" t="s">
        <v>1041</v>
      </c>
      <c r="W12" s="171" t="s">
        <v>22</v>
      </c>
      <c r="X12" s="171" t="s">
        <v>11</v>
      </c>
      <c r="Y12" s="179">
        <v>60</v>
      </c>
      <c r="Z12" s="171" t="s">
        <v>1043</v>
      </c>
      <c r="AA12" s="171" t="s">
        <v>20</v>
      </c>
      <c r="AB12" s="171" t="s">
        <v>12</v>
      </c>
      <c r="AC12" s="171">
        <v>11.4</v>
      </c>
      <c r="AD12" s="178"/>
      <c r="AG12" s="179"/>
      <c r="AL12" s="178"/>
      <c r="AO12" s="179"/>
      <c r="AP12" s="178"/>
      <c r="AS12" s="179"/>
      <c r="AW12" s="179"/>
      <c r="BA12" s="180"/>
    </row>
    <row r="13" spans="1:53" s="171" customFormat="1" x14ac:dyDescent="0.15">
      <c r="A13" s="171">
        <v>1980</v>
      </c>
      <c r="B13" s="305">
        <v>29474</v>
      </c>
      <c r="C13" s="410" t="s">
        <v>1297</v>
      </c>
      <c r="D13" s="410"/>
      <c r="E13" s="171">
        <v>2</v>
      </c>
      <c r="F13" s="244">
        <v>0</v>
      </c>
      <c r="G13" s="233">
        <v>8</v>
      </c>
      <c r="I13" s="171">
        <v>1</v>
      </c>
      <c r="J13" s="241">
        <v>11</v>
      </c>
      <c r="K13" s="214">
        <f t="shared" si="0"/>
        <v>72.727272727272734</v>
      </c>
      <c r="L13" s="214">
        <f t="shared" si="1"/>
        <v>0</v>
      </c>
      <c r="M13" s="214">
        <f t="shared" si="2"/>
        <v>9.0909090909090917</v>
      </c>
      <c r="N13" s="235">
        <f t="shared" si="3"/>
        <v>81.818181818181827</v>
      </c>
      <c r="O13" s="213">
        <v>60</v>
      </c>
      <c r="P13" s="214"/>
      <c r="Q13" s="214">
        <v>11.4</v>
      </c>
      <c r="R13" s="215">
        <f t="shared" si="4"/>
        <v>71.400000000000006</v>
      </c>
      <c r="S13" s="171">
        <v>1</v>
      </c>
      <c r="T13" s="285"/>
      <c r="U13" s="283"/>
      <c r="V13" s="178" t="s">
        <v>1041</v>
      </c>
      <c r="W13" s="171" t="s">
        <v>22</v>
      </c>
      <c r="X13" s="171" t="s">
        <v>11</v>
      </c>
      <c r="Y13" s="179">
        <v>60</v>
      </c>
      <c r="Z13" s="171" t="s">
        <v>1043</v>
      </c>
      <c r="AA13" s="171" t="s">
        <v>20</v>
      </c>
      <c r="AB13" s="171" t="s">
        <v>12</v>
      </c>
      <c r="AC13" s="171">
        <v>11.4</v>
      </c>
      <c r="AD13" s="178"/>
      <c r="AG13" s="179"/>
      <c r="AL13" s="178"/>
      <c r="AO13" s="179"/>
      <c r="AP13" s="178"/>
      <c r="AS13" s="179"/>
      <c r="AW13" s="179"/>
      <c r="BA13" s="180"/>
    </row>
    <row r="14" spans="1:53" s="171" customFormat="1" x14ac:dyDescent="0.15">
      <c r="A14" s="171">
        <v>1980</v>
      </c>
      <c r="B14" s="305">
        <v>29476</v>
      </c>
      <c r="C14" s="410" t="s">
        <v>1297</v>
      </c>
      <c r="D14" s="410"/>
      <c r="E14" s="171">
        <v>111</v>
      </c>
      <c r="F14" s="244">
        <v>0</v>
      </c>
      <c r="G14" s="233">
        <v>9</v>
      </c>
      <c r="J14" s="241">
        <v>11</v>
      </c>
      <c r="K14" s="214">
        <f t="shared" si="0"/>
        <v>81.818181818181827</v>
      </c>
      <c r="L14" s="214">
        <f t="shared" si="1"/>
        <v>0</v>
      </c>
      <c r="M14" s="214">
        <f t="shared" si="2"/>
        <v>0</v>
      </c>
      <c r="N14" s="235">
        <f t="shared" si="3"/>
        <v>81.818181818181827</v>
      </c>
      <c r="O14" s="213">
        <v>60</v>
      </c>
      <c r="P14" s="214"/>
      <c r="Q14" s="214"/>
      <c r="R14" s="215">
        <f t="shared" si="4"/>
        <v>60</v>
      </c>
      <c r="S14" s="171">
        <v>1</v>
      </c>
      <c r="T14" s="285"/>
      <c r="U14" s="283"/>
      <c r="V14" s="178" t="s">
        <v>1041</v>
      </c>
      <c r="W14" s="171" t="s">
        <v>22</v>
      </c>
      <c r="X14" s="171" t="s">
        <v>11</v>
      </c>
      <c r="Y14" s="179">
        <v>60</v>
      </c>
      <c r="AD14" s="178"/>
      <c r="AG14" s="179"/>
      <c r="AL14" s="178"/>
      <c r="AO14" s="179"/>
      <c r="AP14" s="178"/>
      <c r="AS14" s="179"/>
      <c r="AW14" s="179"/>
      <c r="BA14" s="180"/>
    </row>
    <row r="15" spans="1:53" s="171" customFormat="1" x14ac:dyDescent="0.15">
      <c r="A15" s="171">
        <v>1981</v>
      </c>
      <c r="B15" s="283"/>
      <c r="C15" s="410" t="s">
        <v>1297</v>
      </c>
      <c r="D15" s="410"/>
      <c r="E15" s="171">
        <v>143</v>
      </c>
      <c r="G15" s="233">
        <v>1</v>
      </c>
      <c r="J15" s="241">
        <v>11</v>
      </c>
      <c r="K15" s="214">
        <f t="shared" si="0"/>
        <v>9.0909090909090917</v>
      </c>
      <c r="L15" s="214">
        <f t="shared" si="1"/>
        <v>0</v>
      </c>
      <c r="M15" s="214">
        <f t="shared" si="2"/>
        <v>0</v>
      </c>
      <c r="N15" s="235">
        <f t="shared" si="3"/>
        <v>9.0909090909090917</v>
      </c>
      <c r="O15" s="213">
        <v>60</v>
      </c>
      <c r="P15" s="214"/>
      <c r="Q15" s="214"/>
      <c r="R15" s="215">
        <f t="shared" si="4"/>
        <v>60</v>
      </c>
      <c r="S15" s="171">
        <v>1</v>
      </c>
      <c r="T15" s="285"/>
      <c r="U15" s="283"/>
      <c r="V15" s="178" t="s">
        <v>1041</v>
      </c>
      <c r="W15" s="171" t="s">
        <v>22</v>
      </c>
      <c r="X15" s="171" t="s">
        <v>11</v>
      </c>
      <c r="Y15" s="179">
        <v>60</v>
      </c>
      <c r="AD15" s="178"/>
      <c r="AG15" s="179"/>
      <c r="AL15" s="178"/>
      <c r="AO15" s="179"/>
      <c r="AP15" s="178"/>
      <c r="AS15" s="179"/>
      <c r="AW15" s="179"/>
      <c r="BA15" s="180"/>
    </row>
    <row r="16" spans="1:53" s="171" customFormat="1" x14ac:dyDescent="0.15">
      <c r="A16" s="171">
        <v>1981</v>
      </c>
      <c r="B16" s="305"/>
      <c r="C16" s="410" t="s">
        <v>1297</v>
      </c>
      <c r="D16" s="410"/>
      <c r="E16" s="171">
        <v>222</v>
      </c>
      <c r="F16" s="244" t="s">
        <v>327</v>
      </c>
      <c r="G16" s="233">
        <v>1</v>
      </c>
      <c r="J16" s="241">
        <v>11</v>
      </c>
      <c r="K16" s="214">
        <f t="shared" si="0"/>
        <v>9.0909090909090917</v>
      </c>
      <c r="L16" s="214">
        <f t="shared" si="1"/>
        <v>0</v>
      </c>
      <c r="M16" s="214">
        <f t="shared" si="2"/>
        <v>0</v>
      </c>
      <c r="N16" s="235">
        <f t="shared" si="3"/>
        <v>9.0909090909090917</v>
      </c>
      <c r="O16" s="213">
        <v>22.9</v>
      </c>
      <c r="P16" s="214"/>
      <c r="Q16" s="214"/>
      <c r="R16" s="215">
        <f t="shared" si="4"/>
        <v>22.9</v>
      </c>
      <c r="S16" s="171">
        <v>1</v>
      </c>
      <c r="T16" s="285">
        <v>29730</v>
      </c>
      <c r="U16" s="283"/>
      <c r="V16" s="178" t="s">
        <v>1041</v>
      </c>
      <c r="W16" s="171" t="s">
        <v>22</v>
      </c>
      <c r="X16" s="171" t="s">
        <v>11</v>
      </c>
      <c r="Y16" s="179">
        <v>22.9</v>
      </c>
      <c r="AD16" s="178"/>
      <c r="AG16" s="179"/>
      <c r="AL16" s="178"/>
      <c r="AO16" s="179"/>
      <c r="AP16" s="178"/>
      <c r="AS16" s="179"/>
      <c r="AW16" s="179"/>
      <c r="BA16" s="180"/>
    </row>
    <row r="17" spans="1:53" s="171" customFormat="1" x14ac:dyDescent="0.15">
      <c r="A17" s="171">
        <v>1982</v>
      </c>
      <c r="B17" s="283"/>
      <c r="C17" s="410" t="s">
        <v>1297</v>
      </c>
      <c r="D17" s="410"/>
      <c r="E17" s="171">
        <v>109</v>
      </c>
      <c r="G17" s="233">
        <v>1</v>
      </c>
      <c r="J17" s="241">
        <v>11</v>
      </c>
      <c r="K17" s="214">
        <f t="shared" si="0"/>
        <v>9.0909090909090917</v>
      </c>
      <c r="L17" s="214">
        <f t="shared" si="1"/>
        <v>0</v>
      </c>
      <c r="M17" s="214">
        <f t="shared" si="2"/>
        <v>0</v>
      </c>
      <c r="N17" s="235">
        <f t="shared" si="3"/>
        <v>9.0909090909090917</v>
      </c>
      <c r="O17" s="213">
        <v>22.9</v>
      </c>
      <c r="P17" s="214"/>
      <c r="Q17" s="214"/>
      <c r="R17" s="215">
        <f t="shared" si="4"/>
        <v>22.9</v>
      </c>
      <c r="S17" s="171">
        <v>1</v>
      </c>
      <c r="T17" s="285"/>
      <c r="U17" s="283"/>
      <c r="V17" s="178" t="s">
        <v>1041</v>
      </c>
      <c r="W17" s="171" t="s">
        <v>22</v>
      </c>
      <c r="X17" s="171" t="s">
        <v>11</v>
      </c>
      <c r="Y17" s="179">
        <v>22.9</v>
      </c>
      <c r="AD17" s="178"/>
      <c r="AG17" s="179"/>
      <c r="AL17" s="178"/>
      <c r="AO17" s="179"/>
      <c r="AP17" s="178"/>
      <c r="AS17" s="179"/>
      <c r="AW17" s="179"/>
      <c r="BA17" s="180"/>
    </row>
    <row r="18" spans="1:53" s="171" customFormat="1" x14ac:dyDescent="0.15">
      <c r="A18" s="171">
        <v>1982</v>
      </c>
      <c r="B18" s="305">
        <v>30061</v>
      </c>
      <c r="C18" s="410" t="s">
        <v>1297</v>
      </c>
      <c r="D18" s="410"/>
      <c r="E18" s="171">
        <v>256</v>
      </c>
      <c r="F18" s="244">
        <v>0</v>
      </c>
      <c r="G18" s="233">
        <v>7</v>
      </c>
      <c r="J18" s="241">
        <v>11</v>
      </c>
      <c r="K18" s="214">
        <f t="shared" si="0"/>
        <v>63.636363636363633</v>
      </c>
      <c r="L18" s="214">
        <f t="shared" si="1"/>
        <v>0</v>
      </c>
      <c r="M18" s="214">
        <f t="shared" si="2"/>
        <v>0</v>
      </c>
      <c r="N18" s="235">
        <f t="shared" si="3"/>
        <v>63.636363636363633</v>
      </c>
      <c r="O18" s="213">
        <v>22.9</v>
      </c>
      <c r="P18" s="214"/>
      <c r="Q18" s="214"/>
      <c r="R18" s="215">
        <f t="shared" si="4"/>
        <v>22.9</v>
      </c>
      <c r="S18" s="171">
        <v>1</v>
      </c>
      <c r="T18" s="285"/>
      <c r="U18" s="283"/>
      <c r="V18" s="178" t="s">
        <v>1041</v>
      </c>
      <c r="W18" s="171" t="s">
        <v>22</v>
      </c>
      <c r="X18" s="171" t="s">
        <v>11</v>
      </c>
      <c r="Y18" s="179">
        <v>22.9</v>
      </c>
      <c r="AD18" s="178"/>
      <c r="AG18" s="179"/>
      <c r="AL18" s="178"/>
      <c r="AO18" s="179"/>
      <c r="AP18" s="178"/>
      <c r="AS18" s="179"/>
      <c r="AW18" s="179"/>
      <c r="BA18" s="180"/>
    </row>
    <row r="19" spans="1:53" s="171" customFormat="1" x14ac:dyDescent="0.15">
      <c r="A19" s="171">
        <v>1983</v>
      </c>
      <c r="B19" s="283"/>
      <c r="C19" s="410" t="s">
        <v>1297</v>
      </c>
      <c r="D19" s="410"/>
      <c r="E19" s="171">
        <v>43</v>
      </c>
      <c r="G19" s="233">
        <v>7</v>
      </c>
      <c r="J19" s="241">
        <v>11</v>
      </c>
      <c r="K19" s="214">
        <f t="shared" si="0"/>
        <v>63.636363636363633</v>
      </c>
      <c r="L19" s="214">
        <f t="shared" si="1"/>
        <v>0</v>
      </c>
      <c r="M19" s="214">
        <f t="shared" si="2"/>
        <v>0</v>
      </c>
      <c r="N19" s="235">
        <f t="shared" si="3"/>
        <v>63.636363636363633</v>
      </c>
      <c r="O19" s="213">
        <v>22.9</v>
      </c>
      <c r="P19" s="214"/>
      <c r="Q19" s="214"/>
      <c r="R19" s="215">
        <f t="shared" si="4"/>
        <v>22.9</v>
      </c>
      <c r="S19" s="171">
        <v>1</v>
      </c>
      <c r="T19" s="285"/>
      <c r="U19" s="283"/>
      <c r="V19" s="178" t="s">
        <v>1041</v>
      </c>
      <c r="W19" s="171" t="s">
        <v>22</v>
      </c>
      <c r="X19" s="171" t="s">
        <v>11</v>
      </c>
      <c r="Y19" s="179">
        <v>22.9</v>
      </c>
      <c r="AD19" s="178"/>
      <c r="AG19" s="179"/>
      <c r="AL19" s="178"/>
      <c r="AO19" s="179"/>
      <c r="AP19" s="178"/>
      <c r="AS19" s="179"/>
      <c r="AW19" s="179"/>
      <c r="BA19" s="180"/>
    </row>
    <row r="20" spans="1:53" s="29" customFormat="1" x14ac:dyDescent="0.15">
      <c r="A20" s="29">
        <v>1983</v>
      </c>
      <c r="B20" s="295">
        <v>30360</v>
      </c>
      <c r="C20" s="411" t="s">
        <v>1298</v>
      </c>
      <c r="D20" s="411"/>
      <c r="E20" s="29">
        <v>221</v>
      </c>
      <c r="G20" s="66">
        <v>7</v>
      </c>
      <c r="J20" s="73">
        <v>11</v>
      </c>
      <c r="K20" s="47">
        <f t="shared" si="0"/>
        <v>63.636363636363633</v>
      </c>
      <c r="L20" s="47">
        <f t="shared" si="1"/>
        <v>0</v>
      </c>
      <c r="M20" s="47">
        <f t="shared" si="2"/>
        <v>0</v>
      </c>
      <c r="N20" s="68">
        <f t="shared" si="3"/>
        <v>63.636363636363633</v>
      </c>
      <c r="O20" s="46">
        <v>22.9</v>
      </c>
      <c r="P20" s="47"/>
      <c r="Q20" s="47"/>
      <c r="R20" s="48">
        <f t="shared" si="4"/>
        <v>22.9</v>
      </c>
      <c r="S20" s="29">
        <v>1</v>
      </c>
      <c r="T20" s="286"/>
      <c r="U20" s="295">
        <v>30360</v>
      </c>
      <c r="V20" s="38" t="s">
        <v>1041</v>
      </c>
      <c r="W20" s="29" t="s">
        <v>22</v>
      </c>
      <c r="X20" s="29" t="s">
        <v>11</v>
      </c>
      <c r="Y20" s="39">
        <v>22.9</v>
      </c>
      <c r="AD20" s="38"/>
      <c r="AG20" s="39"/>
      <c r="AL20" s="38"/>
      <c r="AO20" s="39"/>
      <c r="AP20" s="38"/>
      <c r="AS20" s="39"/>
      <c r="AW20" s="39"/>
      <c r="BA20" s="40"/>
    </row>
    <row r="21" spans="1:53" s="29" customFormat="1" x14ac:dyDescent="0.15">
      <c r="A21" s="29">
        <v>1983</v>
      </c>
      <c r="B21" s="303">
        <v>30581</v>
      </c>
      <c r="C21" s="411" t="s">
        <v>1298</v>
      </c>
      <c r="D21" s="411"/>
      <c r="E21" s="29">
        <v>101</v>
      </c>
      <c r="F21" s="84">
        <v>0</v>
      </c>
      <c r="G21" s="66">
        <v>6</v>
      </c>
      <c r="J21" s="73">
        <v>11</v>
      </c>
      <c r="K21" s="47">
        <f t="shared" si="0"/>
        <v>54.54545454545454</v>
      </c>
      <c r="L21" s="47">
        <f t="shared" si="1"/>
        <v>0</v>
      </c>
      <c r="M21" s="47">
        <f t="shared" si="2"/>
        <v>0</v>
      </c>
      <c r="N21" s="68">
        <f t="shared" si="3"/>
        <v>54.54545454545454</v>
      </c>
      <c r="O21" s="46">
        <v>22.9</v>
      </c>
      <c r="P21" s="47"/>
      <c r="Q21" s="47"/>
      <c r="R21" s="48">
        <f t="shared" si="4"/>
        <v>22.9</v>
      </c>
      <c r="S21" s="29">
        <v>1</v>
      </c>
      <c r="T21" s="286"/>
      <c r="U21" s="295"/>
      <c r="V21" s="38" t="s">
        <v>1041</v>
      </c>
      <c r="W21" s="29" t="s">
        <v>22</v>
      </c>
      <c r="X21" s="29" t="s">
        <v>11</v>
      </c>
      <c r="Y21" s="39">
        <v>22.9</v>
      </c>
      <c r="AD21" s="38"/>
      <c r="AG21" s="39"/>
      <c r="AL21" s="38"/>
      <c r="AO21" s="39"/>
      <c r="AP21" s="38"/>
      <c r="AS21" s="39"/>
      <c r="AW21" s="39"/>
      <c r="BA21" s="40"/>
    </row>
    <row r="22" spans="1:53" s="29" customFormat="1" x14ac:dyDescent="0.15">
      <c r="A22" s="29">
        <v>1984</v>
      </c>
      <c r="B22" s="303"/>
      <c r="C22" s="411" t="s">
        <v>1298</v>
      </c>
      <c r="D22" s="411"/>
      <c r="E22" s="29">
        <v>0</v>
      </c>
      <c r="F22" s="84"/>
      <c r="G22" s="66">
        <v>6</v>
      </c>
      <c r="J22" s="73">
        <v>11</v>
      </c>
      <c r="K22" s="47">
        <f t="shared" si="0"/>
        <v>54.54545454545454</v>
      </c>
      <c r="L22" s="47">
        <f t="shared" si="1"/>
        <v>0</v>
      </c>
      <c r="M22" s="47">
        <f t="shared" si="2"/>
        <v>0</v>
      </c>
      <c r="N22" s="68">
        <f t="shared" si="3"/>
        <v>54.54545454545454</v>
      </c>
      <c r="O22" s="46">
        <v>22.9</v>
      </c>
      <c r="P22" s="47"/>
      <c r="Q22" s="47"/>
      <c r="R22" s="48">
        <f t="shared" si="4"/>
        <v>22.9</v>
      </c>
      <c r="S22" s="29">
        <v>1</v>
      </c>
      <c r="T22" s="286"/>
      <c r="U22" s="295"/>
      <c r="V22" s="38" t="s">
        <v>1041</v>
      </c>
      <c r="W22" s="29" t="s">
        <v>22</v>
      </c>
      <c r="X22" s="29" t="s">
        <v>11</v>
      </c>
      <c r="Y22" s="39">
        <v>22.9</v>
      </c>
      <c r="AD22" s="38"/>
      <c r="AG22" s="39"/>
      <c r="AL22" s="38"/>
      <c r="AO22" s="39"/>
      <c r="AP22" s="38"/>
      <c r="AS22" s="39"/>
      <c r="AW22" s="39"/>
      <c r="BA22" s="40"/>
    </row>
    <row r="23" spans="1:53" s="29" customFormat="1" x14ac:dyDescent="0.15">
      <c r="A23" s="29">
        <v>1984</v>
      </c>
      <c r="B23" s="303"/>
      <c r="C23" s="411" t="s">
        <v>1298</v>
      </c>
      <c r="D23" s="411"/>
      <c r="E23" s="29">
        <v>366</v>
      </c>
      <c r="F23" s="84"/>
      <c r="G23" s="66">
        <v>6</v>
      </c>
      <c r="J23" s="73">
        <v>11</v>
      </c>
      <c r="K23" s="47">
        <f t="shared" si="0"/>
        <v>54.54545454545454</v>
      </c>
      <c r="L23" s="47">
        <f t="shared" si="1"/>
        <v>0</v>
      </c>
      <c r="M23" s="47">
        <f t="shared" si="2"/>
        <v>0</v>
      </c>
      <c r="N23" s="68">
        <f t="shared" si="3"/>
        <v>54.54545454545454</v>
      </c>
      <c r="O23" s="46">
        <v>22.9</v>
      </c>
      <c r="P23" s="47"/>
      <c r="Q23" s="47"/>
      <c r="R23" s="48">
        <f t="shared" si="4"/>
        <v>22.9</v>
      </c>
      <c r="S23" s="29">
        <v>1</v>
      </c>
      <c r="T23" s="286"/>
      <c r="U23" s="295"/>
      <c r="V23" s="38" t="s">
        <v>1041</v>
      </c>
      <c r="W23" s="29" t="s">
        <v>22</v>
      </c>
      <c r="X23" s="29" t="s">
        <v>11</v>
      </c>
      <c r="Y23" s="39">
        <v>22.9</v>
      </c>
      <c r="AD23" s="38"/>
      <c r="AG23" s="39"/>
      <c r="AL23" s="38"/>
      <c r="AO23" s="39"/>
      <c r="AP23" s="38"/>
      <c r="AS23" s="39"/>
      <c r="AW23" s="39"/>
      <c r="BA23" s="40"/>
    </row>
    <row r="24" spans="1:53" s="29" customFormat="1" x14ac:dyDescent="0.15">
      <c r="A24" s="29">
        <v>1985</v>
      </c>
      <c r="B24" s="295"/>
      <c r="C24" s="411" t="s">
        <v>1298</v>
      </c>
      <c r="D24" s="411"/>
      <c r="E24" s="29">
        <v>6</v>
      </c>
      <c r="F24" s="84"/>
      <c r="G24" s="66">
        <v>6</v>
      </c>
      <c r="J24" s="73">
        <v>11</v>
      </c>
      <c r="K24" s="47">
        <f t="shared" si="0"/>
        <v>54.54545454545454</v>
      </c>
      <c r="L24" s="47">
        <f t="shared" si="1"/>
        <v>0</v>
      </c>
      <c r="M24" s="47">
        <f t="shared" si="2"/>
        <v>0</v>
      </c>
      <c r="N24" s="68">
        <f t="shared" si="3"/>
        <v>54.54545454545454</v>
      </c>
      <c r="O24" s="46">
        <v>22.9</v>
      </c>
      <c r="P24" s="47"/>
      <c r="Q24" s="47"/>
      <c r="R24" s="48">
        <f t="shared" si="4"/>
        <v>22.9</v>
      </c>
      <c r="S24" s="29">
        <v>1</v>
      </c>
      <c r="T24" s="286"/>
      <c r="U24" s="295"/>
      <c r="V24" s="38" t="s">
        <v>1041</v>
      </c>
      <c r="W24" s="29" t="s">
        <v>22</v>
      </c>
      <c r="X24" s="29" t="s">
        <v>11</v>
      </c>
      <c r="Y24" s="39">
        <v>22.9</v>
      </c>
      <c r="AD24" s="38"/>
      <c r="AG24" s="39"/>
      <c r="AL24" s="38"/>
      <c r="AO24" s="39"/>
      <c r="AP24" s="38"/>
      <c r="AS24" s="39"/>
      <c r="AW24" s="39"/>
      <c r="BA24" s="40"/>
    </row>
    <row r="25" spans="1:53" s="29" customFormat="1" x14ac:dyDescent="0.15">
      <c r="A25" s="29">
        <v>1985</v>
      </c>
      <c r="B25" s="303">
        <v>31054</v>
      </c>
      <c r="C25" s="411" t="s">
        <v>1298</v>
      </c>
      <c r="D25" s="411"/>
      <c r="E25" s="29">
        <v>206</v>
      </c>
      <c r="F25" s="84">
        <v>0</v>
      </c>
      <c r="G25" s="66">
        <v>8</v>
      </c>
      <c r="J25" s="73">
        <v>12</v>
      </c>
      <c r="K25" s="47">
        <f t="shared" si="0"/>
        <v>66.666666666666657</v>
      </c>
      <c r="L25" s="47">
        <f t="shared" si="1"/>
        <v>0</v>
      </c>
      <c r="M25" s="47">
        <f t="shared" si="2"/>
        <v>0</v>
      </c>
      <c r="N25" s="68">
        <f t="shared" si="3"/>
        <v>66.666666666666657</v>
      </c>
      <c r="O25" s="46">
        <v>57.2</v>
      </c>
      <c r="P25" s="47"/>
      <c r="Q25" s="47"/>
      <c r="R25" s="48">
        <f t="shared" si="4"/>
        <v>57.2</v>
      </c>
      <c r="S25" s="29">
        <v>1</v>
      </c>
      <c r="T25" s="286"/>
      <c r="U25" s="295"/>
      <c r="V25" s="38" t="s">
        <v>1041</v>
      </c>
      <c r="W25" s="29" t="s">
        <v>22</v>
      </c>
      <c r="X25" s="29" t="s">
        <v>11</v>
      </c>
      <c r="Y25" s="39">
        <v>22.9</v>
      </c>
      <c r="Z25" s="38" t="s">
        <v>1040</v>
      </c>
      <c r="AA25" s="29" t="s">
        <v>74</v>
      </c>
      <c r="AB25" s="29" t="s">
        <v>11</v>
      </c>
      <c r="AC25" s="29">
        <v>34.299999999999997</v>
      </c>
      <c r="AD25" s="38"/>
      <c r="AG25" s="39"/>
      <c r="AL25" s="38"/>
      <c r="AO25" s="39"/>
      <c r="AP25" s="38"/>
      <c r="AS25" s="39"/>
      <c r="AW25" s="39"/>
      <c r="BA25" s="40"/>
    </row>
    <row r="26" spans="1:53" s="29" customFormat="1" x14ac:dyDescent="0.15">
      <c r="A26" s="29">
        <v>1985</v>
      </c>
      <c r="B26" s="303">
        <v>31260</v>
      </c>
      <c r="C26" s="411" t="s">
        <v>1298</v>
      </c>
      <c r="D26" s="411"/>
      <c r="E26" s="29">
        <v>129</v>
      </c>
      <c r="F26" s="84">
        <v>0</v>
      </c>
      <c r="G26" s="66">
        <v>8</v>
      </c>
      <c r="J26" s="73">
        <v>12</v>
      </c>
      <c r="K26" s="47">
        <f t="shared" si="0"/>
        <v>66.666666666666657</v>
      </c>
      <c r="L26" s="47">
        <f t="shared" si="1"/>
        <v>0</v>
      </c>
      <c r="M26" s="47">
        <f t="shared" si="2"/>
        <v>0</v>
      </c>
      <c r="N26" s="68">
        <f t="shared" si="3"/>
        <v>66.666666666666657</v>
      </c>
      <c r="O26" s="46">
        <v>57.2</v>
      </c>
      <c r="P26" s="47"/>
      <c r="Q26" s="47"/>
      <c r="R26" s="48">
        <f t="shared" si="4"/>
        <v>57.2</v>
      </c>
      <c r="S26" s="29">
        <v>1</v>
      </c>
      <c r="T26" s="286"/>
      <c r="U26" s="295"/>
      <c r="V26" s="38" t="s">
        <v>1041</v>
      </c>
      <c r="W26" s="29" t="s">
        <v>22</v>
      </c>
      <c r="X26" s="29" t="s">
        <v>11</v>
      </c>
      <c r="Y26" s="39">
        <v>22.9</v>
      </c>
      <c r="Z26" s="38" t="s">
        <v>1040</v>
      </c>
      <c r="AA26" s="29" t="s">
        <v>74</v>
      </c>
      <c r="AB26" s="29" t="s">
        <v>11</v>
      </c>
      <c r="AC26" s="29">
        <v>34.299999999999997</v>
      </c>
      <c r="AD26" s="38"/>
      <c r="AG26" s="39"/>
      <c r="AL26" s="38"/>
      <c r="AO26" s="39"/>
      <c r="AP26" s="38"/>
      <c r="AS26" s="39"/>
      <c r="AW26" s="39"/>
      <c r="BA26" s="40"/>
    </row>
    <row r="27" spans="1:53" s="29" customFormat="1" x14ac:dyDescent="0.15">
      <c r="A27" s="29">
        <v>1985</v>
      </c>
      <c r="B27" s="303">
        <v>31389</v>
      </c>
      <c r="C27" s="411" t="s">
        <v>1298</v>
      </c>
      <c r="D27" s="411"/>
      <c r="E27" s="29">
        <v>24</v>
      </c>
      <c r="F27" s="84" t="s">
        <v>327</v>
      </c>
      <c r="G27" s="66">
        <v>8</v>
      </c>
      <c r="J27" s="73">
        <v>12</v>
      </c>
      <c r="K27" s="47">
        <f t="shared" si="0"/>
        <v>66.666666666666657</v>
      </c>
      <c r="L27" s="47">
        <f t="shared" si="1"/>
        <v>0</v>
      </c>
      <c r="M27" s="47">
        <f t="shared" si="2"/>
        <v>0</v>
      </c>
      <c r="N27" s="68">
        <f t="shared" si="3"/>
        <v>66.666666666666657</v>
      </c>
      <c r="O27" s="46">
        <v>62.5</v>
      </c>
      <c r="P27" s="47"/>
      <c r="Q27" s="47"/>
      <c r="R27" s="48">
        <f t="shared" si="4"/>
        <v>62.5</v>
      </c>
      <c r="S27" s="29">
        <v>1</v>
      </c>
      <c r="T27" s="286">
        <v>31389</v>
      </c>
      <c r="U27" s="295"/>
      <c r="V27" s="38" t="s">
        <v>1041</v>
      </c>
      <c r="W27" s="29" t="s">
        <v>22</v>
      </c>
      <c r="X27" s="29" t="s">
        <v>11</v>
      </c>
      <c r="Y27" s="39">
        <v>28.6</v>
      </c>
      <c r="Z27" s="38" t="s">
        <v>1040</v>
      </c>
      <c r="AA27" s="29" t="s">
        <v>74</v>
      </c>
      <c r="AB27" s="29" t="s">
        <v>11</v>
      </c>
      <c r="AC27" s="29">
        <v>33.9</v>
      </c>
      <c r="AD27" s="38"/>
      <c r="AG27" s="39"/>
      <c r="AL27" s="38"/>
      <c r="AO27" s="39"/>
      <c r="AP27" s="38"/>
      <c r="AS27" s="39"/>
      <c r="AW27" s="39"/>
      <c r="BA27" s="40"/>
    </row>
    <row r="28" spans="1:53" s="29" customFormat="1" x14ac:dyDescent="0.15">
      <c r="A28" s="52">
        <v>1986</v>
      </c>
      <c r="B28" s="295"/>
      <c r="C28" s="411" t="s">
        <v>1298</v>
      </c>
      <c r="D28" s="411"/>
      <c r="E28" s="29">
        <v>0</v>
      </c>
      <c r="G28" s="66">
        <v>8</v>
      </c>
      <c r="J28" s="73">
        <v>12</v>
      </c>
      <c r="K28" s="47">
        <f t="shared" si="0"/>
        <v>66.666666666666657</v>
      </c>
      <c r="L28" s="47">
        <f t="shared" si="1"/>
        <v>0</v>
      </c>
      <c r="M28" s="47">
        <f t="shared" si="2"/>
        <v>0</v>
      </c>
      <c r="N28" s="68">
        <f t="shared" si="3"/>
        <v>66.666666666666657</v>
      </c>
      <c r="O28" s="46">
        <v>62.5</v>
      </c>
      <c r="P28" s="47"/>
      <c r="Q28" s="47"/>
      <c r="R28" s="48">
        <f t="shared" si="4"/>
        <v>62.5</v>
      </c>
      <c r="S28" s="29">
        <v>1</v>
      </c>
      <c r="T28" s="286"/>
      <c r="U28" s="295"/>
      <c r="V28" s="38" t="s">
        <v>1041</v>
      </c>
      <c r="W28" s="29" t="s">
        <v>22</v>
      </c>
      <c r="X28" s="29" t="s">
        <v>11</v>
      </c>
      <c r="Y28" s="39">
        <v>28.6</v>
      </c>
      <c r="Z28" s="38" t="s">
        <v>1040</v>
      </c>
      <c r="AA28" s="29" t="s">
        <v>74</v>
      </c>
      <c r="AB28" s="29" t="s">
        <v>11</v>
      </c>
      <c r="AC28" s="29">
        <v>33.9</v>
      </c>
      <c r="AD28" s="38"/>
      <c r="AG28" s="39"/>
      <c r="AL28" s="38"/>
      <c r="AO28" s="39"/>
      <c r="AP28" s="38"/>
      <c r="AS28" s="39"/>
      <c r="AW28" s="39"/>
      <c r="BA28" s="40"/>
    </row>
    <row r="29" spans="1:53" s="29" customFormat="1" x14ac:dyDescent="0.15">
      <c r="A29" s="52">
        <v>1986</v>
      </c>
      <c r="B29" s="295"/>
      <c r="C29" s="411" t="s">
        <v>1298</v>
      </c>
      <c r="D29" s="411"/>
      <c r="E29" s="29">
        <v>365</v>
      </c>
      <c r="G29" s="66">
        <v>8</v>
      </c>
      <c r="J29" s="73">
        <v>12</v>
      </c>
      <c r="K29" s="47">
        <f t="shared" si="0"/>
        <v>66.666666666666657</v>
      </c>
      <c r="L29" s="47">
        <f t="shared" si="1"/>
        <v>0</v>
      </c>
      <c r="M29" s="47">
        <f t="shared" si="2"/>
        <v>0</v>
      </c>
      <c r="N29" s="68">
        <f t="shared" si="3"/>
        <v>66.666666666666657</v>
      </c>
      <c r="O29" s="46">
        <v>62.5</v>
      </c>
      <c r="P29" s="47"/>
      <c r="Q29" s="47"/>
      <c r="R29" s="48">
        <f t="shared" si="4"/>
        <v>62.5</v>
      </c>
      <c r="S29" s="29">
        <v>1</v>
      </c>
      <c r="T29" s="286"/>
      <c r="U29" s="295"/>
      <c r="V29" s="38" t="s">
        <v>1041</v>
      </c>
      <c r="W29" s="29" t="s">
        <v>22</v>
      </c>
      <c r="X29" s="29" t="s">
        <v>11</v>
      </c>
      <c r="Y29" s="39">
        <v>28.6</v>
      </c>
      <c r="Z29" s="38" t="s">
        <v>1040</v>
      </c>
      <c r="AA29" s="29" t="s">
        <v>74</v>
      </c>
      <c r="AB29" s="29" t="s">
        <v>11</v>
      </c>
      <c r="AC29" s="29">
        <v>33.9</v>
      </c>
      <c r="AD29" s="38"/>
      <c r="AG29" s="39"/>
      <c r="AL29" s="38"/>
      <c r="AO29" s="39"/>
      <c r="AP29" s="38"/>
      <c r="AS29" s="39"/>
      <c r="AW29" s="39"/>
      <c r="BA29" s="40"/>
    </row>
    <row r="30" spans="1:53" s="29" customFormat="1" x14ac:dyDescent="0.15">
      <c r="A30" s="52">
        <v>1987</v>
      </c>
      <c r="B30" s="295"/>
      <c r="C30" s="411" t="s">
        <v>1298</v>
      </c>
      <c r="D30" s="411"/>
      <c r="E30" s="29">
        <v>0</v>
      </c>
      <c r="G30" s="66">
        <v>8</v>
      </c>
      <c r="J30" s="73">
        <v>12</v>
      </c>
      <c r="K30" s="47">
        <f t="shared" si="0"/>
        <v>66.666666666666657</v>
      </c>
      <c r="L30" s="47">
        <f t="shared" si="1"/>
        <v>0</v>
      </c>
      <c r="M30" s="47">
        <f t="shared" si="2"/>
        <v>0</v>
      </c>
      <c r="N30" s="68">
        <f t="shared" si="3"/>
        <v>66.666666666666657</v>
      </c>
      <c r="O30" s="46">
        <v>62.5</v>
      </c>
      <c r="P30" s="47"/>
      <c r="Q30" s="47"/>
      <c r="R30" s="48">
        <f t="shared" si="4"/>
        <v>62.5</v>
      </c>
      <c r="S30" s="29">
        <v>1</v>
      </c>
      <c r="T30" s="286"/>
      <c r="U30" s="295"/>
      <c r="V30" s="38" t="s">
        <v>1041</v>
      </c>
      <c r="W30" s="29" t="s">
        <v>22</v>
      </c>
      <c r="X30" s="29" t="s">
        <v>11</v>
      </c>
      <c r="Y30" s="39">
        <v>28.6</v>
      </c>
      <c r="Z30" s="38" t="s">
        <v>1040</v>
      </c>
      <c r="AA30" s="29" t="s">
        <v>74</v>
      </c>
      <c r="AB30" s="29" t="s">
        <v>11</v>
      </c>
      <c r="AC30" s="29">
        <v>33.9</v>
      </c>
      <c r="AD30" s="38"/>
      <c r="AG30" s="39"/>
      <c r="AL30" s="38"/>
      <c r="AO30" s="39"/>
      <c r="AP30" s="38"/>
      <c r="AS30" s="39"/>
      <c r="AW30" s="39"/>
      <c r="BA30" s="40"/>
    </row>
    <row r="31" spans="1:53" s="29" customFormat="1" x14ac:dyDescent="0.15">
      <c r="A31" s="52">
        <v>1987</v>
      </c>
      <c r="B31" s="295"/>
      <c r="C31" s="411" t="s">
        <v>1298</v>
      </c>
      <c r="D31" s="411"/>
      <c r="E31" s="29">
        <v>365</v>
      </c>
      <c r="G31" s="66">
        <v>8</v>
      </c>
      <c r="J31" s="73">
        <v>12</v>
      </c>
      <c r="K31" s="47">
        <f t="shared" si="0"/>
        <v>66.666666666666657</v>
      </c>
      <c r="L31" s="47">
        <f t="shared" si="1"/>
        <v>0</v>
      </c>
      <c r="M31" s="47">
        <f t="shared" si="2"/>
        <v>0</v>
      </c>
      <c r="N31" s="68">
        <f t="shared" si="3"/>
        <v>66.666666666666657</v>
      </c>
      <c r="O31" s="46">
        <v>62.5</v>
      </c>
      <c r="P31" s="47"/>
      <c r="Q31" s="47"/>
      <c r="R31" s="48">
        <f t="shared" si="4"/>
        <v>62.5</v>
      </c>
      <c r="S31" s="29">
        <v>1</v>
      </c>
      <c r="T31" s="286"/>
      <c r="U31" s="295"/>
      <c r="V31" s="38" t="s">
        <v>1041</v>
      </c>
      <c r="W31" s="29" t="s">
        <v>22</v>
      </c>
      <c r="X31" s="29" t="s">
        <v>11</v>
      </c>
      <c r="Y31" s="39">
        <v>28.6</v>
      </c>
      <c r="Z31" s="38" t="s">
        <v>1040</v>
      </c>
      <c r="AA31" s="29" t="s">
        <v>74</v>
      </c>
      <c r="AB31" s="29" t="s">
        <v>11</v>
      </c>
      <c r="AC31" s="29">
        <v>33.9</v>
      </c>
      <c r="AD31" s="38"/>
      <c r="AG31" s="39"/>
      <c r="AL31" s="38"/>
      <c r="AO31" s="39"/>
      <c r="AP31" s="38"/>
      <c r="AS31" s="39"/>
      <c r="AW31" s="39"/>
      <c r="BA31" s="40"/>
    </row>
    <row r="32" spans="1:53" s="29" customFormat="1" x14ac:dyDescent="0.15">
      <c r="A32" s="52">
        <v>1988</v>
      </c>
      <c r="B32" s="295"/>
      <c r="C32" s="411" t="s">
        <v>1298</v>
      </c>
      <c r="D32" s="411"/>
      <c r="E32" s="29">
        <v>58</v>
      </c>
      <c r="G32" s="66">
        <v>8</v>
      </c>
      <c r="J32" s="73">
        <v>12</v>
      </c>
      <c r="K32" s="47">
        <f t="shared" si="0"/>
        <v>66.666666666666657</v>
      </c>
      <c r="L32" s="47">
        <f t="shared" si="1"/>
        <v>0</v>
      </c>
      <c r="M32" s="47">
        <f t="shared" si="2"/>
        <v>0</v>
      </c>
      <c r="N32" s="68">
        <f t="shared" si="3"/>
        <v>66.666666666666657</v>
      </c>
      <c r="O32" s="46">
        <v>62.5</v>
      </c>
      <c r="P32" s="47"/>
      <c r="Q32" s="47"/>
      <c r="R32" s="48">
        <f t="shared" si="4"/>
        <v>62.5</v>
      </c>
      <c r="S32" s="29">
        <v>1</v>
      </c>
      <c r="T32" s="286"/>
      <c r="U32" s="295"/>
      <c r="V32" s="38" t="s">
        <v>1041</v>
      </c>
      <c r="W32" s="29" t="s">
        <v>22</v>
      </c>
      <c r="X32" s="29" t="s">
        <v>11</v>
      </c>
      <c r="Y32" s="39">
        <v>28.6</v>
      </c>
      <c r="Z32" s="38" t="s">
        <v>1040</v>
      </c>
      <c r="AA32" s="29" t="s">
        <v>74</v>
      </c>
      <c r="AB32" s="29" t="s">
        <v>11</v>
      </c>
      <c r="AC32" s="29">
        <v>33.9</v>
      </c>
      <c r="AD32" s="38"/>
      <c r="AG32" s="39"/>
      <c r="AL32" s="38"/>
      <c r="AO32" s="39"/>
      <c r="AP32" s="38"/>
      <c r="AS32" s="39"/>
      <c r="AW32" s="39"/>
      <c r="BA32" s="40"/>
    </row>
    <row r="33" spans="1:53" s="171" customFormat="1" x14ac:dyDescent="0.15">
      <c r="A33" s="171">
        <v>1988</v>
      </c>
      <c r="B33" s="283">
        <v>32201</v>
      </c>
      <c r="C33" s="410" t="s">
        <v>1044</v>
      </c>
      <c r="D33" s="410"/>
      <c r="E33" s="171">
        <v>308</v>
      </c>
      <c r="F33" s="171">
        <v>1</v>
      </c>
      <c r="G33" s="233">
        <v>0</v>
      </c>
      <c r="H33" s="171">
        <v>0</v>
      </c>
      <c r="I33" s="171">
        <v>0</v>
      </c>
      <c r="J33" s="241">
        <v>12</v>
      </c>
      <c r="K33" s="214">
        <f t="shared" si="0"/>
        <v>0</v>
      </c>
      <c r="L33" s="214">
        <f t="shared" si="1"/>
        <v>0</v>
      </c>
      <c r="M33" s="214">
        <f t="shared" si="2"/>
        <v>0</v>
      </c>
      <c r="N33" s="235">
        <f t="shared" si="3"/>
        <v>0</v>
      </c>
      <c r="O33" s="213">
        <v>0</v>
      </c>
      <c r="P33" s="214">
        <v>0</v>
      </c>
      <c r="Q33" s="214">
        <v>0</v>
      </c>
      <c r="R33" s="215">
        <f t="shared" si="4"/>
        <v>0</v>
      </c>
      <c r="S33" s="171">
        <v>1</v>
      </c>
      <c r="T33" s="285"/>
      <c r="U33" s="283">
        <v>32201</v>
      </c>
      <c r="V33" s="425" t="s">
        <v>1311</v>
      </c>
      <c r="W33" s="426"/>
      <c r="X33" s="426"/>
      <c r="Y33" s="427"/>
      <c r="AD33" s="178"/>
      <c r="AG33" s="179"/>
      <c r="AL33" s="178"/>
      <c r="AO33" s="179"/>
      <c r="AP33" s="178"/>
      <c r="AS33" s="179"/>
      <c r="AW33" s="179"/>
      <c r="BA33" s="180"/>
    </row>
    <row r="34" spans="1:53" s="171" customFormat="1" x14ac:dyDescent="0.15">
      <c r="A34" s="171">
        <v>1989</v>
      </c>
      <c r="B34" s="283"/>
      <c r="C34" s="410" t="s">
        <v>1044</v>
      </c>
      <c r="D34" s="410"/>
      <c r="E34" s="171">
        <v>0</v>
      </c>
      <c r="G34" s="233">
        <v>0</v>
      </c>
      <c r="H34" s="171">
        <v>0</v>
      </c>
      <c r="I34" s="171">
        <v>0</v>
      </c>
      <c r="J34" s="241">
        <v>12</v>
      </c>
      <c r="K34" s="214">
        <f t="shared" si="0"/>
        <v>0</v>
      </c>
      <c r="L34" s="214">
        <f t="shared" si="1"/>
        <v>0</v>
      </c>
      <c r="M34" s="214">
        <f t="shared" si="2"/>
        <v>0</v>
      </c>
      <c r="N34" s="235">
        <f t="shared" si="3"/>
        <v>0</v>
      </c>
      <c r="O34" s="213">
        <v>0</v>
      </c>
      <c r="P34" s="214">
        <v>0</v>
      </c>
      <c r="Q34" s="214">
        <v>0</v>
      </c>
      <c r="R34" s="215">
        <f t="shared" si="4"/>
        <v>0</v>
      </c>
      <c r="S34" s="171">
        <v>1</v>
      </c>
      <c r="T34" s="285"/>
      <c r="U34" s="283"/>
      <c r="V34" s="425" t="s">
        <v>1311</v>
      </c>
      <c r="W34" s="426"/>
      <c r="X34" s="426"/>
      <c r="Y34" s="427"/>
      <c r="AD34" s="178"/>
      <c r="AG34" s="179"/>
      <c r="AL34" s="178"/>
      <c r="AO34" s="179"/>
      <c r="AP34" s="178"/>
      <c r="AS34" s="179"/>
      <c r="AW34" s="179"/>
      <c r="BA34" s="180"/>
    </row>
    <row r="35" spans="1:53" s="171" customFormat="1" x14ac:dyDescent="0.15">
      <c r="A35" s="171">
        <v>1989</v>
      </c>
      <c r="B35" s="283"/>
      <c r="C35" s="410" t="s">
        <v>1044</v>
      </c>
      <c r="D35" s="410"/>
      <c r="E35" s="171">
        <v>365</v>
      </c>
      <c r="G35" s="233">
        <v>0</v>
      </c>
      <c r="H35" s="171">
        <v>0</v>
      </c>
      <c r="I35" s="171">
        <v>0</v>
      </c>
      <c r="J35" s="241">
        <v>12</v>
      </c>
      <c r="K35" s="214">
        <f t="shared" si="0"/>
        <v>0</v>
      </c>
      <c r="L35" s="214">
        <f t="shared" si="1"/>
        <v>0</v>
      </c>
      <c r="M35" s="214">
        <f t="shared" si="2"/>
        <v>0</v>
      </c>
      <c r="N35" s="235">
        <f t="shared" si="3"/>
        <v>0</v>
      </c>
      <c r="O35" s="213">
        <v>0</v>
      </c>
      <c r="P35" s="214">
        <v>0</v>
      </c>
      <c r="Q35" s="214">
        <v>0</v>
      </c>
      <c r="R35" s="215">
        <f t="shared" si="4"/>
        <v>0</v>
      </c>
      <c r="S35" s="171">
        <v>1</v>
      </c>
      <c r="T35" s="285"/>
      <c r="U35" s="283"/>
      <c r="V35" s="425" t="s">
        <v>1311</v>
      </c>
      <c r="W35" s="426"/>
      <c r="X35" s="426"/>
      <c r="Y35" s="427"/>
      <c r="AD35" s="178"/>
      <c r="AG35" s="179"/>
      <c r="AL35" s="178"/>
      <c r="AO35" s="179"/>
      <c r="AP35" s="178"/>
      <c r="AS35" s="179"/>
      <c r="AW35" s="179"/>
      <c r="BA35" s="180"/>
    </row>
    <row r="36" spans="1:53" s="171" customFormat="1" x14ac:dyDescent="0.15">
      <c r="A36" s="171">
        <v>1990</v>
      </c>
      <c r="B36" s="283"/>
      <c r="C36" s="410" t="s">
        <v>1044</v>
      </c>
      <c r="D36" s="410"/>
      <c r="E36" s="171">
        <v>0</v>
      </c>
      <c r="G36" s="233">
        <v>0</v>
      </c>
      <c r="H36" s="171">
        <v>0</v>
      </c>
      <c r="I36" s="171">
        <v>0</v>
      </c>
      <c r="J36" s="241">
        <v>12</v>
      </c>
      <c r="K36" s="214">
        <f t="shared" ref="K36:K38" si="5">G36/J36*100</f>
        <v>0</v>
      </c>
      <c r="L36" s="214">
        <f t="shared" ref="L36:L38" si="6">H36/J36*100</f>
        <v>0</v>
      </c>
      <c r="M36" s="214">
        <f t="shared" ref="M36:M38" si="7">I36/J36*100</f>
        <v>0</v>
      </c>
      <c r="N36" s="235">
        <f>SUM(K36:M36)</f>
        <v>0</v>
      </c>
      <c r="O36" s="213">
        <v>0</v>
      </c>
      <c r="P36" s="214">
        <v>0</v>
      </c>
      <c r="Q36" s="214">
        <v>0</v>
      </c>
      <c r="R36" s="215">
        <f>SUM(O36:Q36)</f>
        <v>0</v>
      </c>
      <c r="S36" s="171">
        <v>1</v>
      </c>
      <c r="T36" s="285"/>
      <c r="U36" s="283"/>
      <c r="V36" s="425" t="s">
        <v>1311</v>
      </c>
      <c r="W36" s="426"/>
      <c r="X36" s="426"/>
      <c r="Y36" s="427"/>
      <c r="AD36" s="178"/>
      <c r="AG36" s="179"/>
      <c r="AL36" s="178"/>
      <c r="AO36" s="179"/>
      <c r="AP36" s="178"/>
      <c r="AS36" s="179"/>
      <c r="AW36" s="179"/>
      <c r="BA36" s="180"/>
    </row>
    <row r="37" spans="1:53" s="171" customFormat="1" x14ac:dyDescent="0.15">
      <c r="A37" s="171">
        <v>1990</v>
      </c>
      <c r="B37" s="305"/>
      <c r="C37" s="410" t="s">
        <v>1044</v>
      </c>
      <c r="D37" s="410"/>
      <c r="E37" s="171">
        <f>365-E36</f>
        <v>365</v>
      </c>
      <c r="F37" s="244"/>
      <c r="G37" s="233">
        <v>0</v>
      </c>
      <c r="H37" s="171">
        <v>0</v>
      </c>
      <c r="I37" s="171">
        <v>0</v>
      </c>
      <c r="J37" s="241">
        <v>12</v>
      </c>
      <c r="K37" s="214">
        <f t="shared" si="5"/>
        <v>0</v>
      </c>
      <c r="L37" s="214">
        <f t="shared" si="6"/>
        <v>0</v>
      </c>
      <c r="M37" s="214">
        <f t="shared" si="7"/>
        <v>0</v>
      </c>
      <c r="N37" s="235">
        <f>SUM(K37:M37)</f>
        <v>0</v>
      </c>
      <c r="O37" s="213">
        <v>0</v>
      </c>
      <c r="P37" s="214">
        <v>0</v>
      </c>
      <c r="Q37" s="214">
        <v>0</v>
      </c>
      <c r="R37" s="215">
        <f t="shared" ref="R37:R86" si="8">SUM(O37:Q37)</f>
        <v>0</v>
      </c>
      <c r="S37" s="171">
        <v>1</v>
      </c>
      <c r="T37" s="285"/>
      <c r="U37" s="283"/>
      <c r="V37" s="425" t="s">
        <v>1311</v>
      </c>
      <c r="W37" s="426"/>
      <c r="X37" s="426"/>
      <c r="Y37" s="427"/>
      <c r="AD37" s="178"/>
      <c r="AG37" s="179"/>
      <c r="AL37" s="178"/>
      <c r="AO37" s="179"/>
      <c r="AP37" s="178"/>
      <c r="AS37" s="179"/>
      <c r="AW37" s="179"/>
      <c r="BA37" s="180"/>
    </row>
    <row r="38" spans="1:53" s="171" customFormat="1" x14ac:dyDescent="0.15">
      <c r="A38" s="171">
        <v>1991</v>
      </c>
      <c r="B38" s="305"/>
      <c r="C38" s="410" t="s">
        <v>1044</v>
      </c>
      <c r="D38" s="410"/>
      <c r="E38" s="171">
        <v>138</v>
      </c>
      <c r="F38" s="244"/>
      <c r="G38" s="233">
        <v>0</v>
      </c>
      <c r="H38" s="171">
        <v>0</v>
      </c>
      <c r="I38" s="171">
        <v>0</v>
      </c>
      <c r="J38" s="241">
        <v>12</v>
      </c>
      <c r="K38" s="214">
        <f t="shared" si="5"/>
        <v>0</v>
      </c>
      <c r="L38" s="214">
        <f t="shared" si="6"/>
        <v>0</v>
      </c>
      <c r="M38" s="214">
        <f t="shared" si="7"/>
        <v>0</v>
      </c>
      <c r="N38" s="235">
        <f t="shared" ref="N38:N87" si="9">SUM(K38:M38)</f>
        <v>0</v>
      </c>
      <c r="O38" s="213">
        <v>0</v>
      </c>
      <c r="P38" s="214">
        <v>0</v>
      </c>
      <c r="Q38" s="214">
        <v>0</v>
      </c>
      <c r="R38" s="215">
        <f t="shared" si="8"/>
        <v>0</v>
      </c>
      <c r="S38" s="171">
        <v>1</v>
      </c>
      <c r="T38" s="285"/>
      <c r="U38" s="283"/>
      <c r="V38" s="425" t="s">
        <v>1311</v>
      </c>
      <c r="W38" s="426"/>
      <c r="X38" s="426"/>
      <c r="Y38" s="427"/>
      <c r="AD38" s="178"/>
      <c r="AG38" s="179"/>
      <c r="AL38" s="178"/>
      <c r="AO38" s="179"/>
      <c r="AP38" s="178"/>
      <c r="AS38" s="179"/>
      <c r="AW38" s="179"/>
      <c r="BA38" s="180"/>
    </row>
    <row r="39" spans="1:53" s="171" customFormat="1" x14ac:dyDescent="0.15">
      <c r="A39" s="171">
        <v>1991</v>
      </c>
      <c r="B39" s="305">
        <v>33377</v>
      </c>
      <c r="C39" s="410" t="s">
        <v>1044</v>
      </c>
      <c r="D39" s="410"/>
      <c r="E39" s="171">
        <f>365-E38</f>
        <v>227</v>
      </c>
      <c r="F39" s="244" t="s">
        <v>327</v>
      </c>
      <c r="G39" s="233">
        <v>0</v>
      </c>
      <c r="H39" s="171">
        <v>0</v>
      </c>
      <c r="I39" s="171">
        <v>0</v>
      </c>
      <c r="J39" s="241">
        <v>12</v>
      </c>
      <c r="K39" s="214">
        <f t="shared" ref="K39:K42" si="10">G39/J39*100</f>
        <v>0</v>
      </c>
      <c r="L39" s="214">
        <f t="shared" ref="L39:L42" si="11">H39/J39*100</f>
        <v>0</v>
      </c>
      <c r="M39" s="214">
        <f t="shared" ref="M39:M42" si="12">I39/J39*100</f>
        <v>0</v>
      </c>
      <c r="N39" s="235">
        <f t="shared" si="9"/>
        <v>0</v>
      </c>
      <c r="O39" s="213">
        <v>0</v>
      </c>
      <c r="P39" s="214">
        <v>0</v>
      </c>
      <c r="Q39" s="214">
        <v>0</v>
      </c>
      <c r="R39" s="215">
        <f t="shared" si="8"/>
        <v>0</v>
      </c>
      <c r="S39" s="171">
        <v>1</v>
      </c>
      <c r="T39" s="285">
        <v>33377</v>
      </c>
      <c r="U39" s="283"/>
      <c r="V39" s="425" t="s">
        <v>1311</v>
      </c>
      <c r="W39" s="426"/>
      <c r="X39" s="426"/>
      <c r="Y39" s="427"/>
      <c r="AD39" s="178"/>
      <c r="AG39" s="179"/>
      <c r="AL39" s="178"/>
      <c r="AO39" s="179"/>
      <c r="AP39" s="178"/>
      <c r="AS39" s="179"/>
      <c r="AW39" s="179"/>
      <c r="BA39" s="180"/>
    </row>
    <row r="40" spans="1:53" s="171" customFormat="1" x14ac:dyDescent="0.15">
      <c r="A40" s="171">
        <v>1992</v>
      </c>
      <c r="B40" s="283"/>
      <c r="C40" s="410" t="s">
        <v>1044</v>
      </c>
      <c r="D40" s="410"/>
      <c r="E40" s="171">
        <v>0</v>
      </c>
      <c r="G40" s="233">
        <v>0</v>
      </c>
      <c r="H40" s="171">
        <v>0</v>
      </c>
      <c r="I40" s="171">
        <v>0</v>
      </c>
      <c r="J40" s="241">
        <v>12</v>
      </c>
      <c r="K40" s="214">
        <f t="shared" si="10"/>
        <v>0</v>
      </c>
      <c r="L40" s="214">
        <f t="shared" si="11"/>
        <v>0</v>
      </c>
      <c r="M40" s="214">
        <f t="shared" si="12"/>
        <v>0</v>
      </c>
      <c r="N40" s="235">
        <f t="shared" si="9"/>
        <v>0</v>
      </c>
      <c r="O40" s="213">
        <v>0</v>
      </c>
      <c r="P40" s="214">
        <v>0</v>
      </c>
      <c r="Q40" s="214">
        <v>0</v>
      </c>
      <c r="R40" s="215">
        <f t="shared" si="8"/>
        <v>0</v>
      </c>
      <c r="S40" s="171">
        <v>1</v>
      </c>
      <c r="T40" s="285"/>
      <c r="U40" s="283"/>
      <c r="V40" s="425" t="s">
        <v>1311</v>
      </c>
      <c r="W40" s="426"/>
      <c r="X40" s="426"/>
      <c r="Y40" s="427"/>
      <c r="AD40" s="178"/>
      <c r="AG40" s="179"/>
      <c r="AL40" s="178"/>
      <c r="AO40" s="179"/>
      <c r="AP40" s="178"/>
      <c r="AS40" s="179"/>
      <c r="AW40" s="179"/>
      <c r="BA40" s="180"/>
    </row>
    <row r="41" spans="1:53" s="171" customFormat="1" x14ac:dyDescent="0.15">
      <c r="A41" s="171">
        <v>1992</v>
      </c>
      <c r="B41" s="283"/>
      <c r="C41" s="410" t="s">
        <v>1044</v>
      </c>
      <c r="D41" s="410"/>
      <c r="E41" s="171">
        <v>366</v>
      </c>
      <c r="G41" s="233">
        <v>0</v>
      </c>
      <c r="H41" s="171">
        <v>0</v>
      </c>
      <c r="I41" s="171">
        <v>0</v>
      </c>
      <c r="J41" s="241">
        <v>12</v>
      </c>
      <c r="K41" s="214">
        <f t="shared" si="10"/>
        <v>0</v>
      </c>
      <c r="L41" s="214">
        <f t="shared" si="11"/>
        <v>0</v>
      </c>
      <c r="M41" s="214">
        <f t="shared" si="12"/>
        <v>0</v>
      </c>
      <c r="N41" s="235">
        <f t="shared" si="9"/>
        <v>0</v>
      </c>
      <c r="O41" s="213">
        <v>0</v>
      </c>
      <c r="P41" s="214">
        <v>0</v>
      </c>
      <c r="Q41" s="214">
        <v>0</v>
      </c>
      <c r="R41" s="215">
        <f t="shared" si="8"/>
        <v>0</v>
      </c>
      <c r="S41" s="171">
        <v>1</v>
      </c>
      <c r="T41" s="285"/>
      <c r="U41" s="283"/>
      <c r="V41" s="425" t="s">
        <v>1311</v>
      </c>
      <c r="W41" s="426"/>
      <c r="X41" s="426"/>
      <c r="Y41" s="427"/>
      <c r="AD41" s="178"/>
      <c r="AG41" s="179"/>
      <c r="AL41" s="178"/>
      <c r="AO41" s="179"/>
      <c r="AP41" s="178"/>
      <c r="AS41" s="179"/>
      <c r="AW41" s="179"/>
      <c r="BA41" s="180"/>
    </row>
    <row r="42" spans="1:53" s="171" customFormat="1" x14ac:dyDescent="0.15">
      <c r="A42" s="171">
        <v>1993</v>
      </c>
      <c r="B42" s="283"/>
      <c r="C42" s="410" t="s">
        <v>1044</v>
      </c>
      <c r="D42" s="410"/>
      <c r="E42" s="171">
        <v>55</v>
      </c>
      <c r="G42" s="233">
        <v>0</v>
      </c>
      <c r="H42" s="171">
        <v>0</v>
      </c>
      <c r="I42" s="171">
        <v>0</v>
      </c>
      <c r="J42" s="241">
        <v>12</v>
      </c>
      <c r="K42" s="214">
        <f t="shared" si="10"/>
        <v>0</v>
      </c>
      <c r="L42" s="214">
        <f t="shared" si="11"/>
        <v>0</v>
      </c>
      <c r="M42" s="214">
        <f t="shared" si="12"/>
        <v>0</v>
      </c>
      <c r="N42" s="235">
        <f t="shared" si="9"/>
        <v>0</v>
      </c>
      <c r="O42" s="213">
        <v>0</v>
      </c>
      <c r="P42" s="214">
        <v>0</v>
      </c>
      <c r="Q42" s="214">
        <v>0</v>
      </c>
      <c r="R42" s="215">
        <f t="shared" si="8"/>
        <v>0</v>
      </c>
      <c r="S42" s="171">
        <v>1</v>
      </c>
      <c r="T42" s="285"/>
      <c r="U42" s="283"/>
      <c r="V42" s="425" t="s">
        <v>1311</v>
      </c>
      <c r="W42" s="426"/>
      <c r="X42" s="426"/>
      <c r="Y42" s="427"/>
      <c r="AD42" s="178"/>
      <c r="AG42" s="179"/>
      <c r="AL42" s="178"/>
      <c r="AO42" s="179"/>
      <c r="AP42" s="178"/>
      <c r="AS42" s="179"/>
      <c r="AW42" s="179"/>
      <c r="BA42" s="180"/>
    </row>
    <row r="43" spans="1:53" s="29" customFormat="1" x14ac:dyDescent="0.15">
      <c r="A43" s="29">
        <v>1993</v>
      </c>
      <c r="B43" s="295">
        <v>34025</v>
      </c>
      <c r="C43" s="411" t="s">
        <v>1049</v>
      </c>
      <c r="D43" s="411"/>
      <c r="E43" s="29">
        <f>365-E42</f>
        <v>310</v>
      </c>
      <c r="F43" s="29">
        <v>1</v>
      </c>
      <c r="G43" s="66">
        <v>10</v>
      </c>
      <c r="J43" s="73">
        <v>12</v>
      </c>
      <c r="K43" s="47">
        <f t="shared" ref="K43:K65" si="13">G43/J43*100</f>
        <v>83.333333333333343</v>
      </c>
      <c r="L43" s="47">
        <f t="shared" ref="L43:L65" si="14">H43/J43*100</f>
        <v>0</v>
      </c>
      <c r="M43" s="47">
        <f t="shared" ref="M43:M65" si="15">I43/J43*100</f>
        <v>0</v>
      </c>
      <c r="N43" s="68">
        <f t="shared" si="9"/>
        <v>83.333333333333343</v>
      </c>
      <c r="O43" s="46">
        <v>55.3</v>
      </c>
      <c r="P43" s="47"/>
      <c r="Q43" s="47"/>
      <c r="R43" s="48">
        <f t="shared" si="8"/>
        <v>55.3</v>
      </c>
      <c r="S43" s="29">
        <v>1</v>
      </c>
      <c r="T43" s="286"/>
      <c r="U43" s="295">
        <v>34025</v>
      </c>
      <c r="V43" s="38" t="s">
        <v>1040</v>
      </c>
      <c r="W43" s="29" t="s">
        <v>74</v>
      </c>
      <c r="X43" s="29" t="s">
        <v>11</v>
      </c>
      <c r="Y43" s="39">
        <v>35.700000000000003</v>
      </c>
      <c r="Z43" s="29" t="s">
        <v>1041</v>
      </c>
      <c r="AA43" s="29" t="s">
        <v>22</v>
      </c>
      <c r="AB43" s="29" t="s">
        <v>11</v>
      </c>
      <c r="AC43" s="29">
        <v>19.600000000000001</v>
      </c>
      <c r="AD43" s="38"/>
      <c r="AG43" s="39"/>
      <c r="AL43" s="38"/>
      <c r="AO43" s="39"/>
      <c r="AP43" s="38"/>
      <c r="AS43" s="39"/>
      <c r="AW43" s="39"/>
      <c r="BA43" s="40"/>
    </row>
    <row r="44" spans="1:53" s="29" customFormat="1" x14ac:dyDescent="0.15">
      <c r="A44" s="29">
        <v>1994</v>
      </c>
      <c r="B44" s="295"/>
      <c r="C44" s="411" t="s">
        <v>1049</v>
      </c>
      <c r="D44" s="411"/>
      <c r="E44" s="29">
        <v>0</v>
      </c>
      <c r="G44" s="66">
        <v>10</v>
      </c>
      <c r="J44" s="73">
        <v>12</v>
      </c>
      <c r="K44" s="47">
        <f t="shared" si="13"/>
        <v>83.333333333333343</v>
      </c>
      <c r="L44" s="47">
        <f t="shared" si="14"/>
        <v>0</v>
      </c>
      <c r="M44" s="47">
        <f t="shared" si="15"/>
        <v>0</v>
      </c>
      <c r="N44" s="68">
        <f t="shared" si="9"/>
        <v>83.333333333333343</v>
      </c>
      <c r="O44" s="46">
        <v>55.3</v>
      </c>
      <c r="P44" s="47"/>
      <c r="Q44" s="47"/>
      <c r="R44" s="48">
        <f t="shared" si="8"/>
        <v>55.3</v>
      </c>
      <c r="S44" s="29">
        <v>1</v>
      </c>
      <c r="T44" s="286"/>
      <c r="U44" s="295"/>
      <c r="V44" s="38" t="s">
        <v>1040</v>
      </c>
      <c r="W44" s="29" t="s">
        <v>74</v>
      </c>
      <c r="X44" s="29" t="s">
        <v>11</v>
      </c>
      <c r="Y44" s="39">
        <v>35.700000000000003</v>
      </c>
      <c r="Z44" s="29" t="s">
        <v>1041</v>
      </c>
      <c r="AA44" s="29" t="s">
        <v>22</v>
      </c>
      <c r="AB44" s="29" t="s">
        <v>11</v>
      </c>
      <c r="AC44" s="29">
        <v>19.600000000000001</v>
      </c>
      <c r="AD44" s="38"/>
      <c r="AG44" s="39"/>
      <c r="AL44" s="38"/>
      <c r="AO44" s="39"/>
      <c r="AP44" s="38"/>
      <c r="AS44" s="39"/>
      <c r="AW44" s="39"/>
      <c r="BA44" s="40"/>
    </row>
    <row r="45" spans="1:53" s="29" customFormat="1" x14ac:dyDescent="0.15">
      <c r="A45" s="29">
        <v>1994</v>
      </c>
      <c r="B45" s="295"/>
      <c r="C45" s="411" t="s">
        <v>1049</v>
      </c>
      <c r="D45" s="411"/>
      <c r="E45" s="29">
        <f>365-E44</f>
        <v>365</v>
      </c>
      <c r="G45" s="66">
        <v>10</v>
      </c>
      <c r="J45" s="73">
        <v>12</v>
      </c>
      <c r="K45" s="47">
        <f t="shared" si="13"/>
        <v>83.333333333333343</v>
      </c>
      <c r="L45" s="47">
        <f t="shared" si="14"/>
        <v>0</v>
      </c>
      <c r="M45" s="47">
        <f t="shared" si="15"/>
        <v>0</v>
      </c>
      <c r="N45" s="68">
        <f t="shared" si="9"/>
        <v>83.333333333333343</v>
      </c>
      <c r="O45" s="46">
        <v>55.3</v>
      </c>
      <c r="P45" s="47"/>
      <c r="Q45" s="47"/>
      <c r="R45" s="48">
        <f t="shared" si="8"/>
        <v>55.3</v>
      </c>
      <c r="S45" s="29">
        <v>1</v>
      </c>
      <c r="T45" s="286"/>
      <c r="U45" s="295"/>
      <c r="V45" s="38" t="s">
        <v>1040</v>
      </c>
      <c r="W45" s="29" t="s">
        <v>74</v>
      </c>
      <c r="X45" s="29" t="s">
        <v>11</v>
      </c>
      <c r="Y45" s="39">
        <v>35.700000000000003</v>
      </c>
      <c r="Z45" s="29" t="s">
        <v>1041</v>
      </c>
      <c r="AA45" s="29" t="s">
        <v>22</v>
      </c>
      <c r="AB45" s="29" t="s">
        <v>11</v>
      </c>
      <c r="AC45" s="29">
        <v>19.600000000000001</v>
      </c>
      <c r="AD45" s="38"/>
      <c r="AG45" s="39"/>
      <c r="AL45" s="38"/>
      <c r="AO45" s="39"/>
      <c r="AP45" s="38"/>
      <c r="AS45" s="39"/>
      <c r="AW45" s="39"/>
      <c r="BA45" s="40"/>
    </row>
    <row r="46" spans="1:53" s="29" customFormat="1" x14ac:dyDescent="0.15">
      <c r="A46" s="29">
        <v>1995</v>
      </c>
      <c r="B46" s="295"/>
      <c r="C46" s="411" t="s">
        <v>1049</v>
      </c>
      <c r="D46" s="411"/>
      <c r="E46" s="29">
        <v>117</v>
      </c>
      <c r="G46" s="66">
        <v>10</v>
      </c>
      <c r="J46" s="73">
        <v>12</v>
      </c>
      <c r="K46" s="47">
        <f t="shared" si="13"/>
        <v>83.333333333333343</v>
      </c>
      <c r="L46" s="47">
        <f t="shared" si="14"/>
        <v>0</v>
      </c>
      <c r="M46" s="47">
        <f t="shared" si="15"/>
        <v>0</v>
      </c>
      <c r="N46" s="68">
        <f t="shared" si="9"/>
        <v>83.333333333333343</v>
      </c>
      <c r="O46" s="46">
        <v>55.3</v>
      </c>
      <c r="P46" s="47"/>
      <c r="Q46" s="47"/>
      <c r="R46" s="48">
        <f t="shared" si="8"/>
        <v>55.3</v>
      </c>
      <c r="S46" s="29">
        <v>1</v>
      </c>
      <c r="T46" s="286"/>
      <c r="U46" s="295"/>
      <c r="V46" s="38" t="s">
        <v>1040</v>
      </c>
      <c r="W46" s="29" t="s">
        <v>74</v>
      </c>
      <c r="X46" s="29" t="s">
        <v>11</v>
      </c>
      <c r="Y46" s="39">
        <v>35.700000000000003</v>
      </c>
      <c r="Z46" s="29" t="s">
        <v>1041</v>
      </c>
      <c r="AA46" s="29" t="s">
        <v>22</v>
      </c>
      <c r="AB46" s="29" t="s">
        <v>11</v>
      </c>
      <c r="AC46" s="29">
        <v>19.600000000000001</v>
      </c>
      <c r="AD46" s="38"/>
      <c r="AG46" s="39"/>
      <c r="AL46" s="38"/>
      <c r="AO46" s="39"/>
      <c r="AP46" s="38"/>
      <c r="AS46" s="39"/>
      <c r="AW46" s="39"/>
      <c r="BA46" s="40"/>
    </row>
    <row r="47" spans="1:53" s="29" customFormat="1" x14ac:dyDescent="0.15">
      <c r="A47" s="29">
        <v>1995</v>
      </c>
      <c r="B47" s="303">
        <v>34817</v>
      </c>
      <c r="C47" s="411" t="s">
        <v>1049</v>
      </c>
      <c r="D47" s="411"/>
      <c r="E47" s="29">
        <f>365-E46</f>
        <v>248</v>
      </c>
      <c r="F47" s="84">
        <v>0</v>
      </c>
      <c r="G47" s="66">
        <v>11</v>
      </c>
      <c r="J47" s="73">
        <v>12</v>
      </c>
      <c r="K47" s="47">
        <f t="shared" si="13"/>
        <v>91.666666666666657</v>
      </c>
      <c r="L47" s="47">
        <f t="shared" si="14"/>
        <v>0</v>
      </c>
      <c r="M47" s="47">
        <f t="shared" si="15"/>
        <v>0</v>
      </c>
      <c r="N47" s="68">
        <f t="shared" si="9"/>
        <v>91.666666666666657</v>
      </c>
      <c r="O47" s="46">
        <v>55.3</v>
      </c>
      <c r="P47" s="47"/>
      <c r="Q47" s="47"/>
      <c r="R47" s="48">
        <f t="shared" si="8"/>
        <v>55.3</v>
      </c>
      <c r="S47" s="29">
        <v>1</v>
      </c>
      <c r="T47" s="286"/>
      <c r="U47" s="295"/>
      <c r="V47" s="38" t="s">
        <v>1040</v>
      </c>
      <c r="W47" s="29" t="s">
        <v>74</v>
      </c>
      <c r="X47" s="29" t="s">
        <v>11</v>
      </c>
      <c r="Y47" s="39">
        <v>35.700000000000003</v>
      </c>
      <c r="Z47" s="29" t="s">
        <v>1041</v>
      </c>
      <c r="AA47" s="29" t="s">
        <v>22</v>
      </c>
      <c r="AB47" s="29" t="s">
        <v>11</v>
      </c>
      <c r="AC47" s="29">
        <v>19.600000000000001</v>
      </c>
      <c r="AD47" s="38"/>
      <c r="AG47" s="39"/>
      <c r="AL47" s="38"/>
      <c r="AO47" s="39"/>
      <c r="AP47" s="38"/>
      <c r="AS47" s="39"/>
      <c r="AW47" s="39"/>
      <c r="BA47" s="40"/>
    </row>
    <row r="48" spans="1:53" s="29" customFormat="1" x14ac:dyDescent="0.15">
      <c r="A48" s="29">
        <v>1996</v>
      </c>
      <c r="B48" s="295"/>
      <c r="C48" s="411" t="s">
        <v>1049</v>
      </c>
      <c r="D48" s="411"/>
      <c r="E48" s="29">
        <v>146</v>
      </c>
      <c r="G48" s="66">
        <v>11</v>
      </c>
      <c r="J48" s="73">
        <v>12</v>
      </c>
      <c r="K48" s="47">
        <f t="shared" si="13"/>
        <v>91.666666666666657</v>
      </c>
      <c r="L48" s="47">
        <f t="shared" si="14"/>
        <v>0</v>
      </c>
      <c r="M48" s="47">
        <f t="shared" si="15"/>
        <v>0</v>
      </c>
      <c r="N48" s="68">
        <f t="shared" si="9"/>
        <v>91.666666666666657</v>
      </c>
      <c r="O48" s="46">
        <v>55.3</v>
      </c>
      <c r="P48" s="47"/>
      <c r="Q48" s="47"/>
      <c r="R48" s="48">
        <f t="shared" si="8"/>
        <v>55.3</v>
      </c>
      <c r="S48" s="29">
        <v>1</v>
      </c>
      <c r="T48" s="286"/>
      <c r="U48" s="295"/>
      <c r="V48" s="38" t="s">
        <v>1040</v>
      </c>
      <c r="W48" s="29" t="s">
        <v>74</v>
      </c>
      <c r="X48" s="29" t="s">
        <v>11</v>
      </c>
      <c r="Y48" s="39">
        <v>35.700000000000003</v>
      </c>
      <c r="Z48" s="29" t="s">
        <v>1041</v>
      </c>
      <c r="AA48" s="29" t="s">
        <v>22</v>
      </c>
      <c r="AB48" s="29" t="s">
        <v>11</v>
      </c>
      <c r="AC48" s="29">
        <v>19.600000000000001</v>
      </c>
      <c r="AD48" s="38"/>
      <c r="AG48" s="39"/>
      <c r="AL48" s="38"/>
      <c r="AO48" s="39"/>
      <c r="AP48" s="38"/>
      <c r="AS48" s="39"/>
      <c r="AW48" s="39"/>
      <c r="BA48" s="40"/>
    </row>
    <row r="49" spans="1:53" s="29" customFormat="1" x14ac:dyDescent="0.15">
      <c r="A49" s="29">
        <v>1996</v>
      </c>
      <c r="B49" s="303">
        <v>35211</v>
      </c>
      <c r="C49" s="411" t="s">
        <v>1049</v>
      </c>
      <c r="D49" s="411"/>
      <c r="E49" s="29">
        <v>220</v>
      </c>
      <c r="F49" s="84" t="s">
        <v>327</v>
      </c>
      <c r="G49" s="66">
        <v>11</v>
      </c>
      <c r="J49" s="73">
        <v>12</v>
      </c>
      <c r="K49" s="47">
        <f t="shared" si="13"/>
        <v>91.666666666666657</v>
      </c>
      <c r="L49" s="47">
        <f t="shared" si="14"/>
        <v>0</v>
      </c>
      <c r="M49" s="47">
        <f t="shared" si="15"/>
        <v>0</v>
      </c>
      <c r="N49" s="68">
        <f t="shared" si="9"/>
        <v>91.666666666666657</v>
      </c>
      <c r="O49" s="46">
        <v>53.6</v>
      </c>
      <c r="P49" s="47"/>
      <c r="Q49" s="47"/>
      <c r="R49" s="48">
        <f t="shared" si="8"/>
        <v>53.6</v>
      </c>
      <c r="S49" s="29">
        <v>1</v>
      </c>
      <c r="T49" s="286">
        <v>35211</v>
      </c>
      <c r="U49" s="295"/>
      <c r="V49" s="38" t="s">
        <v>1040</v>
      </c>
      <c r="W49" s="29" t="s">
        <v>74</v>
      </c>
      <c r="X49" s="29" t="s">
        <v>11</v>
      </c>
      <c r="Y49" s="39">
        <v>35.700000000000003</v>
      </c>
      <c r="Z49" s="29" t="s">
        <v>1041</v>
      </c>
      <c r="AA49" s="29" t="s">
        <v>22</v>
      </c>
      <c r="AB49" s="29" t="s">
        <v>11</v>
      </c>
      <c r="AC49" s="29">
        <v>17.899999999999999</v>
      </c>
      <c r="AD49" s="38"/>
      <c r="AG49" s="39"/>
      <c r="AL49" s="38"/>
      <c r="AO49" s="39"/>
      <c r="AP49" s="38"/>
      <c r="AS49" s="39"/>
      <c r="AW49" s="39"/>
      <c r="BA49" s="40"/>
    </row>
    <row r="50" spans="1:53" s="29" customFormat="1" x14ac:dyDescent="0.15">
      <c r="A50" s="29">
        <v>1997</v>
      </c>
      <c r="B50" s="295"/>
      <c r="C50" s="411" t="s">
        <v>1049</v>
      </c>
      <c r="D50" s="411"/>
      <c r="E50" s="29">
        <v>315</v>
      </c>
      <c r="G50" s="66">
        <v>11</v>
      </c>
      <c r="J50" s="73">
        <v>12</v>
      </c>
      <c r="K50" s="47">
        <f t="shared" si="13"/>
        <v>91.666666666666657</v>
      </c>
      <c r="L50" s="47">
        <f t="shared" si="14"/>
        <v>0</v>
      </c>
      <c r="M50" s="47">
        <f t="shared" si="15"/>
        <v>0</v>
      </c>
      <c r="N50" s="68">
        <f t="shared" si="9"/>
        <v>91.666666666666657</v>
      </c>
      <c r="O50" s="46">
        <v>53.6</v>
      </c>
      <c r="P50" s="47"/>
      <c r="Q50" s="47"/>
      <c r="R50" s="48">
        <f t="shared" si="8"/>
        <v>53.6</v>
      </c>
      <c r="S50" s="29">
        <v>1</v>
      </c>
      <c r="T50" s="286"/>
      <c r="U50" s="295"/>
      <c r="V50" s="38" t="s">
        <v>1040</v>
      </c>
      <c r="W50" s="29" t="s">
        <v>74</v>
      </c>
      <c r="X50" s="29" t="s">
        <v>11</v>
      </c>
      <c r="Y50" s="39">
        <v>35.700000000000003</v>
      </c>
      <c r="Z50" s="29" t="s">
        <v>1041</v>
      </c>
      <c r="AA50" s="29" t="s">
        <v>22</v>
      </c>
      <c r="AB50" s="29" t="s">
        <v>11</v>
      </c>
      <c r="AC50" s="29">
        <v>17.899999999999999</v>
      </c>
      <c r="AD50" s="38"/>
      <c r="AG50" s="39"/>
      <c r="AL50" s="38"/>
      <c r="AO50" s="39"/>
      <c r="AP50" s="38"/>
      <c r="AS50" s="39"/>
      <c r="AW50" s="39"/>
      <c r="BA50" s="40"/>
    </row>
    <row r="51" spans="1:53" s="29" customFormat="1" x14ac:dyDescent="0.15">
      <c r="A51" s="29">
        <v>1997</v>
      </c>
      <c r="B51" s="303">
        <v>35746</v>
      </c>
      <c r="C51" s="411" t="s">
        <v>1049</v>
      </c>
      <c r="D51" s="411"/>
      <c r="E51" s="29">
        <f>365-E50</f>
        <v>50</v>
      </c>
      <c r="F51" s="84">
        <v>0</v>
      </c>
      <c r="G51" s="66">
        <v>11</v>
      </c>
      <c r="J51" s="73">
        <v>12</v>
      </c>
      <c r="K51" s="47">
        <f t="shared" si="13"/>
        <v>91.666666666666657</v>
      </c>
      <c r="L51" s="47">
        <f t="shared" si="14"/>
        <v>0</v>
      </c>
      <c r="M51" s="47">
        <f t="shared" si="15"/>
        <v>0</v>
      </c>
      <c r="N51" s="68">
        <f t="shared" si="9"/>
        <v>91.666666666666657</v>
      </c>
      <c r="O51" s="46">
        <v>35.700000000000003</v>
      </c>
      <c r="P51" s="47"/>
      <c r="Q51" s="47"/>
      <c r="R51" s="48">
        <f t="shared" si="8"/>
        <v>35.700000000000003</v>
      </c>
      <c r="S51" s="29">
        <v>1</v>
      </c>
      <c r="T51" s="286"/>
      <c r="U51" s="295"/>
      <c r="V51" s="38" t="s">
        <v>1040</v>
      </c>
      <c r="W51" s="29" t="s">
        <v>74</v>
      </c>
      <c r="X51" s="29" t="s">
        <v>11</v>
      </c>
      <c r="Y51" s="39">
        <v>35.700000000000003</v>
      </c>
      <c r="AD51" s="38"/>
      <c r="AG51" s="39"/>
      <c r="AL51" s="38"/>
      <c r="AO51" s="39"/>
      <c r="AP51" s="38"/>
      <c r="AS51" s="39"/>
      <c r="AW51" s="39"/>
      <c r="BA51" s="40"/>
    </row>
    <row r="52" spans="1:53" s="29" customFormat="1" x14ac:dyDescent="0.15">
      <c r="A52" s="29">
        <v>1998</v>
      </c>
      <c r="B52" s="295"/>
      <c r="C52" s="411" t="s">
        <v>1049</v>
      </c>
      <c r="D52" s="411"/>
      <c r="E52" s="29">
        <v>58</v>
      </c>
      <c r="G52" s="66">
        <v>11</v>
      </c>
      <c r="J52" s="73">
        <v>12</v>
      </c>
      <c r="K52" s="47">
        <f t="shared" si="13"/>
        <v>91.666666666666657</v>
      </c>
      <c r="L52" s="47">
        <f t="shared" si="14"/>
        <v>0</v>
      </c>
      <c r="M52" s="47">
        <f t="shared" si="15"/>
        <v>0</v>
      </c>
      <c r="N52" s="68">
        <f t="shared" si="9"/>
        <v>91.666666666666657</v>
      </c>
      <c r="O52" s="46">
        <v>35.700000000000003</v>
      </c>
      <c r="P52" s="47"/>
      <c r="Q52" s="47"/>
      <c r="R52" s="48">
        <f t="shared" si="8"/>
        <v>35.700000000000003</v>
      </c>
      <c r="S52" s="29">
        <v>1</v>
      </c>
      <c r="T52" s="286"/>
      <c r="U52" s="295"/>
      <c r="V52" s="38" t="s">
        <v>1040</v>
      </c>
      <c r="W52" s="29" t="s">
        <v>74</v>
      </c>
      <c r="X52" s="29" t="s">
        <v>11</v>
      </c>
      <c r="Y52" s="39">
        <v>35.700000000000003</v>
      </c>
      <c r="AD52" s="38"/>
      <c r="AG52" s="39"/>
      <c r="AL52" s="38"/>
      <c r="AO52" s="39"/>
      <c r="AP52" s="38"/>
      <c r="AS52" s="39"/>
      <c r="AW52" s="39"/>
      <c r="BA52" s="40"/>
    </row>
    <row r="53" spans="1:53" s="171" customFormat="1" x14ac:dyDescent="0.15">
      <c r="A53" s="171">
        <v>1998</v>
      </c>
      <c r="B53" s="283">
        <v>35854</v>
      </c>
      <c r="C53" s="410" t="s">
        <v>1046</v>
      </c>
      <c r="D53" s="410"/>
      <c r="E53" s="171">
        <f>365-E52</f>
        <v>307</v>
      </c>
      <c r="F53" s="171">
        <v>1</v>
      </c>
      <c r="G53" s="233">
        <v>10</v>
      </c>
      <c r="I53" s="171">
        <v>2</v>
      </c>
      <c r="J53" s="241">
        <v>12</v>
      </c>
      <c r="K53" s="214">
        <f t="shared" si="13"/>
        <v>83.333333333333343</v>
      </c>
      <c r="L53" s="214">
        <f t="shared" si="14"/>
        <v>0</v>
      </c>
      <c r="M53" s="214">
        <f t="shared" si="15"/>
        <v>16.666666666666664</v>
      </c>
      <c r="N53" s="235">
        <f t="shared" si="9"/>
        <v>100</v>
      </c>
      <c r="O53" s="213">
        <v>57.2</v>
      </c>
      <c r="P53" s="214"/>
      <c r="Q53" s="214">
        <v>8.9</v>
      </c>
      <c r="R53" s="215">
        <f t="shared" si="8"/>
        <v>66.100000000000009</v>
      </c>
      <c r="S53" s="171">
        <v>1</v>
      </c>
      <c r="T53" s="285"/>
      <c r="U53" s="283">
        <v>35854</v>
      </c>
      <c r="V53" s="178" t="s">
        <v>1040</v>
      </c>
      <c r="W53" s="171" t="s">
        <v>74</v>
      </c>
      <c r="X53" s="171" t="s">
        <v>11</v>
      </c>
      <c r="Y53" s="179">
        <v>35.700000000000003</v>
      </c>
      <c r="Z53" s="171" t="s">
        <v>1041</v>
      </c>
      <c r="AA53" s="171" t="s">
        <v>22</v>
      </c>
      <c r="AB53" s="171" t="s">
        <v>11</v>
      </c>
      <c r="AC53" s="171">
        <v>17.899999999999999</v>
      </c>
      <c r="AD53" s="178" t="s">
        <v>1042</v>
      </c>
      <c r="AE53" s="171" t="s">
        <v>87</v>
      </c>
      <c r="AF53" s="171" t="s">
        <v>11</v>
      </c>
      <c r="AG53" s="179">
        <v>3.6</v>
      </c>
      <c r="AH53" s="171" t="s">
        <v>1043</v>
      </c>
      <c r="AI53" s="171" t="s">
        <v>20</v>
      </c>
      <c r="AJ53" s="171" t="s">
        <v>12</v>
      </c>
      <c r="AK53" s="171">
        <v>8.9</v>
      </c>
      <c r="AL53" s="178"/>
      <c r="AO53" s="179"/>
      <c r="AP53" s="178"/>
      <c r="AS53" s="179"/>
      <c r="AW53" s="179"/>
      <c r="BA53" s="180"/>
    </row>
    <row r="54" spans="1:53" s="171" customFormat="1" x14ac:dyDescent="0.15">
      <c r="A54" s="171">
        <v>1999</v>
      </c>
      <c r="B54" s="283"/>
      <c r="C54" s="410" t="s">
        <v>1046</v>
      </c>
      <c r="D54" s="410"/>
      <c r="E54" s="171">
        <v>4</v>
      </c>
      <c r="G54" s="233">
        <v>10</v>
      </c>
      <c r="I54" s="171">
        <v>2</v>
      </c>
      <c r="J54" s="241">
        <v>12</v>
      </c>
      <c r="K54" s="214">
        <f t="shared" si="13"/>
        <v>83.333333333333343</v>
      </c>
      <c r="L54" s="214">
        <f t="shared" si="14"/>
        <v>0</v>
      </c>
      <c r="M54" s="214">
        <f t="shared" si="15"/>
        <v>16.666666666666664</v>
      </c>
      <c r="N54" s="235">
        <f t="shared" si="9"/>
        <v>100</v>
      </c>
      <c r="O54" s="213">
        <v>57.2</v>
      </c>
      <c r="P54" s="214"/>
      <c r="Q54" s="214">
        <v>8.9</v>
      </c>
      <c r="R54" s="215">
        <f t="shared" si="8"/>
        <v>66.100000000000009</v>
      </c>
      <c r="S54" s="171">
        <v>1</v>
      </c>
      <c r="T54" s="285"/>
      <c r="U54" s="283"/>
      <c r="V54" s="178" t="s">
        <v>1040</v>
      </c>
      <c r="W54" s="171" t="s">
        <v>74</v>
      </c>
      <c r="X54" s="171" t="s">
        <v>11</v>
      </c>
      <c r="Y54" s="179">
        <v>35.700000000000003</v>
      </c>
      <c r="Z54" s="171" t="s">
        <v>1041</v>
      </c>
      <c r="AA54" s="171" t="s">
        <v>22</v>
      </c>
      <c r="AB54" s="171" t="s">
        <v>11</v>
      </c>
      <c r="AC54" s="171">
        <v>17.899999999999999</v>
      </c>
      <c r="AD54" s="178" t="s">
        <v>1042</v>
      </c>
      <c r="AE54" s="171" t="s">
        <v>87</v>
      </c>
      <c r="AF54" s="171" t="s">
        <v>11</v>
      </c>
      <c r="AG54" s="179">
        <v>3.6</v>
      </c>
      <c r="AH54" s="171" t="s">
        <v>1043</v>
      </c>
      <c r="AI54" s="171" t="s">
        <v>20</v>
      </c>
      <c r="AJ54" s="171" t="s">
        <v>12</v>
      </c>
      <c r="AK54" s="171">
        <v>8.9</v>
      </c>
      <c r="AL54" s="178"/>
      <c r="AO54" s="179"/>
      <c r="AP54" s="178"/>
      <c r="AS54" s="179"/>
      <c r="AW54" s="179"/>
      <c r="BA54" s="180"/>
    </row>
    <row r="55" spans="1:53" s="171" customFormat="1" x14ac:dyDescent="0.15">
      <c r="A55" s="171">
        <v>1999</v>
      </c>
      <c r="B55" s="305">
        <v>36165</v>
      </c>
      <c r="C55" s="410" t="s">
        <v>1046</v>
      </c>
      <c r="D55" s="410"/>
      <c r="E55" s="171">
        <f>365-E54</f>
        <v>361</v>
      </c>
      <c r="F55" s="244">
        <v>0</v>
      </c>
      <c r="G55" s="233">
        <v>12</v>
      </c>
      <c r="J55" s="241">
        <v>12</v>
      </c>
      <c r="K55" s="214">
        <f t="shared" si="13"/>
        <v>100</v>
      </c>
      <c r="L55" s="214">
        <f t="shared" si="14"/>
        <v>0</v>
      </c>
      <c r="M55" s="214">
        <f t="shared" si="15"/>
        <v>0</v>
      </c>
      <c r="N55" s="235">
        <f t="shared" si="9"/>
        <v>100</v>
      </c>
      <c r="O55" s="213">
        <v>57.2</v>
      </c>
      <c r="P55" s="214"/>
      <c r="Q55" s="214"/>
      <c r="R55" s="215">
        <f t="shared" si="8"/>
        <v>57.2</v>
      </c>
      <c r="S55" s="171">
        <v>1</v>
      </c>
      <c r="T55" s="285"/>
      <c r="U55" s="283"/>
      <c r="V55" s="178" t="s">
        <v>1040</v>
      </c>
      <c r="W55" s="171" t="s">
        <v>74</v>
      </c>
      <c r="X55" s="171" t="s">
        <v>11</v>
      </c>
      <c r="Y55" s="179">
        <v>35.700000000000003</v>
      </c>
      <c r="Z55" s="171" t="s">
        <v>1041</v>
      </c>
      <c r="AA55" s="171" t="s">
        <v>22</v>
      </c>
      <c r="AB55" s="171" t="s">
        <v>11</v>
      </c>
      <c r="AC55" s="171">
        <v>17.899999999999999</v>
      </c>
      <c r="AD55" s="178" t="s">
        <v>1042</v>
      </c>
      <c r="AE55" s="171" t="s">
        <v>87</v>
      </c>
      <c r="AF55" s="171" t="s">
        <v>11</v>
      </c>
      <c r="AG55" s="179">
        <v>3.6</v>
      </c>
      <c r="AL55" s="178"/>
      <c r="AO55" s="179"/>
      <c r="AP55" s="178"/>
      <c r="AS55" s="179"/>
      <c r="AW55" s="179"/>
      <c r="BA55" s="180"/>
    </row>
    <row r="56" spans="1:53" s="171" customFormat="1" x14ac:dyDescent="0.15">
      <c r="A56" s="171">
        <v>2000</v>
      </c>
      <c r="B56" s="283"/>
      <c r="C56" s="410" t="s">
        <v>1046</v>
      </c>
      <c r="D56" s="410"/>
      <c r="E56" s="171">
        <v>0</v>
      </c>
      <c r="G56" s="233">
        <v>12</v>
      </c>
      <c r="J56" s="241">
        <v>12</v>
      </c>
      <c r="K56" s="214">
        <f t="shared" si="13"/>
        <v>100</v>
      </c>
      <c r="L56" s="214">
        <f t="shared" si="14"/>
        <v>0</v>
      </c>
      <c r="M56" s="214">
        <f t="shared" si="15"/>
        <v>0</v>
      </c>
      <c r="N56" s="235">
        <f t="shared" si="9"/>
        <v>100</v>
      </c>
      <c r="O56" s="213">
        <v>57.2</v>
      </c>
      <c r="P56" s="214"/>
      <c r="Q56" s="214"/>
      <c r="R56" s="215">
        <f t="shared" si="8"/>
        <v>57.2</v>
      </c>
      <c r="S56" s="171">
        <v>1</v>
      </c>
      <c r="T56" s="285"/>
      <c r="U56" s="283"/>
      <c r="V56" s="178" t="s">
        <v>1040</v>
      </c>
      <c r="W56" s="171" t="s">
        <v>74</v>
      </c>
      <c r="X56" s="171" t="s">
        <v>11</v>
      </c>
      <c r="Y56" s="179">
        <v>35.700000000000003</v>
      </c>
      <c r="Z56" s="171" t="s">
        <v>1041</v>
      </c>
      <c r="AA56" s="171" t="s">
        <v>22</v>
      </c>
      <c r="AB56" s="171" t="s">
        <v>11</v>
      </c>
      <c r="AC56" s="171">
        <v>17.899999999999999</v>
      </c>
      <c r="AD56" s="178" t="s">
        <v>1042</v>
      </c>
      <c r="AE56" s="171" t="s">
        <v>87</v>
      </c>
      <c r="AF56" s="171" t="s">
        <v>11</v>
      </c>
      <c r="AG56" s="179">
        <v>3.6</v>
      </c>
      <c r="AL56" s="178"/>
      <c r="AO56" s="179"/>
      <c r="AP56" s="178"/>
      <c r="AS56" s="179"/>
      <c r="AW56" s="179"/>
      <c r="BA56" s="180"/>
    </row>
    <row r="57" spans="1:53" s="171" customFormat="1" x14ac:dyDescent="0.15">
      <c r="A57" s="171">
        <v>2000</v>
      </c>
      <c r="B57" s="283"/>
      <c r="C57" s="410" t="s">
        <v>1046</v>
      </c>
      <c r="D57" s="410"/>
      <c r="E57" s="171">
        <v>366</v>
      </c>
      <c r="G57" s="233">
        <v>12</v>
      </c>
      <c r="J57" s="241">
        <v>12</v>
      </c>
      <c r="K57" s="214">
        <f t="shared" si="13"/>
        <v>100</v>
      </c>
      <c r="L57" s="214">
        <f t="shared" si="14"/>
        <v>0</v>
      </c>
      <c r="M57" s="214">
        <f t="shared" si="15"/>
        <v>0</v>
      </c>
      <c r="N57" s="235">
        <f t="shared" si="9"/>
        <v>100</v>
      </c>
      <c r="O57" s="213">
        <v>57.2</v>
      </c>
      <c r="P57" s="214"/>
      <c r="Q57" s="214"/>
      <c r="R57" s="215">
        <f t="shared" si="8"/>
        <v>57.2</v>
      </c>
      <c r="S57" s="171">
        <v>1</v>
      </c>
      <c r="T57" s="285"/>
      <c r="U57" s="283"/>
      <c r="V57" s="178" t="s">
        <v>1040</v>
      </c>
      <c r="W57" s="171" t="s">
        <v>74</v>
      </c>
      <c r="X57" s="171" t="s">
        <v>11</v>
      </c>
      <c r="Y57" s="179">
        <v>35.700000000000003</v>
      </c>
      <c r="Z57" s="171" t="s">
        <v>1041</v>
      </c>
      <c r="AA57" s="171" t="s">
        <v>22</v>
      </c>
      <c r="AB57" s="171" t="s">
        <v>11</v>
      </c>
      <c r="AC57" s="171">
        <v>17.899999999999999</v>
      </c>
      <c r="AD57" s="178" t="s">
        <v>1042</v>
      </c>
      <c r="AE57" s="171" t="s">
        <v>87</v>
      </c>
      <c r="AF57" s="171" t="s">
        <v>11</v>
      </c>
      <c r="AG57" s="179">
        <v>3.6</v>
      </c>
      <c r="AL57" s="178"/>
      <c r="AO57" s="179"/>
      <c r="AP57" s="178"/>
      <c r="AS57" s="179"/>
      <c r="AW57" s="179"/>
      <c r="BA57" s="180"/>
    </row>
    <row r="58" spans="1:53" s="171" customFormat="1" x14ac:dyDescent="0.15">
      <c r="A58" s="171">
        <v>2001</v>
      </c>
      <c r="B58" s="283"/>
      <c r="C58" s="410" t="s">
        <v>1046</v>
      </c>
      <c r="D58" s="410"/>
      <c r="E58" s="171">
        <v>146</v>
      </c>
      <c r="G58" s="233">
        <v>12</v>
      </c>
      <c r="J58" s="241">
        <v>12</v>
      </c>
      <c r="K58" s="214">
        <f t="shared" si="13"/>
        <v>100</v>
      </c>
      <c r="L58" s="214">
        <f t="shared" si="14"/>
        <v>0</v>
      </c>
      <c r="M58" s="214">
        <f t="shared" si="15"/>
        <v>0</v>
      </c>
      <c r="N58" s="235">
        <f t="shared" si="9"/>
        <v>100</v>
      </c>
      <c r="O58" s="213">
        <v>57.2</v>
      </c>
      <c r="P58" s="214"/>
      <c r="Q58" s="214"/>
      <c r="R58" s="215">
        <f t="shared" si="8"/>
        <v>57.2</v>
      </c>
      <c r="S58" s="171">
        <v>1</v>
      </c>
      <c r="T58" s="285"/>
      <c r="U58" s="283"/>
      <c r="V58" s="178" t="s">
        <v>1040</v>
      </c>
      <c r="W58" s="171" t="s">
        <v>74</v>
      </c>
      <c r="X58" s="171" t="s">
        <v>11</v>
      </c>
      <c r="Y58" s="179">
        <v>35.700000000000003</v>
      </c>
      <c r="Z58" s="171" t="s">
        <v>1041</v>
      </c>
      <c r="AA58" s="171" t="s">
        <v>22</v>
      </c>
      <c r="AB58" s="171" t="s">
        <v>11</v>
      </c>
      <c r="AC58" s="171">
        <v>17.899999999999999</v>
      </c>
      <c r="AD58" s="178" t="s">
        <v>1042</v>
      </c>
      <c r="AE58" s="171" t="s">
        <v>87</v>
      </c>
      <c r="AF58" s="171" t="s">
        <v>11</v>
      </c>
      <c r="AG58" s="179">
        <v>3.6</v>
      </c>
      <c r="AL58" s="178"/>
      <c r="AO58" s="179"/>
      <c r="AP58" s="178"/>
      <c r="AS58" s="179"/>
      <c r="AW58" s="179"/>
      <c r="BA58" s="180"/>
    </row>
    <row r="59" spans="1:53" s="171" customFormat="1" x14ac:dyDescent="0.15">
      <c r="A59" s="171">
        <v>2001</v>
      </c>
      <c r="B59" s="305">
        <v>37038</v>
      </c>
      <c r="C59" s="410" t="s">
        <v>1046</v>
      </c>
      <c r="D59" s="410"/>
      <c r="E59" s="171">
        <f>365-E58</f>
        <v>219</v>
      </c>
      <c r="F59" s="244" t="s">
        <v>327</v>
      </c>
      <c r="G59" s="233">
        <v>12</v>
      </c>
      <c r="J59" s="241">
        <v>12</v>
      </c>
      <c r="K59" s="214">
        <f t="shared" si="13"/>
        <v>100</v>
      </c>
      <c r="L59" s="214">
        <f t="shared" si="14"/>
        <v>0</v>
      </c>
      <c r="M59" s="214">
        <f t="shared" si="15"/>
        <v>0</v>
      </c>
      <c r="N59" s="235">
        <f t="shared" si="9"/>
        <v>100</v>
      </c>
      <c r="O59" s="213">
        <v>51.8</v>
      </c>
      <c r="P59" s="214"/>
      <c r="Q59" s="214"/>
      <c r="R59" s="215">
        <f t="shared" si="8"/>
        <v>51.8</v>
      </c>
      <c r="S59" s="171">
        <v>1</v>
      </c>
      <c r="T59" s="285">
        <v>37038</v>
      </c>
      <c r="U59" s="283"/>
      <c r="V59" s="178" t="s">
        <v>1040</v>
      </c>
      <c r="W59" s="171" t="s">
        <v>74</v>
      </c>
      <c r="X59" s="171" t="s">
        <v>11</v>
      </c>
      <c r="Y59" s="179">
        <v>33.9</v>
      </c>
      <c r="Z59" s="171" t="s">
        <v>1041</v>
      </c>
      <c r="AA59" s="171" t="s">
        <v>22</v>
      </c>
      <c r="AB59" s="171" t="s">
        <v>11</v>
      </c>
      <c r="AC59" s="171">
        <v>16.100000000000001</v>
      </c>
      <c r="AD59" s="178" t="s">
        <v>1042</v>
      </c>
      <c r="AE59" s="171" t="s">
        <v>87</v>
      </c>
      <c r="AF59" s="171" t="s">
        <v>11</v>
      </c>
      <c r="AG59" s="179">
        <v>1.8</v>
      </c>
      <c r="AL59" s="178"/>
      <c r="AO59" s="179"/>
      <c r="AP59" s="178"/>
      <c r="AS59" s="179"/>
      <c r="AW59" s="179"/>
      <c r="BA59" s="180"/>
    </row>
    <row r="60" spans="1:53" s="171" customFormat="1" x14ac:dyDescent="0.15">
      <c r="A60" s="171">
        <v>2002</v>
      </c>
      <c r="B60" s="283"/>
      <c r="C60" s="410" t="s">
        <v>1046</v>
      </c>
      <c r="D60" s="410"/>
      <c r="E60" s="171">
        <v>0</v>
      </c>
      <c r="G60" s="233">
        <v>12</v>
      </c>
      <c r="J60" s="241">
        <v>12</v>
      </c>
      <c r="K60" s="214">
        <f t="shared" si="13"/>
        <v>100</v>
      </c>
      <c r="L60" s="214">
        <f t="shared" si="14"/>
        <v>0</v>
      </c>
      <c r="M60" s="214">
        <f t="shared" si="15"/>
        <v>0</v>
      </c>
      <c r="N60" s="235">
        <f t="shared" si="9"/>
        <v>100</v>
      </c>
      <c r="O60" s="213">
        <v>51.8</v>
      </c>
      <c r="P60" s="214"/>
      <c r="Q60" s="214"/>
      <c r="R60" s="215">
        <f t="shared" si="8"/>
        <v>51.8</v>
      </c>
      <c r="S60" s="171">
        <v>1</v>
      </c>
      <c r="T60" s="285"/>
      <c r="U60" s="283"/>
      <c r="V60" s="178" t="s">
        <v>1040</v>
      </c>
      <c r="W60" s="171" t="s">
        <v>74</v>
      </c>
      <c r="X60" s="171" t="s">
        <v>11</v>
      </c>
      <c r="Y60" s="179">
        <v>33.9</v>
      </c>
      <c r="Z60" s="171" t="s">
        <v>1041</v>
      </c>
      <c r="AA60" s="171" t="s">
        <v>22</v>
      </c>
      <c r="AB60" s="171" t="s">
        <v>11</v>
      </c>
      <c r="AC60" s="171">
        <v>16.100000000000001</v>
      </c>
      <c r="AD60" s="178" t="s">
        <v>1042</v>
      </c>
      <c r="AE60" s="171" t="s">
        <v>87</v>
      </c>
      <c r="AF60" s="171" t="s">
        <v>11</v>
      </c>
      <c r="AG60" s="179">
        <v>1.8</v>
      </c>
      <c r="AL60" s="178"/>
      <c r="AO60" s="179"/>
      <c r="AP60" s="178"/>
      <c r="AS60" s="179"/>
      <c r="AW60" s="179"/>
      <c r="BA60" s="180"/>
    </row>
    <row r="61" spans="1:53" s="171" customFormat="1" x14ac:dyDescent="0.15">
      <c r="A61" s="171">
        <v>2002</v>
      </c>
      <c r="B61" s="283"/>
      <c r="C61" s="410" t="s">
        <v>1046</v>
      </c>
      <c r="D61" s="410"/>
      <c r="E61" s="171">
        <f>365-E60</f>
        <v>365</v>
      </c>
      <c r="G61" s="233">
        <v>12</v>
      </c>
      <c r="J61" s="241">
        <v>12</v>
      </c>
      <c r="K61" s="214">
        <f t="shared" si="13"/>
        <v>100</v>
      </c>
      <c r="L61" s="214">
        <f t="shared" si="14"/>
        <v>0</v>
      </c>
      <c r="M61" s="214">
        <f t="shared" si="15"/>
        <v>0</v>
      </c>
      <c r="N61" s="235">
        <f t="shared" si="9"/>
        <v>100</v>
      </c>
      <c r="O61" s="213">
        <v>51.8</v>
      </c>
      <c r="P61" s="214"/>
      <c r="Q61" s="214"/>
      <c r="R61" s="215">
        <f t="shared" si="8"/>
        <v>51.8</v>
      </c>
      <c r="S61" s="171">
        <v>1</v>
      </c>
      <c r="T61" s="285"/>
      <c r="U61" s="283"/>
      <c r="V61" s="178" t="s">
        <v>1040</v>
      </c>
      <c r="W61" s="171" t="s">
        <v>74</v>
      </c>
      <c r="X61" s="171" t="s">
        <v>11</v>
      </c>
      <c r="Y61" s="179">
        <v>33.9</v>
      </c>
      <c r="Z61" s="171" t="s">
        <v>1041</v>
      </c>
      <c r="AA61" s="171" t="s">
        <v>22</v>
      </c>
      <c r="AB61" s="171" t="s">
        <v>11</v>
      </c>
      <c r="AC61" s="171">
        <v>16.100000000000001</v>
      </c>
      <c r="AD61" s="178" t="s">
        <v>1042</v>
      </c>
      <c r="AE61" s="171" t="s">
        <v>87</v>
      </c>
      <c r="AF61" s="171" t="s">
        <v>11</v>
      </c>
      <c r="AG61" s="179">
        <v>1.8</v>
      </c>
      <c r="AL61" s="178"/>
      <c r="AO61" s="179"/>
      <c r="AP61" s="178"/>
      <c r="AS61" s="179"/>
      <c r="AW61" s="179"/>
      <c r="BA61" s="180"/>
    </row>
    <row r="62" spans="1:53" s="171" customFormat="1" x14ac:dyDescent="0.15">
      <c r="A62" s="171">
        <v>2003</v>
      </c>
      <c r="B62" s="283"/>
      <c r="C62" s="410" t="s">
        <v>1046</v>
      </c>
      <c r="D62" s="410"/>
      <c r="E62" s="171">
        <v>58</v>
      </c>
      <c r="G62" s="233">
        <v>12</v>
      </c>
      <c r="J62" s="241">
        <v>12</v>
      </c>
      <c r="K62" s="214">
        <f t="shared" si="13"/>
        <v>100</v>
      </c>
      <c r="L62" s="214">
        <f t="shared" si="14"/>
        <v>0</v>
      </c>
      <c r="M62" s="214">
        <f t="shared" si="15"/>
        <v>0</v>
      </c>
      <c r="N62" s="235">
        <f t="shared" si="9"/>
        <v>100</v>
      </c>
      <c r="O62" s="213">
        <v>51.8</v>
      </c>
      <c r="P62" s="214"/>
      <c r="Q62" s="214"/>
      <c r="R62" s="215">
        <f t="shared" si="8"/>
        <v>51.8</v>
      </c>
      <c r="S62" s="171">
        <v>1</v>
      </c>
      <c r="T62" s="285"/>
      <c r="U62" s="283"/>
      <c r="V62" s="178" t="s">
        <v>1040</v>
      </c>
      <c r="W62" s="171" t="s">
        <v>74</v>
      </c>
      <c r="X62" s="171" t="s">
        <v>11</v>
      </c>
      <c r="Y62" s="179">
        <v>33.9</v>
      </c>
      <c r="Z62" s="171" t="s">
        <v>1041</v>
      </c>
      <c r="AA62" s="171" t="s">
        <v>22</v>
      </c>
      <c r="AB62" s="171" t="s">
        <v>11</v>
      </c>
      <c r="AC62" s="171">
        <v>16.100000000000001</v>
      </c>
      <c r="AD62" s="178" t="s">
        <v>1042</v>
      </c>
      <c r="AE62" s="171" t="s">
        <v>87</v>
      </c>
      <c r="AF62" s="171" t="s">
        <v>11</v>
      </c>
      <c r="AG62" s="179">
        <v>1.8</v>
      </c>
      <c r="AL62" s="178"/>
      <c r="AO62" s="179"/>
      <c r="AP62" s="178"/>
      <c r="AS62" s="179"/>
      <c r="AW62" s="179"/>
      <c r="BA62" s="180"/>
    </row>
    <row r="63" spans="1:53" s="29" customFormat="1" x14ac:dyDescent="0.15">
      <c r="A63" s="29">
        <v>2003</v>
      </c>
      <c r="B63" s="295">
        <v>37680</v>
      </c>
      <c r="C63" s="411" t="s">
        <v>1045</v>
      </c>
      <c r="D63" s="411"/>
      <c r="E63" s="29">
        <f>365-E62</f>
        <v>307</v>
      </c>
      <c r="F63" s="29">
        <v>1</v>
      </c>
      <c r="G63" s="66">
        <v>4</v>
      </c>
      <c r="I63" s="29">
        <v>6</v>
      </c>
      <c r="J63" s="73">
        <v>12</v>
      </c>
      <c r="K63" s="47">
        <f t="shared" si="13"/>
        <v>33.333333333333329</v>
      </c>
      <c r="L63" s="47">
        <f t="shared" si="14"/>
        <v>0</v>
      </c>
      <c r="M63" s="47">
        <f t="shared" si="15"/>
        <v>50</v>
      </c>
      <c r="N63" s="68">
        <f t="shared" si="9"/>
        <v>83.333333333333329</v>
      </c>
      <c r="O63" s="46">
        <v>16.100000000000001</v>
      </c>
      <c r="P63" s="47"/>
      <c r="Q63" s="47">
        <v>42.8</v>
      </c>
      <c r="R63" s="48">
        <f t="shared" si="8"/>
        <v>58.9</v>
      </c>
      <c r="S63" s="29">
        <v>1</v>
      </c>
      <c r="T63" s="286"/>
      <c r="U63" s="295">
        <v>37680</v>
      </c>
      <c r="V63" s="38" t="s">
        <v>1047</v>
      </c>
      <c r="W63" s="29" t="s">
        <v>113</v>
      </c>
      <c r="X63" s="29" t="s">
        <v>12</v>
      </c>
      <c r="Y63" s="39">
        <v>35.700000000000003</v>
      </c>
      <c r="Z63" s="29" t="s">
        <v>1041</v>
      </c>
      <c r="AA63" s="29" t="s">
        <v>22</v>
      </c>
      <c r="AB63" s="29" t="s">
        <v>11</v>
      </c>
      <c r="AC63" s="29">
        <v>16.100000000000001</v>
      </c>
      <c r="AD63" s="38" t="s">
        <v>1043</v>
      </c>
      <c r="AE63" s="29" t="s">
        <v>20</v>
      </c>
      <c r="AF63" s="29" t="s">
        <v>12</v>
      </c>
      <c r="AG63" s="39">
        <v>7.1</v>
      </c>
      <c r="AL63" s="38"/>
      <c r="AO63" s="39"/>
      <c r="AP63" s="38"/>
      <c r="AS63" s="39"/>
      <c r="AW63" s="39"/>
      <c r="BA63" s="40"/>
    </row>
    <row r="64" spans="1:53" s="29" customFormat="1" x14ac:dyDescent="0.15">
      <c r="A64" s="29">
        <v>2004</v>
      </c>
      <c r="B64" s="295"/>
      <c r="C64" s="411" t="s">
        <v>1045</v>
      </c>
      <c r="D64" s="411"/>
      <c r="E64" s="29">
        <v>137</v>
      </c>
      <c r="G64" s="66">
        <v>4</v>
      </c>
      <c r="I64" s="29">
        <v>6</v>
      </c>
      <c r="J64" s="73">
        <v>12</v>
      </c>
      <c r="K64" s="47">
        <f t="shared" si="13"/>
        <v>33.333333333333329</v>
      </c>
      <c r="L64" s="47">
        <f t="shared" si="14"/>
        <v>0</v>
      </c>
      <c r="M64" s="47">
        <f t="shared" si="15"/>
        <v>50</v>
      </c>
      <c r="N64" s="68">
        <f t="shared" si="9"/>
        <v>83.333333333333329</v>
      </c>
      <c r="O64" s="46">
        <v>16.100000000000001</v>
      </c>
      <c r="P64" s="47"/>
      <c r="Q64" s="47">
        <v>42.8</v>
      </c>
      <c r="R64" s="48">
        <f t="shared" si="8"/>
        <v>58.9</v>
      </c>
      <c r="S64" s="29">
        <v>1</v>
      </c>
      <c r="T64" s="286"/>
      <c r="U64" s="295"/>
      <c r="V64" s="38" t="s">
        <v>1047</v>
      </c>
      <c r="W64" s="29" t="s">
        <v>113</v>
      </c>
      <c r="X64" s="29" t="s">
        <v>12</v>
      </c>
      <c r="Y64" s="39">
        <v>35.700000000000003</v>
      </c>
      <c r="Z64" s="29" t="s">
        <v>1041</v>
      </c>
      <c r="AA64" s="29" t="s">
        <v>22</v>
      </c>
      <c r="AB64" s="29" t="s">
        <v>11</v>
      </c>
      <c r="AC64" s="29">
        <v>16.100000000000001</v>
      </c>
      <c r="AD64" s="38" t="s">
        <v>1043</v>
      </c>
      <c r="AE64" s="29" t="s">
        <v>20</v>
      </c>
      <c r="AF64" s="29" t="s">
        <v>12</v>
      </c>
      <c r="AG64" s="39">
        <v>7.1</v>
      </c>
      <c r="AL64" s="38"/>
      <c r="AO64" s="39"/>
      <c r="AP64" s="38"/>
      <c r="AS64" s="39"/>
      <c r="AW64" s="39"/>
      <c r="BA64" s="40"/>
    </row>
    <row r="65" spans="1:53" s="29" customFormat="1" x14ac:dyDescent="0.15">
      <c r="A65" s="29">
        <v>2004</v>
      </c>
      <c r="B65" s="303">
        <v>38124</v>
      </c>
      <c r="C65" s="411" t="s">
        <v>1045</v>
      </c>
      <c r="D65" s="411"/>
      <c r="E65" s="29">
        <v>229</v>
      </c>
      <c r="F65" s="84">
        <v>0</v>
      </c>
      <c r="G65" s="66">
        <v>3</v>
      </c>
      <c r="I65" s="29">
        <v>6</v>
      </c>
      <c r="J65" s="73">
        <v>12</v>
      </c>
      <c r="K65" s="47">
        <f t="shared" si="13"/>
        <v>25</v>
      </c>
      <c r="L65" s="47">
        <f t="shared" si="14"/>
        <v>0</v>
      </c>
      <c r="M65" s="47">
        <f t="shared" si="15"/>
        <v>50</v>
      </c>
      <c r="N65" s="68">
        <f t="shared" si="9"/>
        <v>75</v>
      </c>
      <c r="O65" s="46">
        <v>16.100000000000001</v>
      </c>
      <c r="P65" s="47"/>
      <c r="Q65" s="47">
        <v>42.8</v>
      </c>
      <c r="R65" s="48">
        <f t="shared" si="8"/>
        <v>58.9</v>
      </c>
      <c r="S65" s="29">
        <v>1</v>
      </c>
      <c r="T65" s="286"/>
      <c r="U65" s="295"/>
      <c r="V65" s="38" t="s">
        <v>1047</v>
      </c>
      <c r="W65" s="29" t="s">
        <v>113</v>
      </c>
      <c r="X65" s="29" t="s">
        <v>12</v>
      </c>
      <c r="Y65" s="39">
        <v>35.700000000000003</v>
      </c>
      <c r="Z65" s="29" t="s">
        <v>1041</v>
      </c>
      <c r="AA65" s="29" t="s">
        <v>22</v>
      </c>
      <c r="AB65" s="29" t="s">
        <v>11</v>
      </c>
      <c r="AC65" s="29">
        <v>16.100000000000001</v>
      </c>
      <c r="AD65" s="38" t="s">
        <v>1043</v>
      </c>
      <c r="AE65" s="29" t="s">
        <v>20</v>
      </c>
      <c r="AF65" s="29" t="s">
        <v>12</v>
      </c>
      <c r="AG65" s="39">
        <v>7.1</v>
      </c>
      <c r="AL65" s="38"/>
      <c r="AO65" s="39"/>
      <c r="AP65" s="38"/>
      <c r="AS65" s="39"/>
      <c r="AW65" s="39"/>
      <c r="BA65" s="40"/>
    </row>
    <row r="66" spans="1:53" s="29" customFormat="1" x14ac:dyDescent="0.15">
      <c r="A66" s="29">
        <v>2005</v>
      </c>
      <c r="B66" s="295"/>
      <c r="C66" s="411" t="s">
        <v>1045</v>
      </c>
      <c r="D66" s="411"/>
      <c r="E66" s="29">
        <v>31</v>
      </c>
      <c r="G66" s="66">
        <v>3</v>
      </c>
      <c r="I66" s="29">
        <v>6</v>
      </c>
      <c r="J66" s="73">
        <v>12</v>
      </c>
      <c r="K66" s="47">
        <f t="shared" ref="K66:K78" si="16">G66/J66*100</f>
        <v>25</v>
      </c>
      <c r="L66" s="47">
        <f t="shared" ref="L66:L78" si="17">H66/J66*100</f>
        <v>0</v>
      </c>
      <c r="M66" s="47">
        <f t="shared" ref="M66:M78" si="18">I66/J66*100</f>
        <v>50</v>
      </c>
      <c r="N66" s="68">
        <f t="shared" si="9"/>
        <v>75</v>
      </c>
      <c r="O66" s="46">
        <v>16.100000000000001</v>
      </c>
      <c r="P66" s="47"/>
      <c r="Q66" s="47">
        <v>42.8</v>
      </c>
      <c r="R66" s="48">
        <f t="shared" si="8"/>
        <v>58.9</v>
      </c>
      <c r="S66" s="29">
        <v>1</v>
      </c>
      <c r="T66" s="286"/>
      <c r="U66" s="295"/>
      <c r="V66" s="38" t="s">
        <v>1047</v>
      </c>
      <c r="W66" s="29" t="s">
        <v>113</v>
      </c>
      <c r="X66" s="29" t="s">
        <v>12</v>
      </c>
      <c r="Y66" s="39">
        <v>35.700000000000003</v>
      </c>
      <c r="Z66" s="29" t="s">
        <v>1041</v>
      </c>
      <c r="AA66" s="29" t="s">
        <v>22</v>
      </c>
      <c r="AB66" s="29" t="s">
        <v>11</v>
      </c>
      <c r="AC66" s="29">
        <v>16.100000000000001</v>
      </c>
      <c r="AD66" s="38" t="s">
        <v>1043</v>
      </c>
      <c r="AE66" s="29" t="s">
        <v>20</v>
      </c>
      <c r="AF66" s="29" t="s">
        <v>12</v>
      </c>
      <c r="AG66" s="39">
        <v>7.1</v>
      </c>
      <c r="AL66" s="38"/>
      <c r="AO66" s="39"/>
      <c r="AP66" s="38"/>
      <c r="AS66" s="39"/>
      <c r="AW66" s="39"/>
      <c r="BA66" s="40"/>
    </row>
    <row r="67" spans="1:53" s="29" customFormat="1" x14ac:dyDescent="0.15">
      <c r="A67" s="29">
        <v>2005</v>
      </c>
      <c r="B67" s="303">
        <v>38384</v>
      </c>
      <c r="C67" s="411" t="s">
        <v>1045</v>
      </c>
      <c r="D67" s="411"/>
      <c r="E67" s="29">
        <v>334</v>
      </c>
      <c r="F67" s="84">
        <v>0</v>
      </c>
      <c r="G67" s="66">
        <v>3</v>
      </c>
      <c r="I67" s="29">
        <v>5</v>
      </c>
      <c r="J67" s="73">
        <v>12</v>
      </c>
      <c r="K67" s="47">
        <f>G67/J67*100</f>
        <v>25</v>
      </c>
      <c r="L67" s="47">
        <f>H67/J67*100</f>
        <v>0</v>
      </c>
      <c r="M67" s="47">
        <f>I67/J67*100</f>
        <v>41.666666666666671</v>
      </c>
      <c r="N67" s="68">
        <f t="shared" si="9"/>
        <v>66.666666666666671</v>
      </c>
      <c r="O67" s="46">
        <v>16.100000000000001</v>
      </c>
      <c r="P67" s="47"/>
      <c r="Q67" s="47">
        <v>42.8</v>
      </c>
      <c r="R67" s="48">
        <f t="shared" si="8"/>
        <v>58.9</v>
      </c>
      <c r="S67" s="29">
        <v>1</v>
      </c>
      <c r="T67" s="286"/>
      <c r="U67" s="295"/>
      <c r="V67" s="38" t="s">
        <v>1047</v>
      </c>
      <c r="W67" s="29" t="s">
        <v>113</v>
      </c>
      <c r="X67" s="29" t="s">
        <v>12</v>
      </c>
      <c r="Y67" s="39">
        <v>35.700000000000003</v>
      </c>
      <c r="Z67" s="29" t="s">
        <v>1041</v>
      </c>
      <c r="AA67" s="29" t="s">
        <v>22</v>
      </c>
      <c r="AB67" s="29" t="s">
        <v>11</v>
      </c>
      <c r="AC67" s="29">
        <v>16.100000000000001</v>
      </c>
      <c r="AD67" s="38" t="s">
        <v>1043</v>
      </c>
      <c r="AE67" s="29" t="s">
        <v>20</v>
      </c>
      <c r="AF67" s="29" t="s">
        <v>12</v>
      </c>
      <c r="AG67" s="39">
        <v>7.1</v>
      </c>
      <c r="AL67" s="38"/>
      <c r="AO67" s="39"/>
      <c r="AP67" s="38"/>
      <c r="AS67" s="39"/>
      <c r="AW67" s="39"/>
      <c r="BA67" s="40"/>
    </row>
    <row r="68" spans="1:53" s="29" customFormat="1" x14ac:dyDescent="0.15">
      <c r="A68" s="29">
        <v>2006</v>
      </c>
      <c r="B68" s="295"/>
      <c r="C68" s="411" t="s">
        <v>1045</v>
      </c>
      <c r="D68" s="411"/>
      <c r="E68" s="29">
        <v>140</v>
      </c>
      <c r="G68" s="66">
        <v>3</v>
      </c>
      <c r="I68" s="29">
        <v>5</v>
      </c>
      <c r="J68" s="73">
        <v>12</v>
      </c>
      <c r="K68" s="47">
        <f t="shared" si="16"/>
        <v>25</v>
      </c>
      <c r="L68" s="47">
        <f t="shared" si="17"/>
        <v>0</v>
      </c>
      <c r="M68" s="47">
        <f t="shared" si="18"/>
        <v>41.666666666666671</v>
      </c>
      <c r="N68" s="68">
        <f t="shared" si="9"/>
        <v>66.666666666666671</v>
      </c>
      <c r="O68" s="46">
        <v>16.100000000000001</v>
      </c>
      <c r="P68" s="47"/>
      <c r="Q68" s="47">
        <v>42.8</v>
      </c>
      <c r="R68" s="48">
        <f t="shared" si="8"/>
        <v>58.9</v>
      </c>
      <c r="S68" s="29">
        <v>1</v>
      </c>
      <c r="T68" s="286"/>
      <c r="U68" s="295"/>
      <c r="V68" s="38" t="s">
        <v>1047</v>
      </c>
      <c r="W68" s="29" t="s">
        <v>113</v>
      </c>
      <c r="X68" s="29" t="s">
        <v>12</v>
      </c>
      <c r="Y68" s="39">
        <v>35.700000000000003</v>
      </c>
      <c r="Z68" s="29" t="s">
        <v>1041</v>
      </c>
      <c r="AA68" s="29" t="s">
        <v>22</v>
      </c>
      <c r="AB68" s="29" t="s">
        <v>11</v>
      </c>
      <c r="AC68" s="29">
        <v>16.100000000000001</v>
      </c>
      <c r="AD68" s="38" t="s">
        <v>1043</v>
      </c>
      <c r="AE68" s="29" t="s">
        <v>20</v>
      </c>
      <c r="AF68" s="29" t="s">
        <v>12</v>
      </c>
      <c r="AG68" s="39">
        <v>7.1</v>
      </c>
      <c r="AL68" s="38"/>
      <c r="AO68" s="39"/>
      <c r="AP68" s="38"/>
      <c r="AS68" s="39"/>
      <c r="AW68" s="39"/>
      <c r="BA68" s="40"/>
    </row>
    <row r="69" spans="1:53" s="29" customFormat="1" x14ac:dyDescent="0.15">
      <c r="A69" s="29">
        <v>2006</v>
      </c>
      <c r="B69" s="303">
        <v>38858</v>
      </c>
      <c r="C69" s="411" t="s">
        <v>1045</v>
      </c>
      <c r="D69" s="411"/>
      <c r="E69" s="29">
        <v>23</v>
      </c>
      <c r="F69" s="84" t="s">
        <v>327</v>
      </c>
      <c r="G69" s="66">
        <v>3</v>
      </c>
      <c r="I69" s="29">
        <v>5</v>
      </c>
      <c r="J69" s="73">
        <v>12</v>
      </c>
      <c r="K69" s="47">
        <f>G69/J69*100</f>
        <v>25</v>
      </c>
      <c r="L69" s="47">
        <f>H69/J69*100</f>
        <v>0</v>
      </c>
      <c r="M69" s="47">
        <f>I69/J69*100</f>
        <v>41.666666666666671</v>
      </c>
      <c r="N69" s="68">
        <f t="shared" si="9"/>
        <v>66.666666666666671</v>
      </c>
      <c r="O69" s="46">
        <v>19.600000000000001</v>
      </c>
      <c r="P69" s="47"/>
      <c r="Q69" s="47">
        <v>41</v>
      </c>
      <c r="R69" s="48">
        <f t="shared" si="8"/>
        <v>60.6</v>
      </c>
      <c r="S69" s="29">
        <v>1</v>
      </c>
      <c r="T69" s="286">
        <v>38858</v>
      </c>
      <c r="U69" s="295"/>
      <c r="V69" s="38" t="s">
        <v>1047</v>
      </c>
      <c r="W69" s="29" t="s">
        <v>113</v>
      </c>
      <c r="X69" s="29" t="s">
        <v>12</v>
      </c>
      <c r="Y69" s="39">
        <v>32.1</v>
      </c>
      <c r="Z69" s="29" t="s">
        <v>1041</v>
      </c>
      <c r="AA69" s="29" t="s">
        <v>22</v>
      </c>
      <c r="AB69" s="29" t="s">
        <v>11</v>
      </c>
      <c r="AC69" s="29">
        <v>19.600000000000001</v>
      </c>
      <c r="AD69" s="38" t="s">
        <v>1043</v>
      </c>
      <c r="AE69" s="29" t="s">
        <v>20</v>
      </c>
      <c r="AF69" s="29" t="s">
        <v>12</v>
      </c>
      <c r="AG69" s="39">
        <v>8.9</v>
      </c>
      <c r="AL69" s="38"/>
      <c r="AO69" s="39"/>
      <c r="AP69" s="38"/>
      <c r="AS69" s="39"/>
      <c r="AW69" s="39"/>
      <c r="BA69" s="40"/>
    </row>
    <row r="70" spans="1:53" s="29" customFormat="1" x14ac:dyDescent="0.15">
      <c r="A70" s="29">
        <v>2006</v>
      </c>
      <c r="B70" s="303">
        <v>38881</v>
      </c>
      <c r="C70" s="411" t="s">
        <v>1045</v>
      </c>
      <c r="D70" s="411"/>
      <c r="E70" s="29">
        <v>202</v>
      </c>
      <c r="F70" s="84">
        <v>0</v>
      </c>
      <c r="G70" s="66">
        <v>6</v>
      </c>
      <c r="I70" s="29">
        <v>5</v>
      </c>
      <c r="J70" s="73">
        <v>12</v>
      </c>
      <c r="K70" s="47">
        <f t="shared" si="16"/>
        <v>50</v>
      </c>
      <c r="L70" s="47">
        <f t="shared" si="17"/>
        <v>0</v>
      </c>
      <c r="M70" s="47">
        <f t="shared" si="18"/>
        <v>41.666666666666671</v>
      </c>
      <c r="N70" s="68">
        <f t="shared" si="9"/>
        <v>91.666666666666671</v>
      </c>
      <c r="O70" s="46">
        <v>19.600000000000001</v>
      </c>
      <c r="P70" s="47"/>
      <c r="Q70" s="47">
        <v>41</v>
      </c>
      <c r="R70" s="48">
        <f t="shared" si="8"/>
        <v>60.6</v>
      </c>
      <c r="S70" s="29">
        <v>1</v>
      </c>
      <c r="T70" s="286"/>
      <c r="U70" s="295"/>
      <c r="V70" s="38" t="s">
        <v>1047</v>
      </c>
      <c r="W70" s="29" t="s">
        <v>113</v>
      </c>
      <c r="X70" s="29" t="s">
        <v>12</v>
      </c>
      <c r="Y70" s="39">
        <v>32.1</v>
      </c>
      <c r="Z70" s="29" t="s">
        <v>1041</v>
      </c>
      <c r="AA70" s="29" t="s">
        <v>22</v>
      </c>
      <c r="AB70" s="29" t="s">
        <v>11</v>
      </c>
      <c r="AC70" s="29">
        <v>19.600000000000001</v>
      </c>
      <c r="AD70" s="38" t="s">
        <v>1043</v>
      </c>
      <c r="AE70" s="29" t="s">
        <v>20</v>
      </c>
      <c r="AF70" s="29" t="s">
        <v>12</v>
      </c>
      <c r="AG70" s="39">
        <v>8.9</v>
      </c>
      <c r="AL70" s="38"/>
      <c r="AO70" s="39"/>
      <c r="AP70" s="38"/>
      <c r="AS70" s="39"/>
      <c r="AW70" s="39"/>
      <c r="BA70" s="40"/>
    </row>
    <row r="71" spans="1:53" s="29" customFormat="1" x14ac:dyDescent="0.15">
      <c r="A71" s="29">
        <v>2007</v>
      </c>
      <c r="B71" s="295"/>
      <c r="C71" s="411" t="s">
        <v>1045</v>
      </c>
      <c r="D71" s="411"/>
      <c r="E71" s="29">
        <v>196</v>
      </c>
      <c r="G71" s="66">
        <v>3</v>
      </c>
      <c r="I71" s="29">
        <v>5</v>
      </c>
      <c r="J71" s="73">
        <v>12</v>
      </c>
      <c r="K71" s="47">
        <f t="shared" si="16"/>
        <v>25</v>
      </c>
      <c r="L71" s="47">
        <f t="shared" si="17"/>
        <v>0</v>
      </c>
      <c r="M71" s="47">
        <f t="shared" si="18"/>
        <v>41.666666666666671</v>
      </c>
      <c r="N71" s="68">
        <f t="shared" si="9"/>
        <v>66.666666666666671</v>
      </c>
      <c r="O71" s="46">
        <v>19.600000000000001</v>
      </c>
      <c r="P71" s="47"/>
      <c r="Q71" s="47">
        <v>41</v>
      </c>
      <c r="R71" s="48">
        <f t="shared" si="8"/>
        <v>60.6</v>
      </c>
      <c r="S71" s="29">
        <v>1</v>
      </c>
      <c r="T71" s="286"/>
      <c r="U71" s="295"/>
      <c r="V71" s="38" t="s">
        <v>1047</v>
      </c>
      <c r="W71" s="29" t="s">
        <v>113</v>
      </c>
      <c r="X71" s="29" t="s">
        <v>12</v>
      </c>
      <c r="Y71" s="39">
        <v>32.1</v>
      </c>
      <c r="Z71" s="29" t="s">
        <v>1041</v>
      </c>
      <c r="AA71" s="29" t="s">
        <v>22</v>
      </c>
      <c r="AB71" s="29" t="s">
        <v>11</v>
      </c>
      <c r="AC71" s="29">
        <v>19.600000000000001</v>
      </c>
      <c r="AD71" s="38" t="s">
        <v>1043</v>
      </c>
      <c r="AE71" s="29" t="s">
        <v>20</v>
      </c>
      <c r="AF71" s="29" t="s">
        <v>12</v>
      </c>
      <c r="AG71" s="39">
        <v>8.9</v>
      </c>
      <c r="AL71" s="38"/>
      <c r="AO71" s="39"/>
      <c r="AP71" s="38"/>
      <c r="AS71" s="39"/>
      <c r="AW71" s="39"/>
      <c r="BA71" s="40"/>
    </row>
    <row r="72" spans="1:53" s="29" customFormat="1" x14ac:dyDescent="0.15">
      <c r="A72" s="29">
        <v>2007</v>
      </c>
      <c r="B72" s="303">
        <v>39279</v>
      </c>
      <c r="C72" s="411" t="s">
        <v>1045</v>
      </c>
      <c r="D72" s="411"/>
      <c r="E72" s="29">
        <v>169</v>
      </c>
      <c r="F72" s="84">
        <v>0</v>
      </c>
      <c r="G72" s="66">
        <v>6</v>
      </c>
      <c r="I72" s="29">
        <v>2</v>
      </c>
      <c r="J72" s="73">
        <v>12</v>
      </c>
      <c r="K72" s="47">
        <f t="shared" si="16"/>
        <v>50</v>
      </c>
      <c r="L72" s="47">
        <f t="shared" si="17"/>
        <v>0</v>
      </c>
      <c r="M72" s="47">
        <f t="shared" si="18"/>
        <v>16.666666666666664</v>
      </c>
      <c r="N72" s="68">
        <f t="shared" si="9"/>
        <v>66.666666666666657</v>
      </c>
      <c r="O72" s="46">
        <v>19.600000000000001</v>
      </c>
      <c r="P72" s="47"/>
      <c r="Q72" s="47">
        <v>8.9</v>
      </c>
      <c r="R72" s="48">
        <f t="shared" si="8"/>
        <v>28.5</v>
      </c>
      <c r="S72" s="29">
        <v>1</v>
      </c>
      <c r="T72" s="286"/>
      <c r="U72" s="295"/>
      <c r="V72" s="38" t="s">
        <v>1041</v>
      </c>
      <c r="W72" s="29" t="s">
        <v>22</v>
      </c>
      <c r="X72" s="29" t="s">
        <v>11</v>
      </c>
      <c r="Y72" s="39">
        <v>19.600000000000001</v>
      </c>
      <c r="Z72" s="29" t="s">
        <v>1043</v>
      </c>
      <c r="AA72" s="29" t="s">
        <v>20</v>
      </c>
      <c r="AB72" s="29" t="s">
        <v>12</v>
      </c>
      <c r="AC72" s="29">
        <v>8.9</v>
      </c>
      <c r="AD72" s="38"/>
      <c r="AG72" s="39"/>
      <c r="AL72" s="38"/>
      <c r="AO72" s="39"/>
      <c r="AP72" s="38"/>
      <c r="AS72" s="39"/>
      <c r="AW72" s="39"/>
      <c r="BA72" s="40"/>
    </row>
    <row r="73" spans="1:53" s="29" customFormat="1" x14ac:dyDescent="0.15">
      <c r="A73" s="29">
        <v>2008</v>
      </c>
      <c r="B73" s="295"/>
      <c r="C73" s="411" t="s">
        <v>1045</v>
      </c>
      <c r="D73" s="411"/>
      <c r="E73" s="29">
        <v>59</v>
      </c>
      <c r="G73" s="66">
        <v>6</v>
      </c>
      <c r="I73" s="29">
        <v>2</v>
      </c>
      <c r="J73" s="73">
        <v>12</v>
      </c>
      <c r="K73" s="47">
        <f t="shared" si="16"/>
        <v>50</v>
      </c>
      <c r="L73" s="47">
        <f t="shared" si="17"/>
        <v>0</v>
      </c>
      <c r="M73" s="47">
        <f t="shared" si="18"/>
        <v>16.666666666666664</v>
      </c>
      <c r="N73" s="68">
        <f t="shared" si="9"/>
        <v>66.666666666666657</v>
      </c>
      <c r="O73" s="46">
        <v>19.600000000000001</v>
      </c>
      <c r="P73" s="47"/>
      <c r="Q73" s="47">
        <v>8.9</v>
      </c>
      <c r="R73" s="48">
        <f t="shared" si="8"/>
        <v>28.5</v>
      </c>
      <c r="S73" s="29">
        <v>1</v>
      </c>
      <c r="T73" s="286"/>
      <c r="U73" s="295"/>
      <c r="V73" s="38" t="s">
        <v>1041</v>
      </c>
      <c r="W73" s="29" t="s">
        <v>22</v>
      </c>
      <c r="X73" s="29" t="s">
        <v>11</v>
      </c>
      <c r="Y73" s="39">
        <v>19.600000000000001</v>
      </c>
      <c r="Z73" s="29" t="s">
        <v>1043</v>
      </c>
      <c r="AA73" s="29" t="s">
        <v>20</v>
      </c>
      <c r="AB73" s="29" t="s">
        <v>12</v>
      </c>
      <c r="AC73" s="29">
        <v>8.9</v>
      </c>
      <c r="AD73" s="38"/>
      <c r="AG73" s="39"/>
      <c r="AL73" s="38"/>
      <c r="AO73" s="39"/>
      <c r="AP73" s="38"/>
      <c r="AS73" s="39"/>
      <c r="AW73" s="39"/>
      <c r="BA73" s="40"/>
    </row>
    <row r="74" spans="1:53" s="171" customFormat="1" x14ac:dyDescent="0.15">
      <c r="A74" s="171">
        <v>2008</v>
      </c>
      <c r="B74" s="283">
        <v>39507</v>
      </c>
      <c r="C74" s="410" t="s">
        <v>1048</v>
      </c>
      <c r="D74" s="410"/>
      <c r="E74" s="171">
        <v>307</v>
      </c>
      <c r="F74" s="171">
        <v>1</v>
      </c>
      <c r="G74" s="233">
        <v>3</v>
      </c>
      <c r="I74" s="171">
        <v>7</v>
      </c>
      <c r="J74" s="241">
        <v>12</v>
      </c>
      <c r="K74" s="214">
        <f t="shared" si="16"/>
        <v>25</v>
      </c>
      <c r="L74" s="214">
        <f t="shared" si="17"/>
        <v>0</v>
      </c>
      <c r="M74" s="214">
        <f t="shared" si="18"/>
        <v>58.333333333333336</v>
      </c>
      <c r="N74" s="235">
        <f t="shared" si="9"/>
        <v>83.333333333333343</v>
      </c>
      <c r="O74" s="213">
        <v>19.600000000000001</v>
      </c>
      <c r="P74" s="214"/>
      <c r="Q74" s="214">
        <v>41</v>
      </c>
      <c r="R74" s="215">
        <f t="shared" si="8"/>
        <v>60.6</v>
      </c>
      <c r="S74" s="171">
        <v>1</v>
      </c>
      <c r="T74" s="285"/>
      <c r="U74" s="283">
        <v>39507</v>
      </c>
      <c r="V74" s="178" t="s">
        <v>1047</v>
      </c>
      <c r="W74" s="171" t="s">
        <v>113</v>
      </c>
      <c r="X74" s="171" t="s">
        <v>12</v>
      </c>
      <c r="Y74" s="179">
        <v>32.1</v>
      </c>
      <c r="Z74" s="171" t="s">
        <v>1041</v>
      </c>
      <c r="AA74" s="171" t="s">
        <v>22</v>
      </c>
      <c r="AB74" s="171" t="s">
        <v>11</v>
      </c>
      <c r="AC74" s="171">
        <v>19.600000000000001</v>
      </c>
      <c r="AD74" s="178" t="s">
        <v>1043</v>
      </c>
      <c r="AE74" s="171" t="s">
        <v>20</v>
      </c>
      <c r="AF74" s="171" t="s">
        <v>12</v>
      </c>
      <c r="AG74" s="179">
        <v>8.9</v>
      </c>
      <c r="AL74" s="178"/>
      <c r="AO74" s="179"/>
      <c r="AP74" s="178"/>
      <c r="AS74" s="179"/>
      <c r="AW74" s="179"/>
      <c r="BA74" s="180"/>
    </row>
    <row r="75" spans="1:53" s="171" customFormat="1" x14ac:dyDescent="0.15">
      <c r="A75" s="171">
        <v>2009</v>
      </c>
      <c r="B75" s="283"/>
      <c r="C75" s="410" t="s">
        <v>1048</v>
      </c>
      <c r="D75" s="410"/>
      <c r="E75" s="171">
        <v>0</v>
      </c>
      <c r="G75" s="233">
        <v>3</v>
      </c>
      <c r="I75" s="171">
        <v>7</v>
      </c>
      <c r="J75" s="241">
        <v>12</v>
      </c>
      <c r="K75" s="214">
        <f t="shared" si="16"/>
        <v>25</v>
      </c>
      <c r="L75" s="214">
        <f t="shared" si="17"/>
        <v>0</v>
      </c>
      <c r="M75" s="214">
        <f t="shared" si="18"/>
        <v>58.333333333333336</v>
      </c>
      <c r="N75" s="235">
        <f t="shared" si="9"/>
        <v>83.333333333333343</v>
      </c>
      <c r="O75" s="213">
        <v>19.600000000000001</v>
      </c>
      <c r="P75" s="214"/>
      <c r="Q75" s="214">
        <v>41</v>
      </c>
      <c r="R75" s="215">
        <f t="shared" si="8"/>
        <v>60.6</v>
      </c>
      <c r="S75" s="171">
        <v>1</v>
      </c>
      <c r="T75" s="285"/>
      <c r="U75" s="283"/>
      <c r="V75" s="178" t="s">
        <v>1047</v>
      </c>
      <c r="W75" s="171" t="s">
        <v>113</v>
      </c>
      <c r="X75" s="171" t="s">
        <v>12</v>
      </c>
      <c r="Y75" s="179">
        <v>32.1</v>
      </c>
      <c r="Z75" s="171" t="s">
        <v>1041</v>
      </c>
      <c r="AA75" s="171" t="s">
        <v>22</v>
      </c>
      <c r="AB75" s="171" t="s">
        <v>11</v>
      </c>
      <c r="AC75" s="171">
        <v>19.600000000000001</v>
      </c>
      <c r="AD75" s="178" t="s">
        <v>1043</v>
      </c>
      <c r="AE75" s="171" t="s">
        <v>20</v>
      </c>
      <c r="AF75" s="171" t="s">
        <v>12</v>
      </c>
      <c r="AG75" s="179">
        <v>8.9</v>
      </c>
      <c r="AL75" s="178"/>
      <c r="AO75" s="179"/>
      <c r="AP75" s="178"/>
      <c r="AS75" s="179"/>
      <c r="AW75" s="179"/>
      <c r="BA75" s="180"/>
    </row>
    <row r="76" spans="1:53" s="171" customFormat="1" x14ac:dyDescent="0.15">
      <c r="A76" s="171">
        <v>2009</v>
      </c>
      <c r="B76" s="283"/>
      <c r="C76" s="410" t="s">
        <v>1048</v>
      </c>
      <c r="D76" s="410"/>
      <c r="E76" s="171">
        <v>365</v>
      </c>
      <c r="G76" s="233">
        <v>3</v>
      </c>
      <c r="I76" s="171">
        <v>7</v>
      </c>
      <c r="J76" s="241">
        <v>12</v>
      </c>
      <c r="K76" s="214">
        <f t="shared" si="16"/>
        <v>25</v>
      </c>
      <c r="L76" s="214">
        <f t="shared" si="17"/>
        <v>0</v>
      </c>
      <c r="M76" s="214">
        <f t="shared" si="18"/>
        <v>58.333333333333336</v>
      </c>
      <c r="N76" s="235">
        <f t="shared" si="9"/>
        <v>83.333333333333343</v>
      </c>
      <c r="O76" s="213">
        <v>19.600000000000001</v>
      </c>
      <c r="P76" s="214"/>
      <c r="Q76" s="214">
        <v>41</v>
      </c>
      <c r="R76" s="215">
        <f t="shared" si="8"/>
        <v>60.6</v>
      </c>
      <c r="S76" s="171">
        <v>1</v>
      </c>
      <c r="T76" s="285"/>
      <c r="U76" s="283"/>
      <c r="V76" s="178" t="s">
        <v>1047</v>
      </c>
      <c r="W76" s="171" t="s">
        <v>113</v>
      </c>
      <c r="X76" s="171" t="s">
        <v>12</v>
      </c>
      <c r="Y76" s="179">
        <v>32.1</v>
      </c>
      <c r="Z76" s="171" t="s">
        <v>1041</v>
      </c>
      <c r="AA76" s="171" t="s">
        <v>22</v>
      </c>
      <c r="AB76" s="171" t="s">
        <v>11</v>
      </c>
      <c r="AC76" s="171">
        <v>19.600000000000001</v>
      </c>
      <c r="AD76" s="178" t="s">
        <v>1043</v>
      </c>
      <c r="AE76" s="171" t="s">
        <v>20</v>
      </c>
      <c r="AF76" s="171" t="s">
        <v>12</v>
      </c>
      <c r="AG76" s="179">
        <v>8.9</v>
      </c>
      <c r="AL76" s="178"/>
      <c r="AO76" s="179"/>
      <c r="AP76" s="178"/>
      <c r="AS76" s="179"/>
      <c r="AW76" s="179"/>
      <c r="BA76" s="180"/>
    </row>
    <row r="77" spans="1:53" s="171" customFormat="1" x14ac:dyDescent="0.15">
      <c r="A77" s="171">
        <v>2010</v>
      </c>
      <c r="B77" s="283"/>
      <c r="C77" s="410" t="s">
        <v>1048</v>
      </c>
      <c r="D77" s="410"/>
      <c r="E77" s="171">
        <v>60</v>
      </c>
      <c r="G77" s="233">
        <v>3</v>
      </c>
      <c r="I77" s="171">
        <v>8</v>
      </c>
      <c r="J77" s="241">
        <v>12</v>
      </c>
      <c r="K77" s="214">
        <f t="shared" si="16"/>
        <v>25</v>
      </c>
      <c r="L77" s="214">
        <f t="shared" si="17"/>
        <v>0</v>
      </c>
      <c r="M77" s="214">
        <f t="shared" si="18"/>
        <v>66.666666666666657</v>
      </c>
      <c r="N77" s="235">
        <f t="shared" si="9"/>
        <v>91.666666666666657</v>
      </c>
      <c r="O77" s="213">
        <v>19.600000000000001</v>
      </c>
      <c r="P77" s="214"/>
      <c r="Q77" s="214">
        <v>41</v>
      </c>
      <c r="R77" s="215">
        <f t="shared" si="8"/>
        <v>60.6</v>
      </c>
      <c r="S77" s="171">
        <v>1</v>
      </c>
      <c r="T77" s="285"/>
      <c r="U77" s="283"/>
      <c r="V77" s="178" t="s">
        <v>1047</v>
      </c>
      <c r="W77" s="171" t="s">
        <v>113</v>
      </c>
      <c r="X77" s="171" t="s">
        <v>12</v>
      </c>
      <c r="Y77" s="179">
        <v>32.1</v>
      </c>
      <c r="Z77" s="171" t="s">
        <v>1041</v>
      </c>
      <c r="AA77" s="171" t="s">
        <v>22</v>
      </c>
      <c r="AB77" s="171" t="s">
        <v>11</v>
      </c>
      <c r="AC77" s="171">
        <v>19.600000000000001</v>
      </c>
      <c r="AD77" s="178" t="s">
        <v>1043</v>
      </c>
      <c r="AE77" s="171" t="s">
        <v>20</v>
      </c>
      <c r="AF77" s="171" t="s">
        <v>12</v>
      </c>
      <c r="AG77" s="179">
        <v>8.9</v>
      </c>
      <c r="AL77" s="178"/>
      <c r="AO77" s="179"/>
      <c r="AP77" s="178"/>
      <c r="AS77" s="179"/>
      <c r="AW77" s="179"/>
      <c r="BA77" s="180"/>
    </row>
    <row r="78" spans="1:53" s="171" customFormat="1" x14ac:dyDescent="0.15">
      <c r="A78" s="171">
        <v>2010</v>
      </c>
      <c r="B78" s="305">
        <v>40239</v>
      </c>
      <c r="C78" s="410" t="s">
        <v>1048</v>
      </c>
      <c r="D78" s="410"/>
      <c r="E78" s="171">
        <f>365-E77</f>
        <v>305</v>
      </c>
      <c r="F78" s="244">
        <v>0</v>
      </c>
      <c r="G78" s="233">
        <v>3</v>
      </c>
      <c r="I78" s="171">
        <v>5</v>
      </c>
      <c r="J78" s="241">
        <v>12</v>
      </c>
      <c r="K78" s="214">
        <f t="shared" si="16"/>
        <v>25</v>
      </c>
      <c r="L78" s="214">
        <f t="shared" si="17"/>
        <v>0</v>
      </c>
      <c r="M78" s="214">
        <f t="shared" si="18"/>
        <v>41.666666666666671</v>
      </c>
      <c r="N78" s="235">
        <f t="shared" si="9"/>
        <v>66.666666666666671</v>
      </c>
      <c r="O78" s="213">
        <v>19.600000000000001</v>
      </c>
      <c r="P78" s="214"/>
      <c r="Q78" s="214">
        <v>32.1</v>
      </c>
      <c r="R78" s="215">
        <f t="shared" si="8"/>
        <v>51.7</v>
      </c>
      <c r="S78" s="171">
        <v>1</v>
      </c>
      <c r="T78" s="285"/>
      <c r="U78" s="283"/>
      <c r="V78" s="178" t="s">
        <v>1047</v>
      </c>
      <c r="W78" s="171" t="s">
        <v>113</v>
      </c>
      <c r="X78" s="171" t="s">
        <v>12</v>
      </c>
      <c r="Y78" s="179">
        <v>32.1</v>
      </c>
      <c r="Z78" s="171" t="s">
        <v>1041</v>
      </c>
      <c r="AA78" s="171" t="s">
        <v>22</v>
      </c>
      <c r="AB78" s="171" t="s">
        <v>11</v>
      </c>
      <c r="AC78" s="171">
        <v>19.600000000000001</v>
      </c>
      <c r="AD78" s="178"/>
      <c r="AG78" s="179"/>
      <c r="AL78" s="178"/>
      <c r="AO78" s="179"/>
      <c r="AP78" s="178"/>
      <c r="AS78" s="179"/>
      <c r="AW78" s="179"/>
      <c r="BA78" s="180"/>
    </row>
    <row r="79" spans="1:53" s="171" customFormat="1" x14ac:dyDescent="0.15">
      <c r="A79" s="171">
        <v>2011</v>
      </c>
      <c r="B79" s="283"/>
      <c r="C79" s="410" t="s">
        <v>1048</v>
      </c>
      <c r="D79" s="410"/>
      <c r="E79" s="171">
        <v>141</v>
      </c>
      <c r="G79" s="233">
        <v>3</v>
      </c>
      <c r="I79" s="171">
        <v>5</v>
      </c>
      <c r="J79" s="241">
        <v>12</v>
      </c>
      <c r="K79" s="214">
        <f t="shared" ref="K79:K85" si="19">G79/J79*100</f>
        <v>25</v>
      </c>
      <c r="L79" s="214">
        <f t="shared" ref="L79:L85" si="20">H79/J79*100</f>
        <v>0</v>
      </c>
      <c r="M79" s="214">
        <f t="shared" ref="M79:M85" si="21">I79/J79*100</f>
        <v>41.666666666666671</v>
      </c>
      <c r="N79" s="235">
        <f t="shared" si="9"/>
        <v>66.666666666666671</v>
      </c>
      <c r="O79" s="213">
        <v>19.600000000000001</v>
      </c>
      <c r="P79" s="214"/>
      <c r="Q79" s="214">
        <v>32.1</v>
      </c>
      <c r="R79" s="215">
        <f t="shared" si="8"/>
        <v>51.7</v>
      </c>
      <c r="S79" s="171">
        <v>1</v>
      </c>
      <c r="T79" s="285"/>
      <c r="U79" s="283"/>
      <c r="V79" s="178" t="s">
        <v>1047</v>
      </c>
      <c r="W79" s="171" t="s">
        <v>113</v>
      </c>
      <c r="X79" s="171" t="s">
        <v>12</v>
      </c>
      <c r="Y79" s="179">
        <v>32.1</v>
      </c>
      <c r="Z79" s="171" t="s">
        <v>1041</v>
      </c>
      <c r="AA79" s="171" t="s">
        <v>22</v>
      </c>
      <c r="AB79" s="171" t="s">
        <v>11</v>
      </c>
      <c r="AC79" s="171">
        <v>19.600000000000001</v>
      </c>
      <c r="AD79" s="178"/>
      <c r="AG79" s="179"/>
      <c r="AL79" s="178"/>
      <c r="AO79" s="179"/>
      <c r="AP79" s="178"/>
      <c r="AS79" s="179"/>
      <c r="AW79" s="179"/>
      <c r="BA79" s="180"/>
    </row>
    <row r="80" spans="1:53" s="171" customFormat="1" x14ac:dyDescent="0.15">
      <c r="A80" s="171">
        <v>2011</v>
      </c>
      <c r="B80" s="305">
        <v>40685</v>
      </c>
      <c r="C80" s="410" t="s">
        <v>1048</v>
      </c>
      <c r="D80" s="410"/>
      <c r="E80" s="171">
        <v>75</v>
      </c>
      <c r="F80" s="244" t="s">
        <v>327</v>
      </c>
      <c r="G80" s="233">
        <v>3</v>
      </c>
      <c r="I80" s="171">
        <v>6</v>
      </c>
      <c r="J80" s="241">
        <v>12</v>
      </c>
      <c r="K80" s="214">
        <f t="shared" si="19"/>
        <v>25</v>
      </c>
      <c r="L80" s="214">
        <f t="shared" si="20"/>
        <v>0</v>
      </c>
      <c r="M80" s="214">
        <f t="shared" si="21"/>
        <v>50</v>
      </c>
      <c r="N80" s="235">
        <f>SUM(K80:M80)</f>
        <v>75</v>
      </c>
      <c r="O80" s="213">
        <v>16.100000000000001</v>
      </c>
      <c r="P80" s="214"/>
      <c r="Q80" s="214">
        <v>33.9</v>
      </c>
      <c r="R80" s="215">
        <f>SUM(O80:Q80)</f>
        <v>50</v>
      </c>
      <c r="S80" s="171">
        <v>1</v>
      </c>
      <c r="T80" s="285">
        <v>40685</v>
      </c>
      <c r="U80" s="283"/>
      <c r="V80" s="178" t="s">
        <v>1047</v>
      </c>
      <c r="W80" s="171" t="s">
        <v>113</v>
      </c>
      <c r="X80" s="171" t="s">
        <v>12</v>
      </c>
      <c r="Y80" s="179">
        <v>33.9</v>
      </c>
      <c r="Z80" s="171" t="s">
        <v>1041</v>
      </c>
      <c r="AA80" s="171" t="s">
        <v>22</v>
      </c>
      <c r="AB80" s="171" t="s">
        <v>11</v>
      </c>
      <c r="AC80" s="171">
        <v>16.100000000000001</v>
      </c>
      <c r="AD80" s="178"/>
      <c r="AG80" s="179"/>
      <c r="AL80" s="178"/>
      <c r="AO80" s="179"/>
      <c r="AP80" s="178"/>
      <c r="AS80" s="179"/>
      <c r="AW80" s="179"/>
      <c r="BA80" s="180"/>
    </row>
    <row r="81" spans="1:53" s="171" customFormat="1" x14ac:dyDescent="0.15">
      <c r="A81" s="171">
        <v>2011</v>
      </c>
      <c r="B81" s="305">
        <v>40760</v>
      </c>
      <c r="C81" s="410" t="s">
        <v>1048</v>
      </c>
      <c r="D81" s="410"/>
      <c r="E81" s="171">
        <v>149</v>
      </c>
      <c r="F81" s="244">
        <v>0</v>
      </c>
      <c r="G81" s="233"/>
      <c r="I81" s="171">
        <v>5</v>
      </c>
      <c r="J81" s="241">
        <v>12</v>
      </c>
      <c r="K81" s="214">
        <f t="shared" si="19"/>
        <v>0</v>
      </c>
      <c r="L81" s="214">
        <f t="shared" si="20"/>
        <v>0</v>
      </c>
      <c r="M81" s="214">
        <f t="shared" si="21"/>
        <v>41.666666666666671</v>
      </c>
      <c r="N81" s="235">
        <f t="shared" si="9"/>
        <v>41.666666666666671</v>
      </c>
      <c r="O81" s="213"/>
      <c r="P81" s="214"/>
      <c r="Q81" s="214">
        <v>33.9</v>
      </c>
      <c r="R81" s="215">
        <f t="shared" si="8"/>
        <v>33.9</v>
      </c>
      <c r="S81" s="171">
        <v>1</v>
      </c>
      <c r="T81" s="285"/>
      <c r="U81" s="283"/>
      <c r="V81" s="178" t="s">
        <v>1047</v>
      </c>
      <c r="W81" s="171" t="s">
        <v>113</v>
      </c>
      <c r="X81" s="171" t="s">
        <v>12</v>
      </c>
      <c r="Y81" s="179">
        <v>33.9</v>
      </c>
      <c r="AD81" s="178"/>
      <c r="AG81" s="179"/>
      <c r="AL81" s="178"/>
      <c r="AO81" s="179"/>
      <c r="AP81" s="178"/>
      <c r="AS81" s="179"/>
      <c r="AW81" s="179"/>
      <c r="BA81" s="180"/>
    </row>
    <row r="82" spans="1:53" s="171" customFormat="1" x14ac:dyDescent="0.15">
      <c r="A82" s="171">
        <v>2012</v>
      </c>
      <c r="B82" s="305"/>
      <c r="C82" s="410" t="s">
        <v>1048</v>
      </c>
      <c r="D82" s="410"/>
      <c r="E82" s="171">
        <v>82</v>
      </c>
      <c r="F82" s="244"/>
      <c r="G82" s="233"/>
      <c r="I82" s="171">
        <v>5</v>
      </c>
      <c r="J82" s="241">
        <v>12</v>
      </c>
      <c r="K82" s="214">
        <f t="shared" si="19"/>
        <v>0</v>
      </c>
      <c r="L82" s="214">
        <f t="shared" si="20"/>
        <v>0</v>
      </c>
      <c r="M82" s="214">
        <f t="shared" si="21"/>
        <v>41.666666666666671</v>
      </c>
      <c r="N82" s="235">
        <f t="shared" si="9"/>
        <v>41.666666666666671</v>
      </c>
      <c r="O82" s="213"/>
      <c r="P82" s="214"/>
      <c r="Q82" s="214">
        <v>33.9</v>
      </c>
      <c r="R82" s="215">
        <f t="shared" si="8"/>
        <v>33.9</v>
      </c>
      <c r="S82" s="171">
        <v>1</v>
      </c>
      <c r="T82" s="285"/>
      <c r="U82" s="283"/>
      <c r="V82" s="178" t="s">
        <v>1047</v>
      </c>
      <c r="W82" s="171" t="s">
        <v>113</v>
      </c>
      <c r="X82" s="171" t="s">
        <v>12</v>
      </c>
      <c r="Y82" s="179">
        <v>33.9</v>
      </c>
      <c r="AD82" s="178"/>
      <c r="AG82" s="179"/>
      <c r="AL82" s="178"/>
      <c r="AO82" s="179"/>
      <c r="AP82" s="178"/>
      <c r="AS82" s="179"/>
      <c r="AW82" s="179"/>
      <c r="BA82" s="180"/>
    </row>
    <row r="83" spans="1:53" s="171" customFormat="1" x14ac:dyDescent="0.15">
      <c r="A83" s="171">
        <v>2012</v>
      </c>
      <c r="B83" s="305">
        <v>40991</v>
      </c>
      <c r="C83" s="410" t="s">
        <v>1048</v>
      </c>
      <c r="D83" s="410"/>
      <c r="E83" s="171">
        <v>206</v>
      </c>
      <c r="F83" s="244">
        <v>0</v>
      </c>
      <c r="G83" s="233"/>
      <c r="I83" s="171">
        <v>4</v>
      </c>
      <c r="J83" s="241">
        <v>12</v>
      </c>
      <c r="K83" s="214">
        <f t="shared" si="19"/>
        <v>0</v>
      </c>
      <c r="L83" s="214">
        <f t="shared" si="20"/>
        <v>0</v>
      </c>
      <c r="M83" s="214">
        <f t="shared" si="21"/>
        <v>33.333333333333329</v>
      </c>
      <c r="N83" s="235">
        <f t="shared" si="9"/>
        <v>33.333333333333329</v>
      </c>
      <c r="O83" s="213"/>
      <c r="P83" s="214"/>
      <c r="Q83" s="214">
        <v>33.9</v>
      </c>
      <c r="R83" s="215">
        <f t="shared" si="8"/>
        <v>33.9</v>
      </c>
      <c r="S83" s="171">
        <v>1</v>
      </c>
      <c r="T83" s="285"/>
      <c r="U83" s="283"/>
      <c r="V83" s="178" t="s">
        <v>1047</v>
      </c>
      <c r="W83" s="171" t="s">
        <v>113</v>
      </c>
      <c r="X83" s="171" t="s">
        <v>12</v>
      </c>
      <c r="Y83" s="179">
        <v>33.9</v>
      </c>
      <c r="AD83" s="178"/>
      <c r="AG83" s="179"/>
      <c r="AL83" s="178"/>
      <c r="AO83" s="179"/>
      <c r="AP83" s="178"/>
      <c r="AS83" s="179"/>
      <c r="AW83" s="179"/>
      <c r="BA83" s="180"/>
    </row>
    <row r="84" spans="1:53" s="171" customFormat="1" x14ac:dyDescent="0.15">
      <c r="A84" s="171">
        <v>2012</v>
      </c>
      <c r="B84" s="305">
        <v>41197</v>
      </c>
      <c r="C84" s="410" t="s">
        <v>1048</v>
      </c>
      <c r="D84" s="410"/>
      <c r="E84" s="171">
        <v>78</v>
      </c>
      <c r="F84" s="244">
        <v>0</v>
      </c>
      <c r="G84" s="233"/>
      <c r="I84" s="171">
        <v>3</v>
      </c>
      <c r="J84" s="241">
        <v>12</v>
      </c>
      <c r="K84" s="214">
        <f t="shared" si="19"/>
        <v>0</v>
      </c>
      <c r="L84" s="214">
        <f t="shared" si="20"/>
        <v>0</v>
      </c>
      <c r="M84" s="214">
        <f t="shared" si="21"/>
        <v>25</v>
      </c>
      <c r="N84" s="235">
        <f t="shared" si="9"/>
        <v>25</v>
      </c>
      <c r="O84" s="213"/>
      <c r="P84" s="214"/>
      <c r="Q84" s="214">
        <v>33.9</v>
      </c>
      <c r="R84" s="215">
        <f t="shared" si="8"/>
        <v>33.9</v>
      </c>
      <c r="S84" s="171">
        <v>1</v>
      </c>
      <c r="T84" s="285"/>
      <c r="U84" s="283"/>
      <c r="V84" s="178" t="s">
        <v>1047</v>
      </c>
      <c r="W84" s="171" t="s">
        <v>113</v>
      </c>
      <c r="X84" s="171" t="s">
        <v>12</v>
      </c>
      <c r="Y84" s="179">
        <v>33.9</v>
      </c>
      <c r="AD84" s="178"/>
      <c r="AG84" s="179"/>
      <c r="AL84" s="178"/>
      <c r="AO84" s="179"/>
      <c r="AP84" s="178"/>
      <c r="AS84" s="179"/>
      <c r="AW84" s="179"/>
      <c r="BA84" s="180"/>
    </row>
    <row r="85" spans="1:53" s="171" customFormat="1" x14ac:dyDescent="0.15">
      <c r="A85" s="171">
        <v>2013</v>
      </c>
      <c r="B85" s="305"/>
      <c r="C85" s="410" t="s">
        <v>1048</v>
      </c>
      <c r="D85" s="410"/>
      <c r="E85" s="171">
        <v>58</v>
      </c>
      <c r="F85" s="244"/>
      <c r="G85" s="233"/>
      <c r="I85" s="171">
        <v>3</v>
      </c>
      <c r="J85" s="241">
        <v>12</v>
      </c>
      <c r="K85" s="214">
        <f t="shared" si="19"/>
        <v>0</v>
      </c>
      <c r="L85" s="214">
        <f t="shared" si="20"/>
        <v>0</v>
      </c>
      <c r="M85" s="214">
        <f t="shared" si="21"/>
        <v>25</v>
      </c>
      <c r="N85" s="235">
        <f t="shared" si="9"/>
        <v>25</v>
      </c>
      <c r="O85" s="213"/>
      <c r="P85" s="214"/>
      <c r="Q85" s="214">
        <v>33.9</v>
      </c>
      <c r="R85" s="215">
        <f t="shared" si="8"/>
        <v>33.9</v>
      </c>
      <c r="S85" s="171">
        <v>1</v>
      </c>
      <c r="T85" s="285"/>
      <c r="U85" s="283"/>
      <c r="V85" s="178" t="s">
        <v>1047</v>
      </c>
      <c r="W85" s="171" t="s">
        <v>113</v>
      </c>
      <c r="X85" s="171" t="s">
        <v>12</v>
      </c>
      <c r="Y85" s="179">
        <v>33.9</v>
      </c>
      <c r="AD85" s="178"/>
      <c r="AG85" s="179"/>
      <c r="AL85" s="178"/>
      <c r="AO85" s="179"/>
      <c r="AP85" s="178"/>
      <c r="AS85" s="179"/>
      <c r="AW85" s="179"/>
      <c r="BA85" s="180"/>
    </row>
    <row r="86" spans="1:53" s="29" customFormat="1" ht="11" customHeight="1" x14ac:dyDescent="0.15">
      <c r="A86" s="29">
        <v>2013</v>
      </c>
      <c r="B86" s="295">
        <v>41333</v>
      </c>
      <c r="C86" s="411" t="s">
        <v>1251</v>
      </c>
      <c r="D86" s="411"/>
      <c r="E86" s="29">
        <v>34</v>
      </c>
      <c r="F86" s="29">
        <v>1</v>
      </c>
      <c r="G86" s="66">
        <v>11</v>
      </c>
      <c r="J86" s="73">
        <v>12</v>
      </c>
      <c r="K86" s="47">
        <f>G86/J86*100</f>
        <v>91.666666666666657</v>
      </c>
      <c r="L86" s="47">
        <f>H86/J86*100</f>
        <v>0</v>
      </c>
      <c r="M86" s="47">
        <f>I86/J86*100</f>
        <v>0</v>
      </c>
      <c r="N86" s="68">
        <f t="shared" si="9"/>
        <v>91.666666666666657</v>
      </c>
      <c r="O86" s="46">
        <v>53.6</v>
      </c>
      <c r="P86" s="47"/>
      <c r="Q86" s="47"/>
      <c r="R86" s="48">
        <f t="shared" si="8"/>
        <v>53.6</v>
      </c>
      <c r="S86" s="29">
        <v>1</v>
      </c>
      <c r="T86" s="286"/>
      <c r="U86" s="295">
        <v>41333</v>
      </c>
      <c r="V86" s="38" t="s">
        <v>1040</v>
      </c>
      <c r="W86" s="29" t="s">
        <v>74</v>
      </c>
      <c r="X86" s="29" t="s">
        <v>11</v>
      </c>
      <c r="Y86" s="39">
        <v>35.700000000000003</v>
      </c>
      <c r="Z86" s="29" t="s">
        <v>1041</v>
      </c>
      <c r="AA86" s="29" t="s">
        <v>22</v>
      </c>
      <c r="AB86" s="29" t="s">
        <v>11</v>
      </c>
      <c r="AC86" s="29">
        <v>14.3</v>
      </c>
      <c r="AD86" s="38" t="s">
        <v>1252</v>
      </c>
      <c r="AE86" s="29" t="s">
        <v>106</v>
      </c>
      <c r="AF86" s="29" t="s">
        <v>11</v>
      </c>
      <c r="AG86" s="39">
        <v>3.6</v>
      </c>
      <c r="AL86" s="38"/>
      <c r="AO86" s="39"/>
      <c r="AP86" s="38"/>
      <c r="AS86" s="39"/>
      <c r="AW86" s="39"/>
      <c r="BA86" s="40"/>
    </row>
    <row r="87" spans="1:53" s="29" customFormat="1" ht="11" customHeight="1" x14ac:dyDescent="0.15">
      <c r="A87" s="29">
        <v>2013</v>
      </c>
      <c r="B87" s="303">
        <v>41367</v>
      </c>
      <c r="C87" s="411" t="s">
        <v>1251</v>
      </c>
      <c r="D87" s="411"/>
      <c r="E87" s="29">
        <f>365-E86-E85</f>
        <v>273</v>
      </c>
      <c r="F87" s="84">
        <v>0</v>
      </c>
      <c r="G87" s="66">
        <v>12</v>
      </c>
      <c r="J87" s="73">
        <v>12</v>
      </c>
      <c r="K87" s="47">
        <f>G87/J87*100</f>
        <v>100</v>
      </c>
      <c r="L87" s="47">
        <f>H87/J87*100</f>
        <v>0</v>
      </c>
      <c r="M87" s="47">
        <f>I87/J87*100</f>
        <v>0</v>
      </c>
      <c r="N87" s="68">
        <f t="shared" si="9"/>
        <v>100</v>
      </c>
      <c r="O87" s="46">
        <v>53.6</v>
      </c>
      <c r="P87" s="47"/>
      <c r="Q87" s="47"/>
      <c r="R87" s="48">
        <f>SUM(O87:Q87)</f>
        <v>53.6</v>
      </c>
      <c r="S87" s="29">
        <v>1</v>
      </c>
      <c r="T87" s="286"/>
      <c r="U87" s="295"/>
      <c r="V87" s="38" t="s">
        <v>1040</v>
      </c>
      <c r="W87" s="29" t="s">
        <v>74</v>
      </c>
      <c r="X87" s="29" t="s">
        <v>11</v>
      </c>
      <c r="Y87" s="39">
        <v>35.700000000000003</v>
      </c>
      <c r="Z87" s="29" t="s">
        <v>1041</v>
      </c>
      <c r="AA87" s="29" t="s">
        <v>22</v>
      </c>
      <c r="AB87" s="29" t="s">
        <v>11</v>
      </c>
      <c r="AC87" s="29">
        <v>14.3</v>
      </c>
      <c r="AD87" s="38" t="s">
        <v>1252</v>
      </c>
      <c r="AE87" s="29" t="s">
        <v>106</v>
      </c>
      <c r="AF87" s="29" t="s">
        <v>11</v>
      </c>
      <c r="AG87" s="39">
        <v>3.6</v>
      </c>
      <c r="AL87" s="38"/>
      <c r="AO87" s="39"/>
      <c r="AP87" s="38"/>
      <c r="AS87" s="39"/>
      <c r="AW87" s="39"/>
      <c r="BA87" s="40"/>
    </row>
    <row r="88" spans="1:53" s="29" customFormat="1" ht="11" customHeight="1" x14ac:dyDescent="0.15">
      <c r="A88" s="29">
        <v>2014</v>
      </c>
      <c r="B88" s="303"/>
      <c r="C88" s="411" t="s">
        <v>1251</v>
      </c>
      <c r="D88" s="411"/>
      <c r="E88" s="29">
        <v>61</v>
      </c>
      <c r="F88" s="84"/>
      <c r="G88" s="66">
        <v>12</v>
      </c>
      <c r="J88" s="73">
        <v>12</v>
      </c>
      <c r="K88" s="47">
        <f>G88/J88*100</f>
        <v>100</v>
      </c>
      <c r="L88" s="47">
        <f>H88/J88*100</f>
        <v>0</v>
      </c>
      <c r="M88" s="47">
        <f>I88/J88*100</f>
        <v>0</v>
      </c>
      <c r="N88" s="68">
        <f>SUM(K88:M88)</f>
        <v>100</v>
      </c>
      <c r="O88" s="46">
        <v>53.6</v>
      </c>
      <c r="P88" s="47"/>
      <c r="Q88" s="47"/>
      <c r="R88" s="48">
        <f>SUM(O88:Q88)</f>
        <v>53.6</v>
      </c>
      <c r="S88" s="29">
        <v>1</v>
      </c>
      <c r="T88" s="286"/>
      <c r="U88" s="295"/>
      <c r="V88" s="38" t="s">
        <v>1040</v>
      </c>
      <c r="W88" s="29" t="s">
        <v>74</v>
      </c>
      <c r="X88" s="29" t="s">
        <v>11</v>
      </c>
      <c r="Y88" s="39">
        <v>35.700000000000003</v>
      </c>
      <c r="Z88" s="29" t="s">
        <v>1041</v>
      </c>
      <c r="AA88" s="29" t="s">
        <v>22</v>
      </c>
      <c r="AB88" s="29" t="s">
        <v>11</v>
      </c>
      <c r="AC88" s="29">
        <v>14.3</v>
      </c>
      <c r="AD88" s="38" t="s">
        <v>1252</v>
      </c>
      <c r="AE88" s="29" t="s">
        <v>106</v>
      </c>
      <c r="AF88" s="29" t="s">
        <v>11</v>
      </c>
      <c r="AG88" s="39">
        <v>3.6</v>
      </c>
      <c r="AL88" s="38"/>
      <c r="AO88" s="39"/>
      <c r="AP88" s="38"/>
      <c r="AS88" s="39"/>
      <c r="AW88" s="39"/>
      <c r="BA88" s="40"/>
    </row>
    <row r="89" spans="1:53" s="29" customFormat="1" ht="11" customHeight="1" x14ac:dyDescent="0.15">
      <c r="A89" s="29">
        <v>2014</v>
      </c>
      <c r="B89" s="303">
        <v>41701</v>
      </c>
      <c r="C89" s="411" t="s">
        <v>1251</v>
      </c>
      <c r="D89" s="411"/>
      <c r="E89" s="29">
        <v>11</v>
      </c>
      <c r="F89" s="84">
        <v>0</v>
      </c>
      <c r="G89" s="66">
        <v>11</v>
      </c>
      <c r="J89" s="73">
        <v>12</v>
      </c>
      <c r="K89" s="47">
        <f>G89/J89*100</f>
        <v>91.666666666666657</v>
      </c>
      <c r="L89" s="47">
        <f>H89/J89*100</f>
        <v>0</v>
      </c>
      <c r="M89" s="47">
        <f>I89/J89*100</f>
        <v>0</v>
      </c>
      <c r="N89" s="68">
        <f>SUM(K89:M89)</f>
        <v>91.666666666666657</v>
      </c>
      <c r="O89" s="46">
        <v>53.6</v>
      </c>
      <c r="P89" s="47"/>
      <c r="Q89" s="47"/>
      <c r="R89" s="48">
        <f>SUM(O89:Q89)</f>
        <v>53.6</v>
      </c>
      <c r="S89" s="29">
        <v>1</v>
      </c>
      <c r="T89" s="286"/>
      <c r="U89" s="295"/>
      <c r="V89" s="38" t="s">
        <v>1040</v>
      </c>
      <c r="W89" s="29" t="s">
        <v>74</v>
      </c>
      <c r="X89" s="29" t="s">
        <v>11</v>
      </c>
      <c r="Y89" s="39">
        <v>35.700000000000003</v>
      </c>
      <c r="Z89" s="29" t="s">
        <v>1041</v>
      </c>
      <c r="AA89" s="29" t="s">
        <v>22</v>
      </c>
      <c r="AB89" s="29" t="s">
        <v>11</v>
      </c>
      <c r="AC89" s="29">
        <v>14.3</v>
      </c>
      <c r="AD89" s="38" t="s">
        <v>1252</v>
      </c>
      <c r="AE89" s="29" t="s">
        <v>106</v>
      </c>
      <c r="AF89" s="29" t="s">
        <v>11</v>
      </c>
      <c r="AG89" s="39">
        <v>3.6</v>
      </c>
      <c r="AL89" s="38"/>
      <c r="AO89" s="39"/>
      <c r="AP89" s="38"/>
      <c r="AS89" s="39"/>
      <c r="AW89" s="39"/>
      <c r="BA89" s="40"/>
    </row>
    <row r="90" spans="1:53" s="29" customFormat="1" ht="11" customHeight="1" x14ac:dyDescent="0.15">
      <c r="A90" s="29">
        <v>2014</v>
      </c>
      <c r="B90" s="303">
        <v>41712</v>
      </c>
      <c r="C90" s="411" t="s">
        <v>1251</v>
      </c>
      <c r="D90" s="411"/>
      <c r="E90" s="29">
        <v>293</v>
      </c>
      <c r="F90" s="84">
        <v>0</v>
      </c>
      <c r="G90" s="66">
        <v>8</v>
      </c>
      <c r="J90" s="73">
        <v>12</v>
      </c>
      <c r="K90" s="47">
        <f>G90/J90*100</f>
        <v>66.666666666666657</v>
      </c>
      <c r="L90" s="47">
        <f>H90/J90*100</f>
        <v>0</v>
      </c>
      <c r="M90" s="47">
        <f>I90/J90*100</f>
        <v>0</v>
      </c>
      <c r="N90" s="68">
        <f>SUM(K90:M90)</f>
        <v>66.666666666666657</v>
      </c>
      <c r="O90" s="46">
        <v>37.5</v>
      </c>
      <c r="P90" s="47"/>
      <c r="Q90" s="47"/>
      <c r="R90" s="48">
        <f>SUM(O90:Q90)</f>
        <v>37.5</v>
      </c>
      <c r="S90" s="29">
        <v>1</v>
      </c>
      <c r="T90" s="286"/>
      <c r="U90" s="295">
        <v>41712</v>
      </c>
      <c r="V90" s="38" t="s">
        <v>1040</v>
      </c>
      <c r="W90" s="29" t="s">
        <v>74</v>
      </c>
      <c r="X90" s="29" t="s">
        <v>11</v>
      </c>
      <c r="Y90" s="39">
        <v>35.700000000000003</v>
      </c>
      <c r="Z90" s="29" t="s">
        <v>1252</v>
      </c>
      <c r="AA90" s="29" t="s">
        <v>106</v>
      </c>
      <c r="AB90" s="29" t="s">
        <v>11</v>
      </c>
      <c r="AC90" s="29">
        <v>1.8</v>
      </c>
      <c r="AD90" s="38"/>
      <c r="AG90" s="39"/>
      <c r="AL90" s="38"/>
      <c r="AO90" s="39"/>
      <c r="AP90" s="38"/>
      <c r="AS90" s="39"/>
      <c r="AW90" s="39"/>
      <c r="BA90" s="40"/>
    </row>
    <row r="91" spans="1:53" s="29" customFormat="1" ht="11" customHeight="1" x14ac:dyDescent="0.15">
      <c r="A91" s="29">
        <v>2015</v>
      </c>
      <c r="B91" s="303"/>
      <c r="C91" s="411" t="s">
        <v>1251</v>
      </c>
      <c r="D91" s="411"/>
      <c r="E91" s="29">
        <v>0</v>
      </c>
      <c r="F91" s="84"/>
      <c r="G91" s="66">
        <v>9</v>
      </c>
      <c r="J91" s="73">
        <v>12</v>
      </c>
      <c r="K91" s="47">
        <f t="shared" ref="K91" si="22">G91/J91*100</f>
        <v>75</v>
      </c>
      <c r="L91" s="47">
        <f t="shared" ref="L91:L96" si="23">H91/J91*100</f>
        <v>0</v>
      </c>
      <c r="M91" s="47">
        <f t="shared" ref="M91:M96" si="24">I91/J91*100</f>
        <v>0</v>
      </c>
      <c r="N91" s="68">
        <f t="shared" ref="N91:N96" si="25">SUM(K91:M91)</f>
        <v>75</v>
      </c>
      <c r="O91" s="46">
        <v>37.5</v>
      </c>
      <c r="P91" s="47"/>
      <c r="Q91" s="47"/>
      <c r="R91" s="48">
        <f t="shared" ref="R91:R96" si="26">SUM(O91:Q91)</f>
        <v>37.5</v>
      </c>
      <c r="S91" s="29">
        <v>1</v>
      </c>
      <c r="T91" s="286"/>
      <c r="U91" s="295"/>
      <c r="V91" s="38" t="s">
        <v>1040</v>
      </c>
      <c r="W91" s="29" t="s">
        <v>74</v>
      </c>
      <c r="X91" s="29" t="s">
        <v>11</v>
      </c>
      <c r="Y91" s="39">
        <v>35.700000000000003</v>
      </c>
      <c r="Z91" s="29" t="s">
        <v>1252</v>
      </c>
      <c r="AA91" s="29" t="s">
        <v>106</v>
      </c>
      <c r="AB91" s="29" t="s">
        <v>11</v>
      </c>
      <c r="AC91" s="29">
        <v>1.8</v>
      </c>
      <c r="AD91" s="38"/>
      <c r="AG91" s="39"/>
      <c r="AL91" s="38"/>
      <c r="AO91" s="39"/>
      <c r="AP91" s="38"/>
      <c r="AS91" s="39"/>
      <c r="AW91" s="39"/>
      <c r="BA91" s="40"/>
    </row>
    <row r="92" spans="1:53" s="29" customFormat="1" ht="11" customHeight="1" x14ac:dyDescent="0.15">
      <c r="A92" s="29">
        <v>2015</v>
      </c>
      <c r="B92" s="303"/>
      <c r="C92" s="411" t="s">
        <v>1251</v>
      </c>
      <c r="D92" s="411"/>
      <c r="E92" s="29">
        <v>365</v>
      </c>
      <c r="F92" s="84"/>
      <c r="G92" s="66">
        <v>9</v>
      </c>
      <c r="J92" s="73">
        <v>12</v>
      </c>
      <c r="K92" s="47">
        <f t="shared" ref="K92:K97" si="27">G92/J92*100</f>
        <v>75</v>
      </c>
      <c r="L92" s="47">
        <f t="shared" si="23"/>
        <v>0</v>
      </c>
      <c r="M92" s="47">
        <f t="shared" si="24"/>
        <v>0</v>
      </c>
      <c r="N92" s="68">
        <f t="shared" si="25"/>
        <v>75</v>
      </c>
      <c r="O92" s="46">
        <v>37.5</v>
      </c>
      <c r="P92" s="47"/>
      <c r="Q92" s="47"/>
      <c r="R92" s="48">
        <f t="shared" si="26"/>
        <v>37.5</v>
      </c>
      <c r="S92" s="29">
        <v>1</v>
      </c>
      <c r="T92" s="286"/>
      <c r="U92" s="295"/>
      <c r="V92" s="38" t="s">
        <v>1040</v>
      </c>
      <c r="W92" s="29" t="s">
        <v>74</v>
      </c>
      <c r="X92" s="29" t="s">
        <v>11</v>
      </c>
      <c r="Y92" s="39">
        <v>35.700000000000003</v>
      </c>
      <c r="Z92" s="29" t="s">
        <v>1252</v>
      </c>
      <c r="AA92" s="29" t="s">
        <v>106</v>
      </c>
      <c r="AB92" s="29" t="s">
        <v>11</v>
      </c>
      <c r="AC92" s="29">
        <v>1.8</v>
      </c>
      <c r="AD92" s="38"/>
      <c r="AG92" s="39"/>
      <c r="AL92" s="38"/>
      <c r="AO92" s="39"/>
      <c r="AP92" s="38"/>
      <c r="AS92" s="39"/>
      <c r="AW92" s="39"/>
      <c r="BA92" s="40"/>
    </row>
    <row r="93" spans="1:53" s="29" customFormat="1" ht="11" customHeight="1" x14ac:dyDescent="0.15">
      <c r="A93" s="29">
        <v>2016</v>
      </c>
      <c r="B93" s="303"/>
      <c r="C93" s="411" t="s">
        <v>1251</v>
      </c>
      <c r="D93" s="411"/>
      <c r="E93" s="29">
        <v>88</v>
      </c>
      <c r="F93" s="84"/>
      <c r="G93" s="66">
        <v>9</v>
      </c>
      <c r="J93" s="73">
        <v>12</v>
      </c>
      <c r="K93" s="47">
        <f t="shared" si="27"/>
        <v>75</v>
      </c>
      <c r="L93" s="47">
        <f t="shared" si="23"/>
        <v>0</v>
      </c>
      <c r="M93" s="47">
        <f t="shared" si="24"/>
        <v>0</v>
      </c>
      <c r="N93" s="68">
        <f t="shared" si="25"/>
        <v>75</v>
      </c>
      <c r="O93" s="46">
        <v>37.5</v>
      </c>
      <c r="P93" s="47"/>
      <c r="Q93" s="47"/>
      <c r="R93" s="48">
        <f t="shared" si="26"/>
        <v>37.5</v>
      </c>
      <c r="S93" s="29">
        <v>1</v>
      </c>
      <c r="T93" s="286"/>
      <c r="U93" s="295"/>
      <c r="V93" s="38" t="s">
        <v>1040</v>
      </c>
      <c r="W93" s="29" t="s">
        <v>74</v>
      </c>
      <c r="X93" s="29" t="s">
        <v>11</v>
      </c>
      <c r="Y93" s="39">
        <v>35.700000000000003</v>
      </c>
      <c r="Z93" s="29" t="s">
        <v>1252</v>
      </c>
      <c r="AA93" s="29" t="s">
        <v>106</v>
      </c>
      <c r="AB93" s="29" t="s">
        <v>11</v>
      </c>
      <c r="AC93" s="29">
        <v>1.8</v>
      </c>
      <c r="AD93" s="38"/>
      <c r="AG93" s="39"/>
      <c r="AL93" s="38"/>
      <c r="AO93" s="39"/>
      <c r="AP93" s="38"/>
      <c r="AS93" s="39"/>
      <c r="AW93" s="39"/>
      <c r="BA93" s="40"/>
    </row>
    <row r="94" spans="1:53" s="29" customFormat="1" ht="11" customHeight="1" x14ac:dyDescent="0.15">
      <c r="A94" s="29">
        <v>2016</v>
      </c>
      <c r="B94" s="303">
        <v>42458</v>
      </c>
      <c r="C94" s="411" t="s">
        <v>1251</v>
      </c>
      <c r="D94" s="411"/>
      <c r="E94" s="29">
        <v>54</v>
      </c>
      <c r="F94" s="84">
        <v>0</v>
      </c>
      <c r="G94" s="66">
        <v>8</v>
      </c>
      <c r="J94" s="73">
        <v>12</v>
      </c>
      <c r="K94" s="47">
        <f t="shared" si="27"/>
        <v>66.666666666666657</v>
      </c>
      <c r="L94" s="47">
        <f t="shared" ref="L94" si="28">H94/J94*100</f>
        <v>0</v>
      </c>
      <c r="M94" s="47">
        <f t="shared" ref="M94" si="29">I94/J94*100</f>
        <v>0</v>
      </c>
      <c r="N94" s="68">
        <f t="shared" ref="N94" si="30">SUM(K94:M94)</f>
        <v>66.666666666666657</v>
      </c>
      <c r="O94" s="46">
        <v>35.700000000000003</v>
      </c>
      <c r="P94" s="47"/>
      <c r="Q94" s="47"/>
      <c r="R94" s="48">
        <f t="shared" ref="R94" si="31">SUM(O94:Q94)</f>
        <v>35.700000000000003</v>
      </c>
      <c r="S94" s="29">
        <v>1</v>
      </c>
      <c r="T94" s="286"/>
      <c r="U94" s="295"/>
      <c r="V94" s="38" t="s">
        <v>1040</v>
      </c>
      <c r="W94" s="29" t="s">
        <v>74</v>
      </c>
      <c r="X94" s="29" t="s">
        <v>11</v>
      </c>
      <c r="Y94" s="39">
        <v>35.700000000000003</v>
      </c>
      <c r="AD94" s="38"/>
      <c r="AG94" s="39"/>
      <c r="AL94" s="38"/>
      <c r="AO94" s="39"/>
      <c r="AP94" s="38"/>
      <c r="AS94" s="39"/>
      <c r="AW94" s="39"/>
      <c r="BA94" s="40"/>
    </row>
    <row r="95" spans="1:53" s="29" customFormat="1" ht="11" customHeight="1" x14ac:dyDescent="0.15">
      <c r="A95" s="29">
        <v>2016</v>
      </c>
      <c r="B95" s="303"/>
      <c r="C95" s="411" t="s">
        <v>1251</v>
      </c>
      <c r="D95" s="411"/>
      <c r="E95" s="29">
        <v>224</v>
      </c>
      <c r="F95" s="84"/>
      <c r="G95" s="66">
        <v>8</v>
      </c>
      <c r="J95" s="73">
        <v>12</v>
      </c>
      <c r="K95" s="47">
        <f t="shared" si="27"/>
        <v>66.666666666666657</v>
      </c>
      <c r="L95" s="47">
        <f t="shared" si="23"/>
        <v>0</v>
      </c>
      <c r="M95" s="47">
        <f t="shared" si="24"/>
        <v>0</v>
      </c>
      <c r="N95" s="68">
        <f t="shared" si="25"/>
        <v>66.666666666666657</v>
      </c>
      <c r="O95" s="46">
        <v>32.1</v>
      </c>
      <c r="P95" s="47"/>
      <c r="Q95" s="47"/>
      <c r="R95" s="48">
        <f t="shared" ref="R95" si="32">SUM(O95:Q95)</f>
        <v>32.1</v>
      </c>
      <c r="S95" s="29">
        <v>1</v>
      </c>
      <c r="T95" s="286">
        <v>42512</v>
      </c>
      <c r="U95" s="295"/>
      <c r="V95" s="38" t="s">
        <v>1040</v>
      </c>
      <c r="W95" s="29" t="s">
        <v>74</v>
      </c>
      <c r="X95" s="29" t="s">
        <v>11</v>
      </c>
      <c r="Y95" s="39">
        <v>32.1</v>
      </c>
      <c r="AD95" s="38"/>
      <c r="AG95" s="39"/>
      <c r="AL95" s="38"/>
      <c r="AO95" s="39"/>
      <c r="AP95" s="38"/>
      <c r="AS95" s="39"/>
      <c r="AW95" s="39"/>
      <c r="BA95" s="40"/>
    </row>
    <row r="96" spans="1:53" s="29" customFormat="1" ht="11" customHeight="1" x14ac:dyDescent="0.15">
      <c r="A96" s="29">
        <v>2017</v>
      </c>
      <c r="B96" s="303"/>
      <c r="C96" s="411" t="s">
        <v>1251</v>
      </c>
      <c r="D96" s="411"/>
      <c r="E96" s="29">
        <v>0</v>
      </c>
      <c r="F96" s="84"/>
      <c r="G96" s="66">
        <v>8</v>
      </c>
      <c r="J96" s="73">
        <v>12</v>
      </c>
      <c r="K96" s="47">
        <f t="shared" si="27"/>
        <v>66.666666666666657</v>
      </c>
      <c r="L96" s="47">
        <f t="shared" si="23"/>
        <v>0</v>
      </c>
      <c r="M96" s="47">
        <f t="shared" si="24"/>
        <v>0</v>
      </c>
      <c r="N96" s="68">
        <f t="shared" si="25"/>
        <v>66.666666666666657</v>
      </c>
      <c r="O96" s="46">
        <v>32.1</v>
      </c>
      <c r="P96" s="47"/>
      <c r="Q96" s="47"/>
      <c r="R96" s="48">
        <f t="shared" si="26"/>
        <v>32.1</v>
      </c>
      <c r="S96" s="29">
        <v>1</v>
      </c>
      <c r="T96" s="286"/>
      <c r="U96" s="295"/>
      <c r="V96" s="38" t="s">
        <v>1040</v>
      </c>
      <c r="W96" s="29" t="s">
        <v>74</v>
      </c>
      <c r="X96" s="29" t="s">
        <v>11</v>
      </c>
      <c r="Y96" s="39">
        <v>32.1</v>
      </c>
      <c r="AD96" s="38"/>
      <c r="AG96" s="39"/>
      <c r="AL96" s="38"/>
      <c r="AO96" s="39"/>
      <c r="AP96" s="38"/>
      <c r="AS96" s="39"/>
      <c r="AW96" s="39"/>
      <c r="BA96" s="40"/>
    </row>
    <row r="97" spans="1:53" s="29" customFormat="1" ht="11" customHeight="1" x14ac:dyDescent="0.15">
      <c r="A97" s="29">
        <v>2017</v>
      </c>
      <c r="B97" s="303"/>
      <c r="C97" s="411" t="s">
        <v>1251</v>
      </c>
      <c r="D97" s="411"/>
      <c r="E97" s="29">
        <v>365</v>
      </c>
      <c r="F97" s="84"/>
      <c r="G97" s="66">
        <v>8</v>
      </c>
      <c r="J97" s="73">
        <v>12</v>
      </c>
      <c r="K97" s="47">
        <f t="shared" si="27"/>
        <v>66.666666666666657</v>
      </c>
      <c r="L97" s="47">
        <f>H97/J97*100</f>
        <v>0</v>
      </c>
      <c r="M97" s="47">
        <f>I97/J97*100</f>
        <v>0</v>
      </c>
      <c r="N97" s="68">
        <f>SUM(K97:M97)</f>
        <v>66.666666666666657</v>
      </c>
      <c r="O97" s="46">
        <v>32.1</v>
      </c>
      <c r="P97" s="47"/>
      <c r="Q97" s="47"/>
      <c r="R97" s="48">
        <f t="shared" ref="R97:R104" si="33">SUM(O97:Q97)</f>
        <v>32.1</v>
      </c>
      <c r="S97" s="29">
        <v>1</v>
      </c>
      <c r="T97" s="286"/>
      <c r="U97" s="295"/>
      <c r="V97" s="38" t="s">
        <v>1040</v>
      </c>
      <c r="W97" s="29" t="s">
        <v>74</v>
      </c>
      <c r="X97" s="29" t="s">
        <v>11</v>
      </c>
      <c r="Y97" s="39">
        <v>32.1</v>
      </c>
      <c r="AD97" s="38"/>
      <c r="AG97" s="39"/>
      <c r="AL97" s="38"/>
      <c r="AO97" s="39"/>
      <c r="AP97" s="38"/>
      <c r="AS97" s="39"/>
      <c r="AW97" s="39"/>
      <c r="BA97" s="40"/>
    </row>
    <row r="98" spans="1:53" s="29" customFormat="1" ht="11" customHeight="1" x14ac:dyDescent="0.15">
      <c r="A98" s="29">
        <v>2018</v>
      </c>
      <c r="B98" s="303"/>
      <c r="C98" s="411" t="s">
        <v>1251</v>
      </c>
      <c r="D98" s="411"/>
      <c r="E98" s="29">
        <v>59</v>
      </c>
      <c r="F98" s="84"/>
      <c r="G98" s="66">
        <v>8</v>
      </c>
      <c r="J98" s="73">
        <v>12</v>
      </c>
      <c r="K98" s="47">
        <f t="shared" ref="K98:K99" si="34">G98/J98*100</f>
        <v>66.666666666666657</v>
      </c>
      <c r="L98" s="47">
        <f t="shared" ref="L98:L99" si="35">H98/J98*100</f>
        <v>0</v>
      </c>
      <c r="M98" s="47">
        <f t="shared" ref="M98:M99" si="36">I98/J98*100</f>
        <v>0</v>
      </c>
      <c r="N98" s="68">
        <f t="shared" ref="N98:N99" si="37">SUM(K98:M98)</f>
        <v>66.666666666666657</v>
      </c>
      <c r="O98" s="46">
        <v>32.1</v>
      </c>
      <c r="P98" s="47"/>
      <c r="Q98" s="47"/>
      <c r="R98" s="48">
        <f t="shared" si="33"/>
        <v>32.1</v>
      </c>
      <c r="S98" s="29">
        <v>1</v>
      </c>
      <c r="T98" s="286"/>
      <c r="U98" s="295"/>
      <c r="V98" s="38" t="s">
        <v>1040</v>
      </c>
      <c r="W98" s="29" t="s">
        <v>74</v>
      </c>
      <c r="X98" s="29" t="s">
        <v>11</v>
      </c>
      <c r="Y98" s="39">
        <v>32.1</v>
      </c>
      <c r="AD98" s="38"/>
      <c r="AG98" s="39"/>
      <c r="AL98" s="38"/>
      <c r="AO98" s="39"/>
      <c r="AP98" s="38"/>
      <c r="AS98" s="39"/>
      <c r="AW98" s="39"/>
      <c r="BA98" s="40"/>
    </row>
    <row r="99" spans="1:53" s="171" customFormat="1" x14ac:dyDescent="0.15">
      <c r="A99" s="171">
        <v>2018</v>
      </c>
      <c r="B99" s="283">
        <v>43160</v>
      </c>
      <c r="C99" s="410" t="s">
        <v>1390</v>
      </c>
      <c r="D99" s="410"/>
      <c r="E99" s="171">
        <v>306</v>
      </c>
      <c r="F99" s="171">
        <v>1</v>
      </c>
      <c r="G99" s="233">
        <v>6</v>
      </c>
      <c r="J99" s="241">
        <v>12</v>
      </c>
      <c r="K99" s="214">
        <f t="shared" si="34"/>
        <v>50</v>
      </c>
      <c r="L99" s="214">
        <f t="shared" si="35"/>
        <v>0</v>
      </c>
      <c r="M99" s="214">
        <f t="shared" si="36"/>
        <v>0</v>
      </c>
      <c r="N99" s="235">
        <f t="shared" si="37"/>
        <v>50</v>
      </c>
      <c r="O99" s="213">
        <v>32.1</v>
      </c>
      <c r="P99" s="214"/>
      <c r="Q99" s="214"/>
      <c r="R99" s="215">
        <f t="shared" si="33"/>
        <v>32.1</v>
      </c>
      <c r="S99" s="171">
        <v>1</v>
      </c>
      <c r="T99" s="285"/>
      <c r="U99" s="283">
        <v>43160</v>
      </c>
      <c r="V99" s="178" t="s">
        <v>1040</v>
      </c>
      <c r="W99" s="171" t="s">
        <v>74</v>
      </c>
      <c r="X99" s="171" t="s">
        <v>11</v>
      </c>
      <c r="Y99" s="179">
        <v>32.1</v>
      </c>
      <c r="AD99" s="178"/>
      <c r="AG99" s="179"/>
      <c r="AL99" s="178"/>
      <c r="AO99" s="179"/>
      <c r="AP99" s="178"/>
      <c r="AS99" s="179"/>
      <c r="AW99" s="179"/>
      <c r="BA99" s="180"/>
    </row>
    <row r="100" spans="1:53" s="171" customFormat="1" x14ac:dyDescent="0.15">
      <c r="A100" s="171">
        <v>2019</v>
      </c>
      <c r="B100" s="283"/>
      <c r="C100" s="410" t="s">
        <v>1390</v>
      </c>
      <c r="D100" s="410"/>
      <c r="E100" s="171">
        <v>121</v>
      </c>
      <c r="G100" s="233">
        <v>6</v>
      </c>
      <c r="J100" s="241">
        <v>12</v>
      </c>
      <c r="K100" s="214">
        <f t="shared" ref="K100:K101" si="38">G100/J100*100</f>
        <v>50</v>
      </c>
      <c r="L100" s="214">
        <f t="shared" ref="L100:L101" si="39">H100/J100*100</f>
        <v>0</v>
      </c>
      <c r="M100" s="214">
        <f t="shared" ref="M100:M101" si="40">I100/J100*100</f>
        <v>0</v>
      </c>
      <c r="N100" s="235">
        <f t="shared" ref="N100:N101" si="41">SUM(K100:M100)</f>
        <v>50</v>
      </c>
      <c r="O100" s="213">
        <v>32.1</v>
      </c>
      <c r="P100" s="214"/>
      <c r="Q100" s="214"/>
      <c r="R100" s="215">
        <f t="shared" si="33"/>
        <v>32.1</v>
      </c>
      <c r="S100" s="171">
        <v>1</v>
      </c>
      <c r="T100" s="285"/>
      <c r="U100" s="283"/>
      <c r="V100" s="178" t="s">
        <v>1040</v>
      </c>
      <c r="W100" s="171" t="s">
        <v>74</v>
      </c>
      <c r="X100" s="171" t="s">
        <v>11</v>
      </c>
      <c r="Y100" s="179">
        <v>32.1</v>
      </c>
      <c r="AD100" s="178"/>
      <c r="AG100" s="179"/>
      <c r="AL100" s="178"/>
      <c r="AO100" s="179"/>
      <c r="AP100" s="178"/>
      <c r="AS100" s="179"/>
      <c r="AW100" s="179"/>
      <c r="BA100" s="180"/>
    </row>
    <row r="101" spans="1:53" s="171" customFormat="1" x14ac:dyDescent="0.15">
      <c r="A101" s="171">
        <v>2019</v>
      </c>
      <c r="B101" s="305">
        <v>43587</v>
      </c>
      <c r="C101" s="410" t="s">
        <v>1390</v>
      </c>
      <c r="D101" s="410"/>
      <c r="E101" s="171">
        <v>214</v>
      </c>
      <c r="F101" s="244">
        <v>0</v>
      </c>
      <c r="G101" s="233">
        <v>5</v>
      </c>
      <c r="J101" s="241">
        <v>12</v>
      </c>
      <c r="K101" s="214">
        <f t="shared" si="38"/>
        <v>41.666666666666671</v>
      </c>
      <c r="L101" s="214">
        <f t="shared" si="39"/>
        <v>0</v>
      </c>
      <c r="M101" s="214">
        <f t="shared" si="40"/>
        <v>0</v>
      </c>
      <c r="N101" s="235">
        <f t="shared" si="41"/>
        <v>41.666666666666671</v>
      </c>
      <c r="O101" s="213">
        <v>32.1</v>
      </c>
      <c r="P101" s="214"/>
      <c r="Q101" s="214"/>
      <c r="R101" s="215">
        <f t="shared" si="33"/>
        <v>32.1</v>
      </c>
      <c r="S101" s="171">
        <v>1</v>
      </c>
      <c r="T101" s="285"/>
      <c r="U101" s="283"/>
      <c r="V101" s="178" t="s">
        <v>1040</v>
      </c>
      <c r="W101" s="171" t="s">
        <v>74</v>
      </c>
      <c r="X101" s="171" t="s">
        <v>11</v>
      </c>
      <c r="Y101" s="179">
        <v>32.1</v>
      </c>
      <c r="AD101" s="178"/>
      <c r="AG101" s="179"/>
      <c r="AL101" s="178"/>
      <c r="AO101" s="179"/>
      <c r="AP101" s="178"/>
      <c r="AS101" s="179"/>
      <c r="AW101" s="179"/>
      <c r="BA101" s="180"/>
    </row>
    <row r="102" spans="1:53" s="171" customFormat="1" x14ac:dyDescent="0.15">
      <c r="A102" s="171">
        <v>2019</v>
      </c>
      <c r="B102" s="305">
        <v>43801</v>
      </c>
      <c r="C102" s="410" t="s">
        <v>1390</v>
      </c>
      <c r="D102" s="410"/>
      <c r="E102" s="171">
        <v>30</v>
      </c>
      <c r="F102" s="244">
        <v>0</v>
      </c>
      <c r="G102" s="233">
        <v>7</v>
      </c>
      <c r="J102" s="241">
        <v>12</v>
      </c>
      <c r="K102" s="214">
        <f t="shared" ref="K102:K104" si="42">G102/J102*100</f>
        <v>58.333333333333336</v>
      </c>
      <c r="L102" s="214">
        <f t="shared" ref="L102:L104" si="43">H102/J102*100</f>
        <v>0</v>
      </c>
      <c r="M102" s="214">
        <f t="shared" ref="M102:M104" si="44">I102/J102*100</f>
        <v>0</v>
      </c>
      <c r="N102" s="235">
        <f t="shared" ref="N102:N104" si="45">SUM(K102:M102)</f>
        <v>58.333333333333336</v>
      </c>
      <c r="O102" s="213">
        <v>32.1</v>
      </c>
      <c r="P102" s="214"/>
      <c r="Q102" s="214"/>
      <c r="R102" s="215">
        <f t="shared" si="33"/>
        <v>32.1</v>
      </c>
      <c r="S102" s="171">
        <v>1</v>
      </c>
      <c r="T102" s="285"/>
      <c r="U102" s="283"/>
      <c r="V102" s="178" t="s">
        <v>1040</v>
      </c>
      <c r="W102" s="171" t="s">
        <v>74</v>
      </c>
      <c r="X102" s="171" t="s">
        <v>11</v>
      </c>
      <c r="Y102" s="179">
        <v>32.1</v>
      </c>
      <c r="AD102" s="178"/>
      <c r="AG102" s="179"/>
      <c r="AL102" s="178"/>
      <c r="AO102" s="179"/>
      <c r="AP102" s="178"/>
      <c r="AS102" s="179"/>
      <c r="AW102" s="179"/>
      <c r="BA102" s="180"/>
    </row>
    <row r="103" spans="1:53" s="171" customFormat="1" x14ac:dyDescent="0.15">
      <c r="A103" s="171">
        <v>2020</v>
      </c>
      <c r="B103" s="305"/>
      <c r="C103" s="410" t="s">
        <v>1390</v>
      </c>
      <c r="D103" s="410"/>
      <c r="E103" s="171">
        <v>211</v>
      </c>
      <c r="F103" s="247"/>
      <c r="G103" s="171">
        <v>7</v>
      </c>
      <c r="J103" s="241">
        <v>12</v>
      </c>
      <c r="K103" s="214">
        <f t="shared" si="42"/>
        <v>58.333333333333336</v>
      </c>
      <c r="L103" s="214">
        <f t="shared" si="43"/>
        <v>0</v>
      </c>
      <c r="M103" s="214">
        <f t="shared" si="44"/>
        <v>0</v>
      </c>
      <c r="N103" s="215">
        <f t="shared" si="45"/>
        <v>58.333333333333336</v>
      </c>
      <c r="O103" s="214">
        <v>32.1</v>
      </c>
      <c r="P103" s="214"/>
      <c r="Q103" s="214"/>
      <c r="R103" s="215">
        <f t="shared" si="33"/>
        <v>32.1</v>
      </c>
      <c r="S103" s="190">
        <v>1</v>
      </c>
      <c r="T103" s="285"/>
      <c r="U103" s="283"/>
      <c r="V103" s="178" t="s">
        <v>1040</v>
      </c>
      <c r="W103" s="171" t="s">
        <v>74</v>
      </c>
      <c r="X103" s="171" t="s">
        <v>11</v>
      </c>
      <c r="Y103" s="179">
        <v>32.1</v>
      </c>
      <c r="AC103" s="179"/>
      <c r="AG103" s="179"/>
      <c r="AK103" s="179"/>
      <c r="AO103" s="179"/>
      <c r="AS103" s="179"/>
      <c r="AW103" s="179"/>
      <c r="BA103" s="180"/>
    </row>
    <row r="104" spans="1:53" s="171" customFormat="1" x14ac:dyDescent="0.15">
      <c r="A104" s="171">
        <v>2020</v>
      </c>
      <c r="B104" s="305">
        <v>44041</v>
      </c>
      <c r="C104" s="410" t="s">
        <v>1390</v>
      </c>
      <c r="D104" s="410"/>
      <c r="E104" s="171">
        <v>155</v>
      </c>
      <c r="F104" s="247">
        <v>0</v>
      </c>
      <c r="G104" s="171">
        <v>11</v>
      </c>
      <c r="J104" s="241">
        <v>12</v>
      </c>
      <c r="K104" s="214">
        <f t="shared" si="42"/>
        <v>91.666666666666657</v>
      </c>
      <c r="L104" s="214">
        <f t="shared" si="43"/>
        <v>0</v>
      </c>
      <c r="M104" s="214">
        <f t="shared" si="44"/>
        <v>0</v>
      </c>
      <c r="N104" s="215">
        <f t="shared" si="45"/>
        <v>91.666666666666657</v>
      </c>
      <c r="O104" s="214">
        <v>32.1</v>
      </c>
      <c r="P104" s="214"/>
      <c r="Q104" s="214"/>
      <c r="R104" s="215">
        <f t="shared" si="33"/>
        <v>32.1</v>
      </c>
      <c r="S104" s="190">
        <v>1</v>
      </c>
      <c r="T104" s="285"/>
      <c r="U104" s="283"/>
      <c r="V104" s="178" t="s">
        <v>1040</v>
      </c>
      <c r="W104" s="171" t="s">
        <v>74</v>
      </c>
      <c r="X104" s="171" t="s">
        <v>11</v>
      </c>
      <c r="Y104" s="179">
        <v>32.1</v>
      </c>
      <c r="AC104" s="179"/>
      <c r="AG104" s="179"/>
      <c r="AK104" s="179"/>
      <c r="AO104" s="179"/>
      <c r="AS104" s="179"/>
      <c r="AW104" s="179"/>
      <c r="BA104" s="180"/>
    </row>
    <row r="105" spans="1:53" ht="11" customHeight="1" x14ac:dyDescent="0.15">
      <c r="AS105" s="17"/>
    </row>
    <row r="106" spans="1:53" ht="18" customHeight="1" x14ac:dyDescent="0.15">
      <c r="B106" s="16" t="s">
        <v>1264</v>
      </c>
    </row>
    <row r="107" spans="1:53" ht="9" customHeight="1" x14ac:dyDescent="0.15"/>
    <row r="108" spans="1:53" s="195" customFormat="1" ht="9" customHeight="1" x14ac:dyDescent="0.15">
      <c r="A108" s="193"/>
      <c r="B108" s="194" t="s">
        <v>1215</v>
      </c>
      <c r="C108" s="194"/>
      <c r="D108" s="194"/>
      <c r="E108" s="194"/>
      <c r="F108" s="194"/>
      <c r="G108" s="194" t="s">
        <v>1216</v>
      </c>
      <c r="H108" s="194"/>
      <c r="I108" s="194"/>
      <c r="J108" s="194"/>
      <c r="K108" s="194"/>
      <c r="L108" s="194"/>
      <c r="M108" s="194"/>
      <c r="N108" s="194"/>
      <c r="R108" s="388" t="s">
        <v>1217</v>
      </c>
      <c r="S108" s="388"/>
      <c r="T108" s="388"/>
      <c r="U108" s="388"/>
      <c r="V108" s="388"/>
      <c r="W108" s="388"/>
      <c r="X108" s="196"/>
      <c r="Y108" s="196"/>
      <c r="AA108" s="196"/>
      <c r="AB108" s="196"/>
      <c r="AC108" s="196"/>
      <c r="AD108" s="196"/>
    </row>
    <row r="109" spans="1:53" s="200" customFormat="1" ht="9" customHeight="1" x14ac:dyDescent="0.15">
      <c r="A109" s="197"/>
      <c r="B109" s="198" t="s">
        <v>1219</v>
      </c>
      <c r="C109" s="199"/>
      <c r="D109" s="199"/>
      <c r="E109" s="199"/>
      <c r="F109" s="199"/>
      <c r="G109" s="198" t="s">
        <v>1218</v>
      </c>
      <c r="H109" s="199"/>
      <c r="I109" s="199"/>
      <c r="J109" s="199"/>
      <c r="K109" s="199"/>
      <c r="L109" s="199"/>
      <c r="M109" s="199"/>
      <c r="N109" s="199"/>
      <c r="R109" s="201" t="s">
        <v>1220</v>
      </c>
      <c r="S109" s="202"/>
      <c r="T109" s="203"/>
      <c r="U109" s="203"/>
      <c r="V109" s="203"/>
      <c r="W109" s="201" t="s">
        <v>1221</v>
      </c>
      <c r="X109" s="203"/>
      <c r="Y109" s="203"/>
      <c r="AA109" s="203"/>
      <c r="AB109" s="203"/>
      <c r="AC109" s="203"/>
      <c r="AD109" s="203"/>
    </row>
    <row r="110" spans="1:53" s="186" customFormat="1" ht="12" customHeight="1" x14ac:dyDescent="0.15">
      <c r="A110" s="204" t="s">
        <v>3</v>
      </c>
      <c r="B110" s="205" t="s">
        <v>8</v>
      </c>
      <c r="C110" s="205" t="s">
        <v>9</v>
      </c>
      <c r="D110" s="205" t="s">
        <v>10</v>
      </c>
      <c r="E110" s="206" t="s">
        <v>1195</v>
      </c>
      <c r="F110" s="205"/>
      <c r="G110" s="186" t="s">
        <v>3</v>
      </c>
      <c r="H110" s="389" t="s">
        <v>0</v>
      </c>
      <c r="I110" s="389"/>
      <c r="J110" s="389" t="s">
        <v>1</v>
      </c>
      <c r="K110" s="389"/>
      <c r="L110" s="389" t="s">
        <v>2</v>
      </c>
      <c r="M110" s="389"/>
      <c r="N110" s="390" t="s">
        <v>1195</v>
      </c>
      <c r="O110" s="390"/>
      <c r="P110" s="207"/>
      <c r="Q110" s="207"/>
      <c r="R110" s="208" t="s">
        <v>3</v>
      </c>
      <c r="S110" s="209" t="s">
        <v>135</v>
      </c>
      <c r="T110" s="207" t="s">
        <v>133</v>
      </c>
      <c r="U110" s="205" t="s">
        <v>134</v>
      </c>
      <c r="V110" s="207"/>
      <c r="W110" s="210" t="s">
        <v>26</v>
      </c>
    </row>
    <row r="111" spans="1:53" x14ac:dyDescent="0.15">
      <c r="A111" s="1">
        <v>1978</v>
      </c>
      <c r="B111" s="5">
        <f>(K9*($E9/365))</f>
        <v>44.682440846824399</v>
      </c>
      <c r="C111" s="5">
        <f>(L9*($E9/365))</f>
        <v>0</v>
      </c>
      <c r="D111" s="5">
        <f>(M9*($E9/365))</f>
        <v>14.89414694894147</v>
      </c>
      <c r="E111" s="18">
        <f t="shared" ref="E111:E122" si="46">SUM(B111:D111)</f>
        <v>59.576587795765867</v>
      </c>
      <c r="G111" s="1">
        <v>1978</v>
      </c>
      <c r="H111" s="409">
        <f>(O9/$R9*100*($E9/365))</f>
        <v>68.838494301830309</v>
      </c>
      <c r="I111" s="409"/>
      <c r="J111" s="409">
        <f>(P9/$R9*100*($E9/365))</f>
        <v>0</v>
      </c>
      <c r="K111" s="409"/>
      <c r="L111" s="409">
        <f>(Q9/$R9*100*($E9/365))</f>
        <v>13.079313917347759</v>
      </c>
      <c r="M111" s="409"/>
      <c r="N111" s="379">
        <f>H111+J111+L111</f>
        <v>81.91780821917807</v>
      </c>
      <c r="O111" s="379"/>
      <c r="R111" s="1">
        <v>1978</v>
      </c>
      <c r="S111" s="5">
        <f>(O9*($E9/365))</f>
        <v>49.150684931506845</v>
      </c>
      <c r="T111" s="5">
        <f>(P9*($E9/365))</f>
        <v>0</v>
      </c>
      <c r="U111" s="5">
        <f>(Q9*($E9/365))</f>
        <v>9.3386301369863016</v>
      </c>
      <c r="W111" s="10">
        <f t="shared" ref="W111:W122" si="47">SUM(S111:U111)</f>
        <v>58.489315068493148</v>
      </c>
      <c r="Y111" s="27" t="s">
        <v>1312</v>
      </c>
    </row>
    <row r="112" spans="1:53" x14ac:dyDescent="0.15">
      <c r="A112" s="1">
        <v>1979</v>
      </c>
      <c r="B112" s="5">
        <f>(K10*($E10/365))+(K11*($E11/365))</f>
        <v>56.064757160647567</v>
      </c>
      <c r="C112" s="5">
        <f>(L10*($E10/365))+(L11*($E11/365))</f>
        <v>0</v>
      </c>
      <c r="D112" s="5">
        <f>(M10*($E10/365))+(M11*($E11/365))</f>
        <v>18.181818181818183</v>
      </c>
      <c r="E112" s="18">
        <f t="shared" si="46"/>
        <v>74.246575342465746</v>
      </c>
      <c r="G112" s="1">
        <v>1979</v>
      </c>
      <c r="H112" s="409">
        <f>(O10/$R10*100*($E10/365))+(O11/$R11*100*($E11/365))</f>
        <v>84.033613445378137</v>
      </c>
      <c r="I112" s="409"/>
      <c r="J112" s="409">
        <f>(P10/$R10*100*($E10/365))+(P11/$R11*100*($E11/365))</f>
        <v>0</v>
      </c>
      <c r="K112" s="409"/>
      <c r="L112" s="409">
        <f>(Q10/$R10*100*($E10/365))+(Q11/$R11*100*($E11/365))</f>
        <v>15.966386554621847</v>
      </c>
      <c r="M112" s="409"/>
      <c r="N112" s="379">
        <f t="shared" ref="N112:N147" si="48">H112+J112+L112</f>
        <v>99.999999999999986</v>
      </c>
      <c r="O112" s="379"/>
      <c r="R112" s="1">
        <v>1979</v>
      </c>
      <c r="S112" s="5">
        <f>(O10*($E10/365))+(O11*($E11/365))</f>
        <v>60</v>
      </c>
      <c r="T112" s="5">
        <f>(P10*($E10/365))+(P11*($E11/365))</f>
        <v>0</v>
      </c>
      <c r="U112" s="5">
        <f>(Q10*($E10/365))+(Q11*($E11/365))</f>
        <v>11.4</v>
      </c>
      <c r="W112" s="10">
        <f t="shared" si="47"/>
        <v>71.400000000000006</v>
      </c>
    </row>
    <row r="113" spans="1:25" x14ac:dyDescent="0.15">
      <c r="A113" s="1">
        <v>1980</v>
      </c>
      <c r="B113" s="5">
        <f>(K12*($E12/366))+(K13*($E13/366))+(K14*($E14/366))</f>
        <v>69.200198708395433</v>
      </c>
      <c r="C113" s="5">
        <f>(L12*($E12/366))+(L13*($E13/366))+(L14*($E14/366))</f>
        <v>0</v>
      </c>
      <c r="D113" s="5">
        <f>(M12*($E12/366))+(M13*($E13/366))+(M14*($E14/366))</f>
        <v>12.617983109786389</v>
      </c>
      <c r="E113" s="18">
        <f t="shared" si="46"/>
        <v>81.818181818181827</v>
      </c>
      <c r="G113" s="1">
        <v>1980</v>
      </c>
      <c r="H113" s="409">
        <f>(O12/$R12*100*($E12/366))+(O13/$R13*100*($E13/366))+(O14/$R14*100*($E14/366))</f>
        <v>88.875878220140507</v>
      </c>
      <c r="I113" s="409"/>
      <c r="J113" s="409">
        <f>(P12/$R12*100*($E12/366))+(P13/$R13*100*($E13/366))+(P14/$R14*100*($E14/366))</f>
        <v>0</v>
      </c>
      <c r="K113" s="409"/>
      <c r="L113" s="409">
        <f>(Q12/$R12*100*($E12/366))+(Q13/$R13*100*($E13/366))+(Q14/$R14*100*($E14/366))</f>
        <v>11.124121779859482</v>
      </c>
      <c r="M113" s="409"/>
      <c r="N113" s="379">
        <f t="shared" si="48"/>
        <v>99.999999999999986</v>
      </c>
      <c r="O113" s="379"/>
      <c r="R113" s="1">
        <v>1980</v>
      </c>
      <c r="S113" s="5">
        <f>(O12*($E12/366))+(O13*($E13/366))+(O14*($E14/366))</f>
        <v>60</v>
      </c>
      <c r="T113" s="5">
        <f>(P12*($E12/366))+(P13*($E13/366))+(P14*($E14/366))</f>
        <v>0</v>
      </c>
      <c r="U113" s="5">
        <f>(Q12*($E12/366))+(Q13*($E13/366))+(Q14*($E14/366))</f>
        <v>7.942622950819672</v>
      </c>
      <c r="W113" s="10">
        <f t="shared" si="47"/>
        <v>67.942622950819668</v>
      </c>
    </row>
    <row r="114" spans="1:25" x14ac:dyDescent="0.15">
      <c r="A114" s="1">
        <v>1981</v>
      </c>
      <c r="B114" s="5">
        <f>(K15*($E15/365))+(K16*($E16/365))</f>
        <v>9.0909090909090917</v>
      </c>
      <c r="C114" s="5">
        <f>(L15*($E15/365))+(L16*($E16/365))</f>
        <v>0</v>
      </c>
      <c r="D114" s="5">
        <f>(M15*($E15/365))+(M16*($E16/365))</f>
        <v>0</v>
      </c>
      <c r="E114" s="18">
        <f t="shared" si="46"/>
        <v>9.0909090909090917</v>
      </c>
      <c r="G114" s="1">
        <v>1981</v>
      </c>
      <c r="H114" s="409">
        <f>(O15/$R15*100*($E15/365))+(O16/$R16*100*($E16/365))</f>
        <v>100</v>
      </c>
      <c r="I114" s="409"/>
      <c r="J114" s="409">
        <f>(P15/$R15*100*($E15/365))+(P16/$R16*100*($E16/365))</f>
        <v>0</v>
      </c>
      <c r="K114" s="409"/>
      <c r="L114" s="409">
        <f>(Q15/$R15*100*($E15/365))+(Q16/$R16*100*($E16/365))</f>
        <v>0</v>
      </c>
      <c r="M114" s="409"/>
      <c r="N114" s="379">
        <f t="shared" si="48"/>
        <v>100</v>
      </c>
      <c r="O114" s="379"/>
      <c r="R114" s="1">
        <v>1981</v>
      </c>
      <c r="S114" s="5">
        <f>(O15*($E15/365))+(O16*($E16/365))</f>
        <v>37.435068493150688</v>
      </c>
      <c r="T114" s="5">
        <f>(P15*($E15/365))+(P16*($E16/365))</f>
        <v>0</v>
      </c>
      <c r="U114" s="5">
        <f>(Q15*($E15/365))+(Q16*($E16/365))</f>
        <v>0</v>
      </c>
      <c r="W114" s="10">
        <f t="shared" si="47"/>
        <v>37.435068493150688</v>
      </c>
      <c r="Y114" s="27"/>
    </row>
    <row r="115" spans="1:25" x14ac:dyDescent="0.15">
      <c r="A115" s="1">
        <v>1982</v>
      </c>
      <c r="B115" s="5">
        <f>(K17*($E17/365))+(K18*($E18/365))</f>
        <v>47.34744707347447</v>
      </c>
      <c r="C115" s="5">
        <f>(L17*($E17/365))+(L18*($E18/365))</f>
        <v>0</v>
      </c>
      <c r="D115" s="5">
        <f>(M17*($E17/365))+(M18*($E18/365))</f>
        <v>0</v>
      </c>
      <c r="E115" s="18">
        <f t="shared" si="46"/>
        <v>47.34744707347447</v>
      </c>
      <c r="G115" s="1">
        <v>1982</v>
      </c>
      <c r="H115" s="409">
        <f>(O17/$R17*100*($E17/365))+(O18/$R18*100*($E18/365))</f>
        <v>100</v>
      </c>
      <c r="I115" s="409"/>
      <c r="J115" s="409">
        <f>(P17/$R17*100*($E17/365))+(P18/$R18*100*($E18/365))</f>
        <v>0</v>
      </c>
      <c r="K115" s="409"/>
      <c r="L115" s="409">
        <f>(Q17/$R17*100*($E17/365))+(Q18/$R18*100*($E18/365))</f>
        <v>0</v>
      </c>
      <c r="M115" s="409"/>
      <c r="N115" s="379">
        <f t="shared" si="48"/>
        <v>100</v>
      </c>
      <c r="O115" s="379"/>
      <c r="R115" s="1">
        <v>1982</v>
      </c>
      <c r="S115" s="5">
        <f>(O17*($E17/365))+(O18*($E18/365))</f>
        <v>22.9</v>
      </c>
      <c r="T115" s="5">
        <f>(P17*($E17/365))+(P18*($E18/365))</f>
        <v>0</v>
      </c>
      <c r="U115" s="5">
        <f>(Q17*($E17/365))+(Q18*($E18/365))</f>
        <v>0</v>
      </c>
      <c r="W115" s="10">
        <f t="shared" si="47"/>
        <v>22.9</v>
      </c>
    </row>
    <row r="116" spans="1:25" x14ac:dyDescent="0.15">
      <c r="A116" s="1">
        <v>1983</v>
      </c>
      <c r="B116" s="5">
        <f>(K19*($E19/365))+(K20*($E20/365))+(K21*($E21/365))</f>
        <v>61.120797011207969</v>
      </c>
      <c r="C116" s="5">
        <f>(L19*($E19/365))+(L20*($E20/365))+(L21*($E21/365))</f>
        <v>0</v>
      </c>
      <c r="D116" s="5">
        <f>(M19*($E19/365))+(M20*($E20/365))+(M21*($E21/365))</f>
        <v>0</v>
      </c>
      <c r="E116" s="18">
        <f t="shared" si="46"/>
        <v>61.120797011207969</v>
      </c>
      <c r="G116" s="1">
        <v>1983</v>
      </c>
      <c r="H116" s="409">
        <f>(O19/$R19*100*($E19/365))+(O20/$R20*100*($E20/365))+(O21/$R21*100*($E21/365))</f>
        <v>100</v>
      </c>
      <c r="I116" s="409"/>
      <c r="J116" s="409">
        <f>(P19/$R19*100*($E19/365))+(P20/$R20*100*($E20/365))+(P21/$R21*100*($E21/365))</f>
        <v>0</v>
      </c>
      <c r="K116" s="409"/>
      <c r="L116" s="409">
        <f>(Q19/$R19*100*($E19/365))+(Q20/$R20*100*($E20/365))+(Q21/$R21*100*($E21/365))</f>
        <v>0</v>
      </c>
      <c r="M116" s="409"/>
      <c r="N116" s="379">
        <f t="shared" si="48"/>
        <v>100</v>
      </c>
      <c r="O116" s="379"/>
      <c r="R116" s="1">
        <v>1983</v>
      </c>
      <c r="S116" s="5">
        <f>(O19*($E19/365))+(O20*($E20/365))+(O21*($E21/365))</f>
        <v>22.9</v>
      </c>
      <c r="T116" s="5">
        <f>(P19*($E19/365))+(P20*($E20/365))+(P21*($E21/365))</f>
        <v>0</v>
      </c>
      <c r="U116" s="5">
        <f>(Q19*($E19/365))+(Q20*($E20/365))+(Q21*($E21/365))</f>
        <v>0</v>
      </c>
      <c r="W116" s="10">
        <f t="shared" si="47"/>
        <v>22.9</v>
      </c>
    </row>
    <row r="117" spans="1:25" x14ac:dyDescent="0.15">
      <c r="A117" s="1">
        <v>1984</v>
      </c>
      <c r="B117" s="5">
        <f>(K22*($E22/366))+(K23*($E23/366))</f>
        <v>54.54545454545454</v>
      </c>
      <c r="C117" s="5">
        <f>(L22*($E22/366))+(L23*($E23/366))</f>
        <v>0</v>
      </c>
      <c r="D117" s="5">
        <f>(M22*($E22/366))+(M23*($E23/366))</f>
        <v>0</v>
      </c>
      <c r="E117" s="18">
        <f t="shared" si="46"/>
        <v>54.54545454545454</v>
      </c>
      <c r="G117" s="1">
        <v>1984</v>
      </c>
      <c r="H117" s="409">
        <f>(O22/$R22*100*($E22/366))+(O23/$R23*100*($E23/366))</f>
        <v>100</v>
      </c>
      <c r="I117" s="409"/>
      <c r="J117" s="409">
        <f>(P22/$R22*100*($E22/366))+(P23/$R23*100*($E23/366))</f>
        <v>0</v>
      </c>
      <c r="K117" s="409"/>
      <c r="L117" s="409">
        <f>(Q22/$R22*100*($E22/366))+(Q23/$R23*100*($E23/366))</f>
        <v>0</v>
      </c>
      <c r="M117" s="409"/>
      <c r="N117" s="379">
        <f t="shared" si="48"/>
        <v>100</v>
      </c>
      <c r="O117" s="379"/>
      <c r="R117" s="1">
        <v>1984</v>
      </c>
      <c r="S117" s="5">
        <f>(O22*($E22/366))+(O23*($E23/366))</f>
        <v>22.9</v>
      </c>
      <c r="T117" s="5">
        <f>(P22*($E22/366))+(P23*($E23/366))</f>
        <v>0</v>
      </c>
      <c r="U117" s="5">
        <f>(Q22*($E22/366))+(Q23*($E23/366))</f>
        <v>0</v>
      </c>
      <c r="W117" s="10">
        <f t="shared" si="47"/>
        <v>22.9</v>
      </c>
    </row>
    <row r="118" spans="1:25" x14ac:dyDescent="0.15">
      <c r="A118" s="1">
        <v>1985</v>
      </c>
      <c r="B118" s="5">
        <f>(K24*($E24/365))+(K25*($E25/365))+(K26*($E26/365))+(K27*($E27/365))</f>
        <v>66.467413864674128</v>
      </c>
      <c r="C118" s="5">
        <f>(L24*($E24/365))+(L25*($E25/365))+(L26*($E26/365))+(L27*($E27/365))</f>
        <v>0</v>
      </c>
      <c r="D118" s="5">
        <f>(M24*($E24/365))+(M25*($E25/365))+(M26*($E26/365))+(M27*($E27/365))</f>
        <v>0</v>
      </c>
      <c r="E118" s="18">
        <f t="shared" si="46"/>
        <v>66.467413864674128</v>
      </c>
      <c r="G118" s="1">
        <v>1985</v>
      </c>
      <c r="H118" s="409">
        <f>(O24/$R24*100*($E24/365))+(O25/$R25*100*($E25/365))+(O26/$R26*100*($E26/365))+(O27/$R27*100*($E27/365))</f>
        <v>100</v>
      </c>
      <c r="I118" s="409"/>
      <c r="J118" s="409">
        <f>(P24/$R24*100*($E24/365))+(P25/$R25*100*($E25/365))+(P26/$R26*100*($E26/365))+(P27/$R27*100*($E27/365))</f>
        <v>0</v>
      </c>
      <c r="K118" s="409"/>
      <c r="L118" s="409">
        <f>(Q24/$R24*100*($E24/365))+(Q25/$R25*100*($E25/365))+(Q26/$R26*100*($E26/365))+(Q27/$R27*100*($E27/365))</f>
        <v>0</v>
      </c>
      <c r="M118" s="409"/>
      <c r="N118" s="379">
        <f t="shared" si="48"/>
        <v>100</v>
      </c>
      <c r="O118" s="379"/>
      <c r="R118" s="1">
        <v>1985</v>
      </c>
      <c r="S118" s="5">
        <f>(O24*($E24/365))+(O25*($E25/365))+(O26*($E26/365))+(O27*($E27/365))</f>
        <v>56.98465753424658</v>
      </c>
      <c r="T118" s="5">
        <f>(P24*($E24/365))+(P25*($E25/365))+(P26*($E26/365))+(P27*($E27/365))</f>
        <v>0</v>
      </c>
      <c r="U118" s="5">
        <f>(Q24*($E24/365))+(Q25*($E25/365))+(Q26*($E26/365))+(Q27*($E27/365))</f>
        <v>0</v>
      </c>
      <c r="W118" s="10">
        <f t="shared" si="47"/>
        <v>56.98465753424658</v>
      </c>
    </row>
    <row r="119" spans="1:25" x14ac:dyDescent="0.15">
      <c r="A119" s="1">
        <v>1986</v>
      </c>
      <c r="B119" s="5">
        <f>(K28*($E28/365))+(K29*($E29/365))</f>
        <v>66.666666666666657</v>
      </c>
      <c r="C119" s="5">
        <f>(L28*($E28/365))+(L29*($E29/365))</f>
        <v>0</v>
      </c>
      <c r="D119" s="5">
        <f>(M28*($E28/365))+(M29*($E29/365))</f>
        <v>0</v>
      </c>
      <c r="E119" s="18">
        <f t="shared" si="46"/>
        <v>66.666666666666657</v>
      </c>
      <c r="G119" s="1">
        <v>1986</v>
      </c>
      <c r="H119" s="409">
        <f>(O28/$R28*100*($E28/365))+(O29/$R29*100*($E29/365))</f>
        <v>100</v>
      </c>
      <c r="I119" s="409"/>
      <c r="J119" s="409">
        <f>(P28/$R28*100*($E28/365))+(P29/$R29*100*($E29/365))</f>
        <v>0</v>
      </c>
      <c r="K119" s="409"/>
      <c r="L119" s="409">
        <f>(Q28/$R28*100*($E28/365))+(Q29/$R29*100*($E29/365))</f>
        <v>0</v>
      </c>
      <c r="M119" s="409"/>
      <c r="N119" s="379">
        <f t="shared" si="48"/>
        <v>100</v>
      </c>
      <c r="O119" s="379"/>
      <c r="R119" s="1">
        <v>1986</v>
      </c>
      <c r="S119" s="5">
        <f>(O28*($E28/365))+(O29*($E29/365))</f>
        <v>62.5</v>
      </c>
      <c r="T119" s="5">
        <f>(P28*($E28/365))+(P29*($E29/365))</f>
        <v>0</v>
      </c>
      <c r="U119" s="5">
        <f>(Q28*($E28/365))+(Q29*($E29/365))</f>
        <v>0</v>
      </c>
      <c r="W119" s="10">
        <f t="shared" si="47"/>
        <v>62.5</v>
      </c>
    </row>
    <row r="120" spans="1:25" x14ac:dyDescent="0.15">
      <c r="A120" s="1">
        <v>1987</v>
      </c>
      <c r="B120" s="5">
        <f>(K30*($E30/365))+(K31*($E31/365))</f>
        <v>66.666666666666657</v>
      </c>
      <c r="C120" s="5">
        <f>(L30*($E30/365))+(L31*($E31/365))</f>
        <v>0</v>
      </c>
      <c r="D120" s="5">
        <f>(M30*($E30/365))+(M31*($E31/365))</f>
        <v>0</v>
      </c>
      <c r="E120" s="18">
        <f t="shared" si="46"/>
        <v>66.666666666666657</v>
      </c>
      <c r="G120" s="1">
        <v>1987</v>
      </c>
      <c r="H120" s="409">
        <f>(O30/$R30*100*($E30/365))+(O31/$R31*100*($E31/365))</f>
        <v>100</v>
      </c>
      <c r="I120" s="409"/>
      <c r="J120" s="409">
        <f>(P30/$R30*100*($E30/365))+(P31/$R31*100*($E31/365))</f>
        <v>0</v>
      </c>
      <c r="K120" s="409"/>
      <c r="L120" s="409">
        <f>(Q30/$R30*100*($E30/365))+(Q31/$R31*100*($E31/365))</f>
        <v>0</v>
      </c>
      <c r="M120" s="409"/>
      <c r="N120" s="379">
        <f t="shared" si="48"/>
        <v>100</v>
      </c>
      <c r="O120" s="379"/>
      <c r="R120" s="1">
        <v>1987</v>
      </c>
      <c r="S120" s="5">
        <f>(O30*($E30/365))+(O31*($E31/365))</f>
        <v>62.5</v>
      </c>
      <c r="T120" s="5">
        <f>(P30*($E30/365))+(P31*($E31/365))</f>
        <v>0</v>
      </c>
      <c r="U120" s="5">
        <f>(Q30*($E30/365))+(Q31*($E31/365))</f>
        <v>0</v>
      </c>
      <c r="W120" s="10">
        <f t="shared" si="47"/>
        <v>62.5</v>
      </c>
    </row>
    <row r="121" spans="1:25" x14ac:dyDescent="0.15">
      <c r="A121" s="1">
        <v>1988</v>
      </c>
      <c r="B121" s="5">
        <f>(K32*($E32/366))+(K33*($E33/366))</f>
        <v>10.564663023679417</v>
      </c>
      <c r="C121" s="5">
        <f>(L32*($E32/366))+(L33*($E33/366))</f>
        <v>0</v>
      </c>
      <c r="D121" s="5">
        <f>(M32*($E32/366))+(M33*($E33/366))</f>
        <v>0</v>
      </c>
      <c r="E121" s="18">
        <f t="shared" si="46"/>
        <v>10.564663023679417</v>
      </c>
      <c r="G121" s="1">
        <v>1988</v>
      </c>
      <c r="H121" s="409">
        <f>(O32/$R32*100*($E32/365))</f>
        <v>15.890410958904111</v>
      </c>
      <c r="I121" s="409"/>
      <c r="J121" s="409">
        <f>(P32/$R32*100*($E32/365))</f>
        <v>0</v>
      </c>
      <c r="K121" s="409"/>
      <c r="L121" s="409">
        <f>(Q32/$R32*100*($E32/365))</f>
        <v>0</v>
      </c>
      <c r="M121" s="409"/>
      <c r="N121" s="379">
        <f t="shared" si="48"/>
        <v>15.890410958904111</v>
      </c>
      <c r="O121" s="379"/>
      <c r="R121" s="1">
        <v>1988</v>
      </c>
      <c r="S121" s="5">
        <f>(O32*($E32/366))+(O33*($E33/366))</f>
        <v>9.9043715846994544</v>
      </c>
      <c r="T121" s="5">
        <f>(P32*($E32/366))+(P33*($E33/366))</f>
        <v>0</v>
      </c>
      <c r="U121" s="5">
        <f>(Q32*($E32/366))+(Q33*($E33/366))</f>
        <v>0</v>
      </c>
      <c r="W121" s="10">
        <f t="shared" si="47"/>
        <v>9.9043715846994544</v>
      </c>
    </row>
    <row r="122" spans="1:25" s="3" customFormat="1" x14ac:dyDescent="0.15">
      <c r="A122" s="3">
        <v>1989</v>
      </c>
      <c r="B122" s="8">
        <f>(K34*($E34/365))+(K35*($E35/365))</f>
        <v>0</v>
      </c>
      <c r="C122" s="8">
        <f>(L34*($E34/365))+(L35*($E35/365))</f>
        <v>0</v>
      </c>
      <c r="D122" s="8">
        <f>(M34*($E34/365))+(M35*($E35/365))</f>
        <v>0</v>
      </c>
      <c r="E122" s="19">
        <f t="shared" si="46"/>
        <v>0</v>
      </c>
      <c r="G122" s="3">
        <v>1989</v>
      </c>
      <c r="H122" s="413">
        <v>0</v>
      </c>
      <c r="I122" s="413"/>
      <c r="J122" s="413">
        <v>0</v>
      </c>
      <c r="K122" s="413"/>
      <c r="L122" s="413">
        <v>0</v>
      </c>
      <c r="M122" s="413"/>
      <c r="N122" s="386">
        <f t="shared" si="48"/>
        <v>0</v>
      </c>
      <c r="O122" s="386"/>
      <c r="R122" s="3">
        <v>1989</v>
      </c>
      <c r="S122" s="8">
        <f>(O34*($E34/365))+(O35*($E35/365))</f>
        <v>0</v>
      </c>
      <c r="T122" s="8">
        <f>(P34*($E34/365))+(P35*($E35/365))</f>
        <v>0</v>
      </c>
      <c r="U122" s="8">
        <f>(Q34*($E34/365))+(Q35*($E35/365))</f>
        <v>0</v>
      </c>
      <c r="W122" s="22">
        <f t="shared" si="47"/>
        <v>0</v>
      </c>
    </row>
    <row r="123" spans="1:25" x14ac:dyDescent="0.15">
      <c r="A123" s="1">
        <v>1990</v>
      </c>
      <c r="B123" s="5">
        <f>(K36*($E36/365))+(K37*($E37/365))</f>
        <v>0</v>
      </c>
      <c r="C123" s="5">
        <f>(L36*($E36/365))+(L37*($E37/365))</f>
        <v>0</v>
      </c>
      <c r="D123" s="5">
        <f>(M36*($E36/365))+(M37*($E37/365))</f>
        <v>0</v>
      </c>
      <c r="E123" s="18">
        <f t="shared" ref="E123:E145" si="49">SUM(B123:D123)</f>
        <v>0</v>
      </c>
      <c r="G123" s="1">
        <v>1990</v>
      </c>
      <c r="H123" s="409">
        <v>0</v>
      </c>
      <c r="I123" s="409"/>
      <c r="J123" s="409">
        <v>0</v>
      </c>
      <c r="K123" s="409"/>
      <c r="L123" s="409">
        <v>0</v>
      </c>
      <c r="M123" s="409"/>
      <c r="N123" s="379">
        <f t="shared" si="48"/>
        <v>0</v>
      </c>
      <c r="O123" s="379"/>
      <c r="R123" s="1">
        <v>1990</v>
      </c>
      <c r="S123" s="5">
        <f>(O36*($E36/365))+(O37*($E37/365))</f>
        <v>0</v>
      </c>
      <c r="T123" s="5">
        <f>(P36*($E36/365))+(P37*($E37/365))</f>
        <v>0</v>
      </c>
      <c r="U123" s="5">
        <f>(Q36*($E36/365))+(Q37*($E37/365))</f>
        <v>0</v>
      </c>
      <c r="W123" s="10">
        <f>SUM(S123:U123)</f>
        <v>0</v>
      </c>
      <c r="Y123" s="27"/>
    </row>
    <row r="124" spans="1:25" x14ac:dyDescent="0.15">
      <c r="A124" s="1">
        <v>1991</v>
      </c>
      <c r="B124" s="5">
        <f>(K38*($E38/365))+(K39*($E39/365))</f>
        <v>0</v>
      </c>
      <c r="C124" s="5">
        <f>(L38*($E38/365))+(L39*($E39/365))</f>
        <v>0</v>
      </c>
      <c r="D124" s="5">
        <f>(M38*($E38/365))+(M39*($E39/365))</f>
        <v>0</v>
      </c>
      <c r="E124" s="18">
        <f t="shared" si="49"/>
        <v>0</v>
      </c>
      <c r="G124" s="1">
        <v>1991</v>
      </c>
      <c r="H124" s="409">
        <v>0</v>
      </c>
      <c r="I124" s="409"/>
      <c r="J124" s="409">
        <v>0</v>
      </c>
      <c r="K124" s="409"/>
      <c r="L124" s="409">
        <v>0</v>
      </c>
      <c r="M124" s="409"/>
      <c r="N124" s="379">
        <f t="shared" si="48"/>
        <v>0</v>
      </c>
      <c r="O124" s="379"/>
      <c r="R124" s="1">
        <v>1991</v>
      </c>
      <c r="S124" s="5">
        <f>(O38*($E38/365))+(O39*($E39/365))</f>
        <v>0</v>
      </c>
      <c r="T124" s="5">
        <f>(P38*($E38/365))+(P39*($E39/365))</f>
        <v>0</v>
      </c>
      <c r="U124" s="5">
        <f>(Q38*($E38/365))+(Q39*($E39/365))</f>
        <v>0</v>
      </c>
      <c r="W124" s="10">
        <f>SUM(S124:U124)</f>
        <v>0</v>
      </c>
    </row>
    <row r="125" spans="1:25" x14ac:dyDescent="0.15">
      <c r="A125" s="1">
        <v>1992</v>
      </c>
      <c r="B125" s="5">
        <f>(K40*($E40/366))+(K41*($E41/366))</f>
        <v>0</v>
      </c>
      <c r="C125" s="5">
        <f>(L40*($E40/366))+(L41*($E41/366))</f>
        <v>0</v>
      </c>
      <c r="D125" s="5">
        <f>(M40*($E40/366))+(M41*($E41/366))</f>
        <v>0</v>
      </c>
      <c r="E125" s="18">
        <f t="shared" si="49"/>
        <v>0</v>
      </c>
      <c r="G125" s="1">
        <v>1992</v>
      </c>
      <c r="H125" s="409">
        <v>0</v>
      </c>
      <c r="I125" s="409"/>
      <c r="J125" s="409">
        <v>0</v>
      </c>
      <c r="K125" s="409"/>
      <c r="L125" s="409">
        <v>0</v>
      </c>
      <c r="M125" s="409"/>
      <c r="N125" s="379">
        <f t="shared" si="48"/>
        <v>0</v>
      </c>
      <c r="O125" s="379"/>
      <c r="R125" s="1">
        <v>1992</v>
      </c>
      <c r="S125" s="5">
        <f>(O40*($E40/366))+(O41*($E41/366))</f>
        <v>0</v>
      </c>
      <c r="T125" s="5">
        <f>(P40*($E40/366))+(P41*($E41/366))</f>
        <v>0</v>
      </c>
      <c r="U125" s="5">
        <f>(Q40*($E40/366))+(Q41*($E41/366))</f>
        <v>0</v>
      </c>
      <c r="W125" s="10">
        <f t="shared" ref="W125:W145" si="50">SUM(S125:U125)</f>
        <v>0</v>
      </c>
    </row>
    <row r="126" spans="1:25" x14ac:dyDescent="0.15">
      <c r="A126" s="1">
        <v>1993</v>
      </c>
      <c r="B126" s="5">
        <f>(K42*($E42/365))+(K43*($E43/365))</f>
        <v>70.776255707762559</v>
      </c>
      <c r="C126" s="5">
        <f>(L42*($E42/365))+(L43*($E43/365))</f>
        <v>0</v>
      </c>
      <c r="D126" s="5">
        <f>(M42*($E42/365))+(M43*($E43/365))</f>
        <v>0</v>
      </c>
      <c r="E126" s="18">
        <f t="shared" si="49"/>
        <v>70.776255707762559</v>
      </c>
      <c r="G126" s="1">
        <v>1993</v>
      </c>
      <c r="H126" s="409">
        <f>0+(O43/$R43*100*($E43/365))</f>
        <v>84.93150684931507</v>
      </c>
      <c r="I126" s="409"/>
      <c r="J126" s="409">
        <f>0+(P43/$R43*100*($E43/365))</f>
        <v>0</v>
      </c>
      <c r="K126" s="409"/>
      <c r="L126" s="409">
        <f>0+(Q43/$R43*100*($E43/365))</f>
        <v>0</v>
      </c>
      <c r="M126" s="409"/>
      <c r="N126" s="379">
        <f t="shared" si="48"/>
        <v>84.93150684931507</v>
      </c>
      <c r="O126" s="379"/>
      <c r="R126" s="1">
        <v>1993</v>
      </c>
      <c r="S126" s="5">
        <f>(O42*($E42/365))+(O43*($E43/365))</f>
        <v>46.967123287671228</v>
      </c>
      <c r="T126" s="5">
        <f>(P42*($E42/365))+(P43*($E43/365))</f>
        <v>0</v>
      </c>
      <c r="U126" s="5">
        <f>(Q42*($E42/365))+(Q43*($E43/365))</f>
        <v>0</v>
      </c>
      <c r="W126" s="10">
        <f t="shared" si="50"/>
        <v>46.967123287671228</v>
      </c>
    </row>
    <row r="127" spans="1:25" x14ac:dyDescent="0.15">
      <c r="A127" s="1">
        <v>1994</v>
      </c>
      <c r="B127" s="5">
        <f>(K44*($E44/365))+(K45*($E45/365))</f>
        <v>83.333333333333343</v>
      </c>
      <c r="C127" s="5">
        <f>(L44*($E44/365))+(L45*($E45/365))</f>
        <v>0</v>
      </c>
      <c r="D127" s="5">
        <f>(M44*($E44/365))+(M45*($E45/365))</f>
        <v>0</v>
      </c>
      <c r="E127" s="18">
        <f t="shared" si="49"/>
        <v>83.333333333333343</v>
      </c>
      <c r="G127" s="1">
        <v>1994</v>
      </c>
      <c r="H127" s="409">
        <f>(O44/$R44*100*($E44/365))+(O45/$R45*100*($E45/365))</f>
        <v>100</v>
      </c>
      <c r="I127" s="409"/>
      <c r="J127" s="409">
        <f>(P44/$R44*100*($E44/365))+(P45/$R45*100*($E45/365))</f>
        <v>0</v>
      </c>
      <c r="K127" s="409"/>
      <c r="L127" s="409">
        <f>(Q44/$R44*100*($E44/365))+(Q45/$R45*100*($E45/365))</f>
        <v>0</v>
      </c>
      <c r="M127" s="409"/>
      <c r="N127" s="379">
        <f t="shared" si="48"/>
        <v>100</v>
      </c>
      <c r="O127" s="379"/>
      <c r="R127" s="1">
        <v>1994</v>
      </c>
      <c r="S127" s="5">
        <f>(O44*($E44/365))+(O45*($E45/365))</f>
        <v>55.3</v>
      </c>
      <c r="T127" s="5">
        <f>(P44*($E44/365))+(P45*($E45/365))</f>
        <v>0</v>
      </c>
      <c r="U127" s="5">
        <f>(Q44*($E44/365))+(Q45*($E45/365))</f>
        <v>0</v>
      </c>
      <c r="W127" s="10">
        <f t="shared" si="50"/>
        <v>55.3</v>
      </c>
    </row>
    <row r="128" spans="1:25" x14ac:dyDescent="0.15">
      <c r="A128" s="1">
        <v>1995</v>
      </c>
      <c r="B128" s="5">
        <f>(K46*($E46/365))+(K47*($E47/365))</f>
        <v>88.995433789954333</v>
      </c>
      <c r="C128" s="5">
        <f>(L46*($E46/365))+(L47*($E47/365))</f>
        <v>0</v>
      </c>
      <c r="D128" s="5">
        <f>(M46*($E46/365))+(M47*($E47/365))</f>
        <v>0</v>
      </c>
      <c r="E128" s="18">
        <f t="shared" si="49"/>
        <v>88.995433789954333</v>
      </c>
      <c r="G128" s="1">
        <v>1995</v>
      </c>
      <c r="H128" s="409">
        <f>(O46/$R46*100*($E46/365))+(O47/$R47*100*($E47/365))</f>
        <v>100</v>
      </c>
      <c r="I128" s="409"/>
      <c r="J128" s="409">
        <f>(P46/$R46*100*($E46/365))+(P47/$R47*100*($E47/365))</f>
        <v>0</v>
      </c>
      <c r="K128" s="409"/>
      <c r="L128" s="409">
        <f>(Q46/$R46*100*($E46/365))+(Q47/$R47*100*($E47/365))</f>
        <v>0</v>
      </c>
      <c r="M128" s="409"/>
      <c r="N128" s="379">
        <f t="shared" si="48"/>
        <v>100</v>
      </c>
      <c r="O128" s="379"/>
      <c r="R128" s="1">
        <v>1995</v>
      </c>
      <c r="S128" s="5">
        <f>(O46*($E46/365))+(O47*($E47/365))</f>
        <v>55.3</v>
      </c>
      <c r="T128" s="5">
        <f>(P46*($E46/365))+(P47*($E47/365))</f>
        <v>0</v>
      </c>
      <c r="U128" s="5">
        <f>(Q46*($E46/365))+(Q47*($E47/365))</f>
        <v>0</v>
      </c>
      <c r="W128" s="10">
        <f t="shared" si="50"/>
        <v>55.3</v>
      </c>
    </row>
    <row r="129" spans="1:23" x14ac:dyDescent="0.15">
      <c r="A129" s="1">
        <v>1996</v>
      </c>
      <c r="B129" s="5">
        <f>(K48*($E48/366))+(K49*($E49/366))</f>
        <v>91.666666666666657</v>
      </c>
      <c r="C129" s="5">
        <f>(L48*($E48/366))+(L49*($E49/366))</f>
        <v>0</v>
      </c>
      <c r="D129" s="5">
        <f>(M48*($E48/366))+(M49*($E49/366))</f>
        <v>0</v>
      </c>
      <c r="E129" s="18">
        <f t="shared" si="49"/>
        <v>91.666666666666657</v>
      </c>
      <c r="G129" s="1">
        <v>1996</v>
      </c>
      <c r="H129" s="409">
        <f>(O48/$R48*100*($E48/366))+(O49/$R49*100*($E49/366))</f>
        <v>100</v>
      </c>
      <c r="I129" s="409"/>
      <c r="J129" s="409">
        <f>(P48/$R48*100*($E48/366))+(P49/$R49*100*($E49/366))</f>
        <v>0</v>
      </c>
      <c r="K129" s="409"/>
      <c r="L129" s="409">
        <f>(Q48/$R48*100*($E48/366))+(Q49/$R49*100*($E49/366))</f>
        <v>0</v>
      </c>
      <c r="M129" s="409"/>
      <c r="N129" s="379">
        <f t="shared" si="48"/>
        <v>100</v>
      </c>
      <c r="O129" s="379"/>
      <c r="R129" s="1">
        <v>1996</v>
      </c>
      <c r="S129" s="5">
        <f>(O48*($E48/366))+(O49*($E49/366))</f>
        <v>54.278142076502732</v>
      </c>
      <c r="T129" s="5">
        <f>(P48*($E48/366))+(P49*($E49/366))</f>
        <v>0</v>
      </c>
      <c r="U129" s="5">
        <f>(Q48*($E48/366))+(Q49*($E49/366))</f>
        <v>0</v>
      </c>
      <c r="W129" s="10">
        <f t="shared" si="50"/>
        <v>54.278142076502732</v>
      </c>
    </row>
    <row r="130" spans="1:23" x14ac:dyDescent="0.15">
      <c r="A130" s="1">
        <v>1997</v>
      </c>
      <c r="B130" s="5">
        <f>(K50*($E50/365))+(K51*($E51/365))</f>
        <v>91.666666666666657</v>
      </c>
      <c r="C130" s="5">
        <f>(L50*($E50/365))+(L51*($E51/365))</f>
        <v>0</v>
      </c>
      <c r="D130" s="5">
        <f>(M50*($E50/365))+(M51*($E51/365))</f>
        <v>0</v>
      </c>
      <c r="E130" s="18">
        <f t="shared" si="49"/>
        <v>91.666666666666657</v>
      </c>
      <c r="G130" s="1">
        <v>1997</v>
      </c>
      <c r="H130" s="409">
        <f>(O50/$R50*100*($E50/365))+(O51/$R51*100*($E51/365))</f>
        <v>100</v>
      </c>
      <c r="I130" s="409"/>
      <c r="J130" s="409">
        <f>(P50/$R50*100*($E50/365))+(P51/$R51*100*($E51/365))</f>
        <v>0</v>
      </c>
      <c r="K130" s="409"/>
      <c r="L130" s="409">
        <f>(Q50/$R50*100*($E50/365))+(Q51/$R51*100*($E51/365))</f>
        <v>0</v>
      </c>
      <c r="M130" s="409"/>
      <c r="N130" s="379">
        <f t="shared" si="48"/>
        <v>100</v>
      </c>
      <c r="O130" s="379"/>
      <c r="R130" s="1">
        <v>1997</v>
      </c>
      <c r="S130" s="5">
        <f>(O50*($E50/365))+(O51*($E51/365))</f>
        <v>51.147945205479459</v>
      </c>
      <c r="T130" s="5">
        <f>(P50*($E50/365))+(P51*($E51/365))</f>
        <v>0</v>
      </c>
      <c r="U130" s="5">
        <f>(Q50*($E50/365))+(Q51*($E51/365))</f>
        <v>0</v>
      </c>
      <c r="W130" s="10">
        <f t="shared" si="50"/>
        <v>51.147945205479459</v>
      </c>
    </row>
    <row r="131" spans="1:23" x14ac:dyDescent="0.15">
      <c r="A131" s="1">
        <v>1998</v>
      </c>
      <c r="B131" s="5">
        <f>(K52*($E52/365))+(K53*($E53/365))</f>
        <v>84.657534246575352</v>
      </c>
      <c r="C131" s="5">
        <f>(L52*($E52/365))+(L53*($E53/365))</f>
        <v>0</v>
      </c>
      <c r="D131" s="5">
        <f>(M52*($E52/365))+(M53*($E53/365))</f>
        <v>14.018264840182646</v>
      </c>
      <c r="E131" s="18">
        <f t="shared" si="49"/>
        <v>98.675799086757991</v>
      </c>
      <c r="G131" s="1">
        <v>1998</v>
      </c>
      <c r="H131" s="409">
        <f>(O52/$R52*100*($E52/365))+(O53/$R53*100*($E53/365))</f>
        <v>88.675108283422787</v>
      </c>
      <c r="I131" s="409"/>
      <c r="J131" s="409">
        <f>(P52/$R52*100*($E52/365))+(P53/$R53*100*($E53/365))</f>
        <v>0</v>
      </c>
      <c r="K131" s="409"/>
      <c r="L131" s="409">
        <f>(Q52/$R52*100*($E52/365))+(Q53/$R53*100*($E53/365))</f>
        <v>11.324891716577206</v>
      </c>
      <c r="M131" s="409"/>
      <c r="N131" s="379">
        <f t="shared" si="48"/>
        <v>100</v>
      </c>
      <c r="O131" s="379"/>
      <c r="R131" s="1">
        <v>1998</v>
      </c>
      <c r="S131" s="5">
        <f>(O52*($E52/365))+(O53*($E53/365))</f>
        <v>53.783561643835618</v>
      </c>
      <c r="T131" s="5">
        <f>(P52*($E52/365))+(P53*($E53/365))</f>
        <v>0</v>
      </c>
      <c r="U131" s="5">
        <f>(Q52*($E52/365))+(Q53*($E53/365))</f>
        <v>7.4857534246575348</v>
      </c>
      <c r="W131" s="10">
        <f t="shared" si="50"/>
        <v>61.269315068493157</v>
      </c>
    </row>
    <row r="132" spans="1:23" x14ac:dyDescent="0.15">
      <c r="A132" s="1">
        <v>1999</v>
      </c>
      <c r="B132" s="5">
        <f>(K54*($E54/365))+(K55*($E55/365))</f>
        <v>99.817351598173516</v>
      </c>
      <c r="C132" s="5">
        <f>(L54*($E54/365))+(L55*($E55/365))</f>
        <v>0</v>
      </c>
      <c r="D132" s="5">
        <f>(M54*($E54/365))+(M55*($E55/365))</f>
        <v>0.18264840182648398</v>
      </c>
      <c r="E132" s="18">
        <f t="shared" si="49"/>
        <v>100</v>
      </c>
      <c r="G132" s="1">
        <v>1999</v>
      </c>
      <c r="H132" s="409">
        <f>(O54/$R54*100*($E54/365))+(O55/$R55*100*($E55/365))</f>
        <v>99.85244440760161</v>
      </c>
      <c r="I132" s="409"/>
      <c r="J132" s="409">
        <f>(P54/$R54*100*($E54/365))+(P55/$R55*100*($E55/365))</f>
        <v>0</v>
      </c>
      <c r="K132" s="409"/>
      <c r="L132" s="409">
        <f>(Q54/$R54*100*($E54/365))+(Q55/$R55*100*($E55/365))</f>
        <v>0.14755559239840008</v>
      </c>
      <c r="M132" s="409"/>
      <c r="N132" s="379">
        <f t="shared" si="48"/>
        <v>100.00000000000001</v>
      </c>
      <c r="O132" s="379"/>
      <c r="R132" s="1">
        <v>1999</v>
      </c>
      <c r="S132" s="5">
        <f>(O54*($E54/365))+(O55*($E55/365))</f>
        <v>57.2</v>
      </c>
      <c r="T132" s="5">
        <f>(P54*($E54/365))+(P55*($E55/365))</f>
        <v>0</v>
      </c>
      <c r="U132" s="5">
        <f>(Q54*($E54/365))+(Q55*($E55/365))</f>
        <v>9.7534246575342473E-2</v>
      </c>
      <c r="W132" s="10">
        <f t="shared" si="50"/>
        <v>57.297534246575346</v>
      </c>
    </row>
    <row r="133" spans="1:23" x14ac:dyDescent="0.15">
      <c r="A133" s="1">
        <v>2000</v>
      </c>
      <c r="B133" s="5">
        <f>(K56*($E56/366))+(K57*($E57/366))</f>
        <v>100</v>
      </c>
      <c r="C133" s="5">
        <f>(L56*($E56/366))+(L57*($E57/366))</f>
        <v>0</v>
      </c>
      <c r="D133" s="5">
        <f>(M56*($E56/366))+(M57*($E57/366))</f>
        <v>0</v>
      </c>
      <c r="E133" s="18">
        <f t="shared" si="49"/>
        <v>100</v>
      </c>
      <c r="G133" s="1">
        <v>2000</v>
      </c>
      <c r="H133" s="409">
        <f>(O56/$R56*100*($E56/366))+(O57/$R57*100*($E57/366))</f>
        <v>100</v>
      </c>
      <c r="I133" s="409"/>
      <c r="J133" s="409">
        <f>(P56/$R56*100*($E56/366))+(P57/$R57*100*($E57/366))</f>
        <v>0</v>
      </c>
      <c r="K133" s="409"/>
      <c r="L133" s="409">
        <f>(Q56/$R56*100*($E56/366))+(Q57/$R57*100*($E57/366))</f>
        <v>0</v>
      </c>
      <c r="M133" s="409"/>
      <c r="N133" s="379">
        <f t="shared" si="48"/>
        <v>100</v>
      </c>
      <c r="O133" s="379"/>
      <c r="R133" s="1">
        <v>2000</v>
      </c>
      <c r="S133" s="5">
        <f>(O56*($E56/366))+(O57*($E57/366))</f>
        <v>57.2</v>
      </c>
      <c r="T133" s="5">
        <f>(P56*($E56/366))+(P57*($E57/366))</f>
        <v>0</v>
      </c>
      <c r="U133" s="5">
        <f>(Q56*($E56/366))+(Q57*($E57/366))</f>
        <v>0</v>
      </c>
      <c r="W133" s="10">
        <f t="shared" si="50"/>
        <v>57.2</v>
      </c>
    </row>
    <row r="134" spans="1:23" x14ac:dyDescent="0.15">
      <c r="A134" s="1">
        <v>2001</v>
      </c>
      <c r="B134" s="5">
        <f>(K58*($E58/365))+(K59*($E59/365))</f>
        <v>100</v>
      </c>
      <c r="C134" s="5">
        <f>(L58*($E58/365))+(L59*($E59/365))</f>
        <v>0</v>
      </c>
      <c r="D134" s="5">
        <f>(M58*($E58/365))+(M59*($E59/365))</f>
        <v>0</v>
      </c>
      <c r="E134" s="18">
        <f t="shared" si="49"/>
        <v>100</v>
      </c>
      <c r="G134" s="1">
        <v>2001</v>
      </c>
      <c r="H134" s="409">
        <f>(O58/$R58*100*($E58/365))+(O59/$R59*100*($E59/365))</f>
        <v>100</v>
      </c>
      <c r="I134" s="409"/>
      <c r="J134" s="409">
        <f>(P58/$R58*100*($E58/365))+(P59/$R59*100*($E59/365))</f>
        <v>0</v>
      </c>
      <c r="K134" s="409"/>
      <c r="L134" s="409">
        <f>(Q58/$R58*100*($E58/365))+(Q59/$R59*100*($E59/365))</f>
        <v>0</v>
      </c>
      <c r="M134" s="409"/>
      <c r="N134" s="379">
        <f t="shared" si="48"/>
        <v>100</v>
      </c>
      <c r="O134" s="379"/>
      <c r="R134" s="1">
        <v>2001</v>
      </c>
      <c r="S134" s="5">
        <f>(O58*($E58/365))+(O59*($E59/365))</f>
        <v>53.96</v>
      </c>
      <c r="T134" s="5">
        <f>(P58*($E58/365))+(P59*($E59/365))</f>
        <v>0</v>
      </c>
      <c r="U134" s="5">
        <f>(Q58*($E58/365))+(Q59*($E59/365))</f>
        <v>0</v>
      </c>
      <c r="W134" s="10">
        <f t="shared" si="50"/>
        <v>53.96</v>
      </c>
    </row>
    <row r="135" spans="1:23" x14ac:dyDescent="0.15">
      <c r="A135" s="1">
        <v>2002</v>
      </c>
      <c r="B135" s="5">
        <f>(K60*($E60/365))+(K61*($E61/365))</f>
        <v>100</v>
      </c>
      <c r="C135" s="5">
        <f>(L60*($E60/365))+(L61*($E61/365))</f>
        <v>0</v>
      </c>
      <c r="D135" s="5">
        <f>(M60*($E60/365))+(M61*($E61/365))</f>
        <v>0</v>
      </c>
      <c r="E135" s="18">
        <f t="shared" si="49"/>
        <v>100</v>
      </c>
      <c r="G135" s="1">
        <v>2002</v>
      </c>
      <c r="H135" s="409">
        <f>(O60/$R60*100*($E60/365))+(O61/$R61*100*($E61/365))</f>
        <v>100</v>
      </c>
      <c r="I135" s="409"/>
      <c r="J135" s="409">
        <f>(P60/$R60*100*($E60/365))+(P61/$R61*100*($E61/365))</f>
        <v>0</v>
      </c>
      <c r="K135" s="409"/>
      <c r="L135" s="409">
        <f>(Q60/$R60*100*($E60/365))+(Q61/$R61*100*($E61/365))</f>
        <v>0</v>
      </c>
      <c r="M135" s="409"/>
      <c r="N135" s="379">
        <f t="shared" si="48"/>
        <v>100</v>
      </c>
      <c r="O135" s="379"/>
      <c r="R135" s="1">
        <v>2002</v>
      </c>
      <c r="S135" s="5">
        <f>(O60*($E60/365))+(O61*($E61/365))</f>
        <v>51.8</v>
      </c>
      <c r="T135" s="5">
        <f>(P60*($E60/365))+(P61*($E61/365))</f>
        <v>0</v>
      </c>
      <c r="U135" s="5">
        <f>(Q60*($E60/365))+(Q61*($E61/365))</f>
        <v>0</v>
      </c>
      <c r="W135" s="10">
        <f t="shared" si="50"/>
        <v>51.8</v>
      </c>
    </row>
    <row r="136" spans="1:23" x14ac:dyDescent="0.15">
      <c r="A136" s="1">
        <v>2003</v>
      </c>
      <c r="B136" s="5">
        <f>(K62*($E62/365))+(K63*($E63/365))</f>
        <v>43.926940639269404</v>
      </c>
      <c r="C136" s="5">
        <f>(L62*($E62/365))+(L63*($E63/365))</f>
        <v>0</v>
      </c>
      <c r="D136" s="5">
        <f>(M62*($E62/365))+(M63*($E63/365))</f>
        <v>42.054794520547944</v>
      </c>
      <c r="E136" s="18">
        <f t="shared" si="49"/>
        <v>85.981735159817347</v>
      </c>
      <c r="G136" s="1">
        <v>2003</v>
      </c>
      <c r="H136" s="409">
        <f>(O62/$R62*100*($E62/365))+(O63/$R63*100*($E63/365))</f>
        <v>38.881317301207062</v>
      </c>
      <c r="I136" s="409"/>
      <c r="J136" s="409">
        <f>(P62/$R62*100*($E62/365))+(P63/$R63*100*($E63/365))</f>
        <v>0</v>
      </c>
      <c r="K136" s="409"/>
      <c r="L136" s="409">
        <f>(Q62/$R62*100*($E62/365))+(Q63/$R63*100*($E63/365))</f>
        <v>61.118682698792938</v>
      </c>
      <c r="M136" s="409"/>
      <c r="N136" s="379">
        <f t="shared" si="48"/>
        <v>100</v>
      </c>
      <c r="O136" s="379"/>
      <c r="R136" s="1">
        <v>2003</v>
      </c>
      <c r="S136" s="5">
        <f>(O62*($E62/365))+(O63*($E63/365))</f>
        <v>21.772876712328767</v>
      </c>
      <c r="T136" s="5">
        <f>(P62*($E62/365))+(P63*($E63/365))</f>
        <v>0</v>
      </c>
      <c r="U136" s="5">
        <f>(Q62*($E62/365))+(Q63*($E63/365))</f>
        <v>35.998904109589041</v>
      </c>
      <c r="W136" s="10">
        <f t="shared" si="50"/>
        <v>57.771780821917808</v>
      </c>
    </row>
    <row r="137" spans="1:23" x14ac:dyDescent="0.15">
      <c r="A137" s="1">
        <v>2004</v>
      </c>
      <c r="B137" s="5">
        <f>(K64*($E64/366))+(K65*($E65/366))</f>
        <v>28.119307832422585</v>
      </c>
      <c r="C137" s="5">
        <f>(L64*($E64/366))+(L65*($E65/366))</f>
        <v>0</v>
      </c>
      <c r="D137" s="5">
        <f>(M64*($E64/366))+(M65*($E65/366))</f>
        <v>50</v>
      </c>
      <c r="E137" s="18">
        <f t="shared" si="49"/>
        <v>78.119307832422578</v>
      </c>
      <c r="G137" s="1">
        <v>2004</v>
      </c>
      <c r="H137" s="409">
        <f>(O64/$R64*100*($E64/366))+(O65/$R65*100*($E65/366))</f>
        <v>27.334465195246182</v>
      </c>
      <c r="I137" s="409"/>
      <c r="J137" s="409">
        <f>(P64/$R64*100*($E64/366))+(P65/$R65*100*($E65/366))</f>
        <v>0</v>
      </c>
      <c r="K137" s="409"/>
      <c r="L137" s="409">
        <f>(Q64/$R64*100*($E64/366))+(Q65/$R65*100*($E65/366))</f>
        <v>72.665534804753833</v>
      </c>
      <c r="M137" s="409"/>
      <c r="N137" s="379">
        <f t="shared" si="48"/>
        <v>100.00000000000001</v>
      </c>
      <c r="O137" s="379"/>
      <c r="R137" s="1">
        <v>2004</v>
      </c>
      <c r="S137" s="5">
        <f>(O64*($E64/366))+(O65*($E65/366))</f>
        <v>16.100000000000001</v>
      </c>
      <c r="T137" s="5">
        <f>(P64*($E64/366))+(P65*($E65/366))</f>
        <v>0</v>
      </c>
      <c r="U137" s="5">
        <f>(Q64*($E64/366))+(Q65*($E65/366))</f>
        <v>42.8</v>
      </c>
      <c r="W137" s="10">
        <f t="shared" si="50"/>
        <v>58.9</v>
      </c>
    </row>
    <row r="138" spans="1:23" x14ac:dyDescent="0.15">
      <c r="A138" s="1">
        <v>2005</v>
      </c>
      <c r="B138" s="5">
        <f>(K66*($E66/365))+(K67*($E67/365))</f>
        <v>25</v>
      </c>
      <c r="C138" s="5">
        <f>(L66*($E66/365))+(L67*($E67/365))</f>
        <v>0</v>
      </c>
      <c r="D138" s="5">
        <f>(M66*($E66/365))+(M67*($E67/365))</f>
        <v>42.374429223744301</v>
      </c>
      <c r="E138" s="18">
        <f>SUM(B138:D138)</f>
        <v>67.374429223744301</v>
      </c>
      <c r="G138" s="1">
        <v>2005</v>
      </c>
      <c r="H138" s="409">
        <f>(O66/$R66*100*($E66/365))+(O67/$R67*100*($E67/365))</f>
        <v>27.334465195246182</v>
      </c>
      <c r="I138" s="409"/>
      <c r="J138" s="409">
        <f>(P66/$R66*100*($E66/365))+(P67/$R67*100*($E67/365))</f>
        <v>0</v>
      </c>
      <c r="K138" s="409"/>
      <c r="L138" s="409">
        <f>(Q66/$R66*100*($E66/365))+(Q67/$R67*100*($E67/365))</f>
        <v>72.665534804753818</v>
      </c>
      <c r="M138" s="409"/>
      <c r="N138" s="379">
        <f>H138+J138+L138</f>
        <v>100</v>
      </c>
      <c r="O138" s="379"/>
      <c r="R138" s="1">
        <v>2005</v>
      </c>
      <c r="S138" s="5">
        <f>(O66*($E66/365))+(O67*($E67/365))</f>
        <v>16.100000000000001</v>
      </c>
      <c r="T138" s="5">
        <f>(P66*($E66/365))+(P67*($E67/365))</f>
        <v>0</v>
      </c>
      <c r="U138" s="5">
        <f>(Q66*($E66/365))+(Q67*($E67/365))</f>
        <v>42.8</v>
      </c>
      <c r="W138" s="10">
        <f t="shared" si="50"/>
        <v>58.9</v>
      </c>
    </row>
    <row r="139" spans="1:23" x14ac:dyDescent="0.15">
      <c r="A139" s="1">
        <v>2006</v>
      </c>
      <c r="B139" s="5">
        <f>(K68*($E68/365))*(K69*($E69/365))+(K70*($E70/365))</f>
        <v>42.777256520923245</v>
      </c>
      <c r="C139" s="5">
        <f>(L68*($E68/365))+($L69*($E69/365))+(L70*($E70/365))</f>
        <v>0</v>
      </c>
      <c r="D139" s="5">
        <f>(M68*($E68/365))+(M69*($E69/365))+(M70*($E70/365))</f>
        <v>41.666666666666671</v>
      </c>
      <c r="E139" s="18">
        <f t="shared" si="49"/>
        <v>84.443923187589917</v>
      </c>
      <c r="G139" s="1">
        <v>2006</v>
      </c>
      <c r="H139" s="409">
        <f>(O68/$R68*100*($E68/365))+(O69/$R69*100*($E69/365))+(O70/$R70*100*($E70/365))</f>
        <v>30.422062603032174</v>
      </c>
      <c r="I139" s="409"/>
      <c r="J139" s="409">
        <f>(P68/$R68*100*($E68/365))+(P69/$R69*100*($E69/365))+(P70/$R70*100*($E70/365))</f>
        <v>0</v>
      </c>
      <c r="K139" s="409"/>
      <c r="L139" s="409">
        <f>(Q68/$R68*100*($E68/365))+(Q69/$R69*100*($E69/365))+(Q70/$R70*100*($E70/365))</f>
        <v>69.577937396967826</v>
      </c>
      <c r="M139" s="409"/>
      <c r="N139" s="379">
        <f t="shared" si="48"/>
        <v>100</v>
      </c>
      <c r="O139" s="379"/>
      <c r="R139" s="1">
        <v>2006</v>
      </c>
      <c r="S139" s="5">
        <f>(O68*($E68/365))+(O69*($E69/365))+(O70*($E70/365))</f>
        <v>18.257534246575343</v>
      </c>
      <c r="T139" s="5">
        <f>(P68*($E68/365))+(P69*($E69/365))+(P70*($E70/365))</f>
        <v>0</v>
      </c>
      <c r="U139" s="5">
        <f>(Q68*($E68/365))+(Q69*($E69/365))+(Q70*($E70/365))</f>
        <v>41.690410958904103</v>
      </c>
      <c r="W139" s="10">
        <f t="shared" si="50"/>
        <v>59.947945205479442</v>
      </c>
    </row>
    <row r="140" spans="1:23" x14ac:dyDescent="0.15">
      <c r="A140" s="1">
        <v>2007</v>
      </c>
      <c r="B140" s="5">
        <f>(K71*($E71/365))+(K72*($E72/365))</f>
        <v>36.575342465753423</v>
      </c>
      <c r="C140" s="5">
        <f>(L71*($E71/365))+(L72*($E72/365))</f>
        <v>0</v>
      </c>
      <c r="D140" s="5">
        <f>(M71*($E71/365))+(M72*($E72/365))</f>
        <v>30.091324200913245</v>
      </c>
      <c r="E140" s="18">
        <f t="shared" si="49"/>
        <v>66.666666666666671</v>
      </c>
      <c r="G140" s="1">
        <v>2007</v>
      </c>
      <c r="H140" s="409">
        <f>(O71/$R71*100*($E71/365))+(O72/$R72*100*($E72/365))</f>
        <v>49.210219363681148</v>
      </c>
      <c r="I140" s="409"/>
      <c r="J140" s="409">
        <f>(P71/$R71*100*($E71/365))+(P72/$R72*100*($E72/365))</f>
        <v>0</v>
      </c>
      <c r="K140" s="409"/>
      <c r="L140" s="409">
        <f>(Q71/$R71*100*($E71/365))+(Q72/$R72*100*($E72/365))</f>
        <v>50.789780636318859</v>
      </c>
      <c r="M140" s="409"/>
      <c r="N140" s="379">
        <f t="shared" si="48"/>
        <v>100</v>
      </c>
      <c r="O140" s="379"/>
      <c r="R140" s="1">
        <v>2007</v>
      </c>
      <c r="S140" s="5">
        <f>(O71*($E71/365))+(O72*($E72/365))</f>
        <v>19.600000000000001</v>
      </c>
      <c r="T140" s="5">
        <f>(P71*($E71/365))+(P72*($E72/365))</f>
        <v>0</v>
      </c>
      <c r="U140" s="5">
        <f>(Q71*($E71/365))+(Q72*($E72/365))</f>
        <v>26.137260273972604</v>
      </c>
      <c r="W140" s="10">
        <f t="shared" si="50"/>
        <v>45.737260273972609</v>
      </c>
    </row>
    <row r="141" spans="1:23" x14ac:dyDescent="0.15">
      <c r="A141" s="1">
        <v>2008</v>
      </c>
      <c r="B141" s="5">
        <f>(K73*($E73/366))+(K74*($E74/366))</f>
        <v>29.030054644808743</v>
      </c>
      <c r="C141" s="5">
        <f>(L73*($E73/366))+(L74*($E74/366))</f>
        <v>0</v>
      </c>
      <c r="D141" s="5">
        <f>(M73*($E73/366))+(M74*($E74/366))</f>
        <v>51.616575591985431</v>
      </c>
      <c r="E141" s="18">
        <f t="shared" si="49"/>
        <v>80.646630236794181</v>
      </c>
      <c r="G141" s="1">
        <v>2008</v>
      </c>
      <c r="H141" s="409">
        <f>(O73/$R73*100*($E73/366))+(O74/$R74*100*($E74/366))</f>
        <v>38.215619663778298</v>
      </c>
      <c r="I141" s="409"/>
      <c r="J141" s="409">
        <f>(P73/$R73*100*($E73/366))+(P74/$R74*100*($E74/366))</f>
        <v>0</v>
      </c>
      <c r="K141" s="409"/>
      <c r="L141" s="409">
        <f>(Q73/$R73*100*($E73/366))+(Q74/$R74*100*($E74/366))</f>
        <v>61.784380336221723</v>
      </c>
      <c r="M141" s="409"/>
      <c r="N141" s="379">
        <f t="shared" si="48"/>
        <v>100.00000000000003</v>
      </c>
      <c r="O141" s="379"/>
      <c r="R141" s="1">
        <v>2008</v>
      </c>
      <c r="S141" s="5">
        <f>(O73*($E73/366))+(O74*($E74/366))</f>
        <v>19.600000000000001</v>
      </c>
      <c r="T141" s="5">
        <f>(P73*($E73/366))+(P74*($E74/366))</f>
        <v>0</v>
      </c>
      <c r="U141" s="5">
        <f>(Q73*($E73/366))+(Q74*($E74/366))</f>
        <v>35.825409836065575</v>
      </c>
      <c r="W141" s="10">
        <f t="shared" si="50"/>
        <v>55.425409836065576</v>
      </c>
    </row>
    <row r="142" spans="1:23" x14ac:dyDescent="0.15">
      <c r="A142" s="1">
        <v>2009</v>
      </c>
      <c r="B142" s="5">
        <f>(K75*($E75/365))+(K76*($E76/365))</f>
        <v>25</v>
      </c>
      <c r="C142" s="5">
        <f>(L75*($E75/365))+(L76*($E76/365))</f>
        <v>0</v>
      </c>
      <c r="D142" s="5">
        <f>(M75*($E75/365))+(M76*($E76/365))</f>
        <v>58.333333333333336</v>
      </c>
      <c r="E142" s="18">
        <f t="shared" si="49"/>
        <v>83.333333333333343</v>
      </c>
      <c r="G142" s="1">
        <v>2009</v>
      </c>
      <c r="H142" s="409">
        <f>(O75/$R75*100*($E75/365))+(O76/$R76*100*($E76/365))</f>
        <v>32.343234323432348</v>
      </c>
      <c r="I142" s="409"/>
      <c r="J142" s="409">
        <f>(P75/$R75*100*($E75/365))+(P76/$R76*100*($E76/365))</f>
        <v>0</v>
      </c>
      <c r="K142" s="409"/>
      <c r="L142" s="409">
        <f>(Q75/$R75*100*($E75/365))+(Q76/$R76*100*($E76/365))</f>
        <v>67.656765676567659</v>
      </c>
      <c r="M142" s="409"/>
      <c r="N142" s="379">
        <f t="shared" si="48"/>
        <v>100</v>
      </c>
      <c r="O142" s="379"/>
      <c r="R142" s="1">
        <v>2009</v>
      </c>
      <c r="S142" s="5">
        <f>(O75*($E75/365))+(O76*($E76/365))</f>
        <v>19.600000000000001</v>
      </c>
      <c r="T142" s="5">
        <f>(P75*($E75/365))+(P76*($E76/365))</f>
        <v>0</v>
      </c>
      <c r="U142" s="5">
        <f>(Q75*($E75/365))+(Q76*($E76/365))</f>
        <v>41</v>
      </c>
      <c r="W142" s="10">
        <f t="shared" si="50"/>
        <v>60.6</v>
      </c>
    </row>
    <row r="143" spans="1:23" x14ac:dyDescent="0.15">
      <c r="A143" s="1">
        <v>2010</v>
      </c>
      <c r="B143" s="5">
        <f>(K77*($E77/365))+(K78*($E78/365))</f>
        <v>25</v>
      </c>
      <c r="C143" s="5">
        <f>(L77*($E77/365))+(L78*($E78/365))</f>
        <v>0</v>
      </c>
      <c r="D143" s="5">
        <f>(M77*($E77/365))+(M78*($E78/365))</f>
        <v>45.776255707762559</v>
      </c>
      <c r="E143" s="18">
        <f t="shared" si="49"/>
        <v>70.776255707762559</v>
      </c>
      <c r="G143" s="1">
        <v>2010</v>
      </c>
      <c r="H143" s="409">
        <f>(O77/$R77*100*($E77/365))+(O78/$R78*100*($E78/365))</f>
        <v>36.995771859319419</v>
      </c>
      <c r="I143" s="409"/>
      <c r="J143" s="409">
        <f>(P77/$R77*100*($E77/365))+(P78/$R78*100*($E78/365))</f>
        <v>0</v>
      </c>
      <c r="K143" s="409"/>
      <c r="L143" s="409">
        <f>(Q77/$R77*100*($E77/365))+(Q78/$R78*100*($E78/365))</f>
        <v>63.004228140680581</v>
      </c>
      <c r="M143" s="409"/>
      <c r="N143" s="379">
        <f t="shared" si="48"/>
        <v>100</v>
      </c>
      <c r="O143" s="379"/>
      <c r="R143" s="1">
        <v>2010</v>
      </c>
      <c r="S143" s="5">
        <f>(O77*($E77/365))+(O78*($E78/365))</f>
        <v>19.600000000000001</v>
      </c>
      <c r="T143" s="5">
        <f>(P77*($E77/365))+(P78*($E78/365))</f>
        <v>0</v>
      </c>
      <c r="U143" s="5">
        <f>(Q77*($E77/365))+(Q78*($E78/365))</f>
        <v>33.563013698630137</v>
      </c>
      <c r="W143" s="10">
        <f t="shared" si="50"/>
        <v>53.163013698630138</v>
      </c>
    </row>
    <row r="144" spans="1:23" x14ac:dyDescent="0.15">
      <c r="A144" s="1">
        <v>2011</v>
      </c>
      <c r="B144" s="5">
        <f>(K79*($E79/365))+(K80*($E80/365))+(K81*($E81/365))</f>
        <v>14.794520547945206</v>
      </c>
      <c r="C144" s="5">
        <f>(L79*($E79/365))+(L80*($E80/365))+(L81*($E81/365))</f>
        <v>0</v>
      </c>
      <c r="D144" s="5">
        <f>(M79*($E79/365))+(M80*($E80/365))+(M81*($E81/365))</f>
        <v>43.37899543378996</v>
      </c>
      <c r="E144" s="18">
        <f t="shared" si="49"/>
        <v>58.173515981735164</v>
      </c>
      <c r="G144" s="1">
        <v>2011</v>
      </c>
      <c r="H144" s="409">
        <f>(O79/$R79*100*($E79/365))+(O80/$R80*100*($E80/365))+(O81/$R81*100*($E81/365))</f>
        <v>21.261519302615191</v>
      </c>
      <c r="I144" s="409"/>
      <c r="J144" s="409">
        <f>(P79/$R79*100*($E79/365))+(P80/$R80*100*($E80/365))+(P81/$R81*100*($E81/365))</f>
        <v>0</v>
      </c>
      <c r="K144" s="409"/>
      <c r="L144" s="409">
        <f>(Q79/$R79*100*($E79/365))+(Q80/$R80*100*($E80/365))+(Q81/$R81*100*($E81/365))</f>
        <v>78.738480697384801</v>
      </c>
      <c r="M144" s="409"/>
      <c r="N144" s="379">
        <f t="shared" si="48"/>
        <v>100</v>
      </c>
      <c r="O144" s="379"/>
      <c r="R144" s="1">
        <v>2011</v>
      </c>
      <c r="S144" s="5">
        <f>(O79*($E79/365))+(O80*($E80/365))+(O81*($E81/365))</f>
        <v>10.879726027397261</v>
      </c>
      <c r="T144" s="5">
        <f>(P79*($E79/365))+(P80*($E80/365))+(P81*($E81/365))</f>
        <v>0</v>
      </c>
      <c r="U144" s="5">
        <f>(Q79*($E79/365))+(Q80*($E80/365))+(Q81*($E81/365))</f>
        <v>33.204657534246579</v>
      </c>
      <c r="W144" s="10">
        <f t="shared" si="50"/>
        <v>44.08438356164384</v>
      </c>
    </row>
    <row r="145" spans="1:23" x14ac:dyDescent="0.15">
      <c r="A145" s="1">
        <v>2012</v>
      </c>
      <c r="B145" s="5">
        <f>(K82*($E82/366))+(K83*($E83/366))+(K84*($E84/366))</f>
        <v>0</v>
      </c>
      <c r="C145" s="5">
        <f>(L82*($E82/366))+(L83*($E83/366))+(L84*($E84/366))</f>
        <v>0</v>
      </c>
      <c r="D145" s="5">
        <f>(M82*($E82/366))+(M83*($E83/366))+(M84*($E84/366))</f>
        <v>33.424408014571945</v>
      </c>
      <c r="E145" s="18">
        <f t="shared" si="49"/>
        <v>33.424408014571945</v>
      </c>
      <c r="G145" s="1">
        <v>2012</v>
      </c>
      <c r="H145" s="409">
        <f>(O82/$R82*100*($E82/366))+(O83/$R83*100*($E83/366))+(O84/$R84*100*($E84/366))</f>
        <v>0</v>
      </c>
      <c r="I145" s="409"/>
      <c r="J145" s="409">
        <f>(P82/$R82*100*($E82/366))+(P83/$R83*100*($E83/366))+(P84/$R84*100*($E84/366))</f>
        <v>0</v>
      </c>
      <c r="K145" s="409"/>
      <c r="L145" s="409">
        <f>(Q82/$R82*100*($E82/366))+(Q83/$R83*100*($E83/366))+(Q84/$R84*100*($E84/366))</f>
        <v>99.999999999999986</v>
      </c>
      <c r="M145" s="409"/>
      <c r="N145" s="379">
        <f t="shared" si="48"/>
        <v>99.999999999999986</v>
      </c>
      <c r="O145" s="379"/>
      <c r="R145" s="1">
        <v>2012</v>
      </c>
      <c r="S145" s="5">
        <f>(O82*($E82/366))+(O83*($E83/366))+(O84*($E84/366))</f>
        <v>0</v>
      </c>
      <c r="T145" s="5">
        <f>(P82*($E82/366))+(P83*($E83/366))+(P84*($E84/366))</f>
        <v>0</v>
      </c>
      <c r="U145" s="5">
        <f>(Q82*($E82/366))+(Q83*($E83/366))+(Q84*($E84/366))</f>
        <v>33.9</v>
      </c>
      <c r="W145" s="10">
        <f t="shared" si="50"/>
        <v>33.9</v>
      </c>
    </row>
    <row r="146" spans="1:23" x14ac:dyDescent="0.15">
      <c r="A146" s="1">
        <v>2013</v>
      </c>
      <c r="B146" s="5">
        <f>(K85*($E85/365))+(K86*($E86/365))+(K87*($E87/365))</f>
        <v>83.333333333333343</v>
      </c>
      <c r="C146" s="5">
        <f>(L85*($E85/365))+(L86*($E86/365))+(L87*($E87/365))</f>
        <v>0</v>
      </c>
      <c r="D146" s="5">
        <f>(M85*($E85/365))+(M86*($E86/365))+(M87*($E87/365))</f>
        <v>3.9726027397260277</v>
      </c>
      <c r="E146" s="18">
        <f t="shared" ref="E146:E151" si="51">SUM(B146:D146)</f>
        <v>87.305936073059371</v>
      </c>
      <c r="G146" s="1">
        <v>2013</v>
      </c>
      <c r="H146" s="409">
        <f>(O85/$R85*100*($E85/365))+(O86/$R86*100*($E86/365))+(O87/$R87*100*($E87/365))</f>
        <v>84.109589041095902</v>
      </c>
      <c r="I146" s="409"/>
      <c r="J146" s="409">
        <f>(P85/$R85*100*($E85/365))+(P86/$R86*100*($E86/365))+(P87/$R87*100*($E87/365))</f>
        <v>0</v>
      </c>
      <c r="K146" s="409"/>
      <c r="L146" s="409">
        <f>(Q85/$R85*100*($E85/365))+(Q86/$R86*100*($E86/365))+(Q87/$R87*100*($E87/365))</f>
        <v>15.890410958904111</v>
      </c>
      <c r="M146" s="409"/>
      <c r="N146" s="379">
        <f t="shared" si="48"/>
        <v>100.00000000000001</v>
      </c>
      <c r="O146" s="379"/>
      <c r="R146" s="1">
        <v>2013</v>
      </c>
      <c r="S146" s="5">
        <f>(O85*($E85/365))+(O86*($E86/365))+(O87*($E87/365))</f>
        <v>45.082739726027398</v>
      </c>
      <c r="T146" s="5">
        <f>(P85*($E85/365))+(P86*($E86/365))+(P87*($E87/365))</f>
        <v>0</v>
      </c>
      <c r="U146" s="5">
        <f>(Q85*($E85/365))+(Q86*($E86/365))+(Q87*($E87/365))</f>
        <v>5.3868493150684937</v>
      </c>
      <c r="W146" s="10">
        <f t="shared" ref="W146:W151" si="52">SUM(S146:U146)</f>
        <v>50.469589041095894</v>
      </c>
    </row>
    <row r="147" spans="1:23" x14ac:dyDescent="0.15">
      <c r="A147" s="1">
        <v>2014</v>
      </c>
      <c r="B147" s="5">
        <f>(K88*($E88/365))+(K89*($E89/365))+(K90*($E90/365))</f>
        <v>72.990867579908667</v>
      </c>
      <c r="C147" s="5">
        <f>(L88*($E88/365))+(L89*($E89/365))+(L90*($E90/365))</f>
        <v>0</v>
      </c>
      <c r="D147" s="5">
        <f>(M88*($E88/365))+(M89*($E89/365))+(M90*($E90/365))</f>
        <v>0</v>
      </c>
      <c r="E147" s="18">
        <f t="shared" si="51"/>
        <v>72.990867579908667</v>
      </c>
      <c r="G147" s="1">
        <v>2014</v>
      </c>
      <c r="H147" s="409">
        <f>(O88/$R88*100*($E88/365))+(O89/$R89*100*($E89/365))+(O90/$R90*100*($E90/365))</f>
        <v>100</v>
      </c>
      <c r="I147" s="409"/>
      <c r="J147" s="409">
        <f>(P88/$R88*100*($E88/365))+(P89/$R89*100*($E89/365))+(P90/$R90*100*($E90/365))</f>
        <v>0</v>
      </c>
      <c r="K147" s="409"/>
      <c r="L147" s="409">
        <f>(Q88/$R88*100*($E88/365))+(Q89/$R89*100*($E89/365))+(Q90/$R90*100*($E90/365))</f>
        <v>0</v>
      </c>
      <c r="M147" s="409"/>
      <c r="N147" s="379">
        <f t="shared" si="48"/>
        <v>100</v>
      </c>
      <c r="O147" s="379"/>
      <c r="R147" s="1">
        <v>2014</v>
      </c>
      <c r="S147" s="5">
        <f>(O88*($E88/365))+(O89*($E89/365))+(O90*($E90/365))</f>
        <v>40.675890410958907</v>
      </c>
      <c r="T147" s="5">
        <f>(P88*($E88/365))+(P89*($E89/365))+(P90*($E90/365))</f>
        <v>0</v>
      </c>
      <c r="U147" s="5">
        <f>(Q88*($E88/365))+(Q89*($E89/365))+(Q90*($E90/365))</f>
        <v>0</v>
      </c>
      <c r="W147" s="10">
        <f t="shared" si="52"/>
        <v>40.675890410958907</v>
      </c>
    </row>
    <row r="148" spans="1:23" x14ac:dyDescent="0.15">
      <c r="A148" s="1">
        <v>2015</v>
      </c>
      <c r="B148" s="5">
        <f>(K91*($E91/365))+(K92*($E92/365))</f>
        <v>75</v>
      </c>
      <c r="C148" s="5">
        <f>(L91*($E91/365))+(L92*($E92/365))</f>
        <v>0</v>
      </c>
      <c r="D148" s="5">
        <f>(M91*($E91/365))+(M92*($E92/365))</f>
        <v>0</v>
      </c>
      <c r="E148" s="18">
        <f t="shared" si="51"/>
        <v>75</v>
      </c>
      <c r="G148" s="1">
        <v>2015</v>
      </c>
      <c r="H148" s="409">
        <f>(O91/$R91*100*($E91/365))+(O92/$R92*100*($E92/365))</f>
        <v>100</v>
      </c>
      <c r="I148" s="409"/>
      <c r="J148" s="409">
        <f>(P91/$R91*100*($E91/365))+(P92/$R92*100*($E92/365))</f>
        <v>0</v>
      </c>
      <c r="K148" s="409"/>
      <c r="L148" s="409">
        <f>(Q91/$R91*100*($E91/365))+(Q92/$R92*100*($E92/365))</f>
        <v>0</v>
      </c>
      <c r="M148" s="409"/>
      <c r="N148" s="379">
        <f>H148+J148+L148</f>
        <v>100</v>
      </c>
      <c r="O148" s="379"/>
      <c r="R148" s="1">
        <v>2015</v>
      </c>
      <c r="S148" s="5">
        <f>(O91*($E91/365))+(O92*($E92/365))</f>
        <v>37.5</v>
      </c>
      <c r="T148" s="5">
        <f>(P91*($E91/365))+(P92*($E92/365))</f>
        <v>0</v>
      </c>
      <c r="U148" s="5">
        <f>(Q91*($E91/365))+(Q92*($E92/365))</f>
        <v>0</v>
      </c>
      <c r="W148" s="10">
        <f t="shared" si="52"/>
        <v>37.5</v>
      </c>
    </row>
    <row r="149" spans="1:23" x14ac:dyDescent="0.15">
      <c r="A149" s="1">
        <v>2016</v>
      </c>
      <c r="B149" s="5">
        <f>(K93*($E93/366))+K94*(E94/366)+(K95*($E95/366))</f>
        <v>68.670309653916206</v>
      </c>
      <c r="C149" s="5">
        <f>(L93*($E93/366))+L94*(E94/366)+(L95*($E95/366))</f>
        <v>0</v>
      </c>
      <c r="D149" s="5">
        <f>(M93*($E93/366))+M94*(E94/366)+(M95*($E95/366))</f>
        <v>0</v>
      </c>
      <c r="E149" s="18">
        <f t="shared" si="51"/>
        <v>68.670309653916206</v>
      </c>
      <c r="G149" s="1">
        <v>2016</v>
      </c>
      <c r="H149" s="409">
        <f>(O93/$R93*100*($E93/366))+(O94/R94*100*(E94/366))+(O95/$R95*100*($E95/366))</f>
        <v>100</v>
      </c>
      <c r="I149" s="409"/>
      <c r="J149" s="409">
        <f>(P93/$R93*100*($E93/366))+(P94/R94*100*(E94/366))+(P95/$R95*100*($E95/366))</f>
        <v>0</v>
      </c>
      <c r="K149" s="409"/>
      <c r="L149" s="409">
        <f>(Q93/$R93*100*($E93/366))+(Q94/R94*100*(E94/366))+(Q95/$R95*100*($E95/366))</f>
        <v>0</v>
      </c>
      <c r="M149" s="409"/>
      <c r="N149" s="379">
        <f>H149+J149+L149</f>
        <v>100</v>
      </c>
      <c r="O149" s="379"/>
      <c r="R149" s="1">
        <v>2016</v>
      </c>
      <c r="S149" s="5">
        <f>(O93*($E93/366))+(O94*(E94/366))+(O95*($E95/366))</f>
        <v>33.929508196721315</v>
      </c>
      <c r="T149" s="5">
        <f>(P93*($E93/366))+(P94*(E94/366))+(P95*($E95/366))</f>
        <v>0</v>
      </c>
      <c r="U149" s="5">
        <f>(Q93*($E93/366))+(Q94*(E94/366))+(Q95*($E95/366))</f>
        <v>0</v>
      </c>
      <c r="W149" s="10">
        <f t="shared" si="52"/>
        <v>33.929508196721315</v>
      </c>
    </row>
    <row r="150" spans="1:23" x14ac:dyDescent="0.15">
      <c r="A150" s="1">
        <v>2017</v>
      </c>
      <c r="B150" s="5">
        <f>(K96*($E96/365))+(K97*($E97/365))</f>
        <v>66.666666666666657</v>
      </c>
      <c r="C150" s="5">
        <f>(L96*($E96/365))+(L97*($E97/365))</f>
        <v>0</v>
      </c>
      <c r="D150" s="5">
        <f>(M96*($E96/365))+(M97*($E97/365))</f>
        <v>0</v>
      </c>
      <c r="E150" s="18">
        <f t="shared" si="51"/>
        <v>66.666666666666657</v>
      </c>
      <c r="G150" s="1">
        <v>2017</v>
      </c>
      <c r="H150" s="409">
        <f>(O96/$R96*100*($E96/365))+(O97/$R97*100*($E97/365))</f>
        <v>100</v>
      </c>
      <c r="I150" s="409"/>
      <c r="J150" s="409">
        <f>(P96/$R96*100*($E96/365))+(P97/$R97*100*($E97/365))</f>
        <v>0</v>
      </c>
      <c r="K150" s="409"/>
      <c r="L150" s="409">
        <f>(Q96/$R96*100*($E96/365))+(Q97/$R97*100*($E97/365))</f>
        <v>0</v>
      </c>
      <c r="M150" s="409"/>
      <c r="N150" s="379">
        <f>H150+J150+L150</f>
        <v>100</v>
      </c>
      <c r="O150" s="379"/>
      <c r="R150" s="1">
        <v>2017</v>
      </c>
      <c r="S150" s="5">
        <f>(O96*($E96/365))+(O97*($E97/365))</f>
        <v>32.1</v>
      </c>
      <c r="T150" s="5">
        <f t="shared" ref="T150:U150" si="53">(P96*($E96/365))+(P97*($E97/365))</f>
        <v>0</v>
      </c>
      <c r="U150" s="5">
        <f t="shared" si="53"/>
        <v>0</v>
      </c>
      <c r="W150" s="10">
        <f t="shared" si="52"/>
        <v>32.1</v>
      </c>
    </row>
    <row r="151" spans="1:23" x14ac:dyDescent="0.15">
      <c r="A151" s="1">
        <v>2018</v>
      </c>
      <c r="B151" s="5">
        <f>(K98*($E98/365))+(K99*($E99/365))</f>
        <v>52.694063926940643</v>
      </c>
      <c r="C151" s="5">
        <f>(L98*($E98/365))+(L99*($E99/365))</f>
        <v>0</v>
      </c>
      <c r="D151" s="5">
        <f>(M98*($E98/365))+(M99*($E99/365))</f>
        <v>0</v>
      </c>
      <c r="E151" s="18">
        <f t="shared" si="51"/>
        <v>52.694063926940643</v>
      </c>
      <c r="G151" s="1">
        <v>2018</v>
      </c>
      <c r="H151" s="409">
        <f>(O98/$R98*100*($E98/365))+(O99/$R99*100*($E99/365))</f>
        <v>100</v>
      </c>
      <c r="I151" s="409"/>
      <c r="J151" s="409">
        <f>(P98/$R98*100*($E98/365))+(P99/$R99*100*($E99/365))</f>
        <v>0</v>
      </c>
      <c r="K151" s="409"/>
      <c r="L151" s="409">
        <f>(Q98/$R98*100*($E98/365))+(Q99/$R99*100*($E99/365))</f>
        <v>0</v>
      </c>
      <c r="M151" s="409"/>
      <c r="N151" s="379">
        <f>H151+J151+L151</f>
        <v>100</v>
      </c>
      <c r="O151" s="379"/>
      <c r="R151" s="1">
        <v>2018</v>
      </c>
      <c r="S151" s="5">
        <f>(O98*($E98/365))+(O99*($E99/365))</f>
        <v>32.1</v>
      </c>
      <c r="T151" s="5">
        <f>(P98*($E98/365))+(P99*($E99/365))</f>
        <v>0</v>
      </c>
      <c r="U151" s="5">
        <f>(Q98*($E98/365))+(Q99*($E99/365))</f>
        <v>0</v>
      </c>
      <c r="W151" s="10">
        <f t="shared" si="52"/>
        <v>32.1</v>
      </c>
    </row>
    <row r="152" spans="1:23" x14ac:dyDescent="0.15">
      <c r="A152" s="1">
        <v>2019</v>
      </c>
      <c r="B152" s="5">
        <f>(K100*($E100/365))+(K101*($E101/365))+(K102*(E102/365))</f>
        <v>45.799086757990871</v>
      </c>
      <c r="C152" s="5">
        <f>(L100*($E100/365))+(L101*($E101/365))+(L102*(E102/365))</f>
        <v>0</v>
      </c>
      <c r="D152" s="5">
        <f>(M100*($E100/365))+(M101*($E101/365))+(M102*(E102/365))</f>
        <v>0</v>
      </c>
      <c r="E152" s="18">
        <f t="shared" ref="E152:E153" si="54">SUM(B152:D152)</f>
        <v>45.799086757990871</v>
      </c>
      <c r="G152" s="1">
        <v>2019</v>
      </c>
      <c r="H152" s="409">
        <f>(O100/$R100*100*($E100/365))+(O101/$R101*100*($E101/365))+(O102/R102*100*(E102/365))</f>
        <v>100</v>
      </c>
      <c r="I152" s="409"/>
      <c r="J152" s="409">
        <f>(P101/$R100*100*($E100/365))+(P101/$R101*100*($E101/365))+(P102/R102*100*(E102/365))</f>
        <v>0</v>
      </c>
      <c r="K152" s="409"/>
      <c r="L152" s="409">
        <f>(Q100/$R100*100*($E100/365))+(Q101/$R101*100*($E101/365))+(Q102/R102*100*(E102/365))</f>
        <v>0</v>
      </c>
      <c r="M152" s="409"/>
      <c r="N152" s="379">
        <f>H152+J152+L152</f>
        <v>100</v>
      </c>
      <c r="O152" s="379"/>
      <c r="R152" s="1">
        <v>2019</v>
      </c>
      <c r="S152" s="5">
        <f>(O100*($E100/365))+(O101*($E101/365))+(O102*(E102/365))</f>
        <v>32.1</v>
      </c>
      <c r="T152" s="5">
        <f>(P100*($E100/365))+(P101*($E101/365))+(P102*(E102/365))</f>
        <v>0</v>
      </c>
      <c r="U152" s="5">
        <f>(Q100*($E100/365))+(Q101*($E101/365))+(Q102*(E102/365))</f>
        <v>0</v>
      </c>
      <c r="W152" s="10">
        <f t="shared" ref="W152:W153" si="55">SUM(S152:U152)</f>
        <v>32.1</v>
      </c>
    </row>
    <row r="153" spans="1:23" x14ac:dyDescent="0.15">
      <c r="A153" s="1">
        <v>2020</v>
      </c>
      <c r="B153" s="5">
        <f>(K103*($E103/366))+(K104*($E104/366))</f>
        <v>72.449908925318766</v>
      </c>
      <c r="C153" s="5">
        <f>(L103*($E103/366))+(L104*($E104/366))</f>
        <v>0</v>
      </c>
      <c r="D153" s="5">
        <f>(M103*($E103/366))+(M104*($E104/366))</f>
        <v>0</v>
      </c>
      <c r="E153" s="18">
        <f t="shared" si="54"/>
        <v>72.449908925318766</v>
      </c>
      <c r="G153" s="1">
        <v>2020</v>
      </c>
      <c r="H153" s="409">
        <f>(O103/$R103*100*($E103/366))+(O104/$R104*100*($E104/366))</f>
        <v>100</v>
      </c>
      <c r="I153" s="409"/>
      <c r="J153" s="409">
        <f>(P103/$R103*100*($E103/366))+(P104/$R104*100*($E104/366))</f>
        <v>0</v>
      </c>
      <c r="K153" s="409"/>
      <c r="L153" s="409">
        <f>(Q103/$R103*100*($E103/366))+(Q104/$R104*100*($E104/366))</f>
        <v>0</v>
      </c>
      <c r="M153" s="409"/>
      <c r="N153" s="379">
        <f t="shared" ref="N153" si="56">H153+J153+L153</f>
        <v>100</v>
      </c>
      <c r="O153" s="379"/>
      <c r="R153" s="1">
        <v>2020</v>
      </c>
      <c r="S153" s="5">
        <f>(O103*($E103/366))+(O104*($E104/366))</f>
        <v>32.1</v>
      </c>
      <c r="T153" s="5">
        <f>(P103*($E103/366))+(P104*($E104/366))</f>
        <v>0</v>
      </c>
      <c r="U153" s="5">
        <f>(Q103*($E103/366))+(Q104*($E104/366))</f>
        <v>0</v>
      </c>
      <c r="W153" s="10">
        <f t="shared" si="55"/>
        <v>32.1</v>
      </c>
    </row>
  </sheetData>
  <mergeCells count="305">
    <mergeCell ref="J147:K147"/>
    <mergeCell ref="L147:M147"/>
    <mergeCell ref="N147:O147"/>
    <mergeCell ref="L119:M119"/>
    <mergeCell ref="L144:M144"/>
    <mergeCell ref="L139:M139"/>
    <mergeCell ref="J145:K145"/>
    <mergeCell ref="N146:O146"/>
    <mergeCell ref="N143:O143"/>
    <mergeCell ref="N144:O144"/>
    <mergeCell ref="N141:O141"/>
    <mergeCell ref="N142:O142"/>
    <mergeCell ref="L145:M145"/>
    <mergeCell ref="N133:O133"/>
    <mergeCell ref="N140:O140"/>
    <mergeCell ref="N134:O134"/>
    <mergeCell ref="N135:O135"/>
    <mergeCell ref="N136:O136"/>
    <mergeCell ref="N137:O137"/>
    <mergeCell ref="N138:O138"/>
    <mergeCell ref="N139:O139"/>
    <mergeCell ref="L133:M133"/>
    <mergeCell ref="L134:M134"/>
    <mergeCell ref="L141:M141"/>
    <mergeCell ref="L135:M135"/>
    <mergeCell ref="L136:M136"/>
    <mergeCell ref="L143:M143"/>
    <mergeCell ref="R108:W108"/>
    <mergeCell ref="N110:O110"/>
    <mergeCell ref="N113:O113"/>
    <mergeCell ref="J143:K143"/>
    <mergeCell ref="H143:I143"/>
    <mergeCell ref="J120:K120"/>
    <mergeCell ref="H133:I133"/>
    <mergeCell ref="H134:I134"/>
    <mergeCell ref="H135:I135"/>
    <mergeCell ref="H126:I126"/>
    <mergeCell ref="J123:K123"/>
    <mergeCell ref="J131:K131"/>
    <mergeCell ref="H127:I127"/>
    <mergeCell ref="H128:I128"/>
    <mergeCell ref="H129:I129"/>
    <mergeCell ref="H130:I130"/>
    <mergeCell ref="J130:K130"/>
    <mergeCell ref="H131:I131"/>
    <mergeCell ref="H125:I125"/>
    <mergeCell ref="N128:O128"/>
    <mergeCell ref="N129:O129"/>
    <mergeCell ref="J144:K144"/>
    <mergeCell ref="J136:K136"/>
    <mergeCell ref="J137:K137"/>
    <mergeCell ref="J138:K138"/>
    <mergeCell ref="L140:M140"/>
    <mergeCell ref="H144:I144"/>
    <mergeCell ref="H141:I141"/>
    <mergeCell ref="H142:I142"/>
    <mergeCell ref="J140:K140"/>
    <mergeCell ref="J141:K141"/>
    <mergeCell ref="L137:M137"/>
    <mergeCell ref="L138:M138"/>
    <mergeCell ref="H139:I139"/>
    <mergeCell ref="H140:I140"/>
    <mergeCell ref="J139:K139"/>
    <mergeCell ref="J142:K142"/>
    <mergeCell ref="H136:I136"/>
    <mergeCell ref="H137:I137"/>
    <mergeCell ref="H138:I138"/>
    <mergeCell ref="L142:M142"/>
    <mergeCell ref="H146:I146"/>
    <mergeCell ref="H111:I111"/>
    <mergeCell ref="J111:K111"/>
    <mergeCell ref="L111:M111"/>
    <mergeCell ref="N111:O111"/>
    <mergeCell ref="H112:I112"/>
    <mergeCell ref="J112:K112"/>
    <mergeCell ref="L112:M112"/>
    <mergeCell ref="N112:O112"/>
    <mergeCell ref="L146:M146"/>
    <mergeCell ref="H123:I123"/>
    <mergeCell ref="H124:I124"/>
    <mergeCell ref="N116:O116"/>
    <mergeCell ref="N117:O117"/>
    <mergeCell ref="L117:M117"/>
    <mergeCell ref="N118:O118"/>
    <mergeCell ref="L118:M118"/>
    <mergeCell ref="N119:O119"/>
    <mergeCell ref="L116:M116"/>
    <mergeCell ref="H145:I145"/>
    <mergeCell ref="J127:K127"/>
    <mergeCell ref="J128:K128"/>
    <mergeCell ref="J129:K129"/>
    <mergeCell ref="N145:O145"/>
    <mergeCell ref="H147:I147"/>
    <mergeCell ref="H113:I113"/>
    <mergeCell ref="H114:I114"/>
    <mergeCell ref="H115:I115"/>
    <mergeCell ref="H116:I116"/>
    <mergeCell ref="J146:K146"/>
    <mergeCell ref="C50:D50"/>
    <mergeCell ref="C51:D51"/>
    <mergeCell ref="C59:D59"/>
    <mergeCell ref="C60:D60"/>
    <mergeCell ref="C83:D83"/>
    <mergeCell ref="J113:K113"/>
    <mergeCell ref="J116:K116"/>
    <mergeCell ref="C75:D75"/>
    <mergeCell ref="C76:D76"/>
    <mergeCell ref="C79:D79"/>
    <mergeCell ref="C73:D73"/>
    <mergeCell ref="C74:D74"/>
    <mergeCell ref="C81:D81"/>
    <mergeCell ref="C84:D84"/>
    <mergeCell ref="C82:D82"/>
    <mergeCell ref="C93:D93"/>
    <mergeCell ref="C96:D96"/>
    <mergeCell ref="C97:D97"/>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55:D55"/>
    <mergeCell ref="C56:D56"/>
    <mergeCell ref="C57:D57"/>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C33:D33"/>
    <mergeCell ref="C34:D34"/>
    <mergeCell ref="C29:D29"/>
    <mergeCell ref="C30:D30"/>
    <mergeCell ref="C31:D31"/>
    <mergeCell ref="C11:D11"/>
    <mergeCell ref="C12:D12"/>
    <mergeCell ref="C14:D14"/>
    <mergeCell ref="N130:O130"/>
    <mergeCell ref="L131:M131"/>
    <mergeCell ref="L132:M132"/>
    <mergeCell ref="N131:O131"/>
    <mergeCell ref="N120:O120"/>
    <mergeCell ref="N123:O123"/>
    <mergeCell ref="N124:O124"/>
    <mergeCell ref="N125:O125"/>
    <mergeCell ref="N126:O126"/>
    <mergeCell ref="L121:M121"/>
    <mergeCell ref="L122:M122"/>
    <mergeCell ref="N132:O132"/>
    <mergeCell ref="N122:O122"/>
    <mergeCell ref="L125:M125"/>
    <mergeCell ref="L130:M130"/>
    <mergeCell ref="L126:M126"/>
    <mergeCell ref="N127:O127"/>
    <mergeCell ref="N121:O121"/>
    <mergeCell ref="L127:M127"/>
    <mergeCell ref="L128:M128"/>
    <mergeCell ref="L129:M129"/>
    <mergeCell ref="C41:D41"/>
    <mergeCell ref="C42:D42"/>
    <mergeCell ref="C43:D43"/>
    <mergeCell ref="C69:D69"/>
    <mergeCell ref="C80:D80"/>
    <mergeCell ref="C52:D52"/>
    <mergeCell ref="C53:D53"/>
    <mergeCell ref="C54:D54"/>
    <mergeCell ref="J117:K117"/>
    <mergeCell ref="C78:D78"/>
    <mergeCell ref="C68:D68"/>
    <mergeCell ref="C70:D70"/>
    <mergeCell ref="C71:D71"/>
    <mergeCell ref="C72:D72"/>
    <mergeCell ref="C67:D67"/>
    <mergeCell ref="C66:D66"/>
    <mergeCell ref="C58:D58"/>
    <mergeCell ref="H117:I117"/>
    <mergeCell ref="H110:I110"/>
    <mergeCell ref="J110:K110"/>
    <mergeCell ref="C62:D62"/>
    <mergeCell ref="C88:D88"/>
    <mergeCell ref="C89:D89"/>
    <mergeCell ref="C90:D90"/>
    <mergeCell ref="C39:D39"/>
    <mergeCell ref="C40:D40"/>
    <mergeCell ref="Z4:AC4"/>
    <mergeCell ref="AD4:AG4"/>
    <mergeCell ref="AH4:AK4"/>
    <mergeCell ref="AL4:AO4"/>
    <mergeCell ref="U4:U5"/>
    <mergeCell ref="V4:Y4"/>
    <mergeCell ref="AP4:AS4"/>
    <mergeCell ref="S4:S5"/>
    <mergeCell ref="T4:T5"/>
    <mergeCell ref="V35:Y35"/>
    <mergeCell ref="V36:Y36"/>
    <mergeCell ref="V37:Y37"/>
    <mergeCell ref="V38:Y38"/>
    <mergeCell ref="C15:D15"/>
    <mergeCell ref="C23:D23"/>
    <mergeCell ref="C26:D26"/>
    <mergeCell ref="C27:D27"/>
    <mergeCell ref="C28:D28"/>
    <mergeCell ref="C32:D32"/>
    <mergeCell ref="V33:Y33"/>
    <mergeCell ref="V34:Y34"/>
    <mergeCell ref="V39:Y39"/>
    <mergeCell ref="L110:M110"/>
    <mergeCell ref="L123:M123"/>
    <mergeCell ref="L124:M124"/>
    <mergeCell ref="J124:K124"/>
    <mergeCell ref="J125:K125"/>
    <mergeCell ref="J126:K126"/>
    <mergeCell ref="H120:I120"/>
    <mergeCell ref="AT4:AW4"/>
    <mergeCell ref="AX4:BA4"/>
    <mergeCell ref="L120:M120"/>
    <mergeCell ref="H122:I122"/>
    <mergeCell ref="J122:K122"/>
    <mergeCell ref="L114:M114"/>
    <mergeCell ref="L115:M115"/>
    <mergeCell ref="N114:O114"/>
    <mergeCell ref="N115:O115"/>
    <mergeCell ref="H118:I118"/>
    <mergeCell ref="J118:K118"/>
    <mergeCell ref="H119:I119"/>
    <mergeCell ref="J119:K119"/>
    <mergeCell ref="V40:Y40"/>
    <mergeCell ref="V41:Y41"/>
    <mergeCell ref="V42:Y42"/>
    <mergeCell ref="L113:M113"/>
    <mergeCell ref="C77:D77"/>
    <mergeCell ref="J114:K114"/>
    <mergeCell ref="J115:K115"/>
    <mergeCell ref="C91:D91"/>
    <mergeCell ref="C92:D92"/>
    <mergeCell ref="J133:K133"/>
    <mergeCell ref="J134:K134"/>
    <mergeCell ref="J135:K135"/>
    <mergeCell ref="J132:K132"/>
    <mergeCell ref="C85:D85"/>
    <mergeCell ref="C86:D86"/>
    <mergeCell ref="C87:D87"/>
    <mergeCell ref="C95:D95"/>
    <mergeCell ref="C98:D98"/>
    <mergeCell ref="C99:D99"/>
    <mergeCell ref="C100:D100"/>
    <mergeCell ref="C101:D101"/>
    <mergeCell ref="H132:I132"/>
    <mergeCell ref="H121:I121"/>
    <mergeCell ref="J121:K121"/>
    <mergeCell ref="C102:D102"/>
    <mergeCell ref="C94:D94"/>
    <mergeCell ref="C103:D103"/>
    <mergeCell ref="C104:D104"/>
    <mergeCell ref="H148:I148"/>
    <mergeCell ref="J148:K148"/>
    <mergeCell ref="L148:M148"/>
    <mergeCell ref="N148:O148"/>
    <mergeCell ref="H151:I151"/>
    <mergeCell ref="J151:K151"/>
    <mergeCell ref="L151:M151"/>
    <mergeCell ref="N151:O151"/>
    <mergeCell ref="H150:I150"/>
    <mergeCell ref="J150:K150"/>
    <mergeCell ref="L150:M150"/>
    <mergeCell ref="N150:O150"/>
    <mergeCell ref="H153:I153"/>
    <mergeCell ref="J153:K153"/>
    <mergeCell ref="L153:M153"/>
    <mergeCell ref="N153:O153"/>
    <mergeCell ref="H152:I152"/>
    <mergeCell ref="J152:K152"/>
    <mergeCell ref="L152:M152"/>
    <mergeCell ref="N152:O152"/>
    <mergeCell ref="H149:I149"/>
    <mergeCell ref="J149:K149"/>
    <mergeCell ref="L149:M149"/>
    <mergeCell ref="N149:O149"/>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A112"/>
  <sheetViews>
    <sheetView zoomScale="142" zoomScaleNormal="120" workbookViewId="0">
      <pane xSplit="1" ySplit="5" topLeftCell="B6" activePane="bottomRight" state="frozen"/>
      <selection pane="topRight" activeCell="B1" sqref="B1"/>
      <selection pane="bottomLeft" activeCell="A6" sqref="A6"/>
      <selection pane="bottomRight" activeCell="N141" sqref="N141"/>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137</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1990</v>
      </c>
      <c r="B6" s="41"/>
      <c r="C6" s="421" t="s">
        <v>1263</v>
      </c>
      <c r="D6" s="421"/>
      <c r="E6" s="29">
        <v>176</v>
      </c>
      <c r="G6" s="66"/>
      <c r="J6" s="73"/>
      <c r="K6" s="47"/>
      <c r="L6" s="47"/>
      <c r="M6" s="47"/>
      <c r="N6" s="68"/>
      <c r="O6" s="46"/>
      <c r="P6" s="47"/>
      <c r="Q6" s="47"/>
      <c r="R6" s="48"/>
      <c r="T6" s="50"/>
      <c r="U6" s="41"/>
      <c r="V6" s="38"/>
      <c r="Y6" s="39"/>
      <c r="AD6" s="38"/>
      <c r="AG6" s="39"/>
      <c r="AL6" s="38"/>
      <c r="AO6" s="39"/>
      <c r="AP6" s="38"/>
      <c r="AS6" s="39"/>
      <c r="AW6" s="39"/>
      <c r="BA6" s="40"/>
    </row>
    <row r="7" spans="1:53" s="171" customFormat="1" x14ac:dyDescent="0.15">
      <c r="A7" s="171">
        <v>1990</v>
      </c>
      <c r="B7" s="283">
        <v>33050</v>
      </c>
      <c r="C7" s="410" t="s">
        <v>1054</v>
      </c>
      <c r="D7" s="410"/>
      <c r="E7" s="171">
        <v>189</v>
      </c>
      <c r="F7" s="171" t="s">
        <v>335</v>
      </c>
      <c r="G7" s="233">
        <v>10</v>
      </c>
      <c r="H7" s="171">
        <v>3</v>
      </c>
      <c r="J7" s="241">
        <v>21</v>
      </c>
      <c r="K7" s="214">
        <f t="shared" ref="K7:K37" si="0">G7/J7*100</f>
        <v>47.619047619047613</v>
      </c>
      <c r="L7" s="214">
        <f t="shared" ref="L7:L37" si="1">H7/J7*100</f>
        <v>14.285714285714285</v>
      </c>
      <c r="M7" s="214">
        <f t="shared" ref="M7:M37" si="2">I7/J7*100</f>
        <v>0</v>
      </c>
      <c r="N7" s="235">
        <f t="shared" ref="N7:N37" si="3">SUM(K7:M7)</f>
        <v>61.904761904761898</v>
      </c>
      <c r="O7" s="213">
        <v>63</v>
      </c>
      <c r="P7" s="214">
        <v>20</v>
      </c>
      <c r="Q7" s="214"/>
      <c r="R7" s="215">
        <f t="shared" ref="R7:R57" si="4">SUM(O7:Q7)</f>
        <v>83</v>
      </c>
      <c r="S7" s="171">
        <v>3</v>
      </c>
      <c r="T7" s="285">
        <v>33033</v>
      </c>
      <c r="U7" s="283">
        <v>33050</v>
      </c>
      <c r="V7" s="178" t="s">
        <v>1068</v>
      </c>
      <c r="W7" s="171" t="s">
        <v>22</v>
      </c>
      <c r="X7" s="171" t="s">
        <v>11</v>
      </c>
      <c r="Y7" s="179">
        <v>63</v>
      </c>
      <c r="Z7" s="171" t="s">
        <v>1069</v>
      </c>
      <c r="AA7" s="171" t="s">
        <v>1070</v>
      </c>
      <c r="AB7" s="171" t="s">
        <v>18</v>
      </c>
      <c r="AC7" s="171">
        <v>11</v>
      </c>
      <c r="AD7" s="178" t="s">
        <v>1071</v>
      </c>
      <c r="AE7" s="171" t="s">
        <v>17</v>
      </c>
      <c r="AF7" s="171" t="s">
        <v>18</v>
      </c>
      <c r="AG7" s="179">
        <v>9</v>
      </c>
      <c r="AL7" s="178"/>
      <c r="AO7" s="179"/>
      <c r="AP7" s="178"/>
      <c r="AS7" s="179"/>
      <c r="AW7" s="179"/>
      <c r="BA7" s="180"/>
    </row>
    <row r="8" spans="1:53" s="171" customFormat="1" x14ac:dyDescent="0.15">
      <c r="A8" s="171">
        <v>1991</v>
      </c>
      <c r="B8" s="283"/>
      <c r="C8" s="410" t="s">
        <v>1054</v>
      </c>
      <c r="D8" s="410"/>
      <c r="E8" s="171">
        <v>0</v>
      </c>
      <c r="G8" s="233">
        <v>10</v>
      </c>
      <c r="H8" s="171">
        <v>3</v>
      </c>
      <c r="J8" s="241">
        <v>21</v>
      </c>
      <c r="K8" s="214">
        <f t="shared" si="0"/>
        <v>47.619047619047613</v>
      </c>
      <c r="L8" s="214">
        <f t="shared" si="1"/>
        <v>14.285714285714285</v>
      </c>
      <c r="M8" s="214">
        <f t="shared" si="2"/>
        <v>0</v>
      </c>
      <c r="N8" s="235">
        <f t="shared" si="3"/>
        <v>61.904761904761898</v>
      </c>
      <c r="O8" s="213">
        <v>63</v>
      </c>
      <c r="P8" s="214">
        <v>20</v>
      </c>
      <c r="Q8" s="214"/>
      <c r="R8" s="215">
        <f t="shared" si="4"/>
        <v>83</v>
      </c>
      <c r="S8" s="171">
        <v>3</v>
      </c>
      <c r="T8" s="285"/>
      <c r="U8" s="283"/>
      <c r="V8" s="178" t="s">
        <v>1068</v>
      </c>
      <c r="W8" s="171" t="s">
        <v>22</v>
      </c>
      <c r="X8" s="171" t="s">
        <v>11</v>
      </c>
      <c r="Y8" s="179">
        <v>63</v>
      </c>
      <c r="Z8" s="171" t="s">
        <v>1069</v>
      </c>
      <c r="AA8" s="171" t="s">
        <v>1070</v>
      </c>
      <c r="AB8" s="171" t="s">
        <v>18</v>
      </c>
      <c r="AC8" s="171">
        <v>11</v>
      </c>
      <c r="AD8" s="178" t="s">
        <v>1071</v>
      </c>
      <c r="AE8" s="171" t="s">
        <v>17</v>
      </c>
      <c r="AF8" s="171" t="s">
        <v>18</v>
      </c>
      <c r="AG8" s="179">
        <v>9</v>
      </c>
      <c r="AL8" s="178"/>
      <c r="AO8" s="179"/>
      <c r="AP8" s="178"/>
      <c r="AS8" s="179"/>
      <c r="AW8" s="179"/>
      <c r="BA8" s="180"/>
    </row>
    <row r="9" spans="1:53" s="171" customFormat="1" x14ac:dyDescent="0.15">
      <c r="A9" s="171">
        <v>1991</v>
      </c>
      <c r="B9" s="283"/>
      <c r="C9" s="410" t="s">
        <v>1054</v>
      </c>
      <c r="D9" s="410"/>
      <c r="E9" s="171">
        <v>365</v>
      </c>
      <c r="G9" s="233">
        <v>10</v>
      </c>
      <c r="H9" s="171">
        <v>3</v>
      </c>
      <c r="J9" s="241">
        <v>21</v>
      </c>
      <c r="K9" s="214">
        <f t="shared" si="0"/>
        <v>47.619047619047613</v>
      </c>
      <c r="L9" s="214">
        <f t="shared" si="1"/>
        <v>14.285714285714285</v>
      </c>
      <c r="M9" s="214">
        <f t="shared" si="2"/>
        <v>0</v>
      </c>
      <c r="N9" s="235">
        <f t="shared" si="3"/>
        <v>61.904761904761898</v>
      </c>
      <c r="O9" s="213">
        <v>63</v>
      </c>
      <c r="P9" s="214">
        <v>20</v>
      </c>
      <c r="Q9" s="214"/>
      <c r="R9" s="215">
        <f t="shared" si="4"/>
        <v>83</v>
      </c>
      <c r="S9" s="171">
        <v>3</v>
      </c>
      <c r="T9" s="285"/>
      <c r="U9" s="283"/>
      <c r="V9" s="178" t="s">
        <v>1068</v>
      </c>
      <c r="W9" s="171" t="s">
        <v>22</v>
      </c>
      <c r="X9" s="171" t="s">
        <v>11</v>
      </c>
      <c r="Y9" s="179">
        <v>63</v>
      </c>
      <c r="Z9" s="171" t="s">
        <v>1069</v>
      </c>
      <c r="AA9" s="171" t="s">
        <v>1070</v>
      </c>
      <c r="AB9" s="171" t="s">
        <v>18</v>
      </c>
      <c r="AC9" s="171">
        <v>11</v>
      </c>
      <c r="AD9" s="178" t="s">
        <v>1071</v>
      </c>
      <c r="AE9" s="171" t="s">
        <v>17</v>
      </c>
      <c r="AF9" s="171" t="s">
        <v>18</v>
      </c>
      <c r="AG9" s="179">
        <v>9</v>
      </c>
      <c r="AL9" s="178"/>
      <c r="AO9" s="179"/>
      <c r="AP9" s="178"/>
      <c r="AS9" s="179"/>
      <c r="AW9" s="179"/>
      <c r="BA9" s="180"/>
    </row>
    <row r="10" spans="1:53" s="171" customFormat="1" x14ac:dyDescent="0.15">
      <c r="A10" s="171">
        <v>1992</v>
      </c>
      <c r="B10" s="283"/>
      <c r="C10" s="410" t="s">
        <v>1054</v>
      </c>
      <c r="D10" s="410"/>
      <c r="E10" s="171">
        <v>184</v>
      </c>
      <c r="G10" s="233">
        <v>10</v>
      </c>
      <c r="H10" s="171">
        <v>3</v>
      </c>
      <c r="J10" s="241">
        <v>21</v>
      </c>
      <c r="K10" s="214">
        <f t="shared" si="0"/>
        <v>47.619047619047613</v>
      </c>
      <c r="L10" s="214">
        <f t="shared" si="1"/>
        <v>14.285714285714285</v>
      </c>
      <c r="M10" s="214">
        <f t="shared" si="2"/>
        <v>0</v>
      </c>
      <c r="N10" s="235">
        <f t="shared" si="3"/>
        <v>61.904761904761898</v>
      </c>
      <c r="O10" s="213">
        <v>63</v>
      </c>
      <c r="P10" s="214">
        <v>20</v>
      </c>
      <c r="Q10" s="214"/>
      <c r="R10" s="215">
        <f t="shared" si="4"/>
        <v>83</v>
      </c>
      <c r="S10" s="171">
        <v>3</v>
      </c>
      <c r="T10" s="285"/>
      <c r="U10" s="283"/>
      <c r="V10" s="178" t="s">
        <v>1068</v>
      </c>
      <c r="W10" s="171" t="s">
        <v>22</v>
      </c>
      <c r="X10" s="171" t="s">
        <v>11</v>
      </c>
      <c r="Y10" s="179">
        <v>63</v>
      </c>
      <c r="Z10" s="171" t="s">
        <v>1069</v>
      </c>
      <c r="AA10" s="171" t="s">
        <v>1070</v>
      </c>
      <c r="AB10" s="171" t="s">
        <v>18</v>
      </c>
      <c r="AC10" s="171">
        <v>11</v>
      </c>
      <c r="AD10" s="178" t="s">
        <v>1071</v>
      </c>
      <c r="AE10" s="171" t="s">
        <v>17</v>
      </c>
      <c r="AF10" s="171" t="s">
        <v>18</v>
      </c>
      <c r="AG10" s="179">
        <v>9</v>
      </c>
      <c r="AL10" s="178"/>
      <c r="AO10" s="179"/>
      <c r="AP10" s="178"/>
      <c r="AS10" s="179"/>
      <c r="AW10" s="179"/>
      <c r="BA10" s="180"/>
    </row>
    <row r="11" spans="1:53" s="29" customFormat="1" x14ac:dyDescent="0.15">
      <c r="A11" s="29">
        <v>1992</v>
      </c>
      <c r="B11" s="295">
        <v>33788</v>
      </c>
      <c r="C11" s="411" t="s">
        <v>1055</v>
      </c>
      <c r="D11" s="411"/>
      <c r="E11" s="29">
        <v>182</v>
      </c>
      <c r="F11" s="29">
        <v>1</v>
      </c>
      <c r="G11" s="66">
        <v>15</v>
      </c>
      <c r="H11" s="29">
        <v>4</v>
      </c>
      <c r="J11" s="73">
        <v>19</v>
      </c>
      <c r="K11" s="47">
        <f t="shared" si="0"/>
        <v>78.94736842105263</v>
      </c>
      <c r="L11" s="47">
        <f t="shared" si="1"/>
        <v>21.052631578947366</v>
      </c>
      <c r="M11" s="47">
        <f t="shared" si="2"/>
        <v>0</v>
      </c>
      <c r="N11" s="68">
        <f t="shared" si="3"/>
        <v>100</v>
      </c>
      <c r="O11" s="46">
        <v>45</v>
      </c>
      <c r="P11" s="47">
        <v>7.5</v>
      </c>
      <c r="Q11" s="47"/>
      <c r="R11" s="48">
        <f t="shared" si="4"/>
        <v>52.5</v>
      </c>
      <c r="S11" s="29">
        <v>2</v>
      </c>
      <c r="T11" s="286">
        <v>33761</v>
      </c>
      <c r="U11" s="295">
        <v>33788</v>
      </c>
      <c r="V11" s="38" t="s">
        <v>1072</v>
      </c>
      <c r="W11" s="29" t="s">
        <v>74</v>
      </c>
      <c r="X11" s="29" t="s">
        <v>11</v>
      </c>
      <c r="Y11" s="39">
        <v>38</v>
      </c>
      <c r="Z11" s="38" t="s">
        <v>1071</v>
      </c>
      <c r="AA11" s="29" t="s">
        <v>17</v>
      </c>
      <c r="AB11" s="29" t="s">
        <v>18</v>
      </c>
      <c r="AC11" s="29">
        <v>7.5</v>
      </c>
      <c r="AD11" s="38" t="s">
        <v>1073</v>
      </c>
      <c r="AE11" s="29" t="s">
        <v>87</v>
      </c>
      <c r="AF11" s="29" t="s">
        <v>11</v>
      </c>
      <c r="AG11" s="39">
        <v>7</v>
      </c>
      <c r="AL11" s="38"/>
      <c r="AO11" s="39"/>
      <c r="AP11" s="38"/>
      <c r="AS11" s="39"/>
      <c r="AW11" s="39"/>
      <c r="BA11" s="40"/>
    </row>
    <row r="12" spans="1:53" s="29" customFormat="1" x14ac:dyDescent="0.15">
      <c r="A12" s="29">
        <v>1993</v>
      </c>
      <c r="B12" s="295"/>
      <c r="C12" s="411" t="s">
        <v>1055</v>
      </c>
      <c r="D12" s="411"/>
      <c r="E12" s="29">
        <v>0</v>
      </c>
      <c r="G12" s="66">
        <v>15</v>
      </c>
      <c r="H12" s="29">
        <v>4</v>
      </c>
      <c r="J12" s="73">
        <v>19</v>
      </c>
      <c r="K12" s="47">
        <f t="shared" si="0"/>
        <v>78.94736842105263</v>
      </c>
      <c r="L12" s="47">
        <f t="shared" si="1"/>
        <v>21.052631578947366</v>
      </c>
      <c r="M12" s="47">
        <f t="shared" si="2"/>
        <v>0</v>
      </c>
      <c r="N12" s="68">
        <f t="shared" si="3"/>
        <v>100</v>
      </c>
      <c r="O12" s="46">
        <v>45</v>
      </c>
      <c r="P12" s="47">
        <v>7.5</v>
      </c>
      <c r="Q12" s="47"/>
      <c r="R12" s="48">
        <f t="shared" si="4"/>
        <v>52.5</v>
      </c>
      <c r="S12" s="29">
        <v>2</v>
      </c>
      <c r="T12" s="286"/>
      <c r="U12" s="295"/>
      <c r="V12" s="38" t="s">
        <v>1072</v>
      </c>
      <c r="W12" s="29" t="s">
        <v>74</v>
      </c>
      <c r="X12" s="29" t="s">
        <v>11</v>
      </c>
      <c r="Y12" s="39">
        <v>38</v>
      </c>
      <c r="Z12" s="29" t="s">
        <v>1071</v>
      </c>
      <c r="AA12" s="29" t="s">
        <v>17</v>
      </c>
      <c r="AB12" s="29" t="s">
        <v>18</v>
      </c>
      <c r="AC12" s="29">
        <v>7.5</v>
      </c>
      <c r="AD12" s="38" t="s">
        <v>1073</v>
      </c>
      <c r="AE12" s="29" t="s">
        <v>87</v>
      </c>
      <c r="AF12" s="29" t="s">
        <v>11</v>
      </c>
      <c r="AG12" s="39">
        <v>7</v>
      </c>
      <c r="AL12" s="38"/>
      <c r="AO12" s="39"/>
      <c r="AP12" s="38"/>
      <c r="AS12" s="39"/>
      <c r="AW12" s="39"/>
      <c r="BA12" s="40"/>
    </row>
    <row r="13" spans="1:53" s="29" customFormat="1" x14ac:dyDescent="0.15">
      <c r="A13" s="29">
        <v>1993</v>
      </c>
      <c r="B13" s="295"/>
      <c r="C13" s="411" t="s">
        <v>1055</v>
      </c>
      <c r="D13" s="411"/>
      <c r="E13" s="29">
        <v>365</v>
      </c>
      <c r="G13" s="66">
        <v>15</v>
      </c>
      <c r="H13" s="29">
        <v>4</v>
      </c>
      <c r="J13" s="73">
        <v>19</v>
      </c>
      <c r="K13" s="47">
        <f t="shared" si="0"/>
        <v>78.94736842105263</v>
      </c>
      <c r="L13" s="47">
        <f t="shared" si="1"/>
        <v>21.052631578947366</v>
      </c>
      <c r="M13" s="47">
        <f t="shared" si="2"/>
        <v>0</v>
      </c>
      <c r="N13" s="68">
        <f t="shared" si="3"/>
        <v>100</v>
      </c>
      <c r="O13" s="46">
        <v>45</v>
      </c>
      <c r="P13" s="47">
        <v>7.5</v>
      </c>
      <c r="Q13" s="47"/>
      <c r="R13" s="48">
        <f t="shared" si="4"/>
        <v>52.5</v>
      </c>
      <c r="S13" s="29">
        <v>2</v>
      </c>
      <c r="T13" s="286"/>
      <c r="U13" s="295"/>
      <c r="V13" s="38" t="s">
        <v>1072</v>
      </c>
      <c r="W13" s="29" t="s">
        <v>74</v>
      </c>
      <c r="X13" s="29" t="s">
        <v>11</v>
      </c>
      <c r="Y13" s="39">
        <v>38</v>
      </c>
      <c r="Z13" s="38" t="s">
        <v>1071</v>
      </c>
      <c r="AA13" s="29" t="s">
        <v>17</v>
      </c>
      <c r="AB13" s="29" t="s">
        <v>18</v>
      </c>
      <c r="AC13" s="29">
        <v>7.5</v>
      </c>
      <c r="AD13" s="38" t="s">
        <v>1073</v>
      </c>
      <c r="AE13" s="29" t="s">
        <v>87</v>
      </c>
      <c r="AF13" s="29" t="s">
        <v>11</v>
      </c>
      <c r="AG13" s="39">
        <v>7</v>
      </c>
      <c r="AL13" s="38"/>
      <c r="AO13" s="39"/>
      <c r="AP13" s="38"/>
      <c r="AS13" s="39"/>
      <c r="AW13" s="39"/>
      <c r="BA13" s="40"/>
    </row>
    <row r="14" spans="1:53" s="29" customFormat="1" x14ac:dyDescent="0.15">
      <c r="A14" s="29">
        <v>1994</v>
      </c>
      <c r="B14" s="295"/>
      <c r="C14" s="411" t="s">
        <v>1055</v>
      </c>
      <c r="D14" s="411"/>
      <c r="E14" s="29">
        <v>16</v>
      </c>
      <c r="G14" s="66">
        <v>15</v>
      </c>
      <c r="H14" s="29">
        <v>4</v>
      </c>
      <c r="J14" s="73">
        <v>19</v>
      </c>
      <c r="K14" s="47">
        <f t="shared" si="0"/>
        <v>78.94736842105263</v>
      </c>
      <c r="L14" s="47">
        <f t="shared" si="1"/>
        <v>21.052631578947366</v>
      </c>
      <c r="M14" s="47">
        <f t="shared" si="2"/>
        <v>0</v>
      </c>
      <c r="N14" s="68">
        <f t="shared" si="3"/>
        <v>100</v>
      </c>
      <c r="O14" s="46">
        <v>45</v>
      </c>
      <c r="P14" s="47">
        <v>7.5</v>
      </c>
      <c r="Q14" s="47"/>
      <c r="R14" s="48">
        <f t="shared" si="4"/>
        <v>52.5</v>
      </c>
      <c r="S14" s="29">
        <v>2</v>
      </c>
      <c r="T14" s="286"/>
      <c r="U14" s="295"/>
      <c r="V14" s="38" t="s">
        <v>1072</v>
      </c>
      <c r="W14" s="29" t="s">
        <v>74</v>
      </c>
      <c r="X14" s="29" t="s">
        <v>11</v>
      </c>
      <c r="Y14" s="39">
        <v>38</v>
      </c>
      <c r="Z14" s="29" t="s">
        <v>1071</v>
      </c>
      <c r="AA14" s="29" t="s">
        <v>17</v>
      </c>
      <c r="AB14" s="29" t="s">
        <v>18</v>
      </c>
      <c r="AC14" s="29">
        <v>7.5</v>
      </c>
      <c r="AD14" s="38" t="s">
        <v>1073</v>
      </c>
      <c r="AE14" s="29" t="s">
        <v>87</v>
      </c>
      <c r="AF14" s="29" t="s">
        <v>11</v>
      </c>
      <c r="AG14" s="39">
        <v>7</v>
      </c>
      <c r="AL14" s="38"/>
      <c r="AO14" s="39"/>
      <c r="AP14" s="38"/>
      <c r="AS14" s="39"/>
      <c r="AW14" s="39"/>
      <c r="BA14" s="40"/>
    </row>
    <row r="15" spans="1:53" s="29" customFormat="1" x14ac:dyDescent="0.15">
      <c r="A15" s="29">
        <v>1994</v>
      </c>
      <c r="B15" s="303">
        <v>34351</v>
      </c>
      <c r="C15" s="411" t="s">
        <v>1055</v>
      </c>
      <c r="D15" s="411"/>
      <c r="E15" s="29">
        <v>349</v>
      </c>
      <c r="F15" s="84">
        <v>0</v>
      </c>
      <c r="G15" s="66">
        <v>15</v>
      </c>
      <c r="H15" s="29">
        <v>3</v>
      </c>
      <c r="J15" s="73">
        <v>19</v>
      </c>
      <c r="K15" s="47">
        <f t="shared" si="0"/>
        <v>78.94736842105263</v>
      </c>
      <c r="L15" s="47">
        <f t="shared" si="1"/>
        <v>15.789473684210526</v>
      </c>
      <c r="M15" s="47">
        <f t="shared" si="2"/>
        <v>0</v>
      </c>
      <c r="N15" s="68">
        <f t="shared" si="3"/>
        <v>94.73684210526315</v>
      </c>
      <c r="O15" s="46">
        <v>45</v>
      </c>
      <c r="P15" s="47">
        <v>7.5</v>
      </c>
      <c r="Q15" s="47"/>
      <c r="R15" s="48">
        <f t="shared" si="4"/>
        <v>52.5</v>
      </c>
      <c r="S15" s="29">
        <v>2</v>
      </c>
      <c r="T15" s="286"/>
      <c r="U15" s="295"/>
      <c r="V15" s="38" t="s">
        <v>1072</v>
      </c>
      <c r="W15" s="29" t="s">
        <v>74</v>
      </c>
      <c r="X15" s="29" t="s">
        <v>11</v>
      </c>
      <c r="Y15" s="39">
        <v>38</v>
      </c>
      <c r="Z15" s="38" t="s">
        <v>1071</v>
      </c>
      <c r="AA15" s="29" t="s">
        <v>17</v>
      </c>
      <c r="AB15" s="29" t="s">
        <v>18</v>
      </c>
      <c r="AC15" s="29">
        <v>7.5</v>
      </c>
      <c r="AD15" s="38" t="s">
        <v>1073</v>
      </c>
      <c r="AE15" s="29" t="s">
        <v>87</v>
      </c>
      <c r="AF15" s="29" t="s">
        <v>11</v>
      </c>
      <c r="AG15" s="39">
        <v>7</v>
      </c>
      <c r="AL15" s="38"/>
      <c r="AO15" s="39"/>
      <c r="AP15" s="38"/>
      <c r="AS15" s="39"/>
      <c r="AW15" s="39"/>
      <c r="BA15" s="40"/>
    </row>
    <row r="16" spans="1:53" s="29" customFormat="1" x14ac:dyDescent="0.15">
      <c r="A16" s="29">
        <v>1995</v>
      </c>
      <c r="B16" s="295"/>
      <c r="C16" s="411" t="s">
        <v>1055</v>
      </c>
      <c r="D16" s="411"/>
      <c r="E16" s="29">
        <v>0</v>
      </c>
      <c r="G16" s="66">
        <v>15</v>
      </c>
      <c r="H16" s="29">
        <v>3</v>
      </c>
      <c r="J16" s="73">
        <v>19</v>
      </c>
      <c r="K16" s="47">
        <f t="shared" si="0"/>
        <v>78.94736842105263</v>
      </c>
      <c r="L16" s="47">
        <f t="shared" si="1"/>
        <v>15.789473684210526</v>
      </c>
      <c r="M16" s="47">
        <f t="shared" si="2"/>
        <v>0</v>
      </c>
      <c r="N16" s="68">
        <f t="shared" si="3"/>
        <v>94.73684210526315</v>
      </c>
      <c r="O16" s="46">
        <v>45</v>
      </c>
      <c r="P16" s="47">
        <v>7.5</v>
      </c>
      <c r="Q16" s="47"/>
      <c r="R16" s="48">
        <f t="shared" si="4"/>
        <v>52.5</v>
      </c>
      <c r="S16" s="29">
        <v>2</v>
      </c>
      <c r="T16" s="286"/>
      <c r="U16" s="295"/>
      <c r="V16" s="38" t="s">
        <v>1072</v>
      </c>
      <c r="W16" s="29" t="s">
        <v>74</v>
      </c>
      <c r="X16" s="29" t="s">
        <v>11</v>
      </c>
      <c r="Y16" s="39">
        <v>38</v>
      </c>
      <c r="Z16" s="29" t="s">
        <v>1071</v>
      </c>
      <c r="AA16" s="29" t="s">
        <v>17</v>
      </c>
      <c r="AB16" s="29" t="s">
        <v>18</v>
      </c>
      <c r="AC16" s="29">
        <v>7.5</v>
      </c>
      <c r="AD16" s="38" t="s">
        <v>1073</v>
      </c>
      <c r="AE16" s="29" t="s">
        <v>87</v>
      </c>
      <c r="AF16" s="29" t="s">
        <v>11</v>
      </c>
      <c r="AG16" s="39">
        <v>7</v>
      </c>
      <c r="AL16" s="38"/>
      <c r="AO16" s="39"/>
      <c r="AP16" s="38"/>
      <c r="AS16" s="39"/>
      <c r="AW16" s="39"/>
      <c r="BA16" s="40"/>
    </row>
    <row r="17" spans="1:53" s="29" customFormat="1" x14ac:dyDescent="0.15">
      <c r="A17" s="29">
        <v>1995</v>
      </c>
      <c r="B17" s="295"/>
      <c r="C17" s="411" t="s">
        <v>1055</v>
      </c>
      <c r="D17" s="411"/>
      <c r="E17" s="29">
        <v>365</v>
      </c>
      <c r="G17" s="66">
        <v>15</v>
      </c>
      <c r="H17" s="29">
        <v>3</v>
      </c>
      <c r="J17" s="73">
        <v>19</v>
      </c>
      <c r="K17" s="47">
        <f t="shared" si="0"/>
        <v>78.94736842105263</v>
      </c>
      <c r="L17" s="47">
        <f t="shared" si="1"/>
        <v>15.789473684210526</v>
      </c>
      <c r="M17" s="47">
        <f t="shared" si="2"/>
        <v>0</v>
      </c>
      <c r="N17" s="68">
        <f t="shared" si="3"/>
        <v>94.73684210526315</v>
      </c>
      <c r="O17" s="46">
        <v>45</v>
      </c>
      <c r="P17" s="47">
        <v>7.5</v>
      </c>
      <c r="Q17" s="47"/>
      <c r="R17" s="48">
        <f t="shared" si="4"/>
        <v>52.5</v>
      </c>
      <c r="S17" s="29">
        <v>2</v>
      </c>
      <c r="T17" s="286"/>
      <c r="U17" s="295"/>
      <c r="V17" s="38" t="s">
        <v>1072</v>
      </c>
      <c r="W17" s="29" t="s">
        <v>74</v>
      </c>
      <c r="X17" s="29" t="s">
        <v>11</v>
      </c>
      <c r="Y17" s="39">
        <v>38</v>
      </c>
      <c r="Z17" s="38" t="s">
        <v>1071</v>
      </c>
      <c r="AA17" s="29" t="s">
        <v>17</v>
      </c>
      <c r="AB17" s="29" t="s">
        <v>18</v>
      </c>
      <c r="AC17" s="29">
        <v>7.5</v>
      </c>
      <c r="AD17" s="38" t="s">
        <v>1073</v>
      </c>
      <c r="AE17" s="29" t="s">
        <v>87</v>
      </c>
      <c r="AF17" s="29" t="s">
        <v>11</v>
      </c>
      <c r="AG17" s="39">
        <v>7</v>
      </c>
      <c r="AL17" s="38"/>
      <c r="AO17" s="39"/>
      <c r="AP17" s="38"/>
      <c r="AS17" s="39"/>
      <c r="AW17" s="39"/>
      <c r="BA17" s="40"/>
    </row>
    <row r="18" spans="1:53" s="29" customFormat="1" x14ac:dyDescent="0.15">
      <c r="A18" s="29">
        <v>1996</v>
      </c>
      <c r="B18" s="295"/>
      <c r="C18" s="411" t="s">
        <v>1055</v>
      </c>
      <c r="D18" s="411"/>
      <c r="E18" s="29">
        <v>206</v>
      </c>
      <c r="G18" s="66">
        <v>15</v>
      </c>
      <c r="H18" s="29">
        <v>3</v>
      </c>
      <c r="J18" s="73">
        <v>19</v>
      </c>
      <c r="K18" s="47">
        <f t="shared" si="0"/>
        <v>78.94736842105263</v>
      </c>
      <c r="L18" s="47">
        <f t="shared" si="1"/>
        <v>15.789473684210526</v>
      </c>
      <c r="M18" s="47">
        <f t="shared" si="2"/>
        <v>0</v>
      </c>
      <c r="N18" s="68">
        <f t="shared" si="3"/>
        <v>94.73684210526315</v>
      </c>
      <c r="O18" s="46">
        <v>45</v>
      </c>
      <c r="P18" s="47">
        <v>7.5</v>
      </c>
      <c r="Q18" s="47"/>
      <c r="R18" s="48">
        <f t="shared" si="4"/>
        <v>52.5</v>
      </c>
      <c r="S18" s="29">
        <v>2</v>
      </c>
      <c r="T18" s="286"/>
      <c r="U18" s="295"/>
      <c r="V18" s="38" t="s">
        <v>1072</v>
      </c>
      <c r="W18" s="29" t="s">
        <v>74</v>
      </c>
      <c r="X18" s="29" t="s">
        <v>11</v>
      </c>
      <c r="Y18" s="39">
        <v>38</v>
      </c>
      <c r="Z18" s="29" t="s">
        <v>1071</v>
      </c>
      <c r="AA18" s="29" t="s">
        <v>17</v>
      </c>
      <c r="AB18" s="29" t="s">
        <v>18</v>
      </c>
      <c r="AC18" s="29">
        <v>7.5</v>
      </c>
      <c r="AD18" s="38" t="s">
        <v>1073</v>
      </c>
      <c r="AE18" s="29" t="s">
        <v>87</v>
      </c>
      <c r="AF18" s="29" t="s">
        <v>11</v>
      </c>
      <c r="AG18" s="39">
        <v>7</v>
      </c>
      <c r="AL18" s="38"/>
      <c r="AO18" s="39"/>
      <c r="AP18" s="38"/>
      <c r="AS18" s="39"/>
      <c r="AW18" s="39"/>
      <c r="BA18" s="40"/>
    </row>
    <row r="19" spans="1:53" s="171" customFormat="1" x14ac:dyDescent="0.15">
      <c r="A19" s="171">
        <v>1996</v>
      </c>
      <c r="B19" s="283">
        <v>35271</v>
      </c>
      <c r="C19" s="410" t="s">
        <v>1056</v>
      </c>
      <c r="D19" s="410"/>
      <c r="E19" s="171">
        <v>160</v>
      </c>
      <c r="F19" s="171">
        <v>1</v>
      </c>
      <c r="G19" s="233">
        <v>12</v>
      </c>
      <c r="H19" s="171">
        <v>4</v>
      </c>
      <c r="J19" s="241">
        <v>16</v>
      </c>
      <c r="K19" s="214">
        <f t="shared" si="0"/>
        <v>75</v>
      </c>
      <c r="L19" s="214">
        <f t="shared" si="1"/>
        <v>25</v>
      </c>
      <c r="M19" s="214">
        <f t="shared" si="2"/>
        <v>0</v>
      </c>
      <c r="N19" s="235">
        <f t="shared" si="3"/>
        <v>100</v>
      </c>
      <c r="O19" s="213">
        <v>40.5</v>
      </c>
      <c r="P19" s="214">
        <v>9</v>
      </c>
      <c r="Q19" s="214"/>
      <c r="R19" s="215">
        <f t="shared" si="4"/>
        <v>49.5</v>
      </c>
      <c r="S19" s="171">
        <v>5</v>
      </c>
      <c r="T19" s="285">
        <v>35217</v>
      </c>
      <c r="U19" s="283">
        <v>35271</v>
      </c>
      <c r="V19" s="178" t="s">
        <v>1072</v>
      </c>
      <c r="W19" s="171" t="s">
        <v>74</v>
      </c>
      <c r="X19" s="171" t="s">
        <v>11</v>
      </c>
      <c r="Y19" s="179">
        <v>34</v>
      </c>
      <c r="Z19" s="178" t="s">
        <v>1071</v>
      </c>
      <c r="AA19" s="171" t="s">
        <v>17</v>
      </c>
      <c r="AB19" s="171" t="s">
        <v>18</v>
      </c>
      <c r="AC19" s="171">
        <v>9</v>
      </c>
      <c r="AD19" s="178" t="s">
        <v>1073</v>
      </c>
      <c r="AE19" s="171" t="s">
        <v>87</v>
      </c>
      <c r="AF19" s="171" t="s">
        <v>11</v>
      </c>
      <c r="AG19" s="179">
        <v>6.5</v>
      </c>
      <c r="AL19" s="178"/>
      <c r="AO19" s="179"/>
      <c r="AP19" s="178"/>
      <c r="AS19" s="179"/>
      <c r="AW19" s="179"/>
      <c r="BA19" s="180"/>
    </row>
    <row r="20" spans="1:53" s="171" customFormat="1" x14ac:dyDescent="0.15">
      <c r="A20" s="171">
        <v>1997</v>
      </c>
      <c r="B20" s="283"/>
      <c r="C20" s="410" t="s">
        <v>1056</v>
      </c>
      <c r="D20" s="410"/>
      <c r="E20" s="171">
        <v>311</v>
      </c>
      <c r="G20" s="233">
        <v>12</v>
      </c>
      <c r="H20" s="171">
        <v>4</v>
      </c>
      <c r="J20" s="241">
        <v>16</v>
      </c>
      <c r="K20" s="214">
        <f t="shared" si="0"/>
        <v>75</v>
      </c>
      <c r="L20" s="214">
        <f t="shared" si="1"/>
        <v>25</v>
      </c>
      <c r="M20" s="214">
        <f t="shared" si="2"/>
        <v>0</v>
      </c>
      <c r="N20" s="235">
        <f t="shared" si="3"/>
        <v>100</v>
      </c>
      <c r="O20" s="213">
        <v>40.5</v>
      </c>
      <c r="P20" s="214">
        <v>9</v>
      </c>
      <c r="Q20" s="214"/>
      <c r="R20" s="215">
        <f t="shared" si="4"/>
        <v>49.5</v>
      </c>
      <c r="S20" s="171">
        <v>5</v>
      </c>
      <c r="T20" s="285"/>
      <c r="U20" s="283"/>
      <c r="V20" s="178" t="s">
        <v>1072</v>
      </c>
      <c r="W20" s="171" t="s">
        <v>74</v>
      </c>
      <c r="X20" s="171" t="s">
        <v>11</v>
      </c>
      <c r="Y20" s="179">
        <v>34</v>
      </c>
      <c r="Z20" s="171" t="s">
        <v>1071</v>
      </c>
      <c r="AA20" s="171" t="s">
        <v>17</v>
      </c>
      <c r="AB20" s="171" t="s">
        <v>18</v>
      </c>
      <c r="AC20" s="171">
        <v>9</v>
      </c>
      <c r="AD20" s="178" t="s">
        <v>1073</v>
      </c>
      <c r="AE20" s="171" t="s">
        <v>87</v>
      </c>
      <c r="AF20" s="171" t="s">
        <v>11</v>
      </c>
      <c r="AG20" s="179">
        <v>6.5</v>
      </c>
      <c r="AL20" s="178"/>
      <c r="AO20" s="179"/>
      <c r="AP20" s="178"/>
      <c r="AS20" s="179"/>
      <c r="AW20" s="179"/>
      <c r="BA20" s="180"/>
    </row>
    <row r="21" spans="1:53" s="171" customFormat="1" x14ac:dyDescent="0.15">
      <c r="A21" s="171">
        <v>1997</v>
      </c>
      <c r="B21" s="305">
        <v>35742</v>
      </c>
      <c r="C21" s="410" t="s">
        <v>1056</v>
      </c>
      <c r="D21" s="410"/>
      <c r="E21" s="171">
        <v>54</v>
      </c>
      <c r="F21" s="244">
        <v>0</v>
      </c>
      <c r="G21" s="233">
        <v>11</v>
      </c>
      <c r="H21" s="171">
        <v>4</v>
      </c>
      <c r="J21" s="241">
        <v>16</v>
      </c>
      <c r="K21" s="214">
        <f t="shared" si="0"/>
        <v>68.75</v>
      </c>
      <c r="L21" s="214">
        <f t="shared" si="1"/>
        <v>25</v>
      </c>
      <c r="M21" s="214">
        <f t="shared" si="2"/>
        <v>0</v>
      </c>
      <c r="N21" s="235">
        <f t="shared" si="3"/>
        <v>93.75</v>
      </c>
      <c r="O21" s="213">
        <v>40.5</v>
      </c>
      <c r="P21" s="214">
        <v>9</v>
      </c>
      <c r="Q21" s="214"/>
      <c r="R21" s="215">
        <f t="shared" si="4"/>
        <v>49.5</v>
      </c>
      <c r="S21" s="171">
        <v>5</v>
      </c>
      <c r="T21" s="285"/>
      <c r="U21" s="283"/>
      <c r="V21" s="178" t="s">
        <v>1072</v>
      </c>
      <c r="W21" s="171" t="s">
        <v>74</v>
      </c>
      <c r="X21" s="171" t="s">
        <v>11</v>
      </c>
      <c r="Y21" s="179">
        <v>34</v>
      </c>
      <c r="Z21" s="178" t="s">
        <v>1071</v>
      </c>
      <c r="AA21" s="171" t="s">
        <v>17</v>
      </c>
      <c r="AB21" s="171" t="s">
        <v>18</v>
      </c>
      <c r="AC21" s="171">
        <v>9</v>
      </c>
      <c r="AD21" s="178" t="s">
        <v>1073</v>
      </c>
      <c r="AE21" s="171" t="s">
        <v>87</v>
      </c>
      <c r="AF21" s="171" t="s">
        <v>11</v>
      </c>
      <c r="AG21" s="179">
        <v>6.5</v>
      </c>
      <c r="AL21" s="178"/>
      <c r="AO21" s="179"/>
      <c r="AP21" s="178"/>
      <c r="AS21" s="179"/>
      <c r="AW21" s="179"/>
      <c r="BA21" s="180"/>
    </row>
    <row r="22" spans="1:53" s="171" customFormat="1" x14ac:dyDescent="0.15">
      <c r="A22" s="171">
        <v>1998</v>
      </c>
      <c r="B22" s="283"/>
      <c r="C22" s="410" t="s">
        <v>1056</v>
      </c>
      <c r="D22" s="410"/>
      <c r="E22" s="171">
        <v>27</v>
      </c>
      <c r="G22" s="233">
        <v>11</v>
      </c>
      <c r="H22" s="171">
        <v>4</v>
      </c>
      <c r="J22" s="241">
        <v>16</v>
      </c>
      <c r="K22" s="214">
        <f t="shared" si="0"/>
        <v>68.75</v>
      </c>
      <c r="L22" s="214">
        <f t="shared" si="1"/>
        <v>25</v>
      </c>
      <c r="M22" s="214">
        <f t="shared" si="2"/>
        <v>0</v>
      </c>
      <c r="N22" s="235">
        <f t="shared" si="3"/>
        <v>93.75</v>
      </c>
      <c r="O22" s="213">
        <v>40.5</v>
      </c>
      <c r="P22" s="214">
        <v>9</v>
      </c>
      <c r="Q22" s="214"/>
      <c r="R22" s="215">
        <f t="shared" si="4"/>
        <v>49.5</v>
      </c>
      <c r="S22" s="171">
        <v>5</v>
      </c>
      <c r="T22" s="285"/>
      <c r="U22" s="283"/>
      <c r="V22" s="178" t="s">
        <v>1072</v>
      </c>
      <c r="W22" s="171" t="s">
        <v>74</v>
      </c>
      <c r="X22" s="171" t="s">
        <v>11</v>
      </c>
      <c r="Y22" s="179">
        <v>34</v>
      </c>
      <c r="Z22" s="171" t="s">
        <v>1071</v>
      </c>
      <c r="AA22" s="171" t="s">
        <v>17</v>
      </c>
      <c r="AB22" s="171" t="s">
        <v>18</v>
      </c>
      <c r="AC22" s="171">
        <v>9</v>
      </c>
      <c r="AD22" s="178" t="s">
        <v>1073</v>
      </c>
      <c r="AE22" s="171" t="s">
        <v>87</v>
      </c>
      <c r="AF22" s="171" t="s">
        <v>11</v>
      </c>
      <c r="AG22" s="179">
        <v>6.5</v>
      </c>
      <c r="AL22" s="178"/>
      <c r="AO22" s="179"/>
      <c r="AP22" s="178"/>
      <c r="AS22" s="179"/>
      <c r="AW22" s="179"/>
      <c r="BA22" s="180"/>
    </row>
    <row r="23" spans="1:53" s="29" customFormat="1" x14ac:dyDescent="0.15">
      <c r="A23" s="29">
        <v>1998</v>
      </c>
      <c r="B23" s="295">
        <v>35823</v>
      </c>
      <c r="C23" s="411" t="s">
        <v>1057</v>
      </c>
      <c r="D23" s="411"/>
      <c r="E23" s="29">
        <v>203</v>
      </c>
      <c r="F23" s="29">
        <v>2</v>
      </c>
      <c r="G23" s="66">
        <v>7</v>
      </c>
      <c r="H23" s="29">
        <v>3</v>
      </c>
      <c r="J23" s="73">
        <v>17</v>
      </c>
      <c r="K23" s="47">
        <f t="shared" si="0"/>
        <v>41.17647058823529</v>
      </c>
      <c r="L23" s="47">
        <f t="shared" si="1"/>
        <v>17.647058823529413</v>
      </c>
      <c r="M23" s="47">
        <f t="shared" si="2"/>
        <v>0</v>
      </c>
      <c r="N23" s="68">
        <f t="shared" si="3"/>
        <v>58.823529411764703</v>
      </c>
      <c r="O23" s="46">
        <v>40.5</v>
      </c>
      <c r="P23" s="47">
        <v>9</v>
      </c>
      <c r="Q23" s="47"/>
      <c r="R23" s="48">
        <f>SUM(O23:Q23)</f>
        <v>49.5</v>
      </c>
      <c r="S23" s="29">
        <v>6</v>
      </c>
      <c r="T23" s="286"/>
      <c r="U23" s="295">
        <v>35823</v>
      </c>
      <c r="V23" s="38" t="s">
        <v>1072</v>
      </c>
      <c r="W23" s="29" t="s">
        <v>74</v>
      </c>
      <c r="X23" s="29" t="s">
        <v>11</v>
      </c>
      <c r="Y23" s="39">
        <v>34</v>
      </c>
      <c r="Z23" s="38" t="s">
        <v>1071</v>
      </c>
      <c r="AA23" s="29" t="s">
        <v>17</v>
      </c>
      <c r="AB23" s="29" t="s">
        <v>18</v>
      </c>
      <c r="AC23" s="29">
        <v>9</v>
      </c>
      <c r="AD23" s="38" t="s">
        <v>1073</v>
      </c>
      <c r="AE23" s="29" t="s">
        <v>87</v>
      </c>
      <c r="AF23" s="29" t="s">
        <v>11</v>
      </c>
      <c r="AG23" s="39">
        <v>6.5</v>
      </c>
      <c r="AL23" s="38"/>
      <c r="AO23" s="39"/>
      <c r="AP23" s="38"/>
      <c r="AS23" s="39"/>
      <c r="AW23" s="39"/>
      <c r="BA23" s="40"/>
    </row>
    <row r="24" spans="1:53" s="171" customFormat="1" x14ac:dyDescent="0.15">
      <c r="A24" s="171">
        <v>1998</v>
      </c>
      <c r="B24" s="283">
        <v>36026</v>
      </c>
      <c r="C24" s="410" t="s">
        <v>1058</v>
      </c>
      <c r="D24" s="410"/>
      <c r="E24" s="171">
        <v>135</v>
      </c>
      <c r="F24" s="171">
        <v>1</v>
      </c>
      <c r="G24" s="233"/>
      <c r="I24" s="171">
        <v>18</v>
      </c>
      <c r="J24" s="241">
        <v>19</v>
      </c>
      <c r="K24" s="214">
        <f t="shared" si="0"/>
        <v>0</v>
      </c>
      <c r="L24" s="214">
        <f t="shared" si="1"/>
        <v>0</v>
      </c>
      <c r="M24" s="214">
        <f t="shared" si="2"/>
        <v>94.73684210526315</v>
      </c>
      <c r="N24" s="235">
        <f t="shared" si="3"/>
        <v>94.73684210526315</v>
      </c>
      <c r="O24" s="213"/>
      <c r="P24" s="214"/>
      <c r="Q24" s="214">
        <v>37</v>
      </c>
      <c r="R24" s="215">
        <f t="shared" si="4"/>
        <v>37</v>
      </c>
      <c r="S24" s="171">
        <v>4</v>
      </c>
      <c r="T24" s="285">
        <v>35966</v>
      </c>
      <c r="U24" s="283">
        <v>36026</v>
      </c>
      <c r="V24" s="178" t="s">
        <v>1074</v>
      </c>
      <c r="W24" s="171" t="s">
        <v>20</v>
      </c>
      <c r="X24" s="171" t="s">
        <v>12</v>
      </c>
      <c r="Y24" s="179">
        <v>37</v>
      </c>
      <c r="AD24" s="178"/>
      <c r="AG24" s="179"/>
      <c r="AL24" s="178"/>
      <c r="AO24" s="179"/>
      <c r="AP24" s="178"/>
      <c r="AS24" s="179"/>
      <c r="AW24" s="179"/>
      <c r="BA24" s="180"/>
    </row>
    <row r="25" spans="1:53" s="171" customFormat="1" x14ac:dyDescent="0.15">
      <c r="A25" s="171">
        <v>1999</v>
      </c>
      <c r="B25" s="283"/>
      <c r="C25" s="410" t="s">
        <v>1058</v>
      </c>
      <c r="D25" s="410"/>
      <c r="E25" s="171">
        <v>200</v>
      </c>
      <c r="G25" s="233"/>
      <c r="I25" s="171">
        <v>18</v>
      </c>
      <c r="J25" s="241">
        <v>19</v>
      </c>
      <c r="K25" s="214">
        <f t="shared" si="0"/>
        <v>0</v>
      </c>
      <c r="L25" s="214">
        <f t="shared" si="1"/>
        <v>0</v>
      </c>
      <c r="M25" s="214">
        <f t="shared" si="2"/>
        <v>94.73684210526315</v>
      </c>
      <c r="N25" s="235">
        <f t="shared" si="3"/>
        <v>94.73684210526315</v>
      </c>
      <c r="O25" s="213"/>
      <c r="P25" s="214"/>
      <c r="Q25" s="214">
        <v>37</v>
      </c>
      <c r="R25" s="215">
        <f t="shared" si="4"/>
        <v>37</v>
      </c>
      <c r="S25" s="171">
        <v>4</v>
      </c>
      <c r="T25" s="285"/>
      <c r="U25" s="283"/>
      <c r="V25" s="178" t="s">
        <v>1074</v>
      </c>
      <c r="W25" s="171" t="s">
        <v>20</v>
      </c>
      <c r="X25" s="171" t="s">
        <v>12</v>
      </c>
      <c r="Y25" s="179">
        <v>37</v>
      </c>
      <c r="AD25" s="178"/>
      <c r="AG25" s="179"/>
      <c r="AL25" s="178"/>
      <c r="AO25" s="179"/>
      <c r="AP25" s="178"/>
      <c r="AS25" s="179"/>
      <c r="AW25" s="179"/>
      <c r="BA25" s="180"/>
    </row>
    <row r="26" spans="1:53" s="171" customFormat="1" x14ac:dyDescent="0.15">
      <c r="A26" s="171">
        <v>1999</v>
      </c>
      <c r="B26" s="305">
        <v>36361</v>
      </c>
      <c r="C26" s="410" t="s">
        <v>1058</v>
      </c>
      <c r="D26" s="410"/>
      <c r="E26" s="171">
        <v>132</v>
      </c>
      <c r="F26" s="244">
        <v>0</v>
      </c>
      <c r="G26" s="233"/>
      <c r="I26" s="171">
        <v>17</v>
      </c>
      <c r="J26" s="241">
        <v>18</v>
      </c>
      <c r="K26" s="214">
        <f>G26/J26*100</f>
        <v>0</v>
      </c>
      <c r="L26" s="214">
        <f>H26/J26*100</f>
        <v>0</v>
      </c>
      <c r="M26" s="214">
        <f>I26/J26*100</f>
        <v>94.444444444444443</v>
      </c>
      <c r="N26" s="235">
        <f>SUM(K26:M26)</f>
        <v>94.444444444444443</v>
      </c>
      <c r="O26" s="213"/>
      <c r="P26" s="214"/>
      <c r="Q26" s="214">
        <v>37</v>
      </c>
      <c r="R26" s="215">
        <f>SUM(O26:Q26)</f>
        <v>37</v>
      </c>
      <c r="S26" s="171">
        <v>4</v>
      </c>
      <c r="T26" s="285"/>
      <c r="U26" s="283"/>
      <c r="V26" s="178" t="s">
        <v>1074</v>
      </c>
      <c r="W26" s="171" t="s">
        <v>20</v>
      </c>
      <c r="X26" s="171" t="s">
        <v>12</v>
      </c>
      <c r="Y26" s="179">
        <v>37</v>
      </c>
      <c r="AD26" s="178"/>
      <c r="AG26" s="179"/>
      <c r="AL26" s="178"/>
      <c r="AO26" s="179"/>
      <c r="AP26" s="178"/>
      <c r="AS26" s="179"/>
      <c r="AW26" s="179"/>
      <c r="BA26" s="180"/>
    </row>
    <row r="27" spans="1:53" s="171" customFormat="1" x14ac:dyDescent="0.15">
      <c r="A27" s="171">
        <v>1999</v>
      </c>
      <c r="B27" s="305">
        <v>36493</v>
      </c>
      <c r="C27" s="410" t="s">
        <v>1058</v>
      </c>
      <c r="D27" s="410"/>
      <c r="E27" s="171">
        <v>33</v>
      </c>
      <c r="F27" s="244">
        <v>0</v>
      </c>
      <c r="G27" s="233"/>
      <c r="I27" s="171">
        <v>16</v>
      </c>
      <c r="J27" s="241">
        <v>17</v>
      </c>
      <c r="K27" s="214">
        <f t="shared" si="0"/>
        <v>0</v>
      </c>
      <c r="L27" s="214">
        <f t="shared" si="1"/>
        <v>0</v>
      </c>
      <c r="M27" s="214">
        <f t="shared" si="2"/>
        <v>94.117647058823522</v>
      </c>
      <c r="N27" s="235">
        <f t="shared" si="3"/>
        <v>94.117647058823522</v>
      </c>
      <c r="O27" s="213"/>
      <c r="P27" s="214"/>
      <c r="Q27" s="214">
        <v>37</v>
      </c>
      <c r="R27" s="215">
        <f t="shared" si="4"/>
        <v>37</v>
      </c>
      <c r="S27" s="171">
        <v>4</v>
      </c>
      <c r="T27" s="285"/>
      <c r="U27" s="283"/>
      <c r="V27" s="178" t="s">
        <v>1074</v>
      </c>
      <c r="W27" s="171" t="s">
        <v>20</v>
      </c>
      <c r="X27" s="171" t="s">
        <v>12</v>
      </c>
      <c r="Y27" s="179">
        <v>37</v>
      </c>
      <c r="AD27" s="178"/>
      <c r="AG27" s="179"/>
      <c r="AL27" s="178"/>
      <c r="AO27" s="179"/>
      <c r="AP27" s="178"/>
      <c r="AS27" s="179"/>
      <c r="AW27" s="179"/>
      <c r="BA27" s="180"/>
    </row>
    <row r="28" spans="1:53" s="171" customFormat="1" x14ac:dyDescent="0.15">
      <c r="A28" s="171">
        <v>2000</v>
      </c>
      <c r="B28" s="283"/>
      <c r="C28" s="410" t="s">
        <v>1058</v>
      </c>
      <c r="D28" s="410"/>
      <c r="E28" s="171">
        <v>0</v>
      </c>
      <c r="G28" s="233"/>
      <c r="I28" s="171">
        <v>16</v>
      </c>
      <c r="J28" s="241">
        <v>17</v>
      </c>
      <c r="K28" s="214">
        <f t="shared" si="0"/>
        <v>0</v>
      </c>
      <c r="L28" s="214">
        <f t="shared" si="1"/>
        <v>0</v>
      </c>
      <c r="M28" s="214">
        <f t="shared" si="2"/>
        <v>94.117647058823522</v>
      </c>
      <c r="N28" s="235">
        <f t="shared" si="3"/>
        <v>94.117647058823522</v>
      </c>
      <c r="O28" s="213"/>
      <c r="P28" s="214"/>
      <c r="Q28" s="214">
        <v>37</v>
      </c>
      <c r="R28" s="215">
        <f t="shared" si="4"/>
        <v>37</v>
      </c>
      <c r="S28" s="171">
        <v>4</v>
      </c>
      <c r="T28" s="285"/>
      <c r="U28" s="283"/>
      <c r="V28" s="178" t="s">
        <v>1074</v>
      </c>
      <c r="W28" s="171" t="s">
        <v>20</v>
      </c>
      <c r="X28" s="171" t="s">
        <v>12</v>
      </c>
      <c r="Y28" s="179">
        <v>37</v>
      </c>
      <c r="AD28" s="178"/>
      <c r="AG28" s="179"/>
      <c r="AL28" s="178"/>
      <c r="AO28" s="179"/>
      <c r="AP28" s="178"/>
      <c r="AS28" s="179"/>
      <c r="AW28" s="179"/>
      <c r="BA28" s="180"/>
    </row>
    <row r="29" spans="1:53" s="171" customFormat="1" x14ac:dyDescent="0.15">
      <c r="A29" s="171">
        <v>2000</v>
      </c>
      <c r="B29" s="283"/>
      <c r="C29" s="410" t="s">
        <v>1058</v>
      </c>
      <c r="D29" s="410"/>
      <c r="E29" s="171">
        <v>366</v>
      </c>
      <c r="G29" s="233"/>
      <c r="I29" s="171">
        <v>16</v>
      </c>
      <c r="J29" s="241">
        <v>17</v>
      </c>
      <c r="K29" s="214">
        <f t="shared" si="0"/>
        <v>0</v>
      </c>
      <c r="L29" s="214">
        <f t="shared" si="1"/>
        <v>0</v>
      </c>
      <c r="M29" s="214">
        <f t="shared" si="2"/>
        <v>94.117647058823522</v>
      </c>
      <c r="N29" s="235">
        <f t="shared" si="3"/>
        <v>94.117647058823522</v>
      </c>
      <c r="O29" s="213"/>
      <c r="P29" s="214"/>
      <c r="Q29" s="214">
        <v>37</v>
      </c>
      <c r="R29" s="215">
        <f t="shared" si="4"/>
        <v>37</v>
      </c>
      <c r="S29" s="171">
        <v>4</v>
      </c>
      <c r="T29" s="285"/>
      <c r="U29" s="283"/>
      <c r="V29" s="178" t="s">
        <v>1074</v>
      </c>
      <c r="W29" s="171" t="s">
        <v>20</v>
      </c>
      <c r="X29" s="171" t="s">
        <v>12</v>
      </c>
      <c r="Y29" s="179">
        <v>37</v>
      </c>
      <c r="AD29" s="178"/>
      <c r="AG29" s="179"/>
      <c r="AL29" s="178"/>
      <c r="AO29" s="179"/>
      <c r="AP29" s="178"/>
      <c r="AS29" s="179"/>
      <c r="AW29" s="179"/>
      <c r="BA29" s="180"/>
    </row>
    <row r="30" spans="1:53" s="171" customFormat="1" x14ac:dyDescent="0.15">
      <c r="A30" s="171">
        <v>2001</v>
      </c>
      <c r="B30" s="283"/>
      <c r="C30" s="410" t="s">
        <v>1058</v>
      </c>
      <c r="D30" s="410"/>
      <c r="E30" s="171">
        <v>0</v>
      </c>
      <c r="G30" s="233"/>
      <c r="I30" s="171">
        <v>16</v>
      </c>
      <c r="J30" s="241">
        <v>17</v>
      </c>
      <c r="K30" s="214">
        <f t="shared" si="0"/>
        <v>0</v>
      </c>
      <c r="L30" s="214">
        <f t="shared" si="1"/>
        <v>0</v>
      </c>
      <c r="M30" s="214">
        <f t="shared" si="2"/>
        <v>94.117647058823522</v>
      </c>
      <c r="N30" s="235">
        <f t="shared" si="3"/>
        <v>94.117647058823522</v>
      </c>
      <c r="O30" s="213"/>
      <c r="P30" s="214"/>
      <c r="Q30" s="214">
        <v>37</v>
      </c>
      <c r="R30" s="215">
        <f t="shared" si="4"/>
        <v>37</v>
      </c>
      <c r="S30" s="171">
        <v>4</v>
      </c>
      <c r="T30" s="285"/>
      <c r="U30" s="283"/>
      <c r="V30" s="178" t="s">
        <v>1074</v>
      </c>
      <c r="W30" s="171" t="s">
        <v>20</v>
      </c>
      <c r="X30" s="171" t="s">
        <v>12</v>
      </c>
      <c r="Y30" s="179">
        <v>37</v>
      </c>
      <c r="AD30" s="178"/>
      <c r="AG30" s="179"/>
      <c r="AL30" s="178"/>
      <c r="AO30" s="179"/>
      <c r="AP30" s="178"/>
      <c r="AS30" s="179"/>
      <c r="AW30" s="179"/>
      <c r="BA30" s="180"/>
    </row>
    <row r="31" spans="1:53" s="171" customFormat="1" x14ac:dyDescent="0.15">
      <c r="A31" s="171">
        <v>2001</v>
      </c>
      <c r="B31" s="283"/>
      <c r="C31" s="410" t="s">
        <v>1058</v>
      </c>
      <c r="D31" s="410"/>
      <c r="E31" s="171">
        <v>365</v>
      </c>
      <c r="G31" s="233"/>
      <c r="I31" s="171">
        <v>16</v>
      </c>
      <c r="J31" s="241">
        <v>17</v>
      </c>
      <c r="K31" s="214">
        <f t="shared" si="0"/>
        <v>0</v>
      </c>
      <c r="L31" s="214">
        <f t="shared" si="1"/>
        <v>0</v>
      </c>
      <c r="M31" s="214">
        <f t="shared" si="2"/>
        <v>94.117647058823522</v>
      </c>
      <c r="N31" s="235">
        <f t="shared" si="3"/>
        <v>94.117647058823522</v>
      </c>
      <c r="O31" s="213"/>
      <c r="P31" s="214"/>
      <c r="Q31" s="214">
        <v>37</v>
      </c>
      <c r="R31" s="215">
        <f t="shared" si="4"/>
        <v>37</v>
      </c>
      <c r="S31" s="171">
        <v>4</v>
      </c>
      <c r="T31" s="285"/>
      <c r="U31" s="283"/>
      <c r="V31" s="178" t="s">
        <v>1074</v>
      </c>
      <c r="W31" s="171" t="s">
        <v>20</v>
      </c>
      <c r="X31" s="171" t="s">
        <v>12</v>
      </c>
      <c r="Y31" s="179">
        <v>37</v>
      </c>
      <c r="AD31" s="178"/>
      <c r="AG31" s="179"/>
      <c r="AL31" s="178"/>
      <c r="AO31" s="179"/>
      <c r="AP31" s="178"/>
      <c r="AS31" s="179"/>
      <c r="AW31" s="179"/>
      <c r="BA31" s="180"/>
    </row>
    <row r="32" spans="1:53" s="171" customFormat="1" x14ac:dyDescent="0.15">
      <c r="A32" s="171">
        <v>2002</v>
      </c>
      <c r="B32" s="306"/>
      <c r="C32" s="410" t="s">
        <v>1058</v>
      </c>
      <c r="D32" s="410"/>
      <c r="E32" s="171">
        <v>195</v>
      </c>
      <c r="G32" s="233"/>
      <c r="I32" s="171">
        <v>16</v>
      </c>
      <c r="J32" s="241">
        <v>17</v>
      </c>
      <c r="K32" s="214">
        <f t="shared" si="0"/>
        <v>0</v>
      </c>
      <c r="L32" s="214">
        <f t="shared" si="1"/>
        <v>0</v>
      </c>
      <c r="M32" s="214">
        <f t="shared" si="2"/>
        <v>94.117647058823522</v>
      </c>
      <c r="N32" s="235">
        <f t="shared" si="3"/>
        <v>94.117647058823522</v>
      </c>
      <c r="O32" s="213"/>
      <c r="P32" s="214"/>
      <c r="Q32" s="214">
        <v>37</v>
      </c>
      <c r="R32" s="215">
        <f t="shared" si="4"/>
        <v>37</v>
      </c>
      <c r="S32" s="171">
        <v>4</v>
      </c>
      <c r="T32" s="285"/>
      <c r="U32" s="283"/>
      <c r="V32" s="178" t="s">
        <v>1074</v>
      </c>
      <c r="W32" s="171" t="s">
        <v>20</v>
      </c>
      <c r="X32" s="171" t="s">
        <v>12</v>
      </c>
      <c r="Y32" s="179">
        <v>37</v>
      </c>
      <c r="AD32" s="178"/>
      <c r="AG32" s="179"/>
      <c r="AL32" s="178"/>
      <c r="AO32" s="179"/>
      <c r="AP32" s="178"/>
      <c r="AS32" s="179"/>
      <c r="AW32" s="179"/>
      <c r="BA32" s="180"/>
    </row>
    <row r="33" spans="1:53" s="29" customFormat="1" x14ac:dyDescent="0.15">
      <c r="A33" s="29">
        <v>2002</v>
      </c>
      <c r="B33" s="277">
        <v>37452</v>
      </c>
      <c r="C33" s="411" t="s">
        <v>1059</v>
      </c>
      <c r="D33" s="411"/>
      <c r="E33" s="29">
        <v>170</v>
      </c>
      <c r="F33" s="29">
        <v>1</v>
      </c>
      <c r="G33" s="66">
        <v>3</v>
      </c>
      <c r="H33" s="29">
        <v>3</v>
      </c>
      <c r="I33" s="29">
        <v>11</v>
      </c>
      <c r="J33" s="73">
        <v>17</v>
      </c>
      <c r="K33" s="47">
        <f t="shared" si="0"/>
        <v>17.647058823529413</v>
      </c>
      <c r="L33" s="47">
        <f t="shared" si="1"/>
        <v>17.647058823529413</v>
      </c>
      <c r="M33" s="47">
        <f t="shared" si="2"/>
        <v>64.705882352941174</v>
      </c>
      <c r="N33" s="68">
        <f t="shared" si="3"/>
        <v>100</v>
      </c>
      <c r="O33" s="46">
        <v>4.5</v>
      </c>
      <c r="P33" s="47">
        <v>11</v>
      </c>
      <c r="Q33" s="47">
        <v>35</v>
      </c>
      <c r="R33" s="48">
        <f t="shared" si="4"/>
        <v>50.5</v>
      </c>
      <c r="S33" s="29">
        <v>2</v>
      </c>
      <c r="T33" s="286">
        <v>37422</v>
      </c>
      <c r="U33" s="295">
        <v>37452</v>
      </c>
      <c r="V33" s="38" t="s">
        <v>1074</v>
      </c>
      <c r="W33" s="29" t="s">
        <v>20</v>
      </c>
      <c r="X33" s="29" t="s">
        <v>12</v>
      </c>
      <c r="Y33" s="39">
        <v>35</v>
      </c>
      <c r="Z33" s="29" t="s">
        <v>1071</v>
      </c>
      <c r="AA33" s="29" t="s">
        <v>17</v>
      </c>
      <c r="AB33" s="29" t="s">
        <v>18</v>
      </c>
      <c r="AC33" s="29">
        <v>11</v>
      </c>
      <c r="AD33" s="38" t="s">
        <v>1075</v>
      </c>
      <c r="AE33" s="29" t="s">
        <v>1076</v>
      </c>
      <c r="AF33" s="29" t="s">
        <v>11</v>
      </c>
      <c r="AG33" s="39">
        <v>4.5</v>
      </c>
      <c r="AL33" s="38"/>
      <c r="AO33" s="39"/>
      <c r="AP33" s="38"/>
      <c r="AS33" s="39"/>
      <c r="AW33" s="39"/>
      <c r="BA33" s="40"/>
    </row>
    <row r="34" spans="1:53" s="29" customFormat="1" x14ac:dyDescent="0.15">
      <c r="A34" s="29">
        <v>2003</v>
      </c>
      <c r="B34" s="277"/>
      <c r="C34" s="411" t="s">
        <v>1059</v>
      </c>
      <c r="D34" s="411"/>
      <c r="E34" s="29">
        <v>159</v>
      </c>
      <c r="G34" s="66">
        <v>3</v>
      </c>
      <c r="H34" s="29">
        <v>3</v>
      </c>
      <c r="I34" s="29">
        <v>11</v>
      </c>
      <c r="J34" s="73">
        <v>17</v>
      </c>
      <c r="K34" s="47">
        <f t="shared" si="0"/>
        <v>17.647058823529413</v>
      </c>
      <c r="L34" s="47">
        <f t="shared" si="1"/>
        <v>17.647058823529413</v>
      </c>
      <c r="M34" s="47">
        <f t="shared" si="2"/>
        <v>64.705882352941174</v>
      </c>
      <c r="N34" s="68">
        <f t="shared" si="3"/>
        <v>100</v>
      </c>
      <c r="O34" s="46">
        <v>4.5</v>
      </c>
      <c r="P34" s="47">
        <v>11</v>
      </c>
      <c r="Q34" s="47">
        <v>35</v>
      </c>
      <c r="R34" s="48">
        <f t="shared" si="4"/>
        <v>50.5</v>
      </c>
      <c r="S34" s="29">
        <v>2</v>
      </c>
      <c r="T34" s="286"/>
      <c r="U34" s="295"/>
      <c r="V34" s="38" t="s">
        <v>1074</v>
      </c>
      <c r="W34" s="29" t="s">
        <v>20</v>
      </c>
      <c r="X34" s="29" t="s">
        <v>12</v>
      </c>
      <c r="Y34" s="39">
        <v>35</v>
      </c>
      <c r="Z34" s="29" t="s">
        <v>1071</v>
      </c>
      <c r="AA34" s="29" t="s">
        <v>17</v>
      </c>
      <c r="AB34" s="29" t="s">
        <v>18</v>
      </c>
      <c r="AC34" s="29">
        <v>11</v>
      </c>
      <c r="AD34" s="38" t="s">
        <v>1075</v>
      </c>
      <c r="AE34" s="29" t="s">
        <v>1076</v>
      </c>
      <c r="AF34" s="29" t="s">
        <v>11</v>
      </c>
      <c r="AG34" s="39">
        <v>4.5</v>
      </c>
      <c r="AL34" s="38"/>
      <c r="AO34" s="39"/>
      <c r="AP34" s="38"/>
      <c r="AS34" s="39"/>
      <c r="AW34" s="39"/>
      <c r="BA34" s="40"/>
    </row>
    <row r="35" spans="1:53" s="29" customFormat="1" x14ac:dyDescent="0.15">
      <c r="A35" s="29">
        <v>2003</v>
      </c>
      <c r="B35" s="303">
        <v>37781</v>
      </c>
      <c r="C35" s="411" t="s">
        <v>1059</v>
      </c>
      <c r="D35" s="411"/>
      <c r="E35" s="29">
        <v>99</v>
      </c>
      <c r="F35" s="84">
        <v>0</v>
      </c>
      <c r="G35" s="66">
        <v>3</v>
      </c>
      <c r="H35" s="29">
        <v>3</v>
      </c>
      <c r="I35" s="29">
        <v>10</v>
      </c>
      <c r="J35" s="73">
        <v>17</v>
      </c>
      <c r="K35" s="47">
        <f>G35/J35*100</f>
        <v>17.647058823529413</v>
      </c>
      <c r="L35" s="47">
        <f>H35/J35*100</f>
        <v>17.647058823529413</v>
      </c>
      <c r="M35" s="47">
        <f>I35/J35*100</f>
        <v>58.82352941176471</v>
      </c>
      <c r="N35" s="68">
        <f>SUM(K35:M35)</f>
        <v>94.117647058823536</v>
      </c>
      <c r="O35" s="46">
        <v>4.5</v>
      </c>
      <c r="P35" s="47">
        <v>11</v>
      </c>
      <c r="Q35" s="47">
        <v>35</v>
      </c>
      <c r="R35" s="48">
        <f>SUM(O35:Q35)</f>
        <v>50.5</v>
      </c>
      <c r="S35" s="29">
        <v>2</v>
      </c>
      <c r="T35" s="286"/>
      <c r="U35" s="295"/>
      <c r="V35" s="38" t="s">
        <v>1074</v>
      </c>
      <c r="W35" s="29" t="s">
        <v>20</v>
      </c>
      <c r="X35" s="29" t="s">
        <v>12</v>
      </c>
      <c r="Y35" s="39">
        <v>35</v>
      </c>
      <c r="Z35" s="29" t="s">
        <v>1071</v>
      </c>
      <c r="AA35" s="29" t="s">
        <v>17</v>
      </c>
      <c r="AB35" s="29" t="s">
        <v>18</v>
      </c>
      <c r="AC35" s="29">
        <v>11</v>
      </c>
      <c r="AD35" s="38" t="s">
        <v>1075</v>
      </c>
      <c r="AE35" s="29" t="s">
        <v>1076</v>
      </c>
      <c r="AF35" s="29" t="s">
        <v>11</v>
      </c>
      <c r="AG35" s="39">
        <v>4.5</v>
      </c>
      <c r="AL35" s="38"/>
      <c r="AO35" s="39"/>
      <c r="AP35" s="38"/>
      <c r="AS35" s="39"/>
      <c r="AW35" s="39"/>
      <c r="BA35" s="40"/>
    </row>
    <row r="36" spans="1:53" s="29" customFormat="1" x14ac:dyDescent="0.15">
      <c r="A36" s="29">
        <v>2003</v>
      </c>
      <c r="B36" s="303">
        <v>37880</v>
      </c>
      <c r="C36" s="411" t="s">
        <v>1059</v>
      </c>
      <c r="D36" s="411"/>
      <c r="E36" s="29">
        <v>107</v>
      </c>
      <c r="F36" s="84">
        <v>0</v>
      </c>
      <c r="G36" s="66">
        <v>3</v>
      </c>
      <c r="H36" s="29">
        <v>3</v>
      </c>
      <c r="I36" s="29">
        <v>9</v>
      </c>
      <c r="J36" s="73">
        <v>17</v>
      </c>
      <c r="K36" s="47">
        <f t="shared" si="0"/>
        <v>17.647058823529413</v>
      </c>
      <c r="L36" s="47">
        <f t="shared" si="1"/>
        <v>17.647058823529413</v>
      </c>
      <c r="M36" s="47">
        <f t="shared" si="2"/>
        <v>52.941176470588239</v>
      </c>
      <c r="N36" s="68">
        <f t="shared" si="3"/>
        <v>88.235294117647072</v>
      </c>
      <c r="O36" s="46">
        <v>4.5</v>
      </c>
      <c r="P36" s="47">
        <v>11</v>
      </c>
      <c r="Q36" s="47">
        <v>35</v>
      </c>
      <c r="R36" s="48">
        <f t="shared" si="4"/>
        <v>50.5</v>
      </c>
      <c r="S36" s="29">
        <v>2</v>
      </c>
      <c r="T36" s="286"/>
      <c r="U36" s="295"/>
      <c r="V36" s="38" t="s">
        <v>1074</v>
      </c>
      <c r="W36" s="29" t="s">
        <v>20</v>
      </c>
      <c r="X36" s="29" t="s">
        <v>12</v>
      </c>
      <c r="Y36" s="39">
        <v>35</v>
      </c>
      <c r="Z36" s="29" t="s">
        <v>1071</v>
      </c>
      <c r="AA36" s="29" t="s">
        <v>17</v>
      </c>
      <c r="AB36" s="29" t="s">
        <v>18</v>
      </c>
      <c r="AC36" s="29">
        <v>11</v>
      </c>
      <c r="AD36" s="38" t="s">
        <v>1075</v>
      </c>
      <c r="AE36" s="29" t="s">
        <v>1076</v>
      </c>
      <c r="AF36" s="29" t="s">
        <v>11</v>
      </c>
      <c r="AG36" s="39">
        <v>4.5</v>
      </c>
      <c r="AL36" s="38"/>
      <c r="AO36" s="39"/>
      <c r="AP36" s="38"/>
      <c r="AS36" s="39"/>
      <c r="AW36" s="39"/>
      <c r="BA36" s="40"/>
    </row>
    <row r="37" spans="1:53" s="29" customFormat="1" x14ac:dyDescent="0.15">
      <c r="A37" s="29">
        <v>2004</v>
      </c>
      <c r="B37" s="277"/>
      <c r="C37" s="411" t="s">
        <v>1059</v>
      </c>
      <c r="D37" s="411"/>
      <c r="E37" s="29">
        <v>216</v>
      </c>
      <c r="G37" s="66">
        <v>3</v>
      </c>
      <c r="H37" s="29">
        <v>3</v>
      </c>
      <c r="I37" s="29">
        <v>9</v>
      </c>
      <c r="J37" s="73">
        <v>17</v>
      </c>
      <c r="K37" s="47">
        <f t="shared" si="0"/>
        <v>17.647058823529413</v>
      </c>
      <c r="L37" s="47">
        <f t="shared" si="1"/>
        <v>17.647058823529413</v>
      </c>
      <c r="M37" s="47">
        <f t="shared" si="2"/>
        <v>52.941176470588239</v>
      </c>
      <c r="N37" s="68">
        <f t="shared" si="3"/>
        <v>88.235294117647072</v>
      </c>
      <c r="O37" s="46">
        <v>4.5</v>
      </c>
      <c r="P37" s="47">
        <v>11</v>
      </c>
      <c r="Q37" s="47">
        <v>35</v>
      </c>
      <c r="R37" s="48">
        <f t="shared" si="4"/>
        <v>50.5</v>
      </c>
      <c r="S37" s="29">
        <v>2</v>
      </c>
      <c r="T37" s="286"/>
      <c r="U37" s="295"/>
      <c r="V37" s="38" t="s">
        <v>1074</v>
      </c>
      <c r="W37" s="29" t="s">
        <v>20</v>
      </c>
      <c r="X37" s="29" t="s">
        <v>12</v>
      </c>
      <c r="Y37" s="39">
        <v>35</v>
      </c>
      <c r="Z37" s="29" t="s">
        <v>1071</v>
      </c>
      <c r="AA37" s="29" t="s">
        <v>17</v>
      </c>
      <c r="AB37" s="29" t="s">
        <v>18</v>
      </c>
      <c r="AC37" s="29">
        <v>11</v>
      </c>
      <c r="AD37" s="38" t="s">
        <v>1075</v>
      </c>
      <c r="AE37" s="29" t="s">
        <v>1076</v>
      </c>
      <c r="AF37" s="29" t="s">
        <v>11</v>
      </c>
      <c r="AG37" s="39">
        <v>4.5</v>
      </c>
      <c r="AL37" s="38"/>
      <c r="AO37" s="39"/>
      <c r="AP37" s="38"/>
      <c r="AS37" s="39"/>
      <c r="AW37" s="39"/>
      <c r="BA37" s="40"/>
    </row>
    <row r="38" spans="1:53" s="171" customFormat="1" x14ac:dyDescent="0.15">
      <c r="A38" s="171">
        <v>2004</v>
      </c>
      <c r="B38" s="306">
        <v>38203</v>
      </c>
      <c r="C38" s="410" t="s">
        <v>1060</v>
      </c>
      <c r="D38" s="410"/>
      <c r="E38" s="171">
        <v>150</v>
      </c>
      <c r="F38" s="171">
        <v>2</v>
      </c>
      <c r="G38" s="233">
        <v>3</v>
      </c>
      <c r="H38" s="171">
        <v>3</v>
      </c>
      <c r="I38" s="171">
        <v>12</v>
      </c>
      <c r="J38" s="241">
        <v>18</v>
      </c>
      <c r="K38" s="214">
        <f t="shared" ref="K38:K52" si="5">G38/J38*100</f>
        <v>16.666666666666664</v>
      </c>
      <c r="L38" s="214">
        <f t="shared" ref="L38:L52" si="6">H38/J38*100</f>
        <v>16.666666666666664</v>
      </c>
      <c r="M38" s="214">
        <f t="shared" ref="M38:M52" si="7">I38/J38*100</f>
        <v>66.666666666666657</v>
      </c>
      <c r="N38" s="235">
        <f t="shared" ref="N38:N58" si="8">SUM(K38:M38)</f>
        <v>99.999999999999986</v>
      </c>
      <c r="O38" s="213">
        <v>4.5</v>
      </c>
      <c r="P38" s="214">
        <v>11</v>
      </c>
      <c r="Q38" s="214">
        <v>35</v>
      </c>
      <c r="R38" s="215">
        <f t="shared" si="4"/>
        <v>50.5</v>
      </c>
      <c r="S38" s="171">
        <v>2</v>
      </c>
      <c r="T38" s="285"/>
      <c r="U38" s="283">
        <v>38203</v>
      </c>
      <c r="V38" s="178" t="s">
        <v>1074</v>
      </c>
      <c r="W38" s="171" t="s">
        <v>20</v>
      </c>
      <c r="X38" s="171" t="s">
        <v>12</v>
      </c>
      <c r="Y38" s="179">
        <v>35</v>
      </c>
      <c r="Z38" s="171" t="s">
        <v>1071</v>
      </c>
      <c r="AA38" s="171" t="s">
        <v>17</v>
      </c>
      <c r="AB38" s="171" t="s">
        <v>18</v>
      </c>
      <c r="AC38" s="171">
        <v>11</v>
      </c>
      <c r="AD38" s="178" t="s">
        <v>1075</v>
      </c>
      <c r="AE38" s="171" t="s">
        <v>1076</v>
      </c>
      <c r="AF38" s="171" t="s">
        <v>11</v>
      </c>
      <c r="AG38" s="179">
        <v>4.5</v>
      </c>
      <c r="AL38" s="178"/>
      <c r="AO38" s="179"/>
      <c r="AP38" s="178"/>
      <c r="AS38" s="179"/>
      <c r="AW38" s="179"/>
      <c r="BA38" s="180"/>
    </row>
    <row r="39" spans="1:53" s="171" customFormat="1" x14ac:dyDescent="0.15">
      <c r="A39" s="171">
        <v>2005</v>
      </c>
      <c r="B39" s="306"/>
      <c r="C39" s="410" t="s">
        <v>1060</v>
      </c>
      <c r="D39" s="410"/>
      <c r="E39" s="171">
        <v>114</v>
      </c>
      <c r="G39" s="233">
        <v>3</v>
      </c>
      <c r="H39" s="171">
        <v>3</v>
      </c>
      <c r="I39" s="171">
        <v>12</v>
      </c>
      <c r="J39" s="241">
        <v>18</v>
      </c>
      <c r="K39" s="214">
        <f t="shared" si="5"/>
        <v>16.666666666666664</v>
      </c>
      <c r="L39" s="214">
        <f t="shared" si="6"/>
        <v>16.666666666666664</v>
      </c>
      <c r="M39" s="214">
        <f t="shared" si="7"/>
        <v>66.666666666666657</v>
      </c>
      <c r="N39" s="235">
        <f t="shared" si="8"/>
        <v>99.999999999999986</v>
      </c>
      <c r="O39" s="213">
        <v>4.5</v>
      </c>
      <c r="P39" s="214">
        <v>11</v>
      </c>
      <c r="Q39" s="214">
        <v>35</v>
      </c>
      <c r="R39" s="215">
        <f t="shared" si="4"/>
        <v>50.5</v>
      </c>
      <c r="S39" s="171">
        <v>2</v>
      </c>
      <c r="T39" s="285"/>
      <c r="U39" s="283"/>
      <c r="V39" s="178" t="s">
        <v>1074</v>
      </c>
      <c r="W39" s="171" t="s">
        <v>20</v>
      </c>
      <c r="X39" s="171" t="s">
        <v>12</v>
      </c>
      <c r="Y39" s="179">
        <v>35</v>
      </c>
      <c r="Z39" s="171" t="s">
        <v>1071</v>
      </c>
      <c r="AA39" s="171" t="s">
        <v>17</v>
      </c>
      <c r="AB39" s="171" t="s">
        <v>18</v>
      </c>
      <c r="AC39" s="171">
        <v>11</v>
      </c>
      <c r="AD39" s="178" t="s">
        <v>1075</v>
      </c>
      <c r="AE39" s="171" t="s">
        <v>1076</v>
      </c>
      <c r="AF39" s="171" t="s">
        <v>11</v>
      </c>
      <c r="AG39" s="179">
        <v>4.5</v>
      </c>
      <c r="AL39" s="178"/>
      <c r="AO39" s="179"/>
      <c r="AP39" s="178"/>
      <c r="AS39" s="179"/>
      <c r="AW39" s="179"/>
      <c r="BA39" s="180"/>
    </row>
    <row r="40" spans="1:53" s="29" customFormat="1" x14ac:dyDescent="0.15">
      <c r="A40" s="29">
        <v>2005</v>
      </c>
      <c r="B40" s="277">
        <v>38467</v>
      </c>
      <c r="C40" s="411" t="s">
        <v>1061</v>
      </c>
      <c r="D40" s="411"/>
      <c r="E40" s="29">
        <v>114</v>
      </c>
      <c r="F40" s="29">
        <v>2</v>
      </c>
      <c r="G40" s="66">
        <v>2</v>
      </c>
      <c r="H40" s="29">
        <v>3</v>
      </c>
      <c r="I40" s="29">
        <v>9</v>
      </c>
      <c r="J40" s="73">
        <v>18</v>
      </c>
      <c r="K40" s="47">
        <f>G40/J40*100</f>
        <v>11.111111111111111</v>
      </c>
      <c r="L40" s="47">
        <f>H40/J40*100</f>
        <v>16.666666666666664</v>
      </c>
      <c r="M40" s="47">
        <f>I40/J40*100</f>
        <v>50</v>
      </c>
      <c r="N40" s="68">
        <f>SUM(K40:M40)</f>
        <v>77.777777777777771</v>
      </c>
      <c r="O40" s="46">
        <v>4.5</v>
      </c>
      <c r="P40" s="47">
        <v>11</v>
      </c>
      <c r="Q40" s="47">
        <v>35</v>
      </c>
      <c r="R40" s="48">
        <f>SUM(O40:Q40)</f>
        <v>50.5</v>
      </c>
      <c r="S40" s="29">
        <v>2</v>
      </c>
      <c r="T40" s="286"/>
      <c r="U40" s="295">
        <v>38467</v>
      </c>
      <c r="V40" s="38" t="s">
        <v>1074</v>
      </c>
      <c r="W40" s="29" t="s">
        <v>20</v>
      </c>
      <c r="X40" s="29" t="s">
        <v>12</v>
      </c>
      <c r="Y40" s="39">
        <v>35</v>
      </c>
      <c r="Z40" s="29" t="s">
        <v>1071</v>
      </c>
      <c r="AA40" s="29" t="s">
        <v>17</v>
      </c>
      <c r="AB40" s="29" t="s">
        <v>18</v>
      </c>
      <c r="AC40" s="29">
        <v>11</v>
      </c>
      <c r="AD40" s="38" t="s">
        <v>1075</v>
      </c>
      <c r="AE40" s="29" t="s">
        <v>1076</v>
      </c>
      <c r="AF40" s="29" t="s">
        <v>11</v>
      </c>
      <c r="AG40" s="39">
        <v>4.5</v>
      </c>
      <c r="AL40" s="38"/>
      <c r="AO40" s="39"/>
      <c r="AP40" s="38"/>
      <c r="AS40" s="39"/>
      <c r="AW40" s="39"/>
      <c r="BA40" s="40"/>
    </row>
    <row r="41" spans="1:53" s="29" customFormat="1" x14ac:dyDescent="0.15">
      <c r="A41" s="29">
        <v>2005</v>
      </c>
      <c r="B41" s="303">
        <v>38581</v>
      </c>
      <c r="C41" s="411" t="s">
        <v>1061</v>
      </c>
      <c r="D41" s="411"/>
      <c r="E41" s="29">
        <v>79</v>
      </c>
      <c r="F41" s="84">
        <v>0</v>
      </c>
      <c r="G41" s="66">
        <v>2</v>
      </c>
      <c r="H41" s="29">
        <v>3</v>
      </c>
      <c r="I41" s="29">
        <v>8</v>
      </c>
      <c r="J41" s="73">
        <v>18</v>
      </c>
      <c r="K41" s="47">
        <f>G41/J41*100</f>
        <v>11.111111111111111</v>
      </c>
      <c r="L41" s="47">
        <f>H41/J41*100</f>
        <v>16.666666666666664</v>
      </c>
      <c r="M41" s="47">
        <f>I41/J41*100</f>
        <v>44.444444444444443</v>
      </c>
      <c r="N41" s="68">
        <f>SUM(K41:M41)</f>
        <v>72.222222222222214</v>
      </c>
      <c r="O41" s="46">
        <v>4.5</v>
      </c>
      <c r="P41" s="47">
        <v>11</v>
      </c>
      <c r="Q41" s="47">
        <v>35</v>
      </c>
      <c r="R41" s="48">
        <f>SUM(O41:Q41)</f>
        <v>50.5</v>
      </c>
      <c r="S41" s="29">
        <v>2</v>
      </c>
      <c r="T41" s="286"/>
      <c r="U41" s="295"/>
      <c r="V41" s="38" t="s">
        <v>1074</v>
      </c>
      <c r="W41" s="29" t="s">
        <v>20</v>
      </c>
      <c r="X41" s="29" t="s">
        <v>12</v>
      </c>
      <c r="Y41" s="39">
        <v>35</v>
      </c>
      <c r="Z41" s="29" t="s">
        <v>1071</v>
      </c>
      <c r="AA41" s="29" t="s">
        <v>17</v>
      </c>
      <c r="AB41" s="29" t="s">
        <v>18</v>
      </c>
      <c r="AC41" s="29">
        <v>11</v>
      </c>
      <c r="AD41" s="38" t="s">
        <v>1075</v>
      </c>
      <c r="AE41" s="29" t="s">
        <v>1076</v>
      </c>
      <c r="AF41" s="29" t="s">
        <v>11</v>
      </c>
      <c r="AG41" s="39">
        <v>4.5</v>
      </c>
      <c r="AL41" s="38"/>
      <c r="AO41" s="39"/>
      <c r="AP41" s="38"/>
      <c r="AS41" s="39"/>
      <c r="AW41" s="39"/>
      <c r="BA41" s="40"/>
    </row>
    <row r="42" spans="1:53" s="29" customFormat="1" x14ac:dyDescent="0.15">
      <c r="A42" s="29">
        <v>2005</v>
      </c>
      <c r="B42" s="303">
        <v>38660</v>
      </c>
      <c r="C42" s="411" t="s">
        <v>1061</v>
      </c>
      <c r="D42" s="411"/>
      <c r="E42" s="29">
        <v>58</v>
      </c>
      <c r="F42" s="84">
        <v>0</v>
      </c>
      <c r="G42" s="66">
        <v>2</v>
      </c>
      <c r="H42" s="29">
        <v>3</v>
      </c>
      <c r="I42" s="29">
        <v>7</v>
      </c>
      <c r="J42" s="73">
        <v>18</v>
      </c>
      <c r="K42" s="47">
        <f t="shared" si="5"/>
        <v>11.111111111111111</v>
      </c>
      <c r="L42" s="47">
        <f t="shared" si="6"/>
        <v>16.666666666666664</v>
      </c>
      <c r="M42" s="47">
        <f t="shared" si="7"/>
        <v>38.888888888888893</v>
      </c>
      <c r="N42" s="68">
        <f t="shared" si="8"/>
        <v>66.666666666666671</v>
      </c>
      <c r="O42" s="46">
        <v>4.5</v>
      </c>
      <c r="P42" s="47">
        <v>11</v>
      </c>
      <c r="Q42" s="47">
        <v>35</v>
      </c>
      <c r="R42" s="48">
        <f t="shared" si="4"/>
        <v>50.5</v>
      </c>
      <c r="S42" s="29">
        <v>2</v>
      </c>
      <c r="T42" s="286"/>
      <c r="U42" s="295"/>
      <c r="V42" s="38" t="s">
        <v>1074</v>
      </c>
      <c r="W42" s="29" t="s">
        <v>20</v>
      </c>
      <c r="X42" s="29" t="s">
        <v>12</v>
      </c>
      <c r="Y42" s="39">
        <v>35</v>
      </c>
      <c r="Z42" s="29" t="s">
        <v>1071</v>
      </c>
      <c r="AA42" s="29" t="s">
        <v>17</v>
      </c>
      <c r="AB42" s="29" t="s">
        <v>18</v>
      </c>
      <c r="AC42" s="29">
        <v>11</v>
      </c>
      <c r="AD42" s="38" t="s">
        <v>1075</v>
      </c>
      <c r="AE42" s="29" t="s">
        <v>1076</v>
      </c>
      <c r="AF42" s="29" t="s">
        <v>11</v>
      </c>
      <c r="AG42" s="39">
        <v>4.5</v>
      </c>
      <c r="AL42" s="38"/>
      <c r="AO42" s="39"/>
      <c r="AP42" s="38"/>
      <c r="AS42" s="39"/>
      <c r="AW42" s="39"/>
      <c r="BA42" s="40"/>
    </row>
    <row r="43" spans="1:53" s="29" customFormat="1" x14ac:dyDescent="0.15">
      <c r="A43" s="29">
        <v>2006</v>
      </c>
      <c r="B43" s="277"/>
      <c r="C43" s="411" t="s">
        <v>1061</v>
      </c>
      <c r="D43" s="411"/>
      <c r="E43" s="29">
        <v>246</v>
      </c>
      <c r="G43" s="66">
        <v>2</v>
      </c>
      <c r="H43" s="29">
        <v>3</v>
      </c>
      <c r="I43" s="29">
        <v>7</v>
      </c>
      <c r="J43" s="73">
        <v>17</v>
      </c>
      <c r="K43" s="47">
        <f t="shared" si="5"/>
        <v>11.76470588235294</v>
      </c>
      <c r="L43" s="47">
        <f t="shared" si="6"/>
        <v>17.647058823529413</v>
      </c>
      <c r="M43" s="47">
        <f t="shared" si="7"/>
        <v>41.17647058823529</v>
      </c>
      <c r="N43" s="68">
        <f t="shared" si="8"/>
        <v>70.588235294117652</v>
      </c>
      <c r="O43" s="46">
        <v>4.5</v>
      </c>
      <c r="P43" s="47">
        <v>11</v>
      </c>
      <c r="Q43" s="47">
        <v>35</v>
      </c>
      <c r="R43" s="48">
        <f t="shared" si="4"/>
        <v>50.5</v>
      </c>
      <c r="S43" s="29">
        <v>2</v>
      </c>
      <c r="T43" s="286"/>
      <c r="U43" s="295"/>
      <c r="V43" s="38" t="s">
        <v>1074</v>
      </c>
      <c r="W43" s="29" t="s">
        <v>20</v>
      </c>
      <c r="X43" s="29" t="s">
        <v>12</v>
      </c>
      <c r="Y43" s="39">
        <v>35</v>
      </c>
      <c r="Z43" s="29" t="s">
        <v>1071</v>
      </c>
      <c r="AA43" s="29" t="s">
        <v>17</v>
      </c>
      <c r="AB43" s="29" t="s">
        <v>18</v>
      </c>
      <c r="AC43" s="29">
        <v>11</v>
      </c>
      <c r="AD43" s="38" t="s">
        <v>1075</v>
      </c>
      <c r="AE43" s="29" t="s">
        <v>1076</v>
      </c>
      <c r="AF43" s="29" t="s">
        <v>11</v>
      </c>
      <c r="AG43" s="39">
        <v>4.5</v>
      </c>
      <c r="AL43" s="38"/>
      <c r="AO43" s="39"/>
      <c r="AP43" s="38"/>
      <c r="AS43" s="39"/>
      <c r="AW43" s="39"/>
      <c r="BA43" s="40"/>
    </row>
    <row r="44" spans="1:53" s="171" customFormat="1" x14ac:dyDescent="0.15">
      <c r="A44" s="171">
        <v>2006</v>
      </c>
      <c r="B44" s="306">
        <v>38964</v>
      </c>
      <c r="C44" s="410" t="s">
        <v>1062</v>
      </c>
      <c r="D44" s="410"/>
      <c r="E44" s="171">
        <v>119</v>
      </c>
      <c r="F44" s="171">
        <v>1</v>
      </c>
      <c r="G44" s="233">
        <v>9</v>
      </c>
      <c r="J44" s="241">
        <v>15</v>
      </c>
      <c r="K44" s="214">
        <f t="shared" si="5"/>
        <v>60</v>
      </c>
      <c r="L44" s="214">
        <f t="shared" si="6"/>
        <v>0</v>
      </c>
      <c r="M44" s="214">
        <f t="shared" si="7"/>
        <v>0</v>
      </c>
      <c r="N44" s="235">
        <f t="shared" si="8"/>
        <v>60</v>
      </c>
      <c r="O44" s="213">
        <v>40.5</v>
      </c>
      <c r="P44" s="214"/>
      <c r="Q44" s="214"/>
      <c r="R44" s="215">
        <f t="shared" si="4"/>
        <v>40.5</v>
      </c>
      <c r="S44" s="171">
        <v>4</v>
      </c>
      <c r="T44" s="285">
        <v>38870</v>
      </c>
      <c r="U44" s="283">
        <v>38964</v>
      </c>
      <c r="V44" s="178" t="s">
        <v>1072</v>
      </c>
      <c r="W44" s="171" t="s">
        <v>74</v>
      </c>
      <c r="X44" s="171" t="s">
        <v>11</v>
      </c>
      <c r="Y44" s="179">
        <v>40.5</v>
      </c>
      <c r="AD44" s="178"/>
      <c r="AG44" s="179"/>
      <c r="AL44" s="178"/>
      <c r="AO44" s="179"/>
      <c r="AP44" s="178"/>
      <c r="AS44" s="179"/>
      <c r="AW44" s="179"/>
      <c r="BA44" s="180"/>
    </row>
    <row r="45" spans="1:53" s="171" customFormat="1" x14ac:dyDescent="0.15">
      <c r="A45" s="171">
        <v>2007</v>
      </c>
      <c r="B45" s="306"/>
      <c r="C45" s="410" t="s">
        <v>1062</v>
      </c>
      <c r="D45" s="410"/>
      <c r="E45" s="171">
        <v>8</v>
      </c>
      <c r="G45" s="233">
        <v>9</v>
      </c>
      <c r="J45" s="241">
        <v>15</v>
      </c>
      <c r="K45" s="214">
        <f t="shared" si="5"/>
        <v>60</v>
      </c>
      <c r="L45" s="214">
        <f t="shared" si="6"/>
        <v>0</v>
      </c>
      <c r="M45" s="214">
        <f t="shared" si="7"/>
        <v>0</v>
      </c>
      <c r="N45" s="235">
        <f t="shared" si="8"/>
        <v>60</v>
      </c>
      <c r="O45" s="213">
        <v>40.5</v>
      </c>
      <c r="P45" s="214"/>
      <c r="Q45" s="214"/>
      <c r="R45" s="215">
        <f t="shared" si="4"/>
        <v>40.5</v>
      </c>
      <c r="S45" s="171">
        <v>4</v>
      </c>
      <c r="T45" s="285"/>
      <c r="U45" s="283"/>
      <c r="V45" s="178" t="s">
        <v>1072</v>
      </c>
      <c r="W45" s="171" t="s">
        <v>74</v>
      </c>
      <c r="X45" s="171" t="s">
        <v>11</v>
      </c>
      <c r="Y45" s="179">
        <v>40.5</v>
      </c>
      <c r="AD45" s="178"/>
      <c r="AG45" s="179"/>
      <c r="AL45" s="178"/>
      <c r="AO45" s="179"/>
      <c r="AP45" s="178"/>
      <c r="AS45" s="179"/>
      <c r="AW45" s="179"/>
      <c r="BA45" s="180"/>
    </row>
    <row r="46" spans="1:53" s="29" customFormat="1" x14ac:dyDescent="0.15">
      <c r="A46" s="29">
        <v>2007</v>
      </c>
      <c r="B46" s="277">
        <v>39091</v>
      </c>
      <c r="C46" s="411" t="s">
        <v>1063</v>
      </c>
      <c r="D46" s="411"/>
      <c r="E46" s="29">
        <v>357</v>
      </c>
      <c r="F46" s="29">
        <v>5</v>
      </c>
      <c r="G46" s="66">
        <v>9</v>
      </c>
      <c r="H46" s="29">
        <v>4</v>
      </c>
      <c r="I46" s="29">
        <v>3</v>
      </c>
      <c r="J46" s="73">
        <v>18</v>
      </c>
      <c r="K46" s="47">
        <f t="shared" si="5"/>
        <v>50</v>
      </c>
      <c r="L46" s="47">
        <f t="shared" si="6"/>
        <v>22.222222222222221</v>
      </c>
      <c r="M46" s="47">
        <f t="shared" si="7"/>
        <v>16.666666666666664</v>
      </c>
      <c r="N46" s="68">
        <f t="shared" si="8"/>
        <v>88.888888888888886</v>
      </c>
      <c r="O46" s="46">
        <v>40.5</v>
      </c>
      <c r="P46" s="47">
        <v>6.5</v>
      </c>
      <c r="Q46" s="47">
        <v>3</v>
      </c>
      <c r="R46" s="48">
        <f t="shared" si="4"/>
        <v>50</v>
      </c>
      <c r="S46" s="29">
        <v>5</v>
      </c>
      <c r="T46" s="286"/>
      <c r="U46" s="295">
        <v>39091</v>
      </c>
      <c r="V46" s="38" t="s">
        <v>1072</v>
      </c>
      <c r="W46" s="29" t="s">
        <v>74</v>
      </c>
      <c r="X46" s="29" t="s">
        <v>11</v>
      </c>
      <c r="Y46" s="39">
        <v>40.5</v>
      </c>
      <c r="Z46" s="29" t="s">
        <v>1071</v>
      </c>
      <c r="AA46" s="29" t="s">
        <v>17</v>
      </c>
      <c r="AB46" s="29" t="s">
        <v>18</v>
      </c>
      <c r="AC46" s="29">
        <v>6.5</v>
      </c>
      <c r="AD46" s="38" t="s">
        <v>1077</v>
      </c>
      <c r="AE46" s="29" t="s">
        <v>216</v>
      </c>
      <c r="AF46" s="29" t="s">
        <v>12</v>
      </c>
      <c r="AG46" s="39">
        <v>3</v>
      </c>
      <c r="AL46" s="38"/>
      <c r="AO46" s="39"/>
      <c r="AP46" s="38"/>
      <c r="AS46" s="39"/>
      <c r="AW46" s="39"/>
      <c r="BA46" s="40"/>
    </row>
    <row r="47" spans="1:53" s="29" customFormat="1" x14ac:dyDescent="0.15">
      <c r="A47" s="29">
        <v>2008</v>
      </c>
      <c r="B47" s="277"/>
      <c r="C47" s="411" t="s">
        <v>1063</v>
      </c>
      <c r="D47" s="411"/>
      <c r="E47" s="29">
        <v>0</v>
      </c>
      <c r="G47" s="66">
        <v>9</v>
      </c>
      <c r="H47" s="29">
        <v>4</v>
      </c>
      <c r="I47" s="29">
        <v>3</v>
      </c>
      <c r="J47" s="73">
        <v>18</v>
      </c>
      <c r="K47" s="47">
        <f t="shared" si="5"/>
        <v>50</v>
      </c>
      <c r="L47" s="47">
        <f t="shared" si="6"/>
        <v>22.222222222222221</v>
      </c>
      <c r="M47" s="47">
        <f t="shared" si="7"/>
        <v>16.666666666666664</v>
      </c>
      <c r="N47" s="68">
        <f t="shared" si="8"/>
        <v>88.888888888888886</v>
      </c>
      <c r="O47" s="46">
        <v>40.5</v>
      </c>
      <c r="P47" s="47">
        <v>6.5</v>
      </c>
      <c r="Q47" s="47">
        <v>3</v>
      </c>
      <c r="R47" s="48">
        <f t="shared" si="4"/>
        <v>50</v>
      </c>
      <c r="S47" s="29">
        <v>5</v>
      </c>
      <c r="T47" s="286"/>
      <c r="U47" s="295"/>
      <c r="V47" s="38" t="s">
        <v>1072</v>
      </c>
      <c r="W47" s="29" t="s">
        <v>74</v>
      </c>
      <c r="X47" s="29" t="s">
        <v>11</v>
      </c>
      <c r="Y47" s="39">
        <v>40.5</v>
      </c>
      <c r="Z47" s="29" t="s">
        <v>1071</v>
      </c>
      <c r="AA47" s="29" t="s">
        <v>17</v>
      </c>
      <c r="AB47" s="29" t="s">
        <v>18</v>
      </c>
      <c r="AC47" s="29">
        <v>6.5</v>
      </c>
      <c r="AD47" s="38" t="s">
        <v>1077</v>
      </c>
      <c r="AE47" s="29" t="s">
        <v>216</v>
      </c>
      <c r="AF47" s="29" t="s">
        <v>12</v>
      </c>
      <c r="AG47" s="39">
        <v>3</v>
      </c>
      <c r="AL47" s="38"/>
      <c r="AO47" s="39"/>
      <c r="AP47" s="38"/>
      <c r="AS47" s="39"/>
      <c r="AW47" s="39"/>
      <c r="BA47" s="40"/>
    </row>
    <row r="48" spans="1:53" s="29" customFormat="1" x14ac:dyDescent="0.15">
      <c r="A48" s="29">
        <v>2008</v>
      </c>
      <c r="B48" s="277"/>
      <c r="C48" s="411" t="s">
        <v>1063</v>
      </c>
      <c r="D48" s="411"/>
      <c r="E48" s="29">
        <v>366</v>
      </c>
      <c r="G48" s="66">
        <v>9</v>
      </c>
      <c r="H48" s="29">
        <v>4</v>
      </c>
      <c r="I48" s="29">
        <v>3</v>
      </c>
      <c r="J48" s="73">
        <v>18</v>
      </c>
      <c r="K48" s="47">
        <f t="shared" si="5"/>
        <v>50</v>
      </c>
      <c r="L48" s="47">
        <f t="shared" si="6"/>
        <v>22.222222222222221</v>
      </c>
      <c r="M48" s="47">
        <f t="shared" si="7"/>
        <v>16.666666666666664</v>
      </c>
      <c r="N48" s="68">
        <f t="shared" si="8"/>
        <v>88.888888888888886</v>
      </c>
      <c r="O48" s="46">
        <v>40.5</v>
      </c>
      <c r="P48" s="47">
        <v>6.5</v>
      </c>
      <c r="Q48" s="47">
        <v>3</v>
      </c>
      <c r="R48" s="48">
        <f t="shared" si="4"/>
        <v>50</v>
      </c>
      <c r="S48" s="29">
        <v>5</v>
      </c>
      <c r="T48" s="286"/>
      <c r="U48" s="295"/>
      <c r="V48" s="38" t="s">
        <v>1072</v>
      </c>
      <c r="W48" s="29" t="s">
        <v>74</v>
      </c>
      <c r="X48" s="29" t="s">
        <v>11</v>
      </c>
      <c r="Y48" s="39">
        <v>40.5</v>
      </c>
      <c r="Z48" s="29" t="s">
        <v>1071</v>
      </c>
      <c r="AA48" s="29" t="s">
        <v>17</v>
      </c>
      <c r="AB48" s="29" t="s">
        <v>18</v>
      </c>
      <c r="AC48" s="29">
        <v>6.5</v>
      </c>
      <c r="AD48" s="38" t="s">
        <v>1077</v>
      </c>
      <c r="AE48" s="29" t="s">
        <v>216</v>
      </c>
      <c r="AF48" s="29" t="s">
        <v>12</v>
      </c>
      <c r="AG48" s="39">
        <v>3</v>
      </c>
      <c r="AL48" s="38"/>
      <c r="AO48" s="39"/>
      <c r="AP48" s="38"/>
      <c r="AS48" s="39"/>
      <c r="AW48" s="39"/>
      <c r="BA48" s="40"/>
    </row>
    <row r="49" spans="1:53" s="29" customFormat="1" x14ac:dyDescent="0.15">
      <c r="A49" s="29">
        <v>2009</v>
      </c>
      <c r="B49" s="277"/>
      <c r="C49" s="411" t="s">
        <v>1063</v>
      </c>
      <c r="D49" s="411"/>
      <c r="E49" s="29">
        <v>127</v>
      </c>
      <c r="G49" s="66">
        <v>9</v>
      </c>
      <c r="H49" s="29">
        <v>4</v>
      </c>
      <c r="I49" s="29">
        <v>3</v>
      </c>
      <c r="J49" s="73">
        <v>18</v>
      </c>
      <c r="K49" s="47">
        <f t="shared" si="5"/>
        <v>50</v>
      </c>
      <c r="L49" s="47">
        <f t="shared" si="6"/>
        <v>22.222222222222221</v>
      </c>
      <c r="M49" s="47">
        <f t="shared" si="7"/>
        <v>16.666666666666664</v>
      </c>
      <c r="N49" s="68">
        <f t="shared" si="8"/>
        <v>88.888888888888886</v>
      </c>
      <c r="O49" s="46">
        <v>40.5</v>
      </c>
      <c r="P49" s="47">
        <v>6.5</v>
      </c>
      <c r="Q49" s="47">
        <v>3</v>
      </c>
      <c r="R49" s="48">
        <f t="shared" si="4"/>
        <v>50</v>
      </c>
      <c r="S49" s="29">
        <v>5</v>
      </c>
      <c r="T49" s="286"/>
      <c r="U49" s="295"/>
      <c r="V49" s="38" t="s">
        <v>1072</v>
      </c>
      <c r="W49" s="29" t="s">
        <v>74</v>
      </c>
      <c r="X49" s="29" t="s">
        <v>11</v>
      </c>
      <c r="Y49" s="39">
        <v>40.5</v>
      </c>
      <c r="Z49" s="29" t="s">
        <v>1071</v>
      </c>
      <c r="AA49" s="29" t="s">
        <v>17</v>
      </c>
      <c r="AB49" s="29" t="s">
        <v>18</v>
      </c>
      <c r="AC49" s="29">
        <v>6.5</v>
      </c>
      <c r="AD49" s="38" t="s">
        <v>1077</v>
      </c>
      <c r="AE49" s="29" t="s">
        <v>216</v>
      </c>
      <c r="AF49" s="29" t="s">
        <v>12</v>
      </c>
      <c r="AG49" s="39">
        <v>3</v>
      </c>
      <c r="AL49" s="38"/>
      <c r="AO49" s="39"/>
      <c r="AP49" s="38"/>
      <c r="AS49" s="39"/>
      <c r="AW49" s="39"/>
      <c r="BA49" s="40"/>
    </row>
    <row r="50" spans="1:53" s="171" customFormat="1" x14ac:dyDescent="0.15">
      <c r="A50" s="171">
        <v>2009</v>
      </c>
      <c r="B50" s="306">
        <v>39941</v>
      </c>
      <c r="C50" s="410" t="s">
        <v>1064</v>
      </c>
      <c r="D50" s="410"/>
      <c r="E50" s="171">
        <v>238</v>
      </c>
      <c r="F50" s="171">
        <v>5</v>
      </c>
      <c r="G50" s="233">
        <v>0</v>
      </c>
      <c r="H50" s="171">
        <v>0</v>
      </c>
      <c r="I50" s="171">
        <v>0</v>
      </c>
      <c r="J50" s="241">
        <v>18</v>
      </c>
      <c r="K50" s="214">
        <f t="shared" si="5"/>
        <v>0</v>
      </c>
      <c r="L50" s="214">
        <f t="shared" si="6"/>
        <v>0</v>
      </c>
      <c r="M50" s="214">
        <f t="shared" si="7"/>
        <v>0</v>
      </c>
      <c r="N50" s="235">
        <f t="shared" si="8"/>
        <v>0</v>
      </c>
      <c r="O50" s="213">
        <v>0</v>
      </c>
      <c r="P50" s="214">
        <v>0</v>
      </c>
      <c r="Q50" s="214">
        <v>0</v>
      </c>
      <c r="R50" s="215">
        <f t="shared" si="4"/>
        <v>0</v>
      </c>
      <c r="S50" s="171">
        <v>7</v>
      </c>
      <c r="T50" s="285"/>
      <c r="U50" s="283">
        <v>39941</v>
      </c>
      <c r="V50" s="242" t="s">
        <v>798</v>
      </c>
      <c r="Y50" s="179"/>
      <c r="AD50" s="178"/>
      <c r="AG50" s="179"/>
      <c r="AL50" s="178"/>
      <c r="AO50" s="179"/>
      <c r="AP50" s="178"/>
      <c r="AS50" s="179"/>
      <c r="AW50" s="179"/>
      <c r="BA50" s="180"/>
    </row>
    <row r="51" spans="1:53" s="171" customFormat="1" x14ac:dyDescent="0.15">
      <c r="A51" s="171">
        <v>2010</v>
      </c>
      <c r="B51" s="306"/>
      <c r="C51" s="410" t="s">
        <v>1064</v>
      </c>
      <c r="D51" s="410"/>
      <c r="E51" s="171">
        <v>193</v>
      </c>
      <c r="G51" s="233">
        <v>0</v>
      </c>
      <c r="H51" s="171">
        <v>0</v>
      </c>
      <c r="I51" s="171">
        <v>0</v>
      </c>
      <c r="J51" s="241">
        <v>18</v>
      </c>
      <c r="K51" s="214">
        <f t="shared" si="5"/>
        <v>0</v>
      </c>
      <c r="L51" s="214">
        <f t="shared" si="6"/>
        <v>0</v>
      </c>
      <c r="M51" s="214">
        <f t="shared" si="7"/>
        <v>0</v>
      </c>
      <c r="N51" s="235">
        <f t="shared" si="8"/>
        <v>0</v>
      </c>
      <c r="O51" s="213">
        <v>0</v>
      </c>
      <c r="P51" s="214">
        <v>0</v>
      </c>
      <c r="Q51" s="214">
        <v>0</v>
      </c>
      <c r="R51" s="215">
        <f t="shared" si="4"/>
        <v>0</v>
      </c>
      <c r="S51" s="171">
        <v>7</v>
      </c>
      <c r="T51" s="285"/>
      <c r="U51" s="283"/>
      <c r="V51" s="242" t="s">
        <v>798</v>
      </c>
      <c r="Y51" s="179"/>
      <c r="AD51" s="178"/>
      <c r="AG51" s="179"/>
      <c r="AL51" s="178"/>
      <c r="AO51" s="179"/>
      <c r="AP51" s="178"/>
      <c r="AS51" s="179"/>
      <c r="AW51" s="179"/>
      <c r="BA51" s="180"/>
    </row>
    <row r="52" spans="1:53" s="29" customFormat="1" x14ac:dyDescent="0.15">
      <c r="A52" s="29">
        <v>2010</v>
      </c>
      <c r="B52" s="277">
        <v>40372</v>
      </c>
      <c r="C52" s="411" t="s">
        <v>1065</v>
      </c>
      <c r="D52" s="411"/>
      <c r="E52" s="29">
        <v>172</v>
      </c>
      <c r="F52" s="29">
        <v>1</v>
      </c>
      <c r="G52" s="66">
        <v>14</v>
      </c>
      <c r="J52" s="73">
        <v>15</v>
      </c>
      <c r="K52" s="47">
        <f t="shared" si="5"/>
        <v>93.333333333333329</v>
      </c>
      <c r="L52" s="47">
        <f t="shared" si="6"/>
        <v>0</v>
      </c>
      <c r="M52" s="47">
        <f t="shared" si="7"/>
        <v>0</v>
      </c>
      <c r="N52" s="68">
        <f t="shared" si="8"/>
        <v>93.333333333333329</v>
      </c>
      <c r="O52" s="46">
        <v>59</v>
      </c>
      <c r="P52" s="47"/>
      <c r="Q52" s="47"/>
      <c r="R52" s="48">
        <f t="shared" si="4"/>
        <v>59</v>
      </c>
      <c r="S52" s="29">
        <v>2</v>
      </c>
      <c r="T52" s="286">
        <v>40327</v>
      </c>
      <c r="U52" s="295">
        <v>40372</v>
      </c>
      <c r="V52" s="38" t="s">
        <v>1072</v>
      </c>
      <c r="W52" s="29" t="s">
        <v>74</v>
      </c>
      <c r="X52" s="29" t="s">
        <v>11</v>
      </c>
      <c r="Y52" s="39">
        <v>26.5</v>
      </c>
      <c r="Z52" s="29" t="s">
        <v>1078</v>
      </c>
      <c r="AA52" s="29" t="s">
        <v>76</v>
      </c>
      <c r="AB52" s="29" t="s">
        <v>11</v>
      </c>
      <c r="AC52" s="29">
        <v>20.5</v>
      </c>
      <c r="AD52" s="38" t="s">
        <v>1079</v>
      </c>
      <c r="AE52" s="29" t="s">
        <v>78</v>
      </c>
      <c r="AF52" s="29" t="s">
        <v>11</v>
      </c>
      <c r="AG52" s="39">
        <v>12</v>
      </c>
      <c r="AL52" s="38"/>
      <c r="AO52" s="39"/>
      <c r="AP52" s="38"/>
      <c r="AS52" s="39"/>
      <c r="AW52" s="39"/>
      <c r="BA52" s="40"/>
    </row>
    <row r="53" spans="1:53" s="29" customFormat="1" x14ac:dyDescent="0.15">
      <c r="A53" s="29">
        <v>2011</v>
      </c>
      <c r="B53" s="277"/>
      <c r="C53" s="411" t="s">
        <v>1065</v>
      </c>
      <c r="D53" s="411"/>
      <c r="E53" s="29">
        <v>110</v>
      </c>
      <c r="G53" s="66">
        <v>14</v>
      </c>
      <c r="J53" s="73">
        <v>15</v>
      </c>
      <c r="K53" s="47">
        <f t="shared" ref="K53:K62" si="9">G53/J53*100</f>
        <v>93.333333333333329</v>
      </c>
      <c r="L53" s="47">
        <f t="shared" ref="L53:L62" si="10">H53/J53*100</f>
        <v>0</v>
      </c>
      <c r="M53" s="47">
        <f t="shared" ref="M53:M62" si="11">I53/J53*100</f>
        <v>0</v>
      </c>
      <c r="N53" s="68">
        <f t="shared" si="8"/>
        <v>93.333333333333329</v>
      </c>
      <c r="O53" s="46">
        <v>59</v>
      </c>
      <c r="P53" s="47"/>
      <c r="Q53" s="47"/>
      <c r="R53" s="48">
        <f t="shared" si="4"/>
        <v>59</v>
      </c>
      <c r="S53" s="29">
        <v>2</v>
      </c>
      <c r="T53" s="286"/>
      <c r="U53" s="295"/>
      <c r="V53" s="38" t="s">
        <v>1072</v>
      </c>
      <c r="W53" s="29" t="s">
        <v>74</v>
      </c>
      <c r="X53" s="29" t="s">
        <v>11</v>
      </c>
      <c r="Y53" s="39">
        <v>26.5</v>
      </c>
      <c r="Z53" s="29" t="s">
        <v>1078</v>
      </c>
      <c r="AA53" s="29" t="s">
        <v>76</v>
      </c>
      <c r="AB53" s="29" t="s">
        <v>11</v>
      </c>
      <c r="AC53" s="29">
        <v>20.5</v>
      </c>
      <c r="AD53" s="38" t="s">
        <v>1079</v>
      </c>
      <c r="AE53" s="29" t="s">
        <v>78</v>
      </c>
      <c r="AF53" s="29" t="s">
        <v>11</v>
      </c>
      <c r="AG53" s="39">
        <v>12</v>
      </c>
      <c r="AL53" s="38"/>
      <c r="AO53" s="39"/>
      <c r="AP53" s="38"/>
      <c r="AS53" s="39"/>
      <c r="AW53" s="39"/>
      <c r="BA53" s="40"/>
    </row>
    <row r="54" spans="1:53" s="29" customFormat="1" x14ac:dyDescent="0.15">
      <c r="A54" s="29">
        <v>2011</v>
      </c>
      <c r="B54" s="303">
        <v>40654</v>
      </c>
      <c r="C54" s="411" t="s">
        <v>1065</v>
      </c>
      <c r="D54" s="411"/>
      <c r="E54" s="29">
        <v>255</v>
      </c>
      <c r="F54" s="84">
        <v>0</v>
      </c>
      <c r="G54" s="66">
        <v>13</v>
      </c>
      <c r="J54" s="73">
        <v>15</v>
      </c>
      <c r="K54" s="47">
        <f t="shared" si="9"/>
        <v>86.666666666666671</v>
      </c>
      <c r="L54" s="47">
        <f t="shared" si="10"/>
        <v>0</v>
      </c>
      <c r="M54" s="47">
        <f t="shared" si="11"/>
        <v>0</v>
      </c>
      <c r="N54" s="68">
        <f>SUM(K54:M54)</f>
        <v>86.666666666666671</v>
      </c>
      <c r="O54" s="46">
        <v>59</v>
      </c>
      <c r="P54" s="47"/>
      <c r="Q54" s="47"/>
      <c r="R54" s="48">
        <f>SUM(O54:Q54)</f>
        <v>59</v>
      </c>
      <c r="S54" s="29">
        <v>2</v>
      </c>
      <c r="T54" s="286"/>
      <c r="U54" s="295"/>
      <c r="V54" s="38" t="s">
        <v>1072</v>
      </c>
      <c r="W54" s="29" t="s">
        <v>74</v>
      </c>
      <c r="X54" s="29" t="s">
        <v>11</v>
      </c>
      <c r="Y54" s="39">
        <v>26.5</v>
      </c>
      <c r="Z54" s="29" t="s">
        <v>1078</v>
      </c>
      <c r="AA54" s="29" t="s">
        <v>76</v>
      </c>
      <c r="AB54" s="29" t="s">
        <v>11</v>
      </c>
      <c r="AC54" s="29">
        <v>20.5</v>
      </c>
      <c r="AD54" s="38" t="s">
        <v>1079</v>
      </c>
      <c r="AE54" s="29" t="s">
        <v>78</v>
      </c>
      <c r="AF54" s="29" t="s">
        <v>11</v>
      </c>
      <c r="AG54" s="39">
        <v>12</v>
      </c>
      <c r="AL54" s="38"/>
      <c r="AO54" s="39"/>
      <c r="AP54" s="38"/>
      <c r="AS54" s="39"/>
      <c r="AW54" s="39"/>
      <c r="BA54" s="40"/>
    </row>
    <row r="55" spans="1:53" s="29" customFormat="1" x14ac:dyDescent="0.15">
      <c r="A55" s="29">
        <v>2012</v>
      </c>
      <c r="B55" s="277"/>
      <c r="C55" s="411" t="s">
        <v>1065</v>
      </c>
      <c r="D55" s="411"/>
      <c r="E55" s="29">
        <v>122</v>
      </c>
      <c r="G55" s="66">
        <v>13</v>
      </c>
      <c r="J55" s="73">
        <v>15</v>
      </c>
      <c r="K55" s="47">
        <f t="shared" si="9"/>
        <v>86.666666666666671</v>
      </c>
      <c r="L55" s="47">
        <f t="shared" si="10"/>
        <v>0</v>
      </c>
      <c r="M55" s="47">
        <f t="shared" si="11"/>
        <v>0</v>
      </c>
      <c r="N55" s="68">
        <f t="shared" si="8"/>
        <v>86.666666666666671</v>
      </c>
      <c r="O55" s="46">
        <v>59</v>
      </c>
      <c r="P55" s="47"/>
      <c r="Q55" s="47"/>
      <c r="R55" s="48">
        <f t="shared" si="4"/>
        <v>59</v>
      </c>
      <c r="S55" s="29">
        <v>2</v>
      </c>
      <c r="T55" s="286"/>
      <c r="U55" s="295"/>
      <c r="V55" s="38" t="s">
        <v>1072</v>
      </c>
      <c r="W55" s="29" t="s">
        <v>74</v>
      </c>
      <c r="X55" s="29" t="s">
        <v>11</v>
      </c>
      <c r="Y55" s="39">
        <v>26.5</v>
      </c>
      <c r="Z55" s="29" t="s">
        <v>1078</v>
      </c>
      <c r="AA55" s="29" t="s">
        <v>76</v>
      </c>
      <c r="AB55" s="29" t="s">
        <v>11</v>
      </c>
      <c r="AC55" s="29">
        <v>20.5</v>
      </c>
      <c r="AD55" s="38" t="s">
        <v>1079</v>
      </c>
      <c r="AE55" s="29" t="s">
        <v>78</v>
      </c>
      <c r="AF55" s="29" t="s">
        <v>11</v>
      </c>
      <c r="AG55" s="39">
        <v>12</v>
      </c>
      <c r="AL55" s="38"/>
      <c r="AO55" s="39"/>
      <c r="AP55" s="38"/>
      <c r="AS55" s="39"/>
      <c r="AW55" s="39"/>
      <c r="BA55" s="40"/>
    </row>
    <row r="56" spans="1:53" s="29" customFormat="1" x14ac:dyDescent="0.15">
      <c r="A56" s="29">
        <v>2012</v>
      </c>
      <c r="B56" s="303">
        <v>41031</v>
      </c>
      <c r="C56" s="411" t="s">
        <v>1065</v>
      </c>
      <c r="D56" s="411"/>
      <c r="E56" s="29">
        <v>224</v>
      </c>
      <c r="F56" s="84">
        <v>0</v>
      </c>
      <c r="G56" s="66">
        <v>12</v>
      </c>
      <c r="J56" s="73">
        <v>15</v>
      </c>
      <c r="K56" s="47">
        <f t="shared" si="9"/>
        <v>80</v>
      </c>
      <c r="L56" s="47">
        <f t="shared" si="10"/>
        <v>0</v>
      </c>
      <c r="M56" s="47">
        <f t="shared" si="11"/>
        <v>0</v>
      </c>
      <c r="N56" s="68">
        <f t="shared" si="8"/>
        <v>80</v>
      </c>
      <c r="O56" s="46">
        <v>59</v>
      </c>
      <c r="P56" s="47"/>
      <c r="Q56" s="47"/>
      <c r="R56" s="48">
        <f t="shared" si="4"/>
        <v>59</v>
      </c>
      <c r="S56" s="29">
        <v>2</v>
      </c>
      <c r="T56" s="286"/>
      <c r="U56" s="295"/>
      <c r="V56" s="38" t="s">
        <v>1072</v>
      </c>
      <c r="W56" s="29" t="s">
        <v>74</v>
      </c>
      <c r="X56" s="29" t="s">
        <v>11</v>
      </c>
      <c r="Y56" s="39">
        <v>26.5</v>
      </c>
      <c r="Z56" s="29" t="s">
        <v>1078</v>
      </c>
      <c r="AA56" s="29" t="s">
        <v>76</v>
      </c>
      <c r="AB56" s="29" t="s">
        <v>11</v>
      </c>
      <c r="AC56" s="29">
        <v>20.5</v>
      </c>
      <c r="AD56" s="38" t="s">
        <v>1079</v>
      </c>
      <c r="AE56" s="29" t="s">
        <v>78</v>
      </c>
      <c r="AF56" s="29" t="s">
        <v>11</v>
      </c>
      <c r="AG56" s="39">
        <v>12</v>
      </c>
      <c r="AL56" s="38"/>
      <c r="AO56" s="39"/>
      <c r="AP56" s="38"/>
      <c r="AS56" s="39"/>
      <c r="AW56" s="39"/>
      <c r="BA56" s="40"/>
    </row>
    <row r="57" spans="1:53" s="29" customFormat="1" x14ac:dyDescent="0.15">
      <c r="A57" s="29">
        <v>2012</v>
      </c>
      <c r="B57" s="303">
        <v>41255</v>
      </c>
      <c r="C57" s="411" t="s">
        <v>1065</v>
      </c>
      <c r="D57" s="411"/>
      <c r="E57" s="29">
        <f>366-E56-E55</f>
        <v>20</v>
      </c>
      <c r="F57" s="84">
        <v>0</v>
      </c>
      <c r="G57" s="66">
        <v>12</v>
      </c>
      <c r="J57" s="73">
        <v>16</v>
      </c>
      <c r="K57" s="47">
        <f t="shared" si="9"/>
        <v>75</v>
      </c>
      <c r="L57" s="47">
        <f t="shared" si="10"/>
        <v>0</v>
      </c>
      <c r="M57" s="47">
        <f t="shared" si="11"/>
        <v>0</v>
      </c>
      <c r="N57" s="68">
        <f t="shared" si="8"/>
        <v>75</v>
      </c>
      <c r="O57" s="46">
        <v>59</v>
      </c>
      <c r="P57" s="47"/>
      <c r="Q57" s="47"/>
      <c r="R57" s="48">
        <f t="shared" si="4"/>
        <v>59</v>
      </c>
      <c r="S57" s="29">
        <v>2</v>
      </c>
      <c r="T57" s="286"/>
      <c r="U57" s="295"/>
      <c r="V57" s="38" t="s">
        <v>1072</v>
      </c>
      <c r="W57" s="29" t="s">
        <v>74</v>
      </c>
      <c r="X57" s="29" t="s">
        <v>11</v>
      </c>
      <c r="Y57" s="39">
        <v>26.5</v>
      </c>
      <c r="Z57" s="29" t="s">
        <v>1078</v>
      </c>
      <c r="AA57" s="29" t="s">
        <v>76</v>
      </c>
      <c r="AB57" s="29" t="s">
        <v>11</v>
      </c>
      <c r="AC57" s="29">
        <v>20.5</v>
      </c>
      <c r="AD57" s="38" t="s">
        <v>1079</v>
      </c>
      <c r="AE57" s="29" t="s">
        <v>78</v>
      </c>
      <c r="AF57" s="29" t="s">
        <v>11</v>
      </c>
      <c r="AG57" s="39">
        <v>12</v>
      </c>
      <c r="AL57" s="38"/>
      <c r="AO57" s="39"/>
      <c r="AP57" s="38"/>
      <c r="AS57" s="39"/>
      <c r="AW57" s="39"/>
      <c r="BA57" s="40"/>
    </row>
    <row r="58" spans="1:53" s="29" customFormat="1" x14ac:dyDescent="0.15">
      <c r="A58" s="29">
        <v>2013</v>
      </c>
      <c r="B58" s="303"/>
      <c r="C58" s="411" t="s">
        <v>1065</v>
      </c>
      <c r="D58" s="411"/>
      <c r="E58" s="29">
        <v>77</v>
      </c>
      <c r="F58" s="84"/>
      <c r="G58" s="66">
        <v>12</v>
      </c>
      <c r="J58" s="73">
        <v>16</v>
      </c>
      <c r="K58" s="47">
        <f t="shared" si="9"/>
        <v>75</v>
      </c>
      <c r="L58" s="47">
        <f t="shared" si="10"/>
        <v>0</v>
      </c>
      <c r="M58" s="47">
        <f t="shared" si="11"/>
        <v>0</v>
      </c>
      <c r="N58" s="68">
        <f t="shared" si="8"/>
        <v>75</v>
      </c>
      <c r="O58" s="46">
        <v>59</v>
      </c>
      <c r="P58" s="47"/>
      <c r="Q58" s="47"/>
      <c r="R58" s="48">
        <f>SUM(O58:Q58)</f>
        <v>59</v>
      </c>
      <c r="S58" s="29">
        <v>2</v>
      </c>
      <c r="T58" s="286"/>
      <c r="U58" s="295"/>
      <c r="V58" s="38" t="s">
        <v>1072</v>
      </c>
      <c r="W58" s="29" t="s">
        <v>74</v>
      </c>
      <c r="X58" s="29" t="s">
        <v>11</v>
      </c>
      <c r="Y58" s="39">
        <v>26.5</v>
      </c>
      <c r="Z58" s="29" t="s">
        <v>1078</v>
      </c>
      <c r="AA58" s="29" t="s">
        <v>76</v>
      </c>
      <c r="AB58" s="29" t="s">
        <v>11</v>
      </c>
      <c r="AC58" s="29">
        <v>20.5</v>
      </c>
      <c r="AD58" s="38" t="s">
        <v>1079</v>
      </c>
      <c r="AE58" s="29" t="s">
        <v>78</v>
      </c>
      <c r="AF58" s="29" t="s">
        <v>11</v>
      </c>
      <c r="AG58" s="39">
        <v>12</v>
      </c>
      <c r="AL58" s="38"/>
      <c r="AO58" s="39"/>
      <c r="AP58" s="38"/>
      <c r="AS58" s="39"/>
      <c r="AW58" s="39"/>
      <c r="BA58" s="40"/>
    </row>
    <row r="59" spans="1:53" s="29" customFormat="1" x14ac:dyDescent="0.15">
      <c r="A59" s="29">
        <v>2013</v>
      </c>
      <c r="B59" s="303">
        <v>41352</v>
      </c>
      <c r="C59" s="411" t="s">
        <v>1065</v>
      </c>
      <c r="D59" s="411"/>
      <c r="E59" s="29">
        <v>113</v>
      </c>
      <c r="F59" s="84">
        <v>0</v>
      </c>
      <c r="G59" s="66">
        <v>11</v>
      </c>
      <c r="J59" s="73">
        <v>16</v>
      </c>
      <c r="K59" s="47">
        <f t="shared" si="9"/>
        <v>68.75</v>
      </c>
      <c r="L59" s="47">
        <f t="shared" si="10"/>
        <v>0</v>
      </c>
      <c r="M59" s="47">
        <f t="shared" si="11"/>
        <v>0</v>
      </c>
      <c r="N59" s="68">
        <f>SUM(K59:M59)</f>
        <v>68.75</v>
      </c>
      <c r="O59" s="46">
        <v>59</v>
      </c>
      <c r="P59" s="47"/>
      <c r="Q59" s="47"/>
      <c r="R59" s="48">
        <f>SUM(O59:Q59)</f>
        <v>59</v>
      </c>
      <c r="S59" s="29">
        <v>2</v>
      </c>
      <c r="T59" s="286"/>
      <c r="U59" s="295"/>
      <c r="V59" s="38" t="s">
        <v>1072</v>
      </c>
      <c r="W59" s="29" t="s">
        <v>74</v>
      </c>
      <c r="X59" s="29" t="s">
        <v>11</v>
      </c>
      <c r="Y59" s="39">
        <v>26.5</v>
      </c>
      <c r="Z59" s="29" t="s">
        <v>1078</v>
      </c>
      <c r="AA59" s="29" t="s">
        <v>76</v>
      </c>
      <c r="AB59" s="29" t="s">
        <v>11</v>
      </c>
      <c r="AC59" s="29">
        <v>20.5</v>
      </c>
      <c r="AD59" s="38" t="s">
        <v>1079</v>
      </c>
      <c r="AE59" s="29" t="s">
        <v>78</v>
      </c>
      <c r="AF59" s="29" t="s">
        <v>11</v>
      </c>
      <c r="AG59" s="39">
        <v>12</v>
      </c>
      <c r="AL59" s="38"/>
      <c r="AO59" s="39"/>
      <c r="AP59" s="38"/>
      <c r="AS59" s="39"/>
      <c r="AW59" s="39"/>
      <c r="BA59" s="40"/>
    </row>
    <row r="60" spans="1:53" s="171" customFormat="1" x14ac:dyDescent="0.15">
      <c r="A60" s="171">
        <v>2013</v>
      </c>
      <c r="B60" s="306">
        <v>41465</v>
      </c>
      <c r="C60" s="410" t="s">
        <v>1253</v>
      </c>
      <c r="D60" s="410"/>
      <c r="E60" s="171">
        <f>365-E59-E58</f>
        <v>175</v>
      </c>
      <c r="F60" s="171">
        <v>2</v>
      </c>
      <c r="G60" s="233"/>
      <c r="H60" s="171">
        <v>1</v>
      </c>
      <c r="J60" s="241">
        <v>15</v>
      </c>
      <c r="K60" s="214">
        <f t="shared" si="9"/>
        <v>0</v>
      </c>
      <c r="L60" s="214">
        <f t="shared" si="10"/>
        <v>6.666666666666667</v>
      </c>
      <c r="M60" s="214">
        <f t="shared" si="11"/>
        <v>0</v>
      </c>
      <c r="N60" s="235">
        <f>SUM(K60:M60)</f>
        <v>6.666666666666667</v>
      </c>
      <c r="O60" s="213">
        <v>0</v>
      </c>
      <c r="P60" s="214">
        <v>0</v>
      </c>
      <c r="Q60" s="214">
        <v>0</v>
      </c>
      <c r="R60" s="215">
        <f>SUM(O60:Q60)</f>
        <v>0</v>
      </c>
      <c r="S60" s="171">
        <v>7</v>
      </c>
      <c r="T60" s="285"/>
      <c r="U60" s="283">
        <v>41465</v>
      </c>
      <c r="V60" s="242" t="s">
        <v>1259</v>
      </c>
      <c r="Y60" s="179"/>
      <c r="AD60" s="178"/>
      <c r="AG60" s="179"/>
      <c r="AL60" s="178"/>
      <c r="AO60" s="179"/>
      <c r="AP60" s="178"/>
      <c r="AS60" s="179"/>
      <c r="AW60" s="179"/>
      <c r="BA60" s="180"/>
    </row>
    <row r="61" spans="1:53" s="171" customFormat="1" x14ac:dyDescent="0.15">
      <c r="A61" s="171">
        <v>2014</v>
      </c>
      <c r="B61" s="306"/>
      <c r="C61" s="410" t="s">
        <v>1253</v>
      </c>
      <c r="D61" s="410"/>
      <c r="E61" s="171">
        <v>28</v>
      </c>
      <c r="G61" s="233"/>
      <c r="H61" s="171">
        <v>1</v>
      </c>
      <c r="J61" s="241">
        <v>15</v>
      </c>
      <c r="K61" s="214">
        <f t="shared" si="9"/>
        <v>0</v>
      </c>
      <c r="L61" s="214">
        <f t="shared" si="10"/>
        <v>6.666666666666667</v>
      </c>
      <c r="M61" s="214">
        <f t="shared" si="11"/>
        <v>0</v>
      </c>
      <c r="N61" s="235">
        <f>SUM(K61:M61)</f>
        <v>6.666666666666667</v>
      </c>
      <c r="O61" s="213">
        <v>0</v>
      </c>
      <c r="P61" s="214">
        <v>0</v>
      </c>
      <c r="Q61" s="214">
        <v>0</v>
      </c>
      <c r="R61" s="215">
        <f>SUM(O61:Q61)</f>
        <v>0</v>
      </c>
      <c r="S61" s="171">
        <v>7</v>
      </c>
      <c r="T61" s="285"/>
      <c r="U61" s="283"/>
      <c r="V61" s="242" t="s">
        <v>1259</v>
      </c>
      <c r="Y61" s="179"/>
      <c r="AD61" s="178"/>
      <c r="AG61" s="179"/>
      <c r="AL61" s="178"/>
      <c r="AO61" s="179"/>
      <c r="AP61" s="178"/>
      <c r="AS61" s="179"/>
      <c r="AW61" s="179"/>
      <c r="BA61" s="180"/>
    </row>
    <row r="62" spans="1:53" s="29" customFormat="1" x14ac:dyDescent="0.15">
      <c r="A62" s="29">
        <v>2014</v>
      </c>
      <c r="B62" s="277">
        <v>41668</v>
      </c>
      <c r="C62" s="411" t="s">
        <v>1284</v>
      </c>
      <c r="D62" s="411"/>
      <c r="E62" s="29">
        <v>337</v>
      </c>
      <c r="F62" s="29">
        <v>1</v>
      </c>
      <c r="G62" s="66">
        <v>6</v>
      </c>
      <c r="H62" s="29">
        <v>3</v>
      </c>
      <c r="I62" s="29">
        <v>8</v>
      </c>
      <c r="J62" s="73">
        <v>17</v>
      </c>
      <c r="K62" s="47">
        <f t="shared" si="9"/>
        <v>35.294117647058826</v>
      </c>
      <c r="L62" s="47">
        <f t="shared" si="10"/>
        <v>17.647058823529413</v>
      </c>
      <c r="M62" s="47">
        <f t="shared" si="11"/>
        <v>47.058823529411761</v>
      </c>
      <c r="N62" s="68">
        <f>SUM(K62:M62)</f>
        <v>100</v>
      </c>
      <c r="O62" s="46">
        <v>23.5</v>
      </c>
      <c r="P62" s="47">
        <v>7</v>
      </c>
      <c r="Q62" s="47">
        <v>25</v>
      </c>
      <c r="R62" s="48">
        <f>SUM(O62:Q62)</f>
        <v>55.5</v>
      </c>
      <c r="S62" s="29">
        <v>2</v>
      </c>
      <c r="T62" s="286">
        <v>41573</v>
      </c>
      <c r="U62" s="295">
        <v>41668</v>
      </c>
      <c r="V62" s="38" t="s">
        <v>1074</v>
      </c>
      <c r="W62" s="29" t="s">
        <v>20</v>
      </c>
      <c r="X62" s="29" t="s">
        <v>12</v>
      </c>
      <c r="Y62" s="39">
        <v>25</v>
      </c>
      <c r="Z62" s="29" t="s">
        <v>885</v>
      </c>
      <c r="AA62" s="29" t="s">
        <v>1310</v>
      </c>
      <c r="AB62" s="29" t="s">
        <v>11</v>
      </c>
      <c r="AC62" s="29">
        <v>23.5</v>
      </c>
      <c r="AD62" s="38" t="s">
        <v>1071</v>
      </c>
      <c r="AE62" s="29" t="s">
        <v>17</v>
      </c>
      <c r="AF62" s="29" t="s">
        <v>18</v>
      </c>
      <c r="AG62" s="39">
        <v>7</v>
      </c>
      <c r="AL62" s="38"/>
      <c r="AO62" s="39"/>
      <c r="AP62" s="38"/>
      <c r="AS62" s="39"/>
      <c r="AW62" s="39"/>
      <c r="BA62" s="40"/>
    </row>
    <row r="63" spans="1:53" s="29" customFormat="1" x14ac:dyDescent="0.15">
      <c r="A63" s="29">
        <v>2015</v>
      </c>
      <c r="B63" s="277"/>
      <c r="C63" s="411" t="s">
        <v>1284</v>
      </c>
      <c r="D63" s="411"/>
      <c r="E63" s="29">
        <v>0</v>
      </c>
      <c r="G63" s="66">
        <v>6</v>
      </c>
      <c r="H63" s="29">
        <v>3</v>
      </c>
      <c r="I63" s="29">
        <v>8</v>
      </c>
      <c r="J63" s="73">
        <v>17</v>
      </c>
      <c r="K63" s="47">
        <f t="shared" ref="K63:K65" si="12">G63/J63*100</f>
        <v>35.294117647058826</v>
      </c>
      <c r="L63" s="47">
        <f t="shared" ref="L63:L65" si="13">H63/J63*100</f>
        <v>17.647058823529413</v>
      </c>
      <c r="M63" s="47">
        <f t="shared" ref="M63:M65" si="14">I63/J63*100</f>
        <v>47.058823529411761</v>
      </c>
      <c r="N63" s="68">
        <f t="shared" ref="N63:N65" si="15">SUM(K63:M63)</f>
        <v>100</v>
      </c>
      <c r="O63" s="46">
        <v>23.5</v>
      </c>
      <c r="P63" s="47">
        <v>7</v>
      </c>
      <c r="Q63" s="47">
        <v>25</v>
      </c>
      <c r="R63" s="48">
        <f t="shared" ref="R63:R65" si="16">SUM(O63:Q63)</f>
        <v>55.5</v>
      </c>
      <c r="S63" s="29">
        <v>2</v>
      </c>
      <c r="T63" s="286"/>
      <c r="U63" s="295"/>
      <c r="V63" s="38" t="s">
        <v>1074</v>
      </c>
      <c r="W63" s="29" t="s">
        <v>20</v>
      </c>
      <c r="X63" s="29" t="s">
        <v>12</v>
      </c>
      <c r="Y63" s="39">
        <v>25</v>
      </c>
      <c r="Z63" s="29" t="s">
        <v>885</v>
      </c>
      <c r="AA63" s="29" t="s">
        <v>1310</v>
      </c>
      <c r="AB63" s="29" t="s">
        <v>11</v>
      </c>
      <c r="AC63" s="29">
        <v>23.5</v>
      </c>
      <c r="AD63" s="38" t="s">
        <v>1071</v>
      </c>
      <c r="AE63" s="29" t="s">
        <v>17</v>
      </c>
      <c r="AF63" s="29" t="s">
        <v>18</v>
      </c>
      <c r="AG63" s="39">
        <v>7</v>
      </c>
      <c r="AL63" s="38"/>
      <c r="AO63" s="39"/>
      <c r="AP63" s="38"/>
      <c r="AS63" s="39"/>
      <c r="AW63" s="39"/>
      <c r="BA63" s="40"/>
    </row>
    <row r="64" spans="1:53" s="29" customFormat="1" x14ac:dyDescent="0.15">
      <c r="A64" s="29">
        <v>2015</v>
      </c>
      <c r="B64" s="277"/>
      <c r="C64" s="411" t="s">
        <v>1284</v>
      </c>
      <c r="D64" s="411"/>
      <c r="E64" s="29">
        <v>365</v>
      </c>
      <c r="G64" s="66">
        <v>6</v>
      </c>
      <c r="H64" s="29">
        <v>3</v>
      </c>
      <c r="I64" s="29">
        <v>8</v>
      </c>
      <c r="J64" s="73">
        <v>17</v>
      </c>
      <c r="K64" s="47">
        <f t="shared" si="12"/>
        <v>35.294117647058826</v>
      </c>
      <c r="L64" s="47">
        <f t="shared" si="13"/>
        <v>17.647058823529413</v>
      </c>
      <c r="M64" s="47">
        <f t="shared" si="14"/>
        <v>47.058823529411761</v>
      </c>
      <c r="N64" s="68">
        <f t="shared" si="15"/>
        <v>100</v>
      </c>
      <c r="O64" s="46">
        <v>23.5</v>
      </c>
      <c r="P64" s="47">
        <v>7</v>
      </c>
      <c r="Q64" s="47">
        <v>25</v>
      </c>
      <c r="R64" s="48">
        <f t="shared" si="16"/>
        <v>55.5</v>
      </c>
      <c r="S64" s="29">
        <v>2</v>
      </c>
      <c r="T64" s="286"/>
      <c r="U64" s="295"/>
      <c r="V64" s="38" t="s">
        <v>1074</v>
      </c>
      <c r="W64" s="29" t="s">
        <v>20</v>
      </c>
      <c r="X64" s="29" t="s">
        <v>12</v>
      </c>
      <c r="Y64" s="39">
        <v>25</v>
      </c>
      <c r="Z64" s="29" t="s">
        <v>885</v>
      </c>
      <c r="AA64" s="29" t="s">
        <v>1310</v>
      </c>
      <c r="AB64" s="29" t="s">
        <v>11</v>
      </c>
      <c r="AC64" s="29">
        <v>23.5</v>
      </c>
      <c r="AD64" s="38" t="s">
        <v>1071</v>
      </c>
      <c r="AE64" s="29" t="s">
        <v>17</v>
      </c>
      <c r="AF64" s="29" t="s">
        <v>18</v>
      </c>
      <c r="AG64" s="39">
        <v>7</v>
      </c>
      <c r="AL64" s="38"/>
      <c r="AO64" s="39"/>
      <c r="AP64" s="38"/>
      <c r="AS64" s="39"/>
      <c r="AW64" s="39"/>
      <c r="BA64" s="40"/>
    </row>
    <row r="65" spans="1:53" s="29" customFormat="1" x14ac:dyDescent="0.15">
      <c r="A65" s="29">
        <v>2016</v>
      </c>
      <c r="B65" s="277"/>
      <c r="C65" s="411" t="s">
        <v>1284</v>
      </c>
      <c r="D65" s="411"/>
      <c r="E65" s="29">
        <v>0</v>
      </c>
      <c r="G65" s="66">
        <v>6</v>
      </c>
      <c r="H65" s="29">
        <v>3</v>
      </c>
      <c r="I65" s="29">
        <v>8</v>
      </c>
      <c r="J65" s="73">
        <v>17</v>
      </c>
      <c r="K65" s="47">
        <f t="shared" si="12"/>
        <v>35.294117647058826</v>
      </c>
      <c r="L65" s="47">
        <f t="shared" si="13"/>
        <v>17.647058823529413</v>
      </c>
      <c r="M65" s="47">
        <f t="shared" si="14"/>
        <v>47.058823529411761</v>
      </c>
      <c r="N65" s="68">
        <f t="shared" si="15"/>
        <v>100</v>
      </c>
      <c r="O65" s="46">
        <v>23.5</v>
      </c>
      <c r="P65" s="47">
        <v>7</v>
      </c>
      <c r="Q65" s="47">
        <v>25</v>
      </c>
      <c r="R65" s="48">
        <f t="shared" si="16"/>
        <v>55.5</v>
      </c>
      <c r="S65" s="29">
        <v>2</v>
      </c>
      <c r="T65" s="286"/>
      <c r="U65" s="295"/>
      <c r="V65" s="38" t="s">
        <v>1074</v>
      </c>
      <c r="W65" s="29" t="s">
        <v>20</v>
      </c>
      <c r="X65" s="29" t="s">
        <v>12</v>
      </c>
      <c r="Y65" s="39">
        <v>25</v>
      </c>
      <c r="Z65" s="29" t="s">
        <v>885</v>
      </c>
      <c r="AA65" s="29" t="s">
        <v>1310</v>
      </c>
      <c r="AB65" s="29" t="s">
        <v>11</v>
      </c>
      <c r="AC65" s="29">
        <v>23.5</v>
      </c>
      <c r="AD65" s="38" t="s">
        <v>1071</v>
      </c>
      <c r="AE65" s="29" t="s">
        <v>17</v>
      </c>
      <c r="AF65" s="29" t="s">
        <v>18</v>
      </c>
      <c r="AG65" s="39">
        <v>7</v>
      </c>
      <c r="AL65" s="38"/>
      <c r="AO65" s="39"/>
      <c r="AP65" s="38"/>
      <c r="AS65" s="39"/>
      <c r="AW65" s="39"/>
      <c r="BA65" s="40"/>
    </row>
    <row r="66" spans="1:53" s="29" customFormat="1" x14ac:dyDescent="0.15">
      <c r="A66" s="29">
        <v>2016</v>
      </c>
      <c r="B66" s="277"/>
      <c r="C66" s="411" t="s">
        <v>1284</v>
      </c>
      <c r="D66" s="411"/>
      <c r="E66" s="29">
        <v>366</v>
      </c>
      <c r="G66" s="66">
        <v>6</v>
      </c>
      <c r="H66" s="29">
        <v>3</v>
      </c>
      <c r="I66" s="29">
        <v>8</v>
      </c>
      <c r="J66" s="73">
        <v>17</v>
      </c>
      <c r="K66" s="47">
        <f t="shared" ref="K66" si="17">G66/J66*100</f>
        <v>35.294117647058826</v>
      </c>
      <c r="L66" s="47">
        <f t="shared" ref="L66" si="18">H66/J66*100</f>
        <v>17.647058823529413</v>
      </c>
      <c r="M66" s="47">
        <f t="shared" ref="M66" si="19">I66/J66*100</f>
        <v>47.058823529411761</v>
      </c>
      <c r="N66" s="68">
        <f t="shared" ref="N66" si="20">SUM(K66:M66)</f>
        <v>100</v>
      </c>
      <c r="O66" s="46">
        <v>23.5</v>
      </c>
      <c r="P66" s="47">
        <v>7</v>
      </c>
      <c r="Q66" s="47">
        <v>25</v>
      </c>
      <c r="R66" s="48">
        <f t="shared" ref="R66" si="21">SUM(O66:Q66)</f>
        <v>55.5</v>
      </c>
      <c r="S66" s="29">
        <v>2</v>
      </c>
      <c r="T66" s="286"/>
      <c r="U66" s="295"/>
      <c r="V66" s="38" t="s">
        <v>1074</v>
      </c>
      <c r="W66" s="29" t="s">
        <v>20</v>
      </c>
      <c r="X66" s="29" t="s">
        <v>12</v>
      </c>
      <c r="Y66" s="39">
        <v>25</v>
      </c>
      <c r="Z66" s="29" t="s">
        <v>885</v>
      </c>
      <c r="AA66" s="29" t="s">
        <v>1310</v>
      </c>
      <c r="AB66" s="29" t="s">
        <v>11</v>
      </c>
      <c r="AC66" s="29">
        <v>23.5</v>
      </c>
      <c r="AD66" s="38" t="s">
        <v>1071</v>
      </c>
      <c r="AE66" s="29" t="s">
        <v>17</v>
      </c>
      <c r="AF66" s="29" t="s">
        <v>18</v>
      </c>
      <c r="AG66" s="39">
        <v>7</v>
      </c>
      <c r="AL66" s="38"/>
      <c r="AO66" s="39"/>
      <c r="AP66" s="38"/>
      <c r="AS66" s="39"/>
      <c r="AW66" s="39"/>
      <c r="BA66" s="40"/>
    </row>
    <row r="67" spans="1:53" s="29" customFormat="1" x14ac:dyDescent="0.15">
      <c r="A67" s="29">
        <v>2017</v>
      </c>
      <c r="B67" s="277"/>
      <c r="C67" s="411" t="s">
        <v>1284</v>
      </c>
      <c r="D67" s="411"/>
      <c r="E67" s="29">
        <v>346</v>
      </c>
      <c r="G67" s="66">
        <v>6</v>
      </c>
      <c r="H67" s="29">
        <v>3</v>
      </c>
      <c r="I67" s="29">
        <v>8</v>
      </c>
      <c r="J67" s="73">
        <v>17</v>
      </c>
      <c r="K67" s="47">
        <f t="shared" ref="K67" si="22">G67/J67*100</f>
        <v>35.294117647058826</v>
      </c>
      <c r="L67" s="47">
        <f t="shared" ref="L67" si="23">H67/J67*100</f>
        <v>17.647058823529413</v>
      </c>
      <c r="M67" s="47">
        <f t="shared" ref="M67" si="24">I67/J67*100</f>
        <v>47.058823529411761</v>
      </c>
      <c r="N67" s="68">
        <f t="shared" ref="N67" si="25">SUM(K67:M67)</f>
        <v>100</v>
      </c>
      <c r="O67" s="46">
        <v>23.5</v>
      </c>
      <c r="P67" s="47">
        <v>7</v>
      </c>
      <c r="Q67" s="47">
        <v>25</v>
      </c>
      <c r="R67" s="48">
        <f t="shared" ref="R67:R68" si="26">SUM(O67:Q67)</f>
        <v>55.5</v>
      </c>
      <c r="S67" s="29">
        <v>2</v>
      </c>
      <c r="T67" s="286"/>
      <c r="U67" s="295"/>
      <c r="V67" s="38" t="s">
        <v>1074</v>
      </c>
      <c r="W67" s="29" t="s">
        <v>20</v>
      </c>
      <c r="X67" s="29" t="s">
        <v>12</v>
      </c>
      <c r="Y67" s="39">
        <v>25</v>
      </c>
      <c r="Z67" s="29" t="s">
        <v>885</v>
      </c>
      <c r="AA67" s="29" t="s">
        <v>1310</v>
      </c>
      <c r="AB67" s="29" t="s">
        <v>11</v>
      </c>
      <c r="AC67" s="29">
        <v>23.5</v>
      </c>
      <c r="AD67" s="38" t="s">
        <v>1071</v>
      </c>
      <c r="AE67" s="29" t="s">
        <v>17</v>
      </c>
      <c r="AF67" s="29" t="s">
        <v>18</v>
      </c>
      <c r="AG67" s="39">
        <v>7</v>
      </c>
      <c r="AL67" s="38"/>
      <c r="AO67" s="39"/>
      <c r="AP67" s="38"/>
      <c r="AS67" s="39"/>
      <c r="AW67" s="39"/>
      <c r="BA67" s="40"/>
    </row>
    <row r="68" spans="1:53" s="171" customFormat="1" x14ac:dyDescent="0.15">
      <c r="A68" s="171">
        <v>2017</v>
      </c>
      <c r="B68" s="306">
        <v>43082</v>
      </c>
      <c r="C68" s="410" t="s">
        <v>1367</v>
      </c>
      <c r="D68" s="410"/>
      <c r="E68" s="171">
        <v>19</v>
      </c>
      <c r="F68" s="171">
        <v>1</v>
      </c>
      <c r="G68" s="233">
        <v>15</v>
      </c>
      <c r="J68" s="241">
        <v>15</v>
      </c>
      <c r="K68" s="214">
        <f t="shared" ref="K68:K69" si="27">G68/J68*100</f>
        <v>100</v>
      </c>
      <c r="L68" s="214">
        <f t="shared" ref="L68:L69" si="28">H68/J68*100</f>
        <v>0</v>
      </c>
      <c r="M68" s="214">
        <f t="shared" ref="M68:M69" si="29">I68/J68*100</f>
        <v>0</v>
      </c>
      <c r="N68" s="235">
        <f t="shared" ref="N68:N69" si="30">SUM(K68:M68)</f>
        <v>100</v>
      </c>
      <c r="O68" s="213">
        <v>39</v>
      </c>
      <c r="P68" s="214">
        <v>0</v>
      </c>
      <c r="Q68" s="214">
        <v>0</v>
      </c>
      <c r="R68" s="215">
        <f t="shared" si="26"/>
        <v>39</v>
      </c>
      <c r="S68" s="171">
        <v>4</v>
      </c>
      <c r="T68" s="285">
        <v>43029</v>
      </c>
      <c r="U68" s="283">
        <v>43082</v>
      </c>
      <c r="V68" s="178" t="s">
        <v>885</v>
      </c>
      <c r="W68" s="171" t="s">
        <v>1310</v>
      </c>
      <c r="X68" s="171" t="s">
        <v>11</v>
      </c>
      <c r="Y68" s="179">
        <v>39</v>
      </c>
      <c r="AD68" s="178"/>
      <c r="AG68" s="179"/>
      <c r="AL68" s="178"/>
      <c r="AO68" s="179"/>
      <c r="AP68" s="178"/>
      <c r="AS68" s="179"/>
      <c r="AW68" s="179"/>
      <c r="BA68" s="180"/>
    </row>
    <row r="69" spans="1:53" s="171" customFormat="1" x14ac:dyDescent="0.15">
      <c r="A69" s="171">
        <v>2018</v>
      </c>
      <c r="B69" s="306"/>
      <c r="C69" s="410" t="s">
        <v>1367</v>
      </c>
      <c r="D69" s="410"/>
      <c r="E69" s="171">
        <v>177</v>
      </c>
      <c r="G69" s="233">
        <v>15</v>
      </c>
      <c r="J69" s="241">
        <v>15</v>
      </c>
      <c r="K69" s="214">
        <f t="shared" si="27"/>
        <v>100</v>
      </c>
      <c r="L69" s="214">
        <f t="shared" si="28"/>
        <v>0</v>
      </c>
      <c r="M69" s="214">
        <f t="shared" si="29"/>
        <v>0</v>
      </c>
      <c r="N69" s="235">
        <f t="shared" si="30"/>
        <v>100</v>
      </c>
      <c r="O69" s="213">
        <v>39</v>
      </c>
      <c r="P69" s="214">
        <v>0</v>
      </c>
      <c r="Q69" s="214">
        <v>0</v>
      </c>
      <c r="R69" s="215">
        <f t="shared" ref="R69:R70" si="31">SUM(O69:Q69)</f>
        <v>39</v>
      </c>
      <c r="S69" s="171">
        <v>4</v>
      </c>
      <c r="T69" s="285"/>
      <c r="U69" s="283"/>
      <c r="V69" s="178" t="s">
        <v>885</v>
      </c>
      <c r="W69" s="171" t="s">
        <v>1310</v>
      </c>
      <c r="X69" s="171" t="s">
        <v>11</v>
      </c>
      <c r="Y69" s="179">
        <v>39</v>
      </c>
      <c r="AD69" s="178"/>
      <c r="AG69" s="179"/>
      <c r="AL69" s="178"/>
      <c r="AO69" s="179"/>
      <c r="AP69" s="178"/>
      <c r="AS69" s="179"/>
      <c r="AW69" s="179"/>
      <c r="BA69" s="180"/>
    </row>
    <row r="70" spans="1:53" s="29" customFormat="1" x14ac:dyDescent="0.15">
      <c r="A70" s="29">
        <v>2018</v>
      </c>
      <c r="B70" s="277">
        <v>43278</v>
      </c>
      <c r="C70" s="411" t="s">
        <v>1391</v>
      </c>
      <c r="D70" s="411"/>
      <c r="E70" s="29">
        <v>188</v>
      </c>
      <c r="F70" s="29">
        <v>1</v>
      </c>
      <c r="G70" s="66">
        <v>10</v>
      </c>
      <c r="I70" s="29">
        <v>5</v>
      </c>
      <c r="J70" s="73">
        <v>15</v>
      </c>
      <c r="K70" s="47">
        <f t="shared" ref="K70" si="32">G70/J70*100</f>
        <v>66.666666666666657</v>
      </c>
      <c r="L70" s="47">
        <f t="shared" ref="L70" si="33">H70/J70*100</f>
        <v>0</v>
      </c>
      <c r="M70" s="47">
        <f t="shared" ref="M70" si="34">I70/J70*100</f>
        <v>33.333333333333329</v>
      </c>
      <c r="N70" s="68">
        <f t="shared" ref="N70" si="35">SUM(K70:M70)</f>
        <v>99.999999999999986</v>
      </c>
      <c r="O70" s="46">
        <v>39</v>
      </c>
      <c r="P70" s="47">
        <v>0</v>
      </c>
      <c r="Q70" s="47">
        <v>7.5</v>
      </c>
      <c r="R70" s="48">
        <f t="shared" si="31"/>
        <v>46.5</v>
      </c>
      <c r="S70" s="29">
        <v>5</v>
      </c>
      <c r="T70" s="286"/>
      <c r="U70" s="277">
        <v>43278</v>
      </c>
      <c r="V70" s="38" t="s">
        <v>885</v>
      </c>
      <c r="W70" s="29" t="s">
        <v>1310</v>
      </c>
      <c r="X70" s="29" t="s">
        <v>11</v>
      </c>
      <c r="Y70" s="39">
        <v>39</v>
      </c>
      <c r="Z70" s="29" t="s">
        <v>1074</v>
      </c>
      <c r="AA70" s="29" t="s">
        <v>20</v>
      </c>
      <c r="AB70" s="29" t="s">
        <v>12</v>
      </c>
      <c r="AC70" s="29">
        <v>7.5</v>
      </c>
      <c r="AD70" s="38"/>
      <c r="AG70" s="39"/>
      <c r="AL70" s="38"/>
      <c r="AO70" s="39"/>
      <c r="AP70" s="38"/>
      <c r="AS70" s="39"/>
      <c r="AW70" s="39"/>
      <c r="BA70" s="40"/>
    </row>
    <row r="71" spans="1:53" s="29" customFormat="1" x14ac:dyDescent="0.15">
      <c r="A71" s="29">
        <v>2019</v>
      </c>
      <c r="B71" s="277"/>
      <c r="C71" s="411" t="s">
        <v>1391</v>
      </c>
      <c r="D71" s="411"/>
      <c r="E71" s="29">
        <v>0</v>
      </c>
      <c r="G71" s="66">
        <v>10</v>
      </c>
      <c r="I71" s="29">
        <v>5</v>
      </c>
      <c r="J71" s="73">
        <v>15</v>
      </c>
      <c r="K71" s="47">
        <f t="shared" ref="K71:K74" si="36">G71/J71*100</f>
        <v>66.666666666666657</v>
      </c>
      <c r="L71" s="47">
        <f t="shared" ref="L71:L74" si="37">H71/J71*100</f>
        <v>0</v>
      </c>
      <c r="M71" s="47">
        <f t="shared" ref="M71:M74" si="38">I71/J71*100</f>
        <v>33.333333333333329</v>
      </c>
      <c r="N71" s="68">
        <f t="shared" ref="N71:N74" si="39">SUM(K71:M71)</f>
        <v>99.999999999999986</v>
      </c>
      <c r="O71" s="46">
        <v>39</v>
      </c>
      <c r="P71" s="47">
        <v>0</v>
      </c>
      <c r="Q71" s="47">
        <v>7.5</v>
      </c>
      <c r="R71" s="48">
        <f t="shared" ref="R71:R74" si="40">SUM(O71:Q71)</f>
        <v>46.5</v>
      </c>
      <c r="S71" s="29">
        <v>5</v>
      </c>
      <c r="T71" s="286"/>
      <c r="U71" s="277"/>
      <c r="V71" s="38" t="s">
        <v>885</v>
      </c>
      <c r="W71" s="29" t="s">
        <v>1310</v>
      </c>
      <c r="X71" s="29" t="s">
        <v>11</v>
      </c>
      <c r="Y71" s="39">
        <v>39</v>
      </c>
      <c r="Z71" s="29" t="s">
        <v>1074</v>
      </c>
      <c r="AA71" s="29" t="s">
        <v>20</v>
      </c>
      <c r="AB71" s="29" t="s">
        <v>12</v>
      </c>
      <c r="AC71" s="29">
        <v>7.5</v>
      </c>
      <c r="AD71" s="38"/>
      <c r="AG71" s="39"/>
      <c r="AL71" s="38"/>
      <c r="AO71" s="39"/>
      <c r="AP71" s="38"/>
      <c r="AS71" s="39"/>
      <c r="AW71" s="39"/>
      <c r="BA71" s="40"/>
    </row>
    <row r="72" spans="1:53" s="29" customFormat="1" x14ac:dyDescent="0.15">
      <c r="A72" s="29">
        <v>2019</v>
      </c>
      <c r="B72" s="277"/>
      <c r="C72" s="411" t="s">
        <v>1391</v>
      </c>
      <c r="D72" s="411"/>
      <c r="E72" s="29">
        <v>365</v>
      </c>
      <c r="F72" s="40"/>
      <c r="G72" s="29">
        <v>10</v>
      </c>
      <c r="I72" s="29">
        <v>5</v>
      </c>
      <c r="J72" s="73">
        <v>15</v>
      </c>
      <c r="K72" s="47">
        <f t="shared" si="36"/>
        <v>66.666666666666657</v>
      </c>
      <c r="L72" s="47">
        <f t="shared" si="37"/>
        <v>0</v>
      </c>
      <c r="M72" s="47">
        <f t="shared" si="38"/>
        <v>33.333333333333329</v>
      </c>
      <c r="N72" s="68">
        <f t="shared" si="39"/>
        <v>99.999999999999986</v>
      </c>
      <c r="O72" s="46">
        <v>39</v>
      </c>
      <c r="P72" s="47">
        <v>0</v>
      </c>
      <c r="Q72" s="47">
        <v>7.5</v>
      </c>
      <c r="R72" s="48">
        <f t="shared" si="40"/>
        <v>46.5</v>
      </c>
      <c r="S72" s="29">
        <v>5</v>
      </c>
      <c r="T72" s="286"/>
      <c r="U72" s="277"/>
      <c r="V72" s="38" t="s">
        <v>885</v>
      </c>
      <c r="W72" s="29" t="s">
        <v>1310</v>
      </c>
      <c r="X72" s="29" t="s">
        <v>11</v>
      </c>
      <c r="Y72" s="39">
        <v>39</v>
      </c>
      <c r="Z72" s="29" t="s">
        <v>1074</v>
      </c>
      <c r="AA72" s="29" t="s">
        <v>20</v>
      </c>
      <c r="AB72" s="29" t="s">
        <v>12</v>
      </c>
      <c r="AC72" s="29">
        <v>7.5</v>
      </c>
      <c r="AD72" s="38"/>
      <c r="AG72" s="39"/>
      <c r="AK72" s="39"/>
      <c r="AO72" s="39"/>
      <c r="AP72" s="38"/>
      <c r="AS72" s="39"/>
      <c r="AW72" s="39"/>
      <c r="BA72" s="40"/>
    </row>
    <row r="73" spans="1:53" s="29" customFormat="1" x14ac:dyDescent="0.15">
      <c r="A73" s="29">
        <v>2020</v>
      </c>
      <c r="B73" s="277"/>
      <c r="C73" s="411" t="s">
        <v>1391</v>
      </c>
      <c r="D73" s="411"/>
      <c r="E73" s="29">
        <v>0</v>
      </c>
      <c r="F73" s="40"/>
      <c r="G73" s="29">
        <v>10</v>
      </c>
      <c r="I73" s="29">
        <v>5</v>
      </c>
      <c r="J73" s="73">
        <v>15</v>
      </c>
      <c r="K73" s="47">
        <f t="shared" si="36"/>
        <v>66.666666666666657</v>
      </c>
      <c r="L73" s="47">
        <f t="shared" si="37"/>
        <v>0</v>
      </c>
      <c r="M73" s="47">
        <f t="shared" si="38"/>
        <v>33.333333333333329</v>
      </c>
      <c r="N73" s="68">
        <f t="shared" si="39"/>
        <v>99.999999999999986</v>
      </c>
      <c r="O73" s="46">
        <v>39</v>
      </c>
      <c r="P73" s="47">
        <v>0</v>
      </c>
      <c r="Q73" s="47">
        <v>7.5</v>
      </c>
      <c r="R73" s="48">
        <f t="shared" si="40"/>
        <v>46.5</v>
      </c>
      <c r="S73" s="37">
        <v>5</v>
      </c>
      <c r="T73" s="286"/>
      <c r="U73" s="277"/>
      <c r="V73" s="38" t="s">
        <v>885</v>
      </c>
      <c r="W73" s="29" t="s">
        <v>1310</v>
      </c>
      <c r="X73" s="29" t="s">
        <v>11</v>
      </c>
      <c r="Y73" s="39">
        <v>39</v>
      </c>
      <c r="Z73" s="29" t="s">
        <v>1074</v>
      </c>
      <c r="AA73" s="29" t="s">
        <v>20</v>
      </c>
      <c r="AB73" s="29" t="s">
        <v>12</v>
      </c>
      <c r="AC73" s="39">
        <v>7.5</v>
      </c>
      <c r="AG73" s="39"/>
      <c r="AK73" s="39"/>
      <c r="AO73" s="39"/>
      <c r="AS73" s="39"/>
      <c r="AW73" s="39"/>
      <c r="BA73" s="40"/>
    </row>
    <row r="74" spans="1:53" s="29" customFormat="1" x14ac:dyDescent="0.15">
      <c r="A74" s="29">
        <v>2020</v>
      </c>
      <c r="B74" s="277"/>
      <c r="C74" s="411" t="s">
        <v>1391</v>
      </c>
      <c r="D74" s="411"/>
      <c r="E74" s="29">
        <v>366</v>
      </c>
      <c r="F74" s="40"/>
      <c r="G74" s="29">
        <v>10</v>
      </c>
      <c r="I74" s="29">
        <v>5</v>
      </c>
      <c r="J74" s="73">
        <v>15</v>
      </c>
      <c r="K74" s="47">
        <f t="shared" si="36"/>
        <v>66.666666666666657</v>
      </c>
      <c r="L74" s="47">
        <f t="shared" si="37"/>
        <v>0</v>
      </c>
      <c r="M74" s="47">
        <f t="shared" si="38"/>
        <v>33.333333333333329</v>
      </c>
      <c r="N74" s="68">
        <f t="shared" si="39"/>
        <v>99.999999999999986</v>
      </c>
      <c r="O74" s="46">
        <v>39</v>
      </c>
      <c r="P74" s="47">
        <v>0</v>
      </c>
      <c r="Q74" s="47">
        <v>7.5</v>
      </c>
      <c r="R74" s="48">
        <f t="shared" si="40"/>
        <v>46.5</v>
      </c>
      <c r="S74" s="37">
        <v>5</v>
      </c>
      <c r="T74" s="286"/>
      <c r="U74" s="277"/>
      <c r="V74" s="38" t="s">
        <v>885</v>
      </c>
      <c r="W74" s="29" t="s">
        <v>1310</v>
      </c>
      <c r="X74" s="29" t="s">
        <v>11</v>
      </c>
      <c r="Y74" s="39">
        <v>39</v>
      </c>
      <c r="Z74" s="29" t="s">
        <v>1074</v>
      </c>
      <c r="AA74" s="29" t="s">
        <v>20</v>
      </c>
      <c r="AB74" s="29" t="s">
        <v>12</v>
      </c>
      <c r="AC74" s="39">
        <v>7.5</v>
      </c>
      <c r="AG74" s="39"/>
      <c r="AK74" s="39"/>
      <c r="AO74" s="39"/>
      <c r="AS74" s="39"/>
      <c r="AW74" s="39"/>
      <c r="BA74" s="40"/>
    </row>
    <row r="75" spans="1:53" x14ac:dyDescent="0.15">
      <c r="B75" s="339"/>
      <c r="J75" s="26"/>
      <c r="K75" s="12"/>
      <c r="L75" s="12"/>
      <c r="M75" s="12"/>
      <c r="N75" s="20"/>
      <c r="O75" s="12"/>
      <c r="P75" s="12"/>
      <c r="Q75" s="12"/>
      <c r="R75" s="20"/>
      <c r="T75" s="340"/>
      <c r="U75" s="339"/>
      <c r="AG75" s="17"/>
    </row>
    <row r="76" spans="1:53" x14ac:dyDescent="0.15">
      <c r="C76" s="415"/>
      <c r="D76" s="415"/>
      <c r="K76" s="12"/>
      <c r="L76" s="12"/>
      <c r="M76" s="12"/>
      <c r="N76" s="20"/>
    </row>
    <row r="77" spans="1:53" ht="18" customHeight="1" x14ac:dyDescent="0.15">
      <c r="B77" s="16" t="s">
        <v>1264</v>
      </c>
    </row>
    <row r="78" spans="1:53" ht="9" customHeight="1" x14ac:dyDescent="0.15"/>
    <row r="79" spans="1:53" s="195" customFormat="1" ht="9" customHeight="1" x14ac:dyDescent="0.15">
      <c r="A79" s="193"/>
      <c r="B79" s="194" t="s">
        <v>1215</v>
      </c>
      <c r="C79" s="194"/>
      <c r="D79" s="194"/>
      <c r="E79" s="194"/>
      <c r="F79" s="194"/>
      <c r="G79" s="194" t="s">
        <v>1216</v>
      </c>
      <c r="H79" s="194"/>
      <c r="I79" s="194"/>
      <c r="J79" s="194"/>
      <c r="K79" s="194"/>
      <c r="L79" s="194"/>
      <c r="M79" s="194"/>
      <c r="N79" s="194"/>
      <c r="R79" s="388" t="s">
        <v>1217</v>
      </c>
      <c r="S79" s="388"/>
      <c r="T79" s="388"/>
      <c r="U79" s="388"/>
      <c r="V79" s="388"/>
      <c r="W79" s="388"/>
      <c r="X79" s="196"/>
      <c r="Y79" s="196"/>
      <c r="AA79" s="196"/>
      <c r="AB79" s="196"/>
      <c r="AC79" s="196"/>
      <c r="AD79" s="196"/>
    </row>
    <row r="80" spans="1:53" s="200" customFormat="1" ht="9" customHeight="1" x14ac:dyDescent="0.15">
      <c r="A80" s="197"/>
      <c r="B80" s="198" t="s">
        <v>1219</v>
      </c>
      <c r="C80" s="199"/>
      <c r="D80" s="199"/>
      <c r="E80" s="199"/>
      <c r="F80" s="199"/>
      <c r="G80" s="198" t="s">
        <v>1218</v>
      </c>
      <c r="H80" s="199"/>
      <c r="I80" s="199"/>
      <c r="J80" s="199"/>
      <c r="K80" s="199"/>
      <c r="L80" s="199"/>
      <c r="M80" s="199"/>
      <c r="N80" s="199"/>
      <c r="R80" s="201" t="s">
        <v>1220</v>
      </c>
      <c r="S80" s="202"/>
      <c r="T80" s="203"/>
      <c r="U80" s="203"/>
      <c r="V80" s="203"/>
      <c r="W80" s="201" t="s">
        <v>1221</v>
      </c>
      <c r="X80" s="203"/>
      <c r="Y80" s="203"/>
      <c r="AA80" s="203"/>
      <c r="AB80" s="203"/>
      <c r="AC80" s="203"/>
      <c r="AD80" s="203"/>
    </row>
    <row r="81" spans="1:25" s="186" customFormat="1" ht="12" customHeight="1" x14ac:dyDescent="0.15">
      <c r="A81" s="204" t="s">
        <v>3</v>
      </c>
      <c r="B81" s="205" t="s">
        <v>8</v>
      </c>
      <c r="C81" s="205" t="s">
        <v>9</v>
      </c>
      <c r="D81" s="205" t="s">
        <v>10</v>
      </c>
      <c r="E81" s="206" t="s">
        <v>1195</v>
      </c>
      <c r="F81" s="205"/>
      <c r="G81" s="186" t="s">
        <v>3</v>
      </c>
      <c r="H81" s="389" t="s">
        <v>0</v>
      </c>
      <c r="I81" s="389"/>
      <c r="J81" s="389" t="s">
        <v>1</v>
      </c>
      <c r="K81" s="389"/>
      <c r="L81" s="389" t="s">
        <v>2</v>
      </c>
      <c r="M81" s="389"/>
      <c r="N81" s="390" t="s">
        <v>1195</v>
      </c>
      <c r="O81" s="390"/>
      <c r="P81" s="207"/>
      <c r="Q81" s="207"/>
      <c r="R81" s="208" t="s">
        <v>3</v>
      </c>
      <c r="S81" s="209" t="s">
        <v>135</v>
      </c>
      <c r="T81" s="207" t="s">
        <v>133</v>
      </c>
      <c r="U81" s="205" t="s">
        <v>134</v>
      </c>
      <c r="V81" s="207"/>
      <c r="W81" s="210" t="s">
        <v>26</v>
      </c>
    </row>
    <row r="82" spans="1:25" x14ac:dyDescent="0.15">
      <c r="A82" s="1">
        <v>1990</v>
      </c>
      <c r="B82" s="5">
        <f>(K7*($E7/189))</f>
        <v>47.619047619047613</v>
      </c>
      <c r="C82" s="5">
        <f>(L7*($E7/189))</f>
        <v>14.285714285714285</v>
      </c>
      <c r="D82" s="5">
        <f>(M7*($E7/189))</f>
        <v>0</v>
      </c>
      <c r="E82" s="18">
        <f>SUM(B82:D82)</f>
        <v>61.904761904761898</v>
      </c>
      <c r="G82" s="1">
        <v>1990</v>
      </c>
      <c r="H82" s="387">
        <f>(O7/$R7*100*($E7/189))</f>
        <v>75.903614457831324</v>
      </c>
      <c r="I82" s="387"/>
      <c r="J82" s="387">
        <f>(P7/$R7*100*($E7/189))</f>
        <v>24.096385542168676</v>
      </c>
      <c r="K82" s="387"/>
      <c r="L82" s="387">
        <f>(Q7/$R7*100*($E7/189))</f>
        <v>0</v>
      </c>
      <c r="M82" s="387"/>
      <c r="N82" s="379">
        <f>SUM(H82:M82)</f>
        <v>100</v>
      </c>
      <c r="O82" s="379"/>
      <c r="R82" s="1">
        <v>1990</v>
      </c>
      <c r="S82" s="5">
        <f>(O7*($E7/189))</f>
        <v>63</v>
      </c>
      <c r="T82" s="5">
        <f>(P7*($E7/189))</f>
        <v>20</v>
      </c>
      <c r="U82" s="5">
        <f>(Q7*($E7/189))</f>
        <v>0</v>
      </c>
      <c r="W82" s="10">
        <f>SUM(S82:U82)</f>
        <v>83</v>
      </c>
      <c r="Y82" s="28" t="s">
        <v>1139</v>
      </c>
    </row>
    <row r="83" spans="1:25" x14ac:dyDescent="0.15">
      <c r="A83" s="1">
        <v>1991</v>
      </c>
      <c r="B83" s="5">
        <f>(K8*($E8/365))+(K9*($E9/365))</f>
        <v>47.619047619047613</v>
      </c>
      <c r="C83" s="5">
        <f>(L8*($E8/365))+(L9*($E9/365))</f>
        <v>14.285714285714285</v>
      </c>
      <c r="D83" s="5">
        <f>(M8*($E8/365))+(M9*($E9/365))</f>
        <v>0</v>
      </c>
      <c r="E83" s="18">
        <f t="shared" ref="E83:E104" si="41">SUM(B83:D83)</f>
        <v>61.904761904761898</v>
      </c>
      <c r="G83" s="1">
        <v>1991</v>
      </c>
      <c r="H83" s="380">
        <f>(O8/$R8*100*($E8/365))+(O9/$R9*100*($E9/365))</f>
        <v>75.903614457831324</v>
      </c>
      <c r="I83" s="380"/>
      <c r="J83" s="380">
        <f>(P8/$R8*100*($E8/365))+(P9/$R9*100*($E9/365))</f>
        <v>24.096385542168676</v>
      </c>
      <c r="K83" s="380"/>
      <c r="L83" s="380">
        <f>(Q8/$R8*100*($E8/365))+(Q9/$R9*100*($E9/365))</f>
        <v>0</v>
      </c>
      <c r="M83" s="380"/>
      <c r="N83" s="379">
        <f t="shared" ref="N83:N104" si="42">SUM(H83:M83)</f>
        <v>100</v>
      </c>
      <c r="O83" s="379"/>
      <c r="R83" s="1">
        <v>1991</v>
      </c>
      <c r="S83" s="5">
        <f>(O8*($E8/365))+(O9*($E9/365))</f>
        <v>63</v>
      </c>
      <c r="T83" s="5">
        <f>(P8*($E8/365))+(P9*($E9/365))</f>
        <v>20</v>
      </c>
      <c r="U83" s="5">
        <f>(Q8*($E8/365))+(Q9*($E9/365))</f>
        <v>0</v>
      </c>
      <c r="W83" s="10">
        <f t="shared" ref="W83:W104" si="43">SUM(S83:U83)</f>
        <v>83</v>
      </c>
    </row>
    <row r="84" spans="1:25" x14ac:dyDescent="0.15">
      <c r="A84" s="1">
        <v>1992</v>
      </c>
      <c r="B84" s="5">
        <f>(K10*($E10/366))+(K11*($E11/366))</f>
        <v>63.19761151512661</v>
      </c>
      <c r="C84" s="5">
        <f>(L10*($E10/366))+(L11*($E11/366))</f>
        <v>17.650684087267347</v>
      </c>
      <c r="D84" s="5">
        <f>(M10*($E10/366))+(M11*($E11/366))</f>
        <v>0</v>
      </c>
      <c r="E84" s="18">
        <f t="shared" si="41"/>
        <v>80.848295602393961</v>
      </c>
      <c r="G84" s="1">
        <v>1992</v>
      </c>
      <c r="H84" s="380">
        <f>(O10/$R10*100*($E10/366))+(O11/$R11*100*($E11/366))</f>
        <v>80.78214497333596</v>
      </c>
      <c r="I84" s="380"/>
      <c r="J84" s="380">
        <f>(P10/$R10*100*($E10/366))+(P11/$R11*100*($E11/366))</f>
        <v>19.217855026664033</v>
      </c>
      <c r="K84" s="380"/>
      <c r="L84" s="380">
        <f>(Q10/$R10*100*($E10/366))+(Q11/$R11*100*($E11/366))</f>
        <v>0</v>
      </c>
      <c r="M84" s="380"/>
      <c r="N84" s="379">
        <f t="shared" si="42"/>
        <v>100</v>
      </c>
      <c r="O84" s="379"/>
      <c r="R84" s="1">
        <v>1992</v>
      </c>
      <c r="S84" s="5">
        <f>(O10*($E10/366))+(O11*($E11/366))</f>
        <v>54.049180327868854</v>
      </c>
      <c r="T84" s="5">
        <f>(P10*($E10/366))+(P11*($E11/366))</f>
        <v>13.784153005464482</v>
      </c>
      <c r="U84" s="5">
        <f>(Q10*($E10/366))+(Q11*($E11/366))</f>
        <v>0</v>
      </c>
      <c r="W84" s="10">
        <f t="shared" si="43"/>
        <v>67.833333333333343</v>
      </c>
    </row>
    <row r="85" spans="1:25" x14ac:dyDescent="0.15">
      <c r="A85" s="1">
        <v>1993</v>
      </c>
      <c r="B85" s="5">
        <f>(K12*($E12/365))+(K13*($E13/365))</f>
        <v>78.94736842105263</v>
      </c>
      <c r="C85" s="5">
        <f>(L12*($E12/365))+(L13*($E13/365))</f>
        <v>21.052631578947366</v>
      </c>
      <c r="D85" s="5">
        <f>(M12*($E12/365))+(M13*($E13/365))</f>
        <v>0</v>
      </c>
      <c r="E85" s="18">
        <f t="shared" si="41"/>
        <v>100</v>
      </c>
      <c r="G85" s="1">
        <v>1993</v>
      </c>
      <c r="H85" s="380">
        <f>(O12/$R12*100*($E12/365))+(O13/$R13*100*($E13/365))</f>
        <v>85.714285714285708</v>
      </c>
      <c r="I85" s="380"/>
      <c r="J85" s="380">
        <f>(P12/$R12*100*($E12/365))+(P13/$R13*100*($E13/365))</f>
        <v>14.285714285714285</v>
      </c>
      <c r="K85" s="380"/>
      <c r="L85" s="380">
        <f>(Q12/$R12*100*($E12/365))+(Q13/$R13*100*($E13/365))</f>
        <v>0</v>
      </c>
      <c r="M85" s="380"/>
      <c r="N85" s="379">
        <f t="shared" si="42"/>
        <v>100</v>
      </c>
      <c r="O85" s="379"/>
      <c r="R85" s="1">
        <v>1993</v>
      </c>
      <c r="S85" s="5">
        <f>(O12*($E12/365))+(O13*($E13/365))</f>
        <v>45</v>
      </c>
      <c r="T85" s="5">
        <f>(P12*($E12/365))+(P13*($E13/365))</f>
        <v>7.5</v>
      </c>
      <c r="U85" s="5">
        <f>(Q12*($E12/365))+(Q13*($E13/365))</f>
        <v>0</v>
      </c>
      <c r="W85" s="10">
        <f t="shared" si="43"/>
        <v>52.5</v>
      </c>
    </row>
    <row r="86" spans="1:25" x14ac:dyDescent="0.15">
      <c r="A86" s="1">
        <v>1994</v>
      </c>
      <c r="B86" s="5">
        <f>(K14*($E14/365))+(K15*($E15/365))</f>
        <v>78.94736842105263</v>
      </c>
      <c r="C86" s="5">
        <f>(L14*($E14/365))+(L15*($E15/365))</f>
        <v>16.020187454938714</v>
      </c>
      <c r="D86" s="5">
        <f>(M14*($E14/365))+(M15*($E15/365))</f>
        <v>0</v>
      </c>
      <c r="E86" s="18">
        <f t="shared" si="41"/>
        <v>94.967555875991337</v>
      </c>
      <c r="G86" s="1">
        <v>1994</v>
      </c>
      <c r="H86" s="380">
        <f>(O14/$R14*100*($E14/365))+(O15/$R15*100*($E15/365))</f>
        <v>85.714285714285694</v>
      </c>
      <c r="I86" s="380"/>
      <c r="J86" s="380">
        <f>(P14/$R14*100*($E14/365))+(P15/$R15*100*($E15/365))</f>
        <v>14.285714285714285</v>
      </c>
      <c r="K86" s="380"/>
      <c r="L86" s="380">
        <f>(Q14/$R14*100*($E14/365))+(Q15/$R15*100*($E15/365))</f>
        <v>0</v>
      </c>
      <c r="M86" s="380"/>
      <c r="N86" s="379">
        <f t="shared" si="42"/>
        <v>99.999999999999972</v>
      </c>
      <c r="O86" s="379"/>
      <c r="R86" s="1">
        <v>1994</v>
      </c>
      <c r="S86" s="5">
        <f>(O14*($E14/365))+(O15*($E15/365))</f>
        <v>45</v>
      </c>
      <c r="T86" s="5">
        <f>(P14*($E14/365))+(P15*($E15/365))</f>
        <v>7.5</v>
      </c>
      <c r="U86" s="5">
        <f>(Q14*($E14/365))+(Q15*($E15/365))</f>
        <v>0</v>
      </c>
      <c r="W86" s="10">
        <f t="shared" si="43"/>
        <v>52.5</v>
      </c>
    </row>
    <row r="87" spans="1:25" x14ac:dyDescent="0.15">
      <c r="A87" s="1">
        <v>1995</v>
      </c>
      <c r="B87" s="5">
        <f>(K16*($E16/365))+(K17*($E17/365))</f>
        <v>78.94736842105263</v>
      </c>
      <c r="C87" s="5">
        <f>(L16*($E16/365))+(L17*($E17/365))</f>
        <v>15.789473684210526</v>
      </c>
      <c r="D87" s="5">
        <f>(M16*($E16/365))+(M17*($E17/365))</f>
        <v>0</v>
      </c>
      <c r="E87" s="18">
        <f t="shared" si="41"/>
        <v>94.73684210526315</v>
      </c>
      <c r="G87" s="1">
        <v>1995</v>
      </c>
      <c r="H87" s="380">
        <f>(O16/$R16*100*($E16/365))+(O17/$R17*100*($E17/365))</f>
        <v>85.714285714285708</v>
      </c>
      <c r="I87" s="380"/>
      <c r="J87" s="380">
        <f>(P16/$R16*100*($E16/365))+(P17/$R17*100*($E17/365))</f>
        <v>14.285714285714285</v>
      </c>
      <c r="K87" s="380"/>
      <c r="L87" s="380">
        <f>(Q16/$R16*100*($E16/365))+(Q17/$R17*100*($E17/365))</f>
        <v>0</v>
      </c>
      <c r="M87" s="380"/>
      <c r="N87" s="379">
        <f t="shared" si="42"/>
        <v>100</v>
      </c>
      <c r="O87" s="379"/>
      <c r="R87" s="1">
        <v>1995</v>
      </c>
      <c r="S87" s="5">
        <f>(O16*($E16/365))+(O17*($E17/365))</f>
        <v>45</v>
      </c>
      <c r="T87" s="5">
        <f>(P16*($E16/365))+(P17*($E17/365))</f>
        <v>7.5</v>
      </c>
      <c r="U87" s="5">
        <f>(Q16*($E16/365))+(Q17*($E17/365))</f>
        <v>0</v>
      </c>
      <c r="W87" s="10">
        <f t="shared" si="43"/>
        <v>52.5</v>
      </c>
    </row>
    <row r="88" spans="1:25" x14ac:dyDescent="0.15">
      <c r="A88" s="1">
        <v>1996</v>
      </c>
      <c r="B88" s="5">
        <f>(K18*($E18/366))+(K19*($E19/366))</f>
        <v>77.221742881794654</v>
      </c>
      <c r="C88" s="5">
        <f>(L18*($E18/366))+(L19*($E19/366))</f>
        <v>19.815933275812483</v>
      </c>
      <c r="D88" s="5">
        <f>(M18*($E18/366))+(M19*($E19/366))</f>
        <v>0</v>
      </c>
      <c r="E88" s="18">
        <f t="shared" si="41"/>
        <v>97.037676157607137</v>
      </c>
      <c r="G88" s="1">
        <v>1996</v>
      </c>
      <c r="H88" s="380">
        <f>(O18/$R18*100*($E18/366))+(O19/$R19*100*($E19/366))</f>
        <v>84.011070896316795</v>
      </c>
      <c r="I88" s="380"/>
      <c r="J88" s="380">
        <f>(P18/$R18*100*($E18/366))+(P19/$R19*100*($E19/366))</f>
        <v>15.988929103683201</v>
      </c>
      <c r="K88" s="380"/>
      <c r="L88" s="380">
        <f>(Q18/$R18*100*($E18/366))+(Q19/$R19*100*($E19/366))</f>
        <v>0</v>
      </c>
      <c r="M88" s="380"/>
      <c r="N88" s="379">
        <f t="shared" si="42"/>
        <v>100</v>
      </c>
      <c r="O88" s="379"/>
      <c r="R88" s="1">
        <v>1996</v>
      </c>
      <c r="S88" s="5">
        <f>(O18*($E18/366))+(O19*($E19/366))</f>
        <v>43.032786885245898</v>
      </c>
      <c r="T88" s="5">
        <f>(P18*($E18/366))+(P19*($E19/366))</f>
        <v>8.1557377049180317</v>
      </c>
      <c r="U88" s="5">
        <f>(Q18*($E18/366))+(Q19*($E19/366))</f>
        <v>0</v>
      </c>
      <c r="W88" s="10">
        <f t="shared" si="43"/>
        <v>51.188524590163929</v>
      </c>
    </row>
    <row r="89" spans="1:25" x14ac:dyDescent="0.15">
      <c r="A89" s="1">
        <v>1997</v>
      </c>
      <c r="B89" s="5">
        <f>(K20*($E20/365))+(K21*($E21/365))</f>
        <v>74.075342465753423</v>
      </c>
      <c r="C89" s="5">
        <f>(L20*($E20/365))+(L21*($E21/365))</f>
        <v>25.000000000000004</v>
      </c>
      <c r="D89" s="5">
        <f>(M20*($E20/365))+(M21*($E21/365))</f>
        <v>0</v>
      </c>
      <c r="E89" s="18">
        <f t="shared" si="41"/>
        <v>99.075342465753423</v>
      </c>
      <c r="G89" s="1">
        <v>1997</v>
      </c>
      <c r="H89" s="380">
        <f>(O20/$R20*100*($E20/365))+(O21/$R21*100*($E21/365))</f>
        <v>81.818181818181827</v>
      </c>
      <c r="I89" s="380"/>
      <c r="J89" s="380">
        <f>(P20/$R20*100*($E20/365))+(P21/$R21*100*($E21/365))</f>
        <v>18.181818181818183</v>
      </c>
      <c r="K89" s="380"/>
      <c r="L89" s="380">
        <f>(Q20/$R20*100*($E20/365))+(Q21/$R21*100*($E21/365))</f>
        <v>0</v>
      </c>
      <c r="M89" s="380"/>
      <c r="N89" s="379">
        <f t="shared" si="42"/>
        <v>100.00000000000001</v>
      </c>
      <c r="O89" s="379"/>
      <c r="R89" s="1">
        <v>1997</v>
      </c>
      <c r="S89" s="5">
        <f>(O20*($E20/365))+(O21*($E21/365))</f>
        <v>40.5</v>
      </c>
      <c r="T89" s="5">
        <f>(P20*($E20/365))+(P21*($E21/365))</f>
        <v>9</v>
      </c>
      <c r="U89" s="5">
        <f>(Q20*($E20/365))+(Q21*($E21/365))</f>
        <v>0</v>
      </c>
      <c r="W89" s="10">
        <f t="shared" si="43"/>
        <v>49.5</v>
      </c>
    </row>
    <row r="90" spans="1:25" x14ac:dyDescent="0.15">
      <c r="A90" s="1">
        <v>1998</v>
      </c>
      <c r="B90" s="5">
        <f>(K22*($E22/365))+(K23*($E23/365))+(K24*($E24/365))</f>
        <v>27.986502820306207</v>
      </c>
      <c r="C90" s="5">
        <f>(L22*($E22/365))+(L23*($E23/365))+(L24*($E24/365))</f>
        <v>11.663980660757456</v>
      </c>
      <c r="D90" s="5">
        <f>(M22*($E22/365))+(M23*($E23/365))+(M24*($E24/365))</f>
        <v>35.039653929343906</v>
      </c>
      <c r="E90" s="18">
        <f t="shared" si="41"/>
        <v>74.690137410407573</v>
      </c>
      <c r="G90" s="1">
        <v>1998</v>
      </c>
      <c r="H90" s="380">
        <f>(O22/$R22*100*($E22/365))+(O23/$R23*100*($E23/365))+(O24/$R24*100*($E24/365))</f>
        <v>51.556662515566636</v>
      </c>
      <c r="I90" s="380"/>
      <c r="J90" s="380">
        <f>(P22/$R22*100*($E22/365))+(P23/$R23*100*($E23/365))+(P24/$R24*100*($E24/365))</f>
        <v>11.457036114570363</v>
      </c>
      <c r="K90" s="380"/>
      <c r="L90" s="380">
        <f>(Q22/$R22*100*($E22/365))+(Q23/$R23*100*($E23/365))+(Q24/$R24*100*($E24/365))</f>
        <v>36.986301369863014</v>
      </c>
      <c r="M90" s="380"/>
      <c r="N90" s="379">
        <f t="shared" si="42"/>
        <v>100.00000000000001</v>
      </c>
      <c r="O90" s="379"/>
      <c r="R90" s="1">
        <v>1998</v>
      </c>
      <c r="S90" s="5">
        <f>(O22*($E22/365))+(O23*($E23/365))+(O24*($E24/365))</f>
        <v>25.520547945205482</v>
      </c>
      <c r="T90" s="5">
        <f>(P22*($E22/365))+(P23*($E23/365))+(P24*($E24/365))</f>
        <v>5.6712328767123292</v>
      </c>
      <c r="U90" s="5">
        <f>(Q22*($E22/365))+(Q23*($E23/365))+(Q24*($E24/365))</f>
        <v>13.684931506849315</v>
      </c>
      <c r="W90" s="10">
        <f t="shared" si="43"/>
        <v>44.876712328767127</v>
      </c>
    </row>
    <row r="91" spans="1:25" x14ac:dyDescent="0.15">
      <c r="A91" s="1">
        <v>1999</v>
      </c>
      <c r="B91" s="5">
        <f>(K25*($E25/365))+(K26*($E26/365))+(K27*($E27/365))</f>
        <v>0</v>
      </c>
      <c r="C91" s="5">
        <f>(L25*($E25/365))+(L26*($E26/365))+(L27*($E27/365))</f>
        <v>0</v>
      </c>
      <c r="D91" s="5">
        <f>(M25*($E25/365))+(M26*($E26/365))+(M27*($E27/365))</f>
        <v>94.575116275782122</v>
      </c>
      <c r="E91" s="18">
        <f t="shared" si="41"/>
        <v>94.575116275782122</v>
      </c>
      <c r="G91" s="1">
        <v>1999</v>
      </c>
      <c r="H91" s="380">
        <f>(O25/$R25*100*($E25/365))+(O26/$R26*100*($E26/365))+(O27/$R27*100*($E27/365))</f>
        <v>0</v>
      </c>
      <c r="I91" s="380"/>
      <c r="J91" s="380">
        <f>(P25/$R25*100*($E25/365))+(P26/$R26*100*($E26/365))+(P27/$R27*100*($E27/365))</f>
        <v>0</v>
      </c>
      <c r="K91" s="380"/>
      <c r="L91" s="380">
        <f>(Q25/$R25*100*($E25/365))+(Q26/$R26*100*($E26/365))+(Q27/$R27*100*($E27/365))</f>
        <v>100</v>
      </c>
      <c r="M91" s="380"/>
      <c r="N91" s="379">
        <f t="shared" si="42"/>
        <v>100</v>
      </c>
      <c r="O91" s="379"/>
      <c r="R91" s="1">
        <v>1999</v>
      </c>
      <c r="S91" s="5">
        <f>(O25*($E25/365))+(O26*($E26/365))+(O27*($E27/365))</f>
        <v>0</v>
      </c>
      <c r="T91" s="5">
        <f>(P25*($E25/365))+(P26*($E26/365))+(P27*($E27/365))</f>
        <v>0</v>
      </c>
      <c r="U91" s="5">
        <f>(Q25*($E25/365))+(Q26*($E26/365))+(Q27*($E27/365))</f>
        <v>37</v>
      </c>
      <c r="W91" s="10">
        <f t="shared" si="43"/>
        <v>37</v>
      </c>
    </row>
    <row r="92" spans="1:25" x14ac:dyDescent="0.15">
      <c r="A92" s="1">
        <v>2000</v>
      </c>
      <c r="B92" s="5">
        <f>(K28*($E28/366))+(K29*($E29/366))</f>
        <v>0</v>
      </c>
      <c r="C92" s="5">
        <f>(L28*($E28/366))+(L29*($E29/366))</f>
        <v>0</v>
      </c>
      <c r="D92" s="5">
        <f>(M28*($E28/366))+(M29*($E29/366))</f>
        <v>94.117647058823522</v>
      </c>
      <c r="E92" s="18">
        <f t="shared" si="41"/>
        <v>94.117647058823522</v>
      </c>
      <c r="G92" s="1">
        <v>2000</v>
      </c>
      <c r="H92" s="380">
        <f>(O28/$R28*100*($E28/366))+(O29/$R29*100*($E29/366))</f>
        <v>0</v>
      </c>
      <c r="I92" s="380"/>
      <c r="J92" s="380">
        <f>(P28/$R28*100*($E28/366))+(P29/$R29*100*($E29/366))</f>
        <v>0</v>
      </c>
      <c r="K92" s="380"/>
      <c r="L92" s="380">
        <f>(Q28/$R28*100*($E28/366))+(Q29/$R29*100*($E29/366))</f>
        <v>100</v>
      </c>
      <c r="M92" s="380"/>
      <c r="N92" s="379">
        <f t="shared" si="42"/>
        <v>100</v>
      </c>
      <c r="O92" s="379"/>
      <c r="R92" s="1">
        <v>2000</v>
      </c>
      <c r="S92" s="5">
        <f>(O28*($E28/366))+(O29*($E29/366))</f>
        <v>0</v>
      </c>
      <c r="T92" s="5">
        <f>(P28*($E28/366))+(P29*($E29/366))</f>
        <v>0</v>
      </c>
      <c r="U92" s="5">
        <f>(Q28*($E28/366))+(Q29*($E29/366))</f>
        <v>37</v>
      </c>
      <c r="W92" s="10">
        <f t="shared" si="43"/>
        <v>37</v>
      </c>
    </row>
    <row r="93" spans="1:25" x14ac:dyDescent="0.15">
      <c r="A93" s="1">
        <v>2001</v>
      </c>
      <c r="B93" s="5">
        <f>(K30*($E30/365))+(K31*($E31/365))</f>
        <v>0</v>
      </c>
      <c r="C93" s="5">
        <f>(L30*($E30/365))+(L31*($E31/365))</f>
        <v>0</v>
      </c>
      <c r="D93" s="5">
        <f>(M30*($E30/365))+(M31*($E31/365))</f>
        <v>94.117647058823522</v>
      </c>
      <c r="E93" s="18">
        <f t="shared" si="41"/>
        <v>94.117647058823522</v>
      </c>
      <c r="G93" s="1">
        <v>2001</v>
      </c>
      <c r="H93" s="380">
        <f>(O30/$R30*100*($E30/365))+(O31/$R31*100*($E31/365))</f>
        <v>0</v>
      </c>
      <c r="I93" s="380"/>
      <c r="J93" s="380">
        <f>(P30/$R30*100*($E30/365))+(P31/$R31*100*($E31/365))</f>
        <v>0</v>
      </c>
      <c r="K93" s="380"/>
      <c r="L93" s="380">
        <f>(Q30/$R30*100*($E30/365))+(Q31/$R31*100*($E31/365))</f>
        <v>100</v>
      </c>
      <c r="M93" s="380"/>
      <c r="N93" s="379">
        <f t="shared" si="42"/>
        <v>100</v>
      </c>
      <c r="O93" s="379"/>
      <c r="R93" s="1">
        <v>2001</v>
      </c>
      <c r="S93" s="5">
        <f>(O30*($E30/365))+(O31*($E31/365))</f>
        <v>0</v>
      </c>
      <c r="T93" s="5">
        <f>(P30*($E30/365))+(P31*($E31/365))</f>
        <v>0</v>
      </c>
      <c r="U93" s="5">
        <f>(Q30*($E30/365))+(Q31*($E31/365))</f>
        <v>37</v>
      </c>
      <c r="W93" s="10">
        <f t="shared" si="43"/>
        <v>37</v>
      </c>
    </row>
    <row r="94" spans="1:25" x14ac:dyDescent="0.15">
      <c r="A94" s="1">
        <v>2002</v>
      </c>
      <c r="B94" s="5">
        <f>(K32*($E32/365))+(K33*($E33/365))</f>
        <v>8.2191780821917817</v>
      </c>
      <c r="C94" s="5">
        <f>(L32*($E32/365))+(L33*($E33/365))</f>
        <v>8.2191780821917817</v>
      </c>
      <c r="D94" s="5">
        <f>(M32*($E32/365))+(M33*($E33/365))</f>
        <v>80.419016921837226</v>
      </c>
      <c r="E94" s="18">
        <f t="shared" si="41"/>
        <v>96.85737308622079</v>
      </c>
      <c r="G94" s="1">
        <v>2002</v>
      </c>
      <c r="H94" s="380">
        <f>(O32/$R32*100*($E32/365))+(O33/$R33*100*($E33/365))</f>
        <v>4.15027804150278</v>
      </c>
      <c r="I94" s="380"/>
      <c r="J94" s="380">
        <f>(P32/$R32*100*($E32/365))+(P33/$R33*100*($E33/365))</f>
        <v>10.145124101451241</v>
      </c>
      <c r="K94" s="380"/>
      <c r="L94" s="380">
        <f>(Q32/$R32*100*($E32/365))+(Q33/$R33*100*($E33/365))</f>
        <v>85.704597857045968</v>
      </c>
      <c r="M94" s="380"/>
      <c r="N94" s="379">
        <f t="shared" si="42"/>
        <v>99.999999999999986</v>
      </c>
      <c r="O94" s="379"/>
      <c r="R94" s="1">
        <v>2002</v>
      </c>
      <c r="S94" s="5">
        <f>(O32*($E32/365))+(O33*($E33/365))</f>
        <v>2.095890410958904</v>
      </c>
      <c r="T94" s="5">
        <f>(P32*($E32/365))+(P33*($E33/365))</f>
        <v>5.1232876712328768</v>
      </c>
      <c r="U94" s="5">
        <f>(Q32*($E32/365))+(Q33*($E33/365))</f>
        <v>36.06849315068493</v>
      </c>
      <c r="W94" s="10">
        <f t="shared" si="43"/>
        <v>43.287671232876711</v>
      </c>
    </row>
    <row r="95" spans="1:25" x14ac:dyDescent="0.15">
      <c r="A95" s="1">
        <v>2003</v>
      </c>
      <c r="B95" s="5">
        <f>(K34*($E34/365))+(K35*($E35/365))+(K36*($E36/365))</f>
        <v>17.647058823529413</v>
      </c>
      <c r="C95" s="5">
        <f>(L34*($E34/365))+(L35*($E35/365))+(L36*($E36/365))</f>
        <v>17.647058823529413</v>
      </c>
      <c r="D95" s="5">
        <f>(M34*($E34/365))+(M35*($E35/365))+(M36*($E36/365))</f>
        <v>59.661563255439162</v>
      </c>
      <c r="E95" s="18">
        <f t="shared" si="41"/>
        <v>94.955680902497988</v>
      </c>
      <c r="G95" s="1">
        <v>2003</v>
      </c>
      <c r="H95" s="380">
        <f>(O34/$R34*100*($E34/365))+(O35/$R35*100*($E35/365))+(O36/$R36*100*($E36/365))</f>
        <v>8.9108910891089099</v>
      </c>
      <c r="I95" s="380"/>
      <c r="J95" s="380">
        <f>(P34/$R34*100*($E34/365))+(P35/$R35*100*($E35/365))+(P36/$R36*100*($E36/365))</f>
        <v>21.782178217821784</v>
      </c>
      <c r="K95" s="380"/>
      <c r="L95" s="380">
        <f>(Q34/$R34*100*($E34/365))+(Q35/$R35*100*($E35/365))+(Q36/$R36*100*($E36/365))</f>
        <v>69.306930693069305</v>
      </c>
      <c r="M95" s="380"/>
      <c r="N95" s="379">
        <f t="shared" si="42"/>
        <v>100</v>
      </c>
      <c r="O95" s="379"/>
      <c r="R95" s="1">
        <v>2003</v>
      </c>
      <c r="S95" s="5">
        <f>(O34*($E34/365))+(O35*($E35/365))+(O36*($E36/365))</f>
        <v>4.5</v>
      </c>
      <c r="T95" s="5">
        <f>(P34*($E34/365))+(P35*($E35/365))+(P36*($E36/365))</f>
        <v>11</v>
      </c>
      <c r="U95" s="5">
        <f>(Q34*($E34/365))+(Q35*($E35/365))+(Q36*($E36/365))</f>
        <v>35</v>
      </c>
      <c r="W95" s="10">
        <f t="shared" si="43"/>
        <v>50.5</v>
      </c>
    </row>
    <row r="96" spans="1:25" x14ac:dyDescent="0.15">
      <c r="A96" s="1">
        <v>2004</v>
      </c>
      <c r="B96" s="5">
        <f>(K37*($E37/366))+(K38*($E38/366))</f>
        <v>17.245258759241402</v>
      </c>
      <c r="C96" s="5">
        <f>(L37*($E37/366))+(L38*($E38/366))</f>
        <v>17.245258759241402</v>
      </c>
      <c r="D96" s="5">
        <f>(M37*($E37/366))+(M38*($E38/366))</f>
        <v>58.566377370620373</v>
      </c>
      <c r="E96" s="18">
        <f t="shared" si="41"/>
        <v>93.056894889103177</v>
      </c>
      <c r="G96" s="1">
        <v>2004</v>
      </c>
      <c r="H96" s="380">
        <f>(O37/$R37*100*($E37/366))+(O38/$R38*100*($E38/366))</f>
        <v>8.9108910891089099</v>
      </c>
      <c r="I96" s="380"/>
      <c r="J96" s="380">
        <f>(P37/$R37*100*($E37/366))+(P38/$R38*100*($E38/366))</f>
        <v>21.782178217821784</v>
      </c>
      <c r="K96" s="380"/>
      <c r="L96" s="380">
        <f>(Q37/$R37*100*($E37/366))+(Q38/$R38*100*($E38/366))</f>
        <v>69.306930693069305</v>
      </c>
      <c r="M96" s="380"/>
      <c r="N96" s="379">
        <f t="shared" si="42"/>
        <v>100</v>
      </c>
      <c r="O96" s="379"/>
      <c r="R96" s="1">
        <v>2004</v>
      </c>
      <c r="S96" s="5">
        <f>(O37*($E37/366))+(O38*($E38/366))</f>
        <v>4.5</v>
      </c>
      <c r="T96" s="5">
        <f>(P37*($E37/366))+(P38*($E38/366))</f>
        <v>11</v>
      </c>
      <c r="U96" s="5">
        <f>(Q37*($E37/366))+(Q38*($E38/366))</f>
        <v>35</v>
      </c>
      <c r="W96" s="10">
        <f t="shared" si="43"/>
        <v>50.5</v>
      </c>
    </row>
    <row r="97" spans="1:23" x14ac:dyDescent="0.15">
      <c r="A97" s="1">
        <v>2005</v>
      </c>
      <c r="B97" s="5">
        <f>(K39*($E39/365))+(K40*($E40/365))+(K41*($E41/365))+(K42*($E42/365))</f>
        <v>12.84627092846271</v>
      </c>
      <c r="C97" s="5">
        <f>(L39*($E39/365))+(L40*($E40/365))+(L41*($E41/365))+(L42*($E42/365))</f>
        <v>16.666666666666664</v>
      </c>
      <c r="D97" s="5">
        <f>(M39*($E39/365))+(M40*($E40/365))+(M41*($E41/365))+(M42*($E42/365))</f>
        <v>52.237442922374434</v>
      </c>
      <c r="E97" s="18">
        <f>SUM(B97:D97)</f>
        <v>81.7503805175038</v>
      </c>
      <c r="G97" s="1">
        <v>2005</v>
      </c>
      <c r="H97" s="380">
        <f>(O39/$R39*100*($E39/365))+(O40/$R40*100*($E40/365))+(O41/$R41*100*($E41/365))+(O42/$R42*100*($E42/365))</f>
        <v>8.9108910891089099</v>
      </c>
      <c r="I97" s="380"/>
      <c r="J97" s="380">
        <f>(P39/$R39*100*($E39/365))+(P40/$R40*100*($E40/365))+(P41/$R41*100*($E41/365))+(P42/$R42*100*($E42/365))</f>
        <v>21.782178217821784</v>
      </c>
      <c r="K97" s="380"/>
      <c r="L97" s="380">
        <f>(Q39/$R39*100*($E39/365))+(Q40/$R40*100*($E40/365))+(Q41/$R41*100*($E41/365))+(Q42/$R42*100*($E42/365))</f>
        <v>69.306930693069305</v>
      </c>
      <c r="M97" s="380"/>
      <c r="N97" s="379">
        <f t="shared" si="42"/>
        <v>100</v>
      </c>
      <c r="O97" s="379"/>
      <c r="R97" s="1">
        <v>2005</v>
      </c>
      <c r="S97" s="5">
        <f>(O39*($E39/365))+(O40*($E40/365))+(O41*($E41/365))+(O42*($E42/365))</f>
        <v>4.5</v>
      </c>
      <c r="T97" s="5">
        <f>(P39*($E39/365))+(P40*($E40/365))+(P41*($E41/365))+(P42*($E42/365))</f>
        <v>11</v>
      </c>
      <c r="U97" s="5">
        <f>(Q39*($E39/365))+(Q40*($E40/365))+(Q41*($E41/365))+(Q42*($E42/365))</f>
        <v>35</v>
      </c>
      <c r="W97" s="10">
        <f t="shared" si="43"/>
        <v>50.5</v>
      </c>
    </row>
    <row r="98" spans="1:23" x14ac:dyDescent="0.15">
      <c r="A98" s="1">
        <v>2006</v>
      </c>
      <c r="B98" s="5">
        <f>(K43*($E43/365))+(K44*($E44/365))</f>
        <v>27.490733279613213</v>
      </c>
      <c r="C98" s="5">
        <f>(L43*($E43/365))+(L44*($E44/365))</f>
        <v>11.893634165995167</v>
      </c>
      <c r="D98" s="5">
        <f>(M43*($E43/365))+(M44*($E44/365))</f>
        <v>27.751813053988716</v>
      </c>
      <c r="E98" s="18">
        <f t="shared" si="41"/>
        <v>67.136180499597089</v>
      </c>
      <c r="G98" s="1">
        <v>2006</v>
      </c>
      <c r="H98" s="380">
        <f>(O43/$R43*100*($E43/365))+(O44/$R44*100*($E44/365))</f>
        <v>38.608436186084361</v>
      </c>
      <c r="I98" s="380"/>
      <c r="J98" s="380">
        <f>(P43/$R43*100*($E43/365))+(P44/$R44*100*($E44/365))</f>
        <v>14.680591346805915</v>
      </c>
      <c r="K98" s="380"/>
      <c r="L98" s="380">
        <f>(Q43/$R43*100*($E43/365))+(Q44/$R44*100*($E44/365))</f>
        <v>46.710972467109727</v>
      </c>
      <c r="M98" s="380"/>
      <c r="N98" s="379">
        <f t="shared" si="42"/>
        <v>100</v>
      </c>
      <c r="O98" s="379"/>
      <c r="R98" s="1">
        <v>2006</v>
      </c>
      <c r="S98" s="5">
        <f>(O43*($E43/365))+(O44*($E44/365))</f>
        <v>16.236986301369864</v>
      </c>
      <c r="T98" s="5">
        <f>(P43*($E43/365))+(P44*($E44/365))</f>
        <v>7.4136986301369863</v>
      </c>
      <c r="U98" s="5">
        <f>(Q43*($E43/365))+(Q44*($E44/365))</f>
        <v>23.589041095890412</v>
      </c>
      <c r="W98" s="10">
        <f t="shared" si="43"/>
        <v>47.239726027397268</v>
      </c>
    </row>
    <row r="99" spans="1:23" x14ac:dyDescent="0.15">
      <c r="A99" s="1">
        <v>2007</v>
      </c>
      <c r="B99" s="5">
        <f>(K45*($E45/365))+(K46*($E46/365))</f>
        <v>50.219178082191775</v>
      </c>
      <c r="C99" s="5">
        <f>(L45*($E45/365))+(L46*($E46/365))</f>
        <v>21.735159817351597</v>
      </c>
      <c r="D99" s="5">
        <f>(M45*($E45/365))+(M46*($E46/365))</f>
        <v>16.301369863013697</v>
      </c>
      <c r="E99" s="18">
        <f t="shared" si="41"/>
        <v>88.25570776255708</v>
      </c>
      <c r="G99" s="1">
        <v>2007</v>
      </c>
      <c r="H99" s="380">
        <f>(O45/$R45*100*($E45/365))+(O46/$R46*100*($E46/365))</f>
        <v>81.416438356164377</v>
      </c>
      <c r="I99" s="380"/>
      <c r="J99" s="380">
        <f>(P45/$R45*100*($E45/365))+(P46/$R46*100*($E46/365))</f>
        <v>12.715068493150685</v>
      </c>
      <c r="K99" s="380"/>
      <c r="L99" s="380">
        <f>(Q45/$R45*100*($E45/365))+(Q46/$R46*100*($E46/365))</f>
        <v>5.8684931506849312</v>
      </c>
      <c r="M99" s="380"/>
      <c r="N99" s="379">
        <f t="shared" si="42"/>
        <v>99.999999999999986</v>
      </c>
      <c r="O99" s="379"/>
      <c r="R99" s="1">
        <v>2007</v>
      </c>
      <c r="S99" s="5">
        <f>(O45*($E45/365))+(O46*($E46/365))</f>
        <v>40.5</v>
      </c>
      <c r="T99" s="5">
        <f>(P45*($E45/365))+(P46*($E46/365))</f>
        <v>6.3575342465753426</v>
      </c>
      <c r="U99" s="5">
        <f>(Q45*($E45/365))+(Q46*($E46/365))</f>
        <v>2.9342465753424656</v>
      </c>
      <c r="W99" s="10">
        <f t="shared" si="43"/>
        <v>49.791780821917804</v>
      </c>
    </row>
    <row r="100" spans="1:23" x14ac:dyDescent="0.15">
      <c r="A100" s="1">
        <v>2008</v>
      </c>
      <c r="B100" s="5">
        <f>(K47*($E47/366))+(K48*($E48/366))</f>
        <v>50</v>
      </c>
      <c r="C100" s="5">
        <f>(L47*($E47/366))+(L48*($E48/366))</f>
        <v>22.222222222222221</v>
      </c>
      <c r="D100" s="5">
        <f>(M47*($E47/366))+(M48*($E48/366))</f>
        <v>16.666666666666664</v>
      </c>
      <c r="E100" s="18">
        <f t="shared" si="41"/>
        <v>88.888888888888886</v>
      </c>
      <c r="G100" s="1">
        <v>2008</v>
      </c>
      <c r="H100" s="380">
        <f>(O47/$R47*100*($E47/366))+(O48/$R48*100*($E48/366))</f>
        <v>81</v>
      </c>
      <c r="I100" s="380"/>
      <c r="J100" s="380">
        <f>(P47/$R47*100*($E47/366))+(P48/$R48*100*($E48/366))</f>
        <v>13</v>
      </c>
      <c r="K100" s="380"/>
      <c r="L100" s="380">
        <f>(Q47/$R47*100*($E47/366))+(Q48/$R48*100*($E48/366))</f>
        <v>6</v>
      </c>
      <c r="M100" s="380"/>
      <c r="N100" s="379">
        <f t="shared" si="42"/>
        <v>100</v>
      </c>
      <c r="O100" s="379"/>
      <c r="R100" s="1">
        <v>2008</v>
      </c>
      <c r="S100" s="5">
        <f>(O47*($E47/366))+(O48*($E48/366))</f>
        <v>40.5</v>
      </c>
      <c r="T100" s="5">
        <f>(P47*($E47/366))+(P48*($E48/366))</f>
        <v>6.5</v>
      </c>
      <c r="U100" s="5">
        <f>(Q47*($E47/366))+(Q48*($E48/366))</f>
        <v>3</v>
      </c>
      <c r="W100" s="10">
        <f t="shared" si="43"/>
        <v>50</v>
      </c>
    </row>
    <row r="101" spans="1:23" x14ac:dyDescent="0.15">
      <c r="A101" s="1">
        <v>2009</v>
      </c>
      <c r="B101" s="5">
        <f>(K49*($E49/365))+(K50*($E50/365))</f>
        <v>17.397260273972602</v>
      </c>
      <c r="C101" s="5">
        <f>(L49*($E49/365))+(L50*($E50/365))</f>
        <v>7.7321156773211568</v>
      </c>
      <c r="D101" s="5">
        <f>(M49*($E49/365))+(M50*($E50/365))</f>
        <v>5.7990867579908674</v>
      </c>
      <c r="E101" s="18">
        <f t="shared" si="41"/>
        <v>30.928462709284627</v>
      </c>
      <c r="G101" s="1">
        <v>2009</v>
      </c>
      <c r="H101" s="380">
        <f>(O49/$R49*100*($E49/365))</f>
        <v>28.183561643835617</v>
      </c>
      <c r="I101" s="380"/>
      <c r="J101" s="380">
        <f>(P49/$R49*100*($E49/365))</f>
        <v>4.5232876712328771</v>
      </c>
      <c r="K101" s="380"/>
      <c r="L101" s="380">
        <f>(Q49/$R49*100*($E49/365))</f>
        <v>2.0876712328767124</v>
      </c>
      <c r="M101" s="380"/>
      <c r="N101" s="379">
        <f t="shared" si="42"/>
        <v>34.794520547945211</v>
      </c>
      <c r="O101" s="379"/>
      <c r="R101" s="1">
        <v>2009</v>
      </c>
      <c r="S101" s="5">
        <f>(O49*($E49/365))+(O50*($E50/365))</f>
        <v>14.091780821917808</v>
      </c>
      <c r="T101" s="5">
        <f>(P49*($E49/365))+(P50*($E50/365))</f>
        <v>2.2616438356164386</v>
      </c>
      <c r="U101" s="5">
        <f>(Q49*($E49/365))+(Q50*($E50/365))</f>
        <v>1.0438356164383562</v>
      </c>
      <c r="W101" s="10">
        <f t="shared" si="43"/>
        <v>17.397260273972606</v>
      </c>
    </row>
    <row r="102" spans="1:23" x14ac:dyDescent="0.15">
      <c r="A102" s="1">
        <v>2010</v>
      </c>
      <c r="B102" s="5">
        <f>(K51*($E51/365))+(K52*($E52/365))</f>
        <v>43.981735159817347</v>
      </c>
      <c r="C102" s="5">
        <f>(L51*($E51/365))+(L52*($E52/365))</f>
        <v>0</v>
      </c>
      <c r="D102" s="5">
        <f>(M51*($E51/365))+(M52*($E52/365))</f>
        <v>0</v>
      </c>
      <c r="E102" s="18">
        <f t="shared" si="41"/>
        <v>43.981735159817347</v>
      </c>
      <c r="G102" s="1">
        <v>2010</v>
      </c>
      <c r="H102" s="380">
        <f>(O52/$R52*100*($E52/365))</f>
        <v>47.12328767123288</v>
      </c>
      <c r="I102" s="380"/>
      <c r="J102" s="380">
        <f>(P52/$R52*100*($E52/365))</f>
        <v>0</v>
      </c>
      <c r="K102" s="380"/>
      <c r="L102" s="380">
        <f>(Q52/$R52*100*($E52/365))</f>
        <v>0</v>
      </c>
      <c r="M102" s="380"/>
      <c r="N102" s="379">
        <f t="shared" si="42"/>
        <v>47.12328767123288</v>
      </c>
      <c r="O102" s="379"/>
      <c r="R102" s="1">
        <v>2010</v>
      </c>
      <c r="S102" s="5">
        <f>(O51*($E51/365))+(O52*($E52/365))</f>
        <v>27.802739726027397</v>
      </c>
      <c r="T102" s="5">
        <f>(P51*($E51/365))+(P52*($E52/365))</f>
        <v>0</v>
      </c>
      <c r="U102" s="5">
        <f>(Q51*($E51/365))+(Q52*($E52/365))</f>
        <v>0</v>
      </c>
      <c r="W102" s="10">
        <f t="shared" si="43"/>
        <v>27.802739726027397</v>
      </c>
    </row>
    <row r="103" spans="1:23" x14ac:dyDescent="0.15">
      <c r="A103" s="1">
        <v>2011</v>
      </c>
      <c r="B103" s="5">
        <f>(K53*($E53/365))+(K54*($E54/365))</f>
        <v>88.675799086757991</v>
      </c>
      <c r="C103" s="5">
        <f>(L53*($E53/365))+(L54*($E54/365))</f>
        <v>0</v>
      </c>
      <c r="D103" s="5">
        <f>(M53*($E53/365))+(M54*($E54/365))</f>
        <v>0</v>
      </c>
      <c r="E103" s="18">
        <f t="shared" si="41"/>
        <v>88.675799086757991</v>
      </c>
      <c r="G103" s="1">
        <v>2011</v>
      </c>
      <c r="H103" s="380">
        <f>(O53/$R53*100*($E53/365))+(O54/$R54*100*($E54/365))</f>
        <v>100</v>
      </c>
      <c r="I103" s="380"/>
      <c r="J103" s="380">
        <f>(P53/$R53*100*($E53/365))+(P54/$R54*100*($E54/365))</f>
        <v>0</v>
      </c>
      <c r="K103" s="380"/>
      <c r="L103" s="380">
        <f>(Q53/$R53*100*($E53/365))+(Q54/$R54*100*($E54/365))</f>
        <v>0</v>
      </c>
      <c r="M103" s="380"/>
      <c r="N103" s="379">
        <f t="shared" si="42"/>
        <v>100</v>
      </c>
      <c r="O103" s="379"/>
      <c r="R103" s="1">
        <v>2011</v>
      </c>
      <c r="S103" s="5">
        <f>(O53*($E53/365))+(O54*($E54/365))</f>
        <v>59</v>
      </c>
      <c r="T103" s="5">
        <f>(P53*($E53/365))+(P54*($E54/365))</f>
        <v>0</v>
      </c>
      <c r="U103" s="5">
        <f>(Q53*($E53/365))+(Q54*($E54/365))</f>
        <v>0</v>
      </c>
      <c r="W103" s="10">
        <f t="shared" si="43"/>
        <v>59</v>
      </c>
    </row>
    <row r="104" spans="1:23" x14ac:dyDescent="0.15">
      <c r="A104" s="1">
        <v>2012</v>
      </c>
      <c r="B104" s="5">
        <f>(K55*($E55/366))+(K56*($E56/366))+(K57*($E57/366))</f>
        <v>81.948998178506372</v>
      </c>
      <c r="C104" s="5">
        <f>(L55*($E55/366))+(L56*($E56/366))+(L57*($E57/366))</f>
        <v>0</v>
      </c>
      <c r="D104" s="5">
        <f>(M55*($E55/366))+(M56*($E56/366))+(M57*($E57/366))</f>
        <v>0</v>
      </c>
      <c r="E104" s="18">
        <f t="shared" si="41"/>
        <v>81.948998178506372</v>
      </c>
      <c r="G104" s="1">
        <v>2012</v>
      </c>
      <c r="H104" s="380">
        <f>(O55/$R55*100*($E55/366))+(O56/$R56*100*($E56/366))+(O57/$R57*100*($E57/366))</f>
        <v>100</v>
      </c>
      <c r="I104" s="380"/>
      <c r="J104" s="380">
        <f>(P55/$R55*100*($E55/366))+(P56/$R56*100*($E56/366))+(P57/$R57*100*($E57/366))</f>
        <v>0</v>
      </c>
      <c r="K104" s="380"/>
      <c r="L104" s="380">
        <f>(Q55/$R55*100*($E55/366))+(Q56/$R56*100*($E56/366))+(Q57/$R57*100*($E57/366))</f>
        <v>0</v>
      </c>
      <c r="M104" s="380"/>
      <c r="N104" s="379">
        <f t="shared" si="42"/>
        <v>100</v>
      </c>
      <c r="O104" s="379"/>
      <c r="R104" s="1">
        <v>2012</v>
      </c>
      <c r="S104" s="5">
        <f>(O55*($E55/366))+(O56*($E56/366))+(O57*($E57/366))</f>
        <v>59</v>
      </c>
      <c r="T104" s="5">
        <f>(P55*($E55/366))+(P56*($E56/366))+(P57*($E57/366))</f>
        <v>0</v>
      </c>
      <c r="U104" s="5">
        <f>(Q55*($E55/366))+(Q56*($E56/366))+(Q57*($E57/366))</f>
        <v>0</v>
      </c>
      <c r="W104" s="10">
        <f t="shared" si="43"/>
        <v>59</v>
      </c>
    </row>
    <row r="105" spans="1:23" x14ac:dyDescent="0.15">
      <c r="A105" s="1">
        <v>2013</v>
      </c>
      <c r="B105" s="5">
        <f>(K58*($E58/365))+(K59*($E59/365))+(K60*($E60/365))</f>
        <v>37.106164383561641</v>
      </c>
      <c r="C105" s="5">
        <f>(L58*($E58/365))+(L59*($E59/365))+(L60*($E60/365))</f>
        <v>3.1963470319634704</v>
      </c>
      <c r="D105" s="5">
        <f>(M58*($E58/365))+(M59*($E59/365))+(M60*($E60/365))</f>
        <v>0</v>
      </c>
      <c r="E105" s="18">
        <f>SUM(B105:D105)</f>
        <v>40.30251141552511</v>
      </c>
      <c r="G105" s="1">
        <v>2013</v>
      </c>
      <c r="H105" s="380">
        <f>(O58/$R58*100*($E58/365))+(O59/$R59*100*($E59/365))</f>
        <v>52.054794520547944</v>
      </c>
      <c r="I105" s="380"/>
      <c r="J105" s="380">
        <f>(P58/$R58*100*($E58/365))+(P59/$R59*100*($E59/365))</f>
        <v>0</v>
      </c>
      <c r="K105" s="380"/>
      <c r="L105" s="380">
        <f>(Q58/$R58*100*($E58/365))+(Q59/$R59*100*($E59/365))</f>
        <v>0</v>
      </c>
      <c r="M105" s="380"/>
      <c r="N105" s="379">
        <f>SUM(H105:M105)</f>
        <v>52.054794520547944</v>
      </c>
      <c r="O105" s="379"/>
      <c r="R105" s="1">
        <v>2013</v>
      </c>
      <c r="S105" s="5">
        <f>(O58*($E58/365))+(O59*($E59/365))+(O60*($E60/365))</f>
        <v>30.712328767123289</v>
      </c>
      <c r="T105" s="5">
        <f>(P58*($E58/365))+(P59*($E59/365))+(P60*($E60/365))</f>
        <v>0</v>
      </c>
      <c r="U105" s="5">
        <f>(Q58*($E58/365))+(Q59*($E59/365))+(Q60*($E60/365))</f>
        <v>0</v>
      </c>
      <c r="W105" s="10">
        <f>SUM(S105:U105)</f>
        <v>30.712328767123289</v>
      </c>
    </row>
    <row r="106" spans="1:23" x14ac:dyDescent="0.15">
      <c r="A106" s="1">
        <v>2014</v>
      </c>
      <c r="B106" s="5">
        <f>(K61*($E61/365))+(K62*($E62/365))</f>
        <v>32.586623690572118</v>
      </c>
      <c r="C106" s="5">
        <f>(L61*($E61/365))+(L62*($E62/365))</f>
        <v>16.804727370400215</v>
      </c>
      <c r="D106" s="5">
        <f>(M61*($E61/365))+(M62*($E62/365))</f>
        <v>43.448831587429488</v>
      </c>
      <c r="E106" s="18">
        <f>SUM(B106:D106)</f>
        <v>92.840182648401822</v>
      </c>
      <c r="G106" s="1">
        <v>2014</v>
      </c>
      <c r="H106" s="380">
        <f>(O62/$R62*100*($E62/365))</f>
        <v>39.094162655806493</v>
      </c>
      <c r="I106" s="380"/>
      <c r="J106" s="380">
        <f>(P62/$R62*100*($E62/365))</f>
        <v>11.645069727261507</v>
      </c>
      <c r="K106" s="380"/>
      <c r="L106" s="380">
        <f>(Q62/$R62*100*($E62/365))</f>
        <v>41.589534740219669</v>
      </c>
      <c r="M106" s="380"/>
      <c r="N106" s="379">
        <f>SUM(H106:M106)</f>
        <v>92.328767123287662</v>
      </c>
      <c r="O106" s="379"/>
      <c r="R106" s="1">
        <v>2014</v>
      </c>
      <c r="S106" s="5">
        <f>(O61*($E61/365))+(O62*($E62/365))</f>
        <v>21.697260273972603</v>
      </c>
      <c r="T106" s="5">
        <f>(P61*($E61/365))+(P62*($E62/365))</f>
        <v>6.463013698630137</v>
      </c>
      <c r="U106" s="5">
        <f>(Q61*($E61/365))+(Q62*($E62/365))</f>
        <v>23.082191780821919</v>
      </c>
      <c r="W106" s="10">
        <f>SUM(S106:U106)</f>
        <v>51.242465753424653</v>
      </c>
    </row>
    <row r="107" spans="1:23" x14ac:dyDescent="0.15">
      <c r="A107" s="1">
        <v>2015</v>
      </c>
      <c r="B107" s="5">
        <f>(K63*($E63/365))+(K64*($E64/365))</f>
        <v>35.294117647058826</v>
      </c>
      <c r="C107" s="5">
        <f>(L63*($E63/365))+(L64*($E64/365))</f>
        <v>17.647058823529413</v>
      </c>
      <c r="D107" s="5">
        <f>(M63*($E63/365))+(M64*($E64/365))</f>
        <v>47.058823529411761</v>
      </c>
      <c r="E107" s="18">
        <f>SUM(B107:D107)</f>
        <v>100</v>
      </c>
      <c r="G107" s="1">
        <v>2015</v>
      </c>
      <c r="H107" s="380">
        <f>(O63/$R63*100*($E63/365))+(O64/$R64*100*($E64/365))</f>
        <v>42.342342342342342</v>
      </c>
      <c r="I107" s="380"/>
      <c r="J107" s="380">
        <f>(P63/$R63*100*($E63/365))+(P64/$R64*100*($E64/365))</f>
        <v>12.612612612612612</v>
      </c>
      <c r="K107" s="380"/>
      <c r="L107" s="380">
        <f>(Q63/$R63*100*($E63/365))+(Q64/$R64*100*($E64/365))</f>
        <v>45.045045045045043</v>
      </c>
      <c r="M107" s="380"/>
      <c r="N107" s="379">
        <f>SUM(H107:M107)</f>
        <v>100</v>
      </c>
      <c r="O107" s="379"/>
      <c r="R107" s="1">
        <v>2015</v>
      </c>
      <c r="S107" s="5">
        <f>(O63*($E63/365))+(O64*($E64/365))</f>
        <v>23.5</v>
      </c>
      <c r="T107" s="5">
        <f>(P63*($E63/365))+(P64*($E64/365))</f>
        <v>7</v>
      </c>
      <c r="U107" s="5">
        <f>(Q63*($E63/365))+(Q64*($E64/365))</f>
        <v>25</v>
      </c>
      <c r="W107" s="10">
        <f>SUM(S107:U107)</f>
        <v>55.5</v>
      </c>
    </row>
    <row r="108" spans="1:23" x14ac:dyDescent="0.15">
      <c r="A108" s="1">
        <v>2016</v>
      </c>
      <c r="B108" s="5">
        <f>(K65*($E65/366))+(K66*($E66/366))</f>
        <v>35.294117647058826</v>
      </c>
      <c r="C108" s="5">
        <f>(L65*($E65/366))+(L66*($E66/366))</f>
        <v>17.647058823529413</v>
      </c>
      <c r="D108" s="5">
        <f>(M65*($E65/366))+(M66*($E66/366))</f>
        <v>47.058823529411761</v>
      </c>
      <c r="E108" s="18">
        <f>SUM(B108:D108)</f>
        <v>100</v>
      </c>
      <c r="G108" s="1">
        <v>2016</v>
      </c>
      <c r="H108" s="380">
        <f>(O65/$R65*100*($E65/366))+(O66/$R66*100*($E66/366))</f>
        <v>42.342342342342342</v>
      </c>
      <c r="I108" s="380"/>
      <c r="J108" s="380">
        <f>(P65/$R65*100*($E65/366))+(P66/$R66*100*($E66/366))</f>
        <v>12.612612612612612</v>
      </c>
      <c r="K108" s="380"/>
      <c r="L108" s="380">
        <f>(Q65/$R65*100*($E65/366))+(Q66/$R66*100*($E66/366))</f>
        <v>45.045045045045043</v>
      </c>
      <c r="M108" s="380"/>
      <c r="N108" s="379">
        <f>SUM(H108:M108)</f>
        <v>100</v>
      </c>
      <c r="O108" s="379"/>
      <c r="R108" s="1">
        <v>2016</v>
      </c>
      <c r="S108" s="5">
        <f>(O65*($E65/366))+(O66*($E66/366))</f>
        <v>23.5</v>
      </c>
      <c r="T108" s="5">
        <f>(P65*($E65/366))+(P66*($E66/366))</f>
        <v>7</v>
      </c>
      <c r="U108" s="5">
        <f>(Q65*($E65/366))+(Q66*($E66/366))</f>
        <v>25</v>
      </c>
      <c r="W108" s="10">
        <f>SUM(S108:U108)</f>
        <v>55.5</v>
      </c>
    </row>
    <row r="109" spans="1:23" x14ac:dyDescent="0.15">
      <c r="A109" s="1">
        <v>2017</v>
      </c>
      <c r="B109" s="5">
        <f>(K67*($E67/365))+(K68*($E68/365))</f>
        <v>38.662369057211926</v>
      </c>
      <c r="C109" s="5">
        <f>(L67*($E67/365))+(L68*($E68/365))</f>
        <v>16.728444802578565</v>
      </c>
      <c r="D109" s="5">
        <f t="shared" ref="D109" si="44">(M67*($E67/365))+(M68*($E68/365))</f>
        <v>44.609186140209502</v>
      </c>
      <c r="E109" s="18">
        <f>SUM(B109:D109)</f>
        <v>100</v>
      </c>
      <c r="G109" s="1">
        <v>2017</v>
      </c>
      <c r="H109" s="380">
        <f>(O67/$R67*100*($E67/365))+(O68/$R68*100*($E68/365))</f>
        <v>45.34369986424781</v>
      </c>
      <c r="I109" s="380"/>
      <c r="J109" s="380">
        <f>(P67/$R67*100*($E67/365))+(P68/$R68*100*($E68/365))</f>
        <v>11.956065654695792</v>
      </c>
      <c r="K109" s="380"/>
      <c r="L109" s="380">
        <f>(Q67/$R67*100*($E67/365))+(Q68/$R68*100*($E68/365))</f>
        <v>42.700234481056398</v>
      </c>
      <c r="M109" s="380"/>
      <c r="N109" s="379">
        <f>SUM(H109:M109)</f>
        <v>100</v>
      </c>
      <c r="O109" s="379"/>
      <c r="R109" s="1">
        <v>2017</v>
      </c>
      <c r="S109" s="5">
        <f>(O67*($E67/365))+(O68*($E68/365))</f>
        <v>24.30684931506849</v>
      </c>
      <c r="T109" s="5">
        <f t="shared" ref="T109:U109" si="45">(P67*($E67/365))+(P68*($E68/365))</f>
        <v>6.6356164383561644</v>
      </c>
      <c r="U109" s="5">
        <f t="shared" si="45"/>
        <v>23.698630136986303</v>
      </c>
      <c r="W109" s="10">
        <f>SUM(S109:U109)</f>
        <v>54.641095890410959</v>
      </c>
    </row>
    <row r="110" spans="1:23" x14ac:dyDescent="0.15">
      <c r="A110" s="1">
        <v>2018</v>
      </c>
      <c r="B110" s="5">
        <f>(K69*($E69/365))+(K70*($E70/365))</f>
        <v>82.831050228310488</v>
      </c>
      <c r="C110" s="5">
        <f>(L69*($E69/365))+(L70*($E70/365))</f>
        <v>0</v>
      </c>
      <c r="D110" s="5">
        <f>(M69*($E69/365))+(M70*($E70/365))</f>
        <v>17.168949771689494</v>
      </c>
      <c r="E110" s="18">
        <f t="shared" ref="E110" si="46">SUM(B110:D110)</f>
        <v>99.999999999999986</v>
      </c>
      <c r="G110" s="1">
        <v>2018</v>
      </c>
      <c r="H110" s="380">
        <f>(O69/$R69*100*($E69/365))+(O70/$R70*100*($E70/365))</f>
        <v>91.692443658859929</v>
      </c>
      <c r="I110" s="380"/>
      <c r="J110" s="380">
        <f>(P69/$R69*100*($E69/365))+(P70/$R70*100*($E70/365))</f>
        <v>0</v>
      </c>
      <c r="K110" s="380"/>
      <c r="L110" s="380">
        <f>(Q69/$R69*100*($E69/365))+(Q70/$R70*100*($E70/365))</f>
        <v>8.3075563411400797</v>
      </c>
      <c r="M110" s="380"/>
      <c r="N110" s="379">
        <f t="shared" ref="N110" si="47">SUM(H110:M110)</f>
        <v>100.00000000000001</v>
      </c>
      <c r="O110" s="379"/>
      <c r="R110" s="1">
        <v>2018</v>
      </c>
      <c r="S110" s="5">
        <f>(O69*($E69/365))+(O70*($E70/365))</f>
        <v>39</v>
      </c>
      <c r="T110" s="5">
        <f>(P69*($E69/365))+(P70*($E70/365))</f>
        <v>0</v>
      </c>
      <c r="U110" s="5">
        <f>(Q69*($E69/365))+(Q70*($E70/365))</f>
        <v>3.8630136986301369</v>
      </c>
      <c r="W110" s="10">
        <f t="shared" ref="W110" si="48">SUM(S110:U110)</f>
        <v>42.863013698630134</v>
      </c>
    </row>
    <row r="111" spans="1:23" x14ac:dyDescent="0.15">
      <c r="A111" s="1">
        <v>2019</v>
      </c>
      <c r="B111" s="5">
        <f>(K71*($E71/365))+(K72*($E72/365))</f>
        <v>66.666666666666657</v>
      </c>
      <c r="C111" s="5">
        <f>(L71*($E71/365))+(L72*($E72/365))</f>
        <v>0</v>
      </c>
      <c r="D111" s="5">
        <f>(M71*($E71/365))+(M72*($E72/365))</f>
        <v>33.333333333333329</v>
      </c>
      <c r="E111" s="18">
        <f t="shared" ref="E111:E112" si="49">SUM(B111:D111)</f>
        <v>99.999999999999986</v>
      </c>
      <c r="G111" s="1">
        <v>2019</v>
      </c>
      <c r="H111" s="380">
        <f>(O71/$R71*100*($E71/365))+(O72/$R72*100*($E72/365))</f>
        <v>83.870967741935488</v>
      </c>
      <c r="I111" s="380"/>
      <c r="J111" s="380">
        <f>(P71/$R71*100*($E71/365))+(P72/$R72*100*($E72/365))</f>
        <v>0</v>
      </c>
      <c r="K111" s="380"/>
      <c r="L111" s="380">
        <f>(Q71/$R71*100*($E71/365))+(Q72/$R72*100*($E72/365))</f>
        <v>16.129032258064516</v>
      </c>
      <c r="M111" s="380"/>
      <c r="N111" s="379">
        <f t="shared" ref="N111" si="50">SUM(H111:M111)</f>
        <v>100</v>
      </c>
      <c r="O111" s="379"/>
      <c r="R111" s="1">
        <v>2019</v>
      </c>
      <c r="S111" s="5">
        <f>(O71*($E71/365))+(O72*($E72/365))</f>
        <v>39</v>
      </c>
      <c r="T111" s="5">
        <f>(P71*($E71/365))+(P72*($E72/365))</f>
        <v>0</v>
      </c>
      <c r="U111" s="5">
        <f>(Q71*($E71/365))+(Q72*($E72/365))</f>
        <v>7.5</v>
      </c>
      <c r="W111" s="10">
        <f t="shared" ref="W111:W112" si="51">SUM(S111:U111)</f>
        <v>46.5</v>
      </c>
    </row>
    <row r="112" spans="1:23" x14ac:dyDescent="0.15">
      <c r="A112" s="1">
        <v>2020</v>
      </c>
      <c r="B112" s="5">
        <f>(K73*($E73/366))+(K74*($E74/366))</f>
        <v>66.666666666666657</v>
      </c>
      <c r="C112" s="5">
        <f>(L73*($E73/366))+(L74*($E74/366))</f>
        <v>0</v>
      </c>
      <c r="D112" s="5">
        <f>(M73*($E73/366))+(M74*($E74/366))</f>
        <v>33.333333333333329</v>
      </c>
      <c r="E112" s="18">
        <f t="shared" si="49"/>
        <v>99.999999999999986</v>
      </c>
      <c r="G112" s="1">
        <v>2020</v>
      </c>
      <c r="H112" s="380">
        <f>(O73/$R73*100*($E73/366))+(O74/$R74*100*($E74/366))</f>
        <v>83.870967741935488</v>
      </c>
      <c r="I112" s="380"/>
      <c r="J112" s="380">
        <f>(P73/$R73*100*($E73/366))+(P74/$R74*100*($E74/366))</f>
        <v>0</v>
      </c>
      <c r="K112" s="380"/>
      <c r="L112" s="380">
        <f>(Q73/$R73*100*($E73/366))+(Q74/$R74*100*($E74/366))</f>
        <v>16.129032258064516</v>
      </c>
      <c r="M112" s="380"/>
      <c r="N112" s="379">
        <f t="shared" ref="N112" si="52">SUM(H112:M112)</f>
        <v>100</v>
      </c>
      <c r="O112" s="379"/>
      <c r="R112" s="1">
        <v>2020</v>
      </c>
      <c r="S112" s="5">
        <f>(O73*($E73/366))+(O74*($E74/366))</f>
        <v>39</v>
      </c>
      <c r="T112" s="5">
        <f>(P73*($E73/366))+(P74*($E74/366))</f>
        <v>0</v>
      </c>
      <c r="U112" s="5">
        <f>(Q73*($E73/366))+(Q74*($E74/366))</f>
        <v>7.5</v>
      </c>
      <c r="W112" s="10">
        <f t="shared" si="51"/>
        <v>46.5</v>
      </c>
    </row>
  </sheetData>
  <mergeCells count="220">
    <mergeCell ref="H110:I110"/>
    <mergeCell ref="J110:K110"/>
    <mergeCell ref="L110:M110"/>
    <mergeCell ref="N110:O110"/>
    <mergeCell ref="H105:I105"/>
    <mergeCell ref="J105:K105"/>
    <mergeCell ref="L105:M105"/>
    <mergeCell ref="N105:O105"/>
    <mergeCell ref="N103:O103"/>
    <mergeCell ref="H107:I107"/>
    <mergeCell ref="J107:K107"/>
    <mergeCell ref="L107:M107"/>
    <mergeCell ref="N107:O107"/>
    <mergeCell ref="H109:I109"/>
    <mergeCell ref="J109:K109"/>
    <mergeCell ref="L109:M109"/>
    <mergeCell ref="N109:O109"/>
    <mergeCell ref="H106:I106"/>
    <mergeCell ref="J106:K106"/>
    <mergeCell ref="L106:M106"/>
    <mergeCell ref="N106:O106"/>
    <mergeCell ref="H108:I108"/>
    <mergeCell ref="J108:K108"/>
    <mergeCell ref="L108:M108"/>
    <mergeCell ref="H104:I104"/>
    <mergeCell ref="N102:O102"/>
    <mergeCell ref="N101:O101"/>
    <mergeCell ref="J103:K103"/>
    <mergeCell ref="L102:M102"/>
    <mergeCell ref="J102:K102"/>
    <mergeCell ref="H102:I102"/>
    <mergeCell ref="H103:I103"/>
    <mergeCell ref="H101:I101"/>
    <mergeCell ref="J101:K101"/>
    <mergeCell ref="L103:M103"/>
    <mergeCell ref="L101:M101"/>
    <mergeCell ref="J104:K104"/>
    <mergeCell ref="L104:M104"/>
    <mergeCell ref="N104:O104"/>
    <mergeCell ref="L100:M100"/>
    <mergeCell ref="N97:O97"/>
    <mergeCell ref="L96:M96"/>
    <mergeCell ref="L97:M97"/>
    <mergeCell ref="L98:M98"/>
    <mergeCell ref="L99:M99"/>
    <mergeCell ref="H95:I95"/>
    <mergeCell ref="J98:K98"/>
    <mergeCell ref="J99:K99"/>
    <mergeCell ref="J100:K100"/>
    <mergeCell ref="L89:M89"/>
    <mergeCell ref="N88:O88"/>
    <mergeCell ref="N93:O93"/>
    <mergeCell ref="L94:M94"/>
    <mergeCell ref="N90:O90"/>
    <mergeCell ref="N91:O91"/>
    <mergeCell ref="N94:O94"/>
    <mergeCell ref="N95:O95"/>
    <mergeCell ref="L90:M90"/>
    <mergeCell ref="L95:M95"/>
    <mergeCell ref="L91:M91"/>
    <mergeCell ref="C59:D59"/>
    <mergeCell ref="C60:D60"/>
    <mergeCell ref="J86:K86"/>
    <mergeCell ref="J87:K87"/>
    <mergeCell ref="N82:O82"/>
    <mergeCell ref="N83:O83"/>
    <mergeCell ref="N84:O84"/>
    <mergeCell ref="N85:O85"/>
    <mergeCell ref="L82:M82"/>
    <mergeCell ref="L83:M83"/>
    <mergeCell ref="J82:K82"/>
    <mergeCell ref="J83:K83"/>
    <mergeCell ref="J84:K84"/>
    <mergeCell ref="J85:K85"/>
    <mergeCell ref="H85:I85"/>
    <mergeCell ref="H86:I86"/>
    <mergeCell ref="H87:I87"/>
    <mergeCell ref="N86:O86"/>
    <mergeCell ref="N87:O87"/>
    <mergeCell ref="C61:D61"/>
    <mergeCell ref="C62:D62"/>
    <mergeCell ref="L87:M87"/>
    <mergeCell ref="L84:M84"/>
    <mergeCell ref="L85:M85"/>
    <mergeCell ref="C58:D58"/>
    <mergeCell ref="C49:D49"/>
    <mergeCell ref="C50:D50"/>
    <mergeCell ref="C51:D51"/>
    <mergeCell ref="C52:D52"/>
    <mergeCell ref="C53:D53"/>
    <mergeCell ref="C54:D54"/>
    <mergeCell ref="L86:M86"/>
    <mergeCell ref="C56:D56"/>
    <mergeCell ref="C57:D57"/>
    <mergeCell ref="C55:D55"/>
    <mergeCell ref="C63:D63"/>
    <mergeCell ref="C64:D64"/>
    <mergeCell ref="C65:D65"/>
    <mergeCell ref="C66:D66"/>
    <mergeCell ref="C67:D67"/>
    <mergeCell ref="C68:D68"/>
    <mergeCell ref="C71:D71"/>
    <mergeCell ref="C72:D72"/>
    <mergeCell ref="C69:D69"/>
    <mergeCell ref="C70:D70"/>
    <mergeCell ref="C76:D76"/>
    <mergeCell ref="H81:I81"/>
    <mergeCell ref="J81:K81"/>
    <mergeCell ref="C44:D44"/>
    <mergeCell ref="C45:D45"/>
    <mergeCell ref="C46:D46"/>
    <mergeCell ref="C47:D47"/>
    <mergeCell ref="C48:D48"/>
    <mergeCell ref="C36:D36"/>
    <mergeCell ref="C37:D37"/>
    <mergeCell ref="C38:D38"/>
    <mergeCell ref="C39:D39"/>
    <mergeCell ref="C42:D42"/>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13:D13"/>
    <mergeCell ref="C14:D14"/>
    <mergeCell ref="C15:D15"/>
    <mergeCell ref="C16:D16"/>
    <mergeCell ref="C17:D17"/>
    <mergeCell ref="C18:D18"/>
    <mergeCell ref="C19:D19"/>
    <mergeCell ref="C20:D20"/>
    <mergeCell ref="C21:D21"/>
    <mergeCell ref="C7:D7"/>
    <mergeCell ref="C8:D8"/>
    <mergeCell ref="S4:S5"/>
    <mergeCell ref="T4:T5"/>
    <mergeCell ref="U4:U5"/>
    <mergeCell ref="C9:D9"/>
    <mergeCell ref="C10:D10"/>
    <mergeCell ref="C11:D11"/>
    <mergeCell ref="C12:D12"/>
    <mergeCell ref="G3:M3"/>
    <mergeCell ref="O3:Q3"/>
    <mergeCell ref="A4:A5"/>
    <mergeCell ref="B4:B5"/>
    <mergeCell ref="C4:D5"/>
    <mergeCell ref="E4:E5"/>
    <mergeCell ref="F4:F5"/>
    <mergeCell ref="G4:J4"/>
    <mergeCell ref="C6:D6"/>
    <mergeCell ref="AT4:AW4"/>
    <mergeCell ref="AX4:BA4"/>
    <mergeCell ref="K4:N4"/>
    <mergeCell ref="O4:R4"/>
    <mergeCell ref="Z4:AC4"/>
    <mergeCell ref="AD4:AG4"/>
    <mergeCell ref="AH4:AK4"/>
    <mergeCell ref="AL4:AO4"/>
    <mergeCell ref="AP4:AS4"/>
    <mergeCell ref="V4:Y4"/>
    <mergeCell ref="R79:W79"/>
    <mergeCell ref="L81:M81"/>
    <mergeCell ref="N81:O81"/>
    <mergeCell ref="N98:O98"/>
    <mergeCell ref="N99:O99"/>
    <mergeCell ref="H111:I111"/>
    <mergeCell ref="J111:K111"/>
    <mergeCell ref="L111:M111"/>
    <mergeCell ref="N111:O111"/>
    <mergeCell ref="N108:O108"/>
    <mergeCell ref="L93:M93"/>
    <mergeCell ref="J90:K90"/>
    <mergeCell ref="N92:O92"/>
    <mergeCell ref="H82:I82"/>
    <mergeCell ref="H83:I83"/>
    <mergeCell ref="H84:I84"/>
    <mergeCell ref="H88:I88"/>
    <mergeCell ref="J88:K88"/>
    <mergeCell ref="J93:K93"/>
    <mergeCell ref="H91:I91"/>
    <mergeCell ref="J91:K91"/>
    <mergeCell ref="J89:K89"/>
    <mergeCell ref="H89:I89"/>
    <mergeCell ref="H90:I90"/>
    <mergeCell ref="C73:D73"/>
    <mergeCell ref="C74:D74"/>
    <mergeCell ref="H112:I112"/>
    <mergeCell ref="J112:K112"/>
    <mergeCell ref="L112:M112"/>
    <mergeCell ref="N112:O112"/>
    <mergeCell ref="L92:M92"/>
    <mergeCell ref="N100:O100"/>
    <mergeCell ref="H92:I92"/>
    <mergeCell ref="H93:I93"/>
    <mergeCell ref="H94:I94"/>
    <mergeCell ref="H99:I99"/>
    <mergeCell ref="H100:I100"/>
    <mergeCell ref="H98:I98"/>
    <mergeCell ref="J94:K94"/>
    <mergeCell ref="J95:K95"/>
    <mergeCell ref="J97:K97"/>
    <mergeCell ref="H97:I97"/>
    <mergeCell ref="J96:K96"/>
    <mergeCell ref="H96:I96"/>
    <mergeCell ref="J92:K92"/>
    <mergeCell ref="N96:O96"/>
    <mergeCell ref="N89:O89"/>
    <mergeCell ref="L88:M88"/>
  </mergeCells>
  <phoneticPr fontId="23"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A199"/>
  <sheetViews>
    <sheetView zoomScale="176" zoomScaleNormal="120" workbookViewId="0">
      <pane xSplit="1" ySplit="5" topLeftCell="B6" activePane="bottomRight" state="frozen"/>
      <selection pane="topRight" activeCell="B1" sqref="B1"/>
      <selection pane="bottomLeft" activeCell="A6" sqref="A6"/>
      <selection pane="bottomRight" activeCell="N231" sqref="N231"/>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52</v>
      </c>
    </row>
    <row r="3" spans="1:53" x14ac:dyDescent="0.15">
      <c r="G3" s="415"/>
      <c r="H3" s="415"/>
      <c r="I3" s="415"/>
      <c r="J3" s="415"/>
      <c r="K3" s="415"/>
      <c r="L3" s="415"/>
      <c r="M3" s="415"/>
      <c r="O3" s="415"/>
      <c r="P3" s="415"/>
      <c r="Q3" s="415"/>
      <c r="R3" s="4"/>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05" t="s">
        <v>244</v>
      </c>
      <c r="D6" s="405"/>
      <c r="E6" s="140">
        <v>0</v>
      </c>
      <c r="G6" s="148">
        <v>7</v>
      </c>
      <c r="I6" s="140">
        <v>9</v>
      </c>
      <c r="J6" s="154">
        <v>16</v>
      </c>
      <c r="K6" s="134">
        <f>G6/J6*100</f>
        <v>43.75</v>
      </c>
      <c r="L6" s="134">
        <f>H6/J6*100</f>
        <v>0</v>
      </c>
      <c r="M6" s="134">
        <f>I6/J6*100</f>
        <v>56.25</v>
      </c>
      <c r="N6" s="150">
        <f>SUM(K6:M6)</f>
        <v>100</v>
      </c>
      <c r="O6" s="133">
        <v>13.1</v>
      </c>
      <c r="P6" s="134"/>
      <c r="Q6" s="134">
        <v>40</v>
      </c>
      <c r="R6" s="135">
        <f>SUM(O6:Q6)</f>
        <v>53.1</v>
      </c>
      <c r="S6" s="140">
        <v>2</v>
      </c>
      <c r="T6" s="308"/>
      <c r="U6" s="296"/>
      <c r="V6" s="139" t="s">
        <v>101</v>
      </c>
      <c r="W6" s="140" t="s">
        <v>20</v>
      </c>
      <c r="X6" s="140" t="s">
        <v>12</v>
      </c>
      <c r="Y6" s="141">
        <v>40</v>
      </c>
      <c r="Z6" s="140" t="s">
        <v>102</v>
      </c>
      <c r="AA6" s="140" t="s">
        <v>22</v>
      </c>
      <c r="AB6" s="140" t="s">
        <v>11</v>
      </c>
      <c r="AC6" s="140">
        <v>8</v>
      </c>
      <c r="AD6" s="139" t="s">
        <v>103</v>
      </c>
      <c r="AE6" s="140" t="s">
        <v>99</v>
      </c>
      <c r="AF6" s="140" t="s">
        <v>11</v>
      </c>
      <c r="AG6" s="141">
        <v>5.0999999999999996</v>
      </c>
      <c r="AH6" s="139"/>
      <c r="AL6" s="139"/>
      <c r="AO6" s="141"/>
      <c r="AP6" s="139"/>
      <c r="AS6" s="141"/>
      <c r="AW6" s="141"/>
      <c r="BA6" s="142"/>
    </row>
    <row r="7" spans="1:53" s="140" customFormat="1" x14ac:dyDescent="0.15">
      <c r="A7" s="146">
        <v>1959</v>
      </c>
      <c r="B7" s="296"/>
      <c r="C7" s="405" t="s">
        <v>244</v>
      </c>
      <c r="D7" s="405"/>
      <c r="E7" s="140">
        <v>365</v>
      </c>
      <c r="G7" s="148">
        <v>7</v>
      </c>
      <c r="I7" s="140">
        <v>9</v>
      </c>
      <c r="J7" s="154">
        <v>16</v>
      </c>
      <c r="K7" s="134">
        <f>G7/J7*100</f>
        <v>43.75</v>
      </c>
      <c r="L7" s="134">
        <f>H7/J7*100</f>
        <v>0</v>
      </c>
      <c r="M7" s="134">
        <f>I7/J7*100</f>
        <v>56.25</v>
      </c>
      <c r="N7" s="150">
        <f>SUM(K7:M7)</f>
        <v>100</v>
      </c>
      <c r="O7" s="133">
        <v>13.1</v>
      </c>
      <c r="P7" s="134"/>
      <c r="Q7" s="134">
        <v>40</v>
      </c>
      <c r="R7" s="135">
        <f>SUM(O7:Q7)</f>
        <v>53.1</v>
      </c>
      <c r="S7" s="140">
        <v>2</v>
      </c>
      <c r="T7" s="308"/>
      <c r="U7" s="296"/>
      <c r="V7" s="139" t="s">
        <v>101</v>
      </c>
      <c r="W7" s="140" t="s">
        <v>20</v>
      </c>
      <c r="X7" s="140" t="s">
        <v>12</v>
      </c>
      <c r="Y7" s="141">
        <v>40</v>
      </c>
      <c r="Z7" s="140" t="s">
        <v>102</v>
      </c>
      <c r="AA7" s="140" t="s">
        <v>22</v>
      </c>
      <c r="AB7" s="140" t="s">
        <v>11</v>
      </c>
      <c r="AC7" s="140">
        <v>8</v>
      </c>
      <c r="AD7" s="139" t="s">
        <v>103</v>
      </c>
      <c r="AE7" s="140" t="s">
        <v>99</v>
      </c>
      <c r="AF7" s="140" t="s">
        <v>11</v>
      </c>
      <c r="AG7" s="141">
        <v>5.0999999999999996</v>
      </c>
      <c r="AH7" s="139"/>
      <c r="AL7" s="139"/>
      <c r="AO7" s="141"/>
      <c r="AP7" s="139"/>
      <c r="AS7" s="141"/>
      <c r="AW7" s="141"/>
      <c r="BA7" s="142"/>
    </row>
    <row r="8" spans="1:53" s="29" customFormat="1" x14ac:dyDescent="0.15">
      <c r="A8" s="52">
        <v>1960</v>
      </c>
      <c r="B8" s="295"/>
      <c r="C8" s="394" t="s">
        <v>244</v>
      </c>
      <c r="D8" s="394"/>
      <c r="E8" s="29">
        <v>51</v>
      </c>
      <c r="G8" s="66">
        <v>7</v>
      </c>
      <c r="I8" s="29">
        <v>9</v>
      </c>
      <c r="J8" s="73">
        <v>16</v>
      </c>
      <c r="K8" s="47">
        <f>G8/J8*100</f>
        <v>43.75</v>
      </c>
      <c r="L8" s="47">
        <f>H8/J8*100</f>
        <v>0</v>
      </c>
      <c r="M8" s="47">
        <f>I8/J8*100</f>
        <v>56.25</v>
      </c>
      <c r="N8" s="68">
        <f>SUM(K8:M8)</f>
        <v>100</v>
      </c>
      <c r="O8" s="46">
        <v>13.1</v>
      </c>
      <c r="P8" s="47"/>
      <c r="Q8" s="47">
        <v>40</v>
      </c>
      <c r="R8" s="48">
        <f>SUM(O8:Q8)</f>
        <v>53.1</v>
      </c>
      <c r="S8" s="29">
        <v>2</v>
      </c>
      <c r="T8" s="286"/>
      <c r="U8" s="295"/>
      <c r="V8" s="38" t="s">
        <v>101</v>
      </c>
      <c r="W8" s="29" t="s">
        <v>20</v>
      </c>
      <c r="X8" s="29" t="s">
        <v>12</v>
      </c>
      <c r="Y8" s="39">
        <v>40</v>
      </c>
      <c r="Z8" s="29" t="s">
        <v>102</v>
      </c>
      <c r="AA8" s="29" t="s">
        <v>22</v>
      </c>
      <c r="AB8" s="29" t="s">
        <v>11</v>
      </c>
      <c r="AC8" s="29">
        <v>8</v>
      </c>
      <c r="AD8" s="38" t="s">
        <v>103</v>
      </c>
      <c r="AE8" s="29" t="s">
        <v>99</v>
      </c>
      <c r="AF8" s="29" t="s">
        <v>11</v>
      </c>
      <c r="AG8" s="39">
        <v>5.0999999999999996</v>
      </c>
      <c r="AH8" s="38"/>
      <c r="AL8" s="38"/>
      <c r="AO8" s="39"/>
      <c r="AP8" s="38"/>
      <c r="AS8" s="39"/>
      <c r="AW8" s="39"/>
      <c r="BA8" s="40"/>
    </row>
    <row r="9" spans="1:53" s="171" customFormat="1" x14ac:dyDescent="0.15">
      <c r="A9" s="216">
        <v>1960</v>
      </c>
      <c r="B9" s="283">
        <v>21967</v>
      </c>
      <c r="C9" s="402" t="s">
        <v>245</v>
      </c>
      <c r="D9" s="402"/>
      <c r="E9" s="171">
        <v>271</v>
      </c>
      <c r="F9" s="171">
        <v>3</v>
      </c>
      <c r="G9" s="233">
        <v>7</v>
      </c>
      <c r="I9" s="171">
        <v>8</v>
      </c>
      <c r="J9" s="241">
        <v>15</v>
      </c>
      <c r="K9" s="214">
        <f>G9/J9*100</f>
        <v>46.666666666666664</v>
      </c>
      <c r="L9" s="214">
        <f>H9/J9*100</f>
        <v>0</v>
      </c>
      <c r="M9" s="214">
        <f>I9/J9*100</f>
        <v>53.333333333333336</v>
      </c>
      <c r="N9" s="235">
        <f t="shared" ref="N9:N72" si="0">SUM(K9:M9)</f>
        <v>100</v>
      </c>
      <c r="O9" s="213">
        <v>13.1</v>
      </c>
      <c r="P9" s="214"/>
      <c r="Q9" s="214">
        <v>40</v>
      </c>
      <c r="R9" s="215">
        <f t="shared" ref="R9:R72" si="1">SUM(O9:Q9)</f>
        <v>53.1</v>
      </c>
      <c r="S9" s="171">
        <v>2</v>
      </c>
      <c r="T9" s="285"/>
      <c r="U9" s="283">
        <v>21967</v>
      </c>
      <c r="V9" s="178" t="s">
        <v>101</v>
      </c>
      <c r="W9" s="171" t="s">
        <v>20</v>
      </c>
      <c r="X9" s="171" t="s">
        <v>12</v>
      </c>
      <c r="Y9" s="179">
        <v>40</v>
      </c>
      <c r="Z9" s="171" t="s">
        <v>102</v>
      </c>
      <c r="AA9" s="171" t="s">
        <v>22</v>
      </c>
      <c r="AB9" s="171" t="s">
        <v>11</v>
      </c>
      <c r="AC9" s="171">
        <v>8</v>
      </c>
      <c r="AD9" s="178" t="s">
        <v>103</v>
      </c>
      <c r="AE9" s="171" t="s">
        <v>99</v>
      </c>
      <c r="AF9" s="171" t="s">
        <v>11</v>
      </c>
      <c r="AG9" s="179">
        <v>5.0999999999999996</v>
      </c>
      <c r="AH9" s="178"/>
      <c r="AL9" s="178"/>
      <c r="AO9" s="179"/>
      <c r="AP9" s="178"/>
      <c r="AS9" s="179"/>
      <c r="AW9" s="179"/>
      <c r="BA9" s="180"/>
    </row>
    <row r="10" spans="1:53" s="29" customFormat="1" x14ac:dyDescent="0.15">
      <c r="A10" s="52">
        <v>1960</v>
      </c>
      <c r="B10" s="295">
        <v>22238</v>
      </c>
      <c r="C10" s="394" t="s">
        <v>246</v>
      </c>
      <c r="D10" s="394"/>
      <c r="E10" s="29">
        <v>44</v>
      </c>
      <c r="F10" s="29">
        <v>1</v>
      </c>
      <c r="G10" s="66">
        <v>5</v>
      </c>
      <c r="I10" s="29">
        <v>11</v>
      </c>
      <c r="J10" s="73">
        <v>17</v>
      </c>
      <c r="K10" s="47">
        <f t="shared" ref="K10:K15" si="2">G10/J10*100</f>
        <v>29.411764705882355</v>
      </c>
      <c r="L10" s="47">
        <f t="shared" ref="L10:L15" si="3">H10/J10*100</f>
        <v>0</v>
      </c>
      <c r="M10" s="47">
        <f t="shared" ref="M10:M15" si="4">I10/J10*100</f>
        <v>64.705882352941174</v>
      </c>
      <c r="N10" s="68">
        <f t="shared" si="0"/>
        <v>94.117647058823536</v>
      </c>
      <c r="O10" s="46">
        <v>6.3</v>
      </c>
      <c r="P10" s="47"/>
      <c r="Q10" s="47">
        <v>43.4</v>
      </c>
      <c r="R10" s="48">
        <f t="shared" si="1"/>
        <v>49.699999999999996</v>
      </c>
      <c r="S10" s="29">
        <v>5</v>
      </c>
      <c r="T10" s="286">
        <v>22235</v>
      </c>
      <c r="U10" s="295">
        <v>22238</v>
      </c>
      <c r="V10" s="38" t="s">
        <v>101</v>
      </c>
      <c r="W10" s="29" t="s">
        <v>20</v>
      </c>
      <c r="X10" s="29" t="s">
        <v>12</v>
      </c>
      <c r="Y10" s="39">
        <v>43.4</v>
      </c>
      <c r="Z10" s="29" t="s">
        <v>102</v>
      </c>
      <c r="AA10" s="29" t="s">
        <v>22</v>
      </c>
      <c r="AB10" s="29" t="s">
        <v>11</v>
      </c>
      <c r="AC10" s="29">
        <v>6.3</v>
      </c>
      <c r="AD10" s="38"/>
      <c r="AG10" s="39"/>
      <c r="AL10" s="38"/>
      <c r="AO10" s="39"/>
      <c r="AP10" s="38"/>
      <c r="AS10" s="39"/>
      <c r="AW10" s="39"/>
      <c r="BA10" s="40"/>
    </row>
    <row r="11" spans="1:53" s="29" customFormat="1" x14ac:dyDescent="0.15">
      <c r="A11" s="52">
        <v>1961</v>
      </c>
      <c r="B11" s="295"/>
      <c r="C11" s="394" t="s">
        <v>246</v>
      </c>
      <c r="D11" s="394"/>
      <c r="E11" s="29">
        <v>0</v>
      </c>
      <c r="G11" s="66">
        <v>5</v>
      </c>
      <c r="I11" s="29">
        <v>11</v>
      </c>
      <c r="J11" s="73">
        <v>17</v>
      </c>
      <c r="K11" s="47">
        <f t="shared" si="2"/>
        <v>29.411764705882355</v>
      </c>
      <c r="L11" s="47">
        <f t="shared" si="3"/>
        <v>0</v>
      </c>
      <c r="M11" s="47">
        <f t="shared" si="4"/>
        <v>64.705882352941174</v>
      </c>
      <c r="N11" s="68">
        <f t="shared" si="0"/>
        <v>94.117647058823536</v>
      </c>
      <c r="O11" s="46">
        <v>6.3</v>
      </c>
      <c r="P11" s="47"/>
      <c r="Q11" s="47">
        <v>43.4</v>
      </c>
      <c r="R11" s="48">
        <f t="shared" si="1"/>
        <v>49.699999999999996</v>
      </c>
      <c r="S11" s="29">
        <v>5</v>
      </c>
      <c r="T11" s="286"/>
      <c r="U11" s="295"/>
      <c r="V11" s="38" t="s">
        <v>101</v>
      </c>
      <c r="W11" s="29" t="s">
        <v>20</v>
      </c>
      <c r="X11" s="29" t="s">
        <v>12</v>
      </c>
      <c r="Y11" s="39">
        <v>43.4</v>
      </c>
      <c r="Z11" s="29" t="s">
        <v>102</v>
      </c>
      <c r="AA11" s="29" t="s">
        <v>22</v>
      </c>
      <c r="AB11" s="29" t="s">
        <v>11</v>
      </c>
      <c r="AC11" s="29">
        <v>6.3</v>
      </c>
      <c r="AD11" s="38"/>
      <c r="AG11" s="39"/>
      <c r="AL11" s="38"/>
      <c r="AO11" s="39"/>
      <c r="AP11" s="38"/>
      <c r="AS11" s="39"/>
      <c r="AW11" s="39"/>
      <c r="BA11" s="40"/>
    </row>
    <row r="12" spans="1:53" s="29" customFormat="1" x14ac:dyDescent="0.15">
      <c r="A12" s="52">
        <v>1961</v>
      </c>
      <c r="B12" s="295"/>
      <c r="C12" s="394" t="s">
        <v>246</v>
      </c>
      <c r="D12" s="394"/>
      <c r="E12" s="29">
        <f>365-E11</f>
        <v>365</v>
      </c>
      <c r="G12" s="66">
        <v>5</v>
      </c>
      <c r="I12" s="29">
        <v>11</v>
      </c>
      <c r="J12" s="73">
        <v>17</v>
      </c>
      <c r="K12" s="47">
        <f t="shared" si="2"/>
        <v>29.411764705882355</v>
      </c>
      <c r="L12" s="47">
        <f t="shared" si="3"/>
        <v>0</v>
      </c>
      <c r="M12" s="47">
        <f t="shared" si="4"/>
        <v>64.705882352941174</v>
      </c>
      <c r="N12" s="68">
        <f t="shared" si="0"/>
        <v>94.117647058823536</v>
      </c>
      <c r="O12" s="46">
        <v>6.3</v>
      </c>
      <c r="P12" s="47"/>
      <c r="Q12" s="47">
        <v>43.4</v>
      </c>
      <c r="R12" s="48">
        <f t="shared" si="1"/>
        <v>49.699999999999996</v>
      </c>
      <c r="S12" s="29">
        <v>5</v>
      </c>
      <c r="T12" s="286"/>
      <c r="U12" s="295"/>
      <c r="V12" s="38" t="s">
        <v>101</v>
      </c>
      <c r="W12" s="29" t="s">
        <v>20</v>
      </c>
      <c r="X12" s="29" t="s">
        <v>12</v>
      </c>
      <c r="Y12" s="39">
        <v>43.4</v>
      </c>
      <c r="Z12" s="29" t="s">
        <v>102</v>
      </c>
      <c r="AA12" s="29" t="s">
        <v>22</v>
      </c>
      <c r="AB12" s="29" t="s">
        <v>11</v>
      </c>
      <c r="AC12" s="29">
        <v>6.3</v>
      </c>
      <c r="AD12" s="38"/>
      <c r="AG12" s="39"/>
      <c r="AL12" s="38"/>
      <c r="AO12" s="39"/>
      <c r="AP12" s="38"/>
      <c r="AS12" s="39"/>
      <c r="AW12" s="39"/>
      <c r="BA12" s="40"/>
    </row>
    <row r="13" spans="1:53" s="29" customFormat="1" x14ac:dyDescent="0.15">
      <c r="A13" s="52">
        <v>1962</v>
      </c>
      <c r="B13" s="295"/>
      <c r="C13" s="394" t="s">
        <v>246</v>
      </c>
      <c r="D13" s="394"/>
      <c r="E13" s="29">
        <v>246</v>
      </c>
      <c r="G13" s="66">
        <v>5</v>
      </c>
      <c r="I13" s="29">
        <v>11</v>
      </c>
      <c r="J13" s="73">
        <v>17</v>
      </c>
      <c r="K13" s="47">
        <f t="shared" si="2"/>
        <v>29.411764705882355</v>
      </c>
      <c r="L13" s="47">
        <f t="shared" si="3"/>
        <v>0</v>
      </c>
      <c r="M13" s="47">
        <f t="shared" si="4"/>
        <v>64.705882352941174</v>
      </c>
      <c r="N13" s="68">
        <f t="shared" si="0"/>
        <v>94.117647058823536</v>
      </c>
      <c r="O13" s="46">
        <v>6.3</v>
      </c>
      <c r="P13" s="47"/>
      <c r="Q13" s="47">
        <v>43.4</v>
      </c>
      <c r="R13" s="48">
        <f t="shared" si="1"/>
        <v>49.699999999999996</v>
      </c>
      <c r="S13" s="29">
        <v>5</v>
      </c>
      <c r="T13" s="286"/>
      <c r="U13" s="295"/>
      <c r="V13" s="38" t="s">
        <v>101</v>
      </c>
      <c r="W13" s="29" t="s">
        <v>20</v>
      </c>
      <c r="X13" s="29" t="s">
        <v>12</v>
      </c>
      <c r="Y13" s="39">
        <v>43.4</v>
      </c>
      <c r="Z13" s="29" t="s">
        <v>102</v>
      </c>
      <c r="AA13" s="29" t="s">
        <v>22</v>
      </c>
      <c r="AB13" s="29" t="s">
        <v>11</v>
      </c>
      <c r="AC13" s="29">
        <v>6.3</v>
      </c>
      <c r="AD13" s="38"/>
      <c r="AG13" s="39"/>
      <c r="AL13" s="38"/>
      <c r="AO13" s="39"/>
      <c r="AP13" s="38"/>
      <c r="AS13" s="39"/>
      <c r="AW13" s="39"/>
      <c r="BA13" s="40"/>
    </row>
    <row r="14" spans="1:53" s="171" customFormat="1" x14ac:dyDescent="0.15">
      <c r="A14" s="216">
        <v>1962</v>
      </c>
      <c r="B14" s="283">
        <v>22893</v>
      </c>
      <c r="C14" s="402" t="s">
        <v>247</v>
      </c>
      <c r="D14" s="402"/>
      <c r="E14" s="171">
        <f>365-E13</f>
        <v>119</v>
      </c>
      <c r="F14" s="171">
        <v>3</v>
      </c>
      <c r="G14" s="233">
        <v>5</v>
      </c>
      <c r="I14" s="171">
        <v>11</v>
      </c>
      <c r="J14" s="241">
        <v>17</v>
      </c>
      <c r="K14" s="214">
        <f t="shared" si="2"/>
        <v>29.411764705882355</v>
      </c>
      <c r="L14" s="214">
        <f t="shared" si="3"/>
        <v>0</v>
      </c>
      <c r="M14" s="214">
        <f t="shared" si="4"/>
        <v>64.705882352941174</v>
      </c>
      <c r="N14" s="235">
        <f t="shared" si="0"/>
        <v>94.117647058823536</v>
      </c>
      <c r="O14" s="213">
        <v>6.3</v>
      </c>
      <c r="P14" s="214"/>
      <c r="Q14" s="214">
        <v>43.4</v>
      </c>
      <c r="R14" s="215">
        <f t="shared" si="1"/>
        <v>49.699999999999996</v>
      </c>
      <c r="S14" s="171">
        <v>5</v>
      </c>
      <c r="T14" s="285"/>
      <c r="U14" s="283">
        <v>22893</v>
      </c>
      <c r="V14" s="178" t="s">
        <v>101</v>
      </c>
      <c r="W14" s="171" t="s">
        <v>20</v>
      </c>
      <c r="X14" s="171" t="s">
        <v>12</v>
      </c>
      <c r="Y14" s="179">
        <v>43.4</v>
      </c>
      <c r="Z14" s="171" t="s">
        <v>102</v>
      </c>
      <c r="AA14" s="171" t="s">
        <v>22</v>
      </c>
      <c r="AB14" s="171" t="s">
        <v>11</v>
      </c>
      <c r="AC14" s="171">
        <v>6.3</v>
      </c>
      <c r="AD14" s="178"/>
      <c r="AG14" s="179"/>
      <c r="AL14" s="178"/>
      <c r="AO14" s="179"/>
      <c r="AP14" s="178"/>
      <c r="AS14" s="179"/>
      <c r="AW14" s="179"/>
      <c r="BA14" s="180"/>
    </row>
    <row r="15" spans="1:53" s="171" customFormat="1" x14ac:dyDescent="0.15">
      <c r="A15" s="216">
        <v>1962.6</v>
      </c>
      <c r="B15" s="283"/>
      <c r="C15" s="402" t="s">
        <v>247</v>
      </c>
      <c r="D15" s="402"/>
      <c r="E15" s="171">
        <v>0</v>
      </c>
      <c r="G15" s="233">
        <v>5</v>
      </c>
      <c r="I15" s="171">
        <v>11</v>
      </c>
      <c r="J15" s="241">
        <v>17</v>
      </c>
      <c r="K15" s="214">
        <f t="shared" si="2"/>
        <v>29.411764705882355</v>
      </c>
      <c r="L15" s="214">
        <f t="shared" si="3"/>
        <v>0</v>
      </c>
      <c r="M15" s="214">
        <f t="shared" si="4"/>
        <v>64.705882352941174</v>
      </c>
      <c r="N15" s="235">
        <f t="shared" si="0"/>
        <v>94.117647058823536</v>
      </c>
      <c r="O15" s="213">
        <v>6.3</v>
      </c>
      <c r="P15" s="214"/>
      <c r="Q15" s="214">
        <v>43.4</v>
      </c>
      <c r="R15" s="215">
        <f t="shared" si="1"/>
        <v>49.699999999999996</v>
      </c>
      <c r="S15" s="171">
        <v>5</v>
      </c>
      <c r="T15" s="285"/>
      <c r="U15" s="283"/>
      <c r="V15" s="178" t="s">
        <v>101</v>
      </c>
      <c r="W15" s="171" t="s">
        <v>20</v>
      </c>
      <c r="X15" s="171" t="s">
        <v>12</v>
      </c>
      <c r="Y15" s="179">
        <v>43.4</v>
      </c>
      <c r="Z15" s="171" t="s">
        <v>102</v>
      </c>
      <c r="AA15" s="171" t="s">
        <v>22</v>
      </c>
      <c r="AB15" s="171" t="s">
        <v>11</v>
      </c>
      <c r="AC15" s="171">
        <v>6.3</v>
      </c>
      <c r="AD15" s="178"/>
      <c r="AG15" s="179"/>
      <c r="AL15" s="178"/>
      <c r="AO15" s="179"/>
      <c r="AP15" s="178"/>
      <c r="AS15" s="179"/>
      <c r="AW15" s="179"/>
      <c r="BA15" s="180"/>
    </row>
    <row r="16" spans="1:53" s="171" customFormat="1" x14ac:dyDescent="0.15">
      <c r="A16" s="216">
        <v>1963.05714285714</v>
      </c>
      <c r="B16" s="283"/>
      <c r="C16" s="402" t="s">
        <v>247</v>
      </c>
      <c r="D16" s="402"/>
      <c r="E16" s="171">
        <v>365</v>
      </c>
      <c r="G16" s="233">
        <v>5</v>
      </c>
      <c r="I16" s="171">
        <v>11</v>
      </c>
      <c r="J16" s="241">
        <v>17</v>
      </c>
      <c r="K16" s="214">
        <f>G16/J16*100</f>
        <v>29.411764705882355</v>
      </c>
      <c r="L16" s="214">
        <f>H16/J16*100</f>
        <v>0</v>
      </c>
      <c r="M16" s="214">
        <f>I16/J16*100</f>
        <v>64.705882352941174</v>
      </c>
      <c r="N16" s="235">
        <f t="shared" si="0"/>
        <v>94.117647058823536</v>
      </c>
      <c r="O16" s="213">
        <v>6.3</v>
      </c>
      <c r="P16" s="214"/>
      <c r="Q16" s="214">
        <v>43.4</v>
      </c>
      <c r="R16" s="215">
        <f t="shared" si="1"/>
        <v>49.699999999999996</v>
      </c>
      <c r="S16" s="171">
        <v>5</v>
      </c>
      <c r="T16" s="285"/>
      <c r="U16" s="283"/>
      <c r="V16" s="178" t="s">
        <v>101</v>
      </c>
      <c r="W16" s="171" t="s">
        <v>20</v>
      </c>
      <c r="X16" s="171" t="s">
        <v>12</v>
      </c>
      <c r="Y16" s="179">
        <v>43.4</v>
      </c>
      <c r="Z16" s="171" t="s">
        <v>102</v>
      </c>
      <c r="AA16" s="171" t="s">
        <v>22</v>
      </c>
      <c r="AB16" s="171" t="s">
        <v>11</v>
      </c>
      <c r="AC16" s="171">
        <v>6.3</v>
      </c>
      <c r="AD16" s="178"/>
      <c r="AG16" s="179"/>
      <c r="AL16" s="178"/>
      <c r="AO16" s="179"/>
      <c r="AP16" s="178"/>
      <c r="AS16" s="179"/>
      <c r="AW16" s="179"/>
      <c r="BA16" s="180"/>
    </row>
    <row r="17" spans="1:53" s="171" customFormat="1" x14ac:dyDescent="0.15">
      <c r="A17" s="216">
        <v>1963.5142857142901</v>
      </c>
      <c r="B17" s="283"/>
      <c r="C17" s="402" t="s">
        <v>247</v>
      </c>
      <c r="D17" s="402"/>
      <c r="E17" s="171">
        <v>269</v>
      </c>
      <c r="G17" s="233">
        <v>5</v>
      </c>
      <c r="I17" s="171">
        <v>11</v>
      </c>
      <c r="J17" s="241">
        <v>17</v>
      </c>
      <c r="K17" s="214">
        <f>G17/J17*100</f>
        <v>29.411764705882355</v>
      </c>
      <c r="L17" s="214">
        <f>H17/J17*100</f>
        <v>0</v>
      </c>
      <c r="M17" s="214">
        <f>I17/J17*100</f>
        <v>64.705882352941174</v>
      </c>
      <c r="N17" s="235">
        <f t="shared" si="0"/>
        <v>94.117647058823536</v>
      </c>
      <c r="O17" s="213">
        <v>6.3</v>
      </c>
      <c r="P17" s="214"/>
      <c r="Q17" s="214">
        <v>43.4</v>
      </c>
      <c r="R17" s="215">
        <f t="shared" si="1"/>
        <v>49.699999999999996</v>
      </c>
      <c r="S17" s="171">
        <v>5</v>
      </c>
      <c r="T17" s="285"/>
      <c r="U17" s="283"/>
      <c r="V17" s="178" t="s">
        <v>101</v>
      </c>
      <c r="W17" s="171" t="s">
        <v>20</v>
      </c>
      <c r="X17" s="171" t="s">
        <v>12</v>
      </c>
      <c r="Y17" s="179">
        <v>43.4</v>
      </c>
      <c r="Z17" s="171" t="s">
        <v>102</v>
      </c>
      <c r="AA17" s="171" t="s">
        <v>22</v>
      </c>
      <c r="AB17" s="171" t="s">
        <v>11</v>
      </c>
      <c r="AC17" s="171">
        <v>6.3</v>
      </c>
      <c r="AD17" s="178"/>
      <c r="AG17" s="179"/>
      <c r="AL17" s="178"/>
      <c r="AO17" s="179"/>
      <c r="AP17" s="178"/>
      <c r="AS17" s="179"/>
      <c r="AW17" s="179"/>
      <c r="BA17" s="180"/>
    </row>
    <row r="18" spans="1:53" s="29" customFormat="1" x14ac:dyDescent="0.15">
      <c r="A18" s="52">
        <v>1963.9714285714299</v>
      </c>
      <c r="B18" s="295">
        <v>23646</v>
      </c>
      <c r="C18" s="394" t="s">
        <v>248</v>
      </c>
      <c r="D18" s="394"/>
      <c r="E18" s="29">
        <v>97</v>
      </c>
      <c r="F18" s="29">
        <v>1</v>
      </c>
      <c r="G18" s="66"/>
      <c r="I18" s="29">
        <v>17</v>
      </c>
      <c r="J18" s="73">
        <v>17</v>
      </c>
      <c r="K18" s="47">
        <f>G18/J18*100</f>
        <v>0</v>
      </c>
      <c r="L18" s="47">
        <f>H18/J18*100</f>
        <v>0</v>
      </c>
      <c r="M18" s="47">
        <f>I18/J18*100</f>
        <v>100</v>
      </c>
      <c r="N18" s="68">
        <f t="shared" si="0"/>
        <v>100</v>
      </c>
      <c r="O18" s="46"/>
      <c r="P18" s="47"/>
      <c r="Q18" s="47">
        <v>43.4</v>
      </c>
      <c r="R18" s="48">
        <f t="shared" si="1"/>
        <v>43.4</v>
      </c>
      <c r="S18" s="29">
        <v>4</v>
      </c>
      <c r="T18" s="286">
        <v>23642</v>
      </c>
      <c r="U18" s="295">
        <v>23646</v>
      </c>
      <c r="V18" s="38" t="s">
        <v>101</v>
      </c>
      <c r="W18" s="29" t="s">
        <v>20</v>
      </c>
      <c r="X18" s="29" t="s">
        <v>12</v>
      </c>
      <c r="Y18" s="39">
        <v>43.4</v>
      </c>
      <c r="AD18" s="38"/>
      <c r="AG18" s="39"/>
      <c r="AL18" s="38"/>
      <c r="AO18" s="39"/>
      <c r="AP18" s="38"/>
      <c r="AS18" s="39"/>
      <c r="AW18" s="39"/>
      <c r="BA18" s="40"/>
    </row>
    <row r="19" spans="1:53" s="29" customFormat="1" x14ac:dyDescent="0.15">
      <c r="A19" s="52">
        <v>1965</v>
      </c>
      <c r="B19" s="295"/>
      <c r="C19" s="394" t="s">
        <v>248</v>
      </c>
      <c r="D19" s="394"/>
      <c r="E19" s="29">
        <v>0</v>
      </c>
      <c r="G19" s="66"/>
      <c r="I19" s="29">
        <v>17</v>
      </c>
      <c r="J19" s="73">
        <v>17</v>
      </c>
      <c r="K19" s="47">
        <f t="shared" ref="K19:K24" si="5">G19/J19*100</f>
        <v>0</v>
      </c>
      <c r="L19" s="47">
        <f t="shared" ref="L19:L24" si="6">H19/J19*100</f>
        <v>0</v>
      </c>
      <c r="M19" s="47">
        <f t="shared" ref="M19:M24" si="7">I19/J19*100</f>
        <v>100</v>
      </c>
      <c r="N19" s="68">
        <f t="shared" si="0"/>
        <v>100</v>
      </c>
      <c r="O19" s="46"/>
      <c r="P19" s="47"/>
      <c r="Q19" s="47">
        <v>43.4</v>
      </c>
      <c r="R19" s="48">
        <f t="shared" si="1"/>
        <v>43.4</v>
      </c>
      <c r="S19" s="29">
        <v>4</v>
      </c>
      <c r="T19" s="286"/>
      <c r="U19" s="295"/>
      <c r="V19" s="38" t="s">
        <v>101</v>
      </c>
      <c r="W19" s="29" t="s">
        <v>20</v>
      </c>
      <c r="X19" s="29" t="s">
        <v>12</v>
      </c>
      <c r="Y19" s="39">
        <v>43.4</v>
      </c>
      <c r="AD19" s="38"/>
      <c r="AG19" s="39"/>
      <c r="AL19" s="38"/>
      <c r="AO19" s="39"/>
      <c r="AP19" s="38"/>
      <c r="AS19" s="39"/>
      <c r="AW19" s="39"/>
      <c r="BA19" s="40"/>
    </row>
    <row r="20" spans="1:53" s="29" customFormat="1" x14ac:dyDescent="0.15">
      <c r="A20" s="52">
        <v>1964.88571428572</v>
      </c>
      <c r="B20" s="295"/>
      <c r="C20" s="394" t="s">
        <v>248</v>
      </c>
      <c r="D20" s="394"/>
      <c r="E20" s="29">
        <v>365</v>
      </c>
      <c r="G20" s="66"/>
      <c r="I20" s="29">
        <v>17</v>
      </c>
      <c r="J20" s="73">
        <v>17</v>
      </c>
      <c r="K20" s="47">
        <f t="shared" si="5"/>
        <v>0</v>
      </c>
      <c r="L20" s="47">
        <f t="shared" si="6"/>
        <v>0</v>
      </c>
      <c r="M20" s="47">
        <f t="shared" si="7"/>
        <v>100</v>
      </c>
      <c r="N20" s="68">
        <f t="shared" si="0"/>
        <v>100</v>
      </c>
      <c r="O20" s="46"/>
      <c r="P20" s="47"/>
      <c r="Q20" s="47">
        <v>43.4</v>
      </c>
      <c r="R20" s="48">
        <f t="shared" si="1"/>
        <v>43.4</v>
      </c>
      <c r="S20" s="29">
        <v>4</v>
      </c>
      <c r="T20" s="286"/>
      <c r="U20" s="295"/>
      <c r="V20" s="38" t="s">
        <v>101</v>
      </c>
      <c r="W20" s="29" t="s">
        <v>20</v>
      </c>
      <c r="X20" s="29" t="s">
        <v>12</v>
      </c>
      <c r="Y20" s="39">
        <v>43.4</v>
      </c>
      <c r="AD20" s="38"/>
      <c r="AG20" s="39"/>
      <c r="AL20" s="38"/>
      <c r="AO20" s="39"/>
      <c r="AP20" s="38"/>
      <c r="AS20" s="39"/>
      <c r="AW20" s="39"/>
      <c r="BA20" s="40"/>
    </row>
    <row r="21" spans="1:53" s="29" customFormat="1" x14ac:dyDescent="0.15">
      <c r="A21" s="52">
        <v>1966</v>
      </c>
      <c r="B21" s="295"/>
      <c r="C21" s="394" t="s">
        <v>248</v>
      </c>
      <c r="D21" s="394"/>
      <c r="E21" s="29">
        <v>331</v>
      </c>
      <c r="G21" s="66"/>
      <c r="I21" s="29">
        <v>17</v>
      </c>
      <c r="J21" s="73">
        <v>17</v>
      </c>
      <c r="K21" s="47">
        <f t="shared" si="5"/>
        <v>0</v>
      </c>
      <c r="L21" s="47">
        <f t="shared" si="6"/>
        <v>0</v>
      </c>
      <c r="M21" s="47">
        <f t="shared" si="7"/>
        <v>100</v>
      </c>
      <c r="N21" s="68">
        <f t="shared" si="0"/>
        <v>100</v>
      </c>
      <c r="O21" s="46"/>
      <c r="P21" s="47"/>
      <c r="Q21" s="47">
        <v>43.4</v>
      </c>
      <c r="R21" s="48">
        <f t="shared" si="1"/>
        <v>43.4</v>
      </c>
      <c r="S21" s="29">
        <v>4</v>
      </c>
      <c r="T21" s="286"/>
      <c r="U21" s="295"/>
      <c r="V21" s="38" t="s">
        <v>101</v>
      </c>
      <c r="W21" s="29" t="s">
        <v>20</v>
      </c>
      <c r="X21" s="29" t="s">
        <v>12</v>
      </c>
      <c r="Y21" s="39">
        <v>43.4</v>
      </c>
      <c r="AD21" s="38"/>
      <c r="AG21" s="39"/>
      <c r="AL21" s="38"/>
      <c r="AO21" s="39"/>
      <c r="AP21" s="38"/>
      <c r="AS21" s="39"/>
      <c r="AW21" s="39"/>
      <c r="BA21" s="40"/>
    </row>
    <row r="22" spans="1:53" s="171" customFormat="1" x14ac:dyDescent="0.15">
      <c r="A22" s="216">
        <v>1965.8</v>
      </c>
      <c r="B22" s="283">
        <v>24439</v>
      </c>
      <c r="C22" s="402" t="s">
        <v>249</v>
      </c>
      <c r="D22" s="402"/>
      <c r="E22" s="171">
        <v>34</v>
      </c>
      <c r="F22" s="171">
        <v>1</v>
      </c>
      <c r="G22" s="233"/>
      <c r="I22" s="171">
        <v>19</v>
      </c>
      <c r="J22" s="241">
        <v>19</v>
      </c>
      <c r="K22" s="214">
        <f t="shared" si="5"/>
        <v>0</v>
      </c>
      <c r="L22" s="214">
        <f t="shared" si="6"/>
        <v>0</v>
      </c>
      <c r="M22" s="214">
        <f t="shared" si="7"/>
        <v>100</v>
      </c>
      <c r="N22" s="235">
        <f t="shared" si="0"/>
        <v>100</v>
      </c>
      <c r="O22" s="213"/>
      <c r="P22" s="214"/>
      <c r="Q22" s="214">
        <v>39.4</v>
      </c>
      <c r="R22" s="215">
        <f t="shared" si="1"/>
        <v>39.4</v>
      </c>
      <c r="S22" s="171">
        <v>4</v>
      </c>
      <c r="T22" s="285">
        <v>24433</v>
      </c>
      <c r="U22" s="283">
        <v>24439</v>
      </c>
      <c r="V22" s="178" t="s">
        <v>101</v>
      </c>
      <c r="W22" s="171" t="s">
        <v>20</v>
      </c>
      <c r="X22" s="171" t="s">
        <v>12</v>
      </c>
      <c r="Y22" s="179">
        <v>39.4</v>
      </c>
      <c r="AD22" s="178"/>
      <c r="AG22" s="179"/>
      <c r="AL22" s="178"/>
      <c r="AO22" s="179"/>
      <c r="AP22" s="178"/>
      <c r="AS22" s="179"/>
      <c r="AW22" s="179"/>
      <c r="BA22" s="180"/>
    </row>
    <row r="23" spans="1:53" s="171" customFormat="1" x14ac:dyDescent="0.15">
      <c r="A23" s="216">
        <v>1967</v>
      </c>
      <c r="B23" s="283"/>
      <c r="C23" s="402" t="s">
        <v>249</v>
      </c>
      <c r="D23" s="402"/>
      <c r="E23" s="171">
        <v>0</v>
      </c>
      <c r="G23" s="233"/>
      <c r="I23" s="171">
        <v>19</v>
      </c>
      <c r="J23" s="241">
        <v>19</v>
      </c>
      <c r="K23" s="214">
        <f t="shared" si="5"/>
        <v>0</v>
      </c>
      <c r="L23" s="214">
        <f t="shared" si="6"/>
        <v>0</v>
      </c>
      <c r="M23" s="214">
        <f t="shared" si="7"/>
        <v>100</v>
      </c>
      <c r="N23" s="235">
        <f t="shared" si="0"/>
        <v>100</v>
      </c>
      <c r="O23" s="213"/>
      <c r="P23" s="214"/>
      <c r="Q23" s="214">
        <v>39.4</v>
      </c>
      <c r="R23" s="215">
        <f t="shared" si="1"/>
        <v>39.4</v>
      </c>
      <c r="S23" s="171">
        <v>4</v>
      </c>
      <c r="T23" s="285"/>
      <c r="U23" s="283"/>
      <c r="V23" s="178" t="s">
        <v>101</v>
      </c>
      <c r="W23" s="171" t="s">
        <v>20</v>
      </c>
      <c r="X23" s="171" t="s">
        <v>12</v>
      </c>
      <c r="Y23" s="179">
        <v>39.4</v>
      </c>
      <c r="AD23" s="178"/>
      <c r="AG23" s="179"/>
      <c r="AL23" s="178"/>
      <c r="AO23" s="179"/>
      <c r="AP23" s="178"/>
      <c r="AS23" s="179"/>
      <c r="AW23" s="179"/>
      <c r="BA23" s="180"/>
    </row>
    <row r="24" spans="1:53" s="171" customFormat="1" x14ac:dyDescent="0.15">
      <c r="A24" s="216">
        <v>1966.7142857142901</v>
      </c>
      <c r="B24" s="283"/>
      <c r="C24" s="402" t="s">
        <v>249</v>
      </c>
      <c r="D24" s="402"/>
      <c r="E24" s="171">
        <v>365</v>
      </c>
      <c r="G24" s="233"/>
      <c r="I24" s="171">
        <v>19</v>
      </c>
      <c r="J24" s="241">
        <v>19</v>
      </c>
      <c r="K24" s="214">
        <f t="shared" si="5"/>
        <v>0</v>
      </c>
      <c r="L24" s="214">
        <f t="shared" si="6"/>
        <v>0</v>
      </c>
      <c r="M24" s="214">
        <f t="shared" si="7"/>
        <v>100</v>
      </c>
      <c r="N24" s="235">
        <f t="shared" si="0"/>
        <v>100</v>
      </c>
      <c r="O24" s="213"/>
      <c r="P24" s="214"/>
      <c r="Q24" s="214">
        <v>39.4</v>
      </c>
      <c r="R24" s="215">
        <f t="shared" si="1"/>
        <v>39.4</v>
      </c>
      <c r="S24" s="171">
        <v>4</v>
      </c>
      <c r="T24" s="285"/>
      <c r="U24" s="283"/>
      <c r="V24" s="178" t="s">
        <v>101</v>
      </c>
      <c r="W24" s="171" t="s">
        <v>20</v>
      </c>
      <c r="X24" s="171" t="s">
        <v>12</v>
      </c>
      <c r="Y24" s="179">
        <v>39.4</v>
      </c>
      <c r="AD24" s="178"/>
      <c r="AG24" s="179"/>
      <c r="AL24" s="178"/>
      <c r="AO24" s="179"/>
      <c r="AP24" s="178"/>
      <c r="AS24" s="179"/>
      <c r="AW24" s="179"/>
      <c r="BA24" s="180"/>
    </row>
    <row r="25" spans="1:53" s="171" customFormat="1" x14ac:dyDescent="0.15">
      <c r="A25" s="216">
        <v>1968</v>
      </c>
      <c r="B25" s="283"/>
      <c r="C25" s="402" t="s">
        <v>249</v>
      </c>
      <c r="D25" s="402"/>
      <c r="E25" s="171">
        <v>31</v>
      </c>
      <c r="G25" s="233"/>
      <c r="I25" s="171">
        <v>19</v>
      </c>
      <c r="J25" s="241">
        <v>19</v>
      </c>
      <c r="K25" s="214">
        <f>G25/J25*100</f>
        <v>0</v>
      </c>
      <c r="L25" s="214">
        <f>H25/J25*100</f>
        <v>0</v>
      </c>
      <c r="M25" s="214">
        <f>I25/J25*100</f>
        <v>100</v>
      </c>
      <c r="N25" s="235">
        <f t="shared" si="0"/>
        <v>100</v>
      </c>
      <c r="O25" s="213"/>
      <c r="P25" s="214"/>
      <c r="Q25" s="214">
        <v>39.4</v>
      </c>
      <c r="R25" s="215">
        <f t="shared" si="1"/>
        <v>39.4</v>
      </c>
      <c r="S25" s="171">
        <v>4</v>
      </c>
      <c r="T25" s="285"/>
      <c r="U25" s="283"/>
      <c r="V25" s="178" t="s">
        <v>101</v>
      </c>
      <c r="W25" s="171" t="s">
        <v>20</v>
      </c>
      <c r="X25" s="171" t="s">
        <v>12</v>
      </c>
      <c r="Y25" s="179">
        <v>39.4</v>
      </c>
      <c r="AD25" s="178"/>
      <c r="AG25" s="179"/>
      <c r="AL25" s="178"/>
      <c r="AO25" s="179"/>
      <c r="AP25" s="178"/>
      <c r="AS25" s="179"/>
      <c r="AW25" s="179"/>
      <c r="BA25" s="180"/>
    </row>
    <row r="26" spans="1:53" s="29" customFormat="1" x14ac:dyDescent="0.15">
      <c r="A26" s="52">
        <v>1967.62857142857</v>
      </c>
      <c r="B26" s="295">
        <v>24869</v>
      </c>
      <c r="C26" s="394" t="s">
        <v>250</v>
      </c>
      <c r="D26" s="394"/>
      <c r="E26" s="29">
        <v>335</v>
      </c>
      <c r="F26" s="29">
        <v>5</v>
      </c>
      <c r="G26" s="66">
        <v>17</v>
      </c>
      <c r="J26" s="73">
        <v>17</v>
      </c>
      <c r="K26" s="47">
        <f t="shared" ref="K26:K31" si="8">G26/J26*100</f>
        <v>100</v>
      </c>
      <c r="L26" s="47">
        <f t="shared" ref="L26:L31" si="9">H26/J26*100</f>
        <v>0</v>
      </c>
      <c r="M26" s="47">
        <f t="shared" ref="M26:M31" si="10">I26/J26*100</f>
        <v>0</v>
      </c>
      <c r="N26" s="68">
        <f t="shared" si="0"/>
        <v>100</v>
      </c>
      <c r="O26" s="46">
        <v>55.9</v>
      </c>
      <c r="P26" s="47"/>
      <c r="Q26" s="47"/>
      <c r="R26" s="48">
        <f t="shared" si="1"/>
        <v>55.9</v>
      </c>
      <c r="S26" s="29">
        <v>2</v>
      </c>
      <c r="T26" s="286">
        <v>24860</v>
      </c>
      <c r="U26" s="295">
        <v>24869</v>
      </c>
      <c r="V26" s="38" t="s">
        <v>102</v>
      </c>
      <c r="W26" s="29" t="s">
        <v>22</v>
      </c>
      <c r="X26" s="29" t="s">
        <v>11</v>
      </c>
      <c r="Y26" s="39">
        <v>15.4</v>
      </c>
      <c r="Z26" s="29" t="s">
        <v>72</v>
      </c>
      <c r="AA26" s="29" t="s">
        <v>87</v>
      </c>
      <c r="AB26" s="29" t="s">
        <v>11</v>
      </c>
      <c r="AC26" s="29">
        <v>19.399999999999999</v>
      </c>
      <c r="AD26" s="38" t="s">
        <v>104</v>
      </c>
      <c r="AE26" s="29" t="s">
        <v>74</v>
      </c>
      <c r="AF26" s="29" t="s">
        <v>11</v>
      </c>
      <c r="AG26" s="39">
        <v>21.1</v>
      </c>
      <c r="AL26" s="38"/>
      <c r="AO26" s="39"/>
      <c r="AP26" s="38"/>
      <c r="AS26" s="39"/>
      <c r="AW26" s="39"/>
      <c r="BA26" s="40"/>
    </row>
    <row r="27" spans="1:53" s="29" customFormat="1" x14ac:dyDescent="0.15">
      <c r="A27" s="52">
        <v>1969</v>
      </c>
      <c r="B27" s="295"/>
      <c r="C27" s="394" t="s">
        <v>250</v>
      </c>
      <c r="D27" s="394"/>
      <c r="E27" s="29">
        <v>0</v>
      </c>
      <c r="G27" s="66">
        <v>17</v>
      </c>
      <c r="J27" s="73">
        <v>17</v>
      </c>
      <c r="K27" s="47">
        <f t="shared" si="8"/>
        <v>100</v>
      </c>
      <c r="L27" s="47">
        <f t="shared" si="9"/>
        <v>0</v>
      </c>
      <c r="M27" s="47">
        <f t="shared" si="10"/>
        <v>0</v>
      </c>
      <c r="N27" s="68">
        <f t="shared" si="0"/>
        <v>100</v>
      </c>
      <c r="O27" s="46">
        <v>55.9</v>
      </c>
      <c r="P27" s="47"/>
      <c r="Q27" s="47"/>
      <c r="R27" s="48">
        <f t="shared" si="1"/>
        <v>55.9</v>
      </c>
      <c r="S27" s="29">
        <v>2</v>
      </c>
      <c r="T27" s="286"/>
      <c r="U27" s="295"/>
      <c r="V27" s="38" t="s">
        <v>102</v>
      </c>
      <c r="W27" s="29" t="s">
        <v>22</v>
      </c>
      <c r="X27" s="29" t="s">
        <v>11</v>
      </c>
      <c r="Y27" s="39">
        <v>15.4</v>
      </c>
      <c r="Z27" s="29" t="s">
        <v>72</v>
      </c>
      <c r="AA27" s="29" t="s">
        <v>87</v>
      </c>
      <c r="AB27" s="29" t="s">
        <v>11</v>
      </c>
      <c r="AC27" s="29">
        <v>19.399999999999999</v>
      </c>
      <c r="AD27" s="38" t="s">
        <v>104</v>
      </c>
      <c r="AE27" s="29" t="s">
        <v>74</v>
      </c>
      <c r="AF27" s="29" t="s">
        <v>11</v>
      </c>
      <c r="AG27" s="39">
        <v>21.1</v>
      </c>
      <c r="AL27" s="38"/>
      <c r="AO27" s="39"/>
      <c r="AP27" s="38"/>
      <c r="AS27" s="39"/>
      <c r="AW27" s="39"/>
      <c r="BA27" s="40"/>
    </row>
    <row r="28" spans="1:53" s="29" customFormat="1" x14ac:dyDescent="0.15">
      <c r="A28" s="52">
        <v>1968.5428571428599</v>
      </c>
      <c r="B28" s="295"/>
      <c r="C28" s="394" t="s">
        <v>250</v>
      </c>
      <c r="D28" s="394"/>
      <c r="E28" s="29">
        <v>365</v>
      </c>
      <c r="G28" s="66">
        <v>17</v>
      </c>
      <c r="J28" s="73">
        <v>17</v>
      </c>
      <c r="K28" s="47">
        <f t="shared" si="8"/>
        <v>100</v>
      </c>
      <c r="L28" s="47">
        <f t="shared" si="9"/>
        <v>0</v>
      </c>
      <c r="M28" s="47">
        <f t="shared" si="10"/>
        <v>0</v>
      </c>
      <c r="N28" s="68">
        <f t="shared" si="0"/>
        <v>100</v>
      </c>
      <c r="O28" s="46">
        <v>55.9</v>
      </c>
      <c r="P28" s="47"/>
      <c r="Q28" s="47"/>
      <c r="R28" s="48">
        <f t="shared" si="1"/>
        <v>55.9</v>
      </c>
      <c r="S28" s="29">
        <v>2</v>
      </c>
      <c r="T28" s="286"/>
      <c r="U28" s="295"/>
      <c r="V28" s="38" t="s">
        <v>102</v>
      </c>
      <c r="W28" s="29" t="s">
        <v>22</v>
      </c>
      <c r="X28" s="29" t="s">
        <v>11</v>
      </c>
      <c r="Y28" s="39">
        <v>15.4</v>
      </c>
      <c r="Z28" s="29" t="s">
        <v>72</v>
      </c>
      <c r="AA28" s="29" t="s">
        <v>87</v>
      </c>
      <c r="AB28" s="29" t="s">
        <v>11</v>
      </c>
      <c r="AC28" s="29">
        <v>19.399999999999999</v>
      </c>
      <c r="AD28" s="38" t="s">
        <v>104</v>
      </c>
      <c r="AE28" s="29" t="s">
        <v>74</v>
      </c>
      <c r="AF28" s="29" t="s">
        <v>11</v>
      </c>
      <c r="AG28" s="39">
        <v>21.1</v>
      </c>
      <c r="AL28" s="38"/>
      <c r="AO28" s="39"/>
      <c r="AP28" s="38"/>
      <c r="AS28" s="39"/>
      <c r="AW28" s="39"/>
      <c r="BA28" s="40"/>
    </row>
    <row r="29" spans="1:53" s="29" customFormat="1" x14ac:dyDescent="0.15">
      <c r="A29" s="52">
        <v>1970</v>
      </c>
      <c r="B29" s="295"/>
      <c r="C29" s="394" t="s">
        <v>250</v>
      </c>
      <c r="D29" s="394"/>
      <c r="E29" s="29">
        <v>0</v>
      </c>
      <c r="G29" s="66">
        <v>17</v>
      </c>
      <c r="J29" s="73">
        <v>17</v>
      </c>
      <c r="K29" s="47">
        <f t="shared" si="8"/>
        <v>100</v>
      </c>
      <c r="L29" s="47">
        <f t="shared" si="9"/>
        <v>0</v>
      </c>
      <c r="M29" s="47">
        <f t="shared" si="10"/>
        <v>0</v>
      </c>
      <c r="N29" s="68">
        <f t="shared" si="0"/>
        <v>100</v>
      </c>
      <c r="O29" s="46">
        <v>55.9</v>
      </c>
      <c r="P29" s="47"/>
      <c r="Q29" s="47"/>
      <c r="R29" s="48">
        <f t="shared" si="1"/>
        <v>55.9</v>
      </c>
      <c r="S29" s="29">
        <v>2</v>
      </c>
      <c r="T29" s="286"/>
      <c r="U29" s="295"/>
      <c r="V29" s="38" t="s">
        <v>102</v>
      </c>
      <c r="W29" s="29" t="s">
        <v>22</v>
      </c>
      <c r="X29" s="29" t="s">
        <v>11</v>
      </c>
      <c r="Y29" s="39">
        <v>15.4</v>
      </c>
      <c r="Z29" s="29" t="s">
        <v>72</v>
      </c>
      <c r="AA29" s="29" t="s">
        <v>87</v>
      </c>
      <c r="AB29" s="29" t="s">
        <v>11</v>
      </c>
      <c r="AC29" s="29">
        <v>19.399999999999999</v>
      </c>
      <c r="AD29" s="38" t="s">
        <v>104</v>
      </c>
      <c r="AE29" s="29" t="s">
        <v>74</v>
      </c>
      <c r="AF29" s="29" t="s">
        <v>11</v>
      </c>
      <c r="AG29" s="39">
        <v>21.1</v>
      </c>
      <c r="AL29" s="38"/>
      <c r="AO29" s="39"/>
      <c r="AP29" s="38"/>
      <c r="AS29" s="39"/>
      <c r="AW29" s="39"/>
      <c r="BA29" s="40"/>
    </row>
    <row r="30" spans="1:53" s="29" customFormat="1" x14ac:dyDescent="0.15">
      <c r="A30" s="52">
        <v>1970</v>
      </c>
      <c r="B30" s="295"/>
      <c r="C30" s="394" t="s">
        <v>250</v>
      </c>
      <c r="D30" s="394"/>
      <c r="E30" s="29">
        <v>365</v>
      </c>
      <c r="G30" s="66">
        <v>17</v>
      </c>
      <c r="J30" s="73">
        <v>17</v>
      </c>
      <c r="K30" s="47">
        <f t="shared" si="8"/>
        <v>100</v>
      </c>
      <c r="L30" s="47">
        <f t="shared" si="9"/>
        <v>0</v>
      </c>
      <c r="M30" s="47">
        <f t="shared" si="10"/>
        <v>0</v>
      </c>
      <c r="N30" s="68">
        <f t="shared" si="0"/>
        <v>100</v>
      </c>
      <c r="O30" s="46">
        <v>55.9</v>
      </c>
      <c r="P30" s="47"/>
      <c r="Q30" s="47"/>
      <c r="R30" s="48">
        <f t="shared" si="1"/>
        <v>55.9</v>
      </c>
      <c r="S30" s="29">
        <v>2</v>
      </c>
      <c r="T30" s="286"/>
      <c r="U30" s="295"/>
      <c r="V30" s="38" t="s">
        <v>102</v>
      </c>
      <c r="W30" s="29" t="s">
        <v>22</v>
      </c>
      <c r="X30" s="29" t="s">
        <v>11</v>
      </c>
      <c r="Y30" s="39">
        <v>15.4</v>
      </c>
      <c r="Z30" s="29" t="s">
        <v>72</v>
      </c>
      <c r="AA30" s="29" t="s">
        <v>87</v>
      </c>
      <c r="AB30" s="29" t="s">
        <v>11</v>
      </c>
      <c r="AC30" s="29">
        <v>19.399999999999999</v>
      </c>
      <c r="AD30" s="38" t="s">
        <v>104</v>
      </c>
      <c r="AE30" s="29" t="s">
        <v>74</v>
      </c>
      <c r="AF30" s="29" t="s">
        <v>11</v>
      </c>
      <c r="AG30" s="39">
        <v>21.1</v>
      </c>
      <c r="AL30" s="38"/>
      <c r="AO30" s="39"/>
      <c r="AP30" s="38"/>
      <c r="AS30" s="39"/>
      <c r="AW30" s="39"/>
      <c r="BA30" s="40"/>
    </row>
    <row r="31" spans="1:53" s="29" customFormat="1" x14ac:dyDescent="0.15">
      <c r="A31" s="52">
        <v>1971</v>
      </c>
      <c r="B31" s="295"/>
      <c r="C31" s="394" t="s">
        <v>250</v>
      </c>
      <c r="D31" s="394"/>
      <c r="E31" s="29">
        <v>283</v>
      </c>
      <c r="G31" s="66">
        <v>17</v>
      </c>
      <c r="J31" s="73">
        <v>17</v>
      </c>
      <c r="K31" s="47">
        <f t="shared" si="8"/>
        <v>100</v>
      </c>
      <c r="L31" s="47">
        <f t="shared" si="9"/>
        <v>0</v>
      </c>
      <c r="M31" s="47">
        <f t="shared" si="10"/>
        <v>0</v>
      </c>
      <c r="N31" s="68">
        <f t="shared" si="0"/>
        <v>100</v>
      </c>
      <c r="O31" s="46">
        <v>55.9</v>
      </c>
      <c r="P31" s="47"/>
      <c r="Q31" s="47"/>
      <c r="R31" s="48">
        <f t="shared" si="1"/>
        <v>55.9</v>
      </c>
      <c r="S31" s="29">
        <v>2</v>
      </c>
      <c r="T31" s="286"/>
      <c r="U31" s="295"/>
      <c r="V31" s="38" t="s">
        <v>102</v>
      </c>
      <c r="W31" s="29" t="s">
        <v>22</v>
      </c>
      <c r="X31" s="29" t="s">
        <v>11</v>
      </c>
      <c r="Y31" s="39">
        <v>15.4</v>
      </c>
      <c r="Z31" s="29" t="s">
        <v>72</v>
      </c>
      <c r="AA31" s="29" t="s">
        <v>87</v>
      </c>
      <c r="AB31" s="29" t="s">
        <v>11</v>
      </c>
      <c r="AC31" s="29">
        <v>19.399999999999999</v>
      </c>
      <c r="AD31" s="38" t="s">
        <v>104</v>
      </c>
      <c r="AE31" s="29" t="s">
        <v>74</v>
      </c>
      <c r="AF31" s="29" t="s">
        <v>11</v>
      </c>
      <c r="AG31" s="39">
        <v>21.1</v>
      </c>
      <c r="AL31" s="38"/>
      <c r="AO31" s="39"/>
      <c r="AP31" s="38"/>
      <c r="AS31" s="39"/>
      <c r="AW31" s="39"/>
      <c r="BA31" s="40"/>
    </row>
    <row r="32" spans="1:53" s="171" customFormat="1" x14ac:dyDescent="0.15">
      <c r="A32" s="216">
        <v>1971</v>
      </c>
      <c r="B32" s="283">
        <v>26217</v>
      </c>
      <c r="C32" s="402" t="s">
        <v>251</v>
      </c>
      <c r="D32" s="402"/>
      <c r="E32" s="171">
        <v>82</v>
      </c>
      <c r="F32" s="171">
        <v>1</v>
      </c>
      <c r="G32" s="233"/>
      <c r="I32" s="171">
        <v>17</v>
      </c>
      <c r="J32" s="241">
        <v>18</v>
      </c>
      <c r="K32" s="214">
        <f>G32/J32*100</f>
        <v>0</v>
      </c>
      <c r="L32" s="214">
        <f>H32/J32*100</f>
        <v>0</v>
      </c>
      <c r="M32" s="214">
        <f>I32/J32*100</f>
        <v>94.444444444444443</v>
      </c>
      <c r="N32" s="235">
        <f t="shared" si="0"/>
        <v>94.444444444444443</v>
      </c>
      <c r="O32" s="213"/>
      <c r="P32" s="214"/>
      <c r="Q32" s="214">
        <v>40</v>
      </c>
      <c r="R32" s="215">
        <f t="shared" si="1"/>
        <v>40</v>
      </c>
      <c r="S32" s="171">
        <v>4</v>
      </c>
      <c r="T32" s="285">
        <v>26197</v>
      </c>
      <c r="U32" s="283">
        <v>26217</v>
      </c>
      <c r="V32" s="178" t="s">
        <v>101</v>
      </c>
      <c r="W32" s="171" t="s">
        <v>20</v>
      </c>
      <c r="X32" s="171" t="s">
        <v>12</v>
      </c>
      <c r="Y32" s="179">
        <v>40</v>
      </c>
      <c r="AD32" s="178"/>
      <c r="AG32" s="179"/>
      <c r="AL32" s="178"/>
      <c r="AO32" s="179"/>
      <c r="AP32" s="178"/>
      <c r="AS32" s="179"/>
      <c r="AW32" s="179"/>
      <c r="BA32" s="180"/>
    </row>
    <row r="33" spans="1:53" s="171" customFormat="1" x14ac:dyDescent="0.15">
      <c r="A33" s="216">
        <v>1972</v>
      </c>
      <c r="B33" s="283"/>
      <c r="C33" s="402" t="s">
        <v>251</v>
      </c>
      <c r="D33" s="402"/>
      <c r="E33" s="171">
        <v>278</v>
      </c>
      <c r="G33" s="233"/>
      <c r="I33" s="171">
        <v>17</v>
      </c>
      <c r="J33" s="241">
        <v>18</v>
      </c>
      <c r="K33" s="214">
        <f t="shared" ref="K33:K38" si="11">G33/J33*100</f>
        <v>0</v>
      </c>
      <c r="L33" s="214">
        <f t="shared" ref="L33:L38" si="12">H33/J33*100</f>
        <v>0</v>
      </c>
      <c r="M33" s="214">
        <f t="shared" ref="M33:M38" si="13">I33/J33*100</f>
        <v>94.444444444444443</v>
      </c>
      <c r="N33" s="235">
        <f t="shared" si="0"/>
        <v>94.444444444444443</v>
      </c>
      <c r="O33" s="213"/>
      <c r="P33" s="214"/>
      <c r="Q33" s="214">
        <v>40</v>
      </c>
      <c r="R33" s="215">
        <f t="shared" si="1"/>
        <v>40</v>
      </c>
      <c r="S33" s="171">
        <v>4</v>
      </c>
      <c r="T33" s="285"/>
      <c r="U33" s="283"/>
      <c r="V33" s="178" t="s">
        <v>101</v>
      </c>
      <c r="W33" s="171" t="s">
        <v>20</v>
      </c>
      <c r="X33" s="171" t="s">
        <v>12</v>
      </c>
      <c r="Y33" s="179">
        <v>40</v>
      </c>
      <c r="AD33" s="178"/>
      <c r="AG33" s="179"/>
      <c r="AL33" s="178"/>
      <c r="AO33" s="179"/>
      <c r="AP33" s="178"/>
      <c r="AS33" s="179"/>
      <c r="AW33" s="179"/>
      <c r="BA33" s="180"/>
    </row>
    <row r="34" spans="1:53" s="29" customFormat="1" x14ac:dyDescent="0.15">
      <c r="A34" s="52">
        <v>1972</v>
      </c>
      <c r="B34" s="295">
        <v>26577</v>
      </c>
      <c r="C34" s="394" t="s">
        <v>252</v>
      </c>
      <c r="D34" s="394"/>
      <c r="E34" s="29">
        <v>88</v>
      </c>
      <c r="F34" s="29">
        <v>2</v>
      </c>
      <c r="G34" s="66"/>
      <c r="I34" s="29">
        <v>17</v>
      </c>
      <c r="J34" s="73">
        <v>18</v>
      </c>
      <c r="K34" s="47">
        <f t="shared" si="11"/>
        <v>0</v>
      </c>
      <c r="L34" s="47">
        <f t="shared" si="12"/>
        <v>0</v>
      </c>
      <c r="M34" s="47">
        <f t="shared" si="13"/>
        <v>94.444444444444443</v>
      </c>
      <c r="N34" s="68">
        <f t="shared" si="0"/>
        <v>94.444444444444443</v>
      </c>
      <c r="O34" s="46"/>
      <c r="P34" s="47"/>
      <c r="Q34" s="47">
        <v>40</v>
      </c>
      <c r="R34" s="48">
        <f t="shared" si="1"/>
        <v>40</v>
      </c>
      <c r="S34" s="29">
        <v>4</v>
      </c>
      <c r="T34" s="286"/>
      <c r="U34" s="295">
        <v>26577</v>
      </c>
      <c r="V34" s="38" t="s">
        <v>101</v>
      </c>
      <c r="W34" s="29" t="s">
        <v>20</v>
      </c>
      <c r="X34" s="29" t="s">
        <v>12</v>
      </c>
      <c r="Y34" s="39">
        <v>40</v>
      </c>
      <c r="AD34" s="38"/>
      <c r="AG34" s="39"/>
      <c r="AL34" s="38"/>
      <c r="AO34" s="39"/>
      <c r="AP34" s="38"/>
      <c r="AS34" s="39"/>
      <c r="AW34" s="39"/>
      <c r="BA34" s="40"/>
    </row>
    <row r="35" spans="1:53" s="29" customFormat="1" x14ac:dyDescent="0.15">
      <c r="A35" s="52">
        <v>1973</v>
      </c>
      <c r="B35" s="295"/>
      <c r="C35" s="394" t="s">
        <v>252</v>
      </c>
      <c r="D35" s="394"/>
      <c r="E35" s="29">
        <v>352</v>
      </c>
      <c r="G35" s="66"/>
      <c r="I35" s="29">
        <v>17</v>
      </c>
      <c r="J35" s="73">
        <v>18</v>
      </c>
      <c r="K35" s="47">
        <f t="shared" si="11"/>
        <v>0</v>
      </c>
      <c r="L35" s="47">
        <f t="shared" si="12"/>
        <v>0</v>
      </c>
      <c r="M35" s="47">
        <f t="shared" si="13"/>
        <v>94.444444444444443</v>
      </c>
      <c r="N35" s="68">
        <f t="shared" si="0"/>
        <v>94.444444444444443</v>
      </c>
      <c r="O35" s="46"/>
      <c r="P35" s="47"/>
      <c r="Q35" s="47">
        <v>40</v>
      </c>
      <c r="R35" s="48">
        <f t="shared" si="1"/>
        <v>40</v>
      </c>
      <c r="S35" s="29">
        <v>4</v>
      </c>
      <c r="T35" s="286"/>
      <c r="U35" s="295"/>
      <c r="V35" s="38" t="s">
        <v>101</v>
      </c>
      <c r="W35" s="29" t="s">
        <v>20</v>
      </c>
      <c r="X35" s="29" t="s">
        <v>12</v>
      </c>
      <c r="Y35" s="39">
        <v>40</v>
      </c>
      <c r="AD35" s="38"/>
      <c r="AG35" s="39"/>
      <c r="AL35" s="38"/>
      <c r="AO35" s="39"/>
      <c r="AP35" s="38"/>
      <c r="AS35" s="39"/>
      <c r="AW35" s="39"/>
      <c r="BA35" s="40"/>
    </row>
    <row r="36" spans="1:53" s="171" customFormat="1" x14ac:dyDescent="0.15">
      <c r="A36" s="216">
        <v>1973</v>
      </c>
      <c r="B36" s="283">
        <v>27017</v>
      </c>
      <c r="C36" s="402" t="s">
        <v>253</v>
      </c>
      <c r="D36" s="402"/>
      <c r="E36" s="171">
        <v>13</v>
      </c>
      <c r="F36" s="171">
        <v>1</v>
      </c>
      <c r="G36" s="233">
        <v>12</v>
      </c>
      <c r="J36" s="241">
        <v>12</v>
      </c>
      <c r="K36" s="214">
        <f t="shared" si="11"/>
        <v>100</v>
      </c>
      <c r="L36" s="214">
        <f t="shared" si="12"/>
        <v>0</v>
      </c>
      <c r="M36" s="214">
        <f t="shared" si="13"/>
        <v>0</v>
      </c>
      <c r="N36" s="235">
        <f t="shared" si="0"/>
        <v>100</v>
      </c>
      <c r="O36" s="213">
        <v>12.6</v>
      </c>
      <c r="P36" s="214"/>
      <c r="Q36" s="214"/>
      <c r="R36" s="215">
        <f t="shared" si="1"/>
        <v>12.6</v>
      </c>
      <c r="S36" s="171">
        <v>4</v>
      </c>
      <c r="T36" s="285">
        <v>27002</v>
      </c>
      <c r="U36" s="283">
        <v>27017</v>
      </c>
      <c r="V36" s="178" t="s">
        <v>72</v>
      </c>
      <c r="W36" s="171" t="s">
        <v>87</v>
      </c>
      <c r="X36" s="171" t="s">
        <v>11</v>
      </c>
      <c r="Y36" s="179">
        <v>12.6</v>
      </c>
      <c r="AD36" s="178"/>
      <c r="AG36" s="179"/>
      <c r="AL36" s="178"/>
      <c r="AO36" s="179"/>
      <c r="AP36" s="178"/>
      <c r="AS36" s="179"/>
      <c r="AW36" s="179"/>
      <c r="BA36" s="180"/>
    </row>
    <row r="37" spans="1:53" s="171" customFormat="1" x14ac:dyDescent="0.15">
      <c r="A37" s="216">
        <v>1974</v>
      </c>
      <c r="B37" s="283"/>
      <c r="C37" s="402" t="s">
        <v>253</v>
      </c>
      <c r="D37" s="402"/>
      <c r="E37" s="171">
        <v>0</v>
      </c>
      <c r="G37" s="233">
        <v>12</v>
      </c>
      <c r="J37" s="241">
        <v>12</v>
      </c>
      <c r="K37" s="214">
        <f t="shared" si="11"/>
        <v>100</v>
      </c>
      <c r="L37" s="214">
        <f t="shared" si="12"/>
        <v>0</v>
      </c>
      <c r="M37" s="214">
        <f t="shared" si="13"/>
        <v>0</v>
      </c>
      <c r="N37" s="235">
        <f t="shared" si="0"/>
        <v>100</v>
      </c>
      <c r="O37" s="213">
        <v>12.6</v>
      </c>
      <c r="P37" s="214"/>
      <c r="Q37" s="214"/>
      <c r="R37" s="215">
        <f t="shared" si="1"/>
        <v>12.6</v>
      </c>
      <c r="S37" s="171">
        <v>4</v>
      </c>
      <c r="T37" s="285"/>
      <c r="U37" s="283"/>
      <c r="V37" s="178" t="s">
        <v>72</v>
      </c>
      <c r="W37" s="171" t="s">
        <v>87</v>
      </c>
      <c r="X37" s="171" t="s">
        <v>11</v>
      </c>
      <c r="Y37" s="179">
        <v>12.6</v>
      </c>
      <c r="AD37" s="178"/>
      <c r="AG37" s="179"/>
      <c r="AL37" s="178"/>
      <c r="AO37" s="179"/>
      <c r="AP37" s="178"/>
      <c r="AS37" s="179"/>
      <c r="AW37" s="179"/>
      <c r="BA37" s="180"/>
    </row>
    <row r="38" spans="1:53" s="171" customFormat="1" x14ac:dyDescent="0.15">
      <c r="A38" s="216">
        <v>1974</v>
      </c>
      <c r="B38" s="283"/>
      <c r="C38" s="402" t="s">
        <v>253</v>
      </c>
      <c r="D38" s="402"/>
      <c r="E38" s="171">
        <v>365</v>
      </c>
      <c r="G38" s="233">
        <v>12</v>
      </c>
      <c r="J38" s="241">
        <v>12</v>
      </c>
      <c r="K38" s="214">
        <f t="shared" si="11"/>
        <v>100</v>
      </c>
      <c r="L38" s="214">
        <f t="shared" si="12"/>
        <v>0</v>
      </c>
      <c r="M38" s="214">
        <f t="shared" si="13"/>
        <v>0</v>
      </c>
      <c r="N38" s="235">
        <f t="shared" si="0"/>
        <v>100</v>
      </c>
      <c r="O38" s="213">
        <v>12.6</v>
      </c>
      <c r="P38" s="214"/>
      <c r="Q38" s="214"/>
      <c r="R38" s="215">
        <f t="shared" si="1"/>
        <v>12.6</v>
      </c>
      <c r="S38" s="171">
        <v>4</v>
      </c>
      <c r="T38" s="285"/>
      <c r="U38" s="283"/>
      <c r="V38" s="178" t="s">
        <v>72</v>
      </c>
      <c r="W38" s="171" t="s">
        <v>87</v>
      </c>
      <c r="X38" s="171" t="s">
        <v>11</v>
      </c>
      <c r="Y38" s="179">
        <v>12.6</v>
      </c>
      <c r="AD38" s="178"/>
      <c r="AG38" s="179"/>
      <c r="AL38" s="178"/>
      <c r="AO38" s="179"/>
      <c r="AP38" s="178"/>
      <c r="AS38" s="179"/>
      <c r="AW38" s="179"/>
      <c r="BA38" s="180"/>
    </row>
    <row r="39" spans="1:53" s="171" customFormat="1" x14ac:dyDescent="0.15">
      <c r="A39" s="216">
        <v>1975</v>
      </c>
      <c r="B39" s="283"/>
      <c r="C39" s="402" t="s">
        <v>253</v>
      </c>
      <c r="D39" s="402"/>
      <c r="E39" s="171">
        <v>43</v>
      </c>
      <c r="G39" s="233">
        <v>12</v>
      </c>
      <c r="J39" s="241">
        <v>12</v>
      </c>
      <c r="K39" s="214">
        <f>G39/J39*100</f>
        <v>100</v>
      </c>
      <c r="L39" s="214">
        <f>H39/J39*100</f>
        <v>0</v>
      </c>
      <c r="M39" s="214">
        <f>I39/J39*100</f>
        <v>0</v>
      </c>
      <c r="N39" s="235">
        <f t="shared" si="0"/>
        <v>100</v>
      </c>
      <c r="O39" s="213">
        <v>12.6</v>
      </c>
      <c r="P39" s="214"/>
      <c r="Q39" s="214"/>
      <c r="R39" s="215">
        <f t="shared" si="1"/>
        <v>12.6</v>
      </c>
      <c r="S39" s="171">
        <v>4</v>
      </c>
      <c r="T39" s="285"/>
      <c r="U39" s="283"/>
      <c r="V39" s="178" t="s">
        <v>72</v>
      </c>
      <c r="W39" s="171" t="s">
        <v>87</v>
      </c>
      <c r="X39" s="171" t="s">
        <v>11</v>
      </c>
      <c r="Y39" s="179">
        <v>12.6</v>
      </c>
      <c r="AD39" s="178"/>
      <c r="AG39" s="179"/>
      <c r="AL39" s="178"/>
      <c r="AO39" s="179"/>
      <c r="AP39" s="178"/>
      <c r="AS39" s="179"/>
      <c r="AW39" s="179"/>
      <c r="BA39" s="180"/>
    </row>
    <row r="40" spans="1:53" s="29" customFormat="1" x14ac:dyDescent="0.15">
      <c r="A40" s="52">
        <v>1975</v>
      </c>
      <c r="B40" s="295">
        <v>27438</v>
      </c>
      <c r="C40" s="394" t="s">
        <v>254</v>
      </c>
      <c r="D40" s="394"/>
      <c r="E40" s="29">
        <v>322</v>
      </c>
      <c r="F40" s="29">
        <v>1</v>
      </c>
      <c r="G40" s="66"/>
      <c r="I40" s="29">
        <v>15</v>
      </c>
      <c r="J40" s="73">
        <v>15</v>
      </c>
      <c r="K40" s="47">
        <f t="shared" ref="K40:K45" si="14">G40/J40*100</f>
        <v>0</v>
      </c>
      <c r="L40" s="47">
        <f t="shared" ref="L40:L45" si="15">H40/J40*100</f>
        <v>0</v>
      </c>
      <c r="M40" s="47">
        <f t="shared" ref="M40:M45" si="16">I40/J40*100</f>
        <v>100</v>
      </c>
      <c r="N40" s="68">
        <f t="shared" si="0"/>
        <v>100</v>
      </c>
      <c r="O40" s="46"/>
      <c r="P40" s="47"/>
      <c r="Q40" s="47">
        <v>30.3</v>
      </c>
      <c r="R40" s="48">
        <f t="shared" si="1"/>
        <v>30.3</v>
      </c>
      <c r="S40" s="29">
        <v>4</v>
      </c>
      <c r="T40" s="286">
        <v>27403</v>
      </c>
      <c r="U40" s="295">
        <v>27438</v>
      </c>
      <c r="V40" s="38" t="s">
        <v>101</v>
      </c>
      <c r="W40" s="29" t="s">
        <v>20</v>
      </c>
      <c r="X40" s="29" t="s">
        <v>12</v>
      </c>
      <c r="Y40" s="39">
        <v>30.3</v>
      </c>
      <c r="AD40" s="38"/>
      <c r="AG40" s="39"/>
      <c r="AL40" s="38"/>
      <c r="AO40" s="39"/>
      <c r="AP40" s="38"/>
      <c r="AS40" s="39"/>
      <c r="AW40" s="39"/>
      <c r="BA40" s="40"/>
    </row>
    <row r="41" spans="1:53" s="29" customFormat="1" x14ac:dyDescent="0.15">
      <c r="A41" s="52">
        <v>1976</v>
      </c>
      <c r="B41" s="295"/>
      <c r="C41" s="394" t="s">
        <v>254</v>
      </c>
      <c r="D41" s="394"/>
      <c r="E41" s="29">
        <v>0</v>
      </c>
      <c r="G41" s="66"/>
      <c r="I41" s="29">
        <v>15</v>
      </c>
      <c r="J41" s="73">
        <v>15</v>
      </c>
      <c r="K41" s="47">
        <f t="shared" si="14"/>
        <v>0</v>
      </c>
      <c r="L41" s="47">
        <f t="shared" si="15"/>
        <v>0</v>
      </c>
      <c r="M41" s="47">
        <f t="shared" si="16"/>
        <v>100</v>
      </c>
      <c r="N41" s="68">
        <f t="shared" si="0"/>
        <v>100</v>
      </c>
      <c r="O41" s="46"/>
      <c r="P41" s="47"/>
      <c r="Q41" s="47">
        <v>30.3</v>
      </c>
      <c r="R41" s="48">
        <f t="shared" si="1"/>
        <v>30.3</v>
      </c>
      <c r="S41" s="29">
        <v>4</v>
      </c>
      <c r="T41" s="286"/>
      <c r="U41" s="295"/>
      <c r="V41" s="38" t="s">
        <v>101</v>
      </c>
      <c r="W41" s="29" t="s">
        <v>20</v>
      </c>
      <c r="X41" s="29" t="s">
        <v>12</v>
      </c>
      <c r="Y41" s="39">
        <v>30.3</v>
      </c>
      <c r="AD41" s="38"/>
      <c r="AG41" s="39"/>
      <c r="AL41" s="38"/>
      <c r="AO41" s="39"/>
      <c r="AP41" s="38"/>
      <c r="AS41" s="39"/>
      <c r="AW41" s="39"/>
      <c r="BA41" s="40"/>
    </row>
    <row r="42" spans="1:53" s="29" customFormat="1" x14ac:dyDescent="0.15">
      <c r="A42" s="52">
        <v>1976</v>
      </c>
      <c r="B42" s="295"/>
      <c r="C42" s="394" t="s">
        <v>254</v>
      </c>
      <c r="D42" s="394"/>
      <c r="E42" s="29">
        <v>366</v>
      </c>
      <c r="G42" s="66"/>
      <c r="I42" s="29">
        <v>15</v>
      </c>
      <c r="J42" s="73">
        <v>15</v>
      </c>
      <c r="K42" s="47">
        <f t="shared" si="14"/>
        <v>0</v>
      </c>
      <c r="L42" s="47">
        <f t="shared" si="15"/>
        <v>0</v>
      </c>
      <c r="M42" s="47">
        <f t="shared" si="16"/>
        <v>100</v>
      </c>
      <c r="N42" s="68">
        <f t="shared" si="0"/>
        <v>100</v>
      </c>
      <c r="O42" s="46"/>
      <c r="P42" s="47"/>
      <c r="Q42" s="47">
        <v>30.3</v>
      </c>
      <c r="R42" s="48">
        <f t="shared" si="1"/>
        <v>30.3</v>
      </c>
      <c r="S42" s="29">
        <v>4</v>
      </c>
      <c r="T42" s="286"/>
      <c r="U42" s="295"/>
      <c r="V42" s="38" t="s">
        <v>101</v>
      </c>
      <c r="W42" s="29" t="s">
        <v>20</v>
      </c>
      <c r="X42" s="29" t="s">
        <v>12</v>
      </c>
      <c r="Y42" s="39">
        <v>30.3</v>
      </c>
      <c r="AD42" s="38"/>
      <c r="AG42" s="39"/>
      <c r="AL42" s="38"/>
      <c r="AO42" s="39"/>
      <c r="AP42" s="38"/>
      <c r="AS42" s="39"/>
      <c r="AW42" s="39"/>
      <c r="BA42" s="40"/>
    </row>
    <row r="43" spans="1:53" s="29" customFormat="1" x14ac:dyDescent="0.15">
      <c r="A43" s="52">
        <v>1977</v>
      </c>
      <c r="B43" s="295"/>
      <c r="C43" s="394" t="s">
        <v>254</v>
      </c>
      <c r="D43" s="394"/>
      <c r="E43" s="29">
        <v>55</v>
      </c>
      <c r="G43" s="66"/>
      <c r="I43" s="29">
        <v>15</v>
      </c>
      <c r="J43" s="73">
        <v>15</v>
      </c>
      <c r="K43" s="47">
        <f t="shared" si="14"/>
        <v>0</v>
      </c>
      <c r="L43" s="47">
        <f t="shared" si="15"/>
        <v>0</v>
      </c>
      <c r="M43" s="47">
        <f t="shared" si="16"/>
        <v>100</v>
      </c>
      <c r="N43" s="68">
        <f t="shared" si="0"/>
        <v>100</v>
      </c>
      <c r="O43" s="46"/>
      <c r="P43" s="47"/>
      <c r="Q43" s="47">
        <v>30.3</v>
      </c>
      <c r="R43" s="48">
        <f t="shared" si="1"/>
        <v>30.3</v>
      </c>
      <c r="S43" s="29">
        <v>4</v>
      </c>
      <c r="T43" s="286"/>
      <c r="U43" s="295"/>
      <c r="V43" s="38" t="s">
        <v>101</v>
      </c>
      <c r="W43" s="29" t="s">
        <v>20</v>
      </c>
      <c r="X43" s="29" t="s">
        <v>12</v>
      </c>
      <c r="Y43" s="39">
        <v>30.3</v>
      </c>
      <c r="AD43" s="38"/>
      <c r="AG43" s="39"/>
      <c r="AL43" s="38"/>
      <c r="AO43" s="39"/>
      <c r="AP43" s="38"/>
      <c r="AS43" s="39"/>
      <c r="AW43" s="39"/>
      <c r="BA43" s="40"/>
    </row>
    <row r="44" spans="1:53" s="171" customFormat="1" x14ac:dyDescent="0.15">
      <c r="A44" s="216">
        <v>1977</v>
      </c>
      <c r="B44" s="283">
        <v>28181</v>
      </c>
      <c r="C44" s="402" t="s">
        <v>255</v>
      </c>
      <c r="D44" s="402"/>
      <c r="E44" s="171">
        <v>310</v>
      </c>
      <c r="F44" s="171">
        <v>5</v>
      </c>
      <c r="G44" s="233"/>
      <c r="I44" s="171">
        <v>17</v>
      </c>
      <c r="J44" s="241">
        <v>17</v>
      </c>
      <c r="K44" s="214">
        <f t="shared" si="14"/>
        <v>0</v>
      </c>
      <c r="L44" s="214">
        <f t="shared" si="15"/>
        <v>0</v>
      </c>
      <c r="M44" s="214">
        <f t="shared" si="16"/>
        <v>100</v>
      </c>
      <c r="N44" s="235">
        <f t="shared" si="0"/>
        <v>100</v>
      </c>
      <c r="O44" s="213"/>
      <c r="P44" s="214"/>
      <c r="Q44" s="214">
        <v>37.1</v>
      </c>
      <c r="R44" s="215">
        <f t="shared" si="1"/>
        <v>37.1</v>
      </c>
      <c r="S44" s="171">
        <v>4</v>
      </c>
      <c r="T44" s="285">
        <v>28171</v>
      </c>
      <c r="U44" s="283">
        <v>28181</v>
      </c>
      <c r="V44" s="178" t="s">
        <v>101</v>
      </c>
      <c r="W44" s="171" t="s">
        <v>20</v>
      </c>
      <c r="X44" s="171" t="s">
        <v>12</v>
      </c>
      <c r="Y44" s="179">
        <v>37.1</v>
      </c>
      <c r="AD44" s="178"/>
      <c r="AG44" s="179"/>
      <c r="AL44" s="178"/>
      <c r="AO44" s="179"/>
      <c r="AP44" s="178"/>
      <c r="AS44" s="179"/>
      <c r="AW44" s="179"/>
      <c r="BA44" s="180"/>
    </row>
    <row r="45" spans="1:53" s="171" customFormat="1" x14ac:dyDescent="0.15">
      <c r="A45" s="216">
        <v>1978</v>
      </c>
      <c r="B45" s="283"/>
      <c r="C45" s="402" t="s">
        <v>255</v>
      </c>
      <c r="D45" s="402"/>
      <c r="E45" s="171">
        <v>241</v>
      </c>
      <c r="G45" s="233"/>
      <c r="I45" s="171">
        <v>17</v>
      </c>
      <c r="J45" s="241">
        <v>17</v>
      </c>
      <c r="K45" s="214">
        <f t="shared" si="14"/>
        <v>0</v>
      </c>
      <c r="L45" s="214">
        <f t="shared" si="15"/>
        <v>0</v>
      </c>
      <c r="M45" s="214">
        <f t="shared" si="16"/>
        <v>100</v>
      </c>
      <c r="N45" s="235">
        <f t="shared" si="0"/>
        <v>100</v>
      </c>
      <c r="O45" s="213"/>
      <c r="P45" s="214"/>
      <c r="Q45" s="214">
        <v>37.1</v>
      </c>
      <c r="R45" s="215">
        <f t="shared" si="1"/>
        <v>37.1</v>
      </c>
      <c r="S45" s="171">
        <v>4</v>
      </c>
      <c r="T45" s="285"/>
      <c r="U45" s="283"/>
      <c r="V45" s="178" t="s">
        <v>101</v>
      </c>
      <c r="W45" s="171" t="s">
        <v>20</v>
      </c>
      <c r="X45" s="171" t="s">
        <v>12</v>
      </c>
      <c r="Y45" s="179">
        <v>37.1</v>
      </c>
      <c r="AD45" s="178"/>
      <c r="AG45" s="179"/>
      <c r="AL45" s="178"/>
      <c r="AO45" s="179"/>
      <c r="AP45" s="178"/>
      <c r="AS45" s="179"/>
      <c r="AW45" s="179"/>
      <c r="BA45" s="180"/>
    </row>
    <row r="46" spans="1:53" s="29" customFormat="1" x14ac:dyDescent="0.15">
      <c r="A46" s="52">
        <v>1978</v>
      </c>
      <c r="B46" s="295">
        <v>28732</v>
      </c>
      <c r="C46" s="394" t="s">
        <v>256</v>
      </c>
      <c r="D46" s="394"/>
      <c r="E46" s="29">
        <v>124</v>
      </c>
      <c r="F46" s="29">
        <v>7</v>
      </c>
      <c r="G46" s="66">
        <v>7</v>
      </c>
      <c r="I46" s="29">
        <v>14</v>
      </c>
      <c r="J46" s="73">
        <v>21</v>
      </c>
      <c r="K46" s="47">
        <f t="shared" ref="K46:K51" si="17">G46/J46*100</f>
        <v>33.333333333333329</v>
      </c>
      <c r="L46" s="47">
        <f t="shared" ref="L46:L51" si="18">H46/J46*100</f>
        <v>0</v>
      </c>
      <c r="M46" s="47">
        <f t="shared" ref="M46:M51" si="19">I46/J46*100</f>
        <v>66.666666666666657</v>
      </c>
      <c r="N46" s="68">
        <f t="shared" si="0"/>
        <v>99.999999999999986</v>
      </c>
      <c r="O46" s="46">
        <v>12</v>
      </c>
      <c r="P46" s="47"/>
      <c r="Q46" s="47">
        <v>37.1</v>
      </c>
      <c r="R46" s="48">
        <f t="shared" si="1"/>
        <v>49.1</v>
      </c>
      <c r="S46" s="29">
        <v>5</v>
      </c>
      <c r="T46" s="286"/>
      <c r="U46" s="295">
        <v>28732</v>
      </c>
      <c r="V46" s="38" t="s">
        <v>101</v>
      </c>
      <c r="W46" s="29" t="s">
        <v>20</v>
      </c>
      <c r="X46" s="29" t="s">
        <v>12</v>
      </c>
      <c r="Y46" s="39">
        <v>37.1</v>
      </c>
      <c r="Z46" s="29" t="s">
        <v>72</v>
      </c>
      <c r="AA46" s="29" t="s">
        <v>87</v>
      </c>
      <c r="AB46" s="29" t="s">
        <v>11</v>
      </c>
      <c r="AC46" s="29">
        <v>12</v>
      </c>
      <c r="AD46" s="38"/>
      <c r="AG46" s="39"/>
      <c r="AL46" s="38"/>
      <c r="AO46" s="39"/>
      <c r="AP46" s="38"/>
      <c r="AS46" s="39"/>
      <c r="AW46" s="39"/>
      <c r="BA46" s="40"/>
    </row>
    <row r="47" spans="1:53" s="29" customFormat="1" x14ac:dyDescent="0.15">
      <c r="A47" s="52">
        <v>1979</v>
      </c>
      <c r="B47" s="295"/>
      <c r="C47" s="394" t="s">
        <v>256</v>
      </c>
      <c r="D47" s="394"/>
      <c r="E47" s="29">
        <v>298</v>
      </c>
      <c r="G47" s="66">
        <v>7</v>
      </c>
      <c r="I47" s="29">
        <v>14</v>
      </c>
      <c r="J47" s="73">
        <v>21</v>
      </c>
      <c r="K47" s="47">
        <f t="shared" si="17"/>
        <v>33.333333333333329</v>
      </c>
      <c r="L47" s="47">
        <f t="shared" si="18"/>
        <v>0</v>
      </c>
      <c r="M47" s="47">
        <f t="shared" si="19"/>
        <v>66.666666666666657</v>
      </c>
      <c r="N47" s="68">
        <f t="shared" si="0"/>
        <v>99.999999999999986</v>
      </c>
      <c r="O47" s="46">
        <v>12</v>
      </c>
      <c r="P47" s="47"/>
      <c r="Q47" s="47">
        <v>37.1</v>
      </c>
      <c r="R47" s="48">
        <f t="shared" si="1"/>
        <v>49.1</v>
      </c>
      <c r="S47" s="29">
        <v>5</v>
      </c>
      <c r="T47" s="286"/>
      <c r="U47" s="295"/>
      <c r="V47" s="38" t="s">
        <v>101</v>
      </c>
      <c r="W47" s="29" t="s">
        <v>20</v>
      </c>
      <c r="X47" s="29" t="s">
        <v>12</v>
      </c>
      <c r="Y47" s="39">
        <v>37.1</v>
      </c>
      <c r="Z47" s="29" t="s">
        <v>72</v>
      </c>
      <c r="AA47" s="29" t="s">
        <v>87</v>
      </c>
      <c r="AB47" s="29" t="s">
        <v>11</v>
      </c>
      <c r="AC47" s="29">
        <v>12</v>
      </c>
      <c r="AD47" s="38"/>
      <c r="AG47" s="39"/>
      <c r="AL47" s="38"/>
      <c r="AO47" s="39"/>
      <c r="AP47" s="38"/>
      <c r="AS47" s="39"/>
      <c r="AW47" s="39"/>
      <c r="BA47" s="40"/>
    </row>
    <row r="48" spans="1:53" s="171" customFormat="1" x14ac:dyDescent="0.15">
      <c r="A48" s="216">
        <v>1979</v>
      </c>
      <c r="B48" s="283">
        <v>29154</v>
      </c>
      <c r="C48" s="402" t="s">
        <v>257</v>
      </c>
      <c r="D48" s="402"/>
      <c r="E48" s="171">
        <v>67</v>
      </c>
      <c r="F48" s="171">
        <v>4</v>
      </c>
      <c r="G48" s="233"/>
      <c r="I48" s="171">
        <v>17</v>
      </c>
      <c r="J48" s="241">
        <v>17</v>
      </c>
      <c r="K48" s="214">
        <f t="shared" si="17"/>
        <v>0</v>
      </c>
      <c r="L48" s="214">
        <f t="shared" si="18"/>
        <v>0</v>
      </c>
      <c r="M48" s="214">
        <f t="shared" si="19"/>
        <v>100</v>
      </c>
      <c r="N48" s="235">
        <f t="shared" si="0"/>
        <v>100</v>
      </c>
      <c r="O48" s="213"/>
      <c r="P48" s="214"/>
      <c r="Q48" s="214">
        <v>38.9</v>
      </c>
      <c r="R48" s="215">
        <f t="shared" si="1"/>
        <v>38.9</v>
      </c>
      <c r="S48" s="171">
        <v>4</v>
      </c>
      <c r="T48" s="285">
        <v>29151</v>
      </c>
      <c r="U48" s="283">
        <v>29154</v>
      </c>
      <c r="V48" s="178" t="s">
        <v>101</v>
      </c>
      <c r="W48" s="171" t="s">
        <v>20</v>
      </c>
      <c r="X48" s="171" t="s">
        <v>12</v>
      </c>
      <c r="Y48" s="179">
        <v>38.9</v>
      </c>
      <c r="AD48" s="178"/>
      <c r="AG48" s="179"/>
      <c r="AL48" s="178"/>
      <c r="AO48" s="179"/>
      <c r="AP48" s="178"/>
      <c r="AS48" s="179"/>
      <c r="AW48" s="179"/>
      <c r="BA48" s="180"/>
    </row>
    <row r="49" spans="1:53" s="171" customFormat="1" x14ac:dyDescent="0.15">
      <c r="A49" s="216">
        <v>1980</v>
      </c>
      <c r="B49" s="283"/>
      <c r="C49" s="402" t="s">
        <v>257</v>
      </c>
      <c r="D49" s="402"/>
      <c r="E49" s="171">
        <v>0</v>
      </c>
      <c r="G49" s="233"/>
      <c r="I49" s="171">
        <v>17</v>
      </c>
      <c r="J49" s="241">
        <v>17</v>
      </c>
      <c r="K49" s="214">
        <f t="shared" si="17"/>
        <v>0</v>
      </c>
      <c r="L49" s="214">
        <f t="shared" si="18"/>
        <v>0</v>
      </c>
      <c r="M49" s="214">
        <f t="shared" si="19"/>
        <v>100</v>
      </c>
      <c r="N49" s="235">
        <f t="shared" si="0"/>
        <v>100</v>
      </c>
      <c r="O49" s="213"/>
      <c r="P49" s="214"/>
      <c r="Q49" s="214">
        <v>38.9</v>
      </c>
      <c r="R49" s="215">
        <f t="shared" si="1"/>
        <v>38.9</v>
      </c>
      <c r="S49" s="171">
        <v>4</v>
      </c>
      <c r="T49" s="285"/>
      <c r="U49" s="283"/>
      <c r="V49" s="178" t="s">
        <v>101</v>
      </c>
      <c r="W49" s="171" t="s">
        <v>20</v>
      </c>
      <c r="X49" s="171" t="s">
        <v>12</v>
      </c>
      <c r="Y49" s="179">
        <v>38.9</v>
      </c>
      <c r="AD49" s="178"/>
      <c r="AG49" s="179"/>
      <c r="AL49" s="178"/>
      <c r="AO49" s="179"/>
      <c r="AP49" s="178"/>
      <c r="AS49" s="179"/>
      <c r="AW49" s="179"/>
      <c r="BA49" s="180"/>
    </row>
    <row r="50" spans="1:53" s="171" customFormat="1" x14ac:dyDescent="0.15">
      <c r="A50" s="216">
        <v>1980</v>
      </c>
      <c r="B50" s="283"/>
      <c r="C50" s="402" t="s">
        <v>257</v>
      </c>
      <c r="D50" s="402"/>
      <c r="E50" s="171">
        <v>366</v>
      </c>
      <c r="G50" s="233"/>
      <c r="I50" s="171">
        <v>17</v>
      </c>
      <c r="J50" s="241">
        <v>17</v>
      </c>
      <c r="K50" s="214">
        <f t="shared" si="17"/>
        <v>0</v>
      </c>
      <c r="L50" s="214">
        <f t="shared" si="18"/>
        <v>0</v>
      </c>
      <c r="M50" s="214">
        <f t="shared" si="19"/>
        <v>100</v>
      </c>
      <c r="N50" s="235">
        <f t="shared" si="0"/>
        <v>100</v>
      </c>
      <c r="O50" s="213"/>
      <c r="P50" s="214"/>
      <c r="Q50" s="214">
        <v>38.9</v>
      </c>
      <c r="R50" s="215">
        <f t="shared" si="1"/>
        <v>38.9</v>
      </c>
      <c r="S50" s="171">
        <v>4</v>
      </c>
      <c r="T50" s="285"/>
      <c r="U50" s="283"/>
      <c r="V50" s="178" t="s">
        <v>101</v>
      </c>
      <c r="W50" s="171" t="s">
        <v>20</v>
      </c>
      <c r="X50" s="171" t="s">
        <v>12</v>
      </c>
      <c r="Y50" s="179">
        <v>38.9</v>
      </c>
      <c r="AD50" s="178"/>
      <c r="AG50" s="179"/>
      <c r="AL50" s="178"/>
      <c r="AO50" s="179"/>
      <c r="AP50" s="178"/>
      <c r="AS50" s="179"/>
      <c r="AW50" s="179"/>
      <c r="BA50" s="180"/>
    </row>
    <row r="51" spans="1:53" s="171" customFormat="1" x14ac:dyDescent="0.15">
      <c r="A51" s="216">
        <v>1981</v>
      </c>
      <c r="B51" s="283"/>
      <c r="C51" s="402" t="s">
        <v>257</v>
      </c>
      <c r="D51" s="402"/>
      <c r="E51" s="171">
        <v>364</v>
      </c>
      <c r="G51" s="233"/>
      <c r="I51" s="171">
        <v>17</v>
      </c>
      <c r="J51" s="241">
        <v>17</v>
      </c>
      <c r="K51" s="214">
        <f t="shared" si="17"/>
        <v>0</v>
      </c>
      <c r="L51" s="214">
        <f t="shared" si="18"/>
        <v>0</v>
      </c>
      <c r="M51" s="214">
        <f t="shared" si="19"/>
        <v>100</v>
      </c>
      <c r="N51" s="235">
        <f t="shared" si="0"/>
        <v>100</v>
      </c>
      <c r="O51" s="213"/>
      <c r="P51" s="214"/>
      <c r="Q51" s="214">
        <v>38.9</v>
      </c>
      <c r="R51" s="215">
        <f t="shared" si="1"/>
        <v>38.9</v>
      </c>
      <c r="S51" s="171">
        <v>4</v>
      </c>
      <c r="T51" s="285"/>
      <c r="U51" s="283"/>
      <c r="V51" s="178" t="s">
        <v>101</v>
      </c>
      <c r="W51" s="171" t="s">
        <v>20</v>
      </c>
      <c r="X51" s="171" t="s">
        <v>12</v>
      </c>
      <c r="Y51" s="179">
        <v>38.9</v>
      </c>
      <c r="AD51" s="178"/>
      <c r="AG51" s="179"/>
      <c r="AL51" s="178"/>
      <c r="AO51" s="179"/>
      <c r="AP51" s="178"/>
      <c r="AS51" s="179"/>
      <c r="AW51" s="179"/>
      <c r="BA51" s="180"/>
    </row>
    <row r="52" spans="1:53" s="29" customFormat="1" x14ac:dyDescent="0.15">
      <c r="A52" s="52">
        <v>1981</v>
      </c>
      <c r="B52" s="295">
        <v>29951</v>
      </c>
      <c r="C52" s="394" t="s">
        <v>258</v>
      </c>
      <c r="D52" s="394"/>
      <c r="E52" s="29">
        <v>1</v>
      </c>
      <c r="F52" s="29">
        <v>5</v>
      </c>
      <c r="G52" s="66"/>
      <c r="I52" s="29">
        <v>20</v>
      </c>
      <c r="J52" s="73">
        <v>20</v>
      </c>
      <c r="K52" s="47">
        <f>G52/J52*100</f>
        <v>0</v>
      </c>
      <c r="L52" s="47">
        <f>H52/J52*100</f>
        <v>0</v>
      </c>
      <c r="M52" s="47">
        <f>I52/J52*100</f>
        <v>100</v>
      </c>
      <c r="N52" s="68">
        <f t="shared" si="0"/>
        <v>100</v>
      </c>
      <c r="O52" s="46"/>
      <c r="P52" s="47"/>
      <c r="Q52" s="47">
        <v>33.700000000000003</v>
      </c>
      <c r="R52" s="48">
        <f t="shared" si="1"/>
        <v>33.700000000000003</v>
      </c>
      <c r="S52" s="29">
        <v>4</v>
      </c>
      <c r="T52" s="286">
        <v>29928</v>
      </c>
      <c r="U52" s="295">
        <v>29951</v>
      </c>
      <c r="V52" s="38" t="s">
        <v>101</v>
      </c>
      <c r="W52" s="29" t="s">
        <v>20</v>
      </c>
      <c r="X52" s="29" t="s">
        <v>12</v>
      </c>
      <c r="Y52" s="39">
        <v>33.700000000000003</v>
      </c>
      <c r="AD52" s="38"/>
      <c r="AG52" s="39"/>
      <c r="AL52" s="38"/>
      <c r="AO52" s="39"/>
      <c r="AP52" s="38"/>
      <c r="AS52" s="39"/>
      <c r="AW52" s="39"/>
      <c r="BA52" s="40"/>
    </row>
    <row r="53" spans="1:53" s="29" customFormat="1" x14ac:dyDescent="0.15">
      <c r="A53" s="52">
        <v>1982</v>
      </c>
      <c r="B53" s="295"/>
      <c r="C53" s="394" t="s">
        <v>258</v>
      </c>
      <c r="D53" s="394"/>
      <c r="E53" s="29">
        <v>252</v>
      </c>
      <c r="G53" s="66"/>
      <c r="I53" s="29">
        <v>20</v>
      </c>
      <c r="J53" s="73">
        <v>20</v>
      </c>
      <c r="K53" s="47">
        <f t="shared" ref="K53:K58" si="20">G53/J53*100</f>
        <v>0</v>
      </c>
      <c r="L53" s="47">
        <f t="shared" ref="L53:L58" si="21">H53/J53*100</f>
        <v>0</v>
      </c>
      <c r="M53" s="47">
        <f t="shared" ref="M53:M58" si="22">I53/J53*100</f>
        <v>100</v>
      </c>
      <c r="N53" s="68">
        <f t="shared" si="0"/>
        <v>100</v>
      </c>
      <c r="O53" s="46"/>
      <c r="P53" s="47"/>
      <c r="Q53" s="47">
        <v>33.700000000000003</v>
      </c>
      <c r="R53" s="48">
        <f t="shared" si="1"/>
        <v>33.700000000000003</v>
      </c>
      <c r="S53" s="29">
        <v>4</v>
      </c>
      <c r="T53" s="286"/>
      <c r="U53" s="295"/>
      <c r="V53" s="38" t="s">
        <v>101</v>
      </c>
      <c r="W53" s="29" t="s">
        <v>20</v>
      </c>
      <c r="X53" s="29" t="s">
        <v>12</v>
      </c>
      <c r="Y53" s="39">
        <v>33.700000000000003</v>
      </c>
      <c r="AD53" s="38"/>
      <c r="AG53" s="39"/>
      <c r="AL53" s="38"/>
      <c r="AO53" s="39"/>
      <c r="AP53" s="38"/>
      <c r="AS53" s="39"/>
      <c r="AW53" s="39"/>
      <c r="BA53" s="40"/>
    </row>
    <row r="54" spans="1:53" s="171" customFormat="1" x14ac:dyDescent="0.15">
      <c r="A54" s="216">
        <v>1982</v>
      </c>
      <c r="B54" s="283">
        <v>30204</v>
      </c>
      <c r="C54" s="402" t="s">
        <v>259</v>
      </c>
      <c r="D54" s="402"/>
      <c r="E54" s="171">
        <v>113</v>
      </c>
      <c r="F54" s="171">
        <v>4</v>
      </c>
      <c r="G54" s="233">
        <v>16</v>
      </c>
      <c r="H54" s="171">
        <v>5</v>
      </c>
      <c r="J54" s="241">
        <v>21</v>
      </c>
      <c r="K54" s="214">
        <f t="shared" si="20"/>
        <v>76.19047619047619</v>
      </c>
      <c r="L54" s="214">
        <f t="shared" si="21"/>
        <v>23.809523809523807</v>
      </c>
      <c r="M54" s="214">
        <f t="shared" si="22"/>
        <v>0</v>
      </c>
      <c r="N54" s="235">
        <f t="shared" si="0"/>
        <v>100</v>
      </c>
      <c r="O54" s="213">
        <v>26.9</v>
      </c>
      <c r="P54" s="214">
        <v>8.6</v>
      </c>
      <c r="Q54" s="214"/>
      <c r="R54" s="215">
        <f t="shared" si="1"/>
        <v>35.5</v>
      </c>
      <c r="S54" s="171">
        <v>5</v>
      </c>
      <c r="T54" s="285"/>
      <c r="U54" s="283">
        <v>30204</v>
      </c>
      <c r="V54" s="178" t="s">
        <v>104</v>
      </c>
      <c r="W54" s="171" t="s">
        <v>74</v>
      </c>
      <c r="X54" s="171" t="s">
        <v>11</v>
      </c>
      <c r="Y54" s="179">
        <v>14.9</v>
      </c>
      <c r="Z54" s="171" t="s">
        <v>72</v>
      </c>
      <c r="AA54" s="171" t="s">
        <v>87</v>
      </c>
      <c r="AB54" s="171" t="s">
        <v>11</v>
      </c>
      <c r="AC54" s="171">
        <v>12</v>
      </c>
      <c r="AD54" s="178" t="s">
        <v>105</v>
      </c>
      <c r="AE54" s="171" t="s">
        <v>106</v>
      </c>
      <c r="AF54" s="171" t="s">
        <v>18</v>
      </c>
      <c r="AG54" s="179">
        <v>8.6</v>
      </c>
      <c r="AL54" s="178"/>
      <c r="AO54" s="179"/>
      <c r="AP54" s="178"/>
      <c r="AS54" s="179"/>
      <c r="AW54" s="179"/>
      <c r="BA54" s="180"/>
    </row>
    <row r="55" spans="1:53" s="171" customFormat="1" x14ac:dyDescent="0.15">
      <c r="A55" s="216">
        <v>1983</v>
      </c>
      <c r="B55" s="283"/>
      <c r="C55" s="402" t="s">
        <v>259</v>
      </c>
      <c r="D55" s="402"/>
      <c r="E55" s="171">
        <v>0</v>
      </c>
      <c r="G55" s="233">
        <v>16</v>
      </c>
      <c r="H55" s="171">
        <v>5</v>
      </c>
      <c r="J55" s="241">
        <v>21</v>
      </c>
      <c r="K55" s="214">
        <f t="shared" si="20"/>
        <v>76.19047619047619</v>
      </c>
      <c r="L55" s="214">
        <f t="shared" si="21"/>
        <v>23.809523809523807</v>
      </c>
      <c r="M55" s="214">
        <f t="shared" si="22"/>
        <v>0</v>
      </c>
      <c r="N55" s="235">
        <f t="shared" si="0"/>
        <v>100</v>
      </c>
      <c r="O55" s="213">
        <v>26.9</v>
      </c>
      <c r="P55" s="214">
        <v>8.6</v>
      </c>
      <c r="Q55" s="214"/>
      <c r="R55" s="215">
        <f t="shared" si="1"/>
        <v>35.5</v>
      </c>
      <c r="S55" s="171">
        <v>5</v>
      </c>
      <c r="T55" s="285"/>
      <c r="U55" s="283"/>
      <c r="V55" s="178" t="s">
        <v>104</v>
      </c>
      <c r="W55" s="171" t="s">
        <v>74</v>
      </c>
      <c r="X55" s="171" t="s">
        <v>11</v>
      </c>
      <c r="Y55" s="179">
        <v>14.9</v>
      </c>
      <c r="Z55" s="171" t="s">
        <v>72</v>
      </c>
      <c r="AA55" s="171" t="s">
        <v>87</v>
      </c>
      <c r="AB55" s="171" t="s">
        <v>11</v>
      </c>
      <c r="AC55" s="171">
        <v>12</v>
      </c>
      <c r="AD55" s="178" t="s">
        <v>105</v>
      </c>
      <c r="AE55" s="171" t="s">
        <v>106</v>
      </c>
      <c r="AF55" s="171" t="s">
        <v>18</v>
      </c>
      <c r="AG55" s="179">
        <v>8.6</v>
      </c>
      <c r="AL55" s="178"/>
      <c r="AO55" s="179"/>
      <c r="AP55" s="178"/>
      <c r="AS55" s="179"/>
      <c r="AW55" s="179"/>
      <c r="BA55" s="180"/>
    </row>
    <row r="56" spans="1:53" s="171" customFormat="1" x14ac:dyDescent="0.15">
      <c r="A56" s="216">
        <v>1983</v>
      </c>
      <c r="B56" s="283"/>
      <c r="C56" s="402" t="s">
        <v>259</v>
      </c>
      <c r="D56" s="402"/>
      <c r="E56" s="171">
        <v>365</v>
      </c>
      <c r="G56" s="233">
        <v>16</v>
      </c>
      <c r="H56" s="171">
        <v>5</v>
      </c>
      <c r="J56" s="241">
        <v>21</v>
      </c>
      <c r="K56" s="214">
        <f t="shared" si="20"/>
        <v>76.19047619047619</v>
      </c>
      <c r="L56" s="214">
        <f t="shared" si="21"/>
        <v>23.809523809523807</v>
      </c>
      <c r="M56" s="214">
        <f t="shared" si="22"/>
        <v>0</v>
      </c>
      <c r="N56" s="235">
        <f t="shared" si="0"/>
        <v>100</v>
      </c>
      <c r="O56" s="213">
        <v>26.9</v>
      </c>
      <c r="P56" s="214">
        <v>8.6</v>
      </c>
      <c r="Q56" s="214"/>
      <c r="R56" s="215">
        <f t="shared" si="1"/>
        <v>35.5</v>
      </c>
      <c r="S56" s="171">
        <v>5</v>
      </c>
      <c r="T56" s="285"/>
      <c r="U56" s="283"/>
      <c r="V56" s="178" t="s">
        <v>104</v>
      </c>
      <c r="W56" s="171" t="s">
        <v>74</v>
      </c>
      <c r="X56" s="171" t="s">
        <v>11</v>
      </c>
      <c r="Y56" s="179">
        <v>14.9</v>
      </c>
      <c r="Z56" s="171" t="s">
        <v>72</v>
      </c>
      <c r="AA56" s="171" t="s">
        <v>87</v>
      </c>
      <c r="AB56" s="171" t="s">
        <v>11</v>
      </c>
      <c r="AC56" s="171">
        <v>12</v>
      </c>
      <c r="AD56" s="178" t="s">
        <v>105</v>
      </c>
      <c r="AE56" s="171" t="s">
        <v>106</v>
      </c>
      <c r="AF56" s="171" t="s">
        <v>18</v>
      </c>
      <c r="AG56" s="179">
        <v>8.6</v>
      </c>
      <c r="AL56" s="178"/>
      <c r="AO56" s="179"/>
      <c r="AP56" s="178"/>
      <c r="AS56" s="179"/>
      <c r="AW56" s="179"/>
      <c r="BA56" s="180"/>
    </row>
    <row r="57" spans="1:53" s="171" customFormat="1" x14ac:dyDescent="0.15">
      <c r="A57" s="216">
        <v>1984</v>
      </c>
      <c r="B57" s="283"/>
      <c r="C57" s="402" t="s">
        <v>259</v>
      </c>
      <c r="D57" s="402"/>
      <c r="E57" s="171">
        <v>20</v>
      </c>
      <c r="G57" s="233">
        <v>16</v>
      </c>
      <c r="H57" s="171">
        <v>5</v>
      </c>
      <c r="J57" s="241">
        <v>21</v>
      </c>
      <c r="K57" s="214">
        <f t="shared" si="20"/>
        <v>76.19047619047619</v>
      </c>
      <c r="L57" s="214">
        <f t="shared" si="21"/>
        <v>23.809523809523807</v>
      </c>
      <c r="M57" s="214">
        <f t="shared" si="22"/>
        <v>0</v>
      </c>
      <c r="N57" s="235">
        <f t="shared" si="0"/>
        <v>100</v>
      </c>
      <c r="O57" s="213">
        <v>26.9</v>
      </c>
      <c r="P57" s="214">
        <v>8.6</v>
      </c>
      <c r="Q57" s="214"/>
      <c r="R57" s="215">
        <f t="shared" si="1"/>
        <v>35.5</v>
      </c>
      <c r="S57" s="171">
        <v>5</v>
      </c>
      <c r="T57" s="285"/>
      <c r="U57" s="283"/>
      <c r="V57" s="178" t="s">
        <v>104</v>
      </c>
      <c r="W57" s="171" t="s">
        <v>74</v>
      </c>
      <c r="X57" s="171" t="s">
        <v>11</v>
      </c>
      <c r="Y57" s="179">
        <v>14.9</v>
      </c>
      <c r="Z57" s="171" t="s">
        <v>72</v>
      </c>
      <c r="AA57" s="171" t="s">
        <v>87</v>
      </c>
      <c r="AB57" s="171" t="s">
        <v>11</v>
      </c>
      <c r="AC57" s="171">
        <v>12</v>
      </c>
      <c r="AD57" s="178" t="s">
        <v>105</v>
      </c>
      <c r="AE57" s="171" t="s">
        <v>106</v>
      </c>
      <c r="AF57" s="171" t="s">
        <v>18</v>
      </c>
      <c r="AG57" s="179">
        <v>8.6</v>
      </c>
      <c r="AL57" s="178"/>
      <c r="AO57" s="179"/>
      <c r="AP57" s="178"/>
      <c r="AS57" s="179"/>
      <c r="AW57" s="179"/>
      <c r="BA57" s="180"/>
    </row>
    <row r="58" spans="1:53" s="29" customFormat="1" x14ac:dyDescent="0.15">
      <c r="A58" s="52">
        <v>1984</v>
      </c>
      <c r="B58" s="295">
        <v>30702</v>
      </c>
      <c r="C58" s="394" t="s">
        <v>260</v>
      </c>
      <c r="D58" s="394"/>
      <c r="E58" s="29">
        <v>346</v>
      </c>
      <c r="F58" s="29">
        <v>5</v>
      </c>
      <c r="G58" s="66">
        <v>16</v>
      </c>
      <c r="H58" s="29">
        <v>5</v>
      </c>
      <c r="J58" s="73">
        <v>21</v>
      </c>
      <c r="K58" s="47">
        <f t="shared" si="20"/>
        <v>76.19047619047619</v>
      </c>
      <c r="L58" s="47">
        <f t="shared" si="21"/>
        <v>23.809523809523807</v>
      </c>
      <c r="M58" s="47">
        <f t="shared" si="22"/>
        <v>0</v>
      </c>
      <c r="N58" s="68">
        <f t="shared" si="0"/>
        <v>100</v>
      </c>
      <c r="O58" s="46">
        <v>36.6</v>
      </c>
      <c r="P58" s="47">
        <v>4.5999999999999996</v>
      </c>
      <c r="Q58" s="47"/>
      <c r="R58" s="48">
        <f t="shared" si="1"/>
        <v>41.2</v>
      </c>
      <c r="S58" s="29">
        <v>5</v>
      </c>
      <c r="T58" s="286">
        <v>30691</v>
      </c>
      <c r="U58" s="295">
        <v>30702</v>
      </c>
      <c r="V58" s="38" t="s">
        <v>104</v>
      </c>
      <c r="W58" s="29" t="s">
        <v>74</v>
      </c>
      <c r="X58" s="29" t="s">
        <v>11</v>
      </c>
      <c r="Y58" s="39">
        <v>24</v>
      </c>
      <c r="Z58" s="29" t="s">
        <v>72</v>
      </c>
      <c r="AA58" s="29" t="s">
        <v>87</v>
      </c>
      <c r="AB58" s="29" t="s">
        <v>11</v>
      </c>
      <c r="AC58" s="29">
        <v>12.6</v>
      </c>
      <c r="AD58" s="38" t="s">
        <v>105</v>
      </c>
      <c r="AE58" s="29" t="s">
        <v>106</v>
      </c>
      <c r="AF58" s="29" t="s">
        <v>18</v>
      </c>
      <c r="AG58" s="39">
        <v>4.5999999999999996</v>
      </c>
      <c r="AL58" s="38"/>
      <c r="AO58" s="39"/>
      <c r="AP58" s="38"/>
      <c r="AS58" s="39"/>
      <c r="AW58" s="39"/>
      <c r="BA58" s="40"/>
    </row>
    <row r="59" spans="1:53" s="29" customFormat="1" x14ac:dyDescent="0.15">
      <c r="A59" s="52">
        <v>1985</v>
      </c>
      <c r="B59" s="295"/>
      <c r="C59" s="394" t="s">
        <v>260</v>
      </c>
      <c r="D59" s="394"/>
      <c r="E59" s="29">
        <v>0</v>
      </c>
      <c r="G59" s="66">
        <v>16</v>
      </c>
      <c r="H59" s="29">
        <v>5</v>
      </c>
      <c r="J59" s="73">
        <v>21</v>
      </c>
      <c r="K59" s="47">
        <f>G59/J59*100</f>
        <v>76.19047619047619</v>
      </c>
      <c r="L59" s="47">
        <f>H59/J59*100</f>
        <v>23.809523809523807</v>
      </c>
      <c r="M59" s="47">
        <f>I59/J59*100</f>
        <v>0</v>
      </c>
      <c r="N59" s="68">
        <f t="shared" si="0"/>
        <v>100</v>
      </c>
      <c r="O59" s="46">
        <v>36.6</v>
      </c>
      <c r="P59" s="47">
        <v>4.5999999999999996</v>
      </c>
      <c r="Q59" s="47"/>
      <c r="R59" s="48">
        <f t="shared" si="1"/>
        <v>41.2</v>
      </c>
      <c r="S59" s="29">
        <v>5</v>
      </c>
      <c r="T59" s="286"/>
      <c r="U59" s="295"/>
      <c r="V59" s="38" t="s">
        <v>104</v>
      </c>
      <c r="W59" s="29" t="s">
        <v>74</v>
      </c>
      <c r="X59" s="29" t="s">
        <v>11</v>
      </c>
      <c r="Y59" s="39">
        <v>24</v>
      </c>
      <c r="Z59" s="29" t="s">
        <v>72</v>
      </c>
      <c r="AA59" s="29" t="s">
        <v>87</v>
      </c>
      <c r="AB59" s="29" t="s">
        <v>11</v>
      </c>
      <c r="AC59" s="29">
        <v>12.6</v>
      </c>
      <c r="AD59" s="38" t="s">
        <v>105</v>
      </c>
      <c r="AE59" s="29" t="s">
        <v>106</v>
      </c>
      <c r="AF59" s="29" t="s">
        <v>18</v>
      </c>
      <c r="AG59" s="39">
        <v>4.5999999999999996</v>
      </c>
      <c r="AL59" s="38"/>
      <c r="AO59" s="39"/>
      <c r="AP59" s="38"/>
      <c r="AS59" s="39"/>
      <c r="AW59" s="39"/>
      <c r="BA59" s="40"/>
    </row>
    <row r="60" spans="1:53" s="29" customFormat="1" x14ac:dyDescent="0.15">
      <c r="A60" s="52">
        <v>1985</v>
      </c>
      <c r="B60" s="295"/>
      <c r="C60" s="394" t="s">
        <v>260</v>
      </c>
      <c r="D60" s="394"/>
      <c r="E60" s="29">
        <v>365</v>
      </c>
      <c r="G60" s="66">
        <v>16</v>
      </c>
      <c r="H60" s="29">
        <v>5</v>
      </c>
      <c r="J60" s="73">
        <v>21</v>
      </c>
      <c r="K60" s="47">
        <f t="shared" ref="K60:K65" si="23">G60/J60*100</f>
        <v>76.19047619047619</v>
      </c>
      <c r="L60" s="47">
        <f t="shared" ref="L60:L65" si="24">H60/J60*100</f>
        <v>23.809523809523807</v>
      </c>
      <c r="M60" s="47">
        <f t="shared" ref="M60:M65" si="25">I60/J60*100</f>
        <v>0</v>
      </c>
      <c r="N60" s="68">
        <f t="shared" si="0"/>
        <v>100</v>
      </c>
      <c r="O60" s="46">
        <v>36.6</v>
      </c>
      <c r="P60" s="47">
        <v>4.5999999999999996</v>
      </c>
      <c r="Q60" s="47"/>
      <c r="R60" s="48">
        <f t="shared" si="1"/>
        <v>41.2</v>
      </c>
      <c r="S60" s="29">
        <v>5</v>
      </c>
      <c r="T60" s="286"/>
      <c r="U60" s="295"/>
      <c r="V60" s="38" t="s">
        <v>104</v>
      </c>
      <c r="W60" s="29" t="s">
        <v>74</v>
      </c>
      <c r="X60" s="29" t="s">
        <v>11</v>
      </c>
      <c r="Y60" s="39">
        <v>24</v>
      </c>
      <c r="Z60" s="29" t="s">
        <v>72</v>
      </c>
      <c r="AA60" s="29" t="s">
        <v>87</v>
      </c>
      <c r="AB60" s="29" t="s">
        <v>11</v>
      </c>
      <c r="AC60" s="29">
        <v>12.6</v>
      </c>
      <c r="AD60" s="38" t="s">
        <v>105</v>
      </c>
      <c r="AE60" s="29" t="s">
        <v>106</v>
      </c>
      <c r="AF60" s="29" t="s">
        <v>18</v>
      </c>
      <c r="AG60" s="39">
        <v>4.5999999999999996</v>
      </c>
      <c r="AL60" s="38"/>
      <c r="AO60" s="39"/>
      <c r="AP60" s="38"/>
      <c r="AS60" s="39"/>
      <c r="AW60" s="39"/>
      <c r="BA60" s="40"/>
    </row>
    <row r="61" spans="1:53" s="29" customFormat="1" x14ac:dyDescent="0.15">
      <c r="A61" s="52">
        <v>1986</v>
      </c>
      <c r="B61" s="295"/>
      <c r="C61" s="394" t="s">
        <v>260</v>
      </c>
      <c r="D61" s="394"/>
      <c r="E61" s="29">
        <v>0</v>
      </c>
      <c r="G61" s="66">
        <v>16</v>
      </c>
      <c r="H61" s="29">
        <v>5</v>
      </c>
      <c r="J61" s="73">
        <v>21</v>
      </c>
      <c r="K61" s="47">
        <f t="shared" si="23"/>
        <v>76.19047619047619</v>
      </c>
      <c r="L61" s="47">
        <f t="shared" si="24"/>
        <v>23.809523809523807</v>
      </c>
      <c r="M61" s="47">
        <f t="shared" si="25"/>
        <v>0</v>
      </c>
      <c r="N61" s="68">
        <f t="shared" si="0"/>
        <v>100</v>
      </c>
      <c r="O61" s="46">
        <v>36.6</v>
      </c>
      <c r="P61" s="47">
        <v>4.5999999999999996</v>
      </c>
      <c r="Q61" s="47"/>
      <c r="R61" s="48">
        <f t="shared" si="1"/>
        <v>41.2</v>
      </c>
      <c r="S61" s="29">
        <v>5</v>
      </c>
      <c r="T61" s="286"/>
      <c r="U61" s="295"/>
      <c r="V61" s="38" t="s">
        <v>104</v>
      </c>
      <c r="W61" s="29" t="s">
        <v>74</v>
      </c>
      <c r="X61" s="29" t="s">
        <v>11</v>
      </c>
      <c r="Y61" s="39">
        <v>24</v>
      </c>
      <c r="Z61" s="29" t="s">
        <v>72</v>
      </c>
      <c r="AA61" s="29" t="s">
        <v>87</v>
      </c>
      <c r="AB61" s="29" t="s">
        <v>11</v>
      </c>
      <c r="AC61" s="29">
        <v>12.6</v>
      </c>
      <c r="AD61" s="38" t="s">
        <v>105</v>
      </c>
      <c r="AE61" s="29" t="s">
        <v>106</v>
      </c>
      <c r="AF61" s="29" t="s">
        <v>18</v>
      </c>
      <c r="AG61" s="39">
        <v>4.5999999999999996</v>
      </c>
      <c r="AL61" s="38"/>
      <c r="AO61" s="39"/>
      <c r="AP61" s="38"/>
      <c r="AS61" s="39"/>
      <c r="AW61" s="39"/>
      <c r="BA61" s="40"/>
    </row>
    <row r="62" spans="1:53" s="29" customFormat="1" x14ac:dyDescent="0.15">
      <c r="A62" s="52">
        <v>1986</v>
      </c>
      <c r="B62" s="295"/>
      <c r="C62" s="394" t="s">
        <v>260</v>
      </c>
      <c r="D62" s="394"/>
      <c r="E62" s="29">
        <v>365</v>
      </c>
      <c r="G62" s="66">
        <v>16</v>
      </c>
      <c r="H62" s="29">
        <v>5</v>
      </c>
      <c r="J62" s="73">
        <v>21</v>
      </c>
      <c r="K62" s="47">
        <f t="shared" si="23"/>
        <v>76.19047619047619</v>
      </c>
      <c r="L62" s="47">
        <f t="shared" si="24"/>
        <v>23.809523809523807</v>
      </c>
      <c r="M62" s="47">
        <f t="shared" si="25"/>
        <v>0</v>
      </c>
      <c r="N62" s="68">
        <f t="shared" si="0"/>
        <v>100</v>
      </c>
      <c r="O62" s="46">
        <v>36.6</v>
      </c>
      <c r="P62" s="47">
        <v>4.5999999999999996</v>
      </c>
      <c r="Q62" s="47"/>
      <c r="R62" s="48">
        <f t="shared" si="1"/>
        <v>41.2</v>
      </c>
      <c r="S62" s="29">
        <v>5</v>
      </c>
      <c r="T62" s="286"/>
      <c r="U62" s="295"/>
      <c r="V62" s="38" t="s">
        <v>104</v>
      </c>
      <c r="W62" s="29" t="s">
        <v>74</v>
      </c>
      <c r="X62" s="29" t="s">
        <v>11</v>
      </c>
      <c r="Y62" s="39">
        <v>24</v>
      </c>
      <c r="Z62" s="29" t="s">
        <v>72</v>
      </c>
      <c r="AA62" s="29" t="s">
        <v>87</v>
      </c>
      <c r="AB62" s="29" t="s">
        <v>11</v>
      </c>
      <c r="AC62" s="29">
        <v>12.6</v>
      </c>
      <c r="AD62" s="38" t="s">
        <v>105</v>
      </c>
      <c r="AE62" s="29" t="s">
        <v>106</v>
      </c>
      <c r="AF62" s="29" t="s">
        <v>18</v>
      </c>
      <c r="AG62" s="39">
        <v>4.5999999999999996</v>
      </c>
      <c r="AL62" s="38"/>
      <c r="AO62" s="39"/>
      <c r="AP62" s="38"/>
      <c r="AS62" s="39"/>
      <c r="AW62" s="39"/>
      <c r="BA62" s="40"/>
    </row>
    <row r="63" spans="1:53" s="29" customFormat="1" x14ac:dyDescent="0.15">
      <c r="A63" s="52">
        <v>1987</v>
      </c>
      <c r="B63" s="295"/>
      <c r="C63" s="394" t="s">
        <v>260</v>
      </c>
      <c r="D63" s="394"/>
      <c r="E63" s="29">
        <v>252</v>
      </c>
      <c r="G63" s="66">
        <v>16</v>
      </c>
      <c r="H63" s="29">
        <v>5</v>
      </c>
      <c r="J63" s="73">
        <v>21</v>
      </c>
      <c r="K63" s="47">
        <f t="shared" si="23"/>
        <v>76.19047619047619</v>
      </c>
      <c r="L63" s="47">
        <f t="shared" si="24"/>
        <v>23.809523809523807</v>
      </c>
      <c r="M63" s="47">
        <f t="shared" si="25"/>
        <v>0</v>
      </c>
      <c r="N63" s="68">
        <f t="shared" si="0"/>
        <v>100</v>
      </c>
      <c r="O63" s="46">
        <v>36.6</v>
      </c>
      <c r="P63" s="47">
        <v>4.5999999999999996</v>
      </c>
      <c r="Q63" s="47"/>
      <c r="R63" s="48">
        <f t="shared" si="1"/>
        <v>41.2</v>
      </c>
      <c r="S63" s="29">
        <v>5</v>
      </c>
      <c r="T63" s="286"/>
      <c r="U63" s="295"/>
      <c r="V63" s="38" t="s">
        <v>104</v>
      </c>
      <c r="W63" s="29" t="s">
        <v>74</v>
      </c>
      <c r="X63" s="29" t="s">
        <v>11</v>
      </c>
      <c r="Y63" s="39">
        <v>24</v>
      </c>
      <c r="Z63" s="29" t="s">
        <v>72</v>
      </c>
      <c r="AA63" s="29" t="s">
        <v>87</v>
      </c>
      <c r="AB63" s="29" t="s">
        <v>11</v>
      </c>
      <c r="AC63" s="29">
        <v>12.6</v>
      </c>
      <c r="AD63" s="38" t="s">
        <v>105</v>
      </c>
      <c r="AE63" s="29" t="s">
        <v>106</v>
      </c>
      <c r="AF63" s="29" t="s">
        <v>18</v>
      </c>
      <c r="AG63" s="39">
        <v>4.5999999999999996</v>
      </c>
      <c r="AL63" s="38"/>
      <c r="AO63" s="39"/>
      <c r="AP63" s="38"/>
      <c r="AS63" s="39"/>
      <c r="AW63" s="39"/>
      <c r="BA63" s="40"/>
    </row>
    <row r="64" spans="1:53" s="171" customFormat="1" x14ac:dyDescent="0.15">
      <c r="A64" s="216">
        <v>1987</v>
      </c>
      <c r="B64" s="283">
        <v>32030</v>
      </c>
      <c r="C64" s="402" t="s">
        <v>261</v>
      </c>
      <c r="D64" s="402"/>
      <c r="E64" s="171">
        <v>113</v>
      </c>
      <c r="F64" s="171">
        <v>1</v>
      </c>
      <c r="G64" s="233">
        <v>18</v>
      </c>
      <c r="H64" s="171">
        <v>4</v>
      </c>
      <c r="J64" s="241">
        <v>22</v>
      </c>
      <c r="K64" s="214">
        <f t="shared" si="23"/>
        <v>81.818181818181827</v>
      </c>
      <c r="L64" s="214">
        <f t="shared" si="24"/>
        <v>18.181818181818183</v>
      </c>
      <c r="M64" s="214">
        <f t="shared" si="25"/>
        <v>0</v>
      </c>
      <c r="N64" s="235">
        <f t="shared" si="0"/>
        <v>100.00000000000001</v>
      </c>
      <c r="O64" s="213">
        <v>32.6</v>
      </c>
      <c r="P64" s="214">
        <f>5.1+2.4</f>
        <v>7.5</v>
      </c>
      <c r="Q64" s="214"/>
      <c r="R64" s="215">
        <f t="shared" si="1"/>
        <v>40.1</v>
      </c>
      <c r="S64" s="171">
        <v>5</v>
      </c>
      <c r="T64" s="285">
        <v>32028</v>
      </c>
      <c r="U64" s="283">
        <v>32030</v>
      </c>
      <c r="V64" s="178" t="s">
        <v>104</v>
      </c>
      <c r="W64" s="171" t="s">
        <v>74</v>
      </c>
      <c r="X64" s="171" t="s">
        <v>11</v>
      </c>
      <c r="Y64" s="179">
        <v>21.7</v>
      </c>
      <c r="Z64" s="171" t="s">
        <v>72</v>
      </c>
      <c r="AA64" s="171" t="s">
        <v>87</v>
      </c>
      <c r="AB64" s="171" t="s">
        <v>11</v>
      </c>
      <c r="AC64" s="171">
        <v>10.9</v>
      </c>
      <c r="AD64" s="178" t="s">
        <v>105</v>
      </c>
      <c r="AE64" s="171" t="s">
        <v>106</v>
      </c>
      <c r="AF64" s="171" t="s">
        <v>18</v>
      </c>
      <c r="AG64" s="179">
        <v>5.0999999999999996</v>
      </c>
      <c r="AH64" s="171" t="s">
        <v>264</v>
      </c>
      <c r="AI64" s="171" t="s">
        <v>17</v>
      </c>
      <c r="AJ64" s="171" t="s">
        <v>18</v>
      </c>
      <c r="AK64" s="171">
        <v>2.4</v>
      </c>
      <c r="AL64" s="178"/>
      <c r="AO64" s="179"/>
      <c r="AP64" s="178"/>
      <c r="AS64" s="179"/>
      <c r="AW64" s="179"/>
      <c r="BA64" s="180"/>
    </row>
    <row r="65" spans="1:53" s="171" customFormat="1" x14ac:dyDescent="0.15">
      <c r="A65" s="216">
        <v>1988</v>
      </c>
      <c r="B65" s="283"/>
      <c r="C65" s="402" t="s">
        <v>261</v>
      </c>
      <c r="D65" s="402"/>
      <c r="E65" s="171">
        <v>154</v>
      </c>
      <c r="G65" s="233">
        <v>18</v>
      </c>
      <c r="H65" s="171">
        <v>4</v>
      </c>
      <c r="J65" s="241">
        <v>22</v>
      </c>
      <c r="K65" s="214">
        <f t="shared" si="23"/>
        <v>81.818181818181827</v>
      </c>
      <c r="L65" s="214">
        <f t="shared" si="24"/>
        <v>18.181818181818183</v>
      </c>
      <c r="M65" s="214">
        <f t="shared" si="25"/>
        <v>0</v>
      </c>
      <c r="N65" s="235">
        <f t="shared" si="0"/>
        <v>100.00000000000001</v>
      </c>
      <c r="O65" s="213">
        <v>32.6</v>
      </c>
      <c r="P65" s="214">
        <f>5.1+2.4</f>
        <v>7.5</v>
      </c>
      <c r="Q65" s="214"/>
      <c r="R65" s="215">
        <f t="shared" si="1"/>
        <v>40.1</v>
      </c>
      <c r="S65" s="171">
        <v>5</v>
      </c>
      <c r="T65" s="285"/>
      <c r="U65" s="283"/>
      <c r="V65" s="178" t="s">
        <v>104</v>
      </c>
      <c r="W65" s="171" t="s">
        <v>74</v>
      </c>
      <c r="X65" s="171" t="s">
        <v>11</v>
      </c>
      <c r="Y65" s="179">
        <v>21.7</v>
      </c>
      <c r="Z65" s="171" t="s">
        <v>72</v>
      </c>
      <c r="AA65" s="171" t="s">
        <v>87</v>
      </c>
      <c r="AB65" s="171" t="s">
        <v>11</v>
      </c>
      <c r="AC65" s="171">
        <v>10.9</v>
      </c>
      <c r="AD65" s="178" t="s">
        <v>105</v>
      </c>
      <c r="AE65" s="171" t="s">
        <v>106</v>
      </c>
      <c r="AF65" s="171" t="s">
        <v>18</v>
      </c>
      <c r="AG65" s="179">
        <v>5.0999999999999996</v>
      </c>
      <c r="AH65" s="171" t="s">
        <v>264</v>
      </c>
      <c r="AI65" s="171" t="s">
        <v>17</v>
      </c>
      <c r="AJ65" s="171" t="s">
        <v>18</v>
      </c>
      <c r="AK65" s="171">
        <v>2.4</v>
      </c>
      <c r="AL65" s="178"/>
      <c r="AO65" s="179"/>
      <c r="AP65" s="178"/>
      <c r="AS65" s="179"/>
      <c r="AW65" s="179"/>
      <c r="BA65" s="180"/>
    </row>
    <row r="66" spans="1:53" s="29" customFormat="1" x14ac:dyDescent="0.15">
      <c r="A66" s="52">
        <v>1988</v>
      </c>
      <c r="B66" s="295">
        <v>32297</v>
      </c>
      <c r="C66" s="394" t="s">
        <v>262</v>
      </c>
      <c r="D66" s="394"/>
      <c r="E66" s="29">
        <v>212</v>
      </c>
      <c r="F66" s="29">
        <v>5</v>
      </c>
      <c r="G66" s="66">
        <v>21</v>
      </c>
      <c r="J66" s="73">
        <v>21</v>
      </c>
      <c r="K66" s="47">
        <f>G66/J66*100</f>
        <v>100</v>
      </c>
      <c r="L66" s="47">
        <f>H66/J66*100</f>
        <v>0</v>
      </c>
      <c r="M66" s="47">
        <f>I66/J66*100</f>
        <v>0</v>
      </c>
      <c r="N66" s="68">
        <f t="shared" si="0"/>
        <v>100</v>
      </c>
      <c r="O66" s="46">
        <v>38.299999999999997</v>
      </c>
      <c r="P66" s="47"/>
      <c r="Q66" s="47"/>
      <c r="R66" s="48">
        <f t="shared" si="1"/>
        <v>38.299999999999997</v>
      </c>
      <c r="S66" s="29">
        <v>5</v>
      </c>
      <c r="T66" s="286">
        <v>32273</v>
      </c>
      <c r="U66" s="295">
        <v>32297</v>
      </c>
      <c r="V66" s="38" t="s">
        <v>104</v>
      </c>
      <c r="W66" s="29" t="s">
        <v>74</v>
      </c>
      <c r="X66" s="29" t="s">
        <v>11</v>
      </c>
      <c r="Y66" s="39">
        <v>20</v>
      </c>
      <c r="Z66" s="29" t="s">
        <v>72</v>
      </c>
      <c r="AA66" s="29" t="s">
        <v>87</v>
      </c>
      <c r="AB66" s="29" t="s">
        <v>11</v>
      </c>
      <c r="AC66" s="29">
        <v>12.6</v>
      </c>
      <c r="AD66" s="38" t="s">
        <v>102</v>
      </c>
      <c r="AE66" s="29" t="s">
        <v>22</v>
      </c>
      <c r="AF66" s="29" t="s">
        <v>11</v>
      </c>
      <c r="AG66" s="39">
        <v>5.7</v>
      </c>
      <c r="AL66" s="38"/>
      <c r="AO66" s="39"/>
      <c r="AP66" s="38"/>
      <c r="AS66" s="39"/>
      <c r="AW66" s="39"/>
      <c r="BA66" s="40"/>
    </row>
    <row r="67" spans="1:53" s="29" customFormat="1" x14ac:dyDescent="0.15">
      <c r="A67" s="29">
        <v>1989</v>
      </c>
      <c r="B67" s="295"/>
      <c r="C67" s="394" t="s">
        <v>262</v>
      </c>
      <c r="D67" s="394"/>
      <c r="E67" s="29">
        <v>0</v>
      </c>
      <c r="G67" s="66">
        <v>21</v>
      </c>
      <c r="J67" s="73">
        <v>21</v>
      </c>
      <c r="K67" s="47">
        <f>G67/J67*100</f>
        <v>100</v>
      </c>
      <c r="L67" s="47">
        <f>H67/J67*100</f>
        <v>0</v>
      </c>
      <c r="M67" s="47">
        <f>I67/J67*100</f>
        <v>0</v>
      </c>
      <c r="N67" s="68">
        <f t="shared" si="0"/>
        <v>100</v>
      </c>
      <c r="O67" s="46">
        <v>38.299999999999997</v>
      </c>
      <c r="P67" s="47"/>
      <c r="Q67" s="47"/>
      <c r="R67" s="48">
        <f t="shared" si="1"/>
        <v>38.299999999999997</v>
      </c>
      <c r="S67" s="29">
        <v>5</v>
      </c>
      <c r="T67" s="286"/>
      <c r="U67" s="295"/>
      <c r="V67" s="38" t="s">
        <v>104</v>
      </c>
      <c r="W67" s="29" t="s">
        <v>74</v>
      </c>
      <c r="X67" s="29" t="s">
        <v>11</v>
      </c>
      <c r="Y67" s="39">
        <v>20</v>
      </c>
      <c r="Z67" s="29" t="s">
        <v>72</v>
      </c>
      <c r="AA67" s="29" t="s">
        <v>87</v>
      </c>
      <c r="AB67" s="29" t="s">
        <v>11</v>
      </c>
      <c r="AC67" s="29">
        <v>12.6</v>
      </c>
      <c r="AD67" s="38" t="s">
        <v>102</v>
      </c>
      <c r="AE67" s="29" t="s">
        <v>22</v>
      </c>
      <c r="AF67" s="29" t="s">
        <v>11</v>
      </c>
      <c r="AG67" s="39">
        <v>5.7</v>
      </c>
      <c r="AL67" s="38"/>
      <c r="AO67" s="39"/>
      <c r="AP67" s="38"/>
      <c r="AS67" s="39"/>
      <c r="AW67" s="39"/>
      <c r="BA67" s="40"/>
    </row>
    <row r="68" spans="1:53" s="74" customFormat="1" x14ac:dyDescent="0.15">
      <c r="A68" s="74">
        <v>1989</v>
      </c>
      <c r="B68" s="302"/>
      <c r="C68" s="418" t="s">
        <v>262</v>
      </c>
      <c r="D68" s="418"/>
      <c r="E68" s="74">
        <v>365</v>
      </c>
      <c r="G68" s="75">
        <v>21</v>
      </c>
      <c r="J68" s="76">
        <v>21</v>
      </c>
      <c r="K68" s="77">
        <f>G68/J68*100</f>
        <v>100</v>
      </c>
      <c r="L68" s="77">
        <f>H68/J68*100</f>
        <v>0</v>
      </c>
      <c r="M68" s="77">
        <f>I68/J68*100</f>
        <v>0</v>
      </c>
      <c r="N68" s="78">
        <f t="shared" si="0"/>
        <v>100</v>
      </c>
      <c r="O68" s="79">
        <v>38.299999999999997</v>
      </c>
      <c r="P68" s="77"/>
      <c r="Q68" s="77"/>
      <c r="R68" s="80">
        <f t="shared" si="1"/>
        <v>38.299999999999997</v>
      </c>
      <c r="S68" s="74">
        <v>5</v>
      </c>
      <c r="T68" s="304"/>
      <c r="U68" s="302"/>
      <c r="V68" s="81" t="s">
        <v>104</v>
      </c>
      <c r="W68" s="74" t="s">
        <v>74</v>
      </c>
      <c r="X68" s="74" t="s">
        <v>11</v>
      </c>
      <c r="Y68" s="82">
        <v>20</v>
      </c>
      <c r="Z68" s="74" t="s">
        <v>72</v>
      </c>
      <c r="AA68" s="74" t="s">
        <v>87</v>
      </c>
      <c r="AB68" s="74" t="s">
        <v>11</v>
      </c>
      <c r="AC68" s="74">
        <v>12.6</v>
      </c>
      <c r="AD68" s="81" t="s">
        <v>102</v>
      </c>
      <c r="AE68" s="74" t="s">
        <v>22</v>
      </c>
      <c r="AF68" s="74" t="s">
        <v>11</v>
      </c>
      <c r="AG68" s="82">
        <v>5.7</v>
      </c>
      <c r="AL68" s="81"/>
      <c r="AO68" s="82"/>
      <c r="AP68" s="81"/>
      <c r="AS68" s="82"/>
      <c r="AW68" s="82"/>
      <c r="BA68" s="83"/>
    </row>
    <row r="69" spans="1:53" s="29" customFormat="1" x14ac:dyDescent="0.15">
      <c r="A69" s="29">
        <v>1990</v>
      </c>
      <c r="B69" s="295"/>
      <c r="C69" s="394" t="s">
        <v>262</v>
      </c>
      <c r="D69" s="394"/>
      <c r="E69" s="29">
        <v>351</v>
      </c>
      <c r="G69" s="66">
        <v>21</v>
      </c>
      <c r="J69" s="73">
        <v>21</v>
      </c>
      <c r="K69" s="47">
        <v>100</v>
      </c>
      <c r="L69" s="47">
        <v>0</v>
      </c>
      <c r="M69" s="47">
        <v>0</v>
      </c>
      <c r="N69" s="68">
        <f t="shared" si="0"/>
        <v>100</v>
      </c>
      <c r="O69" s="46">
        <v>38.299999999999997</v>
      </c>
      <c r="P69" s="47"/>
      <c r="Q69" s="47"/>
      <c r="R69" s="48">
        <f t="shared" si="1"/>
        <v>38.299999999999997</v>
      </c>
      <c r="S69" s="29">
        <v>5</v>
      </c>
      <c r="T69" s="286"/>
      <c r="U69" s="295"/>
      <c r="V69" s="38" t="s">
        <v>104</v>
      </c>
      <c r="W69" s="29" t="s">
        <v>74</v>
      </c>
      <c r="X69" s="29" t="s">
        <v>11</v>
      </c>
      <c r="Y69" s="39">
        <v>20</v>
      </c>
      <c r="Z69" s="29" t="s">
        <v>72</v>
      </c>
      <c r="AA69" s="29" t="s">
        <v>87</v>
      </c>
      <c r="AB69" s="29" t="s">
        <v>11</v>
      </c>
      <c r="AC69" s="29">
        <v>12.6</v>
      </c>
      <c r="AD69" s="38" t="s">
        <v>102</v>
      </c>
      <c r="AE69" s="29" t="s">
        <v>22</v>
      </c>
      <c r="AF69" s="29" t="s">
        <v>11</v>
      </c>
      <c r="AG69" s="39">
        <v>5.7</v>
      </c>
      <c r="AL69" s="38"/>
      <c r="AO69" s="39"/>
      <c r="AP69" s="38"/>
      <c r="AS69" s="39"/>
      <c r="AW69" s="39"/>
      <c r="BA69" s="40"/>
    </row>
    <row r="70" spans="1:53" s="171" customFormat="1" x14ac:dyDescent="0.15">
      <c r="A70" s="171">
        <v>1990</v>
      </c>
      <c r="B70" s="283">
        <v>33225</v>
      </c>
      <c r="C70" s="402" t="s">
        <v>263</v>
      </c>
      <c r="D70" s="402"/>
      <c r="E70" s="171">
        <f>365-E69</f>
        <v>14</v>
      </c>
      <c r="F70" s="171">
        <v>5</v>
      </c>
      <c r="G70" s="233">
        <v>19</v>
      </c>
      <c r="J70" s="241">
        <v>19</v>
      </c>
      <c r="K70" s="214">
        <f>G70/J70*100</f>
        <v>100</v>
      </c>
      <c r="L70" s="214">
        <f>H70/J70*100</f>
        <v>0</v>
      </c>
      <c r="M70" s="214">
        <f>I70/J70*100</f>
        <v>0</v>
      </c>
      <c r="N70" s="235">
        <f t="shared" si="0"/>
        <v>100</v>
      </c>
      <c r="O70" s="213">
        <v>33.700000000000003</v>
      </c>
      <c r="P70" s="214"/>
      <c r="Q70" s="214"/>
      <c r="R70" s="215">
        <f t="shared" si="1"/>
        <v>33.700000000000003</v>
      </c>
      <c r="S70" s="171">
        <v>5</v>
      </c>
      <c r="T70" s="285">
        <v>33219</v>
      </c>
      <c r="U70" s="283">
        <v>33225</v>
      </c>
      <c r="V70" s="178" t="s">
        <v>104</v>
      </c>
      <c r="W70" s="171" t="s">
        <v>74</v>
      </c>
      <c r="X70" s="171" t="s">
        <v>11</v>
      </c>
      <c r="Y70" s="179">
        <v>17.100000000000001</v>
      </c>
      <c r="Z70" s="171" t="s">
        <v>72</v>
      </c>
      <c r="AA70" s="171" t="s">
        <v>87</v>
      </c>
      <c r="AB70" s="171" t="s">
        <v>11</v>
      </c>
      <c r="AC70" s="171">
        <v>16.600000000000001</v>
      </c>
      <c r="AD70" s="178"/>
      <c r="AG70" s="179"/>
      <c r="AL70" s="178"/>
      <c r="AO70" s="179"/>
      <c r="AP70" s="178"/>
      <c r="AS70" s="179"/>
      <c r="AW70" s="179"/>
      <c r="BA70" s="180"/>
    </row>
    <row r="71" spans="1:53" s="171" customFormat="1" x14ac:dyDescent="0.15">
      <c r="A71" s="171">
        <v>1991</v>
      </c>
      <c r="B71" s="283"/>
      <c r="C71" s="402" t="s">
        <v>263</v>
      </c>
      <c r="D71" s="402"/>
      <c r="E71" s="171">
        <v>0</v>
      </c>
      <c r="G71" s="233">
        <v>19</v>
      </c>
      <c r="J71" s="241">
        <v>19</v>
      </c>
      <c r="K71" s="214">
        <f>G71/J71*100</f>
        <v>100</v>
      </c>
      <c r="L71" s="214">
        <f>H71/J71*100</f>
        <v>0</v>
      </c>
      <c r="M71" s="214">
        <f>I71/J71*100</f>
        <v>0</v>
      </c>
      <c r="N71" s="235">
        <f t="shared" si="0"/>
        <v>100</v>
      </c>
      <c r="O71" s="213">
        <v>33.700000000000003</v>
      </c>
      <c r="P71" s="214"/>
      <c r="Q71" s="214"/>
      <c r="R71" s="215">
        <f t="shared" si="1"/>
        <v>33.700000000000003</v>
      </c>
      <c r="S71" s="171">
        <v>5</v>
      </c>
      <c r="T71" s="285"/>
      <c r="U71" s="283"/>
      <c r="V71" s="178" t="s">
        <v>104</v>
      </c>
      <c r="W71" s="171" t="s">
        <v>74</v>
      </c>
      <c r="X71" s="171" t="s">
        <v>11</v>
      </c>
      <c r="Y71" s="179">
        <v>17.100000000000001</v>
      </c>
      <c r="Z71" s="171" t="s">
        <v>72</v>
      </c>
      <c r="AA71" s="171" t="s">
        <v>87</v>
      </c>
      <c r="AB71" s="171" t="s">
        <v>11</v>
      </c>
      <c r="AC71" s="171">
        <v>16.600000000000001</v>
      </c>
      <c r="AD71" s="178"/>
      <c r="AG71" s="179"/>
      <c r="AL71" s="178"/>
      <c r="AO71" s="179"/>
      <c r="AP71" s="178"/>
      <c r="AS71" s="179"/>
      <c r="AW71" s="179"/>
      <c r="BA71" s="180"/>
    </row>
    <row r="72" spans="1:53" s="171" customFormat="1" x14ac:dyDescent="0.15">
      <c r="A72" s="171">
        <v>1991</v>
      </c>
      <c r="B72" s="283"/>
      <c r="C72" s="402" t="s">
        <v>263</v>
      </c>
      <c r="D72" s="402"/>
      <c r="E72" s="171">
        <f>365-E71</f>
        <v>365</v>
      </c>
      <c r="G72" s="233">
        <v>19</v>
      </c>
      <c r="J72" s="241">
        <v>19</v>
      </c>
      <c r="K72" s="214">
        <f>G72/J72*100</f>
        <v>100</v>
      </c>
      <c r="L72" s="214">
        <f>H72/J72*100</f>
        <v>0</v>
      </c>
      <c r="M72" s="214">
        <f>I72/J72*100</f>
        <v>0</v>
      </c>
      <c r="N72" s="235">
        <f t="shared" si="0"/>
        <v>100</v>
      </c>
      <c r="O72" s="213">
        <v>33.700000000000003</v>
      </c>
      <c r="P72" s="214"/>
      <c r="Q72" s="214"/>
      <c r="R72" s="215">
        <f t="shared" si="1"/>
        <v>33.700000000000003</v>
      </c>
      <c r="S72" s="171">
        <v>5</v>
      </c>
      <c r="T72" s="285"/>
      <c r="U72" s="283"/>
      <c r="V72" s="178" t="s">
        <v>104</v>
      </c>
      <c r="W72" s="171" t="s">
        <v>74</v>
      </c>
      <c r="X72" s="171" t="s">
        <v>11</v>
      </c>
      <c r="Y72" s="179">
        <v>17.100000000000001</v>
      </c>
      <c r="Z72" s="171" t="s">
        <v>72</v>
      </c>
      <c r="AA72" s="171" t="s">
        <v>87</v>
      </c>
      <c r="AB72" s="171" t="s">
        <v>11</v>
      </c>
      <c r="AC72" s="171">
        <v>16.600000000000001</v>
      </c>
      <c r="AD72" s="178"/>
      <c r="AG72" s="179"/>
      <c r="AL72" s="178"/>
      <c r="AO72" s="179"/>
      <c r="AP72" s="178"/>
      <c r="AS72" s="179"/>
      <c r="AW72" s="179"/>
      <c r="BA72" s="180"/>
    </row>
    <row r="73" spans="1:53" s="171" customFormat="1" x14ac:dyDescent="0.15">
      <c r="A73" s="171">
        <v>1992</v>
      </c>
      <c r="B73" s="283"/>
      <c r="C73" s="402" t="s">
        <v>263</v>
      </c>
      <c r="D73" s="402"/>
      <c r="E73" s="171">
        <v>0</v>
      </c>
      <c r="G73" s="233">
        <v>19</v>
      </c>
      <c r="J73" s="241">
        <v>19</v>
      </c>
      <c r="K73" s="214">
        <f>G73/J73*100</f>
        <v>100</v>
      </c>
      <c r="L73" s="214">
        <f>H73/J73*100</f>
        <v>0</v>
      </c>
      <c r="M73" s="214">
        <f>I73/J73*100</f>
        <v>0</v>
      </c>
      <c r="N73" s="235">
        <f t="shared" ref="N73:N116" si="26">SUM(K73:M73)</f>
        <v>100</v>
      </c>
      <c r="O73" s="213">
        <v>33.700000000000003</v>
      </c>
      <c r="P73" s="214"/>
      <c r="Q73" s="214"/>
      <c r="R73" s="215">
        <f t="shared" ref="R73:R116" si="27">SUM(O73:Q73)</f>
        <v>33.700000000000003</v>
      </c>
      <c r="S73" s="171">
        <v>5</v>
      </c>
      <c r="T73" s="285"/>
      <c r="U73" s="283"/>
      <c r="V73" s="178" t="s">
        <v>104</v>
      </c>
      <c r="W73" s="171" t="s">
        <v>74</v>
      </c>
      <c r="X73" s="171" t="s">
        <v>11</v>
      </c>
      <c r="Y73" s="179">
        <v>17.100000000000001</v>
      </c>
      <c r="Z73" s="171" t="s">
        <v>72</v>
      </c>
      <c r="AA73" s="171" t="s">
        <v>87</v>
      </c>
      <c r="AB73" s="171" t="s">
        <v>11</v>
      </c>
      <c r="AC73" s="171">
        <v>16.600000000000001</v>
      </c>
      <c r="AD73" s="178"/>
      <c r="AG73" s="179"/>
      <c r="AL73" s="178"/>
      <c r="AO73" s="179"/>
      <c r="AP73" s="178"/>
      <c r="AS73" s="179"/>
      <c r="AW73" s="179"/>
      <c r="BA73" s="180"/>
    </row>
    <row r="74" spans="1:53" s="171" customFormat="1" x14ac:dyDescent="0.15">
      <c r="A74" s="171">
        <v>1992</v>
      </c>
      <c r="B74" s="283"/>
      <c r="C74" s="402" t="s">
        <v>263</v>
      </c>
      <c r="D74" s="402"/>
      <c r="E74" s="171">
        <v>366</v>
      </c>
      <c r="G74" s="233">
        <v>19</v>
      </c>
      <c r="J74" s="241">
        <v>19</v>
      </c>
      <c r="K74" s="214">
        <f>G74/J74*100</f>
        <v>100</v>
      </c>
      <c r="L74" s="214">
        <f>H74/J74*100</f>
        <v>0</v>
      </c>
      <c r="M74" s="214">
        <f>I74/J74*100</f>
        <v>0</v>
      </c>
      <c r="N74" s="235">
        <f t="shared" si="26"/>
        <v>100</v>
      </c>
      <c r="O74" s="213">
        <v>33.700000000000003</v>
      </c>
      <c r="P74" s="214"/>
      <c r="Q74" s="214"/>
      <c r="R74" s="215">
        <f t="shared" si="27"/>
        <v>33.700000000000003</v>
      </c>
      <c r="S74" s="171">
        <v>5</v>
      </c>
      <c r="T74" s="285"/>
      <c r="U74" s="283"/>
      <c r="V74" s="178" t="s">
        <v>104</v>
      </c>
      <c r="W74" s="171" t="s">
        <v>74</v>
      </c>
      <c r="X74" s="171" t="s">
        <v>11</v>
      </c>
      <c r="Y74" s="179">
        <v>17.100000000000001</v>
      </c>
      <c r="Z74" s="171" t="s">
        <v>72</v>
      </c>
      <c r="AA74" s="171" t="s">
        <v>87</v>
      </c>
      <c r="AB74" s="171" t="s">
        <v>11</v>
      </c>
      <c r="AC74" s="171">
        <v>16.600000000000001</v>
      </c>
      <c r="AD74" s="178"/>
      <c r="AG74" s="179"/>
      <c r="AL74" s="178"/>
      <c r="AO74" s="179"/>
      <c r="AP74" s="178"/>
      <c r="AS74" s="179"/>
      <c r="AW74" s="179"/>
      <c r="BA74" s="180"/>
    </row>
    <row r="75" spans="1:53" s="171" customFormat="1" x14ac:dyDescent="0.15">
      <c r="A75" s="171">
        <v>1993</v>
      </c>
      <c r="B75" s="283"/>
      <c r="C75" s="402" t="s">
        <v>263</v>
      </c>
      <c r="D75" s="402"/>
      <c r="E75" s="171">
        <v>24</v>
      </c>
      <c r="G75" s="233">
        <v>19</v>
      </c>
      <c r="J75" s="241">
        <v>19</v>
      </c>
      <c r="K75" s="214">
        <f t="shared" ref="K75:K100" si="28">G75/J75*100</f>
        <v>100</v>
      </c>
      <c r="L75" s="214">
        <f t="shared" ref="L75:L100" si="29">H75/J75*100</f>
        <v>0</v>
      </c>
      <c r="M75" s="214">
        <f t="shared" ref="M75:M100" si="30">I75/J75*100</f>
        <v>0</v>
      </c>
      <c r="N75" s="235">
        <f t="shared" si="26"/>
        <v>100</v>
      </c>
      <c r="O75" s="213">
        <v>33.700000000000003</v>
      </c>
      <c r="P75" s="214"/>
      <c r="Q75" s="214"/>
      <c r="R75" s="215">
        <f t="shared" si="27"/>
        <v>33.700000000000003</v>
      </c>
      <c r="S75" s="171">
        <v>5</v>
      </c>
      <c r="T75" s="285"/>
      <c r="U75" s="283"/>
      <c r="V75" s="178" t="s">
        <v>104</v>
      </c>
      <c r="W75" s="171" t="s">
        <v>74</v>
      </c>
      <c r="X75" s="171" t="s">
        <v>11</v>
      </c>
      <c r="Y75" s="179">
        <v>17.100000000000001</v>
      </c>
      <c r="Z75" s="171" t="s">
        <v>72</v>
      </c>
      <c r="AA75" s="171" t="s">
        <v>87</v>
      </c>
      <c r="AB75" s="171" t="s">
        <v>11</v>
      </c>
      <c r="AC75" s="171">
        <v>16.600000000000001</v>
      </c>
      <c r="AD75" s="178"/>
      <c r="AG75" s="179"/>
      <c r="AL75" s="178"/>
      <c r="AO75" s="179"/>
      <c r="AP75" s="178"/>
      <c r="AS75" s="179"/>
      <c r="AW75" s="179"/>
      <c r="BA75" s="180"/>
    </row>
    <row r="76" spans="1:53" s="29" customFormat="1" x14ac:dyDescent="0.15">
      <c r="A76" s="29">
        <v>1993</v>
      </c>
      <c r="B76" s="295">
        <v>33994</v>
      </c>
      <c r="C76" s="411" t="s">
        <v>265</v>
      </c>
      <c r="D76" s="411"/>
      <c r="E76" s="29">
        <f>365-E75</f>
        <v>341</v>
      </c>
      <c r="F76" s="29">
        <v>2</v>
      </c>
      <c r="G76" s="66">
        <v>3</v>
      </c>
      <c r="H76" s="29">
        <v>6</v>
      </c>
      <c r="I76" s="29">
        <v>15</v>
      </c>
      <c r="J76" s="73">
        <v>24</v>
      </c>
      <c r="K76" s="47">
        <f t="shared" si="28"/>
        <v>12.5</v>
      </c>
      <c r="L76" s="47">
        <f t="shared" si="29"/>
        <v>25</v>
      </c>
      <c r="M76" s="47">
        <f t="shared" si="30"/>
        <v>62.5</v>
      </c>
      <c r="N76" s="68">
        <f t="shared" si="26"/>
        <v>100</v>
      </c>
      <c r="O76" s="46">
        <v>4</v>
      </c>
      <c r="P76" s="47">
        <v>7.4</v>
      </c>
      <c r="Q76" s="47">
        <v>39.4</v>
      </c>
      <c r="R76" s="48">
        <f t="shared" si="27"/>
        <v>50.8</v>
      </c>
      <c r="S76" s="29">
        <v>2</v>
      </c>
      <c r="T76" s="286"/>
      <c r="U76" s="295">
        <v>33994</v>
      </c>
      <c r="V76" s="38" t="s">
        <v>101</v>
      </c>
      <c r="W76" s="29" t="s">
        <v>20</v>
      </c>
      <c r="X76" s="29" t="s">
        <v>12</v>
      </c>
      <c r="Y76" s="39">
        <v>39.4</v>
      </c>
      <c r="Z76" s="29" t="s">
        <v>102</v>
      </c>
      <c r="AA76" s="29" t="s">
        <v>22</v>
      </c>
      <c r="AB76" s="29" t="s">
        <v>11</v>
      </c>
      <c r="AC76" s="29">
        <v>4</v>
      </c>
      <c r="AD76" s="38" t="s">
        <v>105</v>
      </c>
      <c r="AE76" s="29" t="s">
        <v>106</v>
      </c>
      <c r="AF76" s="29" t="s">
        <v>18</v>
      </c>
      <c r="AG76" s="39">
        <v>5.0999999999999996</v>
      </c>
      <c r="AH76" s="38" t="s">
        <v>264</v>
      </c>
      <c r="AI76" s="29" t="s">
        <v>17</v>
      </c>
      <c r="AJ76" s="29" t="s">
        <v>18</v>
      </c>
      <c r="AK76" s="39">
        <v>2.2999999999999998</v>
      </c>
      <c r="AL76" s="38"/>
      <c r="AO76" s="39"/>
      <c r="AP76" s="38"/>
      <c r="AS76" s="39"/>
      <c r="AW76" s="39"/>
      <c r="BA76" s="40"/>
    </row>
    <row r="77" spans="1:53" s="29" customFormat="1" x14ac:dyDescent="0.15">
      <c r="A77" s="29">
        <v>1994</v>
      </c>
      <c r="B77" s="295"/>
      <c r="C77" s="411" t="s">
        <v>265</v>
      </c>
      <c r="D77" s="411"/>
      <c r="E77" s="29">
        <v>270</v>
      </c>
      <c r="G77" s="66">
        <v>3</v>
      </c>
      <c r="H77" s="29">
        <v>6</v>
      </c>
      <c r="I77" s="29">
        <v>15</v>
      </c>
      <c r="J77" s="73">
        <v>24</v>
      </c>
      <c r="K77" s="47">
        <f t="shared" si="28"/>
        <v>12.5</v>
      </c>
      <c r="L77" s="47">
        <f t="shared" si="29"/>
        <v>25</v>
      </c>
      <c r="M77" s="47">
        <f t="shared" si="30"/>
        <v>62.5</v>
      </c>
      <c r="N77" s="68">
        <f t="shared" si="26"/>
        <v>100</v>
      </c>
      <c r="O77" s="46">
        <v>4</v>
      </c>
      <c r="P77" s="47">
        <v>7.4</v>
      </c>
      <c r="Q77" s="47">
        <v>39.4</v>
      </c>
      <c r="R77" s="48">
        <f t="shared" si="27"/>
        <v>50.8</v>
      </c>
      <c r="S77" s="29">
        <v>2</v>
      </c>
      <c r="T77" s="286"/>
      <c r="U77" s="295"/>
      <c r="V77" s="38" t="s">
        <v>101</v>
      </c>
      <c r="W77" s="29" t="s">
        <v>20</v>
      </c>
      <c r="X77" s="29" t="s">
        <v>12</v>
      </c>
      <c r="Y77" s="39">
        <v>39.4</v>
      </c>
      <c r="Z77" s="29" t="s">
        <v>102</v>
      </c>
      <c r="AA77" s="29" t="s">
        <v>22</v>
      </c>
      <c r="AB77" s="29" t="s">
        <v>11</v>
      </c>
      <c r="AC77" s="29">
        <v>4</v>
      </c>
      <c r="AD77" s="38" t="s">
        <v>105</v>
      </c>
      <c r="AE77" s="29" t="s">
        <v>106</v>
      </c>
      <c r="AF77" s="29" t="s">
        <v>18</v>
      </c>
      <c r="AG77" s="39">
        <v>5.0999999999999996</v>
      </c>
      <c r="AH77" s="38" t="s">
        <v>264</v>
      </c>
      <c r="AI77" s="29" t="s">
        <v>17</v>
      </c>
      <c r="AJ77" s="29" t="s">
        <v>18</v>
      </c>
      <c r="AK77" s="39">
        <v>2.2999999999999998</v>
      </c>
      <c r="AL77" s="38"/>
      <c r="AO77" s="39"/>
      <c r="AP77" s="38"/>
      <c r="AS77" s="39"/>
      <c r="AW77" s="39"/>
      <c r="BA77" s="40"/>
    </row>
    <row r="78" spans="1:53" s="171" customFormat="1" x14ac:dyDescent="0.15">
      <c r="A78" s="171">
        <v>1994</v>
      </c>
      <c r="B78" s="283">
        <v>34604</v>
      </c>
      <c r="C78" s="410" t="s">
        <v>266</v>
      </c>
      <c r="D78" s="410"/>
      <c r="E78" s="171">
        <f>365-E77</f>
        <v>95</v>
      </c>
      <c r="F78" s="171">
        <v>1</v>
      </c>
      <c r="G78" s="233">
        <v>3</v>
      </c>
      <c r="H78" s="171">
        <v>2</v>
      </c>
      <c r="I78" s="171">
        <v>15</v>
      </c>
      <c r="J78" s="241">
        <v>20</v>
      </c>
      <c r="K78" s="214">
        <f t="shared" si="28"/>
        <v>15</v>
      </c>
      <c r="L78" s="214">
        <f t="shared" si="29"/>
        <v>10</v>
      </c>
      <c r="M78" s="214">
        <f t="shared" si="30"/>
        <v>75</v>
      </c>
      <c r="N78" s="235">
        <f t="shared" si="26"/>
        <v>100</v>
      </c>
      <c r="O78" s="213">
        <v>4.5999999999999996</v>
      </c>
      <c r="P78" s="214">
        <v>2.9</v>
      </c>
      <c r="Q78" s="214">
        <v>35.4</v>
      </c>
      <c r="R78" s="215">
        <f t="shared" si="27"/>
        <v>42.9</v>
      </c>
      <c r="S78" s="171">
        <v>5</v>
      </c>
      <c r="T78" s="285">
        <v>34598</v>
      </c>
      <c r="U78" s="283">
        <v>34604</v>
      </c>
      <c r="V78" s="178" t="s">
        <v>101</v>
      </c>
      <c r="W78" s="171" t="s">
        <v>20</v>
      </c>
      <c r="X78" s="171" t="s">
        <v>12</v>
      </c>
      <c r="Y78" s="179">
        <v>35.4</v>
      </c>
      <c r="Z78" s="171" t="s">
        <v>102</v>
      </c>
      <c r="AA78" s="171" t="s">
        <v>22</v>
      </c>
      <c r="AB78" s="171" t="s">
        <v>11</v>
      </c>
      <c r="AC78" s="171">
        <v>4.5999999999999996</v>
      </c>
      <c r="AD78" s="178" t="s">
        <v>105</v>
      </c>
      <c r="AE78" s="171" t="s">
        <v>106</v>
      </c>
      <c r="AF78" s="171" t="s">
        <v>18</v>
      </c>
      <c r="AG78" s="179">
        <v>2.9</v>
      </c>
      <c r="AL78" s="178"/>
      <c r="AO78" s="179"/>
      <c r="AP78" s="178"/>
      <c r="AS78" s="179"/>
      <c r="AW78" s="179"/>
      <c r="BA78" s="180"/>
    </row>
    <row r="79" spans="1:53" s="171" customFormat="1" x14ac:dyDescent="0.15">
      <c r="A79" s="171">
        <v>1995</v>
      </c>
      <c r="B79" s="283"/>
      <c r="C79" s="410" t="s">
        <v>266</v>
      </c>
      <c r="D79" s="410"/>
      <c r="E79" s="171">
        <v>0</v>
      </c>
      <c r="G79" s="233">
        <v>3</v>
      </c>
      <c r="H79" s="171">
        <v>2</v>
      </c>
      <c r="I79" s="171">
        <v>15</v>
      </c>
      <c r="J79" s="241">
        <v>20</v>
      </c>
      <c r="K79" s="214">
        <f t="shared" si="28"/>
        <v>15</v>
      </c>
      <c r="L79" s="214">
        <f t="shared" si="29"/>
        <v>10</v>
      </c>
      <c r="M79" s="214">
        <f t="shared" si="30"/>
        <v>75</v>
      </c>
      <c r="N79" s="235">
        <f t="shared" si="26"/>
        <v>100</v>
      </c>
      <c r="O79" s="213">
        <v>4.5999999999999996</v>
      </c>
      <c r="P79" s="214">
        <v>2.9</v>
      </c>
      <c r="Q79" s="214">
        <v>35.4</v>
      </c>
      <c r="R79" s="215">
        <f t="shared" si="27"/>
        <v>42.9</v>
      </c>
      <c r="S79" s="171">
        <v>5</v>
      </c>
      <c r="T79" s="285"/>
      <c r="U79" s="283"/>
      <c r="V79" s="178" t="s">
        <v>101</v>
      </c>
      <c r="W79" s="171" t="s">
        <v>20</v>
      </c>
      <c r="X79" s="171" t="s">
        <v>12</v>
      </c>
      <c r="Y79" s="179">
        <v>35.4</v>
      </c>
      <c r="Z79" s="171" t="s">
        <v>102</v>
      </c>
      <c r="AA79" s="171" t="s">
        <v>22</v>
      </c>
      <c r="AB79" s="171" t="s">
        <v>11</v>
      </c>
      <c r="AC79" s="171">
        <v>4.5999999999999996</v>
      </c>
      <c r="AD79" s="178" t="s">
        <v>105</v>
      </c>
      <c r="AE79" s="171" t="s">
        <v>106</v>
      </c>
      <c r="AF79" s="171" t="s">
        <v>18</v>
      </c>
      <c r="AG79" s="179">
        <v>2.9</v>
      </c>
      <c r="AL79" s="178"/>
      <c r="AO79" s="179"/>
      <c r="AP79" s="178"/>
      <c r="AS79" s="179"/>
      <c r="AW79" s="179"/>
      <c r="BA79" s="180"/>
    </row>
    <row r="80" spans="1:53" s="171" customFormat="1" x14ac:dyDescent="0.15">
      <c r="A80" s="171">
        <v>1995</v>
      </c>
      <c r="B80" s="283"/>
      <c r="C80" s="410" t="s">
        <v>266</v>
      </c>
      <c r="D80" s="410"/>
      <c r="E80" s="171">
        <f>365-E79</f>
        <v>365</v>
      </c>
      <c r="G80" s="233">
        <v>3</v>
      </c>
      <c r="H80" s="171">
        <v>2</v>
      </c>
      <c r="I80" s="171">
        <v>15</v>
      </c>
      <c r="J80" s="241">
        <v>20</v>
      </c>
      <c r="K80" s="214">
        <f t="shared" si="28"/>
        <v>15</v>
      </c>
      <c r="L80" s="214">
        <f t="shared" si="29"/>
        <v>10</v>
      </c>
      <c r="M80" s="214">
        <f t="shared" si="30"/>
        <v>75</v>
      </c>
      <c r="N80" s="235">
        <f t="shared" si="26"/>
        <v>100</v>
      </c>
      <c r="O80" s="213">
        <v>4.5999999999999996</v>
      </c>
      <c r="P80" s="214">
        <v>2.9</v>
      </c>
      <c r="Q80" s="214">
        <v>35.4</v>
      </c>
      <c r="R80" s="215">
        <f t="shared" si="27"/>
        <v>42.9</v>
      </c>
      <c r="S80" s="171">
        <v>5</v>
      </c>
      <c r="T80" s="285"/>
      <c r="U80" s="283"/>
      <c r="V80" s="178" t="s">
        <v>101</v>
      </c>
      <c r="W80" s="171" t="s">
        <v>20</v>
      </c>
      <c r="X80" s="171" t="s">
        <v>12</v>
      </c>
      <c r="Y80" s="179">
        <v>35.4</v>
      </c>
      <c r="Z80" s="171" t="s">
        <v>102</v>
      </c>
      <c r="AA80" s="171" t="s">
        <v>22</v>
      </c>
      <c r="AB80" s="171" t="s">
        <v>11</v>
      </c>
      <c r="AC80" s="171">
        <v>4.5999999999999996</v>
      </c>
      <c r="AD80" s="178" t="s">
        <v>105</v>
      </c>
      <c r="AE80" s="171" t="s">
        <v>106</v>
      </c>
      <c r="AF80" s="171" t="s">
        <v>18</v>
      </c>
      <c r="AG80" s="179">
        <v>2.9</v>
      </c>
      <c r="AL80" s="178"/>
      <c r="AO80" s="179"/>
      <c r="AP80" s="178"/>
      <c r="AS80" s="179"/>
      <c r="AW80" s="179"/>
      <c r="BA80" s="180"/>
    </row>
    <row r="81" spans="1:53" s="171" customFormat="1" x14ac:dyDescent="0.15">
      <c r="A81" s="171">
        <v>1996</v>
      </c>
      <c r="B81" s="283"/>
      <c r="C81" s="410" t="s">
        <v>266</v>
      </c>
      <c r="D81" s="410"/>
      <c r="E81" s="171">
        <v>364</v>
      </c>
      <c r="G81" s="233">
        <v>3</v>
      </c>
      <c r="H81" s="171">
        <v>2</v>
      </c>
      <c r="I81" s="171">
        <v>15</v>
      </c>
      <c r="J81" s="241">
        <v>20</v>
      </c>
      <c r="K81" s="214">
        <f t="shared" si="28"/>
        <v>15</v>
      </c>
      <c r="L81" s="214">
        <f t="shared" si="29"/>
        <v>10</v>
      </c>
      <c r="M81" s="214">
        <f t="shared" si="30"/>
        <v>75</v>
      </c>
      <c r="N81" s="235">
        <f t="shared" si="26"/>
        <v>100</v>
      </c>
      <c r="O81" s="213">
        <v>4.5999999999999996</v>
      </c>
      <c r="P81" s="214">
        <v>2.9</v>
      </c>
      <c r="Q81" s="214">
        <v>35.4</v>
      </c>
      <c r="R81" s="215">
        <f t="shared" si="27"/>
        <v>42.9</v>
      </c>
      <c r="S81" s="171">
        <v>5</v>
      </c>
      <c r="T81" s="285"/>
      <c r="U81" s="283"/>
      <c r="V81" s="178" t="s">
        <v>101</v>
      </c>
      <c r="W81" s="171" t="s">
        <v>20</v>
      </c>
      <c r="X81" s="171" t="s">
        <v>12</v>
      </c>
      <c r="Y81" s="179">
        <v>35.4</v>
      </c>
      <c r="Z81" s="171" t="s">
        <v>102</v>
      </c>
      <c r="AA81" s="171" t="s">
        <v>22</v>
      </c>
      <c r="AB81" s="171" t="s">
        <v>11</v>
      </c>
      <c r="AC81" s="171">
        <v>4.5999999999999996</v>
      </c>
      <c r="AD81" s="178" t="s">
        <v>105</v>
      </c>
      <c r="AE81" s="171" t="s">
        <v>106</v>
      </c>
      <c r="AF81" s="171" t="s">
        <v>18</v>
      </c>
      <c r="AG81" s="179">
        <v>2.9</v>
      </c>
      <c r="AL81" s="178"/>
      <c r="AO81" s="179"/>
      <c r="AP81" s="178"/>
      <c r="AS81" s="179"/>
      <c r="AW81" s="179"/>
      <c r="BA81" s="180"/>
    </row>
    <row r="82" spans="1:53" s="29" customFormat="1" x14ac:dyDescent="0.15">
      <c r="A82" s="29">
        <v>1996</v>
      </c>
      <c r="B82" s="295">
        <v>35429</v>
      </c>
      <c r="C82" s="411" t="s">
        <v>267</v>
      </c>
      <c r="D82" s="411"/>
      <c r="E82" s="29">
        <v>2</v>
      </c>
      <c r="F82" s="29">
        <v>4</v>
      </c>
      <c r="G82" s="66">
        <v>4</v>
      </c>
      <c r="I82" s="29">
        <v>15</v>
      </c>
      <c r="J82" s="73">
        <v>19</v>
      </c>
      <c r="K82" s="47">
        <f t="shared" si="28"/>
        <v>21.052631578947366</v>
      </c>
      <c r="L82" s="47">
        <f t="shared" si="29"/>
        <v>0</v>
      </c>
      <c r="M82" s="47">
        <f t="shared" si="30"/>
        <v>78.94736842105263</v>
      </c>
      <c r="N82" s="68">
        <f t="shared" si="26"/>
        <v>100</v>
      </c>
      <c r="O82" s="46">
        <v>4.5999999999999996</v>
      </c>
      <c r="P82" s="47"/>
      <c r="Q82" s="47">
        <v>35.4</v>
      </c>
      <c r="R82" s="48">
        <f t="shared" si="27"/>
        <v>40</v>
      </c>
      <c r="S82" s="29">
        <v>5</v>
      </c>
      <c r="T82" s="286"/>
      <c r="U82" s="295">
        <v>35429</v>
      </c>
      <c r="V82" s="38" t="s">
        <v>101</v>
      </c>
      <c r="W82" s="29" t="s">
        <v>20</v>
      </c>
      <c r="X82" s="29" t="s">
        <v>12</v>
      </c>
      <c r="Y82" s="39">
        <v>35.4</v>
      </c>
      <c r="Z82" s="29" t="s">
        <v>102</v>
      </c>
      <c r="AA82" s="29" t="s">
        <v>22</v>
      </c>
      <c r="AB82" s="29" t="s">
        <v>11</v>
      </c>
      <c r="AC82" s="29">
        <v>4.5999999999999996</v>
      </c>
      <c r="AD82" s="38"/>
      <c r="AG82" s="39"/>
      <c r="AL82" s="38"/>
      <c r="AO82" s="39"/>
      <c r="AP82" s="38"/>
      <c r="AS82" s="39"/>
      <c r="AW82" s="39"/>
      <c r="BA82" s="40"/>
    </row>
    <row r="83" spans="1:53" s="29" customFormat="1" x14ac:dyDescent="0.15">
      <c r="A83" s="29">
        <v>1997</v>
      </c>
      <c r="B83" s="295"/>
      <c r="C83" s="411" t="s">
        <v>267</v>
      </c>
      <c r="D83" s="411"/>
      <c r="E83" s="29">
        <v>292</v>
      </c>
      <c r="G83" s="66">
        <v>4</v>
      </c>
      <c r="I83" s="29">
        <v>15</v>
      </c>
      <c r="J83" s="73">
        <v>19</v>
      </c>
      <c r="K83" s="47">
        <f t="shared" si="28"/>
        <v>21.052631578947366</v>
      </c>
      <c r="L83" s="47">
        <f t="shared" si="29"/>
        <v>0</v>
      </c>
      <c r="M83" s="47">
        <f t="shared" si="30"/>
        <v>78.94736842105263</v>
      </c>
      <c r="N83" s="68">
        <f t="shared" si="26"/>
        <v>100</v>
      </c>
      <c r="O83" s="46">
        <v>4.5999999999999996</v>
      </c>
      <c r="P83" s="47"/>
      <c r="Q83" s="47">
        <v>35.4</v>
      </c>
      <c r="R83" s="48">
        <f t="shared" si="27"/>
        <v>40</v>
      </c>
      <c r="S83" s="29">
        <v>5</v>
      </c>
      <c r="T83" s="286"/>
      <c r="U83" s="295"/>
      <c r="V83" s="38" t="s">
        <v>101</v>
      </c>
      <c r="W83" s="29" t="s">
        <v>20</v>
      </c>
      <c r="X83" s="29" t="s">
        <v>12</v>
      </c>
      <c r="Y83" s="39">
        <v>35.4</v>
      </c>
      <c r="Z83" s="29" t="s">
        <v>102</v>
      </c>
      <c r="AA83" s="29" t="s">
        <v>22</v>
      </c>
      <c r="AB83" s="29" t="s">
        <v>11</v>
      </c>
      <c r="AC83" s="29">
        <v>4.5999999999999996</v>
      </c>
      <c r="AD83" s="38"/>
      <c r="AG83" s="39"/>
      <c r="AL83" s="38"/>
      <c r="AO83" s="39"/>
      <c r="AP83" s="38"/>
      <c r="AS83" s="39"/>
      <c r="AW83" s="39"/>
      <c r="BA83" s="40"/>
    </row>
    <row r="84" spans="1:53" s="29" customFormat="1" x14ac:dyDescent="0.15">
      <c r="A84" s="29">
        <v>1997</v>
      </c>
      <c r="B84" s="303">
        <v>35723</v>
      </c>
      <c r="C84" s="411" t="s">
        <v>267</v>
      </c>
      <c r="D84" s="411"/>
      <c r="E84" s="29">
        <f>365-E83</f>
        <v>73</v>
      </c>
      <c r="F84" s="84">
        <v>0</v>
      </c>
      <c r="G84" s="66">
        <v>4</v>
      </c>
      <c r="I84" s="29">
        <v>16</v>
      </c>
      <c r="J84" s="73">
        <v>20</v>
      </c>
      <c r="K84" s="47">
        <f t="shared" si="28"/>
        <v>20</v>
      </c>
      <c r="L84" s="47">
        <f t="shared" si="29"/>
        <v>0</v>
      </c>
      <c r="M84" s="47">
        <f t="shared" si="30"/>
        <v>80</v>
      </c>
      <c r="N84" s="68">
        <f t="shared" si="26"/>
        <v>100</v>
      </c>
      <c r="O84" s="46">
        <v>4.5999999999999996</v>
      </c>
      <c r="P84" s="47"/>
      <c r="Q84" s="47">
        <v>35.4</v>
      </c>
      <c r="R84" s="48">
        <f t="shared" si="27"/>
        <v>40</v>
      </c>
      <c r="S84" s="29">
        <v>5</v>
      </c>
      <c r="T84" s="286"/>
      <c r="U84" s="295"/>
      <c r="V84" s="38" t="s">
        <v>101</v>
      </c>
      <c r="W84" s="29" t="s">
        <v>20</v>
      </c>
      <c r="X84" s="29" t="s">
        <v>12</v>
      </c>
      <c r="Y84" s="39">
        <v>35.4</v>
      </c>
      <c r="Z84" s="29" t="s">
        <v>102</v>
      </c>
      <c r="AA84" s="29" t="s">
        <v>22</v>
      </c>
      <c r="AB84" s="29" t="s">
        <v>11</v>
      </c>
      <c r="AC84" s="29">
        <v>4.5999999999999996</v>
      </c>
      <c r="AD84" s="38"/>
      <c r="AG84" s="39"/>
      <c r="AL84" s="38"/>
      <c r="AO84" s="39"/>
      <c r="AP84" s="38"/>
      <c r="AS84" s="39"/>
      <c r="AW84" s="39"/>
      <c r="BA84" s="40"/>
    </row>
    <row r="85" spans="1:53" s="29" customFormat="1" x14ac:dyDescent="0.15">
      <c r="A85" s="29">
        <v>1998</v>
      </c>
      <c r="B85" s="295"/>
      <c r="C85" s="411" t="s">
        <v>267</v>
      </c>
      <c r="D85" s="411"/>
      <c r="E85" s="29">
        <v>81</v>
      </c>
      <c r="G85" s="66">
        <v>4</v>
      </c>
      <c r="I85" s="29">
        <v>16</v>
      </c>
      <c r="J85" s="73">
        <v>20</v>
      </c>
      <c r="K85" s="47">
        <f t="shared" si="28"/>
        <v>20</v>
      </c>
      <c r="L85" s="47">
        <f t="shared" si="29"/>
        <v>0</v>
      </c>
      <c r="M85" s="47">
        <f t="shared" si="30"/>
        <v>80</v>
      </c>
      <c r="N85" s="68">
        <f t="shared" si="26"/>
        <v>100</v>
      </c>
      <c r="O85" s="46">
        <v>4.5999999999999996</v>
      </c>
      <c r="P85" s="47"/>
      <c r="Q85" s="47">
        <v>35.4</v>
      </c>
      <c r="R85" s="48">
        <f t="shared" si="27"/>
        <v>40</v>
      </c>
      <c r="S85" s="29">
        <v>5</v>
      </c>
      <c r="T85" s="286"/>
      <c r="U85" s="295"/>
      <c r="V85" s="38" t="s">
        <v>101</v>
      </c>
      <c r="W85" s="29" t="s">
        <v>20</v>
      </c>
      <c r="X85" s="29" t="s">
        <v>12</v>
      </c>
      <c r="Y85" s="39">
        <v>35.4</v>
      </c>
      <c r="Z85" s="29" t="s">
        <v>102</v>
      </c>
      <c r="AA85" s="29" t="s">
        <v>22</v>
      </c>
      <c r="AB85" s="29" t="s">
        <v>11</v>
      </c>
      <c r="AC85" s="29">
        <v>4.5999999999999996</v>
      </c>
      <c r="AD85" s="38"/>
      <c r="AG85" s="39"/>
      <c r="AL85" s="38"/>
      <c r="AO85" s="39"/>
      <c r="AP85" s="38"/>
      <c r="AS85" s="39"/>
      <c r="AW85" s="39"/>
      <c r="BA85" s="40"/>
    </row>
    <row r="86" spans="1:53" s="171" customFormat="1" x14ac:dyDescent="0.15">
      <c r="A86" s="171">
        <v>1998</v>
      </c>
      <c r="B86" s="283">
        <v>35877</v>
      </c>
      <c r="C86" s="410" t="s">
        <v>268</v>
      </c>
      <c r="D86" s="410"/>
      <c r="E86" s="171">
        <f>365-E85</f>
        <v>284</v>
      </c>
      <c r="F86" s="171">
        <v>1</v>
      </c>
      <c r="G86" s="233">
        <v>4</v>
      </c>
      <c r="I86" s="171">
        <v>16</v>
      </c>
      <c r="J86" s="241">
        <v>20</v>
      </c>
      <c r="K86" s="214">
        <f t="shared" si="28"/>
        <v>20</v>
      </c>
      <c r="L86" s="214">
        <f t="shared" si="29"/>
        <v>0</v>
      </c>
      <c r="M86" s="214">
        <f t="shared" si="30"/>
        <v>80</v>
      </c>
      <c r="N86" s="235">
        <f t="shared" si="26"/>
        <v>100</v>
      </c>
      <c r="O86" s="213">
        <v>4</v>
      </c>
      <c r="P86" s="214"/>
      <c r="Q86" s="214">
        <v>36</v>
      </c>
      <c r="R86" s="215">
        <f t="shared" si="27"/>
        <v>40</v>
      </c>
      <c r="S86" s="171">
        <v>5</v>
      </c>
      <c r="T86" s="285">
        <v>35865</v>
      </c>
      <c r="U86" s="283">
        <v>35877</v>
      </c>
      <c r="V86" s="178" t="s">
        <v>101</v>
      </c>
      <c r="W86" s="171" t="s">
        <v>20</v>
      </c>
      <c r="X86" s="171" t="s">
        <v>12</v>
      </c>
      <c r="Y86" s="179">
        <v>36</v>
      </c>
      <c r="Z86" s="171" t="s">
        <v>102</v>
      </c>
      <c r="AA86" s="171" t="s">
        <v>22</v>
      </c>
      <c r="AB86" s="171" t="s">
        <v>11</v>
      </c>
      <c r="AC86" s="171">
        <v>4</v>
      </c>
      <c r="AD86" s="178"/>
      <c r="AG86" s="179"/>
      <c r="AL86" s="178"/>
      <c r="AO86" s="179"/>
      <c r="AP86" s="178"/>
      <c r="AS86" s="179"/>
      <c r="AW86" s="179"/>
      <c r="BA86" s="180"/>
    </row>
    <row r="87" spans="1:53" s="171" customFormat="1" x14ac:dyDescent="0.15">
      <c r="A87" s="171">
        <v>1999</v>
      </c>
      <c r="B87" s="283"/>
      <c r="C87" s="410" t="s">
        <v>268</v>
      </c>
      <c r="D87" s="410"/>
      <c r="E87" s="171">
        <v>0</v>
      </c>
      <c r="G87" s="233">
        <v>4</v>
      </c>
      <c r="I87" s="171">
        <v>16</v>
      </c>
      <c r="J87" s="241">
        <v>20</v>
      </c>
      <c r="K87" s="214">
        <f t="shared" si="28"/>
        <v>20</v>
      </c>
      <c r="L87" s="214">
        <f t="shared" si="29"/>
        <v>0</v>
      </c>
      <c r="M87" s="214">
        <f t="shared" si="30"/>
        <v>80</v>
      </c>
      <c r="N87" s="235">
        <f t="shared" si="26"/>
        <v>100</v>
      </c>
      <c r="O87" s="213">
        <v>4</v>
      </c>
      <c r="P87" s="214"/>
      <c r="Q87" s="214">
        <v>36</v>
      </c>
      <c r="R87" s="215">
        <f t="shared" si="27"/>
        <v>40</v>
      </c>
      <c r="S87" s="171">
        <v>5</v>
      </c>
      <c r="T87" s="285"/>
      <c r="U87" s="283"/>
      <c r="V87" s="178" t="s">
        <v>101</v>
      </c>
      <c r="W87" s="171" t="s">
        <v>20</v>
      </c>
      <c r="X87" s="171" t="s">
        <v>12</v>
      </c>
      <c r="Y87" s="179">
        <v>36</v>
      </c>
      <c r="Z87" s="171" t="s">
        <v>102</v>
      </c>
      <c r="AA87" s="171" t="s">
        <v>22</v>
      </c>
      <c r="AB87" s="171" t="s">
        <v>11</v>
      </c>
      <c r="AC87" s="171">
        <v>4</v>
      </c>
      <c r="AD87" s="178"/>
      <c r="AG87" s="179"/>
      <c r="AL87" s="178"/>
      <c r="AO87" s="179"/>
      <c r="AP87" s="178"/>
      <c r="AS87" s="179"/>
      <c r="AW87" s="179"/>
      <c r="BA87" s="180"/>
    </row>
    <row r="88" spans="1:53" s="171" customFormat="1" x14ac:dyDescent="0.15">
      <c r="A88" s="171">
        <v>1999</v>
      </c>
      <c r="B88" s="283"/>
      <c r="C88" s="410" t="s">
        <v>268</v>
      </c>
      <c r="D88" s="410"/>
      <c r="E88" s="171">
        <f>365-E87</f>
        <v>365</v>
      </c>
      <c r="G88" s="233">
        <v>4</v>
      </c>
      <c r="I88" s="171">
        <v>16</v>
      </c>
      <c r="J88" s="241">
        <v>20</v>
      </c>
      <c r="K88" s="214">
        <f t="shared" si="28"/>
        <v>20</v>
      </c>
      <c r="L88" s="214">
        <f t="shared" si="29"/>
        <v>0</v>
      </c>
      <c r="M88" s="214">
        <f t="shared" si="30"/>
        <v>80</v>
      </c>
      <c r="N88" s="235">
        <f t="shared" si="26"/>
        <v>100</v>
      </c>
      <c r="O88" s="213">
        <v>4</v>
      </c>
      <c r="P88" s="214"/>
      <c r="Q88" s="214">
        <v>36</v>
      </c>
      <c r="R88" s="215">
        <f t="shared" si="27"/>
        <v>40</v>
      </c>
      <c r="S88" s="171">
        <v>5</v>
      </c>
      <c r="T88" s="285"/>
      <c r="U88" s="283"/>
      <c r="V88" s="178" t="s">
        <v>101</v>
      </c>
      <c r="W88" s="171" t="s">
        <v>20</v>
      </c>
      <c r="X88" s="171" t="s">
        <v>12</v>
      </c>
      <c r="Y88" s="179">
        <v>36</v>
      </c>
      <c r="Z88" s="171" t="s">
        <v>102</v>
      </c>
      <c r="AA88" s="171" t="s">
        <v>22</v>
      </c>
      <c r="AB88" s="171" t="s">
        <v>11</v>
      </c>
      <c r="AC88" s="171">
        <v>4</v>
      </c>
      <c r="AD88" s="178"/>
      <c r="AG88" s="179"/>
      <c r="AL88" s="178"/>
      <c r="AO88" s="179"/>
      <c r="AP88" s="178"/>
      <c r="AS88" s="179"/>
      <c r="AW88" s="179"/>
      <c r="BA88" s="180"/>
    </row>
    <row r="89" spans="1:53" s="171" customFormat="1" x14ac:dyDescent="0.15">
      <c r="A89" s="171">
        <v>2000</v>
      </c>
      <c r="B89" s="283"/>
      <c r="C89" s="410" t="s">
        <v>268</v>
      </c>
      <c r="D89" s="410"/>
      <c r="E89" s="171">
        <v>0</v>
      </c>
      <c r="G89" s="233">
        <v>4</v>
      </c>
      <c r="I89" s="171">
        <v>16</v>
      </c>
      <c r="J89" s="241">
        <v>20</v>
      </c>
      <c r="K89" s="214">
        <f t="shared" si="28"/>
        <v>20</v>
      </c>
      <c r="L89" s="214">
        <f t="shared" si="29"/>
        <v>0</v>
      </c>
      <c r="M89" s="214">
        <f t="shared" si="30"/>
        <v>80</v>
      </c>
      <c r="N89" s="235">
        <f t="shared" si="26"/>
        <v>100</v>
      </c>
      <c r="O89" s="213">
        <v>4</v>
      </c>
      <c r="P89" s="214"/>
      <c r="Q89" s="214">
        <v>36</v>
      </c>
      <c r="R89" s="215">
        <f t="shared" si="27"/>
        <v>40</v>
      </c>
      <c r="S89" s="171">
        <v>5</v>
      </c>
      <c r="T89" s="285"/>
      <c r="U89" s="283"/>
      <c r="V89" s="178" t="s">
        <v>101</v>
      </c>
      <c r="W89" s="171" t="s">
        <v>20</v>
      </c>
      <c r="X89" s="171" t="s">
        <v>12</v>
      </c>
      <c r="Y89" s="179">
        <v>36</v>
      </c>
      <c r="Z89" s="171" t="s">
        <v>102</v>
      </c>
      <c r="AA89" s="171" t="s">
        <v>22</v>
      </c>
      <c r="AB89" s="171" t="s">
        <v>11</v>
      </c>
      <c r="AC89" s="171">
        <v>4</v>
      </c>
      <c r="AD89" s="178"/>
      <c r="AG89" s="179"/>
      <c r="AL89" s="178"/>
      <c r="AO89" s="179"/>
      <c r="AP89" s="178"/>
      <c r="AS89" s="179"/>
      <c r="AW89" s="179"/>
      <c r="BA89" s="180"/>
    </row>
    <row r="90" spans="1:53" s="171" customFormat="1" x14ac:dyDescent="0.15">
      <c r="A90" s="171">
        <v>2000</v>
      </c>
      <c r="B90" s="283"/>
      <c r="C90" s="410" t="s">
        <v>268</v>
      </c>
      <c r="D90" s="410"/>
      <c r="E90" s="171">
        <v>366</v>
      </c>
      <c r="G90" s="233">
        <v>4</v>
      </c>
      <c r="I90" s="171">
        <v>16</v>
      </c>
      <c r="J90" s="241">
        <v>20</v>
      </c>
      <c r="K90" s="214">
        <f t="shared" si="28"/>
        <v>20</v>
      </c>
      <c r="L90" s="214">
        <f t="shared" si="29"/>
        <v>0</v>
      </c>
      <c r="M90" s="214">
        <f t="shared" si="30"/>
        <v>80</v>
      </c>
      <c r="N90" s="235">
        <f t="shared" si="26"/>
        <v>100</v>
      </c>
      <c r="O90" s="213">
        <v>4</v>
      </c>
      <c r="P90" s="214"/>
      <c r="Q90" s="214">
        <v>36</v>
      </c>
      <c r="R90" s="215">
        <f t="shared" si="27"/>
        <v>40</v>
      </c>
      <c r="S90" s="171">
        <v>5</v>
      </c>
      <c r="T90" s="285"/>
      <c r="U90" s="283"/>
      <c r="V90" s="178" t="s">
        <v>101</v>
      </c>
      <c r="W90" s="171" t="s">
        <v>20</v>
      </c>
      <c r="X90" s="171" t="s">
        <v>12</v>
      </c>
      <c r="Y90" s="179">
        <v>36</v>
      </c>
      <c r="Z90" s="171" t="s">
        <v>102</v>
      </c>
      <c r="AA90" s="171" t="s">
        <v>22</v>
      </c>
      <c r="AB90" s="171" t="s">
        <v>11</v>
      </c>
      <c r="AC90" s="171">
        <v>4</v>
      </c>
      <c r="AD90" s="178"/>
      <c r="AG90" s="179"/>
      <c r="AL90" s="178"/>
      <c r="AO90" s="179"/>
      <c r="AP90" s="178"/>
      <c r="AS90" s="179"/>
      <c r="AW90" s="179"/>
      <c r="BA90" s="180"/>
    </row>
    <row r="91" spans="1:53" s="171" customFormat="1" x14ac:dyDescent="0.15">
      <c r="A91" s="171">
        <v>2001</v>
      </c>
      <c r="B91" s="283"/>
      <c r="C91" s="410" t="s">
        <v>268</v>
      </c>
      <c r="D91" s="410"/>
      <c r="E91" s="171">
        <v>330</v>
      </c>
      <c r="G91" s="233">
        <v>4</v>
      </c>
      <c r="I91" s="171">
        <v>16</v>
      </c>
      <c r="J91" s="241">
        <v>20</v>
      </c>
      <c r="K91" s="214">
        <f t="shared" si="28"/>
        <v>20</v>
      </c>
      <c r="L91" s="214">
        <f t="shared" si="29"/>
        <v>0</v>
      </c>
      <c r="M91" s="214">
        <f t="shared" si="30"/>
        <v>80</v>
      </c>
      <c r="N91" s="235">
        <f t="shared" si="26"/>
        <v>100</v>
      </c>
      <c r="O91" s="213">
        <v>4</v>
      </c>
      <c r="P91" s="214"/>
      <c r="Q91" s="214">
        <v>36</v>
      </c>
      <c r="R91" s="215">
        <f t="shared" si="27"/>
        <v>40</v>
      </c>
      <c r="S91" s="171">
        <v>5</v>
      </c>
      <c r="T91" s="285"/>
      <c r="U91" s="283"/>
      <c r="V91" s="178" t="s">
        <v>101</v>
      </c>
      <c r="W91" s="171" t="s">
        <v>20</v>
      </c>
      <c r="X91" s="171" t="s">
        <v>12</v>
      </c>
      <c r="Y91" s="179">
        <v>36</v>
      </c>
      <c r="Z91" s="171" t="s">
        <v>102</v>
      </c>
      <c r="AA91" s="171" t="s">
        <v>22</v>
      </c>
      <c r="AB91" s="171" t="s">
        <v>11</v>
      </c>
      <c r="AC91" s="171">
        <v>4</v>
      </c>
      <c r="AD91" s="178"/>
      <c r="AG91" s="179"/>
      <c r="AL91" s="178"/>
      <c r="AO91" s="179"/>
      <c r="AP91" s="178"/>
      <c r="AS91" s="179"/>
      <c r="AW91" s="179"/>
      <c r="BA91" s="180"/>
    </row>
    <row r="92" spans="1:53" s="29" customFormat="1" x14ac:dyDescent="0.15">
      <c r="A92" s="29">
        <v>2001</v>
      </c>
      <c r="B92" s="295">
        <v>37222</v>
      </c>
      <c r="C92" s="411" t="s">
        <v>269</v>
      </c>
      <c r="D92" s="411"/>
      <c r="E92" s="29">
        <f>365-E91</f>
        <v>35</v>
      </c>
      <c r="F92" s="29">
        <v>1</v>
      </c>
      <c r="G92" s="66">
        <v>18</v>
      </c>
      <c r="J92" s="73">
        <v>18</v>
      </c>
      <c r="K92" s="47">
        <f t="shared" si="28"/>
        <v>100</v>
      </c>
      <c r="L92" s="47">
        <f t="shared" si="29"/>
        <v>0</v>
      </c>
      <c r="M92" s="47">
        <f t="shared" si="30"/>
        <v>0</v>
      </c>
      <c r="N92" s="68">
        <f t="shared" si="26"/>
        <v>100</v>
      </c>
      <c r="O92" s="46">
        <v>41.1</v>
      </c>
      <c r="P92" s="47"/>
      <c r="Q92" s="47"/>
      <c r="R92" s="48">
        <f t="shared" si="27"/>
        <v>41.1</v>
      </c>
      <c r="S92" s="29">
        <v>5</v>
      </c>
      <c r="T92" s="286">
        <v>37215</v>
      </c>
      <c r="U92" s="295">
        <v>37222</v>
      </c>
      <c r="V92" s="38" t="s">
        <v>72</v>
      </c>
      <c r="W92" s="29" t="s">
        <v>87</v>
      </c>
      <c r="X92" s="29" t="s">
        <v>11</v>
      </c>
      <c r="Y92" s="39">
        <v>32</v>
      </c>
      <c r="Z92" s="29" t="s">
        <v>104</v>
      </c>
      <c r="AA92" s="29" t="s">
        <v>74</v>
      </c>
      <c r="AB92" s="29" t="s">
        <v>11</v>
      </c>
      <c r="AC92" s="29">
        <v>9.1</v>
      </c>
      <c r="AD92" s="38"/>
      <c r="AG92" s="39"/>
      <c r="AL92" s="38"/>
      <c r="AO92" s="39"/>
      <c r="AP92" s="38"/>
      <c r="AS92" s="39"/>
      <c r="AW92" s="39"/>
      <c r="BA92" s="40"/>
    </row>
    <row r="93" spans="1:53" s="29" customFormat="1" x14ac:dyDescent="0.15">
      <c r="A93" s="29">
        <v>2002</v>
      </c>
      <c r="B93" s="295"/>
      <c r="C93" s="411" t="s">
        <v>269</v>
      </c>
      <c r="D93" s="411"/>
      <c r="E93" s="29">
        <v>0</v>
      </c>
      <c r="G93" s="66">
        <v>18</v>
      </c>
      <c r="J93" s="73">
        <v>18</v>
      </c>
      <c r="K93" s="47">
        <f t="shared" si="28"/>
        <v>100</v>
      </c>
      <c r="L93" s="47">
        <f t="shared" si="29"/>
        <v>0</v>
      </c>
      <c r="M93" s="47">
        <f t="shared" si="30"/>
        <v>0</v>
      </c>
      <c r="N93" s="68">
        <f t="shared" si="26"/>
        <v>100</v>
      </c>
      <c r="O93" s="46">
        <v>41.1</v>
      </c>
      <c r="P93" s="47"/>
      <c r="Q93" s="47"/>
      <c r="R93" s="48">
        <f t="shared" si="27"/>
        <v>41.1</v>
      </c>
      <c r="S93" s="29">
        <v>5</v>
      </c>
      <c r="T93" s="286"/>
      <c r="U93" s="295"/>
      <c r="V93" s="38" t="s">
        <v>72</v>
      </c>
      <c r="W93" s="29" t="s">
        <v>87</v>
      </c>
      <c r="X93" s="29" t="s">
        <v>11</v>
      </c>
      <c r="Y93" s="39">
        <v>32</v>
      </c>
      <c r="Z93" s="29" t="s">
        <v>104</v>
      </c>
      <c r="AA93" s="29" t="s">
        <v>74</v>
      </c>
      <c r="AB93" s="29" t="s">
        <v>11</v>
      </c>
      <c r="AC93" s="29">
        <v>9.1</v>
      </c>
      <c r="AD93" s="38"/>
      <c r="AG93" s="39"/>
      <c r="AL93" s="38"/>
      <c r="AO93" s="39"/>
      <c r="AP93" s="38"/>
      <c r="AS93" s="39"/>
      <c r="AW93" s="39"/>
      <c r="BA93" s="40"/>
    </row>
    <row r="94" spans="1:53" s="29" customFormat="1" x14ac:dyDescent="0.15">
      <c r="A94" s="29">
        <v>2002</v>
      </c>
      <c r="B94" s="295"/>
      <c r="C94" s="411" t="s">
        <v>269</v>
      </c>
      <c r="D94" s="411"/>
      <c r="E94" s="29">
        <f>365-E93</f>
        <v>365</v>
      </c>
      <c r="G94" s="66">
        <v>18</v>
      </c>
      <c r="J94" s="73">
        <v>18</v>
      </c>
      <c r="K94" s="47">
        <f t="shared" si="28"/>
        <v>100</v>
      </c>
      <c r="L94" s="47">
        <f t="shared" si="29"/>
        <v>0</v>
      </c>
      <c r="M94" s="47">
        <f t="shared" si="30"/>
        <v>0</v>
      </c>
      <c r="N94" s="68">
        <f t="shared" si="26"/>
        <v>100</v>
      </c>
      <c r="O94" s="46">
        <v>41.1</v>
      </c>
      <c r="P94" s="47"/>
      <c r="Q94" s="47"/>
      <c r="R94" s="48">
        <f t="shared" si="27"/>
        <v>41.1</v>
      </c>
      <c r="S94" s="29">
        <v>5</v>
      </c>
      <c r="T94" s="286"/>
      <c r="U94" s="295"/>
      <c r="V94" s="38" t="s">
        <v>72</v>
      </c>
      <c r="W94" s="29" t="s">
        <v>87</v>
      </c>
      <c r="X94" s="29" t="s">
        <v>11</v>
      </c>
      <c r="Y94" s="39">
        <v>32</v>
      </c>
      <c r="Z94" s="29" t="s">
        <v>104</v>
      </c>
      <c r="AA94" s="29" t="s">
        <v>74</v>
      </c>
      <c r="AB94" s="29" t="s">
        <v>11</v>
      </c>
      <c r="AC94" s="29">
        <v>9.1</v>
      </c>
      <c r="AD94" s="38"/>
      <c r="AG94" s="39"/>
      <c r="AL94" s="38"/>
      <c r="AO94" s="39"/>
      <c r="AP94" s="38"/>
      <c r="AS94" s="39"/>
      <c r="AW94" s="39"/>
      <c r="BA94" s="40"/>
    </row>
    <row r="95" spans="1:53" s="29" customFormat="1" x14ac:dyDescent="0.15">
      <c r="A95" s="29">
        <v>2003</v>
      </c>
      <c r="B95" s="295"/>
      <c r="C95" s="411" t="s">
        <v>269</v>
      </c>
      <c r="D95" s="411"/>
      <c r="E95" s="29">
        <v>0</v>
      </c>
      <c r="G95" s="66">
        <v>18</v>
      </c>
      <c r="J95" s="73">
        <v>18</v>
      </c>
      <c r="K95" s="47">
        <f t="shared" si="28"/>
        <v>100</v>
      </c>
      <c r="L95" s="47">
        <f t="shared" si="29"/>
        <v>0</v>
      </c>
      <c r="M95" s="47">
        <f t="shared" si="30"/>
        <v>0</v>
      </c>
      <c r="N95" s="68">
        <f t="shared" si="26"/>
        <v>100</v>
      </c>
      <c r="O95" s="46">
        <v>41.1</v>
      </c>
      <c r="P95" s="47"/>
      <c r="Q95" s="47"/>
      <c r="R95" s="48">
        <f t="shared" si="27"/>
        <v>41.1</v>
      </c>
      <c r="S95" s="29">
        <v>5</v>
      </c>
      <c r="T95" s="286"/>
      <c r="U95" s="295"/>
      <c r="V95" s="38" t="s">
        <v>72</v>
      </c>
      <c r="W95" s="29" t="s">
        <v>87</v>
      </c>
      <c r="X95" s="29" t="s">
        <v>11</v>
      </c>
      <c r="Y95" s="39">
        <v>32</v>
      </c>
      <c r="Z95" s="29" t="s">
        <v>104</v>
      </c>
      <c r="AA95" s="29" t="s">
        <v>74</v>
      </c>
      <c r="AB95" s="29" t="s">
        <v>11</v>
      </c>
      <c r="AC95" s="29">
        <v>9.1</v>
      </c>
      <c r="AD95" s="38"/>
      <c r="AG95" s="39"/>
      <c r="AL95" s="38"/>
      <c r="AO95" s="39"/>
      <c r="AP95" s="38"/>
      <c r="AS95" s="39"/>
      <c r="AW95" s="39"/>
      <c r="BA95" s="40"/>
    </row>
    <row r="96" spans="1:53" s="29" customFormat="1" x14ac:dyDescent="0.15">
      <c r="A96" s="29">
        <v>2003</v>
      </c>
      <c r="B96" s="295"/>
      <c r="C96" s="411" t="s">
        <v>269</v>
      </c>
      <c r="D96" s="411"/>
      <c r="E96" s="29">
        <f>365-E95</f>
        <v>365</v>
      </c>
      <c r="G96" s="66">
        <v>18</v>
      </c>
      <c r="J96" s="73">
        <v>18</v>
      </c>
      <c r="K96" s="47">
        <f t="shared" si="28"/>
        <v>100</v>
      </c>
      <c r="L96" s="47">
        <f t="shared" si="29"/>
        <v>0</v>
      </c>
      <c r="M96" s="47">
        <f t="shared" si="30"/>
        <v>0</v>
      </c>
      <c r="N96" s="68">
        <f t="shared" si="26"/>
        <v>100</v>
      </c>
      <c r="O96" s="46">
        <v>41.1</v>
      </c>
      <c r="P96" s="47"/>
      <c r="Q96" s="47"/>
      <c r="R96" s="48">
        <f t="shared" si="27"/>
        <v>41.1</v>
      </c>
      <c r="S96" s="29">
        <v>5</v>
      </c>
      <c r="T96" s="286"/>
      <c r="U96" s="295"/>
      <c r="V96" s="38" t="s">
        <v>72</v>
      </c>
      <c r="W96" s="29" t="s">
        <v>87</v>
      </c>
      <c r="X96" s="29" t="s">
        <v>11</v>
      </c>
      <c r="Y96" s="39">
        <v>32</v>
      </c>
      <c r="Z96" s="29" t="s">
        <v>104</v>
      </c>
      <c r="AA96" s="29" t="s">
        <v>74</v>
      </c>
      <c r="AB96" s="29" t="s">
        <v>11</v>
      </c>
      <c r="AC96" s="29">
        <v>9.1</v>
      </c>
      <c r="AD96" s="38"/>
      <c r="AG96" s="39"/>
      <c r="AL96" s="38"/>
      <c r="AO96" s="39"/>
      <c r="AP96" s="38"/>
      <c r="AS96" s="39"/>
      <c r="AW96" s="39"/>
      <c r="BA96" s="40"/>
    </row>
    <row r="97" spans="1:53" s="29" customFormat="1" x14ac:dyDescent="0.15">
      <c r="A97" s="29">
        <v>2004</v>
      </c>
      <c r="B97" s="295"/>
      <c r="C97" s="411" t="s">
        <v>269</v>
      </c>
      <c r="D97" s="411"/>
      <c r="E97" s="29">
        <v>214</v>
      </c>
      <c r="G97" s="66">
        <v>18</v>
      </c>
      <c r="J97" s="73">
        <v>18</v>
      </c>
      <c r="K97" s="47">
        <f t="shared" si="28"/>
        <v>100</v>
      </c>
      <c r="L97" s="47">
        <f t="shared" si="29"/>
        <v>0</v>
      </c>
      <c r="M97" s="47">
        <f t="shared" si="30"/>
        <v>0</v>
      </c>
      <c r="N97" s="68">
        <f t="shared" si="26"/>
        <v>100</v>
      </c>
      <c r="O97" s="46">
        <v>41.1</v>
      </c>
      <c r="P97" s="47"/>
      <c r="Q97" s="47"/>
      <c r="R97" s="48">
        <f t="shared" si="27"/>
        <v>41.1</v>
      </c>
      <c r="S97" s="29">
        <v>5</v>
      </c>
      <c r="T97" s="286"/>
      <c r="U97" s="295"/>
      <c r="V97" s="38" t="s">
        <v>72</v>
      </c>
      <c r="W97" s="29" t="s">
        <v>87</v>
      </c>
      <c r="X97" s="29" t="s">
        <v>11</v>
      </c>
      <c r="Y97" s="39">
        <v>32</v>
      </c>
      <c r="Z97" s="29" t="s">
        <v>104</v>
      </c>
      <c r="AA97" s="29" t="s">
        <v>74</v>
      </c>
      <c r="AB97" s="29" t="s">
        <v>11</v>
      </c>
      <c r="AC97" s="29">
        <v>9.1</v>
      </c>
      <c r="AD97" s="38"/>
      <c r="AG97" s="39"/>
      <c r="AL97" s="38"/>
      <c r="AO97" s="39"/>
      <c r="AP97" s="38"/>
      <c r="AS97" s="39"/>
      <c r="AW97" s="39"/>
      <c r="BA97" s="40"/>
    </row>
    <row r="98" spans="1:53" s="29" customFormat="1" x14ac:dyDescent="0.15">
      <c r="A98" s="29">
        <v>2004</v>
      </c>
      <c r="B98" s="303">
        <v>38201</v>
      </c>
      <c r="C98" s="411" t="s">
        <v>269</v>
      </c>
      <c r="D98" s="411"/>
      <c r="E98" s="29">
        <v>152</v>
      </c>
      <c r="F98" s="84">
        <v>0</v>
      </c>
      <c r="G98" s="66">
        <v>19</v>
      </c>
      <c r="J98" s="73">
        <v>19</v>
      </c>
      <c r="K98" s="47">
        <f t="shared" si="28"/>
        <v>100</v>
      </c>
      <c r="L98" s="47">
        <f t="shared" si="29"/>
        <v>0</v>
      </c>
      <c r="M98" s="47">
        <f t="shared" si="30"/>
        <v>0</v>
      </c>
      <c r="N98" s="68">
        <f t="shared" si="26"/>
        <v>100</v>
      </c>
      <c r="O98" s="46">
        <v>41.1</v>
      </c>
      <c r="P98" s="47"/>
      <c r="Q98" s="47"/>
      <c r="R98" s="48">
        <f t="shared" si="27"/>
        <v>41.1</v>
      </c>
      <c r="S98" s="29">
        <v>5</v>
      </c>
      <c r="T98" s="286"/>
      <c r="U98" s="295"/>
      <c r="V98" s="38" t="s">
        <v>72</v>
      </c>
      <c r="W98" s="29" t="s">
        <v>87</v>
      </c>
      <c r="X98" s="29" t="s">
        <v>11</v>
      </c>
      <c r="Y98" s="39">
        <v>32</v>
      </c>
      <c r="Z98" s="29" t="s">
        <v>104</v>
      </c>
      <c r="AA98" s="29" t="s">
        <v>74</v>
      </c>
      <c r="AB98" s="29" t="s">
        <v>11</v>
      </c>
      <c r="AC98" s="29">
        <v>9.1</v>
      </c>
      <c r="AD98" s="38"/>
      <c r="AG98" s="39"/>
      <c r="AL98" s="38"/>
      <c r="AO98" s="39"/>
      <c r="AP98" s="38"/>
      <c r="AS98" s="39"/>
      <c r="AW98" s="39"/>
      <c r="BA98" s="40"/>
    </row>
    <row r="99" spans="1:53" s="29" customFormat="1" x14ac:dyDescent="0.15">
      <c r="A99" s="29">
        <v>2005</v>
      </c>
      <c r="B99" s="295"/>
      <c r="C99" s="411" t="s">
        <v>269</v>
      </c>
      <c r="D99" s="411"/>
      <c r="E99" s="29">
        <v>48</v>
      </c>
      <c r="G99" s="66">
        <v>19</v>
      </c>
      <c r="J99" s="73">
        <v>19</v>
      </c>
      <c r="K99" s="47">
        <f t="shared" si="28"/>
        <v>100</v>
      </c>
      <c r="L99" s="47">
        <f t="shared" si="29"/>
        <v>0</v>
      </c>
      <c r="M99" s="47">
        <f t="shared" si="30"/>
        <v>0</v>
      </c>
      <c r="N99" s="68">
        <f t="shared" si="26"/>
        <v>100</v>
      </c>
      <c r="O99" s="46">
        <v>41.1</v>
      </c>
      <c r="P99" s="47"/>
      <c r="Q99" s="47"/>
      <c r="R99" s="48">
        <f t="shared" si="27"/>
        <v>41.1</v>
      </c>
      <c r="S99" s="29">
        <v>5</v>
      </c>
      <c r="T99" s="286"/>
      <c r="U99" s="295"/>
      <c r="V99" s="38" t="s">
        <v>72</v>
      </c>
      <c r="W99" s="29" t="s">
        <v>87</v>
      </c>
      <c r="X99" s="29" t="s">
        <v>11</v>
      </c>
      <c r="Y99" s="39">
        <v>32</v>
      </c>
      <c r="Z99" s="29" t="s">
        <v>104</v>
      </c>
      <c r="AA99" s="29" t="s">
        <v>74</v>
      </c>
      <c r="AB99" s="29" t="s">
        <v>11</v>
      </c>
      <c r="AC99" s="29">
        <v>9.1</v>
      </c>
      <c r="AD99" s="38"/>
      <c r="AG99" s="39"/>
      <c r="AL99" s="38"/>
      <c r="AO99" s="39"/>
      <c r="AP99" s="38"/>
      <c r="AS99" s="39"/>
      <c r="AW99" s="39"/>
      <c r="BA99" s="40"/>
    </row>
    <row r="100" spans="1:53" s="171" customFormat="1" x14ac:dyDescent="0.15">
      <c r="A100" s="171">
        <v>2005</v>
      </c>
      <c r="B100" s="283">
        <v>38401</v>
      </c>
      <c r="C100" s="410" t="s">
        <v>270</v>
      </c>
      <c r="D100" s="410"/>
      <c r="E100" s="171">
        <f>365-E99</f>
        <v>317</v>
      </c>
      <c r="F100" s="171">
        <v>1</v>
      </c>
      <c r="G100" s="233">
        <v>19</v>
      </c>
      <c r="J100" s="241">
        <v>19</v>
      </c>
      <c r="K100" s="214">
        <f t="shared" si="28"/>
        <v>100</v>
      </c>
      <c r="L100" s="214">
        <f t="shared" si="29"/>
        <v>0</v>
      </c>
      <c r="M100" s="214">
        <f t="shared" si="30"/>
        <v>0</v>
      </c>
      <c r="N100" s="235">
        <f t="shared" si="26"/>
        <v>100</v>
      </c>
      <c r="O100" s="213">
        <v>40</v>
      </c>
      <c r="P100" s="214"/>
      <c r="Q100" s="214"/>
      <c r="R100" s="215">
        <f t="shared" si="27"/>
        <v>40</v>
      </c>
      <c r="S100" s="171">
        <v>5</v>
      </c>
      <c r="T100" s="285">
        <v>38391</v>
      </c>
      <c r="U100" s="283">
        <v>38401</v>
      </c>
      <c r="V100" s="178" t="s">
        <v>72</v>
      </c>
      <c r="W100" s="171" t="s">
        <v>87</v>
      </c>
      <c r="X100" s="171" t="s">
        <v>11</v>
      </c>
      <c r="Y100" s="179">
        <v>29.7</v>
      </c>
      <c r="Z100" s="171" t="s">
        <v>104</v>
      </c>
      <c r="AA100" s="171" t="s">
        <v>74</v>
      </c>
      <c r="AB100" s="171" t="s">
        <v>11</v>
      </c>
      <c r="AC100" s="171">
        <v>10.3</v>
      </c>
      <c r="AD100" s="178"/>
      <c r="AG100" s="179"/>
      <c r="AL100" s="178"/>
      <c r="AO100" s="179"/>
      <c r="AP100" s="178"/>
      <c r="AS100" s="179"/>
      <c r="AW100" s="179"/>
      <c r="BA100" s="180"/>
    </row>
    <row r="101" spans="1:53" s="171" customFormat="1" x14ac:dyDescent="0.15">
      <c r="A101" s="171">
        <v>2006</v>
      </c>
      <c r="B101" s="283"/>
      <c r="C101" s="410" t="s">
        <v>270</v>
      </c>
      <c r="D101" s="410"/>
      <c r="E101" s="171">
        <v>0</v>
      </c>
      <c r="G101" s="233">
        <v>19</v>
      </c>
      <c r="J101" s="241">
        <v>19</v>
      </c>
      <c r="K101" s="214">
        <f t="shared" ref="K101:K110" si="31">G101/J101*100</f>
        <v>100</v>
      </c>
      <c r="L101" s="214">
        <f t="shared" ref="L101:L110" si="32">H101/J101*100</f>
        <v>0</v>
      </c>
      <c r="M101" s="214">
        <f t="shared" ref="M101:M110" si="33">I101/J101*100</f>
        <v>0</v>
      </c>
      <c r="N101" s="235">
        <f t="shared" si="26"/>
        <v>100</v>
      </c>
      <c r="O101" s="213">
        <v>40</v>
      </c>
      <c r="P101" s="214"/>
      <c r="Q101" s="214"/>
      <c r="R101" s="215">
        <f t="shared" si="27"/>
        <v>40</v>
      </c>
      <c r="S101" s="171">
        <v>5</v>
      </c>
      <c r="T101" s="285"/>
      <c r="U101" s="283"/>
      <c r="V101" s="178" t="s">
        <v>72</v>
      </c>
      <c r="W101" s="171" t="s">
        <v>87</v>
      </c>
      <c r="X101" s="171" t="s">
        <v>11</v>
      </c>
      <c r="Y101" s="179">
        <v>29.7</v>
      </c>
      <c r="Z101" s="171" t="s">
        <v>104</v>
      </c>
      <c r="AA101" s="171" t="s">
        <v>74</v>
      </c>
      <c r="AB101" s="171" t="s">
        <v>11</v>
      </c>
      <c r="AC101" s="171">
        <v>10.3</v>
      </c>
      <c r="AD101" s="178"/>
      <c r="AG101" s="179"/>
      <c r="AL101" s="178"/>
      <c r="AO101" s="179"/>
      <c r="AP101" s="178"/>
      <c r="AS101" s="179"/>
      <c r="AW101" s="179"/>
      <c r="BA101" s="180"/>
    </row>
    <row r="102" spans="1:53" s="171" customFormat="1" x14ac:dyDescent="0.15">
      <c r="A102" s="171">
        <v>2006</v>
      </c>
      <c r="B102" s="283"/>
      <c r="C102" s="410" t="s">
        <v>270</v>
      </c>
      <c r="D102" s="410"/>
      <c r="E102" s="171">
        <v>365</v>
      </c>
      <c r="G102" s="233">
        <v>19</v>
      </c>
      <c r="J102" s="241">
        <v>19</v>
      </c>
      <c r="K102" s="214">
        <f t="shared" si="31"/>
        <v>100</v>
      </c>
      <c r="L102" s="214">
        <f t="shared" si="32"/>
        <v>0</v>
      </c>
      <c r="M102" s="214">
        <f t="shared" si="33"/>
        <v>0</v>
      </c>
      <c r="N102" s="235">
        <f t="shared" si="26"/>
        <v>100</v>
      </c>
      <c r="O102" s="213">
        <v>40</v>
      </c>
      <c r="P102" s="214"/>
      <c r="Q102" s="214"/>
      <c r="R102" s="215">
        <f t="shared" si="27"/>
        <v>40</v>
      </c>
      <c r="S102" s="171">
        <v>5</v>
      </c>
      <c r="T102" s="285"/>
      <c r="U102" s="283"/>
      <c r="V102" s="178" t="s">
        <v>72</v>
      </c>
      <c r="W102" s="171" t="s">
        <v>87</v>
      </c>
      <c r="X102" s="171" t="s">
        <v>11</v>
      </c>
      <c r="Y102" s="179">
        <v>29.7</v>
      </c>
      <c r="Z102" s="171" t="s">
        <v>104</v>
      </c>
      <c r="AA102" s="171" t="s">
        <v>74</v>
      </c>
      <c r="AB102" s="171" t="s">
        <v>11</v>
      </c>
      <c r="AC102" s="171">
        <v>10.3</v>
      </c>
      <c r="AD102" s="178"/>
      <c r="AG102" s="179"/>
      <c r="AL102" s="178"/>
      <c r="AO102" s="179"/>
      <c r="AP102" s="178"/>
      <c r="AS102" s="179"/>
      <c r="AW102" s="179"/>
      <c r="BA102" s="180"/>
    </row>
    <row r="103" spans="1:53" s="171" customFormat="1" x14ac:dyDescent="0.15">
      <c r="A103" s="171">
        <v>2007</v>
      </c>
      <c r="B103" s="283"/>
      <c r="C103" s="410" t="s">
        <v>270</v>
      </c>
      <c r="D103" s="410"/>
      <c r="E103" s="171">
        <f>365-E104</f>
        <v>326</v>
      </c>
      <c r="G103" s="233">
        <v>19</v>
      </c>
      <c r="J103" s="241">
        <v>19</v>
      </c>
      <c r="K103" s="214">
        <f t="shared" si="31"/>
        <v>100</v>
      </c>
      <c r="L103" s="214">
        <f t="shared" si="32"/>
        <v>0</v>
      </c>
      <c r="M103" s="214">
        <f t="shared" si="33"/>
        <v>0</v>
      </c>
      <c r="N103" s="235">
        <f t="shared" si="26"/>
        <v>100</v>
      </c>
      <c r="O103" s="213">
        <v>40</v>
      </c>
      <c r="P103" s="214"/>
      <c r="Q103" s="214"/>
      <c r="R103" s="215">
        <f t="shared" si="27"/>
        <v>40</v>
      </c>
      <c r="S103" s="171">
        <v>5</v>
      </c>
      <c r="T103" s="285"/>
      <c r="U103" s="283"/>
      <c r="V103" s="178" t="s">
        <v>72</v>
      </c>
      <c r="W103" s="171" t="s">
        <v>87</v>
      </c>
      <c r="X103" s="171" t="s">
        <v>11</v>
      </c>
      <c r="Y103" s="179">
        <v>29.7</v>
      </c>
      <c r="Z103" s="171" t="s">
        <v>104</v>
      </c>
      <c r="AA103" s="171" t="s">
        <v>74</v>
      </c>
      <c r="AB103" s="171" t="s">
        <v>11</v>
      </c>
      <c r="AC103" s="171">
        <v>10.3</v>
      </c>
      <c r="AD103" s="178"/>
      <c r="AG103" s="179"/>
      <c r="AL103" s="178"/>
      <c r="AO103" s="179"/>
      <c r="AP103" s="178"/>
      <c r="AS103" s="179"/>
      <c r="AW103" s="179"/>
      <c r="BA103" s="180"/>
    </row>
    <row r="104" spans="1:53" s="29" customFormat="1" x14ac:dyDescent="0.15">
      <c r="A104" s="29">
        <v>2007</v>
      </c>
      <c r="B104" s="295">
        <v>39409</v>
      </c>
      <c r="C104" s="411" t="s">
        <v>271</v>
      </c>
      <c r="D104" s="411"/>
      <c r="E104" s="29">
        <v>39</v>
      </c>
      <c r="F104" s="29">
        <v>1</v>
      </c>
      <c r="G104" s="66">
        <v>19</v>
      </c>
      <c r="J104" s="73">
        <v>19</v>
      </c>
      <c r="K104" s="47">
        <f t="shared" si="31"/>
        <v>100</v>
      </c>
      <c r="L104" s="47">
        <f t="shared" si="32"/>
        <v>0</v>
      </c>
      <c r="M104" s="47">
        <f t="shared" si="33"/>
        <v>0</v>
      </c>
      <c r="N104" s="68">
        <f t="shared" si="26"/>
        <v>100</v>
      </c>
      <c r="O104" s="46">
        <v>36.6</v>
      </c>
      <c r="P104" s="47"/>
      <c r="Q104" s="47"/>
      <c r="R104" s="48">
        <f t="shared" si="27"/>
        <v>36.6</v>
      </c>
      <c r="S104" s="29">
        <v>5</v>
      </c>
      <c r="T104" s="286">
        <v>39399</v>
      </c>
      <c r="U104" s="295">
        <v>39409</v>
      </c>
      <c r="V104" s="38" t="s">
        <v>72</v>
      </c>
      <c r="W104" s="29" t="s">
        <v>87</v>
      </c>
      <c r="X104" s="29" t="s">
        <v>11</v>
      </c>
      <c r="Y104" s="39">
        <v>26.3</v>
      </c>
      <c r="Z104" s="29" t="s">
        <v>104</v>
      </c>
      <c r="AA104" s="29" t="s">
        <v>74</v>
      </c>
      <c r="AB104" s="29" t="s">
        <v>11</v>
      </c>
      <c r="AC104" s="29">
        <v>10.3</v>
      </c>
      <c r="AD104" s="38"/>
      <c r="AG104" s="39"/>
      <c r="AL104" s="38"/>
      <c r="AO104" s="39"/>
      <c r="AP104" s="38"/>
      <c r="AS104" s="39"/>
      <c r="AW104" s="39"/>
      <c r="BA104" s="40"/>
    </row>
    <row r="105" spans="1:53" s="29" customFormat="1" x14ac:dyDescent="0.15">
      <c r="A105" s="29">
        <v>2008</v>
      </c>
      <c r="B105" s="295"/>
      <c r="C105" s="411" t="s">
        <v>271</v>
      </c>
      <c r="D105" s="411"/>
      <c r="E105" s="29">
        <v>0</v>
      </c>
      <c r="G105" s="66">
        <v>19</v>
      </c>
      <c r="J105" s="73">
        <v>19</v>
      </c>
      <c r="K105" s="47">
        <f t="shared" si="31"/>
        <v>100</v>
      </c>
      <c r="L105" s="47">
        <f t="shared" si="32"/>
        <v>0</v>
      </c>
      <c r="M105" s="47">
        <f t="shared" si="33"/>
        <v>0</v>
      </c>
      <c r="N105" s="68">
        <f t="shared" si="26"/>
        <v>100</v>
      </c>
      <c r="O105" s="46">
        <v>36.6</v>
      </c>
      <c r="P105" s="47"/>
      <c r="Q105" s="47"/>
      <c r="R105" s="48">
        <f t="shared" si="27"/>
        <v>36.6</v>
      </c>
      <c r="S105" s="29">
        <v>5</v>
      </c>
      <c r="T105" s="286"/>
      <c r="U105" s="295"/>
      <c r="V105" s="38" t="s">
        <v>72</v>
      </c>
      <c r="W105" s="29" t="s">
        <v>87</v>
      </c>
      <c r="X105" s="29" t="s">
        <v>11</v>
      </c>
      <c r="Y105" s="39">
        <v>26.3</v>
      </c>
      <c r="Z105" s="29" t="s">
        <v>104</v>
      </c>
      <c r="AA105" s="29" t="s">
        <v>74</v>
      </c>
      <c r="AB105" s="29" t="s">
        <v>11</v>
      </c>
      <c r="AC105" s="29">
        <v>10.3</v>
      </c>
      <c r="AD105" s="38"/>
      <c r="AG105" s="39"/>
      <c r="AL105" s="38"/>
      <c r="AO105" s="39"/>
      <c r="AP105" s="38"/>
      <c r="AS105" s="39"/>
      <c r="AW105" s="39"/>
      <c r="BA105" s="40"/>
    </row>
    <row r="106" spans="1:53" s="29" customFormat="1" x14ac:dyDescent="0.15">
      <c r="A106" s="29">
        <v>2008</v>
      </c>
      <c r="B106" s="295"/>
      <c r="C106" s="411" t="s">
        <v>271</v>
      </c>
      <c r="D106" s="411"/>
      <c r="E106" s="29">
        <v>366</v>
      </c>
      <c r="G106" s="66">
        <v>19</v>
      </c>
      <c r="J106" s="73">
        <v>19</v>
      </c>
      <c r="K106" s="47">
        <f t="shared" si="31"/>
        <v>100</v>
      </c>
      <c r="L106" s="47">
        <f t="shared" si="32"/>
        <v>0</v>
      </c>
      <c r="M106" s="47">
        <f t="shared" si="33"/>
        <v>0</v>
      </c>
      <c r="N106" s="68">
        <f t="shared" si="26"/>
        <v>100</v>
      </c>
      <c r="O106" s="46">
        <v>36.6</v>
      </c>
      <c r="P106" s="47"/>
      <c r="Q106" s="47"/>
      <c r="R106" s="48">
        <f t="shared" si="27"/>
        <v>36.6</v>
      </c>
      <c r="S106" s="29">
        <v>5</v>
      </c>
      <c r="T106" s="286"/>
      <c r="U106" s="295"/>
      <c r="V106" s="38" t="s">
        <v>72</v>
      </c>
      <c r="W106" s="29" t="s">
        <v>87</v>
      </c>
      <c r="X106" s="29" t="s">
        <v>11</v>
      </c>
      <c r="Y106" s="39">
        <v>26.3</v>
      </c>
      <c r="Z106" s="29" t="s">
        <v>104</v>
      </c>
      <c r="AA106" s="29" t="s">
        <v>74</v>
      </c>
      <c r="AB106" s="29" t="s">
        <v>11</v>
      </c>
      <c r="AC106" s="29">
        <v>10.3</v>
      </c>
      <c r="AD106" s="38"/>
      <c r="AG106" s="39"/>
      <c r="AL106" s="38"/>
      <c r="AO106" s="39"/>
      <c r="AP106" s="38"/>
      <c r="AS106" s="39"/>
      <c r="AW106" s="39"/>
      <c r="BA106" s="40"/>
    </row>
    <row r="107" spans="1:53" s="29" customFormat="1" x14ac:dyDescent="0.15">
      <c r="A107" s="29">
        <v>2009</v>
      </c>
      <c r="B107" s="295"/>
      <c r="C107" s="411" t="s">
        <v>271</v>
      </c>
      <c r="D107" s="411"/>
      <c r="E107" s="29">
        <v>94</v>
      </c>
      <c r="G107" s="66">
        <v>19</v>
      </c>
      <c r="J107" s="73">
        <v>19</v>
      </c>
      <c r="K107" s="47">
        <f t="shared" si="31"/>
        <v>100</v>
      </c>
      <c r="L107" s="47">
        <f t="shared" si="32"/>
        <v>0</v>
      </c>
      <c r="M107" s="47">
        <f t="shared" si="33"/>
        <v>0</v>
      </c>
      <c r="N107" s="68">
        <f t="shared" si="26"/>
        <v>100</v>
      </c>
      <c r="O107" s="46">
        <v>36.6</v>
      </c>
      <c r="P107" s="47"/>
      <c r="Q107" s="47"/>
      <c r="R107" s="48">
        <f t="shared" si="27"/>
        <v>36.6</v>
      </c>
      <c r="S107" s="29">
        <v>5</v>
      </c>
      <c r="T107" s="286"/>
      <c r="U107" s="295"/>
      <c r="V107" s="38" t="s">
        <v>72</v>
      </c>
      <c r="W107" s="29" t="s">
        <v>87</v>
      </c>
      <c r="X107" s="29" t="s">
        <v>11</v>
      </c>
      <c r="Y107" s="39">
        <v>26.3</v>
      </c>
      <c r="Z107" s="29" t="s">
        <v>104</v>
      </c>
      <c r="AA107" s="29" t="s">
        <v>74</v>
      </c>
      <c r="AB107" s="29" t="s">
        <v>11</v>
      </c>
      <c r="AC107" s="29">
        <v>10.3</v>
      </c>
      <c r="AD107" s="38"/>
      <c r="AG107" s="39"/>
      <c r="AL107" s="38"/>
      <c r="AO107" s="39"/>
      <c r="AP107" s="38"/>
      <c r="AS107" s="39"/>
      <c r="AW107" s="39"/>
      <c r="BA107" s="40"/>
    </row>
    <row r="108" spans="1:53" s="171" customFormat="1" x14ac:dyDescent="0.15">
      <c r="A108" s="171">
        <v>2009</v>
      </c>
      <c r="B108" s="283">
        <v>39908</v>
      </c>
      <c r="C108" s="410" t="s">
        <v>272</v>
      </c>
      <c r="D108" s="410"/>
      <c r="E108" s="171">
        <v>271</v>
      </c>
      <c r="F108" s="171">
        <v>2</v>
      </c>
      <c r="G108" s="233">
        <v>19</v>
      </c>
      <c r="J108" s="241">
        <v>19</v>
      </c>
      <c r="K108" s="214">
        <f t="shared" si="31"/>
        <v>100</v>
      </c>
      <c r="L108" s="214">
        <f t="shared" si="32"/>
        <v>0</v>
      </c>
      <c r="M108" s="214">
        <f t="shared" si="33"/>
        <v>0</v>
      </c>
      <c r="N108" s="235">
        <f t="shared" si="26"/>
        <v>100</v>
      </c>
      <c r="O108" s="213">
        <v>36.6</v>
      </c>
      <c r="P108" s="214"/>
      <c r="Q108" s="214"/>
      <c r="R108" s="215">
        <f t="shared" si="27"/>
        <v>36.6</v>
      </c>
      <c r="S108" s="171">
        <v>5</v>
      </c>
      <c r="T108" s="285"/>
      <c r="U108" s="283">
        <v>39908</v>
      </c>
      <c r="V108" s="178" t="s">
        <v>72</v>
      </c>
      <c r="W108" s="171" t="s">
        <v>87</v>
      </c>
      <c r="X108" s="171" t="s">
        <v>11</v>
      </c>
      <c r="Y108" s="179">
        <v>26.3</v>
      </c>
      <c r="Z108" s="171" t="s">
        <v>104</v>
      </c>
      <c r="AA108" s="171" t="s">
        <v>74</v>
      </c>
      <c r="AB108" s="171" t="s">
        <v>11</v>
      </c>
      <c r="AC108" s="171">
        <v>10.3</v>
      </c>
      <c r="AD108" s="178"/>
      <c r="AG108" s="179"/>
      <c r="AL108" s="178"/>
      <c r="AO108" s="179"/>
      <c r="AP108" s="178"/>
      <c r="AS108" s="179"/>
      <c r="AW108" s="179"/>
      <c r="BA108" s="180"/>
    </row>
    <row r="109" spans="1:53" s="171" customFormat="1" x14ac:dyDescent="0.15">
      <c r="A109" s="171">
        <v>2010</v>
      </c>
      <c r="B109" s="283"/>
      <c r="C109" s="410" t="s">
        <v>272</v>
      </c>
      <c r="D109" s="410"/>
      <c r="E109" s="171">
        <v>0</v>
      </c>
      <c r="G109" s="233">
        <v>19</v>
      </c>
      <c r="J109" s="241">
        <v>19</v>
      </c>
      <c r="K109" s="214">
        <f t="shared" si="31"/>
        <v>100</v>
      </c>
      <c r="L109" s="214">
        <f t="shared" si="32"/>
        <v>0</v>
      </c>
      <c r="M109" s="214">
        <f t="shared" si="33"/>
        <v>0</v>
      </c>
      <c r="N109" s="235">
        <f t="shared" si="26"/>
        <v>100</v>
      </c>
      <c r="O109" s="213">
        <v>36.6</v>
      </c>
      <c r="P109" s="214"/>
      <c r="Q109" s="214"/>
      <c r="R109" s="215">
        <f t="shared" si="27"/>
        <v>36.6</v>
      </c>
      <c r="S109" s="171">
        <v>5</v>
      </c>
      <c r="T109" s="285"/>
      <c r="U109" s="283"/>
      <c r="V109" s="178" t="s">
        <v>72</v>
      </c>
      <c r="W109" s="171" t="s">
        <v>87</v>
      </c>
      <c r="X109" s="171" t="s">
        <v>11</v>
      </c>
      <c r="Y109" s="179">
        <v>26.3</v>
      </c>
      <c r="Z109" s="171" t="s">
        <v>104</v>
      </c>
      <c r="AA109" s="171" t="s">
        <v>74</v>
      </c>
      <c r="AB109" s="171" t="s">
        <v>11</v>
      </c>
      <c r="AC109" s="171">
        <v>10.3</v>
      </c>
      <c r="AD109" s="178"/>
      <c r="AG109" s="179"/>
      <c r="AL109" s="178"/>
      <c r="AO109" s="179"/>
      <c r="AP109" s="178"/>
      <c r="AS109" s="179"/>
      <c r="AW109" s="179"/>
      <c r="BA109" s="180"/>
    </row>
    <row r="110" spans="1:53" s="171" customFormat="1" x14ac:dyDescent="0.15">
      <c r="A110" s="171">
        <v>2010</v>
      </c>
      <c r="B110" s="283"/>
      <c r="C110" s="410" t="s">
        <v>272</v>
      </c>
      <c r="D110" s="410"/>
      <c r="E110" s="171">
        <v>365</v>
      </c>
      <c r="G110" s="233">
        <v>19</v>
      </c>
      <c r="J110" s="241">
        <v>19</v>
      </c>
      <c r="K110" s="214">
        <f t="shared" si="31"/>
        <v>100</v>
      </c>
      <c r="L110" s="214">
        <f t="shared" si="32"/>
        <v>0</v>
      </c>
      <c r="M110" s="214">
        <f t="shared" si="33"/>
        <v>0</v>
      </c>
      <c r="N110" s="235">
        <f t="shared" si="26"/>
        <v>100</v>
      </c>
      <c r="O110" s="213">
        <v>36.6</v>
      </c>
      <c r="P110" s="214"/>
      <c r="Q110" s="214"/>
      <c r="R110" s="215">
        <f t="shared" si="27"/>
        <v>36.6</v>
      </c>
      <c r="S110" s="171">
        <v>5</v>
      </c>
      <c r="T110" s="285"/>
      <c r="U110" s="283"/>
      <c r="V110" s="178" t="s">
        <v>72</v>
      </c>
      <c r="W110" s="171" t="s">
        <v>87</v>
      </c>
      <c r="X110" s="171" t="s">
        <v>11</v>
      </c>
      <c r="Y110" s="179">
        <v>26.3</v>
      </c>
      <c r="Z110" s="171" t="s">
        <v>104</v>
      </c>
      <c r="AA110" s="171" t="s">
        <v>74</v>
      </c>
      <c r="AB110" s="171" t="s">
        <v>11</v>
      </c>
      <c r="AC110" s="171">
        <v>10.3</v>
      </c>
      <c r="AD110" s="178"/>
      <c r="AG110" s="179"/>
      <c r="AL110" s="178"/>
      <c r="AO110" s="179"/>
      <c r="AP110" s="178"/>
      <c r="AS110" s="179"/>
      <c r="AW110" s="179"/>
      <c r="BA110" s="180"/>
    </row>
    <row r="111" spans="1:53" s="171" customFormat="1" x14ac:dyDescent="0.15">
      <c r="A111" s="171">
        <v>2011</v>
      </c>
      <c r="B111" s="283"/>
      <c r="C111" s="410" t="s">
        <v>272</v>
      </c>
      <c r="D111" s="410"/>
      <c r="E111" s="171">
        <v>275</v>
      </c>
      <c r="G111" s="233">
        <v>19</v>
      </c>
      <c r="J111" s="241">
        <v>19</v>
      </c>
      <c r="K111" s="214">
        <f t="shared" ref="K111:K116" si="34">G111/J111*100</f>
        <v>100</v>
      </c>
      <c r="L111" s="214">
        <f t="shared" ref="L111:L116" si="35">H111/J111*100</f>
        <v>0</v>
      </c>
      <c r="M111" s="214">
        <f t="shared" ref="M111:M116" si="36">I111/J111*100</f>
        <v>0</v>
      </c>
      <c r="N111" s="235">
        <f t="shared" si="26"/>
        <v>100</v>
      </c>
      <c r="O111" s="213">
        <v>36.6</v>
      </c>
      <c r="P111" s="214"/>
      <c r="Q111" s="214"/>
      <c r="R111" s="215">
        <f t="shared" si="27"/>
        <v>36.6</v>
      </c>
      <c r="S111" s="171">
        <v>5</v>
      </c>
      <c r="T111" s="285"/>
      <c r="U111" s="283"/>
      <c r="V111" s="178" t="s">
        <v>72</v>
      </c>
      <c r="W111" s="171" t="s">
        <v>87</v>
      </c>
      <c r="X111" s="171" t="s">
        <v>11</v>
      </c>
      <c r="Y111" s="179">
        <v>26.3</v>
      </c>
      <c r="Z111" s="171" t="s">
        <v>104</v>
      </c>
      <c r="AA111" s="171" t="s">
        <v>74</v>
      </c>
      <c r="AB111" s="171" t="s">
        <v>11</v>
      </c>
      <c r="AC111" s="171">
        <v>10.3</v>
      </c>
      <c r="AD111" s="178"/>
      <c r="AG111" s="179"/>
      <c r="AL111" s="178"/>
      <c r="AO111" s="179"/>
      <c r="AP111" s="178"/>
      <c r="AS111" s="179"/>
      <c r="AW111" s="179"/>
      <c r="BA111" s="180"/>
    </row>
    <row r="112" spans="1:53" s="29" customFormat="1" x14ac:dyDescent="0.15">
      <c r="A112" s="29">
        <v>2011</v>
      </c>
      <c r="B112" s="295">
        <v>40819</v>
      </c>
      <c r="C112" s="411" t="s">
        <v>273</v>
      </c>
      <c r="D112" s="411"/>
      <c r="E112" s="29">
        <v>90</v>
      </c>
      <c r="F112" s="29">
        <v>1</v>
      </c>
      <c r="G112" s="66">
        <v>6</v>
      </c>
      <c r="I112" s="29">
        <v>17</v>
      </c>
      <c r="J112" s="73">
        <v>23</v>
      </c>
      <c r="K112" s="47">
        <f t="shared" si="34"/>
        <v>26.086956521739129</v>
      </c>
      <c r="L112" s="47">
        <f t="shared" si="35"/>
        <v>0</v>
      </c>
      <c r="M112" s="47">
        <f t="shared" si="36"/>
        <v>73.91304347826086</v>
      </c>
      <c r="N112" s="68">
        <f t="shared" si="26"/>
        <v>99.999999999999986</v>
      </c>
      <c r="O112" s="46">
        <v>9.6999999999999993</v>
      </c>
      <c r="P112" s="47"/>
      <c r="Q112" s="47">
        <v>34.200000000000003</v>
      </c>
      <c r="R112" s="48">
        <f t="shared" si="27"/>
        <v>43.900000000000006</v>
      </c>
      <c r="S112" s="29">
        <v>5</v>
      </c>
      <c r="T112" s="286">
        <v>40801</v>
      </c>
      <c r="U112" s="295">
        <v>40819</v>
      </c>
      <c r="V112" s="38" t="s">
        <v>101</v>
      </c>
      <c r="W112" s="29" t="s">
        <v>20</v>
      </c>
      <c r="X112" s="29" t="s">
        <v>12</v>
      </c>
      <c r="Y112" s="39">
        <v>25.1</v>
      </c>
      <c r="Z112" s="29" t="s">
        <v>102</v>
      </c>
      <c r="AA112" s="29" t="s">
        <v>22</v>
      </c>
      <c r="AB112" s="29" t="s">
        <v>11</v>
      </c>
      <c r="AC112" s="29">
        <v>9.6999999999999993</v>
      </c>
      <c r="AD112" s="38" t="s">
        <v>274</v>
      </c>
      <c r="AE112" s="29" t="s">
        <v>115</v>
      </c>
      <c r="AF112" s="29" t="s">
        <v>12</v>
      </c>
      <c r="AG112" s="39">
        <v>9.1</v>
      </c>
      <c r="AL112" s="38"/>
      <c r="AO112" s="39"/>
      <c r="AP112" s="38"/>
      <c r="AS112" s="39"/>
      <c r="AW112" s="39"/>
      <c r="BA112" s="40"/>
    </row>
    <row r="113" spans="1:53" s="29" customFormat="1" x14ac:dyDescent="0.15">
      <c r="A113" s="29">
        <v>2012</v>
      </c>
      <c r="B113" s="295"/>
      <c r="C113" s="411" t="s">
        <v>273</v>
      </c>
      <c r="D113" s="411"/>
      <c r="E113" s="29">
        <v>0</v>
      </c>
      <c r="G113" s="66">
        <v>6</v>
      </c>
      <c r="I113" s="29">
        <v>17</v>
      </c>
      <c r="J113" s="73">
        <v>23</v>
      </c>
      <c r="K113" s="47">
        <f t="shared" si="34"/>
        <v>26.086956521739129</v>
      </c>
      <c r="L113" s="47">
        <f t="shared" si="35"/>
        <v>0</v>
      </c>
      <c r="M113" s="47">
        <f t="shared" si="36"/>
        <v>73.91304347826086</v>
      </c>
      <c r="N113" s="68">
        <f t="shared" si="26"/>
        <v>99.999999999999986</v>
      </c>
      <c r="O113" s="46">
        <v>9.6999999999999993</v>
      </c>
      <c r="P113" s="47"/>
      <c r="Q113" s="47">
        <v>34.200000000000003</v>
      </c>
      <c r="R113" s="48">
        <f t="shared" si="27"/>
        <v>43.900000000000006</v>
      </c>
      <c r="S113" s="29">
        <v>5</v>
      </c>
      <c r="T113" s="286"/>
      <c r="U113" s="295"/>
      <c r="V113" s="38" t="s">
        <v>101</v>
      </c>
      <c r="W113" s="29" t="s">
        <v>20</v>
      </c>
      <c r="X113" s="29" t="s">
        <v>12</v>
      </c>
      <c r="Y113" s="39">
        <v>25.1</v>
      </c>
      <c r="Z113" s="29" t="s">
        <v>102</v>
      </c>
      <c r="AA113" s="29" t="s">
        <v>22</v>
      </c>
      <c r="AB113" s="29" t="s">
        <v>11</v>
      </c>
      <c r="AC113" s="29">
        <v>9.6999999999999993</v>
      </c>
      <c r="AD113" s="38" t="s">
        <v>274</v>
      </c>
      <c r="AE113" s="29" t="s">
        <v>115</v>
      </c>
      <c r="AF113" s="29" t="s">
        <v>12</v>
      </c>
      <c r="AG113" s="39">
        <v>9.1</v>
      </c>
      <c r="AL113" s="38"/>
      <c r="AO113" s="39"/>
      <c r="AP113" s="38"/>
      <c r="AS113" s="39"/>
      <c r="AW113" s="39"/>
      <c r="BA113" s="40"/>
    </row>
    <row r="114" spans="1:53" s="29" customFormat="1" x14ac:dyDescent="0.15">
      <c r="A114" s="29">
        <v>2012</v>
      </c>
      <c r="B114" s="295"/>
      <c r="C114" s="411" t="s">
        <v>273</v>
      </c>
      <c r="D114" s="411"/>
      <c r="E114" s="29">
        <v>366</v>
      </c>
      <c r="G114" s="66">
        <v>6</v>
      </c>
      <c r="I114" s="29">
        <v>17</v>
      </c>
      <c r="J114" s="73">
        <v>23</v>
      </c>
      <c r="K114" s="47">
        <f t="shared" si="34"/>
        <v>26.086956521739129</v>
      </c>
      <c r="L114" s="47">
        <f t="shared" si="35"/>
        <v>0</v>
      </c>
      <c r="M114" s="47">
        <f t="shared" si="36"/>
        <v>73.91304347826086</v>
      </c>
      <c r="N114" s="68">
        <f t="shared" si="26"/>
        <v>99.999999999999986</v>
      </c>
      <c r="O114" s="46">
        <v>9.6999999999999993</v>
      </c>
      <c r="P114" s="47"/>
      <c r="Q114" s="47">
        <v>34.200000000000003</v>
      </c>
      <c r="R114" s="48">
        <f t="shared" si="27"/>
        <v>43.900000000000006</v>
      </c>
      <c r="S114" s="29">
        <v>5</v>
      </c>
      <c r="T114" s="286"/>
      <c r="U114" s="295"/>
      <c r="V114" s="38" t="s">
        <v>101</v>
      </c>
      <c r="W114" s="29" t="s">
        <v>20</v>
      </c>
      <c r="X114" s="29" t="s">
        <v>12</v>
      </c>
      <c r="Y114" s="39">
        <v>25.1</v>
      </c>
      <c r="Z114" s="29" t="s">
        <v>102</v>
      </c>
      <c r="AA114" s="29" t="s">
        <v>22</v>
      </c>
      <c r="AB114" s="29" t="s">
        <v>11</v>
      </c>
      <c r="AC114" s="29">
        <v>9.6999999999999993</v>
      </c>
      <c r="AD114" s="38" t="s">
        <v>274</v>
      </c>
      <c r="AE114" s="29" t="s">
        <v>115</v>
      </c>
      <c r="AF114" s="29" t="s">
        <v>12</v>
      </c>
      <c r="AG114" s="39">
        <v>9.1</v>
      </c>
      <c r="AL114" s="38"/>
      <c r="AO114" s="39"/>
      <c r="AP114" s="38"/>
      <c r="AS114" s="39"/>
      <c r="AW114" s="39"/>
      <c r="BA114" s="40"/>
    </row>
    <row r="115" spans="1:53" s="29" customFormat="1" x14ac:dyDescent="0.15">
      <c r="A115" s="29">
        <v>2013</v>
      </c>
      <c r="B115" s="295"/>
      <c r="C115" s="411" t="s">
        <v>273</v>
      </c>
      <c r="D115" s="411"/>
      <c r="E115" s="29">
        <v>220</v>
      </c>
      <c r="G115" s="66">
        <v>6</v>
      </c>
      <c r="I115" s="29">
        <v>17</v>
      </c>
      <c r="J115" s="73">
        <v>23</v>
      </c>
      <c r="K115" s="47">
        <f t="shared" si="34"/>
        <v>26.086956521739129</v>
      </c>
      <c r="L115" s="47">
        <f t="shared" si="35"/>
        <v>0</v>
      </c>
      <c r="M115" s="47">
        <f t="shared" si="36"/>
        <v>73.91304347826086</v>
      </c>
      <c r="N115" s="68">
        <f t="shared" si="26"/>
        <v>99.999999999999986</v>
      </c>
      <c r="O115" s="46">
        <v>9.6999999999999993</v>
      </c>
      <c r="P115" s="47"/>
      <c r="Q115" s="47">
        <v>34.200000000000003</v>
      </c>
      <c r="R115" s="48">
        <f t="shared" si="27"/>
        <v>43.900000000000006</v>
      </c>
      <c r="S115" s="29">
        <v>5</v>
      </c>
      <c r="T115" s="286"/>
      <c r="U115" s="295"/>
      <c r="V115" s="38" t="s">
        <v>101</v>
      </c>
      <c r="W115" s="29" t="s">
        <v>20</v>
      </c>
      <c r="X115" s="29" t="s">
        <v>12</v>
      </c>
      <c r="Y115" s="39">
        <v>25.1</v>
      </c>
      <c r="Z115" s="29" t="s">
        <v>102</v>
      </c>
      <c r="AA115" s="29" t="s">
        <v>22</v>
      </c>
      <c r="AB115" s="29" t="s">
        <v>11</v>
      </c>
      <c r="AC115" s="29">
        <v>9.6999999999999993</v>
      </c>
      <c r="AD115" s="38" t="s">
        <v>274</v>
      </c>
      <c r="AE115" s="29" t="s">
        <v>115</v>
      </c>
      <c r="AF115" s="29" t="s">
        <v>12</v>
      </c>
      <c r="AG115" s="39">
        <v>9.1</v>
      </c>
      <c r="AL115" s="38"/>
      <c r="AO115" s="39"/>
      <c r="AP115" s="38"/>
      <c r="AS115" s="39"/>
      <c r="AW115" s="39"/>
      <c r="BA115" s="40"/>
    </row>
    <row r="116" spans="1:53" s="29" customFormat="1" x14ac:dyDescent="0.15">
      <c r="A116" s="29">
        <v>2013</v>
      </c>
      <c r="B116" s="303">
        <v>41495</v>
      </c>
      <c r="C116" s="411" t="s">
        <v>273</v>
      </c>
      <c r="D116" s="411"/>
      <c r="E116" s="29">
        <f>365-E115</f>
        <v>145</v>
      </c>
      <c r="F116" s="84">
        <v>0</v>
      </c>
      <c r="G116" s="66">
        <v>6</v>
      </c>
      <c r="I116" s="29">
        <v>16</v>
      </c>
      <c r="J116" s="73">
        <v>22</v>
      </c>
      <c r="K116" s="47">
        <f t="shared" si="34"/>
        <v>27.27272727272727</v>
      </c>
      <c r="L116" s="47">
        <f t="shared" si="35"/>
        <v>0</v>
      </c>
      <c r="M116" s="47">
        <f t="shared" si="36"/>
        <v>72.727272727272734</v>
      </c>
      <c r="N116" s="68">
        <f t="shared" si="26"/>
        <v>100</v>
      </c>
      <c r="O116" s="46">
        <v>9.6999999999999993</v>
      </c>
      <c r="P116" s="47"/>
      <c r="Q116" s="47">
        <v>34.200000000000003</v>
      </c>
      <c r="R116" s="48">
        <f t="shared" si="27"/>
        <v>43.900000000000006</v>
      </c>
      <c r="S116" s="29">
        <v>5</v>
      </c>
      <c r="T116" s="286"/>
      <c r="U116" s="295"/>
      <c r="V116" s="38" t="s">
        <v>101</v>
      </c>
      <c r="W116" s="29" t="s">
        <v>20</v>
      </c>
      <c r="X116" s="29" t="s">
        <v>12</v>
      </c>
      <c r="Y116" s="39">
        <v>25.1</v>
      </c>
      <c r="Z116" s="29" t="s">
        <v>102</v>
      </c>
      <c r="AA116" s="29" t="s">
        <v>22</v>
      </c>
      <c r="AB116" s="29" t="s">
        <v>11</v>
      </c>
      <c r="AC116" s="29">
        <v>9.6999999999999993</v>
      </c>
      <c r="AD116" s="38" t="s">
        <v>274</v>
      </c>
      <c r="AE116" s="29" t="s">
        <v>115</v>
      </c>
      <c r="AF116" s="29" t="s">
        <v>12</v>
      </c>
      <c r="AG116" s="39">
        <v>9.1</v>
      </c>
      <c r="AL116" s="38"/>
      <c r="AO116" s="39"/>
      <c r="AP116" s="38"/>
      <c r="AS116" s="39"/>
      <c r="AW116" s="39"/>
      <c r="BA116" s="40"/>
    </row>
    <row r="117" spans="1:53" s="29" customFormat="1" x14ac:dyDescent="0.15">
      <c r="A117" s="29">
        <v>2014</v>
      </c>
      <c r="B117" s="303"/>
      <c r="C117" s="411" t="s">
        <v>273</v>
      </c>
      <c r="D117" s="411"/>
      <c r="E117" s="29">
        <v>33</v>
      </c>
      <c r="F117" s="84"/>
      <c r="G117" s="66">
        <v>6</v>
      </c>
      <c r="I117" s="29">
        <v>16</v>
      </c>
      <c r="J117" s="73">
        <v>22</v>
      </c>
      <c r="K117" s="47">
        <f>G117/J117*100</f>
        <v>27.27272727272727</v>
      </c>
      <c r="L117" s="47">
        <f>H117/J117*100</f>
        <v>0</v>
      </c>
      <c r="M117" s="47">
        <f>I117/J117*100</f>
        <v>72.727272727272734</v>
      </c>
      <c r="N117" s="68">
        <f>SUM(K117:M117)</f>
        <v>100</v>
      </c>
      <c r="O117" s="46">
        <v>9.6999999999999993</v>
      </c>
      <c r="P117" s="47"/>
      <c r="Q117" s="47">
        <v>34.200000000000003</v>
      </c>
      <c r="R117" s="48">
        <f t="shared" ref="R117:R123" si="37">SUM(O117:Q117)</f>
        <v>43.900000000000006</v>
      </c>
      <c r="S117" s="29">
        <v>5</v>
      </c>
      <c r="T117" s="286"/>
      <c r="U117" s="295"/>
      <c r="V117" s="38" t="s">
        <v>101</v>
      </c>
      <c r="W117" s="29" t="s">
        <v>20</v>
      </c>
      <c r="X117" s="29" t="s">
        <v>12</v>
      </c>
      <c r="Y117" s="39">
        <v>25.1</v>
      </c>
      <c r="Z117" s="29" t="s">
        <v>102</v>
      </c>
      <c r="AA117" s="29" t="s">
        <v>22</v>
      </c>
      <c r="AB117" s="29" t="s">
        <v>11</v>
      </c>
      <c r="AC117" s="29">
        <v>9.6999999999999993</v>
      </c>
      <c r="AD117" s="38" t="s">
        <v>274</v>
      </c>
      <c r="AE117" s="29" t="s">
        <v>115</v>
      </c>
      <c r="AF117" s="29" t="s">
        <v>12</v>
      </c>
      <c r="AG117" s="39">
        <v>9.1</v>
      </c>
      <c r="AL117" s="38"/>
      <c r="AO117" s="39"/>
      <c r="AP117" s="38"/>
      <c r="AS117" s="39"/>
      <c r="AW117" s="39"/>
      <c r="BA117" s="40"/>
    </row>
    <row r="118" spans="1:53" s="171" customFormat="1" x14ac:dyDescent="0.15">
      <c r="A118" s="171">
        <v>2014</v>
      </c>
      <c r="B118" s="283">
        <v>41673</v>
      </c>
      <c r="C118" s="410" t="s">
        <v>1285</v>
      </c>
      <c r="D118" s="410"/>
      <c r="E118" s="171">
        <v>211</v>
      </c>
      <c r="F118" s="171">
        <v>4</v>
      </c>
      <c r="G118" s="233">
        <v>7</v>
      </c>
      <c r="I118" s="171">
        <v>13</v>
      </c>
      <c r="J118" s="241">
        <v>20</v>
      </c>
      <c r="K118" s="214">
        <f>G118/J118*100</f>
        <v>35</v>
      </c>
      <c r="L118" s="214">
        <f>H118/J118*100</f>
        <v>0</v>
      </c>
      <c r="M118" s="214">
        <f>I118/J118*100</f>
        <v>65</v>
      </c>
      <c r="N118" s="235">
        <f>SUM(K118:M118)</f>
        <v>100</v>
      </c>
      <c r="O118" s="213">
        <v>9.1</v>
      </c>
      <c r="P118" s="214"/>
      <c r="Q118" s="214">
        <v>26.9</v>
      </c>
      <c r="R118" s="215">
        <f t="shared" si="37"/>
        <v>36</v>
      </c>
      <c r="S118" s="171">
        <v>5</v>
      </c>
      <c r="T118" s="285"/>
      <c r="U118" s="283">
        <v>41673</v>
      </c>
      <c r="V118" s="178" t="s">
        <v>101</v>
      </c>
      <c r="W118" s="171" t="s">
        <v>20</v>
      </c>
      <c r="X118" s="171" t="s">
        <v>12</v>
      </c>
      <c r="Y118" s="179">
        <v>26.9</v>
      </c>
      <c r="Z118" s="171" t="s">
        <v>102</v>
      </c>
      <c r="AA118" s="171" t="s">
        <v>22</v>
      </c>
      <c r="AB118" s="171" t="s">
        <v>11</v>
      </c>
      <c r="AC118" s="171">
        <v>9.1</v>
      </c>
      <c r="AD118" s="178"/>
      <c r="AG118" s="179"/>
      <c r="AL118" s="178"/>
      <c r="AO118" s="179"/>
      <c r="AP118" s="178"/>
      <c r="AS118" s="179"/>
      <c r="AW118" s="179"/>
      <c r="BA118" s="180"/>
    </row>
    <row r="119" spans="1:53" s="171" customFormat="1" x14ac:dyDescent="0.15">
      <c r="A119" s="171">
        <v>2014</v>
      </c>
      <c r="B119" s="305">
        <v>41884</v>
      </c>
      <c r="C119" s="410" t="s">
        <v>1285</v>
      </c>
      <c r="D119" s="410"/>
      <c r="E119" s="171">
        <v>121</v>
      </c>
      <c r="F119" s="244">
        <v>0</v>
      </c>
      <c r="G119" s="233">
        <v>6</v>
      </c>
      <c r="I119" s="171">
        <v>14</v>
      </c>
      <c r="J119" s="241">
        <v>20</v>
      </c>
      <c r="K119" s="214">
        <f>G119/J119*100</f>
        <v>30</v>
      </c>
      <c r="L119" s="214">
        <f>H119/J119*100</f>
        <v>0</v>
      </c>
      <c r="M119" s="214">
        <f>I119/J119*100</f>
        <v>70</v>
      </c>
      <c r="N119" s="235">
        <f>SUM(K119:M119)</f>
        <v>100</v>
      </c>
      <c r="O119" s="213">
        <v>9.1</v>
      </c>
      <c r="P119" s="214"/>
      <c r="Q119" s="214">
        <v>26.9</v>
      </c>
      <c r="R119" s="215">
        <f t="shared" si="37"/>
        <v>36</v>
      </c>
      <c r="S119" s="171">
        <v>5</v>
      </c>
      <c r="T119" s="285"/>
      <c r="U119" s="283"/>
      <c r="V119" s="178" t="s">
        <v>101</v>
      </c>
      <c r="W119" s="171" t="s">
        <v>20</v>
      </c>
      <c r="X119" s="171" t="s">
        <v>12</v>
      </c>
      <c r="Y119" s="179">
        <v>26.9</v>
      </c>
      <c r="Z119" s="171" t="s">
        <v>102</v>
      </c>
      <c r="AA119" s="171" t="s">
        <v>22</v>
      </c>
      <c r="AB119" s="171" t="s">
        <v>11</v>
      </c>
      <c r="AC119" s="171">
        <v>9.1</v>
      </c>
      <c r="AD119" s="178"/>
      <c r="AG119" s="179"/>
      <c r="AL119" s="178"/>
      <c r="AO119" s="179"/>
      <c r="AP119" s="178"/>
      <c r="AS119" s="179"/>
      <c r="AW119" s="179"/>
      <c r="BA119" s="180"/>
    </row>
    <row r="120" spans="1:53" s="171" customFormat="1" x14ac:dyDescent="0.15">
      <c r="A120" s="171">
        <v>2015</v>
      </c>
      <c r="B120" s="305"/>
      <c r="C120" s="410" t="s">
        <v>1285</v>
      </c>
      <c r="D120" s="410"/>
      <c r="E120" s="171">
        <v>178</v>
      </c>
      <c r="F120" s="244"/>
      <c r="G120" s="233">
        <v>6</v>
      </c>
      <c r="I120" s="171">
        <v>14</v>
      </c>
      <c r="J120" s="241">
        <v>20</v>
      </c>
      <c r="K120" s="214">
        <f t="shared" ref="K120:K123" si="38">G120/J120*100</f>
        <v>30</v>
      </c>
      <c r="L120" s="214">
        <f t="shared" ref="L120:L123" si="39">H120/J120*100</f>
        <v>0</v>
      </c>
      <c r="M120" s="214">
        <f t="shared" ref="M120:M123" si="40">I120/J120*100</f>
        <v>70</v>
      </c>
      <c r="N120" s="235">
        <f t="shared" ref="N120:N123" si="41">SUM(K120:M120)</f>
        <v>100</v>
      </c>
      <c r="O120" s="213">
        <v>9.1</v>
      </c>
      <c r="P120" s="214"/>
      <c r="Q120" s="214">
        <v>26.9</v>
      </c>
      <c r="R120" s="215">
        <f t="shared" si="37"/>
        <v>36</v>
      </c>
      <c r="S120" s="171">
        <v>5</v>
      </c>
      <c r="T120" s="285"/>
      <c r="U120" s="283"/>
      <c r="V120" s="178" t="s">
        <v>101</v>
      </c>
      <c r="W120" s="171" t="s">
        <v>20</v>
      </c>
      <c r="X120" s="171" t="s">
        <v>12</v>
      </c>
      <c r="Y120" s="179">
        <v>26.9</v>
      </c>
      <c r="Z120" s="171" t="s">
        <v>102</v>
      </c>
      <c r="AA120" s="171" t="s">
        <v>22</v>
      </c>
      <c r="AB120" s="171" t="s">
        <v>11</v>
      </c>
      <c r="AC120" s="171">
        <v>9.1</v>
      </c>
      <c r="AD120" s="178"/>
      <c r="AG120" s="179"/>
      <c r="AL120" s="178"/>
      <c r="AO120" s="179"/>
      <c r="AP120" s="178"/>
      <c r="AS120" s="179"/>
      <c r="AW120" s="179"/>
      <c r="BA120" s="180"/>
    </row>
    <row r="121" spans="1:53" s="29" customFormat="1" x14ac:dyDescent="0.15">
      <c r="A121" s="29">
        <v>2015</v>
      </c>
      <c r="B121" s="295">
        <v>42183</v>
      </c>
      <c r="C121" s="411" t="s">
        <v>1315</v>
      </c>
      <c r="D121" s="411"/>
      <c r="E121" s="29">
        <v>187</v>
      </c>
      <c r="F121" s="29">
        <v>1</v>
      </c>
      <c r="G121" s="66">
        <v>17</v>
      </c>
      <c r="J121" s="73">
        <v>17</v>
      </c>
      <c r="K121" s="47">
        <f t="shared" si="38"/>
        <v>100</v>
      </c>
      <c r="L121" s="47">
        <f t="shared" si="39"/>
        <v>0</v>
      </c>
      <c r="M121" s="47">
        <f t="shared" si="40"/>
        <v>0</v>
      </c>
      <c r="N121" s="68">
        <f t="shared" si="41"/>
        <v>100</v>
      </c>
      <c r="O121" s="46">
        <v>19.399999999999999</v>
      </c>
      <c r="P121" s="47"/>
      <c r="Q121" s="47"/>
      <c r="R121" s="48">
        <f t="shared" si="37"/>
        <v>19.399999999999999</v>
      </c>
      <c r="S121" s="29">
        <v>4</v>
      </c>
      <c r="T121" s="286">
        <v>42173</v>
      </c>
      <c r="U121" s="295">
        <v>42183</v>
      </c>
      <c r="V121" s="38" t="s">
        <v>72</v>
      </c>
      <c r="W121" s="29" t="s">
        <v>87</v>
      </c>
      <c r="X121" s="29" t="s">
        <v>11</v>
      </c>
      <c r="Y121" s="39">
        <v>19.399999999999999</v>
      </c>
      <c r="AC121" s="39"/>
      <c r="AG121" s="39"/>
      <c r="AL121" s="38"/>
      <c r="AO121" s="39"/>
      <c r="AP121" s="38"/>
      <c r="AS121" s="39"/>
      <c r="AW121" s="39"/>
      <c r="BA121" s="40"/>
    </row>
    <row r="122" spans="1:53" s="29" customFormat="1" x14ac:dyDescent="0.15">
      <c r="A122" s="29">
        <v>2016</v>
      </c>
      <c r="B122" s="295"/>
      <c r="C122" s="411" t="s">
        <v>1315</v>
      </c>
      <c r="D122" s="411"/>
      <c r="E122" s="29">
        <v>332</v>
      </c>
      <c r="G122" s="66">
        <v>17</v>
      </c>
      <c r="J122" s="73">
        <v>17</v>
      </c>
      <c r="K122" s="47">
        <f t="shared" si="38"/>
        <v>100</v>
      </c>
      <c r="L122" s="47">
        <f t="shared" si="39"/>
        <v>0</v>
      </c>
      <c r="M122" s="47">
        <f t="shared" si="40"/>
        <v>0</v>
      </c>
      <c r="N122" s="68">
        <f t="shared" si="41"/>
        <v>100</v>
      </c>
      <c r="O122" s="46">
        <v>19.399999999999999</v>
      </c>
      <c r="P122" s="47"/>
      <c r="Q122" s="47"/>
      <c r="R122" s="48">
        <f t="shared" si="37"/>
        <v>19.399999999999999</v>
      </c>
      <c r="S122" s="29">
        <v>4</v>
      </c>
      <c r="T122" s="286"/>
      <c r="U122" s="295"/>
      <c r="V122" s="38" t="s">
        <v>72</v>
      </c>
      <c r="W122" s="29" t="s">
        <v>87</v>
      </c>
      <c r="X122" s="29" t="s">
        <v>11</v>
      </c>
      <c r="Y122" s="39">
        <v>19.399999999999999</v>
      </c>
      <c r="AD122" s="38"/>
      <c r="AG122" s="39"/>
      <c r="AL122" s="38"/>
      <c r="AO122" s="39"/>
      <c r="AP122" s="38"/>
      <c r="AS122" s="39"/>
      <c r="AW122" s="39"/>
      <c r="BA122" s="40"/>
    </row>
    <row r="123" spans="1:53" s="171" customFormat="1" x14ac:dyDescent="0.15">
      <c r="A123" s="171">
        <v>2016</v>
      </c>
      <c r="B123" s="283">
        <v>42702</v>
      </c>
      <c r="C123" s="410" t="s">
        <v>1338</v>
      </c>
      <c r="D123" s="410"/>
      <c r="E123" s="171">
        <v>34</v>
      </c>
      <c r="F123" s="171">
        <v>7</v>
      </c>
      <c r="G123" s="233">
        <v>22</v>
      </c>
      <c r="J123" s="241">
        <v>22</v>
      </c>
      <c r="K123" s="214">
        <f t="shared" si="38"/>
        <v>100</v>
      </c>
      <c r="L123" s="214">
        <f t="shared" si="39"/>
        <v>0</v>
      </c>
      <c r="M123" s="214">
        <f t="shared" si="40"/>
        <v>0</v>
      </c>
      <c r="N123" s="235">
        <f t="shared" si="41"/>
        <v>100</v>
      </c>
      <c r="O123" s="213">
        <v>30.3</v>
      </c>
      <c r="P123" s="214"/>
      <c r="Q123" s="214"/>
      <c r="R123" s="215">
        <f t="shared" si="37"/>
        <v>30.3</v>
      </c>
      <c r="S123" s="171">
        <v>5</v>
      </c>
      <c r="T123" s="285"/>
      <c r="U123" s="283">
        <v>42702</v>
      </c>
      <c r="V123" s="178" t="s">
        <v>72</v>
      </c>
      <c r="W123" s="171" t="s">
        <v>87</v>
      </c>
      <c r="X123" s="171" t="s">
        <v>11</v>
      </c>
      <c r="Y123" s="179">
        <v>19.399999999999999</v>
      </c>
      <c r="Z123" s="171" t="s">
        <v>1339</v>
      </c>
      <c r="AA123" s="171" t="s">
        <v>892</v>
      </c>
      <c r="AB123" s="171" t="s">
        <v>11</v>
      </c>
      <c r="AC123" s="171">
        <v>7.4</v>
      </c>
      <c r="AD123" s="178" t="s">
        <v>104</v>
      </c>
      <c r="AE123" s="171" t="s">
        <v>74</v>
      </c>
      <c r="AF123" s="171" t="s">
        <v>11</v>
      </c>
      <c r="AG123" s="179">
        <v>3.4</v>
      </c>
      <c r="AK123" s="179"/>
      <c r="AO123" s="179"/>
      <c r="AS123" s="179"/>
      <c r="AW123" s="179"/>
      <c r="BA123" s="180"/>
    </row>
    <row r="124" spans="1:53" s="171" customFormat="1" x14ac:dyDescent="0.15">
      <c r="A124" s="171">
        <v>2017</v>
      </c>
      <c r="B124" s="283"/>
      <c r="C124" s="410" t="s">
        <v>1338</v>
      </c>
      <c r="D124" s="410"/>
      <c r="E124" s="171">
        <v>0</v>
      </c>
      <c r="G124" s="233">
        <v>22</v>
      </c>
      <c r="J124" s="241">
        <v>22</v>
      </c>
      <c r="K124" s="214">
        <f t="shared" ref="K124:K127" si="42">G124/J124*100</f>
        <v>100</v>
      </c>
      <c r="L124" s="214">
        <f t="shared" ref="L124:L127" si="43">H124/J124*100</f>
        <v>0</v>
      </c>
      <c r="M124" s="214">
        <f t="shared" ref="M124:M127" si="44">I124/J124*100</f>
        <v>0</v>
      </c>
      <c r="N124" s="235">
        <f t="shared" ref="N124:N127" si="45">SUM(K124:M124)</f>
        <v>100</v>
      </c>
      <c r="O124" s="213">
        <v>30.3</v>
      </c>
      <c r="P124" s="214"/>
      <c r="Q124" s="214"/>
      <c r="R124" s="215">
        <f t="shared" ref="R124:R127" si="46">SUM(O124:Q124)</f>
        <v>30.3</v>
      </c>
      <c r="S124" s="171">
        <v>5</v>
      </c>
      <c r="T124" s="285"/>
      <c r="U124" s="283"/>
      <c r="V124" s="178" t="s">
        <v>72</v>
      </c>
      <c r="W124" s="171" t="s">
        <v>87</v>
      </c>
      <c r="X124" s="171" t="s">
        <v>11</v>
      </c>
      <c r="Y124" s="179">
        <v>19.399999999999999</v>
      </c>
      <c r="Z124" s="171" t="s">
        <v>1339</v>
      </c>
      <c r="AA124" s="171" t="s">
        <v>892</v>
      </c>
      <c r="AB124" s="171" t="s">
        <v>11</v>
      </c>
      <c r="AC124" s="171">
        <v>7.4</v>
      </c>
      <c r="AD124" s="178" t="s">
        <v>104</v>
      </c>
      <c r="AE124" s="171" t="s">
        <v>74</v>
      </c>
      <c r="AF124" s="171" t="s">
        <v>11</v>
      </c>
      <c r="AG124" s="179">
        <v>3.4</v>
      </c>
      <c r="AK124" s="179"/>
      <c r="AO124" s="179"/>
      <c r="AS124" s="179"/>
      <c r="AW124" s="179"/>
      <c r="BA124" s="180"/>
    </row>
    <row r="125" spans="1:53" s="171" customFormat="1" x14ac:dyDescent="0.15">
      <c r="A125" s="171">
        <v>2017</v>
      </c>
      <c r="B125" s="283"/>
      <c r="C125" s="410" t="s">
        <v>1338</v>
      </c>
      <c r="D125" s="410"/>
      <c r="E125" s="171">
        <v>365</v>
      </c>
      <c r="G125" s="233">
        <v>22</v>
      </c>
      <c r="J125" s="241">
        <v>22</v>
      </c>
      <c r="K125" s="214">
        <f t="shared" si="42"/>
        <v>100</v>
      </c>
      <c r="L125" s="214">
        <f t="shared" si="43"/>
        <v>0</v>
      </c>
      <c r="M125" s="214">
        <f t="shared" si="44"/>
        <v>0</v>
      </c>
      <c r="N125" s="235">
        <f t="shared" si="45"/>
        <v>100</v>
      </c>
      <c r="O125" s="213">
        <v>30.3</v>
      </c>
      <c r="P125" s="214"/>
      <c r="Q125" s="214"/>
      <c r="R125" s="215">
        <f t="shared" si="46"/>
        <v>30.3</v>
      </c>
      <c r="S125" s="171">
        <v>5</v>
      </c>
      <c r="T125" s="285"/>
      <c r="U125" s="283"/>
      <c r="V125" s="178" t="s">
        <v>72</v>
      </c>
      <c r="W125" s="171" t="s">
        <v>87</v>
      </c>
      <c r="X125" s="171" t="s">
        <v>11</v>
      </c>
      <c r="Y125" s="179">
        <v>19.399999999999999</v>
      </c>
      <c r="Z125" s="171" t="s">
        <v>1339</v>
      </c>
      <c r="AA125" s="171" t="s">
        <v>892</v>
      </c>
      <c r="AB125" s="171" t="s">
        <v>11</v>
      </c>
      <c r="AC125" s="171">
        <v>7.4</v>
      </c>
      <c r="AD125" s="178" t="s">
        <v>104</v>
      </c>
      <c r="AE125" s="171" t="s">
        <v>74</v>
      </c>
      <c r="AF125" s="171" t="s">
        <v>11</v>
      </c>
      <c r="AG125" s="179">
        <v>3.4</v>
      </c>
      <c r="AK125" s="179"/>
      <c r="AO125" s="179"/>
      <c r="AS125" s="179"/>
      <c r="AW125" s="179"/>
      <c r="BA125" s="180"/>
    </row>
    <row r="126" spans="1:53" s="171" customFormat="1" x14ac:dyDescent="0.15">
      <c r="A126" s="171">
        <v>2018</v>
      </c>
      <c r="B126" s="283"/>
      <c r="C126" s="410" t="s">
        <v>1338</v>
      </c>
      <c r="D126" s="410"/>
      <c r="E126" s="171">
        <v>0</v>
      </c>
      <c r="G126" s="233">
        <v>22</v>
      </c>
      <c r="J126" s="241">
        <v>22</v>
      </c>
      <c r="K126" s="214">
        <f t="shared" si="42"/>
        <v>100</v>
      </c>
      <c r="L126" s="214">
        <f t="shared" si="43"/>
        <v>0</v>
      </c>
      <c r="M126" s="214">
        <f t="shared" si="44"/>
        <v>0</v>
      </c>
      <c r="N126" s="235">
        <f t="shared" si="45"/>
        <v>100</v>
      </c>
      <c r="O126" s="213">
        <v>30.3</v>
      </c>
      <c r="P126" s="214"/>
      <c r="Q126" s="214"/>
      <c r="R126" s="215">
        <f t="shared" si="46"/>
        <v>30.3</v>
      </c>
      <c r="S126" s="171">
        <v>5</v>
      </c>
      <c r="T126" s="285"/>
      <c r="U126" s="283"/>
      <c r="V126" s="178" t="s">
        <v>72</v>
      </c>
      <c r="W126" s="171" t="s">
        <v>87</v>
      </c>
      <c r="X126" s="171" t="s">
        <v>11</v>
      </c>
      <c r="Y126" s="179">
        <v>19.399999999999999</v>
      </c>
      <c r="Z126" s="171" t="s">
        <v>1339</v>
      </c>
      <c r="AA126" s="171" t="s">
        <v>892</v>
      </c>
      <c r="AB126" s="171" t="s">
        <v>11</v>
      </c>
      <c r="AC126" s="171">
        <v>7.4</v>
      </c>
      <c r="AD126" s="178" t="s">
        <v>104</v>
      </c>
      <c r="AE126" s="171" t="s">
        <v>74</v>
      </c>
      <c r="AF126" s="171" t="s">
        <v>11</v>
      </c>
      <c r="AG126" s="179">
        <v>3.4</v>
      </c>
      <c r="AK126" s="179"/>
      <c r="AO126" s="179"/>
      <c r="AS126" s="179"/>
      <c r="AW126" s="179"/>
      <c r="BA126" s="180"/>
    </row>
    <row r="127" spans="1:53" s="171" customFormat="1" x14ac:dyDescent="0.15">
      <c r="A127" s="171">
        <v>2018</v>
      </c>
      <c r="B127" s="283"/>
      <c r="C127" s="410" t="s">
        <v>1338</v>
      </c>
      <c r="D127" s="410"/>
      <c r="E127" s="171">
        <v>365</v>
      </c>
      <c r="G127" s="233">
        <v>22</v>
      </c>
      <c r="J127" s="241">
        <v>22</v>
      </c>
      <c r="K127" s="214">
        <f t="shared" si="42"/>
        <v>100</v>
      </c>
      <c r="L127" s="214">
        <f t="shared" si="43"/>
        <v>0</v>
      </c>
      <c r="M127" s="214">
        <f t="shared" si="44"/>
        <v>0</v>
      </c>
      <c r="N127" s="235">
        <f t="shared" si="45"/>
        <v>100</v>
      </c>
      <c r="O127" s="213">
        <v>30.3</v>
      </c>
      <c r="P127" s="214"/>
      <c r="Q127" s="214"/>
      <c r="R127" s="215">
        <f t="shared" si="46"/>
        <v>30.3</v>
      </c>
      <c r="S127" s="171">
        <v>5</v>
      </c>
      <c r="T127" s="285"/>
      <c r="U127" s="283"/>
      <c r="V127" s="178" t="s">
        <v>72</v>
      </c>
      <c r="W127" s="171" t="s">
        <v>87</v>
      </c>
      <c r="X127" s="171" t="s">
        <v>11</v>
      </c>
      <c r="Y127" s="179">
        <v>19.399999999999999</v>
      </c>
      <c r="Z127" s="171" t="s">
        <v>1339</v>
      </c>
      <c r="AA127" s="171" t="s">
        <v>892</v>
      </c>
      <c r="AB127" s="171" t="s">
        <v>11</v>
      </c>
      <c r="AC127" s="171">
        <v>7.4</v>
      </c>
      <c r="AD127" s="178" t="s">
        <v>104</v>
      </c>
      <c r="AE127" s="171" t="s">
        <v>74</v>
      </c>
      <c r="AF127" s="171" t="s">
        <v>11</v>
      </c>
      <c r="AG127" s="179">
        <v>3.4</v>
      </c>
      <c r="AK127" s="179"/>
      <c r="AO127" s="179"/>
      <c r="AS127" s="179"/>
      <c r="AW127" s="179"/>
      <c r="BA127" s="180"/>
    </row>
    <row r="128" spans="1:53" s="171" customFormat="1" x14ac:dyDescent="0.15">
      <c r="A128" s="171">
        <v>2019</v>
      </c>
      <c r="B128" s="283"/>
      <c r="C128" s="410" t="s">
        <v>1338</v>
      </c>
      <c r="D128" s="410"/>
      <c r="E128" s="171">
        <v>177</v>
      </c>
      <c r="G128" s="233">
        <v>22</v>
      </c>
      <c r="J128" s="241">
        <v>22</v>
      </c>
      <c r="K128" s="214">
        <f t="shared" ref="K128" si="47">G128/J128*100</f>
        <v>100</v>
      </c>
      <c r="L128" s="214">
        <f t="shared" ref="L128" si="48">H128/J128*100</f>
        <v>0</v>
      </c>
      <c r="M128" s="214">
        <f t="shared" ref="M128" si="49">I128/J128*100</f>
        <v>0</v>
      </c>
      <c r="N128" s="235">
        <f t="shared" ref="N128" si="50">SUM(K128:M128)</f>
        <v>100</v>
      </c>
      <c r="O128" s="213">
        <v>30.3</v>
      </c>
      <c r="P128" s="214"/>
      <c r="Q128" s="214"/>
      <c r="R128" s="215">
        <f t="shared" ref="R128:R131" si="51">SUM(O128:Q128)</f>
        <v>30.3</v>
      </c>
      <c r="S128" s="171">
        <v>5</v>
      </c>
      <c r="T128" s="285"/>
      <c r="U128" s="283"/>
      <c r="V128" s="178" t="s">
        <v>72</v>
      </c>
      <c r="W128" s="171" t="s">
        <v>87</v>
      </c>
      <c r="X128" s="171" t="s">
        <v>11</v>
      </c>
      <c r="Y128" s="179">
        <v>19.399999999999999</v>
      </c>
      <c r="Z128" s="171" t="s">
        <v>1339</v>
      </c>
      <c r="AA128" s="171" t="s">
        <v>892</v>
      </c>
      <c r="AB128" s="171" t="s">
        <v>11</v>
      </c>
      <c r="AC128" s="171">
        <v>7.4</v>
      </c>
      <c r="AD128" s="178" t="s">
        <v>104</v>
      </c>
      <c r="AE128" s="171" t="s">
        <v>74</v>
      </c>
      <c r="AF128" s="171" t="s">
        <v>11</v>
      </c>
      <c r="AG128" s="179">
        <v>3.4</v>
      </c>
      <c r="AK128" s="179"/>
      <c r="AO128" s="179"/>
      <c r="AS128" s="179"/>
      <c r="AW128" s="179"/>
      <c r="BA128" s="180"/>
    </row>
    <row r="129" spans="1:53" s="29" customFormat="1" x14ac:dyDescent="0.15">
      <c r="A129" s="29">
        <v>2019</v>
      </c>
      <c r="B129" s="295">
        <v>43643</v>
      </c>
      <c r="C129" s="411" t="s">
        <v>1435</v>
      </c>
      <c r="D129" s="411"/>
      <c r="E129" s="29">
        <v>188</v>
      </c>
      <c r="F129" s="29">
        <v>1</v>
      </c>
      <c r="G129" s="66"/>
      <c r="I129" s="29">
        <v>20</v>
      </c>
      <c r="J129" s="73">
        <v>20</v>
      </c>
      <c r="K129" s="47">
        <f t="shared" ref="K129:K131" si="52">G129/J129*100</f>
        <v>0</v>
      </c>
      <c r="L129" s="47">
        <f t="shared" ref="L129:L131" si="53">H129/J129*100</f>
        <v>0</v>
      </c>
      <c r="M129" s="47">
        <f t="shared" ref="M129:M131" si="54">I129/J129*100</f>
        <v>100</v>
      </c>
      <c r="N129" s="47">
        <f t="shared" ref="N129:N131" si="55">SUM(K129:M129)</f>
        <v>100</v>
      </c>
      <c r="O129" s="46"/>
      <c r="P129" s="47"/>
      <c r="Q129" s="29">
        <v>27.4</v>
      </c>
      <c r="R129" s="48">
        <f t="shared" si="51"/>
        <v>27.4</v>
      </c>
      <c r="S129" s="29">
        <v>4</v>
      </c>
      <c r="T129" s="286">
        <v>43621</v>
      </c>
      <c r="U129" s="295">
        <v>43643</v>
      </c>
      <c r="V129" s="38" t="s">
        <v>101</v>
      </c>
      <c r="W129" s="29" t="s">
        <v>20</v>
      </c>
      <c r="X129" s="29" t="s">
        <v>12</v>
      </c>
      <c r="Y129" s="39">
        <v>27.4</v>
      </c>
      <c r="AC129" s="39"/>
      <c r="AG129" s="39"/>
      <c r="AK129" s="39"/>
      <c r="AO129" s="39"/>
      <c r="AS129" s="39"/>
      <c r="AW129" s="39"/>
      <c r="BA129" s="40"/>
    </row>
    <row r="130" spans="1:53" s="29" customFormat="1" x14ac:dyDescent="0.15">
      <c r="A130" s="29">
        <v>2020</v>
      </c>
      <c r="B130" s="295"/>
      <c r="C130" s="411" t="s">
        <v>1435</v>
      </c>
      <c r="D130" s="411"/>
      <c r="E130" s="29">
        <v>0</v>
      </c>
      <c r="F130" s="40"/>
      <c r="I130" s="29">
        <v>20</v>
      </c>
      <c r="J130" s="73">
        <v>20</v>
      </c>
      <c r="K130" s="47">
        <f t="shared" si="52"/>
        <v>0</v>
      </c>
      <c r="L130" s="47">
        <f t="shared" si="53"/>
        <v>0</v>
      </c>
      <c r="M130" s="47">
        <f t="shared" si="54"/>
        <v>100</v>
      </c>
      <c r="N130" s="332">
        <f t="shared" si="55"/>
        <v>100</v>
      </c>
      <c r="O130" s="47"/>
      <c r="P130" s="47"/>
      <c r="Q130" s="29">
        <v>27.4</v>
      </c>
      <c r="R130" s="48">
        <f t="shared" si="51"/>
        <v>27.4</v>
      </c>
      <c r="S130" s="37">
        <v>4</v>
      </c>
      <c r="T130" s="321"/>
      <c r="U130" s="295"/>
      <c r="V130" s="38" t="s">
        <v>101</v>
      </c>
      <c r="W130" s="29" t="s">
        <v>20</v>
      </c>
      <c r="X130" s="29" t="s">
        <v>12</v>
      </c>
      <c r="Y130" s="39">
        <v>27.4</v>
      </c>
      <c r="AC130" s="39"/>
      <c r="AG130" s="39"/>
      <c r="AK130" s="39"/>
      <c r="AO130" s="39"/>
      <c r="AS130" s="39"/>
      <c r="AW130" s="39"/>
      <c r="BA130" s="40"/>
    </row>
    <row r="131" spans="1:53" s="29" customFormat="1" x14ac:dyDescent="0.15">
      <c r="A131" s="29">
        <v>2020</v>
      </c>
      <c r="B131" s="295"/>
      <c r="C131" s="411" t="s">
        <v>1435</v>
      </c>
      <c r="D131" s="411"/>
      <c r="E131" s="29">
        <v>366</v>
      </c>
      <c r="F131" s="40"/>
      <c r="I131" s="29">
        <v>20</v>
      </c>
      <c r="J131" s="73">
        <v>20</v>
      </c>
      <c r="K131" s="47">
        <f t="shared" si="52"/>
        <v>0</v>
      </c>
      <c r="L131" s="47">
        <f t="shared" si="53"/>
        <v>0</v>
      </c>
      <c r="M131" s="47">
        <f t="shared" si="54"/>
        <v>100</v>
      </c>
      <c r="N131" s="332">
        <f t="shared" si="55"/>
        <v>100</v>
      </c>
      <c r="O131" s="47"/>
      <c r="P131" s="47"/>
      <c r="Q131" s="29">
        <v>27.4</v>
      </c>
      <c r="R131" s="48">
        <f t="shared" si="51"/>
        <v>27.4</v>
      </c>
      <c r="S131" s="37">
        <v>4</v>
      </c>
      <c r="T131" s="321"/>
      <c r="U131" s="295"/>
      <c r="V131" s="38" t="s">
        <v>101</v>
      </c>
      <c r="W131" s="29" t="s">
        <v>20</v>
      </c>
      <c r="X131" s="29" t="s">
        <v>12</v>
      </c>
      <c r="Y131" s="39">
        <v>27.4</v>
      </c>
      <c r="AC131" s="39"/>
      <c r="AG131" s="39"/>
      <c r="AK131" s="39"/>
      <c r="AO131" s="39"/>
      <c r="AS131" s="39"/>
      <c r="AW131" s="39"/>
      <c r="BA131" s="40"/>
    </row>
    <row r="133" spans="1:53" ht="18" customHeight="1" x14ac:dyDescent="0.15">
      <c r="B133" s="16" t="s">
        <v>1264</v>
      </c>
    </row>
    <row r="134" spans="1:53" ht="9" customHeight="1" x14ac:dyDescent="0.15"/>
    <row r="135" spans="1:53" s="195" customFormat="1" ht="9" customHeight="1" x14ac:dyDescent="0.15">
      <c r="A135" s="193"/>
      <c r="B135" s="194" t="s">
        <v>1215</v>
      </c>
      <c r="C135" s="194"/>
      <c r="D135" s="194"/>
      <c r="E135" s="194"/>
      <c r="F135" s="194"/>
      <c r="G135" s="194" t="s">
        <v>1216</v>
      </c>
      <c r="H135" s="194"/>
      <c r="I135" s="194"/>
      <c r="J135" s="194"/>
      <c r="K135" s="194"/>
      <c r="L135" s="194"/>
      <c r="M135" s="194"/>
      <c r="N135" s="194"/>
      <c r="R135" s="388" t="s">
        <v>1217</v>
      </c>
      <c r="S135" s="388"/>
      <c r="T135" s="388"/>
      <c r="U135" s="388"/>
      <c r="V135" s="388"/>
      <c r="W135" s="388"/>
      <c r="X135" s="196"/>
      <c r="Y135" s="196"/>
      <c r="AA135" s="196"/>
      <c r="AB135" s="196"/>
      <c r="AC135" s="196"/>
      <c r="AD135" s="196"/>
    </row>
    <row r="136" spans="1:53" s="200" customFormat="1" ht="9" customHeight="1" x14ac:dyDescent="0.15">
      <c r="A136" s="197"/>
      <c r="B136" s="198" t="s">
        <v>1219</v>
      </c>
      <c r="C136" s="199"/>
      <c r="D136" s="199"/>
      <c r="E136" s="199"/>
      <c r="F136" s="199"/>
      <c r="G136" s="198" t="s">
        <v>1218</v>
      </c>
      <c r="H136" s="199"/>
      <c r="I136" s="199"/>
      <c r="J136" s="199"/>
      <c r="K136" s="199"/>
      <c r="L136" s="199"/>
      <c r="M136" s="199"/>
      <c r="N136" s="199"/>
      <c r="R136" s="201" t="s">
        <v>1220</v>
      </c>
      <c r="S136" s="202"/>
      <c r="T136" s="203"/>
      <c r="U136" s="203"/>
      <c r="V136" s="203"/>
      <c r="W136" s="201" t="s">
        <v>1221</v>
      </c>
      <c r="X136" s="203"/>
      <c r="Y136" s="203"/>
      <c r="AA136" s="203"/>
      <c r="AB136" s="203"/>
      <c r="AC136" s="203"/>
      <c r="AD136" s="203"/>
    </row>
    <row r="137" spans="1:53" s="186" customFormat="1" ht="12" customHeight="1" x14ac:dyDescent="0.15">
      <c r="A137" s="204" t="s">
        <v>3</v>
      </c>
      <c r="B137" s="205" t="s">
        <v>8</v>
      </c>
      <c r="C137" s="205" t="s">
        <v>9</v>
      </c>
      <c r="D137" s="205" t="s">
        <v>10</v>
      </c>
      <c r="E137" s="206" t="s">
        <v>1195</v>
      </c>
      <c r="F137" s="205"/>
      <c r="G137" s="186" t="s">
        <v>3</v>
      </c>
      <c r="H137" s="389" t="s">
        <v>0</v>
      </c>
      <c r="I137" s="389"/>
      <c r="J137" s="389" t="s">
        <v>1</v>
      </c>
      <c r="K137" s="389"/>
      <c r="L137" s="389" t="s">
        <v>2</v>
      </c>
      <c r="M137" s="389"/>
      <c r="N137" s="390" t="s">
        <v>1195</v>
      </c>
      <c r="O137" s="390"/>
      <c r="P137" s="207"/>
      <c r="Q137" s="207"/>
      <c r="R137" s="208" t="s">
        <v>3</v>
      </c>
      <c r="S137" s="209" t="s">
        <v>135</v>
      </c>
      <c r="T137" s="207" t="s">
        <v>133</v>
      </c>
      <c r="U137" s="205" t="s">
        <v>134</v>
      </c>
      <c r="V137" s="207"/>
      <c r="W137" s="210" t="s">
        <v>26</v>
      </c>
    </row>
    <row r="138" spans="1:53" s="140" customFormat="1" x14ac:dyDescent="0.15">
      <c r="A138" s="140">
        <v>1959</v>
      </c>
      <c r="B138" s="143">
        <f>(K6*($E6/365))+(K7*($E7/365))</f>
        <v>43.75</v>
      </c>
      <c r="C138" s="143">
        <f>(L6*($E6/365))+(L7*($E7/365))</f>
        <v>0</v>
      </c>
      <c r="D138" s="143">
        <f>(M6*($E6/365))+(M7*($E7/365))</f>
        <v>56.25</v>
      </c>
      <c r="E138" s="144">
        <f>B138+C138+D138</f>
        <v>100</v>
      </c>
      <c r="G138" s="140">
        <v>1959</v>
      </c>
      <c r="H138" s="391">
        <f>(O6/$R6*100*($E6/365))+(O7/$R7*100*($E7/365))</f>
        <v>24.670433145009415</v>
      </c>
      <c r="I138" s="391"/>
      <c r="J138" s="391">
        <f>(P6/$R6*100*($E6/365))+(P7/$R7*100*($E7/365))</f>
        <v>0</v>
      </c>
      <c r="K138" s="391"/>
      <c r="L138" s="391">
        <f>(Q6/$R6*100*($E6/365))+(Q7/$R7*100*($E7/365))</f>
        <v>75.329566854990588</v>
      </c>
      <c r="M138" s="391"/>
      <c r="N138" s="423">
        <f>H138+J138+K138</f>
        <v>24.670433145009415</v>
      </c>
      <c r="O138" s="423"/>
      <c r="R138" s="140">
        <v>1959</v>
      </c>
      <c r="S138" s="143">
        <f>(O6*($E6/365))+(O7*($E7/365))</f>
        <v>13.1</v>
      </c>
      <c r="T138" s="143">
        <f>(P6*($E6/365))+(P7*($E7/365))</f>
        <v>0</v>
      </c>
      <c r="U138" s="143">
        <f>(Q6*($E6/365))+(Q7*($E7/365))</f>
        <v>40</v>
      </c>
      <c r="V138" s="153"/>
      <c r="W138" s="143">
        <f>S138+T138+U138</f>
        <v>53.1</v>
      </c>
      <c r="X138" s="145"/>
      <c r="Z138" s="145"/>
    </row>
    <row r="139" spans="1:53" x14ac:dyDescent="0.15">
      <c r="A139" s="1">
        <v>1960</v>
      </c>
      <c r="B139" s="5">
        <f>(K8*($E8/366))+(K9*($E9/366))+(K10*($E10/366))</f>
        <v>44.185886103075106</v>
      </c>
      <c r="C139" s="5">
        <f>(L8*($E8/366))+(L9*($E9/366))+(L10*($E10/366))</f>
        <v>0</v>
      </c>
      <c r="D139" s="5">
        <f>(M8*($E8/366))+(M9*($E9/366))+(M10*($E10/366))</f>
        <v>55.106945783777995</v>
      </c>
      <c r="E139" s="18">
        <f t="shared" ref="E139:E168" si="56">SUM(B139:D139)</f>
        <v>99.292831886853094</v>
      </c>
      <c r="G139" s="1">
        <v>1960</v>
      </c>
      <c r="H139" s="380">
        <f>(O8/$R8*100*($E8/366))+(O9/$R9*100*($E9/366))+(O10/$R10*100*($E10/366))</f>
        <v>23.228486206465224</v>
      </c>
      <c r="I139" s="380"/>
      <c r="J139" s="380">
        <f>(P8/$R8*100*($E8/366))+(P9/$R9*100*($E9/366))+(P10/$R10*100*($E10/366))</f>
        <v>0</v>
      </c>
      <c r="K139" s="380"/>
      <c r="L139" s="380">
        <f>(Q8/$R8*100*($E8/366))+(Q9/$R9*100*($E9/366))+(Q10/$R10*100*($E10/366))</f>
        <v>76.77151379353478</v>
      </c>
      <c r="M139" s="380"/>
      <c r="N139" s="379">
        <f t="shared" ref="N139:N179" si="57">SUM(H139:M139)</f>
        <v>100</v>
      </c>
      <c r="O139" s="379"/>
      <c r="R139" s="1">
        <v>1960</v>
      </c>
      <c r="S139" s="5">
        <f>(O8*($E8/366))+(O9*($E9/366))+(O10*($E10/366))</f>
        <v>12.282513661202184</v>
      </c>
      <c r="T139" s="5">
        <f>(P8*($E8/366))+(P9*($E9/366))+(P10*($E10/366))</f>
        <v>0</v>
      </c>
      <c r="U139" s="5">
        <f>(Q8*($E8/366))+(Q9*($E9/366))+(Q10*($E10/366))</f>
        <v>40.40874316939891</v>
      </c>
      <c r="V139" s="9"/>
      <c r="W139" s="5">
        <f>R8*(E8/366) + R9*(E9/366) + R10*(E10/366)</f>
        <v>52.691256830601098</v>
      </c>
      <c r="X139" s="4"/>
      <c r="Z139" s="4"/>
    </row>
    <row r="140" spans="1:53" x14ac:dyDescent="0.15">
      <c r="A140" s="1">
        <v>1961</v>
      </c>
      <c r="B140" s="5">
        <f>(K11*($E11/365))+(K12*($E12/365))</f>
        <v>29.411764705882355</v>
      </c>
      <c r="C140" s="5">
        <f>(L11*($E11/365))+(L12*($E12/365))</f>
        <v>0</v>
      </c>
      <c r="D140" s="5">
        <f>(M11*($E11/365))+(M12*($E12/365))</f>
        <v>64.705882352941174</v>
      </c>
      <c r="E140" s="18">
        <f t="shared" si="56"/>
        <v>94.117647058823536</v>
      </c>
      <c r="G140" s="1">
        <v>1961</v>
      </c>
      <c r="H140" s="380">
        <f>(O11/$R11*100*($E11/365))+(O12/$R12*100*($E12/365))</f>
        <v>12.676056338028168</v>
      </c>
      <c r="I140" s="380"/>
      <c r="J140" s="380">
        <f>(P11/$R11*100*($E11/365))+(P12/$R12*100*($E12/365))</f>
        <v>0</v>
      </c>
      <c r="K140" s="380"/>
      <c r="L140" s="380">
        <f>(Q11/$R11*100*($E11/365))+(Q12/$R12*100*($E12/365))</f>
        <v>87.323943661971839</v>
      </c>
      <c r="M140" s="380"/>
      <c r="N140" s="379">
        <f t="shared" si="57"/>
        <v>100</v>
      </c>
      <c r="O140" s="379"/>
      <c r="R140" s="1">
        <v>1961</v>
      </c>
      <c r="S140" s="5">
        <f>(O11*($E11/365))+(O12*($E12/365))</f>
        <v>6.3</v>
      </c>
      <c r="T140" s="5">
        <f>(P11*($E11/365))+(P12*($E12/365))</f>
        <v>0</v>
      </c>
      <c r="U140" s="5">
        <f>(Q11*($E11/365))+(Q12*($E12/365))</f>
        <v>43.4</v>
      </c>
      <c r="V140" s="9"/>
      <c r="W140" s="5">
        <f>R11*(E11/365) + R12*(E12/365)</f>
        <v>49.699999999999996</v>
      </c>
      <c r="X140" s="4"/>
      <c r="Z140" s="4"/>
    </row>
    <row r="141" spans="1:53" x14ac:dyDescent="0.15">
      <c r="A141" s="1">
        <v>1962</v>
      </c>
      <c r="B141" s="5">
        <f>(K13*($E13/365))+(K14*($E14/365))</f>
        <v>29.411764705882355</v>
      </c>
      <c r="C141" s="5">
        <f>(L13*($E13/365))+(L14*($E14/365))</f>
        <v>0</v>
      </c>
      <c r="D141" s="5">
        <f>(M13*($E13/365))+(M14*($E14/365))</f>
        <v>64.705882352941174</v>
      </c>
      <c r="E141" s="18">
        <f t="shared" si="56"/>
        <v>94.117647058823536</v>
      </c>
      <c r="G141" s="1">
        <v>1962</v>
      </c>
      <c r="H141" s="380">
        <f>(O13/$R13*100*($E13/365))+(O14/$R14*100*($E14/365))</f>
        <v>12.676056338028168</v>
      </c>
      <c r="I141" s="380"/>
      <c r="J141" s="380">
        <f>(P13/$R13*100*($E13/365))+(P14/$R14*100*($E14/365))</f>
        <v>0</v>
      </c>
      <c r="K141" s="380"/>
      <c r="L141" s="380">
        <f>(Q13/$R13*100*($E13/365))+(Q14/$R14*100*($E14/365))</f>
        <v>87.323943661971839</v>
      </c>
      <c r="M141" s="380"/>
      <c r="N141" s="379">
        <f t="shared" si="57"/>
        <v>100</v>
      </c>
      <c r="O141" s="379"/>
      <c r="R141" s="1">
        <v>1962</v>
      </c>
      <c r="S141" s="5">
        <f>(O13*($E13/365))+(O14*($E14/365))</f>
        <v>6.3000000000000007</v>
      </c>
      <c r="T141" s="5">
        <f>(P13*($E13/365))+(P14*($E14/365))</f>
        <v>0</v>
      </c>
      <c r="U141" s="5">
        <f>(Q13*($E13/365))+(Q14*($E14/365))</f>
        <v>43.4</v>
      </c>
      <c r="V141" s="9"/>
      <c r="W141" s="5">
        <f>R13*(E13/365) + R14*(E14/365)</f>
        <v>49.699999999999996</v>
      </c>
      <c r="X141" s="4"/>
      <c r="Z141" s="4"/>
    </row>
    <row r="142" spans="1:53" x14ac:dyDescent="0.15">
      <c r="A142" s="1">
        <v>1963</v>
      </c>
      <c r="B142" s="5">
        <f>(K15*($E15/365))+(K16*($E16/365))</f>
        <v>29.411764705882355</v>
      </c>
      <c r="C142" s="5">
        <f>(L15*($E15/365))+(L16*($E16/365))</f>
        <v>0</v>
      </c>
      <c r="D142" s="5">
        <f>(M15*($E15/365))+(M16*($E16/365))</f>
        <v>64.705882352941174</v>
      </c>
      <c r="E142" s="18">
        <f t="shared" si="56"/>
        <v>94.117647058823536</v>
      </c>
      <c r="G142" s="1">
        <v>1963</v>
      </c>
      <c r="H142" s="380">
        <f>(O15/$R15*100*($E15/365))+(O16/$R16*100*($E16/365))</f>
        <v>12.676056338028168</v>
      </c>
      <c r="I142" s="380"/>
      <c r="J142" s="380">
        <f>(P15/$R15*100*($E15/365))+(P16/$R16*100*($E16/365))</f>
        <v>0</v>
      </c>
      <c r="K142" s="380"/>
      <c r="L142" s="380">
        <f>(Q15/$R15*100*($E15/365))+(Q16/$R16*100*($E16/365))</f>
        <v>87.323943661971839</v>
      </c>
      <c r="M142" s="380"/>
      <c r="N142" s="379">
        <f t="shared" si="57"/>
        <v>100</v>
      </c>
      <c r="O142" s="379"/>
      <c r="R142" s="1">
        <v>1963</v>
      </c>
      <c r="S142" s="5">
        <f>(O15*($E15/365))+(O16*($E16/365))</f>
        <v>6.3</v>
      </c>
      <c r="T142" s="5">
        <f>(P15*($E15/365))+(P16*($E16/365))</f>
        <v>0</v>
      </c>
      <c r="U142" s="5">
        <f>(Q15*($E15/365))+(Q16*($E16/365))</f>
        <v>43.4</v>
      </c>
      <c r="V142" s="9"/>
      <c r="W142" s="5">
        <f>R15*(E15/365) + R16*(E16/365)</f>
        <v>49.699999999999996</v>
      </c>
      <c r="X142" s="4"/>
      <c r="Z142" s="4"/>
    </row>
    <row r="143" spans="1:53" x14ac:dyDescent="0.15">
      <c r="A143" s="1">
        <v>1964</v>
      </c>
      <c r="B143" s="5">
        <f>(K17*($E17/366))+(K18*($E18/366))</f>
        <v>21.616843458694955</v>
      </c>
      <c r="C143" s="5">
        <f>(L17*($E17/366))+(L18*($E18/366))</f>
        <v>0</v>
      </c>
      <c r="D143" s="5">
        <f>(M17*($E17/366))+(M18*($E18/366))</f>
        <v>74.05978784956605</v>
      </c>
      <c r="E143" s="18">
        <f t="shared" si="56"/>
        <v>95.676631308261008</v>
      </c>
      <c r="G143" s="1">
        <v>1964</v>
      </c>
      <c r="H143" s="380">
        <f>(O17/$R17*100*($E17/366))+(O18/$R18*100*($E18/366))</f>
        <v>9.3165550681135993</v>
      </c>
      <c r="I143" s="380"/>
      <c r="J143" s="380">
        <f>(P17/$R17*100*($E17/366))+(P18/$R18*100*($E18/366))</f>
        <v>0</v>
      </c>
      <c r="K143" s="380"/>
      <c r="L143" s="380">
        <f>(Q17/$R17*100*($E17/366))+(Q18/$R18*100*($E18/366))</f>
        <v>90.683444931886413</v>
      </c>
      <c r="M143" s="380"/>
      <c r="N143" s="379">
        <f t="shared" si="57"/>
        <v>100.00000000000001</v>
      </c>
      <c r="O143" s="379"/>
      <c r="R143" s="1">
        <v>1964</v>
      </c>
      <c r="S143" s="5">
        <f>(O17*($E17/366))+(O18*($E18/366))</f>
        <v>4.6303278688524587</v>
      </c>
      <c r="T143" s="5">
        <f>(P17*($E17/366))+(P18*($E18/366))</f>
        <v>0</v>
      </c>
      <c r="U143" s="5">
        <f>(Q17*($E17/366))+(Q18*($E18/366))</f>
        <v>43.400000000000006</v>
      </c>
      <c r="V143" s="9"/>
      <c r="W143" s="5">
        <f>R17*(E17/366) + R18*(E18/366)</f>
        <v>48.03032786885246</v>
      </c>
      <c r="X143" s="4"/>
      <c r="Z143" s="4"/>
    </row>
    <row r="144" spans="1:53" x14ac:dyDescent="0.15">
      <c r="A144" s="1">
        <v>1965</v>
      </c>
      <c r="B144" s="5">
        <f>(K19*($E19/365))+(K20*($E20/365))</f>
        <v>0</v>
      </c>
      <c r="C144" s="5">
        <f>(L19*($E19/365))+(L20*($E20/365))</f>
        <v>0</v>
      </c>
      <c r="D144" s="5">
        <f>(M19*($E19/365))+(M20*($E20/365))</f>
        <v>100</v>
      </c>
      <c r="E144" s="18">
        <f t="shared" si="56"/>
        <v>100</v>
      </c>
      <c r="G144" s="1">
        <v>1965</v>
      </c>
      <c r="H144" s="380">
        <f>(O19/$R19*100*($E19/365))+(O20/$R20*100*($E20/365))</f>
        <v>0</v>
      </c>
      <c r="I144" s="380"/>
      <c r="J144" s="380">
        <f>(P19/$R19*100*($E19/365))+(P20/$R20*100*($E20/365))</f>
        <v>0</v>
      </c>
      <c r="K144" s="380"/>
      <c r="L144" s="380">
        <f>(Q19/$R19*100*($E19/365))+(Q20/$R20*100*($E20/365))</f>
        <v>100</v>
      </c>
      <c r="M144" s="380"/>
      <c r="N144" s="379">
        <f t="shared" si="57"/>
        <v>100</v>
      </c>
      <c r="O144" s="379"/>
      <c r="R144" s="1">
        <v>1965</v>
      </c>
      <c r="S144" s="5">
        <f>(O19*($E19/365))+(O20*($E20/365))</f>
        <v>0</v>
      </c>
      <c r="T144" s="5">
        <f>(P19*($E19/365))+(P20*($E20/365))</f>
        <v>0</v>
      </c>
      <c r="U144" s="5">
        <f>(Q19*($E19/365))+(Q20*($E20/365))</f>
        <v>43.4</v>
      </c>
      <c r="V144" s="9"/>
      <c r="W144" s="5">
        <f>R19*(E19/365) + R20*(E20/365)</f>
        <v>43.4</v>
      </c>
      <c r="X144" s="4"/>
      <c r="Z144" s="4"/>
    </row>
    <row r="145" spans="1:26" x14ac:dyDescent="0.15">
      <c r="A145" s="1">
        <v>1966</v>
      </c>
      <c r="B145" s="5">
        <f>(K21*($E21/365))+(K22*($E22/365))</f>
        <v>0</v>
      </c>
      <c r="C145" s="5">
        <f>(L21*($E21/365))+(L22*($E22/365))</f>
        <v>0</v>
      </c>
      <c r="D145" s="5">
        <f>(M21*($E21/365))+(M22*($E22/365))</f>
        <v>100.00000000000001</v>
      </c>
      <c r="E145" s="18">
        <f t="shared" si="56"/>
        <v>100.00000000000001</v>
      </c>
      <c r="G145" s="1">
        <v>1966</v>
      </c>
      <c r="H145" s="380">
        <f>(O21/$R21*100*($E21/365))+(O22/$R22*100*($E22/365))</f>
        <v>0</v>
      </c>
      <c r="I145" s="380"/>
      <c r="J145" s="380">
        <f>(P21/$R21*100*($E21/365))+(P22/$R22*100*($E22/365))</f>
        <v>0</v>
      </c>
      <c r="K145" s="380"/>
      <c r="L145" s="380">
        <f>(Q21/$R21*100*($E21/365))+(Q22/$R22*100*($E22/365))</f>
        <v>100.00000000000001</v>
      </c>
      <c r="M145" s="380"/>
      <c r="N145" s="379">
        <f t="shared" si="57"/>
        <v>100.00000000000001</v>
      </c>
      <c r="O145" s="379"/>
      <c r="R145" s="1">
        <v>1966</v>
      </c>
      <c r="S145" s="5">
        <f>(O21*($E21/365))+(O22*($E22/365))</f>
        <v>0</v>
      </c>
      <c r="T145" s="5">
        <f>(P21*($E21/365))+(P22*($E22/365))</f>
        <v>0</v>
      </c>
      <c r="U145" s="5">
        <f>(Q21*($E21/365))+(Q22*($E22/365))</f>
        <v>43.027397260273979</v>
      </c>
      <c r="V145" s="9"/>
      <c r="W145" s="5">
        <f>R21*(E21/365) + R22*(E22/365)</f>
        <v>43.027397260273979</v>
      </c>
      <c r="X145" s="4"/>
      <c r="Z145" s="4"/>
    </row>
    <row r="146" spans="1:26" x14ac:dyDescent="0.15">
      <c r="A146" s="1">
        <v>1967</v>
      </c>
      <c r="B146" s="5">
        <f>(K23*($E23/365))+(K24*($E24/365))</f>
        <v>0</v>
      </c>
      <c r="C146" s="5">
        <f>(L23*($E23/365))+(L24*($E24/365))</f>
        <v>0</v>
      </c>
      <c r="D146" s="5">
        <f>(M23*($E23/365))+(M24*($E24/365))</f>
        <v>100</v>
      </c>
      <c r="E146" s="18">
        <f t="shared" si="56"/>
        <v>100</v>
      </c>
      <c r="G146" s="1">
        <v>1967</v>
      </c>
      <c r="H146" s="380">
        <f>(O23/$R23*100*($E23/365))+(O24/$R24*100*($E24/365))</f>
        <v>0</v>
      </c>
      <c r="I146" s="380"/>
      <c r="J146" s="380">
        <f>(P23/$R23*100*($E23/365))+(P24/$R24*100*($E24/365))</f>
        <v>0</v>
      </c>
      <c r="K146" s="380"/>
      <c r="L146" s="380">
        <f>(Q23/$R23*100*($E23/365))+(Q24/$R24*100*($E24/365))</f>
        <v>100</v>
      </c>
      <c r="M146" s="380"/>
      <c r="N146" s="379">
        <f t="shared" si="57"/>
        <v>100</v>
      </c>
      <c r="O146" s="379"/>
      <c r="R146" s="1">
        <v>1967</v>
      </c>
      <c r="S146" s="5">
        <f>(O23*($E23/365))+(O24*($E24/365))</f>
        <v>0</v>
      </c>
      <c r="T146" s="5">
        <f>(P23*($E23/365))+(P24*($E24/365))</f>
        <v>0</v>
      </c>
      <c r="U146" s="5">
        <f>(Q23*($E23/365))+(Q24*($E24/365))</f>
        <v>39.4</v>
      </c>
      <c r="V146" s="9"/>
      <c r="W146" s="5">
        <f>R23*(E23/365) + R24*(E24/365)</f>
        <v>39.4</v>
      </c>
      <c r="X146" s="4"/>
      <c r="Z146" s="4"/>
    </row>
    <row r="147" spans="1:26" x14ac:dyDescent="0.15">
      <c r="A147" s="1">
        <v>1968</v>
      </c>
      <c r="B147" s="5">
        <f>(K25*($E25/366))+(K26*($E26/366))</f>
        <v>91.530054644808743</v>
      </c>
      <c r="C147" s="5">
        <f>(L25*($E25/366))+(L26*($E26/366))</f>
        <v>0</v>
      </c>
      <c r="D147" s="5">
        <f>(M25*($E25/366))+(M26*($E26/366))</f>
        <v>8.4699453551912569</v>
      </c>
      <c r="E147" s="18">
        <f t="shared" si="56"/>
        <v>100</v>
      </c>
      <c r="G147" s="1">
        <v>1968</v>
      </c>
      <c r="H147" s="380">
        <f>(O25/$R25*100*($E25/366))+(O26/$R26*100*($E26/366))</f>
        <v>91.530054644808743</v>
      </c>
      <c r="I147" s="380"/>
      <c r="J147" s="380">
        <f>(P25/$R25*100*($E25/366))+(P26/$R26*100*($E26/366))</f>
        <v>0</v>
      </c>
      <c r="K147" s="380"/>
      <c r="L147" s="380">
        <f>(Q25/$R25*100*($E25/366))+(Q26/$R26*100*($E26/366))</f>
        <v>8.4699453551912569</v>
      </c>
      <c r="M147" s="380"/>
      <c r="N147" s="379">
        <f t="shared" si="57"/>
        <v>100</v>
      </c>
      <c r="O147" s="379"/>
      <c r="R147" s="1">
        <v>1968</v>
      </c>
      <c r="S147" s="5">
        <f>(O25*($E25/366))+(O26*($E26/366))</f>
        <v>51.165300546448087</v>
      </c>
      <c r="T147" s="5">
        <f>(P25*($E25/366))+(P26*($E26/366))</f>
        <v>0</v>
      </c>
      <c r="U147" s="5">
        <f>(Q25*($E25/366))+(Q26*($E26/366))</f>
        <v>3.3371584699453551</v>
      </c>
      <c r="V147" s="9"/>
      <c r="W147" s="5">
        <f>R25*(E25/366) + R26*(E26/366)</f>
        <v>54.502459016393445</v>
      </c>
      <c r="X147" s="4"/>
      <c r="Z147" s="4"/>
    </row>
    <row r="148" spans="1:26" x14ac:dyDescent="0.15">
      <c r="A148" s="1">
        <v>1969</v>
      </c>
      <c r="B148" s="5">
        <f>(K27*($E27/365))+(K28*($E28/365))</f>
        <v>100</v>
      </c>
      <c r="C148" s="5">
        <f>(L27*($E27/365))+(L28*($E28/365))</f>
        <v>0</v>
      </c>
      <c r="D148" s="5">
        <f>(M27*($E27/365))+(M28*($E28/365))</f>
        <v>0</v>
      </c>
      <c r="E148" s="18">
        <f t="shared" si="56"/>
        <v>100</v>
      </c>
      <c r="G148" s="1">
        <v>1969</v>
      </c>
      <c r="H148" s="380">
        <f>(O27/$R27*100*($E27/365))+(O28/$R28*100*($E28/365))</f>
        <v>100</v>
      </c>
      <c r="I148" s="380"/>
      <c r="J148" s="380">
        <f>(P27/$R27*100*($E27/365))+(P28/$R28*100*($E28/365))</f>
        <v>0</v>
      </c>
      <c r="K148" s="380"/>
      <c r="L148" s="380">
        <f>(Q27/$R27*100*($E27/365))+(Q28/$R28*100*($E28/365))</f>
        <v>0</v>
      </c>
      <c r="M148" s="380"/>
      <c r="N148" s="379">
        <f t="shared" si="57"/>
        <v>100</v>
      </c>
      <c r="O148" s="379"/>
      <c r="R148" s="1">
        <v>1969</v>
      </c>
      <c r="S148" s="5">
        <f>(O27*($E27/365))+(O28*($E28/365))</f>
        <v>55.9</v>
      </c>
      <c r="T148" s="5">
        <f>(P27*($E27/365))+(P28*($E28/365))</f>
        <v>0</v>
      </c>
      <c r="U148" s="5">
        <f>(Q27*($E27/365))+(Q28*($E28/365))</f>
        <v>0</v>
      </c>
      <c r="V148" s="9"/>
      <c r="W148" s="5">
        <f>R27*(E27/365) + R28*(E28/365)</f>
        <v>55.9</v>
      </c>
      <c r="X148" s="4"/>
      <c r="Z148" s="4"/>
    </row>
    <row r="149" spans="1:26" x14ac:dyDescent="0.15">
      <c r="A149" s="1">
        <v>1970</v>
      </c>
      <c r="B149" s="5">
        <f>(K29*($E29/365))+(K30*($E30/365))</f>
        <v>100</v>
      </c>
      <c r="C149" s="5">
        <f>(L29*($E29/365))+(L30*($E30/365))</f>
        <v>0</v>
      </c>
      <c r="D149" s="5">
        <f>(M29*($E29/365))+(M30*($E30/365))</f>
        <v>0</v>
      </c>
      <c r="E149" s="18">
        <f t="shared" si="56"/>
        <v>100</v>
      </c>
      <c r="G149" s="1">
        <v>1970</v>
      </c>
      <c r="H149" s="380">
        <f>(O29/$R29*100*($E29/365))+(O30/$R30*100*($E30/365))</f>
        <v>100</v>
      </c>
      <c r="I149" s="380"/>
      <c r="J149" s="380">
        <f>(P29/$R29*100*($E29/365))+(P30/$R30*100*($E30/365))</f>
        <v>0</v>
      </c>
      <c r="K149" s="380"/>
      <c r="L149" s="380">
        <f>(Q29/$R29*100*($E29/365))+(Q30/$R30*100*($E30/365))</f>
        <v>0</v>
      </c>
      <c r="M149" s="380"/>
      <c r="N149" s="379">
        <f t="shared" si="57"/>
        <v>100</v>
      </c>
      <c r="O149" s="379"/>
      <c r="R149" s="1">
        <v>1970</v>
      </c>
      <c r="S149" s="5">
        <f>(O29*($E29/365))+(O30*($E30/365))</f>
        <v>55.9</v>
      </c>
      <c r="T149" s="5">
        <f>(P29*($E29/365))+(P30*($E30/365))</f>
        <v>0</v>
      </c>
      <c r="U149" s="5">
        <f>(Q29*($E29/365))+(Q30*($E30/365))</f>
        <v>0</v>
      </c>
      <c r="V149" s="9"/>
      <c r="W149" s="5">
        <f>R29*(E29/365) + R30*(E30/365)</f>
        <v>55.9</v>
      </c>
      <c r="X149" s="4"/>
      <c r="Z149" s="4"/>
    </row>
    <row r="150" spans="1:26" x14ac:dyDescent="0.15">
      <c r="A150" s="1">
        <v>1971</v>
      </c>
      <c r="B150" s="5">
        <f>(K31*($E31/365))+(K32*($E32/365))</f>
        <v>77.534246575342465</v>
      </c>
      <c r="C150" s="5">
        <f>(L31*($E31/365))+(L32*($E32/365))</f>
        <v>0</v>
      </c>
      <c r="D150" s="5">
        <f>(M31*($E31/365))+(M32*($E32/365))</f>
        <v>21.217656012176558</v>
      </c>
      <c r="E150" s="18">
        <f t="shared" si="56"/>
        <v>98.751902587519027</v>
      </c>
      <c r="G150" s="1">
        <v>1971</v>
      </c>
      <c r="H150" s="380">
        <f>(O31/$R31*100*($E31/365))+(O32/$R32*100*($E32/365))</f>
        <v>77.534246575342465</v>
      </c>
      <c r="I150" s="380"/>
      <c r="J150" s="380">
        <f>(P31/$R31*100*($E31/365))+(P32/$R32*100*($E32/365))</f>
        <v>0</v>
      </c>
      <c r="K150" s="380"/>
      <c r="L150" s="380">
        <f>(Q31/$R31*100*($E31/365))+(Q32/$R32*100*($E32/365))</f>
        <v>22.465753424657535</v>
      </c>
      <c r="M150" s="380"/>
      <c r="N150" s="379">
        <f t="shared" si="57"/>
        <v>100</v>
      </c>
      <c r="O150" s="379"/>
      <c r="R150" s="1">
        <v>1971</v>
      </c>
      <c r="S150" s="5">
        <f>(O31*($E31/365))+(O32*($E32/365))</f>
        <v>43.341643835616438</v>
      </c>
      <c r="T150" s="5">
        <f>(P31*($E31/365))+(P32*($E32/365))</f>
        <v>0</v>
      </c>
      <c r="U150" s="5">
        <f>(Q31*($E31/365))+(Q32*($E32/365))</f>
        <v>8.9863013698630141</v>
      </c>
      <c r="V150" s="9"/>
      <c r="W150" s="5">
        <f>R31*(E31/365) + R32*(E32/365)</f>
        <v>52.327945205479452</v>
      </c>
      <c r="X150" s="4"/>
      <c r="Z150" s="4"/>
    </row>
    <row r="151" spans="1:26" x14ac:dyDescent="0.15">
      <c r="A151" s="1">
        <v>1972</v>
      </c>
      <c r="B151" s="5">
        <f>(K33*($E33/366))+(K34*($E34/366))</f>
        <v>0</v>
      </c>
      <c r="C151" s="5">
        <f>(L33*($E33/366))+(L34*($E34/366))</f>
        <v>0</v>
      </c>
      <c r="D151" s="5">
        <f>(M33*($E33/366))+(M34*($E34/366))</f>
        <v>94.444444444444429</v>
      </c>
      <c r="E151" s="18">
        <f t="shared" si="56"/>
        <v>94.444444444444429</v>
      </c>
      <c r="G151" s="1">
        <v>1972</v>
      </c>
      <c r="H151" s="380">
        <f>(O33/$R33*100*($E33/366))+(O34/$R34*100*($E34/366))</f>
        <v>0</v>
      </c>
      <c r="I151" s="380"/>
      <c r="J151" s="380">
        <f>(P33/$R33*100*($E33/366))+(P34/$R34*100*($E34/366))</f>
        <v>0</v>
      </c>
      <c r="K151" s="380"/>
      <c r="L151" s="380">
        <f>(Q33/$R33*100*($E33/366))+(Q34/$R34*100*($E34/366))</f>
        <v>99.999999999999986</v>
      </c>
      <c r="M151" s="380"/>
      <c r="N151" s="379">
        <f t="shared" si="57"/>
        <v>99.999999999999986</v>
      </c>
      <c r="O151" s="379"/>
      <c r="R151" s="1">
        <v>1972</v>
      </c>
      <c r="S151" s="5">
        <f>(O33*($E33/366))+(O34*($E34/366))</f>
        <v>0</v>
      </c>
      <c r="T151" s="5">
        <f>(P33*($E33/366))+(P34*($E34/366))</f>
        <v>0</v>
      </c>
      <c r="U151" s="5">
        <f>(Q33*($E33/366))+(Q34*($E34/366))</f>
        <v>40</v>
      </c>
      <c r="V151" s="9"/>
      <c r="W151" s="5">
        <f>R33*(E33/366) + R34*(E34/366)</f>
        <v>40</v>
      </c>
      <c r="X151" s="4"/>
      <c r="Z151" s="4"/>
    </row>
    <row r="152" spans="1:26" x14ac:dyDescent="0.15">
      <c r="A152" s="1">
        <v>1973</v>
      </c>
      <c r="B152" s="5">
        <f>(K35*($E35/365))+(K36*($E36/365))</f>
        <v>3.5616438356164384</v>
      </c>
      <c r="C152" s="5">
        <f>(L35*($E35/365))+(L36*($E36/365))</f>
        <v>0</v>
      </c>
      <c r="D152" s="5">
        <f>(M35*($E35/365))+(M36*($E36/365))</f>
        <v>91.080669710806703</v>
      </c>
      <c r="E152" s="18">
        <f t="shared" si="56"/>
        <v>94.642313546423139</v>
      </c>
      <c r="G152" s="1">
        <v>1973</v>
      </c>
      <c r="H152" s="380">
        <f>(O35/$R35*100*($E35/365))+(O36/$R36*100*($E36/365))</f>
        <v>3.5616438356164384</v>
      </c>
      <c r="I152" s="380"/>
      <c r="J152" s="380">
        <f>(P35/$R35*100*($E35/365))+(P36/$R36*100*($E36/365))</f>
        <v>0</v>
      </c>
      <c r="K152" s="380"/>
      <c r="L152" s="380">
        <f>(Q35/$R35*100*($E35/365))+(Q36/$R36*100*($E36/365))</f>
        <v>96.438356164383563</v>
      </c>
      <c r="M152" s="380"/>
      <c r="N152" s="379">
        <f t="shared" si="57"/>
        <v>100</v>
      </c>
      <c r="O152" s="379"/>
      <c r="R152" s="1">
        <v>1973</v>
      </c>
      <c r="S152" s="5">
        <f>(O35*($E35/365))+(O36*($E36/365))</f>
        <v>0.44876712328767121</v>
      </c>
      <c r="T152" s="5">
        <f>(P35*($E35/365))+(P36*($E36/365))</f>
        <v>0</v>
      </c>
      <c r="U152" s="5">
        <f>(Q35*($E35/365))+(Q36*($E36/365))</f>
        <v>38.575342465753423</v>
      </c>
      <c r="V152" s="9"/>
      <c r="W152" s="5">
        <f>R35*(E35/365) + R36*(E36/365)</f>
        <v>39.024109589041096</v>
      </c>
      <c r="X152" s="4"/>
      <c r="Z152" s="4"/>
    </row>
    <row r="153" spans="1:26" x14ac:dyDescent="0.15">
      <c r="A153" s="1">
        <v>1974</v>
      </c>
      <c r="B153" s="5">
        <f>(K37*($E37/365))+(K38*($E38/365))</f>
        <v>100</v>
      </c>
      <c r="C153" s="5">
        <f>(L37*($E37/365))+(L38*($E38/365))</f>
        <v>0</v>
      </c>
      <c r="D153" s="5">
        <f>(M37*($E37/365))+(M38*($E38/365))</f>
        <v>0</v>
      </c>
      <c r="E153" s="18">
        <f t="shared" si="56"/>
        <v>100</v>
      </c>
      <c r="G153" s="1">
        <v>1974</v>
      </c>
      <c r="H153" s="380">
        <f>(O37/$R37*100*($E37/365))+(O38/$R38*100*($E38/365))</f>
        <v>100</v>
      </c>
      <c r="I153" s="380"/>
      <c r="J153" s="380">
        <f>(P37/$R37*100*($E37/365))+(P38/$R38*100*($E38/365))</f>
        <v>0</v>
      </c>
      <c r="K153" s="380"/>
      <c r="L153" s="380">
        <f>(Q37/$R37*100*($E37/365))+(Q38/$R38*100*($E38/365))</f>
        <v>0</v>
      </c>
      <c r="M153" s="380"/>
      <c r="N153" s="379">
        <f t="shared" si="57"/>
        <v>100</v>
      </c>
      <c r="O153" s="379"/>
      <c r="R153" s="1">
        <v>1974</v>
      </c>
      <c r="S153" s="5">
        <f>(O37*($E37/365))+(O38*($E38/365))</f>
        <v>12.6</v>
      </c>
      <c r="T153" s="5">
        <f>(P37*($E37/365))+(P38*($E38/365))</f>
        <v>0</v>
      </c>
      <c r="U153" s="5">
        <f>(Q37*($E37/365))+(Q38*($E38/365))</f>
        <v>0</v>
      </c>
      <c r="V153" s="9"/>
      <c r="W153" s="5">
        <f>R37*(E37/365) + R38*(E38/365)</f>
        <v>12.6</v>
      </c>
      <c r="X153" s="4"/>
      <c r="Z153" s="4"/>
    </row>
    <row r="154" spans="1:26" x14ac:dyDescent="0.15">
      <c r="A154" s="1">
        <v>1975</v>
      </c>
      <c r="B154" s="5">
        <f>(K39*($E39/365))+(K40*($E40/365))</f>
        <v>11.78082191780822</v>
      </c>
      <c r="C154" s="5">
        <f>(L39*($E39/365))+(L40*($E40/365))</f>
        <v>0</v>
      </c>
      <c r="D154" s="5">
        <f>(M39*($E39/365))+(M40*($E40/365))</f>
        <v>88.219178082191789</v>
      </c>
      <c r="E154" s="18">
        <f t="shared" si="56"/>
        <v>100.00000000000001</v>
      </c>
      <c r="G154" s="1">
        <v>1975</v>
      </c>
      <c r="H154" s="380">
        <f>(O39/$R39*100*($E39/365))+(O40/$R40*100*($E40/365))</f>
        <v>11.78082191780822</v>
      </c>
      <c r="I154" s="380"/>
      <c r="J154" s="380">
        <f>(P39/$R39*100*($E39/365))+(P40/$R40*100*($E40/365))</f>
        <v>0</v>
      </c>
      <c r="K154" s="380"/>
      <c r="L154" s="380">
        <f>(Q39/$R39*100*($E39/365))+(Q40/$R40*100*($E40/365))</f>
        <v>88.219178082191789</v>
      </c>
      <c r="M154" s="380"/>
      <c r="N154" s="379">
        <f t="shared" si="57"/>
        <v>100.00000000000001</v>
      </c>
      <c r="O154" s="379"/>
      <c r="R154" s="1">
        <v>1975</v>
      </c>
      <c r="S154" s="5">
        <f>(O39*($E39/365))+(O40*($E40/365))</f>
        <v>1.4843835616438357</v>
      </c>
      <c r="T154" s="5">
        <f>(P39*($E39/365))+(P40*($E40/365))</f>
        <v>0</v>
      </c>
      <c r="U154" s="5">
        <f>(Q39*($E39/365))+(Q40*($E40/365))</f>
        <v>26.730410958904113</v>
      </c>
      <c r="V154" s="9"/>
      <c r="W154" s="5">
        <f>R39*(E39/365) + R40*(E40/365)</f>
        <v>28.214794520547947</v>
      </c>
      <c r="X154" s="4"/>
      <c r="Z154" s="4"/>
    </row>
    <row r="155" spans="1:26" x14ac:dyDescent="0.15">
      <c r="A155" s="1">
        <v>1976</v>
      </c>
      <c r="B155" s="5">
        <f>(K41*($E41/366))+(K42*($E42/366))</f>
        <v>0</v>
      </c>
      <c r="C155" s="5">
        <f>(L41*($E41/366))+(L42*($E42/366))</f>
        <v>0</v>
      </c>
      <c r="D155" s="5">
        <f>(M41*($E41/366))+(M42*($E42/366))</f>
        <v>100</v>
      </c>
      <c r="E155" s="18">
        <f t="shared" si="56"/>
        <v>100</v>
      </c>
      <c r="G155" s="1">
        <v>1976</v>
      </c>
      <c r="H155" s="380">
        <f>(O41/$R41*100*($E41/366))+(O42/$R42*100*($E42/366))</f>
        <v>0</v>
      </c>
      <c r="I155" s="380"/>
      <c r="J155" s="380">
        <f>(P41/$R41*100*($E41/366))+(P42/$R42*100*($E42/366))</f>
        <v>0</v>
      </c>
      <c r="K155" s="380"/>
      <c r="L155" s="380">
        <f>(Q41/$R41*100*($E41/366))+(Q42/$R42*100*($E42/366))</f>
        <v>100</v>
      </c>
      <c r="M155" s="380"/>
      <c r="N155" s="379">
        <f t="shared" si="57"/>
        <v>100</v>
      </c>
      <c r="O155" s="379"/>
      <c r="R155" s="1">
        <v>1976</v>
      </c>
      <c r="S155" s="5">
        <f>(O41*($E41/366))+(O42*($E42/366))</f>
        <v>0</v>
      </c>
      <c r="T155" s="5">
        <f>(P41*($E41/366))+(P42*($E42/366))</f>
        <v>0</v>
      </c>
      <c r="U155" s="5">
        <f>(Q41*($E41/366))+(Q42*($E42/366))</f>
        <v>30.3</v>
      </c>
      <c r="V155" s="9"/>
      <c r="W155" s="5">
        <f>R41*(E41/366) + R42*(E42/366)</f>
        <v>30.3</v>
      </c>
      <c r="X155" s="4"/>
      <c r="Z155" s="4"/>
    </row>
    <row r="156" spans="1:26" x14ac:dyDescent="0.15">
      <c r="A156" s="1">
        <v>1977</v>
      </c>
      <c r="B156" s="5">
        <f>(K43*($E43/365))+(K44*($E44/365))</f>
        <v>0</v>
      </c>
      <c r="C156" s="5">
        <f>(L43*($E43/365))+(L44*($E44/365))</f>
        <v>0</v>
      </c>
      <c r="D156" s="5">
        <f>(M43*($E43/365))+(M44*($E44/365))</f>
        <v>100</v>
      </c>
      <c r="E156" s="18">
        <f t="shared" si="56"/>
        <v>100</v>
      </c>
      <c r="G156" s="1">
        <v>1977</v>
      </c>
      <c r="H156" s="380">
        <f>(O43/$R43*100*($E43/365))+(O44/$R44*100*($E44/365))</f>
        <v>0</v>
      </c>
      <c r="I156" s="380"/>
      <c r="J156" s="380">
        <f>(P43/$R43*100*($E43/365))+(P44/$R44*100*($E44/365))</f>
        <v>0</v>
      </c>
      <c r="K156" s="380"/>
      <c r="L156" s="380">
        <f>(Q43/$R43*100*($E43/365))+(Q44/$R44*100*($E44/365))</f>
        <v>100</v>
      </c>
      <c r="M156" s="380"/>
      <c r="N156" s="379">
        <f t="shared" si="57"/>
        <v>100</v>
      </c>
      <c r="O156" s="379"/>
      <c r="R156" s="1">
        <v>1977</v>
      </c>
      <c r="S156" s="5">
        <f>(O43*($E43/365))+(O44*($E44/365))</f>
        <v>0</v>
      </c>
      <c r="T156" s="5">
        <f>(P43*($E43/365))+(P44*($E44/365))</f>
        <v>0</v>
      </c>
      <c r="U156" s="5">
        <f>(Q43*($E43/365))+(Q44*($E44/365))</f>
        <v>36.075342465753423</v>
      </c>
      <c r="V156" s="9"/>
      <c r="W156" s="5">
        <f>R43*(E43/365) + R44*(E44/365)</f>
        <v>36.075342465753423</v>
      </c>
      <c r="X156" s="4"/>
      <c r="Z156" s="4"/>
    </row>
    <row r="157" spans="1:26" x14ac:dyDescent="0.15">
      <c r="A157" s="1">
        <v>1978</v>
      </c>
      <c r="B157" s="5">
        <f>(K45*($E45/365))+(K46*($E46/365))</f>
        <v>11.324200913242008</v>
      </c>
      <c r="C157" s="5">
        <f>(L45*($E45/365))+(L46*($E46/365))</f>
        <v>0</v>
      </c>
      <c r="D157" s="5">
        <f>(M45*($E45/365))+(M46*($E46/365))</f>
        <v>88.675799086757991</v>
      </c>
      <c r="E157" s="18">
        <f t="shared" si="56"/>
        <v>100</v>
      </c>
      <c r="G157" s="1">
        <v>1978</v>
      </c>
      <c r="H157" s="380">
        <f>(O45/$R45*100*($E45/365))+(O46/$R46*100*($E46/365))</f>
        <v>8.302876433334264</v>
      </c>
      <c r="I157" s="380"/>
      <c r="J157" s="380">
        <f>(P45/$R45*100*($E45/365))+(P46/$R46*100*($E46/365))</f>
        <v>0</v>
      </c>
      <c r="K157" s="380"/>
      <c r="L157" s="380">
        <f>(Q45/$R45*100*($E45/365))+(Q46/$R46*100*($E46/365))</f>
        <v>91.697123566665738</v>
      </c>
      <c r="M157" s="380"/>
      <c r="N157" s="379">
        <f t="shared" si="57"/>
        <v>100</v>
      </c>
      <c r="O157" s="379"/>
      <c r="R157" s="1">
        <v>1978</v>
      </c>
      <c r="S157" s="5">
        <f>(O45*($E45/365))+(O46*($E46/365))</f>
        <v>4.0767123287671234</v>
      </c>
      <c r="T157" s="5">
        <f>(P45*($E45/365))+(P46*($E46/365))</f>
        <v>0</v>
      </c>
      <c r="U157" s="5">
        <f>(Q45*($E45/365))+(Q46*($E46/365))</f>
        <v>37.099999999999994</v>
      </c>
      <c r="V157" s="9"/>
      <c r="W157" s="5">
        <f>R45*(E45/365) + R46*(E46/365)</f>
        <v>41.176712328767124</v>
      </c>
      <c r="X157" s="4"/>
      <c r="Z157" s="4"/>
    </row>
    <row r="158" spans="1:26" x14ac:dyDescent="0.15">
      <c r="A158" s="1">
        <v>1979</v>
      </c>
      <c r="B158" s="5">
        <f>(K47*($E47/365))+(K48*($E48/365))</f>
        <v>27.214611872146115</v>
      </c>
      <c r="C158" s="5">
        <f>(L47*($E47/365))+(L48*($E48/365))</f>
        <v>0</v>
      </c>
      <c r="D158" s="5">
        <f>(M47*($E47/365))+(M48*($E48/365))</f>
        <v>72.785388127853878</v>
      </c>
      <c r="E158" s="18">
        <f t="shared" si="56"/>
        <v>100</v>
      </c>
      <c r="G158" s="1">
        <v>1979</v>
      </c>
      <c r="H158" s="380">
        <f>(O47/$R47*100*($E47/365))+(O48/$R48*100*($E48/365))</f>
        <v>19.953686912367825</v>
      </c>
      <c r="I158" s="380"/>
      <c r="J158" s="380">
        <f>(P47/$R47*100*($E47/365))+(P48/$R48*100*($E48/365))</f>
        <v>0</v>
      </c>
      <c r="K158" s="380"/>
      <c r="L158" s="380">
        <f>(Q47/$R47*100*($E47/365))+(Q48/$R48*100*($E48/365))</f>
        <v>80.046313087632171</v>
      </c>
      <c r="M158" s="380"/>
      <c r="N158" s="379">
        <f t="shared" si="57"/>
        <v>100</v>
      </c>
      <c r="O158" s="379"/>
      <c r="R158" s="1">
        <v>1979</v>
      </c>
      <c r="S158" s="5">
        <f>(O47*($E47/365))+(O48*($E48/365))</f>
        <v>9.7972602739726025</v>
      </c>
      <c r="T158" s="5">
        <f>(P47*($E47/365))+(P48*($E48/365))</f>
        <v>0</v>
      </c>
      <c r="U158" s="5">
        <f>(Q47*($E47/365))+(Q48*($E48/365))</f>
        <v>37.430410958904112</v>
      </c>
      <c r="V158" s="9"/>
      <c r="W158" s="5">
        <f>R47*(E47/365) + R48*(E48/365)</f>
        <v>47.227671232876709</v>
      </c>
      <c r="X158" s="4"/>
      <c r="Z158" s="4"/>
    </row>
    <row r="159" spans="1:26" x14ac:dyDescent="0.15">
      <c r="A159" s="1">
        <v>1980</v>
      </c>
      <c r="B159" s="5">
        <f>(K49*($E49/366))+(K50*($E50/366))</f>
        <v>0</v>
      </c>
      <c r="C159" s="5">
        <f>(L49*($E49/366))+(L50*($E50/366))</f>
        <v>0</v>
      </c>
      <c r="D159" s="5">
        <f>(M49*($E49/366))+(M50*($E50/366))</f>
        <v>100</v>
      </c>
      <c r="E159" s="18">
        <f t="shared" si="56"/>
        <v>100</v>
      </c>
      <c r="G159" s="1">
        <v>1980</v>
      </c>
      <c r="H159" s="380">
        <f>(O49/$R49*100*($E49/366))+(O50/$R50*100*($E50/366))</f>
        <v>0</v>
      </c>
      <c r="I159" s="380"/>
      <c r="J159" s="380">
        <f>(P49/$R49*100*($E49/366))+(P50/$R50*100*($E50/366))</f>
        <v>0</v>
      </c>
      <c r="K159" s="380"/>
      <c r="L159" s="380">
        <f>(Q49/$R49*100*($E49/366))+(Q50/$R50*100*($E50/366))</f>
        <v>100</v>
      </c>
      <c r="M159" s="380"/>
      <c r="N159" s="379">
        <f t="shared" si="57"/>
        <v>100</v>
      </c>
      <c r="O159" s="379"/>
      <c r="R159" s="1">
        <v>1980</v>
      </c>
      <c r="S159" s="5">
        <f>(O49*($E49/366))+(O50*($E50/366))</f>
        <v>0</v>
      </c>
      <c r="T159" s="5">
        <f>(P49*($E49/366))+(P50*($E50/366))</f>
        <v>0</v>
      </c>
      <c r="U159" s="5">
        <f>(Q49*($E49/366))+(Q50*($E50/366))</f>
        <v>38.9</v>
      </c>
      <c r="V159" s="9"/>
      <c r="W159" s="5">
        <f>R49*(E49/366) + R50*(E50/366)</f>
        <v>38.9</v>
      </c>
      <c r="X159" s="4"/>
      <c r="Z159" s="4"/>
    </row>
    <row r="160" spans="1:26" x14ac:dyDescent="0.15">
      <c r="A160" s="1">
        <v>1981</v>
      </c>
      <c r="B160" s="5">
        <f>(K51*($E51/365))+(K52*($E52/365))</f>
        <v>0</v>
      </c>
      <c r="C160" s="5">
        <f>(L51*($E51/365))+(L52*($E52/365))</f>
        <v>0</v>
      </c>
      <c r="D160" s="5">
        <f>(M51*($E51/365))+(M52*($E52/365))</f>
        <v>100.00000000000001</v>
      </c>
      <c r="E160" s="18">
        <f t="shared" si="56"/>
        <v>100.00000000000001</v>
      </c>
      <c r="G160" s="1">
        <v>1981</v>
      </c>
      <c r="H160" s="380">
        <f>(O51/$R51*100*($E51/365))+(O52/$R52*100*($E52/365))</f>
        <v>0</v>
      </c>
      <c r="I160" s="380"/>
      <c r="J160" s="380">
        <f>(P51/$R51*100*($E51/365))+(P52/$R52*100*($E52/365))</f>
        <v>0</v>
      </c>
      <c r="K160" s="380"/>
      <c r="L160" s="380">
        <f>(Q51/$R51*100*($E51/365))+(Q52/$R52*100*($E52/365))</f>
        <v>100.00000000000001</v>
      </c>
      <c r="M160" s="380"/>
      <c r="N160" s="379">
        <f t="shared" si="57"/>
        <v>100.00000000000001</v>
      </c>
      <c r="O160" s="379"/>
      <c r="R160" s="1">
        <v>1981</v>
      </c>
      <c r="S160" s="5">
        <f>(O51*($E51/365))+(O52*($E52/365))</f>
        <v>0</v>
      </c>
      <c r="T160" s="5">
        <f>(P51*($E51/365))+(P52*($E52/365))</f>
        <v>0</v>
      </c>
      <c r="U160" s="5">
        <f>(Q51*($E51/365))+(Q52*($E52/365))</f>
        <v>38.88575342465753</v>
      </c>
      <c r="V160" s="9"/>
      <c r="W160" s="5">
        <f>R51*(E51/365) + R52*(E52/365)</f>
        <v>38.88575342465753</v>
      </c>
      <c r="X160" s="4"/>
      <c r="Z160" s="4"/>
    </row>
    <row r="161" spans="1:26" x14ac:dyDescent="0.15">
      <c r="A161" s="1">
        <v>1982</v>
      </c>
      <c r="B161" s="5">
        <f>(K53*($E53/365))+(K54*($E54/365))</f>
        <v>23.587736464448792</v>
      </c>
      <c r="C161" s="5">
        <f>(L53*($E53/365))+(L54*($E54/365))</f>
        <v>7.3711676451402468</v>
      </c>
      <c r="D161" s="5">
        <f>(M53*($E53/365))+(M54*($E54/365))</f>
        <v>69.041095890410958</v>
      </c>
      <c r="E161" s="18">
        <f t="shared" si="56"/>
        <v>100</v>
      </c>
      <c r="G161" s="1">
        <v>1982</v>
      </c>
      <c r="H161" s="380">
        <f>(O53/$R53*100*($E53/365))+(O54/$R54*100*($E54/365))</f>
        <v>23.459000578815356</v>
      </c>
      <c r="I161" s="380"/>
      <c r="J161" s="380">
        <f>(P53/$R53*100*($E53/365))+(P54/$R54*100*($E54/365))</f>
        <v>7.4999035307736834</v>
      </c>
      <c r="K161" s="380"/>
      <c r="L161" s="380">
        <f>(Q53/$R53*100*($E53/365))+(Q54/$R54*100*($E54/365))</f>
        <v>69.041095890410958</v>
      </c>
      <c r="M161" s="380"/>
      <c r="N161" s="379">
        <f t="shared" si="57"/>
        <v>100</v>
      </c>
      <c r="O161" s="379"/>
      <c r="R161" s="1">
        <v>1982</v>
      </c>
      <c r="S161" s="5">
        <f>(O53*($E53/365))+(O54*($E54/365))</f>
        <v>8.3279452054794518</v>
      </c>
      <c r="T161" s="5">
        <f>(P53*($E53/365))+(P54*($E54/365))</f>
        <v>2.6624657534246574</v>
      </c>
      <c r="U161" s="5">
        <f>(Q53*($E53/365))+(Q54*($E54/365))</f>
        <v>23.266849315068498</v>
      </c>
      <c r="V161" s="9"/>
      <c r="W161" s="5">
        <f>R53*(E53/365) + R54*(E54/365)</f>
        <v>34.257260273972605</v>
      </c>
      <c r="X161" s="4"/>
      <c r="Z161" s="4"/>
    </row>
    <row r="162" spans="1:26" x14ac:dyDescent="0.15">
      <c r="A162" s="1">
        <v>1983</v>
      </c>
      <c r="B162" s="5">
        <f>(K55*($E55/365))+(K56*($E56/365))</f>
        <v>76.19047619047619</v>
      </c>
      <c r="C162" s="5">
        <f>(L55*($E55/365))+(L56*($E56/365))</f>
        <v>23.809523809523807</v>
      </c>
      <c r="D162" s="5">
        <f>(M55*($E55/365))+(M56*($E56/365))</f>
        <v>0</v>
      </c>
      <c r="E162" s="18">
        <f t="shared" si="56"/>
        <v>100</v>
      </c>
      <c r="G162" s="1">
        <v>1983</v>
      </c>
      <c r="H162" s="380">
        <f>(O55/$R55*100*($E55/365))+(O56/$R56*100*($E56/365))</f>
        <v>75.774647887323937</v>
      </c>
      <c r="I162" s="380"/>
      <c r="J162" s="380">
        <f>(P55/$R55*100*($E55/365))+(P56/$R56*100*($E56/365))</f>
        <v>24.225352112676056</v>
      </c>
      <c r="K162" s="380"/>
      <c r="L162" s="380">
        <f>(Q55/$R55*100*($E55/365))+(Q56/$R56*100*($E56/365))</f>
        <v>0</v>
      </c>
      <c r="M162" s="380"/>
      <c r="N162" s="379">
        <f t="shared" si="57"/>
        <v>100</v>
      </c>
      <c r="O162" s="379"/>
      <c r="R162" s="1">
        <v>1983</v>
      </c>
      <c r="S162" s="5">
        <f>(O55*($E55/365))+(O56*($E56/365))</f>
        <v>26.9</v>
      </c>
      <c r="T162" s="5">
        <f>(P55*($E55/365))+(P56*($E56/365))</f>
        <v>8.6</v>
      </c>
      <c r="U162" s="5">
        <f>(Q55*($E55/365))+(Q56*($E56/365))</f>
        <v>0</v>
      </c>
      <c r="V162" s="9"/>
      <c r="W162" s="5">
        <f>R55*(E55/365) + R56*(E56/365)</f>
        <v>35.5</v>
      </c>
      <c r="X162" s="4"/>
      <c r="Z162" s="4"/>
    </row>
    <row r="163" spans="1:26" x14ac:dyDescent="0.15">
      <c r="A163" s="1">
        <v>1984</v>
      </c>
      <c r="B163" s="5">
        <f>(K57*($E57/366))+(K58*($E58/366))</f>
        <v>76.19047619047619</v>
      </c>
      <c r="C163" s="5">
        <f>(L57*($E57/366))+(L58*($E58/366))</f>
        <v>23.80952380952381</v>
      </c>
      <c r="D163" s="5">
        <f>(M57*($E57/366))+(M58*($E58/366))</f>
        <v>0</v>
      </c>
      <c r="E163" s="18">
        <f t="shared" si="56"/>
        <v>100</v>
      </c>
      <c r="G163" s="1">
        <v>1984</v>
      </c>
      <c r="H163" s="380">
        <f>(O57/$R57*100*($E57/366))+(O58/$R58*100*($E58/366))</f>
        <v>88.121273665655679</v>
      </c>
      <c r="I163" s="380"/>
      <c r="J163" s="380">
        <f>(P57/$R57*100*($E57/366))+(P58/$R58*100*($E58/366))</f>
        <v>11.878726334344332</v>
      </c>
      <c r="K163" s="380"/>
      <c r="L163" s="380">
        <f>(Q57/$R57*100*($E57/366))+(Q58/$R58*100*($E58/366))</f>
        <v>0</v>
      </c>
      <c r="M163" s="380"/>
      <c r="N163" s="379">
        <f t="shared" si="57"/>
        <v>100.00000000000001</v>
      </c>
      <c r="O163" s="379"/>
      <c r="R163" s="1">
        <v>1984</v>
      </c>
      <c r="S163" s="5">
        <f>(O57*($E57/366))+(O58*($E58/366))</f>
        <v>36.069945355191258</v>
      </c>
      <c r="T163" s="5">
        <f>(P57*($E57/366))+(P58*($E58/366))</f>
        <v>4.8185792349726775</v>
      </c>
      <c r="U163" s="5">
        <f>(Q57*($E57/366))+(Q58*($E58/366))</f>
        <v>0</v>
      </c>
      <c r="V163" s="9"/>
      <c r="W163" s="5">
        <f>R57*(E57/366) + R58*(E58/366)</f>
        <v>40.888524590163939</v>
      </c>
      <c r="X163" s="4"/>
      <c r="Z163" s="4"/>
    </row>
    <row r="164" spans="1:26" x14ac:dyDescent="0.15">
      <c r="A164" s="1">
        <v>1985</v>
      </c>
      <c r="B164" s="5">
        <f>(K59*($E59/365))+(K60*($E60/365))</f>
        <v>76.19047619047619</v>
      </c>
      <c r="C164" s="5">
        <f>(L59*($E59/365))+(L60*($E60/365))</f>
        <v>23.809523809523807</v>
      </c>
      <c r="D164" s="5">
        <f>(M59*($E59/365))+(M60*($E60/365))</f>
        <v>0</v>
      </c>
      <c r="E164" s="18">
        <f t="shared" si="56"/>
        <v>100</v>
      </c>
      <c r="G164" s="1">
        <v>1985</v>
      </c>
      <c r="H164" s="380">
        <f>(O59/$R59*100*($E59/365))+(O60/$R60*100*($E60/365))</f>
        <v>88.834951456310677</v>
      </c>
      <c r="I164" s="380"/>
      <c r="J164" s="380">
        <f>(P59/$R59*100*($E59/365))+(P60/$R60*100*($E60/365))</f>
        <v>11.165048543689318</v>
      </c>
      <c r="K164" s="380"/>
      <c r="L164" s="380">
        <f>(Q59/$R59*100*($E59/365))+(Q60/$R60*100*($E60/365))</f>
        <v>0</v>
      </c>
      <c r="M164" s="380"/>
      <c r="N164" s="379">
        <f t="shared" si="57"/>
        <v>100</v>
      </c>
      <c r="O164" s="379"/>
      <c r="R164" s="1">
        <v>1985</v>
      </c>
      <c r="S164" s="5">
        <f>(O59*($E59/365))+(O60*($E60/365))</f>
        <v>36.6</v>
      </c>
      <c r="T164" s="5">
        <f>(P59*($E59/365))+(P60*($E60/365))</f>
        <v>4.5999999999999996</v>
      </c>
      <c r="U164" s="5">
        <f>(Q59*($E59/365))+(Q60*($E60/365))</f>
        <v>0</v>
      </c>
      <c r="V164" s="9"/>
      <c r="W164" s="5">
        <f>R59*(E59/365) + R60*(E60/365)</f>
        <v>41.2</v>
      </c>
      <c r="X164" s="4"/>
      <c r="Z164" s="4"/>
    </row>
    <row r="165" spans="1:26" x14ac:dyDescent="0.15">
      <c r="A165" s="1">
        <v>1986</v>
      </c>
      <c r="B165" s="5">
        <f>(K61*($E61/365))+(K62*($E62/365))</f>
        <v>76.19047619047619</v>
      </c>
      <c r="C165" s="5">
        <f>(L61*($E61/365))+(L62*($E62/365))</f>
        <v>23.809523809523807</v>
      </c>
      <c r="D165" s="5">
        <f>(M61*($E61/365))+(M62*($E62/365))</f>
        <v>0</v>
      </c>
      <c r="E165" s="18">
        <f t="shared" si="56"/>
        <v>100</v>
      </c>
      <c r="G165" s="1">
        <v>1986</v>
      </c>
      <c r="H165" s="380">
        <f>(O61/$R61*100*($E61/365))+(O62/$R62*100*($E62/365))</f>
        <v>88.834951456310677</v>
      </c>
      <c r="I165" s="380"/>
      <c r="J165" s="380">
        <f>(P61/$R61*100*($E61/365))+(P62/$R62*100*($E62/365))</f>
        <v>11.165048543689318</v>
      </c>
      <c r="K165" s="380"/>
      <c r="L165" s="380">
        <f>(Q61/$R61*100*($E61/365))+(Q62/$R62*100*($E62/365))</f>
        <v>0</v>
      </c>
      <c r="M165" s="380"/>
      <c r="N165" s="379">
        <f t="shared" si="57"/>
        <v>100</v>
      </c>
      <c r="O165" s="379"/>
      <c r="R165" s="1">
        <v>1986</v>
      </c>
      <c r="S165" s="5">
        <f>(O61*($E61/365))+(O62*($E62/365))</f>
        <v>36.6</v>
      </c>
      <c r="T165" s="5">
        <f>(P61*($E61/365))+(P62*($E62/365))</f>
        <v>4.5999999999999996</v>
      </c>
      <c r="U165" s="5">
        <f>(Q61*($E61/365))+(Q62*($E62/365))</f>
        <v>0</v>
      </c>
      <c r="V165" s="9"/>
      <c r="W165" s="5">
        <f>R61*(E61/365) + R62*(E62/365)</f>
        <v>41.2</v>
      </c>
      <c r="X165" s="4"/>
      <c r="Z165" s="4"/>
    </row>
    <row r="166" spans="1:26" x14ac:dyDescent="0.15">
      <c r="A166" s="1">
        <v>1987</v>
      </c>
      <c r="B166" s="5">
        <f>(K63*($E63/365))+(K64*($E64/365))</f>
        <v>77.932752179327537</v>
      </c>
      <c r="C166" s="5">
        <f>(L63*($E63/365))+(L64*($E64/365))</f>
        <v>22.067247820672478</v>
      </c>
      <c r="D166" s="5">
        <f>(M63*($E63/365))+(M64*($E64/365))</f>
        <v>0</v>
      </c>
      <c r="E166" s="18">
        <f t="shared" si="56"/>
        <v>100.00000000000001</v>
      </c>
      <c r="G166" s="1">
        <v>1987</v>
      </c>
      <c r="H166" s="380">
        <f>(O63/$R63*100*($E63/365))+(O64/$R64*100*($E64/365))</f>
        <v>86.50120940500193</v>
      </c>
      <c r="I166" s="380"/>
      <c r="J166" s="380">
        <f>(P63/$R63*100*($E63/365))+(P64/$R64*100*($E64/365))</f>
        <v>13.498790594998074</v>
      </c>
      <c r="K166" s="380"/>
      <c r="L166" s="380">
        <f>(Q63/$R63*100*($E63/365))+(Q64/$R64*100*($E64/365))</f>
        <v>0</v>
      </c>
      <c r="M166" s="380"/>
      <c r="N166" s="379">
        <f t="shared" si="57"/>
        <v>100</v>
      </c>
      <c r="O166" s="379"/>
      <c r="R166" s="1">
        <v>1987</v>
      </c>
      <c r="S166" s="5">
        <f>(O63*($E63/365))+(O64*($E64/365))</f>
        <v>35.361643835616441</v>
      </c>
      <c r="T166" s="5">
        <f>(P63*($E63/365))+(P64*($E64/365))</f>
        <v>5.4978082191780828</v>
      </c>
      <c r="U166" s="5">
        <f>(Q63*($E63/365))+(Q64*($E64/365))</f>
        <v>0</v>
      </c>
      <c r="V166" s="9"/>
      <c r="W166" s="5">
        <f>R63*(E63/365) + R64*(E64/365)</f>
        <v>40.859452054794524</v>
      </c>
      <c r="X166" s="4"/>
      <c r="Z166" s="4"/>
    </row>
    <row r="167" spans="1:26" x14ac:dyDescent="0.15">
      <c r="A167" s="1">
        <v>1988</v>
      </c>
      <c r="B167" s="5">
        <f>(K65*($E65/366))+(K66*($E66/366))</f>
        <v>92.349726775956285</v>
      </c>
      <c r="C167" s="5">
        <f>(L65*($E65/366))+(L66*($E66/366))</f>
        <v>7.6502732240437172</v>
      </c>
      <c r="D167" s="5">
        <f>(M65*($E65/366))+(M66*($E66/366))</f>
        <v>0</v>
      </c>
      <c r="E167" s="18">
        <f t="shared" si="56"/>
        <v>100</v>
      </c>
      <c r="G167" s="1">
        <v>1988</v>
      </c>
      <c r="H167" s="380">
        <f>(O65/$R65*100*($E65/366))+(O66/$R66*100*($E66/366))</f>
        <v>92.130329912922605</v>
      </c>
      <c r="I167" s="380"/>
      <c r="J167" s="380">
        <f>(P65/$R65*100*($E65/366))+(P66/$R66*100*($E66/366))</f>
        <v>7.8696700870773881</v>
      </c>
      <c r="K167" s="380"/>
      <c r="L167" s="380">
        <f>(Q65/$R65*100*($E65/366))+(Q66/$R66*100*($E66/366))</f>
        <v>0</v>
      </c>
      <c r="M167" s="380"/>
      <c r="N167" s="379">
        <f t="shared" si="57"/>
        <v>100</v>
      </c>
      <c r="O167" s="379"/>
      <c r="R167" s="1">
        <v>1988</v>
      </c>
      <c r="S167" s="5">
        <f>(O65*($E65/366))+(O66*($E66/366))</f>
        <v>35.901639344262293</v>
      </c>
      <c r="T167" s="5">
        <f>(P65*($E65/366))+(P66*($E66/366))</f>
        <v>3.1557377049180331</v>
      </c>
      <c r="U167" s="5">
        <f>(Q65*($E65/366))+(Q66*($E66/366))</f>
        <v>0</v>
      </c>
      <c r="V167" s="9"/>
      <c r="W167" s="5">
        <f>R65*(E65/366) + R66*(E66/366)</f>
        <v>39.057377049180332</v>
      </c>
      <c r="X167" s="4"/>
      <c r="Z167" s="4"/>
    </row>
    <row r="168" spans="1:26" s="3" customFormat="1" x14ac:dyDescent="0.15">
      <c r="A168" s="3">
        <v>1989</v>
      </c>
      <c r="B168" s="8">
        <f>(K67*($E67/365))+(K68*($E68/365))</f>
        <v>100</v>
      </c>
      <c r="C168" s="8">
        <f>(L67*($E67/365))+(L68*($E68/365))</f>
        <v>0</v>
      </c>
      <c r="D168" s="8">
        <f>(M67*($E67/365))+(M68*($E68/365))</f>
        <v>0</v>
      </c>
      <c r="E168" s="19">
        <f t="shared" si="56"/>
        <v>100</v>
      </c>
      <c r="G168" s="3">
        <v>1989</v>
      </c>
      <c r="H168" s="385">
        <f>(O67/$R67*100*($E67/365))+(O68/$R68*100*($E68/365))</f>
        <v>100</v>
      </c>
      <c r="I168" s="385"/>
      <c r="J168" s="385">
        <f>(P67/$R67*100*($E67/365))+(P68/$R68*100*($E68/365))</f>
        <v>0</v>
      </c>
      <c r="K168" s="385"/>
      <c r="L168" s="385">
        <f>(Q67/$R67*100*($E67/365))+(Q68/$R68*100*($E68/365))</f>
        <v>0</v>
      </c>
      <c r="M168" s="385"/>
      <c r="N168" s="386">
        <f t="shared" si="57"/>
        <v>100</v>
      </c>
      <c r="O168" s="386"/>
      <c r="R168" s="3">
        <v>1989</v>
      </c>
      <c r="S168" s="8">
        <f>(O67*($E67/365))+(O68*($E68/365))</f>
        <v>38.299999999999997</v>
      </c>
      <c r="T168" s="8">
        <f>(P67*($E67/365))+(P68*($E68/365))</f>
        <v>0</v>
      </c>
      <c r="U168" s="8">
        <f>(Q67*($E67/365))+(Q68*($E68/365))</f>
        <v>0</v>
      </c>
      <c r="V168" s="21"/>
      <c r="W168" s="8">
        <f>R67*(E67/365) + R68*(E68/365)</f>
        <v>38.299999999999997</v>
      </c>
      <c r="X168" s="13"/>
      <c r="Z168" s="13"/>
    </row>
    <row r="169" spans="1:26" x14ac:dyDescent="0.15">
      <c r="A169" s="1">
        <v>1990</v>
      </c>
      <c r="B169" s="5">
        <f>(K69*($E69/365))+(K70*($E70/365))</f>
        <v>100.00000000000001</v>
      </c>
      <c r="C169" s="5">
        <f>(L69*($E69/365))+(L70*($E70/365))</f>
        <v>0</v>
      </c>
      <c r="D169" s="5">
        <f>(M69*($E69/365))+(M70*($E70/365))</f>
        <v>0</v>
      </c>
      <c r="E169" s="18">
        <f>SUM(B169:D169)</f>
        <v>100.00000000000001</v>
      </c>
      <c r="G169" s="1">
        <v>1990</v>
      </c>
      <c r="H169" s="380">
        <f>(O69/$R69*100*($E69/365))+(O70/$R70*100*($E70/365))</f>
        <v>100.00000000000001</v>
      </c>
      <c r="I169" s="380"/>
      <c r="J169" s="380">
        <f>(P69/$R69*100*($E69/365))+(P70/$R70*100*($E70/365))</f>
        <v>0</v>
      </c>
      <c r="K169" s="380"/>
      <c r="L169" s="380">
        <f>(Q69/$R69*100*($E69/365))+(Q70/$R70*100*($E70/365))</f>
        <v>0</v>
      </c>
      <c r="M169" s="380"/>
      <c r="N169" s="379">
        <f t="shared" si="57"/>
        <v>100.00000000000001</v>
      </c>
      <c r="O169" s="379"/>
      <c r="R169" s="1">
        <v>1990</v>
      </c>
      <c r="S169" s="5">
        <f>(O69*($E69/365))+(O70*($E70/365))</f>
        <v>38.123561643835615</v>
      </c>
      <c r="T169" s="5">
        <f>(P69*($E69/365))+(P70*($E70/365))</f>
        <v>0</v>
      </c>
      <c r="U169" s="5">
        <f>(Q69*($E69/365))+(Q70*($E70/365))</f>
        <v>0</v>
      </c>
      <c r="V169" s="9"/>
      <c r="W169" s="5">
        <f>R69*(E69/365) + R70*(E70/365)</f>
        <v>38.123561643835615</v>
      </c>
      <c r="X169" s="4"/>
      <c r="Z169" s="4"/>
    </row>
    <row r="170" spans="1:26" x14ac:dyDescent="0.15">
      <c r="A170" s="1">
        <v>1991</v>
      </c>
      <c r="B170" s="5">
        <f>(K71*($E71/365))+(K72*($E72/365))</f>
        <v>100</v>
      </c>
      <c r="C170" s="5">
        <f>(L71*($E71/365))+(L72*($E72/365))</f>
        <v>0</v>
      </c>
      <c r="D170" s="5">
        <f>(M71*($E71/365))+(M72*($E72/365))</f>
        <v>0</v>
      </c>
      <c r="E170" s="18">
        <f t="shared" ref="E170:E191" si="58">SUM(B170:D170)</f>
        <v>100</v>
      </c>
      <c r="G170" s="1">
        <v>1991</v>
      </c>
      <c r="H170" s="380">
        <f>(O71/$R71*100*($E71/365))+(O72/$R72*100*($E72/365))</f>
        <v>100</v>
      </c>
      <c r="I170" s="380"/>
      <c r="J170" s="380">
        <f>(P71/$R71*100*($E71/365))+(P72/$R72*100*($E72/365))</f>
        <v>0</v>
      </c>
      <c r="K170" s="380"/>
      <c r="L170" s="380">
        <f>(Q71/$R71*100*($E71/365))+(Q72/$R72*100*($E72/365))</f>
        <v>0</v>
      </c>
      <c r="M170" s="380"/>
      <c r="N170" s="379">
        <f t="shared" si="57"/>
        <v>100</v>
      </c>
      <c r="O170" s="379"/>
      <c r="R170" s="1">
        <v>1991</v>
      </c>
      <c r="S170" s="5">
        <f>(O71*($E71/365))+(O72*($E72/365))</f>
        <v>33.700000000000003</v>
      </c>
      <c r="T170" s="5">
        <f>(P71*($E71/365))+(P72*($E72/365))</f>
        <v>0</v>
      </c>
      <c r="U170" s="5">
        <f>(Q71*($E71/365))+(Q72*($E72/365))</f>
        <v>0</v>
      </c>
      <c r="V170" s="9"/>
      <c r="W170" s="5">
        <f>R71*(E71/365) + R72*(E72/365)</f>
        <v>33.700000000000003</v>
      </c>
      <c r="X170" s="4"/>
      <c r="Z170" s="4"/>
    </row>
    <row r="171" spans="1:26" x14ac:dyDescent="0.15">
      <c r="A171" s="1">
        <v>1992</v>
      </c>
      <c r="B171" s="5">
        <f>(K73*($E73/366))+(K74*($E74/366))</f>
        <v>100</v>
      </c>
      <c r="C171" s="5">
        <f>(L73*($E73/366))+(L74*($E74/366))</f>
        <v>0</v>
      </c>
      <c r="D171" s="5">
        <f>(M73*($E73/366))+(M74*($E74/366))</f>
        <v>0</v>
      </c>
      <c r="E171" s="18">
        <f t="shared" si="58"/>
        <v>100</v>
      </c>
      <c r="G171" s="1">
        <v>1992</v>
      </c>
      <c r="H171" s="380">
        <f>(O73/$R73*100*($E73/366))+(O74/$R74*100*($E74/366))</f>
        <v>100</v>
      </c>
      <c r="I171" s="380"/>
      <c r="J171" s="380">
        <f>(P73/$R73*100*($E73/366))+(P74/$R74*100*($E74/366))</f>
        <v>0</v>
      </c>
      <c r="K171" s="380"/>
      <c r="L171" s="380">
        <f>(Q73/$R73*100*($E73/366))+(Q74/$R74*100*($E74/366))</f>
        <v>0</v>
      </c>
      <c r="M171" s="380"/>
      <c r="N171" s="379">
        <f t="shared" si="57"/>
        <v>100</v>
      </c>
      <c r="O171" s="379"/>
      <c r="R171" s="1">
        <v>1992</v>
      </c>
      <c r="S171" s="5">
        <f>(O73*($E73/366))+(O74*($E74/366))</f>
        <v>33.700000000000003</v>
      </c>
      <c r="T171" s="5">
        <f>(P73*($E73/366))+(P74*($E74/366))</f>
        <v>0</v>
      </c>
      <c r="U171" s="5">
        <f>(Q73*($E73/366))+(Q74*($E74/366))</f>
        <v>0</v>
      </c>
      <c r="V171" s="9"/>
      <c r="W171" s="5">
        <f>R73*(E73/366) + R74*(E74/366)</f>
        <v>33.700000000000003</v>
      </c>
      <c r="X171" s="4"/>
      <c r="Z171" s="4"/>
    </row>
    <row r="172" spans="1:26" x14ac:dyDescent="0.15">
      <c r="A172" s="1">
        <v>1993</v>
      </c>
      <c r="B172" s="5">
        <f>(K75*($E75/365))+(K76*($E76/365))</f>
        <v>18.253424657534246</v>
      </c>
      <c r="C172" s="5">
        <f>(L75*($E75/365))+(L76*($E76/365))</f>
        <v>23.356164383561644</v>
      </c>
      <c r="D172" s="5">
        <f>(M75*($E75/365))+(M76*($E76/365))</f>
        <v>58.390410958904113</v>
      </c>
      <c r="E172" s="18">
        <f t="shared" si="58"/>
        <v>100</v>
      </c>
      <c r="G172" s="1">
        <v>1993</v>
      </c>
      <c r="H172" s="380">
        <f>(O75/$R75*100*($E75/365))+(O76/$R76*100*($E76/365))</f>
        <v>13.931614712544494</v>
      </c>
      <c r="I172" s="380"/>
      <c r="J172" s="380">
        <f>(P75/$R75*100*($E75/365))+(P76/$R76*100*($E76/365))</f>
        <v>13.60910365656348</v>
      </c>
      <c r="K172" s="380"/>
      <c r="L172" s="380">
        <f>(Q75/$R75*100*($E75/365))+(Q76/$R76*100*($E76/365))</f>
        <v>72.459281630892036</v>
      </c>
      <c r="M172" s="380"/>
      <c r="N172" s="379">
        <f t="shared" si="57"/>
        <v>100.00000000000001</v>
      </c>
      <c r="O172" s="379"/>
      <c r="R172" s="1">
        <v>1993</v>
      </c>
      <c r="S172" s="5">
        <f>(O75*($E75/365))+(O76*($E76/365))</f>
        <v>5.9528767123287674</v>
      </c>
      <c r="T172" s="5">
        <f>(P75*($E75/365))+(P76*($E76/365))</f>
        <v>6.9134246575342475</v>
      </c>
      <c r="U172" s="5">
        <f>(Q75*($E75/365))+(Q76*($E76/365))</f>
        <v>36.809315068493149</v>
      </c>
      <c r="V172" s="9"/>
      <c r="W172" s="5">
        <f>R75*(E75/365) + R76*(E76/365)</f>
        <v>49.675616438356165</v>
      </c>
      <c r="X172" s="4"/>
      <c r="Z172" s="4"/>
    </row>
    <row r="173" spans="1:26" x14ac:dyDescent="0.15">
      <c r="A173" s="1">
        <v>1994</v>
      </c>
      <c r="B173" s="5">
        <f>(K77*($E77/365))+(K78*($E78/365))</f>
        <v>13.150684931506849</v>
      </c>
      <c r="C173" s="5">
        <f>(L77*($E77/365))+(L78*($E78/365))</f>
        <v>21.095890410958905</v>
      </c>
      <c r="D173" s="5">
        <f>(M77*($E77/365))+(M78*($E78/365))</f>
        <v>65.753424657534254</v>
      </c>
      <c r="E173" s="18">
        <f t="shared" si="58"/>
        <v>100</v>
      </c>
      <c r="G173" s="1">
        <v>1994</v>
      </c>
      <c r="H173" s="380">
        <f>(O77/$R77*100*($E77/365))+(O78/$R78*100*($E78/365))</f>
        <v>8.6154308784014297</v>
      </c>
      <c r="I173" s="380"/>
      <c r="J173" s="380">
        <f>(P77/$R77*100*($E77/365))+(P78/$R78*100*($E78/365))</f>
        <v>12.534964406391438</v>
      </c>
      <c r="K173" s="380"/>
      <c r="L173" s="380">
        <f>(Q77/$R77*100*($E77/365))+(Q78/$R78*100*($E78/365))</f>
        <v>78.849604715207121</v>
      </c>
      <c r="M173" s="380"/>
      <c r="N173" s="379">
        <f t="shared" si="57"/>
        <v>99.999999999999986</v>
      </c>
      <c r="O173" s="379"/>
      <c r="R173" s="1">
        <v>1994</v>
      </c>
      <c r="S173" s="5">
        <f>(O77*($E77/365))+(O78*($E78/365))</f>
        <v>4.1561643835616433</v>
      </c>
      <c r="T173" s="5">
        <f>(P77*($E77/365))+(P78*($E78/365))</f>
        <v>6.2287671232876711</v>
      </c>
      <c r="U173" s="5">
        <f>(Q77*($E77/365))+(Q78*($E78/365))</f>
        <v>38.358904109589034</v>
      </c>
      <c r="V173" s="9"/>
      <c r="W173" s="5">
        <f>R77*(E77/365) + R78*(E78/365)</f>
        <v>48.743835616438346</v>
      </c>
      <c r="X173" s="4"/>
      <c r="Z173" s="4"/>
    </row>
    <row r="174" spans="1:26" x14ac:dyDescent="0.15">
      <c r="A174" s="1">
        <v>1995</v>
      </c>
      <c r="B174" s="5">
        <f>(K79*($E79/365))+(K80*($E80/365))</f>
        <v>15</v>
      </c>
      <c r="C174" s="5">
        <f>(L79*($E79/365))+(L80*($E80/365))</f>
        <v>10</v>
      </c>
      <c r="D174" s="5">
        <f>(M79*($E79/365))+(M80*($E80/365))</f>
        <v>75</v>
      </c>
      <c r="E174" s="18">
        <f t="shared" si="58"/>
        <v>100</v>
      </c>
      <c r="G174" s="1">
        <v>1995</v>
      </c>
      <c r="H174" s="380">
        <f>(O79/$R79*100*($E79/365))+(O80/$R80*100*($E80/365))</f>
        <v>10.722610722610721</v>
      </c>
      <c r="I174" s="380"/>
      <c r="J174" s="380">
        <f>(P79/$R79*100*($E79/365))+(P80/$R80*100*($E80/365))</f>
        <v>6.7599067599067597</v>
      </c>
      <c r="K174" s="380"/>
      <c r="L174" s="380">
        <f>(Q79/$R79*100*($E79/365))+(Q80/$R80*100*($E80/365))</f>
        <v>82.51748251748252</v>
      </c>
      <c r="M174" s="380"/>
      <c r="N174" s="379">
        <f t="shared" si="57"/>
        <v>100</v>
      </c>
      <c r="O174" s="379"/>
      <c r="R174" s="1">
        <v>1995</v>
      </c>
      <c r="S174" s="5">
        <f>(O79*($E79/365))+(O80*($E80/365))</f>
        <v>4.5999999999999996</v>
      </c>
      <c r="T174" s="5">
        <f>(P79*($E79/365))+(P80*($E80/365))</f>
        <v>2.9</v>
      </c>
      <c r="U174" s="5">
        <f>(Q79*($E79/365))+(Q80*($E80/365))</f>
        <v>35.4</v>
      </c>
      <c r="V174" s="9"/>
      <c r="W174" s="5">
        <f>R79*(E79/365) + R80*(E80/365)</f>
        <v>42.9</v>
      </c>
      <c r="X174" s="4"/>
      <c r="Z174" s="4"/>
    </row>
    <row r="175" spans="1:26" x14ac:dyDescent="0.15">
      <c r="A175" s="1">
        <v>1996</v>
      </c>
      <c r="B175" s="5">
        <f>(K81*($E81/366))+(K82*($E82/366))</f>
        <v>15.033074489502443</v>
      </c>
      <c r="C175" s="5">
        <f>(L81*($E81/366))+(L82*($E82/366))</f>
        <v>9.9453551912568301</v>
      </c>
      <c r="D175" s="5">
        <f>(M81*($E81/366))+(M82*($E82/366))</f>
        <v>75.021570319240723</v>
      </c>
      <c r="E175" s="18">
        <f t="shared" si="58"/>
        <v>100</v>
      </c>
      <c r="G175" s="1">
        <v>1996</v>
      </c>
      <c r="H175" s="380">
        <f>(O81/$R81*100*($E81/366))+(O82/$R82*100*($E82/366))</f>
        <v>10.726858751448914</v>
      </c>
      <c r="I175" s="380"/>
      <c r="J175" s="380">
        <f>(P81/$R81*100*($E81/366))+(P82/$R82*100*($E82/366))</f>
        <v>6.722967378705083</v>
      </c>
      <c r="K175" s="380"/>
      <c r="L175" s="380">
        <f>(Q81/$R81*100*($E81/366))+(Q82/$R82*100*($E82/366))</f>
        <v>82.550173869845992</v>
      </c>
      <c r="M175" s="380"/>
      <c r="N175" s="379">
        <f t="shared" si="57"/>
        <v>99.999999999999986</v>
      </c>
      <c r="O175" s="379"/>
      <c r="R175" s="1">
        <v>1996</v>
      </c>
      <c r="S175" s="5">
        <f>(O81*($E81/366))+(O82*($E82/366))</f>
        <v>4.5999999999999996</v>
      </c>
      <c r="T175" s="5">
        <f>(P81*($E81/366))+(P82*($E82/366))</f>
        <v>2.8841530054644808</v>
      </c>
      <c r="U175" s="5">
        <f>(Q81*($E81/366))+(Q82*($E82/366))</f>
        <v>35.4</v>
      </c>
      <c r="V175" s="9"/>
      <c r="W175" s="5">
        <f>R81*(E81/366) + R82*(E82/366)</f>
        <v>42.884153005464483</v>
      </c>
      <c r="X175" s="4"/>
      <c r="Z175" s="4"/>
    </row>
    <row r="176" spans="1:26" x14ac:dyDescent="0.15">
      <c r="A176" s="1">
        <v>1997</v>
      </c>
      <c r="B176" s="5">
        <f>(K83*($E83/365))+(K84*($E84/365))</f>
        <v>20.842105263157894</v>
      </c>
      <c r="C176" s="5">
        <f>(L83*($E83/365))+(L84*($E84/365))</f>
        <v>0</v>
      </c>
      <c r="D176" s="5">
        <f>(M83*($E83/365))+(M84*($E84/365))</f>
        <v>79.15789473684211</v>
      </c>
      <c r="E176" s="18">
        <f t="shared" si="58"/>
        <v>100</v>
      </c>
      <c r="G176" s="1">
        <v>1997</v>
      </c>
      <c r="H176" s="380">
        <f>(O83/$R83*100*($E83/365))+(O84/$R84*100*($E84/365))</f>
        <v>11.500000000000002</v>
      </c>
      <c r="I176" s="380"/>
      <c r="J176" s="380">
        <f>(P83/$R83*100*($E83/365))+(P84/$R84*100*($E84/365))</f>
        <v>0</v>
      </c>
      <c r="K176" s="380"/>
      <c r="L176" s="380">
        <f>(Q83/$R83*100*($E83/365))+(Q84/$R84*100*($E84/365))</f>
        <v>88.5</v>
      </c>
      <c r="M176" s="380"/>
      <c r="N176" s="379">
        <f t="shared" si="57"/>
        <v>100</v>
      </c>
      <c r="O176" s="379"/>
      <c r="R176" s="1">
        <v>1997</v>
      </c>
      <c r="S176" s="5">
        <f>(O83*($E83/365))+(O84*($E84/365))</f>
        <v>4.5999999999999996</v>
      </c>
      <c r="T176" s="5">
        <f>(P83*($E83/365))+(P84*($E84/365))</f>
        <v>0</v>
      </c>
      <c r="U176" s="5">
        <f>(Q83*($E83/365))+(Q84*($E84/365))</f>
        <v>35.4</v>
      </c>
      <c r="V176" s="9"/>
      <c r="W176" s="5">
        <f>R83*(E83/365) + R84*(E84/365)</f>
        <v>40</v>
      </c>
      <c r="X176" s="4"/>
      <c r="Z176" s="4"/>
    </row>
    <row r="177" spans="1:26" x14ac:dyDescent="0.15">
      <c r="A177" s="1">
        <v>1998</v>
      </c>
      <c r="B177" s="5">
        <f>(K85*($E85/365))+(K86*($E86/365))</f>
        <v>20</v>
      </c>
      <c r="C177" s="5">
        <f>(L85*($E85/365))+(L86*($E86/365))</f>
        <v>0</v>
      </c>
      <c r="D177" s="5">
        <f>(M85*($E85/365))+(M86*($E86/365))</f>
        <v>80</v>
      </c>
      <c r="E177" s="18">
        <f t="shared" si="58"/>
        <v>100</v>
      </c>
      <c r="G177" s="1">
        <v>1998</v>
      </c>
      <c r="H177" s="380">
        <f>(O85/$R85*100*($E85/365))+(O86/$R86*100*($E86/365))</f>
        <v>10.332876712328767</v>
      </c>
      <c r="I177" s="380"/>
      <c r="J177" s="380">
        <f>(P85/$R85*100*($E85/365))+(P86/$R86*100*($E86/365))</f>
        <v>0</v>
      </c>
      <c r="K177" s="380"/>
      <c r="L177" s="380">
        <f>(Q85/$R85*100*($E85/365))+(Q86/$R86*100*($E86/365))</f>
        <v>89.667123287671231</v>
      </c>
      <c r="M177" s="380"/>
      <c r="N177" s="379">
        <f t="shared" si="57"/>
        <v>100</v>
      </c>
      <c r="O177" s="379"/>
      <c r="R177" s="1">
        <v>1998</v>
      </c>
      <c r="S177" s="5">
        <f>(O85*($E85/365))+(O86*($E86/365))</f>
        <v>4.1331506849315067</v>
      </c>
      <c r="T177" s="5">
        <f>(P85*($E85/365))+(P86*($E86/365))</f>
        <v>0</v>
      </c>
      <c r="U177" s="5">
        <f>(Q85*($E85/365))+(Q86*($E86/365))</f>
        <v>35.866849315068492</v>
      </c>
      <c r="V177" s="9"/>
      <c r="W177" s="5">
        <f>R85*(E85/365) + R86*(E86/365)</f>
        <v>40</v>
      </c>
      <c r="X177" s="4"/>
      <c r="Z177" s="4"/>
    </row>
    <row r="178" spans="1:26" x14ac:dyDescent="0.15">
      <c r="A178" s="1">
        <v>1999</v>
      </c>
      <c r="B178" s="5">
        <f>(K87*($E87/365))+(K88*($E88/365))</f>
        <v>20</v>
      </c>
      <c r="C178" s="5">
        <f>(L87*($E87/365))+(L88*($E88/365))</f>
        <v>0</v>
      </c>
      <c r="D178" s="5">
        <f>(M87*($E87/365))+(M88*($E88/365))</f>
        <v>80</v>
      </c>
      <c r="E178" s="18">
        <f t="shared" si="58"/>
        <v>100</v>
      </c>
      <c r="G178" s="1">
        <v>1999</v>
      </c>
      <c r="H178" s="380">
        <f>(O87/$R87*100*($E87/365))+(O88/$R88*100*($E88/365))</f>
        <v>10</v>
      </c>
      <c r="I178" s="380"/>
      <c r="J178" s="380">
        <f>(P87/$R87*100*($E87/365))+(P88/$R88*100*($E88/365))</f>
        <v>0</v>
      </c>
      <c r="K178" s="380"/>
      <c r="L178" s="380">
        <f>(Q87/$R87*100*($E87/365))+(Q88/$R88*100*($E88/365))</f>
        <v>90</v>
      </c>
      <c r="M178" s="380"/>
      <c r="N178" s="379">
        <f t="shared" si="57"/>
        <v>100</v>
      </c>
      <c r="O178" s="379"/>
      <c r="R178" s="1">
        <v>1999</v>
      </c>
      <c r="S178" s="5">
        <f>(O87*($E87/365))+(O88*($E88/365))</f>
        <v>4</v>
      </c>
      <c r="T178" s="5">
        <f>(P87*($E87/365))+(P88*($E88/365))</f>
        <v>0</v>
      </c>
      <c r="U178" s="5">
        <f>(Q87*($E87/365))+(Q88*($E88/365))</f>
        <v>36</v>
      </c>
      <c r="V178" s="9"/>
      <c r="W178" s="5">
        <f>R87*(E87/365) + R88*(E88/365)</f>
        <v>40</v>
      </c>
      <c r="X178" s="4"/>
      <c r="Z178" s="4"/>
    </row>
    <row r="179" spans="1:26" x14ac:dyDescent="0.15">
      <c r="A179" s="1">
        <v>2000</v>
      </c>
      <c r="B179" s="5">
        <f>(K89*($E89/366))+(K90*($E90/366))</f>
        <v>20</v>
      </c>
      <c r="C179" s="5">
        <f>(L89*($E89/366))+(L90*($E90/366))</f>
        <v>0</v>
      </c>
      <c r="D179" s="5">
        <f>(M89*($E89/366))+(M90*($E90/366))</f>
        <v>80</v>
      </c>
      <c r="E179" s="18">
        <f t="shared" si="58"/>
        <v>100</v>
      </c>
      <c r="G179" s="1">
        <v>2000</v>
      </c>
      <c r="H179" s="380">
        <f>(O89/$R89*100*($E89/366))+(O90/$R90*100*($E90/366))</f>
        <v>10</v>
      </c>
      <c r="I179" s="380"/>
      <c r="J179" s="380">
        <f>(P89/$R89*100*($E89/366))+(P90/$R90*100*($E90/366))</f>
        <v>0</v>
      </c>
      <c r="K179" s="380"/>
      <c r="L179" s="380">
        <f>(Q89/$R89*100*($E89/366))+(Q90/$R90*100*($E90/366))</f>
        <v>90</v>
      </c>
      <c r="M179" s="380"/>
      <c r="N179" s="379">
        <f t="shared" si="57"/>
        <v>100</v>
      </c>
      <c r="O179" s="379"/>
      <c r="R179" s="1">
        <v>2000</v>
      </c>
      <c r="S179" s="5">
        <f>(O89*($E89/366))+(O90*($E90/366))</f>
        <v>4</v>
      </c>
      <c r="T179" s="5">
        <f>(P89*($E89/366))+(P90*($E90/366))</f>
        <v>0</v>
      </c>
      <c r="U179" s="5">
        <f>(Q89*($E89/366))+(Q90*($E90/366))</f>
        <v>36</v>
      </c>
      <c r="V179" s="9"/>
      <c r="W179" s="5">
        <f>R89*(E89/366) + R90*(E90/366)</f>
        <v>40</v>
      </c>
      <c r="X179" s="4"/>
      <c r="Z179" s="4"/>
    </row>
    <row r="180" spans="1:26" x14ac:dyDescent="0.15">
      <c r="A180" s="1">
        <v>2001</v>
      </c>
      <c r="B180" s="5">
        <f>(K91*($E91/365))+(K92*($E92/365))</f>
        <v>27.671232876712324</v>
      </c>
      <c r="C180" s="5">
        <f>(L91*($E91/365))+(L92*($E92/365))</f>
        <v>0</v>
      </c>
      <c r="D180" s="5">
        <f>(M91*($E91/365))+(M92*($E92/365))</f>
        <v>72.328767123287662</v>
      </c>
      <c r="E180" s="18">
        <f t="shared" si="58"/>
        <v>99.999999999999986</v>
      </c>
      <c r="G180" s="1">
        <v>2001</v>
      </c>
      <c r="H180" s="380">
        <f>(O91/$R91*100*($E91/365))+(O92/$R92*100*($E92/365))</f>
        <v>18.630136986301366</v>
      </c>
      <c r="I180" s="380"/>
      <c r="J180" s="380">
        <f>(P91/$R91*100*($E91/365))+(P92/$R92*100*($E92/365))</f>
        <v>0</v>
      </c>
      <c r="K180" s="380"/>
      <c r="L180" s="380">
        <f>(Q91/$R91*100*($E91/365))+(Q92/$R92*100*($E92/365))</f>
        <v>81.36986301369862</v>
      </c>
      <c r="M180" s="380"/>
      <c r="N180" s="379">
        <f>SUM(H180:M180)</f>
        <v>99.999999999999986</v>
      </c>
      <c r="O180" s="379"/>
      <c r="R180" s="1">
        <v>2001</v>
      </c>
      <c r="S180" s="5">
        <f>(O91*($E91/365))+(O92*($E92/365))</f>
        <v>7.5575342465753419</v>
      </c>
      <c r="T180" s="5">
        <f>(P91*($E91/365))+(P92*($E92/365))</f>
        <v>0</v>
      </c>
      <c r="U180" s="5">
        <f>(Q91*($E91/365))+(Q92*($E92/365))</f>
        <v>32.547945205479451</v>
      </c>
      <c r="V180" s="9"/>
      <c r="W180" s="5">
        <f>R91*(E91/365) + R92*(E92/365)</f>
        <v>40.105479452054787</v>
      </c>
      <c r="X180" s="4"/>
      <c r="Z180" s="4"/>
    </row>
    <row r="181" spans="1:26" x14ac:dyDescent="0.15">
      <c r="A181" s="1">
        <v>2002</v>
      </c>
      <c r="B181" s="5">
        <f>(K93*($E93/365))+(K94*($E94/365))</f>
        <v>100</v>
      </c>
      <c r="C181" s="5">
        <f>(L93*($E93/365))+(L94*($E94/365))</f>
        <v>0</v>
      </c>
      <c r="D181" s="5">
        <f>(M93*($E93/365))+(M94*($E94/365))</f>
        <v>0</v>
      </c>
      <c r="E181" s="18">
        <f t="shared" si="58"/>
        <v>100</v>
      </c>
      <c r="G181" s="1">
        <v>2002</v>
      </c>
      <c r="H181" s="380">
        <f>(O93/$R93*100*($E93/365))+(O94/$R94*100*($E94/365))</f>
        <v>100</v>
      </c>
      <c r="I181" s="380"/>
      <c r="J181" s="380">
        <f>(P93/$R93*100*($E93/365))+(P94/$R94*100*($E94/365))</f>
        <v>0</v>
      </c>
      <c r="K181" s="380"/>
      <c r="L181" s="380">
        <f>(Q93/$R93*100*($E93/365))+(Q94/$R94*100*($E94/365))</f>
        <v>0</v>
      </c>
      <c r="M181" s="380"/>
      <c r="N181" s="379">
        <f t="shared" ref="N181:N191" si="59">SUM(H181:M181)</f>
        <v>100</v>
      </c>
      <c r="O181" s="379"/>
      <c r="R181" s="1">
        <v>2002</v>
      </c>
      <c r="S181" s="5">
        <f>(O93*($E93/365))+(O94*($E94/365))</f>
        <v>41.1</v>
      </c>
      <c r="T181" s="5">
        <f>(P93*($E93/365))+(P94*($E94/365))</f>
        <v>0</v>
      </c>
      <c r="U181" s="5">
        <f>(Q93*($E93/365))+(Q94*($E94/365))</f>
        <v>0</v>
      </c>
      <c r="V181" s="9"/>
      <c r="W181" s="5">
        <f>R93*(E93/365) + R94*(E94/365)</f>
        <v>41.1</v>
      </c>
      <c r="X181" s="4"/>
      <c r="Z181" s="4"/>
    </row>
    <row r="182" spans="1:26" x14ac:dyDescent="0.15">
      <c r="A182" s="1">
        <v>2003</v>
      </c>
      <c r="B182" s="5">
        <f>(K95*($E95/365))+(K96*($E96/365))</f>
        <v>100</v>
      </c>
      <c r="C182" s="5">
        <f>(L95*($E95/365))+(L96*($E96/365))</f>
        <v>0</v>
      </c>
      <c r="D182" s="5">
        <f>(M95*($E95/365))+(M96*($E96/365))</f>
        <v>0</v>
      </c>
      <c r="E182" s="18">
        <f t="shared" si="58"/>
        <v>100</v>
      </c>
      <c r="G182" s="1">
        <v>2003</v>
      </c>
      <c r="H182" s="380">
        <f>(O95/$R95*100*($E95/365))+(O96/$R96*100*($E96/365))</f>
        <v>100</v>
      </c>
      <c r="I182" s="380"/>
      <c r="J182" s="380">
        <f>(P95/$R95*100*($E95/365))+(P96/$R96*100*($E96/365))</f>
        <v>0</v>
      </c>
      <c r="K182" s="380"/>
      <c r="L182" s="380">
        <f>(Q95/$R95*100*($E95/365))+(Q96/$R96*100*($E96/365))</f>
        <v>0</v>
      </c>
      <c r="M182" s="380"/>
      <c r="N182" s="379">
        <f t="shared" si="59"/>
        <v>100</v>
      </c>
      <c r="O182" s="379"/>
      <c r="R182" s="1">
        <v>2003</v>
      </c>
      <c r="S182" s="5">
        <f>(O95*($E95/365))+(O96*($E96/365))</f>
        <v>41.1</v>
      </c>
      <c r="T182" s="5">
        <f>(P95*($E95/365))+(P96*($E96/365))</f>
        <v>0</v>
      </c>
      <c r="U182" s="5">
        <f>(Q95*($E95/365))+(Q96*($E96/365))</f>
        <v>0</v>
      </c>
      <c r="V182" s="9"/>
      <c r="W182" s="5">
        <f>R95*(E95/365) + R96*(E96/365)</f>
        <v>41.1</v>
      </c>
      <c r="X182" s="4"/>
      <c r="Z182" s="4"/>
    </row>
    <row r="183" spans="1:26" x14ac:dyDescent="0.15">
      <c r="A183" s="1">
        <v>2004</v>
      </c>
      <c r="B183" s="5">
        <f>(K97*($E97/366))+(K98*($E98/366))</f>
        <v>100</v>
      </c>
      <c r="C183" s="5">
        <f>(L97*($E97/366))+(L98*($E98/366))</f>
        <v>0</v>
      </c>
      <c r="D183" s="5">
        <f>(M97*($E97/366))+(M98*($E98/366))</f>
        <v>0</v>
      </c>
      <c r="E183" s="18">
        <f t="shared" si="58"/>
        <v>100</v>
      </c>
      <c r="G183" s="1">
        <v>2004</v>
      </c>
      <c r="H183" s="380">
        <f>(O97/$R97*100*($E97/366))+(O98/$R98*100*($E98/366))</f>
        <v>100</v>
      </c>
      <c r="I183" s="380"/>
      <c r="J183" s="380">
        <f>(P97/$R97*100*($E97/366))+(P98/$R98*100*($E98/366))</f>
        <v>0</v>
      </c>
      <c r="K183" s="380"/>
      <c r="L183" s="380">
        <f>(Q97/$R97*100*($E97/366))+(Q98/$R98*100*($E98/366))</f>
        <v>0</v>
      </c>
      <c r="M183" s="380"/>
      <c r="N183" s="379">
        <f t="shared" si="59"/>
        <v>100</v>
      </c>
      <c r="O183" s="379"/>
      <c r="R183" s="1">
        <v>2004</v>
      </c>
      <c r="S183" s="5">
        <f>(O97*($E97/366))+(O98*($E98/366))</f>
        <v>41.1</v>
      </c>
      <c r="T183" s="5">
        <f>(P97*($E97/366))+(P98*($E98/366))</f>
        <v>0</v>
      </c>
      <c r="U183" s="5">
        <f>(Q97*($E97/366))+(Q98*($E98/366))</f>
        <v>0</v>
      </c>
      <c r="V183" s="9"/>
      <c r="W183" s="5">
        <f>R97*(E97/366) + R98*(E98/366)</f>
        <v>41.1</v>
      </c>
      <c r="X183" s="4"/>
      <c r="Z183" s="4"/>
    </row>
    <row r="184" spans="1:26" x14ac:dyDescent="0.15">
      <c r="A184" s="1">
        <v>2005</v>
      </c>
      <c r="B184" s="5">
        <f>(K99*($E99/365))+(K100*($E100/365))</f>
        <v>100</v>
      </c>
      <c r="C184" s="5">
        <f>(L99*($E99/365))+(L100*($E100/365))</f>
        <v>0</v>
      </c>
      <c r="D184" s="5">
        <f>(M99*($E99/365))+(M100*($E100/365))</f>
        <v>0</v>
      </c>
      <c r="E184" s="18">
        <f t="shared" si="58"/>
        <v>100</v>
      </c>
      <c r="G184" s="1">
        <v>2005</v>
      </c>
      <c r="H184" s="380">
        <f>(O99/$R99*100*($E99/365))+(O100/$R100*100*($E100/365))</f>
        <v>100</v>
      </c>
      <c r="I184" s="380"/>
      <c r="J184" s="380">
        <f>(P99/$R99*100*($E99/365))+(P100/$R100*100*($E100/365))</f>
        <v>0</v>
      </c>
      <c r="K184" s="380"/>
      <c r="L184" s="380">
        <f>(Q99/$R99*100*($E99/365))+(Q100/$R100*100*($E100/365))</f>
        <v>0</v>
      </c>
      <c r="M184" s="380"/>
      <c r="N184" s="379">
        <f t="shared" si="59"/>
        <v>100</v>
      </c>
      <c r="O184" s="379"/>
      <c r="R184" s="1">
        <v>2005</v>
      </c>
      <c r="S184" s="5">
        <f>(O99*($E99/365))+(O100*($E100/365))</f>
        <v>40.144657534246576</v>
      </c>
      <c r="T184" s="5">
        <f>(P99*($E99/365))+(P100*($E100/365))</f>
        <v>0</v>
      </c>
      <c r="U184" s="5">
        <f>(Q99*($E99/365))+(Q100*($E100/365))</f>
        <v>0</v>
      </c>
      <c r="V184" s="9"/>
      <c r="W184" s="5">
        <f>R99*(E99/365) + R100*(E100/365)</f>
        <v>40.144657534246576</v>
      </c>
      <c r="X184" s="4"/>
      <c r="Z184" s="4"/>
    </row>
    <row r="185" spans="1:26" x14ac:dyDescent="0.15">
      <c r="A185" s="1">
        <v>2006</v>
      </c>
      <c r="B185" s="5">
        <f>(K101*($E101/365))+(K102*($E102/365))</f>
        <v>100</v>
      </c>
      <c r="C185" s="5">
        <f>(L101*($E101/365))+(L102*($E102/365))</f>
        <v>0</v>
      </c>
      <c r="D185" s="5">
        <f>(M101*($E101/365))+(M102*($E102/365))</f>
        <v>0</v>
      </c>
      <c r="E185" s="18">
        <f t="shared" si="58"/>
        <v>100</v>
      </c>
      <c r="G185" s="1">
        <v>2006</v>
      </c>
      <c r="H185" s="380">
        <f>(O101/$R101*100*($E101/365))+(O102/$R102*100*($E102/365))</f>
        <v>100</v>
      </c>
      <c r="I185" s="380"/>
      <c r="J185" s="380">
        <f>(P101/$R101*100*($E101/365))+(P102/$R102*100*($E102/365))</f>
        <v>0</v>
      </c>
      <c r="K185" s="380"/>
      <c r="L185" s="380">
        <f>(Q101/$R101*100*($E101/365))+(Q102/$R102*100*($E102/365))</f>
        <v>0</v>
      </c>
      <c r="M185" s="380"/>
      <c r="N185" s="379">
        <f t="shared" si="59"/>
        <v>100</v>
      </c>
      <c r="O185" s="379"/>
      <c r="R185" s="1">
        <v>2006</v>
      </c>
      <c r="S185" s="5">
        <f>(O101*($E101/365))+(O102*($E102/365))</f>
        <v>40</v>
      </c>
      <c r="T185" s="5">
        <f>(P101*($E101/365))+(P102*($E102/365))</f>
        <v>0</v>
      </c>
      <c r="U185" s="5">
        <f>(Q101*($E101/365))+(Q102*($E102/365))</f>
        <v>0</v>
      </c>
      <c r="V185" s="9"/>
      <c r="W185" s="5">
        <f>R101*(E101/365) + R102*(E102/365)</f>
        <v>40</v>
      </c>
      <c r="X185" s="4"/>
      <c r="Z185" s="4"/>
    </row>
    <row r="186" spans="1:26" x14ac:dyDescent="0.15">
      <c r="A186" s="1">
        <v>2007</v>
      </c>
      <c r="B186" s="5">
        <f>(K103*($E103/365))+(K104*($E104/365))</f>
        <v>100</v>
      </c>
      <c r="C186" s="5">
        <f>(L103*($E103/365))+(L104*($E104/365))</f>
        <v>0</v>
      </c>
      <c r="D186" s="5">
        <f>(M103*($E103/365))+(M104*($E104/365))</f>
        <v>0</v>
      </c>
      <c r="E186" s="18">
        <f t="shared" si="58"/>
        <v>100</v>
      </c>
      <c r="G186" s="1">
        <v>2007</v>
      </c>
      <c r="H186" s="380">
        <f>(O103/$R103*100*($E103/365))+(O104/$R104*100*($E104/365))</f>
        <v>100</v>
      </c>
      <c r="I186" s="380"/>
      <c r="J186" s="380">
        <f>(P103/$R103*100*($E103/365))+(P104/$R104*100*($E104/365))</f>
        <v>0</v>
      </c>
      <c r="K186" s="380"/>
      <c r="L186" s="380">
        <f>(Q103/$R103*100*($E103/365))+(Q104/$R104*100*($E104/365))</f>
        <v>0</v>
      </c>
      <c r="M186" s="380"/>
      <c r="N186" s="379">
        <f t="shared" si="59"/>
        <v>100</v>
      </c>
      <c r="O186" s="379"/>
      <c r="R186" s="1">
        <v>2007</v>
      </c>
      <c r="S186" s="5">
        <f>(O103*($E103/365))+(O104*($E104/365))</f>
        <v>39.636712328767125</v>
      </c>
      <c r="T186" s="5">
        <f>(P103*($E103/365))+(P104*($E104/365))</f>
        <v>0</v>
      </c>
      <c r="U186" s="5">
        <f>(Q103*($E103/365))+(Q104*($E104/365))</f>
        <v>0</v>
      </c>
      <c r="V186" s="9"/>
      <c r="W186" s="5">
        <f>R103*(E103/365) + R104*(E104/365)</f>
        <v>39.636712328767125</v>
      </c>
      <c r="X186" s="4"/>
      <c r="Z186" s="4"/>
    </row>
    <row r="187" spans="1:26" x14ac:dyDescent="0.15">
      <c r="A187" s="1">
        <v>2008</v>
      </c>
      <c r="B187" s="5">
        <f>(K105*($E105/366))+(K106*($E106/366))</f>
        <v>100</v>
      </c>
      <c r="C187" s="5">
        <f>(L105*($E105/366))+(L106*($E106/366))</f>
        <v>0</v>
      </c>
      <c r="D187" s="5">
        <f>(M105*($E105/366))+(M106*($E106/366))</f>
        <v>0</v>
      </c>
      <c r="E187" s="18">
        <f t="shared" si="58"/>
        <v>100</v>
      </c>
      <c r="G187" s="1">
        <v>2008</v>
      </c>
      <c r="H187" s="380">
        <f>(O105/$R105*100*($E105/366))+(O106/$R106*100*($E106/366))</f>
        <v>100</v>
      </c>
      <c r="I187" s="380"/>
      <c r="J187" s="380">
        <f>(P105/$R105*100*($E105/366))+(P106/$R106*100*($E106/366))</f>
        <v>0</v>
      </c>
      <c r="K187" s="380"/>
      <c r="L187" s="380">
        <f>(Q105/$R105*100*($E105/366))+(Q106/$R106*100*($E106/366))</f>
        <v>0</v>
      </c>
      <c r="M187" s="380"/>
      <c r="N187" s="379">
        <f t="shared" si="59"/>
        <v>100</v>
      </c>
      <c r="O187" s="379"/>
      <c r="R187" s="1">
        <v>2008</v>
      </c>
      <c r="S187" s="5">
        <f>(O105*($E105/366))+(O106*($E106/366))</f>
        <v>36.6</v>
      </c>
      <c r="T187" s="5">
        <f>(P105*($E105/366))+(P106*($E106/366))</f>
        <v>0</v>
      </c>
      <c r="U187" s="5">
        <f>(Q105*($E105/366))+(Q106*($E106/366))</f>
        <v>0</v>
      </c>
      <c r="V187" s="9"/>
      <c r="W187" s="5">
        <f>R105*(E105/366) + R106*(E106/366)</f>
        <v>36.6</v>
      </c>
      <c r="X187" s="4"/>
      <c r="Z187" s="4"/>
    </row>
    <row r="188" spans="1:26" x14ac:dyDescent="0.15">
      <c r="A188" s="1">
        <v>2009</v>
      </c>
      <c r="B188" s="5">
        <f>(K107*($E107/365))+(K108*($E108/365))</f>
        <v>100</v>
      </c>
      <c r="C188" s="5">
        <f>(L107*($E107/365))+(L108*($E108/365))</f>
        <v>0</v>
      </c>
      <c r="D188" s="5">
        <f>(M107*($E107/365))+(M108*($E108/365))</f>
        <v>0</v>
      </c>
      <c r="E188" s="18">
        <f t="shared" si="58"/>
        <v>100</v>
      </c>
      <c r="G188" s="1">
        <v>2009</v>
      </c>
      <c r="H188" s="380">
        <f>(O107/$R107*100*($E107/365))+(O108/$R108*100*($E108/365))</f>
        <v>100</v>
      </c>
      <c r="I188" s="380"/>
      <c r="J188" s="380">
        <f>(P107/$R107*100*($E107/365))+(P108/$R108*100*($E108/365))</f>
        <v>0</v>
      </c>
      <c r="K188" s="380"/>
      <c r="L188" s="380">
        <f>(Q107/$R107*100*($E107/365))+(Q108/$R108*100*($E108/365))</f>
        <v>0</v>
      </c>
      <c r="M188" s="380"/>
      <c r="N188" s="379">
        <f t="shared" si="59"/>
        <v>100</v>
      </c>
      <c r="O188" s="379"/>
      <c r="R188" s="1">
        <v>2009</v>
      </c>
      <c r="S188" s="5">
        <f>(O107*($E107/365))+(O108*($E108/365))</f>
        <v>36.6</v>
      </c>
      <c r="T188" s="5">
        <f>(P107*($E107/365))+(P108*($E108/365))</f>
        <v>0</v>
      </c>
      <c r="U188" s="5">
        <f>(Q107*($E107/365))+(Q108*($E108/365))</f>
        <v>0</v>
      </c>
      <c r="V188" s="9"/>
      <c r="W188" s="5">
        <f>R107*(E107/365) + R108*(E108/365)</f>
        <v>36.6</v>
      </c>
      <c r="X188" s="4"/>
      <c r="Z188" s="4"/>
    </row>
    <row r="189" spans="1:26" x14ac:dyDescent="0.15">
      <c r="A189" s="1">
        <v>2010</v>
      </c>
      <c r="B189" s="5">
        <f>(K109*($E109/365))+(K110*($E110/365))</f>
        <v>100</v>
      </c>
      <c r="C189" s="5">
        <f>(L109*($E109/365))+(L110*($E110/365))</f>
        <v>0</v>
      </c>
      <c r="D189" s="5">
        <f>(M109*($E109/365))+(M110*($E110/365))</f>
        <v>0</v>
      </c>
      <c r="E189" s="18">
        <f t="shared" si="58"/>
        <v>100</v>
      </c>
      <c r="G189" s="1">
        <v>2010</v>
      </c>
      <c r="H189" s="380">
        <f>(O109/$R109*100*($E109/365))+(O110/$R110*100*($E110/365))</f>
        <v>100</v>
      </c>
      <c r="I189" s="380"/>
      <c r="J189" s="380">
        <f>(P109/$R109*100*($E109/365))+(P110/$R110*100*($E110/365))</f>
        <v>0</v>
      </c>
      <c r="K189" s="380"/>
      <c r="L189" s="380">
        <f>(Q109/$R109*100*($E109/365))+(Q110/$R110*100*($E110/365))</f>
        <v>0</v>
      </c>
      <c r="M189" s="380"/>
      <c r="N189" s="379">
        <f t="shared" si="59"/>
        <v>100</v>
      </c>
      <c r="O189" s="379"/>
      <c r="R189" s="1">
        <v>2010</v>
      </c>
      <c r="S189" s="5">
        <f>(O109*($E109/365))+(O110*($E110/365))</f>
        <v>36.6</v>
      </c>
      <c r="T189" s="5">
        <f>(P109*($E109/365))+(P110*($E110/365))</f>
        <v>0</v>
      </c>
      <c r="U189" s="5">
        <f>(Q109*($E109/365))+(Q110*($E110/365))</f>
        <v>0</v>
      </c>
      <c r="V189" s="9"/>
      <c r="W189" s="5">
        <f>R109*(E109/365) + R110*(E110/365)</f>
        <v>36.6</v>
      </c>
      <c r="X189" s="4"/>
      <c r="Z189" s="4"/>
    </row>
    <row r="190" spans="1:26" x14ac:dyDescent="0.15">
      <c r="A190" s="1">
        <v>2011</v>
      </c>
      <c r="B190" s="5">
        <f>(K111*($E111/365))+(K112*($E112/365))</f>
        <v>81.774865991661713</v>
      </c>
      <c r="C190" s="5">
        <f>(L111*($E111/365))+(L112*($E112/365))</f>
        <v>0</v>
      </c>
      <c r="D190" s="5">
        <f>(M111*($E111/365))+(M112*($E112/365))</f>
        <v>18.225134008338294</v>
      </c>
      <c r="E190" s="18">
        <f t="shared" si="58"/>
        <v>100</v>
      </c>
      <c r="G190" s="1">
        <v>2011</v>
      </c>
      <c r="H190" s="380">
        <f>(O111/$R111*100*($E111/365))+(O112/$R112*100*($E112/365))</f>
        <v>80.790713639342215</v>
      </c>
      <c r="I190" s="380"/>
      <c r="J190" s="380">
        <f>(P111/$R111*100*($E111/365))+(P112/$R112*100*($E112/365))</f>
        <v>0</v>
      </c>
      <c r="K190" s="380"/>
      <c r="L190" s="380">
        <f>(Q111/$R111*100*($E111/365))+(Q112/$R112*100*($E112/365))</f>
        <v>19.209286360657785</v>
      </c>
      <c r="M190" s="380"/>
      <c r="N190" s="379">
        <f t="shared" si="59"/>
        <v>100</v>
      </c>
      <c r="O190" s="379"/>
      <c r="R190" s="1">
        <v>2011</v>
      </c>
      <c r="S190" s="5">
        <f>(O111*($E111/365))+(O112*($E112/365))</f>
        <v>29.967123287671235</v>
      </c>
      <c r="T190" s="5">
        <f>(P111*($E111/365))+(P112*($E112/365))</f>
        <v>0</v>
      </c>
      <c r="U190" s="5">
        <f>(Q111*($E111/365))+(Q112*($E112/365))</f>
        <v>8.4328767123287669</v>
      </c>
      <c r="V190" s="9"/>
      <c r="W190" s="5">
        <f>R111*(E111/365) + R112*(E112/365)</f>
        <v>38.400000000000006</v>
      </c>
      <c r="X190" s="4"/>
      <c r="Z190" s="4"/>
    </row>
    <row r="191" spans="1:26" x14ac:dyDescent="0.15">
      <c r="A191" s="1">
        <v>2012</v>
      </c>
      <c r="B191" s="5">
        <f>(K113*($E113/366))+(K114*($E114/366))</f>
        <v>26.086956521739129</v>
      </c>
      <c r="C191" s="5">
        <f>(L113*($E113/366))+(L114*($E114/366))</f>
        <v>0</v>
      </c>
      <c r="D191" s="5">
        <f>(M113*($E113/366))+(M114*($E114/366))</f>
        <v>73.91304347826086</v>
      </c>
      <c r="E191" s="18">
        <f t="shared" si="58"/>
        <v>99.999999999999986</v>
      </c>
      <c r="G191" s="1">
        <v>2012</v>
      </c>
      <c r="H191" s="380">
        <f>(O113/$R113*100*($E113/366))+(O114/$R114*100*($E114/366))</f>
        <v>22.095671981776761</v>
      </c>
      <c r="I191" s="380"/>
      <c r="J191" s="380">
        <f>(P113/$R113*100*($E113/366))+(P114/$R114*100*($E114/366))</f>
        <v>0</v>
      </c>
      <c r="K191" s="380"/>
      <c r="L191" s="380">
        <f>(Q113/$R113*100*($E113/366))+(Q114/$R114*100*($E114/366))</f>
        <v>77.904328018223239</v>
      </c>
      <c r="M191" s="380"/>
      <c r="N191" s="379">
        <f t="shared" si="59"/>
        <v>100</v>
      </c>
      <c r="O191" s="379"/>
      <c r="R191" s="1">
        <v>2012</v>
      </c>
      <c r="S191" s="5">
        <f>(O113*($E113/366))+(O114*($E114/366))</f>
        <v>9.6999999999999993</v>
      </c>
      <c r="T191" s="5">
        <f>(P113*($E113/366))+(P114*($E114/366))</f>
        <v>0</v>
      </c>
      <c r="U191" s="5">
        <f>(Q113*($E113/366))+(Q114*($E114/366))</f>
        <v>34.200000000000003</v>
      </c>
      <c r="V191" s="9"/>
      <c r="W191" s="5">
        <f>R113*(E113/366) + R114*(E114/366)</f>
        <v>43.900000000000006</v>
      </c>
      <c r="X191" s="4"/>
      <c r="Z191" s="4"/>
    </row>
    <row r="192" spans="1:26" x14ac:dyDescent="0.15">
      <c r="A192" s="1">
        <v>2013</v>
      </c>
      <c r="B192" s="5">
        <f>(K115*($E115/365))+(K116*($E116/365))</f>
        <v>26.558016135145376</v>
      </c>
      <c r="C192" s="5">
        <f>(L115*($E115/365))+(L116*($E116/365))</f>
        <v>0</v>
      </c>
      <c r="D192" s="5">
        <f>(M115*($E115/365))+(M116*($E116/365))</f>
        <v>73.44198386485462</v>
      </c>
      <c r="E192" s="18">
        <f>SUM(B192:D192)</f>
        <v>100</v>
      </c>
      <c r="G192" s="1">
        <v>2013</v>
      </c>
      <c r="H192" s="380">
        <f>(O115/$R115*100*($E115/365))+(O116/$R116*100*($E116/365))</f>
        <v>22.095671981776761</v>
      </c>
      <c r="I192" s="380"/>
      <c r="J192" s="380">
        <f>(P115/$R115*100*($E115/365))+(P116/$R116*100*($E116/365))</f>
        <v>0</v>
      </c>
      <c r="K192" s="380"/>
      <c r="L192" s="380">
        <f>(Q115/$R115*100*($E115/365))+(Q116/$R116*100*($E116/365))</f>
        <v>77.904328018223239</v>
      </c>
      <c r="M192" s="380"/>
      <c r="N192" s="379">
        <f>SUM(H192:M192)</f>
        <v>100</v>
      </c>
      <c r="O192" s="379"/>
      <c r="R192" s="1">
        <v>2013</v>
      </c>
      <c r="S192" s="5">
        <f>(O115*($E115/365))+(O116*($E116/365))</f>
        <v>9.6999999999999993</v>
      </c>
      <c r="T192" s="5">
        <f>(P115*($E115/365))+(P116*($E116/365))</f>
        <v>0</v>
      </c>
      <c r="U192" s="5">
        <f>(Q115*($E115/365))+(Q116*($E116/365))</f>
        <v>34.200000000000003</v>
      </c>
      <c r="W192" s="5">
        <f>R115*(E115/365) + R116*(E116/365)</f>
        <v>43.900000000000006</v>
      </c>
    </row>
    <row r="193" spans="1:23" x14ac:dyDescent="0.15">
      <c r="A193" s="1">
        <v>2014</v>
      </c>
      <c r="B193" s="5">
        <f>(K117*($E117/365))+(K118*($E118/365))+(K119*($E119/365))</f>
        <v>32.643835616438352</v>
      </c>
      <c r="C193" s="5">
        <f>(L117*($E117/365))+(L118*($E118/365))+(L119*($E119/365))</f>
        <v>0</v>
      </c>
      <c r="D193" s="5">
        <f>(M117*($E117/365))+(M118*($E118/365))+(M119*($E119/365))</f>
        <v>67.356164383561634</v>
      </c>
      <c r="E193" s="18">
        <f>SUM(B193:D193)</f>
        <v>99.999999999999986</v>
      </c>
      <c r="G193" s="1">
        <v>2014</v>
      </c>
      <c r="H193" s="380">
        <f>(O117/$R117*100*($E117/365))+(O118/$R118*100*($E118/365))+(O119/$R119*100*($E119/365))</f>
        <v>24.990080541426998</v>
      </c>
      <c r="I193" s="380"/>
      <c r="J193" s="380">
        <f>(P117/$R117*100*($E117/365))+(P118/$R118*100*($E118/365))+(P119/$R119*100*($E119/365))</f>
        <v>0</v>
      </c>
      <c r="K193" s="380"/>
      <c r="L193" s="380">
        <f>(Q117/$R117*100*($E117/365))+(Q118/$R118*100*($E118/365))+(Q119/$R119*100*($E119/365))</f>
        <v>75.009919458573009</v>
      </c>
      <c r="M193" s="380"/>
      <c r="N193" s="379">
        <f>SUM(H193:M193)</f>
        <v>100</v>
      </c>
      <c r="O193" s="379"/>
      <c r="R193" s="1">
        <v>2014</v>
      </c>
      <c r="S193" s="5">
        <f>(O117*($E117/365))+(O118*($E118/365))+(O119*($E119/365))</f>
        <v>9.1542465753424658</v>
      </c>
      <c r="T193" s="5">
        <f>(P117*($E117/365))+(P118*($E118/365))+(P119*($E119/365))</f>
        <v>0</v>
      </c>
      <c r="U193" s="5">
        <f>(Q117*($E117/365))+(Q118*($E118/365))+(Q119*($E119/365))</f>
        <v>27.56</v>
      </c>
      <c r="W193" s="5">
        <f>R117*(E117/365) + R118*(E118/365) + R119*(E119/365)</f>
        <v>36.714246575342464</v>
      </c>
    </row>
    <row r="194" spans="1:23" x14ac:dyDescent="0.15">
      <c r="A194" s="1">
        <v>2015</v>
      </c>
      <c r="B194" s="5">
        <f>(K120*($E120/365))+(K121*($E121/365))</f>
        <v>65.863013698630141</v>
      </c>
      <c r="C194" s="5">
        <f>(L120*($E120/365))+(L121*($E121/365))</f>
        <v>0</v>
      </c>
      <c r="D194" s="5">
        <f>(M120*($E120/365))+(M121*($E121/365))</f>
        <v>34.136986301369859</v>
      </c>
      <c r="E194" s="18">
        <f>SUM(B194:D194)</f>
        <v>100</v>
      </c>
      <c r="G194" s="1">
        <v>2015</v>
      </c>
      <c r="H194" s="380">
        <f>(O120/$R120*100*($E120/365))+(O121/$R121*100*($E121/365))</f>
        <v>63.560121765601217</v>
      </c>
      <c r="I194" s="380"/>
      <c r="J194" s="380">
        <f>(P120/$R120*100*($E120/365))+(P121/$R121*100*($E121/365))</f>
        <v>0</v>
      </c>
      <c r="K194" s="380"/>
      <c r="L194" s="380">
        <f>(Q120/$R120*100*($E120/365))+(Q121/$R121*100*($E121/365))</f>
        <v>36.439878234398783</v>
      </c>
      <c r="M194" s="380"/>
      <c r="N194" s="379">
        <f>SUM(H194:M194)</f>
        <v>100</v>
      </c>
      <c r="O194" s="379"/>
      <c r="R194" s="1">
        <v>2015</v>
      </c>
      <c r="S194" s="5">
        <f>(O120*($E120/365))+(O121*($E121/365))</f>
        <v>14.376986301369863</v>
      </c>
      <c r="T194" s="5">
        <f>(P120*($E120/365))+(P121*($E121/365))</f>
        <v>0</v>
      </c>
      <c r="U194" s="5">
        <f>(Q120*($E120/365))+(Q121*($E121/365))</f>
        <v>13.118356164383561</v>
      </c>
      <c r="W194" s="5">
        <f xml:space="preserve"> R120*(E120/365) + R121*(E121/365)</f>
        <v>27.495342465753424</v>
      </c>
    </row>
    <row r="195" spans="1:23" x14ac:dyDescent="0.15">
      <c r="A195" s="1">
        <v>2016</v>
      </c>
      <c r="B195" s="5">
        <f>(K122*($E122/366))+(K123*($E123/366))</f>
        <v>100</v>
      </c>
      <c r="C195" s="5">
        <f t="shared" ref="C195:D195" si="60">(L122*($E122/366))+(L123*($E123/366))</f>
        <v>0</v>
      </c>
      <c r="D195" s="5">
        <f t="shared" si="60"/>
        <v>0</v>
      </c>
      <c r="E195" s="18">
        <f>SUM(B195:D195)</f>
        <v>100</v>
      </c>
      <c r="G195" s="1">
        <v>2016</v>
      </c>
      <c r="H195" s="380">
        <f>(O122/$R122*100*($E122/366))+(O123/$R123*100*($E123/366))</f>
        <v>100</v>
      </c>
      <c r="I195" s="380"/>
      <c r="J195" s="380">
        <f>(P122/$R122*100*($E122/366))+(P123/$R123*100*($E123/366))</f>
        <v>0</v>
      </c>
      <c r="K195" s="380"/>
      <c r="L195" s="380">
        <f>(Q122/$R122*100*($E122/366))+(Q123/$R123*100*($E123/366))</f>
        <v>0</v>
      </c>
      <c r="M195" s="380"/>
      <c r="N195" s="379">
        <f>SUM(H195:M195)</f>
        <v>100</v>
      </c>
      <c r="O195" s="379"/>
      <c r="R195" s="1">
        <v>2016</v>
      </c>
      <c r="S195" s="5">
        <f>(O122*($E122/366))+(O123*($E123/366))</f>
        <v>20.412568306010929</v>
      </c>
      <c r="T195" s="5">
        <f t="shared" ref="T195:U195" si="61">(P122*($E122/366))+(P123*($E123/366))</f>
        <v>0</v>
      </c>
      <c r="U195" s="5">
        <f t="shared" si="61"/>
        <v>0</v>
      </c>
      <c r="W195" s="5">
        <f xml:space="preserve"> R122*(E122/366) + R123*(E123/366)</f>
        <v>20.412568306010929</v>
      </c>
    </row>
    <row r="196" spans="1:23" x14ac:dyDescent="0.15">
      <c r="A196" s="1">
        <v>2017</v>
      </c>
      <c r="B196" s="5">
        <f>(K124*($E124/365))+(K125*($E125/365))</f>
        <v>100</v>
      </c>
      <c r="C196" s="5">
        <f t="shared" ref="C196:D196" si="62">(L124*($E124/365))+(L125*($E125/365))</f>
        <v>0</v>
      </c>
      <c r="D196" s="5">
        <f t="shared" si="62"/>
        <v>0</v>
      </c>
      <c r="E196" s="18">
        <f>SUM(B196:D196)</f>
        <v>100</v>
      </c>
      <c r="G196" s="1">
        <v>2017</v>
      </c>
      <c r="H196" s="380">
        <f>(O124/$R124*100*($E124/365))+(O125/$R125*100*($E125/365))</f>
        <v>100</v>
      </c>
      <c r="I196" s="380"/>
      <c r="J196" s="380">
        <f>(P124/$R124*100*($E124/365))+(P125/$R125*100*($E125/365))</f>
        <v>0</v>
      </c>
      <c r="K196" s="380"/>
      <c r="L196" s="380">
        <f>(Q124/$R124*100*($E124/365))+(Q125/$R125*100*($E125/365))</f>
        <v>0</v>
      </c>
      <c r="M196" s="380"/>
      <c r="N196" s="379">
        <f>SUM(H196:M196)</f>
        <v>100</v>
      </c>
      <c r="O196" s="379"/>
      <c r="R196" s="1">
        <v>2017</v>
      </c>
      <c r="S196" s="5">
        <f>(O124*($E124/365))+(O125*($E125/365))</f>
        <v>30.3</v>
      </c>
      <c r="T196" s="5">
        <f t="shared" ref="T196:U196" si="63">(P124*($E124/365))+(P125*($E125/365))</f>
        <v>0</v>
      </c>
      <c r="U196" s="5">
        <f t="shared" si="63"/>
        <v>0</v>
      </c>
      <c r="W196" s="5">
        <f xml:space="preserve"> R124*(E124/365) + R125*(E125/365)</f>
        <v>30.3</v>
      </c>
    </row>
    <row r="197" spans="1:23" x14ac:dyDescent="0.15">
      <c r="A197" s="1">
        <v>2018</v>
      </c>
      <c r="B197" s="5">
        <f>(K126*($E126/365))+(K127*($E127/365))</f>
        <v>100</v>
      </c>
      <c r="C197" s="5">
        <f>(L126*($E126/365))+(L127*($E127/365))</f>
        <v>0</v>
      </c>
      <c r="D197" s="5">
        <f>(M126*($E126/365))+(M127*($E127/365))</f>
        <v>0</v>
      </c>
      <c r="E197" s="18">
        <f t="shared" ref="E197" si="64">SUM(B197:D197)</f>
        <v>100</v>
      </c>
      <c r="G197" s="1">
        <v>2018</v>
      </c>
      <c r="H197" s="380">
        <f>(O126/$R126*100*($E126/365))+(O127/$R127*100*($E127/365))</f>
        <v>100</v>
      </c>
      <c r="I197" s="380"/>
      <c r="J197" s="380">
        <f>(P126/$R126*100*($E126/365))+(P127/$R127*100*($E127/365))</f>
        <v>0</v>
      </c>
      <c r="K197" s="380"/>
      <c r="L197" s="380">
        <f>(Q126/$R126*100*($E126/365))+(Q127/$R127*100*($E127/365))</f>
        <v>0</v>
      </c>
      <c r="M197" s="380"/>
      <c r="N197" s="379">
        <f t="shared" ref="N197" si="65">SUM(H197:M197)</f>
        <v>100</v>
      </c>
      <c r="O197" s="379"/>
      <c r="R197" s="1">
        <v>2018</v>
      </c>
      <c r="S197" s="5">
        <f>(O126*($E126/365))+(O127*($E127/365))</f>
        <v>30.3</v>
      </c>
      <c r="T197" s="5">
        <f>(P126*($E126/365))+(P127*($E127/365))</f>
        <v>0</v>
      </c>
      <c r="U197" s="5">
        <f>(Q126*($E126/365))+(Q127*($E127/365))</f>
        <v>0</v>
      </c>
      <c r="W197" s="5">
        <f xml:space="preserve"> R126*(E126/365) + R127*(E127/365)</f>
        <v>30.3</v>
      </c>
    </row>
    <row r="198" spans="1:23" x14ac:dyDescent="0.15">
      <c r="A198" s="1">
        <v>2019</v>
      </c>
      <c r="B198" s="5">
        <f>(K128*($E128/365))+(K129*($E129/365))</f>
        <v>48.493150684931507</v>
      </c>
      <c r="C198" s="5">
        <f>(L128*($E128/365))+(L129*($E129/365))</f>
        <v>0</v>
      </c>
      <c r="D198" s="5">
        <f>(M128*($E128/365))+(M129*($E129/365))</f>
        <v>51.506849315068493</v>
      </c>
      <c r="E198" s="18">
        <f t="shared" ref="E198:E199" si="66">SUM(B198:D198)</f>
        <v>100</v>
      </c>
      <c r="G198" s="1">
        <v>2019</v>
      </c>
      <c r="H198" s="380">
        <f>(O128/$R128*100*($E128/365))+(O129/$R129*100*($E129/365))</f>
        <v>48.493150684931507</v>
      </c>
      <c r="I198" s="380"/>
      <c r="J198" s="380">
        <f>(P128/$R128*100*($E128/365))+(P129/$R129*100*($E129/365))</f>
        <v>0</v>
      </c>
      <c r="K198" s="380"/>
      <c r="L198" s="380">
        <f>(Q128/$R128*100*($E128/365))+(Q129/$R129*100*($E129/365))</f>
        <v>51.506849315068493</v>
      </c>
      <c r="M198" s="380"/>
      <c r="N198" s="379">
        <f t="shared" ref="N198" si="67">SUM(H198:M198)</f>
        <v>100</v>
      </c>
      <c r="O198" s="379"/>
      <c r="R198" s="1">
        <v>2019</v>
      </c>
      <c r="S198" s="5">
        <f>(O128*($E128/365))+(O129*($E129/365))</f>
        <v>14.693424657534248</v>
      </c>
      <c r="T198" s="5">
        <f>(P128*($E128/365))+(P129*($E129/365))</f>
        <v>0</v>
      </c>
      <c r="U198" s="5">
        <f>(Q128*($E128/365))+(Q129*($E129/365))</f>
        <v>14.112876712328767</v>
      </c>
      <c r="W198" s="5">
        <f xml:space="preserve"> R128*(E128/365) + R129*(E129/365)</f>
        <v>28.806301369863014</v>
      </c>
    </row>
    <row r="199" spans="1:23" x14ac:dyDescent="0.15">
      <c r="A199" s="1">
        <v>2020</v>
      </c>
      <c r="B199" s="5">
        <f>(K130*($E130/366))+(K131*($E131/366))</f>
        <v>0</v>
      </c>
      <c r="C199" s="5">
        <f>(L130*($E130/366))+(L131*($E131/366))</f>
        <v>0</v>
      </c>
      <c r="D199" s="5">
        <f>(M130*($E130/366))+(M131*($E131/366))</f>
        <v>100</v>
      </c>
      <c r="E199" s="18">
        <f t="shared" si="66"/>
        <v>100</v>
      </c>
      <c r="G199" s="1">
        <v>2020</v>
      </c>
      <c r="H199" s="380">
        <f>(O130/$R130*100*($E130/366))+(O131/$R131*100*($E131/366))</f>
        <v>0</v>
      </c>
      <c r="I199" s="380"/>
      <c r="J199" s="380">
        <f>(P130/$R130*100*($E130/366))+(P131/$R131*100*($E131/366))</f>
        <v>0</v>
      </c>
      <c r="K199" s="380"/>
      <c r="L199" s="380">
        <f>(Q130/$R130*100*($E130/366))+(Q131/$R131*100*($E131/366))</f>
        <v>100</v>
      </c>
      <c r="M199" s="380"/>
      <c r="N199" s="379">
        <f t="shared" ref="N199" si="68">SUM(H199:M199)</f>
        <v>100</v>
      </c>
      <c r="O199" s="379"/>
      <c r="R199" s="1">
        <v>2020</v>
      </c>
      <c r="S199" s="5">
        <f>(O130*($E130/366))+(O131*($E131/366))</f>
        <v>0</v>
      </c>
      <c r="T199" s="5">
        <f>(P130*($E130/366))+(P131*($E131/366))</f>
        <v>0</v>
      </c>
      <c r="U199" s="5">
        <f>(Q130*($E130/366))+(Q131*($E131/366))</f>
        <v>27.4</v>
      </c>
      <c r="W199" s="5">
        <f xml:space="preserve"> R130*(E130/365) + R131*(E131/365)</f>
        <v>27.475068493150687</v>
      </c>
    </row>
  </sheetData>
  <mergeCells count="400">
    <mergeCell ref="N192:O192"/>
    <mergeCell ref="N138:O138"/>
    <mergeCell ref="C126:D126"/>
    <mergeCell ref="C127:D127"/>
    <mergeCell ref="H197:I197"/>
    <mergeCell ref="J197:K197"/>
    <mergeCell ref="L197:M197"/>
    <mergeCell ref="N197:O197"/>
    <mergeCell ref="H196:I196"/>
    <mergeCell ref="J196:K196"/>
    <mergeCell ref="L196:M196"/>
    <mergeCell ref="N196:O196"/>
    <mergeCell ref="N140:O140"/>
    <mergeCell ref="H170:I170"/>
    <mergeCell ref="H171:I171"/>
    <mergeCell ref="H160:I160"/>
    <mergeCell ref="H161:I161"/>
    <mergeCell ref="H162:I162"/>
    <mergeCell ref="H163:I163"/>
    <mergeCell ref="H164:I164"/>
    <mergeCell ref="H165:I165"/>
    <mergeCell ref="H180:I180"/>
    <mergeCell ref="L156:M156"/>
    <mergeCell ref="J146:K146"/>
    <mergeCell ref="C124:D124"/>
    <mergeCell ref="C125:D125"/>
    <mergeCell ref="H195:I195"/>
    <mergeCell ref="J195:K195"/>
    <mergeCell ref="L195:M195"/>
    <mergeCell ref="J138:K138"/>
    <mergeCell ref="L138:M138"/>
    <mergeCell ref="J140:K140"/>
    <mergeCell ref="L140:M140"/>
    <mergeCell ref="J155:K155"/>
    <mergeCell ref="J156:K156"/>
    <mergeCell ref="J157:K157"/>
    <mergeCell ref="J158:K158"/>
    <mergeCell ref="H174:I174"/>
    <mergeCell ref="H175:I175"/>
    <mergeCell ref="H176:I176"/>
    <mergeCell ref="H177:I177"/>
    <mergeCell ref="J184:K184"/>
    <mergeCell ref="J178:K178"/>
    <mergeCell ref="H184:I184"/>
    <mergeCell ref="H183:I183"/>
    <mergeCell ref="H146:I146"/>
    <mergeCell ref="J166:K166"/>
    <mergeCell ref="J183:K183"/>
    <mergeCell ref="N195:O195"/>
    <mergeCell ref="H193:I193"/>
    <mergeCell ref="J193:K193"/>
    <mergeCell ref="L193:M193"/>
    <mergeCell ref="N193:O193"/>
    <mergeCell ref="H159:I159"/>
    <mergeCell ref="H166:I166"/>
    <mergeCell ref="H167:I167"/>
    <mergeCell ref="H168:I168"/>
    <mergeCell ref="H172:I172"/>
    <mergeCell ref="H169:I169"/>
    <mergeCell ref="J192:K192"/>
    <mergeCell ref="L192:M192"/>
    <mergeCell ref="J159:K159"/>
    <mergeCell ref="H189:I189"/>
    <mergeCell ref="H178:I178"/>
    <mergeCell ref="H179:I179"/>
    <mergeCell ref="J160:K160"/>
    <mergeCell ref="J161:K161"/>
    <mergeCell ref="J162:K162"/>
    <mergeCell ref="J163:K163"/>
    <mergeCell ref="J164:K164"/>
    <mergeCell ref="J165:K165"/>
    <mergeCell ref="H173:I173"/>
    <mergeCell ref="C122:D122"/>
    <mergeCell ref="C118:D118"/>
    <mergeCell ref="H147:I147"/>
    <mergeCell ref="H156:I156"/>
    <mergeCell ref="H145:I145"/>
    <mergeCell ref="H140:I140"/>
    <mergeCell ref="L139:M139"/>
    <mergeCell ref="L141:M141"/>
    <mergeCell ref="L142:M142"/>
    <mergeCell ref="L143:M143"/>
    <mergeCell ref="L144:M144"/>
    <mergeCell ref="L145:M145"/>
    <mergeCell ref="J139:K139"/>
    <mergeCell ref="J141:K141"/>
    <mergeCell ref="J142:K142"/>
    <mergeCell ref="J143:K143"/>
    <mergeCell ref="J144:K144"/>
    <mergeCell ref="J145:K145"/>
    <mergeCell ref="H141:I141"/>
    <mergeCell ref="H142:I142"/>
    <mergeCell ref="H143:I143"/>
    <mergeCell ref="H144:I144"/>
    <mergeCell ref="L154:M154"/>
    <mergeCell ref="L155:M155"/>
    <mergeCell ref="C91:D91"/>
    <mergeCell ref="C92:D92"/>
    <mergeCell ref="C123:D123"/>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20:D120"/>
    <mergeCell ref="C121:D121"/>
    <mergeCell ref="C76:D76"/>
    <mergeCell ref="C73:D73"/>
    <mergeCell ref="C74:D74"/>
    <mergeCell ref="C77:D77"/>
    <mergeCell ref="C78:D78"/>
    <mergeCell ref="C81:D81"/>
    <mergeCell ref="C119:D119"/>
    <mergeCell ref="C82:D82"/>
    <mergeCell ref="C79:D79"/>
    <mergeCell ref="C80:D80"/>
    <mergeCell ref="C83:D83"/>
    <mergeCell ref="C84:D84"/>
    <mergeCell ref="C87:D87"/>
    <mergeCell ref="C88:D88"/>
    <mergeCell ref="C85:D85"/>
    <mergeCell ref="C86:D86"/>
    <mergeCell ref="C110:D110"/>
    <mergeCell ref="C117:D117"/>
    <mergeCell ref="C115:D115"/>
    <mergeCell ref="C116:D116"/>
    <mergeCell ref="C89:D89"/>
    <mergeCell ref="C90:D90"/>
    <mergeCell ref="C93:D93"/>
    <mergeCell ref="C94:D94"/>
    <mergeCell ref="C65:D65"/>
    <mergeCell ref="C66:D66"/>
    <mergeCell ref="C69:D69"/>
    <mergeCell ref="C70:D70"/>
    <mergeCell ref="C67:D67"/>
    <mergeCell ref="C68:D68"/>
    <mergeCell ref="C71:D71"/>
    <mergeCell ref="C72:D72"/>
    <mergeCell ref="C75:D75"/>
    <mergeCell ref="C58:D58"/>
    <mergeCell ref="C55:D55"/>
    <mergeCell ref="C56:D56"/>
    <mergeCell ref="C59:D59"/>
    <mergeCell ref="C60:D60"/>
    <mergeCell ref="C63:D63"/>
    <mergeCell ref="C64:D64"/>
    <mergeCell ref="C61:D61"/>
    <mergeCell ref="C62:D62"/>
    <mergeCell ref="C47:D47"/>
    <mergeCell ref="C48:D48"/>
    <mergeCell ref="C51:D51"/>
    <mergeCell ref="C52:D52"/>
    <mergeCell ref="C49:D49"/>
    <mergeCell ref="C50:D50"/>
    <mergeCell ref="C53:D53"/>
    <mergeCell ref="C54:D54"/>
    <mergeCell ref="C57:D57"/>
    <mergeCell ref="C39:D39"/>
    <mergeCell ref="C40:D40"/>
    <mergeCell ref="C37:D37"/>
    <mergeCell ref="C38:D38"/>
    <mergeCell ref="C41:D41"/>
    <mergeCell ref="C42:D42"/>
    <mergeCell ref="C45:D45"/>
    <mergeCell ref="C46:D46"/>
    <mergeCell ref="C43:D43"/>
    <mergeCell ref="C44:D4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35:D35"/>
    <mergeCell ref="C36:D36"/>
    <mergeCell ref="A4:A5"/>
    <mergeCell ref="B4:B5"/>
    <mergeCell ref="C4:D5"/>
    <mergeCell ref="E4:E5"/>
    <mergeCell ref="F4:F5"/>
    <mergeCell ref="G4:J4"/>
    <mergeCell ref="Z4:AC4"/>
    <mergeCell ref="C28:D28"/>
    <mergeCell ref="C25:D25"/>
    <mergeCell ref="C26:D26"/>
    <mergeCell ref="C29:D29"/>
    <mergeCell ref="C30:D30"/>
    <mergeCell ref="C33:D33"/>
    <mergeCell ref="C34:D34"/>
    <mergeCell ref="C31:D31"/>
    <mergeCell ref="C32:D32"/>
    <mergeCell ref="G3:M3"/>
    <mergeCell ref="O3:Q3"/>
    <mergeCell ref="C9:D9"/>
    <mergeCell ref="C10:D10"/>
    <mergeCell ref="C21:D21"/>
    <mergeCell ref="C22:D22"/>
    <mergeCell ref="C23:D23"/>
    <mergeCell ref="C24:D24"/>
    <mergeCell ref="C27:D27"/>
    <mergeCell ref="R135:W135"/>
    <mergeCell ref="H137:I137"/>
    <mergeCell ref="J137:K137"/>
    <mergeCell ref="L137:M137"/>
    <mergeCell ref="N137:O137"/>
    <mergeCell ref="H139:I139"/>
    <mergeCell ref="H138:I138"/>
    <mergeCell ref="H154:I154"/>
    <mergeCell ref="H155:I155"/>
    <mergeCell ref="H148:I148"/>
    <mergeCell ref="H149:I149"/>
    <mergeCell ref="H150:I150"/>
    <mergeCell ref="H151:I151"/>
    <mergeCell ref="H152:I152"/>
    <mergeCell ref="H153:I153"/>
    <mergeCell ref="L148:M148"/>
    <mergeCell ref="L149:M149"/>
    <mergeCell ref="L150:M150"/>
    <mergeCell ref="N150:O150"/>
    <mergeCell ref="L146:M146"/>
    <mergeCell ref="L147:M147"/>
    <mergeCell ref="N139:O139"/>
    <mergeCell ref="N148:O148"/>
    <mergeCell ref="N149:O149"/>
    <mergeCell ref="L182:M182"/>
    <mergeCell ref="J169:K169"/>
    <mergeCell ref="J170:K170"/>
    <mergeCell ref="J171:K171"/>
    <mergeCell ref="J175:K175"/>
    <mergeCell ref="J176:K176"/>
    <mergeCell ref="J177:K177"/>
    <mergeCell ref="L172:M172"/>
    <mergeCell ref="L173:M173"/>
    <mergeCell ref="L174:M174"/>
    <mergeCell ref="J179:K179"/>
    <mergeCell ref="J172:K172"/>
    <mergeCell ref="J173:K173"/>
    <mergeCell ref="L169:M169"/>
    <mergeCell ref="L170:M170"/>
    <mergeCell ref="H194:I194"/>
    <mergeCell ref="J194:K194"/>
    <mergeCell ref="L194:M194"/>
    <mergeCell ref="N194:O194"/>
    <mergeCell ref="L190:M190"/>
    <mergeCell ref="L191:M191"/>
    <mergeCell ref="L185:M185"/>
    <mergeCell ref="L186:M186"/>
    <mergeCell ref="L187:M187"/>
    <mergeCell ref="L188:M188"/>
    <mergeCell ref="L189:M189"/>
    <mergeCell ref="N190:O190"/>
    <mergeCell ref="N191:O191"/>
    <mergeCell ref="N185:O185"/>
    <mergeCell ref="J190:K190"/>
    <mergeCell ref="J191:K191"/>
    <mergeCell ref="J185:K185"/>
    <mergeCell ref="J186:K186"/>
    <mergeCell ref="J187:K187"/>
    <mergeCell ref="H185:I185"/>
    <mergeCell ref="J188:K188"/>
    <mergeCell ref="N189:O189"/>
    <mergeCell ref="N186:O186"/>
    <mergeCell ref="N187:O187"/>
    <mergeCell ref="H188:I188"/>
    <mergeCell ref="J180:K180"/>
    <mergeCell ref="J181:K181"/>
    <mergeCell ref="J182:K182"/>
    <mergeCell ref="J174:K174"/>
    <mergeCell ref="N188:O188"/>
    <mergeCell ref="J189:K189"/>
    <mergeCell ref="N182:O182"/>
    <mergeCell ref="N183:O183"/>
    <mergeCell ref="N184:O184"/>
    <mergeCell ref="L183:M183"/>
    <mergeCell ref="H186:I186"/>
    <mergeCell ref="H187:I187"/>
    <mergeCell ref="H181:I181"/>
    <mergeCell ref="H182:I182"/>
    <mergeCell ref="L184:M184"/>
    <mergeCell ref="L178:M178"/>
    <mergeCell ref="L179:M179"/>
    <mergeCell ref="L175:M175"/>
    <mergeCell ref="L176:M176"/>
    <mergeCell ref="L177:M177"/>
    <mergeCell ref="N180:O180"/>
    <mergeCell ref="N179:O179"/>
    <mergeCell ref="N174:O174"/>
    <mergeCell ref="N151:O151"/>
    <mergeCell ref="N152:O152"/>
    <mergeCell ref="N153:O153"/>
    <mergeCell ref="N154:O154"/>
    <mergeCell ref="N155:O155"/>
    <mergeCell ref="N160:O160"/>
    <mergeCell ref="N161:O161"/>
    <mergeCell ref="N168:O168"/>
    <mergeCell ref="N157:O157"/>
    <mergeCell ref="N158:O158"/>
    <mergeCell ref="N159:O159"/>
    <mergeCell ref="N166:O166"/>
    <mergeCell ref="N162:O162"/>
    <mergeCell ref="N163:O163"/>
    <mergeCell ref="N164:O164"/>
    <mergeCell ref="N165:O165"/>
    <mergeCell ref="AT4:AW4"/>
    <mergeCell ref="AX4:BA4"/>
    <mergeCell ref="C7:D7"/>
    <mergeCell ref="C6:D6"/>
    <mergeCell ref="N156:O156"/>
    <mergeCell ref="J147:K147"/>
    <mergeCell ref="L151:M151"/>
    <mergeCell ref="L152:M152"/>
    <mergeCell ref="L153:M153"/>
    <mergeCell ref="J148:K148"/>
    <mergeCell ref="J149:K149"/>
    <mergeCell ref="J150:K150"/>
    <mergeCell ref="J151:K151"/>
    <mergeCell ref="C128:D128"/>
    <mergeCell ref="C129:D129"/>
    <mergeCell ref="N141:O141"/>
    <mergeCell ref="N142:O142"/>
    <mergeCell ref="N143:O143"/>
    <mergeCell ref="C130:D130"/>
    <mergeCell ref="C131:D131"/>
    <mergeCell ref="N144:O144"/>
    <mergeCell ref="N145:O145"/>
    <mergeCell ref="N146:O146"/>
    <mergeCell ref="N147:O147"/>
    <mergeCell ref="H199:I199"/>
    <mergeCell ref="J199:K199"/>
    <mergeCell ref="L199:M199"/>
    <mergeCell ref="N199:O199"/>
    <mergeCell ref="H198:I198"/>
    <mergeCell ref="J198:K198"/>
    <mergeCell ref="L198:M198"/>
    <mergeCell ref="N198:O198"/>
    <mergeCell ref="H157:I157"/>
    <mergeCell ref="H158:I158"/>
    <mergeCell ref="N175:O175"/>
    <mergeCell ref="H190:I190"/>
    <mergeCell ref="H191:I191"/>
    <mergeCell ref="H192:I192"/>
    <mergeCell ref="L165:M165"/>
    <mergeCell ref="L168:M168"/>
    <mergeCell ref="L160:M160"/>
    <mergeCell ref="L161:M161"/>
    <mergeCell ref="L157:M157"/>
    <mergeCell ref="L158:M158"/>
    <mergeCell ref="L159:M159"/>
    <mergeCell ref="L166:M166"/>
    <mergeCell ref="L167:M167"/>
    <mergeCell ref="L162:M162"/>
    <mergeCell ref="J152:K152"/>
    <mergeCell ref="J153:K153"/>
    <mergeCell ref="J154:K154"/>
    <mergeCell ref="N181:O181"/>
    <mergeCell ref="N170:O170"/>
    <mergeCell ref="N171:O171"/>
    <mergeCell ref="N172:O172"/>
    <mergeCell ref="N169:O169"/>
    <mergeCell ref="N167:O167"/>
    <mergeCell ref="N176:O176"/>
    <mergeCell ref="N177:O177"/>
    <mergeCell ref="N178:O178"/>
    <mergeCell ref="L163:M163"/>
    <mergeCell ref="L164:M164"/>
    <mergeCell ref="L171:M171"/>
    <mergeCell ref="L180:M180"/>
    <mergeCell ref="L181:M181"/>
    <mergeCell ref="J167:K167"/>
    <mergeCell ref="J168:K168"/>
    <mergeCell ref="N173:O173"/>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A103"/>
  <sheetViews>
    <sheetView zoomScale="150" zoomScaleNormal="120" workbookViewId="0">
      <pane xSplit="1" ySplit="5" topLeftCell="B6" activePane="bottomRight" state="frozen"/>
      <selection pane="topRight" activeCell="B1" sqref="B1"/>
      <selection pane="bottomLeft" activeCell="A6" sqref="A6"/>
      <selection pane="bottomRight" activeCell="R130" sqref="R130"/>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139</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1992</v>
      </c>
      <c r="B6" s="295"/>
      <c r="C6" s="421" t="s">
        <v>1263</v>
      </c>
      <c r="D6" s="421"/>
      <c r="E6" s="29">
        <v>294</v>
      </c>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171">
        <v>1992</v>
      </c>
      <c r="B7" s="283">
        <v>33898</v>
      </c>
      <c r="C7" s="410" t="s">
        <v>1093</v>
      </c>
      <c r="D7" s="410"/>
      <c r="E7" s="171">
        <v>72</v>
      </c>
      <c r="F7" s="171" t="s">
        <v>335</v>
      </c>
      <c r="G7" s="233">
        <v>7</v>
      </c>
      <c r="I7" s="171">
        <v>3</v>
      </c>
      <c r="J7" s="241">
        <v>14</v>
      </c>
      <c r="K7" s="214">
        <f t="shared" ref="K7:K44" si="0">G7/J7*100</f>
        <v>50</v>
      </c>
      <c r="L7" s="214">
        <f t="shared" ref="L7:L44" si="1">H7/J7*100</f>
        <v>0</v>
      </c>
      <c r="M7" s="214">
        <f t="shared" ref="M7:M44" si="2">I7/J7*100</f>
        <v>21.428571428571427</v>
      </c>
      <c r="N7" s="235">
        <f t="shared" ref="N7:N52" si="3">SUM(K7:M7)</f>
        <v>71.428571428571431</v>
      </c>
      <c r="O7" s="213">
        <v>38.6</v>
      </c>
      <c r="P7" s="214"/>
      <c r="Q7" s="214">
        <v>11.9</v>
      </c>
      <c r="R7" s="215">
        <f>SUM(O7:Q7)</f>
        <v>50.5</v>
      </c>
      <c r="S7" s="171">
        <v>2</v>
      </c>
      <c r="T7" s="285">
        <v>33867</v>
      </c>
      <c r="U7" s="283">
        <v>33898</v>
      </c>
      <c r="V7" s="178" t="s">
        <v>1092</v>
      </c>
      <c r="W7" s="171" t="s">
        <v>74</v>
      </c>
      <c r="X7" s="171" t="s">
        <v>11</v>
      </c>
      <c r="Y7" s="179">
        <v>28.7</v>
      </c>
      <c r="Z7" s="171" t="s">
        <v>472</v>
      </c>
      <c r="AA7" s="171" t="s">
        <v>97</v>
      </c>
      <c r="AB7" s="171" t="s">
        <v>12</v>
      </c>
      <c r="AC7" s="171">
        <v>11.9</v>
      </c>
      <c r="AD7" s="178" t="s">
        <v>1086</v>
      </c>
      <c r="AE7" s="171" t="s">
        <v>294</v>
      </c>
      <c r="AF7" s="171" t="s">
        <v>11</v>
      </c>
      <c r="AG7" s="179">
        <v>9.9</v>
      </c>
      <c r="AL7" s="178"/>
      <c r="AO7" s="179"/>
      <c r="AP7" s="178"/>
      <c r="AS7" s="179"/>
      <c r="AW7" s="179"/>
      <c r="BA7" s="180"/>
    </row>
    <row r="8" spans="1:53" s="171" customFormat="1" x14ac:dyDescent="0.15">
      <c r="A8" s="171">
        <v>1993</v>
      </c>
      <c r="B8" s="283"/>
      <c r="C8" s="410" t="s">
        <v>1093</v>
      </c>
      <c r="D8" s="410"/>
      <c r="E8" s="171">
        <v>0</v>
      </c>
      <c r="G8" s="233">
        <v>7</v>
      </c>
      <c r="I8" s="171">
        <v>3</v>
      </c>
      <c r="J8" s="241">
        <v>14</v>
      </c>
      <c r="K8" s="214">
        <f t="shared" si="0"/>
        <v>50</v>
      </c>
      <c r="L8" s="214">
        <f t="shared" si="1"/>
        <v>0</v>
      </c>
      <c r="M8" s="214">
        <f t="shared" si="2"/>
        <v>21.428571428571427</v>
      </c>
      <c r="N8" s="235">
        <f t="shared" si="3"/>
        <v>71.428571428571431</v>
      </c>
      <c r="O8" s="213">
        <v>38.6</v>
      </c>
      <c r="P8" s="214"/>
      <c r="Q8" s="214">
        <v>11.9</v>
      </c>
      <c r="R8" s="215">
        <f t="shared" ref="R8:R29" si="4">SUM(O8:Q8)</f>
        <v>50.5</v>
      </c>
      <c r="S8" s="171">
        <v>2</v>
      </c>
      <c r="T8" s="285"/>
      <c r="U8" s="283"/>
      <c r="V8" s="178" t="s">
        <v>1092</v>
      </c>
      <c r="W8" s="171" t="s">
        <v>74</v>
      </c>
      <c r="X8" s="171" t="s">
        <v>11</v>
      </c>
      <c r="Y8" s="179">
        <v>28.7</v>
      </c>
      <c r="Z8" s="171" t="s">
        <v>472</v>
      </c>
      <c r="AA8" s="171" t="s">
        <v>97</v>
      </c>
      <c r="AB8" s="171" t="s">
        <v>12</v>
      </c>
      <c r="AC8" s="171">
        <v>11.9</v>
      </c>
      <c r="AD8" s="178" t="s">
        <v>1086</v>
      </c>
      <c r="AE8" s="171" t="s">
        <v>294</v>
      </c>
      <c r="AF8" s="171" t="s">
        <v>11</v>
      </c>
      <c r="AG8" s="179">
        <v>9.9</v>
      </c>
      <c r="AL8" s="178"/>
      <c r="AO8" s="179"/>
      <c r="AP8" s="178"/>
      <c r="AS8" s="179"/>
      <c r="AW8" s="179"/>
      <c r="BA8" s="180"/>
    </row>
    <row r="9" spans="1:53" s="171" customFormat="1" x14ac:dyDescent="0.15">
      <c r="A9" s="171">
        <v>1993</v>
      </c>
      <c r="B9" s="283"/>
      <c r="C9" s="410" t="s">
        <v>1093</v>
      </c>
      <c r="D9" s="410"/>
      <c r="E9" s="171">
        <v>365</v>
      </c>
      <c r="G9" s="233">
        <v>7</v>
      </c>
      <c r="I9" s="171">
        <v>3</v>
      </c>
      <c r="J9" s="241">
        <v>14</v>
      </c>
      <c r="K9" s="214">
        <f t="shared" si="0"/>
        <v>50</v>
      </c>
      <c r="L9" s="214">
        <f t="shared" si="1"/>
        <v>0</v>
      </c>
      <c r="M9" s="214">
        <f t="shared" si="2"/>
        <v>21.428571428571427</v>
      </c>
      <c r="N9" s="235">
        <f t="shared" si="3"/>
        <v>71.428571428571431</v>
      </c>
      <c r="O9" s="213">
        <v>38.6</v>
      </c>
      <c r="P9" s="214"/>
      <c r="Q9" s="214">
        <v>11.9</v>
      </c>
      <c r="R9" s="215">
        <f t="shared" si="4"/>
        <v>50.5</v>
      </c>
      <c r="S9" s="171">
        <v>2</v>
      </c>
      <c r="T9" s="285"/>
      <c r="U9" s="283"/>
      <c r="V9" s="178" t="s">
        <v>1092</v>
      </c>
      <c r="W9" s="171" t="s">
        <v>74</v>
      </c>
      <c r="X9" s="171" t="s">
        <v>11</v>
      </c>
      <c r="Y9" s="179">
        <v>28.7</v>
      </c>
      <c r="Z9" s="171" t="s">
        <v>472</v>
      </c>
      <c r="AA9" s="171" t="s">
        <v>97</v>
      </c>
      <c r="AB9" s="171" t="s">
        <v>12</v>
      </c>
      <c r="AC9" s="171">
        <v>11.9</v>
      </c>
      <c r="AD9" s="178" t="s">
        <v>1086</v>
      </c>
      <c r="AE9" s="171" t="s">
        <v>294</v>
      </c>
      <c r="AF9" s="171" t="s">
        <v>11</v>
      </c>
      <c r="AG9" s="179">
        <v>9.9</v>
      </c>
      <c r="AL9" s="178"/>
      <c r="AO9" s="179"/>
      <c r="AP9" s="178"/>
      <c r="AS9" s="179"/>
      <c r="AW9" s="179"/>
      <c r="BA9" s="180"/>
    </row>
    <row r="10" spans="1:53" s="171" customFormat="1" x14ac:dyDescent="0.15">
      <c r="A10" s="171">
        <v>1994</v>
      </c>
      <c r="B10" s="283"/>
      <c r="C10" s="410" t="s">
        <v>1093</v>
      </c>
      <c r="D10" s="410"/>
      <c r="E10" s="171">
        <v>311</v>
      </c>
      <c r="G10" s="233">
        <v>7</v>
      </c>
      <c r="I10" s="171">
        <v>3</v>
      </c>
      <c r="J10" s="241">
        <v>14</v>
      </c>
      <c r="K10" s="214">
        <f t="shared" si="0"/>
        <v>50</v>
      </c>
      <c r="L10" s="214">
        <f t="shared" si="1"/>
        <v>0</v>
      </c>
      <c r="M10" s="214">
        <f t="shared" si="2"/>
        <v>21.428571428571427</v>
      </c>
      <c r="N10" s="235">
        <f t="shared" si="3"/>
        <v>71.428571428571431</v>
      </c>
      <c r="O10" s="213">
        <v>38.6</v>
      </c>
      <c r="P10" s="214"/>
      <c r="Q10" s="214">
        <v>11.9</v>
      </c>
      <c r="R10" s="215">
        <f t="shared" si="4"/>
        <v>50.5</v>
      </c>
      <c r="S10" s="171">
        <v>2</v>
      </c>
      <c r="T10" s="285"/>
      <c r="U10" s="283"/>
      <c r="V10" s="178" t="s">
        <v>1092</v>
      </c>
      <c r="W10" s="171" t="s">
        <v>74</v>
      </c>
      <c r="X10" s="171" t="s">
        <v>11</v>
      </c>
      <c r="Y10" s="179">
        <v>28.7</v>
      </c>
      <c r="Z10" s="171" t="s">
        <v>472</v>
      </c>
      <c r="AA10" s="171" t="s">
        <v>97</v>
      </c>
      <c r="AB10" s="171" t="s">
        <v>12</v>
      </c>
      <c r="AC10" s="171">
        <v>11.9</v>
      </c>
      <c r="AD10" s="178" t="s">
        <v>1086</v>
      </c>
      <c r="AE10" s="171" t="s">
        <v>294</v>
      </c>
      <c r="AF10" s="171" t="s">
        <v>11</v>
      </c>
      <c r="AG10" s="179">
        <v>9.9</v>
      </c>
      <c r="AL10" s="178"/>
      <c r="AO10" s="179"/>
      <c r="AP10" s="178"/>
      <c r="AS10" s="179"/>
      <c r="AW10" s="179"/>
      <c r="BA10" s="180"/>
    </row>
    <row r="11" spans="1:53" s="29" customFormat="1" x14ac:dyDescent="0.15">
      <c r="A11" s="29">
        <v>1994</v>
      </c>
      <c r="B11" s="277">
        <v>34646</v>
      </c>
      <c r="C11" s="411" t="s">
        <v>1080</v>
      </c>
      <c r="D11" s="411"/>
      <c r="E11" s="29">
        <v>54</v>
      </c>
      <c r="F11" s="29">
        <v>5</v>
      </c>
      <c r="G11" s="66">
        <v>7</v>
      </c>
      <c r="I11" s="29">
        <v>3</v>
      </c>
      <c r="J11" s="73">
        <v>14</v>
      </c>
      <c r="K11" s="47">
        <f t="shared" si="0"/>
        <v>50</v>
      </c>
      <c r="L11" s="47">
        <f t="shared" si="1"/>
        <v>0</v>
      </c>
      <c r="M11" s="47">
        <f t="shared" si="2"/>
        <v>21.428571428571427</v>
      </c>
      <c r="N11" s="68">
        <f t="shared" si="3"/>
        <v>71.428571428571431</v>
      </c>
      <c r="O11" s="46">
        <v>38.6</v>
      </c>
      <c r="P11" s="47"/>
      <c r="Q11" s="47">
        <v>11.9</v>
      </c>
      <c r="R11" s="48">
        <f t="shared" si="4"/>
        <v>50.5</v>
      </c>
      <c r="S11" s="29">
        <v>6</v>
      </c>
      <c r="T11" s="286"/>
      <c r="U11" s="295">
        <v>34646</v>
      </c>
      <c r="V11" s="38" t="s">
        <v>1092</v>
      </c>
      <c r="W11" s="29" t="s">
        <v>74</v>
      </c>
      <c r="X11" s="29" t="s">
        <v>11</v>
      </c>
      <c r="Y11" s="39">
        <v>28.7</v>
      </c>
      <c r="Z11" s="29" t="s">
        <v>472</v>
      </c>
      <c r="AA11" s="29" t="s">
        <v>97</v>
      </c>
      <c r="AB11" s="29" t="s">
        <v>12</v>
      </c>
      <c r="AC11" s="29">
        <v>11.9</v>
      </c>
      <c r="AD11" s="38" t="s">
        <v>1086</v>
      </c>
      <c r="AE11" s="29" t="s">
        <v>294</v>
      </c>
      <c r="AF11" s="29" t="s">
        <v>11</v>
      </c>
      <c r="AG11" s="39">
        <v>9.9</v>
      </c>
      <c r="AL11" s="38"/>
      <c r="AO11" s="39"/>
      <c r="AP11" s="38"/>
      <c r="AS11" s="39"/>
      <c r="AW11" s="39"/>
      <c r="BA11" s="40"/>
    </row>
    <row r="12" spans="1:53" s="29" customFormat="1" x14ac:dyDescent="0.15">
      <c r="A12" s="29">
        <v>1995</v>
      </c>
      <c r="B12" s="277"/>
      <c r="C12" s="411" t="s">
        <v>1080</v>
      </c>
      <c r="D12" s="411"/>
      <c r="E12" s="29">
        <v>106</v>
      </c>
      <c r="G12" s="66">
        <v>7</v>
      </c>
      <c r="I12" s="29">
        <v>3</v>
      </c>
      <c r="J12" s="73">
        <v>14</v>
      </c>
      <c r="K12" s="47">
        <f t="shared" si="0"/>
        <v>50</v>
      </c>
      <c r="L12" s="47">
        <f t="shared" si="1"/>
        <v>0</v>
      </c>
      <c r="M12" s="47">
        <f t="shared" si="2"/>
        <v>21.428571428571427</v>
      </c>
      <c r="N12" s="68">
        <f t="shared" si="3"/>
        <v>71.428571428571431</v>
      </c>
      <c r="O12" s="46">
        <v>38.6</v>
      </c>
      <c r="P12" s="47"/>
      <c r="Q12" s="47">
        <v>11.9</v>
      </c>
      <c r="R12" s="48">
        <f t="shared" si="4"/>
        <v>50.5</v>
      </c>
      <c r="S12" s="29">
        <v>6</v>
      </c>
      <c r="T12" s="286"/>
      <c r="U12" s="295"/>
      <c r="V12" s="38" t="s">
        <v>1092</v>
      </c>
      <c r="W12" s="29" t="s">
        <v>74</v>
      </c>
      <c r="X12" s="29" t="s">
        <v>11</v>
      </c>
      <c r="Y12" s="39">
        <v>28.7</v>
      </c>
      <c r="Z12" s="29" t="s">
        <v>472</v>
      </c>
      <c r="AA12" s="29" t="s">
        <v>97</v>
      </c>
      <c r="AB12" s="29" t="s">
        <v>12</v>
      </c>
      <c r="AC12" s="29">
        <v>11.9</v>
      </c>
      <c r="AD12" s="38" t="s">
        <v>1086</v>
      </c>
      <c r="AE12" s="29" t="s">
        <v>294</v>
      </c>
      <c r="AF12" s="29" t="s">
        <v>11</v>
      </c>
      <c r="AG12" s="39">
        <v>9.9</v>
      </c>
      <c r="AL12" s="38"/>
      <c r="AO12" s="39"/>
      <c r="AP12" s="38"/>
      <c r="AS12" s="39"/>
      <c r="AW12" s="39"/>
      <c r="BA12" s="40"/>
    </row>
    <row r="13" spans="1:53" s="171" customFormat="1" x14ac:dyDescent="0.15">
      <c r="A13" s="171">
        <v>1995</v>
      </c>
      <c r="B13" s="306">
        <v>34806</v>
      </c>
      <c r="C13" s="410" t="s">
        <v>1087</v>
      </c>
      <c r="D13" s="410"/>
      <c r="E13" s="171">
        <v>200</v>
      </c>
      <c r="F13" s="171">
        <v>1</v>
      </c>
      <c r="G13" s="233"/>
      <c r="H13" s="171">
        <v>5</v>
      </c>
      <c r="I13" s="171">
        <v>9</v>
      </c>
      <c r="J13" s="241">
        <v>14</v>
      </c>
      <c r="K13" s="214">
        <f>G13/J13*100</f>
        <v>0</v>
      </c>
      <c r="L13" s="214">
        <f>H13/J13*100</f>
        <v>35.714285714285715</v>
      </c>
      <c r="M13" s="214">
        <f>I13/J13*100</f>
        <v>64.285714285714292</v>
      </c>
      <c r="N13" s="235">
        <f t="shared" si="3"/>
        <v>100</v>
      </c>
      <c r="O13" s="213"/>
      <c r="P13" s="214">
        <v>15.8</v>
      </c>
      <c r="Q13" s="214">
        <v>40.6</v>
      </c>
      <c r="R13" s="215">
        <f t="shared" si="4"/>
        <v>56.400000000000006</v>
      </c>
      <c r="S13" s="171">
        <v>2</v>
      </c>
      <c r="T13" s="285">
        <v>34763</v>
      </c>
      <c r="U13" s="283">
        <v>34806</v>
      </c>
      <c r="V13" s="178" t="s">
        <v>1090</v>
      </c>
      <c r="W13" s="171" t="s">
        <v>869</v>
      </c>
      <c r="X13" s="171" t="s">
        <v>12</v>
      </c>
      <c r="Y13" s="179">
        <v>40.6</v>
      </c>
      <c r="Z13" s="171" t="s">
        <v>1333</v>
      </c>
      <c r="AA13" s="171" t="s">
        <v>99</v>
      </c>
      <c r="AB13" s="171" t="s">
        <v>18</v>
      </c>
      <c r="AC13" s="171">
        <v>15.8</v>
      </c>
      <c r="AD13" s="178"/>
      <c r="AG13" s="179"/>
      <c r="AL13" s="178"/>
      <c r="AO13" s="179"/>
      <c r="AP13" s="178"/>
      <c r="AS13" s="179"/>
      <c r="AW13" s="179"/>
      <c r="BA13" s="180"/>
    </row>
    <row r="14" spans="1:53" s="29" customFormat="1" x14ac:dyDescent="0.15">
      <c r="A14" s="29">
        <v>1995</v>
      </c>
      <c r="B14" s="277">
        <v>35006</v>
      </c>
      <c r="C14" s="411" t="s">
        <v>1088</v>
      </c>
      <c r="D14" s="411"/>
      <c r="E14" s="29">
        <v>59</v>
      </c>
      <c r="F14" s="29">
        <v>2</v>
      </c>
      <c r="G14" s="66">
        <v>6</v>
      </c>
      <c r="I14" s="29">
        <v>9</v>
      </c>
      <c r="J14" s="73">
        <v>15</v>
      </c>
      <c r="K14" s="47">
        <f t="shared" si="0"/>
        <v>40</v>
      </c>
      <c r="L14" s="47">
        <f t="shared" si="1"/>
        <v>0</v>
      </c>
      <c r="M14" s="47">
        <f t="shared" si="2"/>
        <v>60</v>
      </c>
      <c r="N14" s="68">
        <f t="shared" si="3"/>
        <v>100</v>
      </c>
      <c r="O14" s="46">
        <v>18.8</v>
      </c>
      <c r="P14" s="47"/>
      <c r="Q14" s="47">
        <v>40.6</v>
      </c>
      <c r="R14" s="48">
        <f t="shared" si="4"/>
        <v>59.400000000000006</v>
      </c>
      <c r="S14" s="29">
        <v>2</v>
      </c>
      <c r="T14" s="286"/>
      <c r="U14" s="295">
        <v>35006</v>
      </c>
      <c r="V14" s="38" t="s">
        <v>1090</v>
      </c>
      <c r="W14" s="29" t="s">
        <v>869</v>
      </c>
      <c r="X14" s="29" t="s">
        <v>12</v>
      </c>
      <c r="Y14" s="39">
        <v>40.6</v>
      </c>
      <c r="Z14" s="29" t="s">
        <v>1091</v>
      </c>
      <c r="AA14" s="29" t="s">
        <v>87</v>
      </c>
      <c r="AB14" s="29" t="s">
        <v>11</v>
      </c>
      <c r="AC14" s="29">
        <v>18.8</v>
      </c>
      <c r="AD14" s="38"/>
      <c r="AG14" s="39"/>
      <c r="AL14" s="38"/>
      <c r="AO14" s="39"/>
      <c r="AP14" s="38"/>
      <c r="AS14" s="39"/>
      <c r="AW14" s="39"/>
      <c r="BA14" s="40"/>
    </row>
    <row r="15" spans="1:53" s="29" customFormat="1" x14ac:dyDescent="0.15">
      <c r="A15" s="29">
        <v>1996</v>
      </c>
      <c r="B15" s="295"/>
      <c r="C15" s="411" t="s">
        <v>1088</v>
      </c>
      <c r="D15" s="411"/>
      <c r="E15" s="29">
        <v>0</v>
      </c>
      <c r="G15" s="66">
        <v>6</v>
      </c>
      <c r="I15" s="29">
        <v>9</v>
      </c>
      <c r="J15" s="73">
        <v>15</v>
      </c>
      <c r="K15" s="47">
        <f t="shared" si="0"/>
        <v>40</v>
      </c>
      <c r="L15" s="47">
        <f t="shared" si="1"/>
        <v>0</v>
      </c>
      <c r="M15" s="47">
        <f t="shared" si="2"/>
        <v>60</v>
      </c>
      <c r="N15" s="68">
        <f t="shared" si="3"/>
        <v>100</v>
      </c>
      <c r="O15" s="46">
        <v>18.8</v>
      </c>
      <c r="P15" s="47"/>
      <c r="Q15" s="47">
        <v>40.6</v>
      </c>
      <c r="R15" s="48">
        <f t="shared" si="4"/>
        <v>59.400000000000006</v>
      </c>
      <c r="S15" s="29">
        <v>2</v>
      </c>
      <c r="T15" s="286"/>
      <c r="U15" s="295"/>
      <c r="V15" s="38" t="s">
        <v>1090</v>
      </c>
      <c r="W15" s="29" t="s">
        <v>869</v>
      </c>
      <c r="X15" s="29" t="s">
        <v>12</v>
      </c>
      <c r="Y15" s="39">
        <v>40.6</v>
      </c>
      <c r="Z15" s="29" t="s">
        <v>1091</v>
      </c>
      <c r="AA15" s="29" t="s">
        <v>87</v>
      </c>
      <c r="AB15" s="29" t="s">
        <v>11</v>
      </c>
      <c r="AC15" s="29">
        <v>18.8</v>
      </c>
      <c r="AD15" s="38"/>
      <c r="AG15" s="39"/>
      <c r="AL15" s="38"/>
      <c r="AO15" s="39"/>
      <c r="AP15" s="38"/>
      <c r="AS15" s="39"/>
      <c r="AW15" s="39"/>
      <c r="BA15" s="40"/>
    </row>
    <row r="16" spans="1:53" s="29" customFormat="1" x14ac:dyDescent="0.15">
      <c r="A16" s="29">
        <v>1996</v>
      </c>
      <c r="B16" s="295"/>
      <c r="C16" s="411" t="s">
        <v>1088</v>
      </c>
      <c r="D16" s="411"/>
      <c r="E16" s="29">
        <v>366</v>
      </c>
      <c r="G16" s="66">
        <v>6</v>
      </c>
      <c r="I16" s="29">
        <v>9</v>
      </c>
      <c r="J16" s="73">
        <v>15</v>
      </c>
      <c r="K16" s="47">
        <f t="shared" si="0"/>
        <v>40</v>
      </c>
      <c r="L16" s="47">
        <f t="shared" si="1"/>
        <v>0</v>
      </c>
      <c r="M16" s="47">
        <f t="shared" si="2"/>
        <v>60</v>
      </c>
      <c r="N16" s="68">
        <f t="shared" si="3"/>
        <v>100</v>
      </c>
      <c r="O16" s="46">
        <v>18.8</v>
      </c>
      <c r="P16" s="47"/>
      <c r="Q16" s="47">
        <v>40.6</v>
      </c>
      <c r="R16" s="48">
        <f t="shared" si="4"/>
        <v>59.400000000000006</v>
      </c>
      <c r="S16" s="29">
        <v>2</v>
      </c>
      <c r="T16" s="286"/>
      <c r="U16" s="295"/>
      <c r="V16" s="38" t="s">
        <v>1090</v>
      </c>
      <c r="W16" s="29" t="s">
        <v>869</v>
      </c>
      <c r="X16" s="29" t="s">
        <v>12</v>
      </c>
      <c r="Y16" s="39">
        <v>40.6</v>
      </c>
      <c r="Z16" s="29" t="s">
        <v>1091</v>
      </c>
      <c r="AA16" s="29" t="s">
        <v>87</v>
      </c>
      <c r="AB16" s="29" t="s">
        <v>11</v>
      </c>
      <c r="AC16" s="29">
        <v>18.8</v>
      </c>
      <c r="AD16" s="38"/>
      <c r="AG16" s="39"/>
      <c r="AL16" s="38"/>
      <c r="AO16" s="39"/>
      <c r="AP16" s="38"/>
      <c r="AS16" s="39"/>
      <c r="AW16" s="39"/>
      <c r="BA16" s="40"/>
    </row>
    <row r="17" spans="1:53" s="29" customFormat="1" x14ac:dyDescent="0.15">
      <c r="A17" s="29">
        <v>1997</v>
      </c>
      <c r="B17" s="295"/>
      <c r="C17" s="411" t="s">
        <v>1088</v>
      </c>
      <c r="D17" s="411"/>
      <c r="E17" s="29">
        <v>75</v>
      </c>
      <c r="G17" s="66">
        <v>6</v>
      </c>
      <c r="I17" s="29">
        <v>9</v>
      </c>
      <c r="J17" s="73">
        <v>15</v>
      </c>
      <c r="K17" s="47">
        <f t="shared" si="0"/>
        <v>40</v>
      </c>
      <c r="L17" s="47">
        <f t="shared" si="1"/>
        <v>0</v>
      </c>
      <c r="M17" s="47">
        <f t="shared" si="2"/>
        <v>60</v>
      </c>
      <c r="N17" s="68">
        <f t="shared" si="3"/>
        <v>100</v>
      </c>
      <c r="O17" s="46">
        <v>18.8</v>
      </c>
      <c r="P17" s="47"/>
      <c r="Q17" s="47">
        <v>40.6</v>
      </c>
      <c r="R17" s="48">
        <f t="shared" si="4"/>
        <v>59.400000000000006</v>
      </c>
      <c r="S17" s="29">
        <v>2</v>
      </c>
      <c r="T17" s="286"/>
      <c r="U17" s="295"/>
      <c r="V17" s="38" t="s">
        <v>1090</v>
      </c>
      <c r="W17" s="29" t="s">
        <v>869</v>
      </c>
      <c r="X17" s="29" t="s">
        <v>12</v>
      </c>
      <c r="Y17" s="39">
        <v>40.6</v>
      </c>
      <c r="Z17" s="29" t="s">
        <v>1091</v>
      </c>
      <c r="AA17" s="29" t="s">
        <v>87</v>
      </c>
      <c r="AB17" s="29" t="s">
        <v>11</v>
      </c>
      <c r="AC17" s="29">
        <v>18.8</v>
      </c>
      <c r="AD17" s="38"/>
      <c r="AG17" s="39"/>
      <c r="AL17" s="38"/>
      <c r="AO17" s="39"/>
      <c r="AP17" s="38"/>
      <c r="AS17" s="39"/>
      <c r="AW17" s="39"/>
      <c r="BA17" s="40"/>
    </row>
    <row r="18" spans="1:53" s="171" customFormat="1" x14ac:dyDescent="0.15">
      <c r="A18" s="171">
        <v>1997</v>
      </c>
      <c r="B18" s="283">
        <v>35506</v>
      </c>
      <c r="C18" s="410" t="s">
        <v>1089</v>
      </c>
      <c r="D18" s="410"/>
      <c r="E18" s="171">
        <v>290</v>
      </c>
      <c r="F18" s="171">
        <v>2</v>
      </c>
      <c r="G18" s="233"/>
      <c r="I18" s="171">
        <v>11</v>
      </c>
      <c r="J18" s="241">
        <v>14</v>
      </c>
      <c r="K18" s="214">
        <f t="shared" si="0"/>
        <v>0</v>
      </c>
      <c r="L18" s="214">
        <f t="shared" si="1"/>
        <v>0</v>
      </c>
      <c r="M18" s="214">
        <f t="shared" si="2"/>
        <v>78.571428571428569</v>
      </c>
      <c r="N18" s="235">
        <f t="shared" si="3"/>
        <v>78.571428571428569</v>
      </c>
      <c r="O18" s="213"/>
      <c r="P18" s="214"/>
      <c r="Q18" s="214">
        <v>40.6</v>
      </c>
      <c r="R18" s="215">
        <f t="shared" si="4"/>
        <v>40.6</v>
      </c>
      <c r="S18" s="171">
        <v>4</v>
      </c>
      <c r="T18" s="285"/>
      <c r="U18" s="283">
        <v>35506</v>
      </c>
      <c r="V18" s="178" t="s">
        <v>1090</v>
      </c>
      <c r="W18" s="171" t="s">
        <v>869</v>
      </c>
      <c r="X18" s="171" t="s">
        <v>12</v>
      </c>
      <c r="Y18" s="179">
        <v>40.6</v>
      </c>
      <c r="AD18" s="178"/>
      <c r="AG18" s="179"/>
      <c r="AL18" s="178"/>
      <c r="AO18" s="179"/>
      <c r="AP18" s="178"/>
      <c r="AS18" s="179"/>
      <c r="AW18" s="179"/>
      <c r="BA18" s="180"/>
    </row>
    <row r="19" spans="1:53" s="171" customFormat="1" x14ac:dyDescent="0.15">
      <c r="A19" s="171">
        <v>1998</v>
      </c>
      <c r="B19" s="283"/>
      <c r="C19" s="410" t="s">
        <v>1089</v>
      </c>
      <c r="D19" s="410"/>
      <c r="E19" s="171">
        <v>0</v>
      </c>
      <c r="G19" s="233"/>
      <c r="I19" s="171">
        <v>11</v>
      </c>
      <c r="J19" s="241">
        <v>14</v>
      </c>
      <c r="K19" s="214">
        <f t="shared" si="0"/>
        <v>0</v>
      </c>
      <c r="L19" s="214">
        <f t="shared" si="1"/>
        <v>0</v>
      </c>
      <c r="M19" s="214">
        <f t="shared" si="2"/>
        <v>78.571428571428569</v>
      </c>
      <c r="N19" s="235">
        <f t="shared" si="3"/>
        <v>78.571428571428569</v>
      </c>
      <c r="O19" s="213"/>
      <c r="P19" s="214"/>
      <c r="Q19" s="214">
        <v>40.6</v>
      </c>
      <c r="R19" s="215">
        <f t="shared" si="4"/>
        <v>40.6</v>
      </c>
      <c r="S19" s="171">
        <v>4</v>
      </c>
      <c r="T19" s="285"/>
      <c r="U19" s="283"/>
      <c r="V19" s="178" t="s">
        <v>1090</v>
      </c>
      <c r="W19" s="171" t="s">
        <v>869</v>
      </c>
      <c r="X19" s="171" t="s">
        <v>12</v>
      </c>
      <c r="Y19" s="179">
        <v>40.6</v>
      </c>
      <c r="AD19" s="178"/>
      <c r="AG19" s="179"/>
      <c r="AL19" s="178"/>
      <c r="AO19" s="179"/>
      <c r="AP19" s="178"/>
      <c r="AS19" s="179"/>
      <c r="AW19" s="179"/>
      <c r="BA19" s="180"/>
    </row>
    <row r="20" spans="1:53" s="171" customFormat="1" x14ac:dyDescent="0.15">
      <c r="A20" s="171">
        <v>1998</v>
      </c>
      <c r="B20" s="283"/>
      <c r="C20" s="410" t="s">
        <v>1089</v>
      </c>
      <c r="D20" s="410"/>
      <c r="E20" s="171">
        <v>365</v>
      </c>
      <c r="G20" s="233"/>
      <c r="I20" s="171">
        <v>11</v>
      </c>
      <c r="J20" s="241">
        <v>14</v>
      </c>
      <c r="K20" s="214">
        <f t="shared" si="0"/>
        <v>0</v>
      </c>
      <c r="L20" s="214">
        <f t="shared" si="1"/>
        <v>0</v>
      </c>
      <c r="M20" s="214">
        <f t="shared" si="2"/>
        <v>78.571428571428569</v>
      </c>
      <c r="N20" s="235">
        <f t="shared" si="3"/>
        <v>78.571428571428569</v>
      </c>
      <c r="O20" s="213"/>
      <c r="P20" s="214"/>
      <c r="Q20" s="214">
        <v>40.6</v>
      </c>
      <c r="R20" s="215">
        <f t="shared" si="4"/>
        <v>40.6</v>
      </c>
      <c r="S20" s="171">
        <v>4</v>
      </c>
      <c r="T20" s="285"/>
      <c r="U20" s="283"/>
      <c r="V20" s="178" t="s">
        <v>1090</v>
      </c>
      <c r="W20" s="171" t="s">
        <v>869</v>
      </c>
      <c r="X20" s="171" t="s">
        <v>12</v>
      </c>
      <c r="Y20" s="179">
        <v>40.6</v>
      </c>
      <c r="AD20" s="178"/>
      <c r="AG20" s="179"/>
      <c r="AL20" s="178"/>
      <c r="AO20" s="179"/>
      <c r="AP20" s="178"/>
      <c r="AS20" s="179"/>
      <c r="AW20" s="179"/>
      <c r="BA20" s="180"/>
    </row>
    <row r="21" spans="1:53" s="171" customFormat="1" x14ac:dyDescent="0.15">
      <c r="A21" s="171">
        <v>1999</v>
      </c>
      <c r="B21" s="283"/>
      <c r="C21" s="410" t="s">
        <v>1089</v>
      </c>
      <c r="D21" s="410"/>
      <c r="E21" s="171">
        <v>83</v>
      </c>
      <c r="G21" s="233"/>
      <c r="I21" s="171">
        <v>11</v>
      </c>
      <c r="J21" s="241">
        <v>14</v>
      </c>
      <c r="K21" s="214">
        <f t="shared" si="0"/>
        <v>0</v>
      </c>
      <c r="L21" s="214">
        <f t="shared" si="1"/>
        <v>0</v>
      </c>
      <c r="M21" s="214">
        <f t="shared" si="2"/>
        <v>78.571428571428569</v>
      </c>
      <c r="N21" s="235">
        <f t="shared" si="3"/>
        <v>78.571428571428569</v>
      </c>
      <c r="O21" s="213"/>
      <c r="P21" s="214"/>
      <c r="Q21" s="214">
        <v>40.6</v>
      </c>
      <c r="R21" s="215">
        <f t="shared" si="4"/>
        <v>40.6</v>
      </c>
      <c r="S21" s="171">
        <v>4</v>
      </c>
      <c r="T21" s="285"/>
      <c r="U21" s="283"/>
      <c r="V21" s="178" t="s">
        <v>1090</v>
      </c>
      <c r="W21" s="171" t="s">
        <v>869</v>
      </c>
      <c r="X21" s="171" t="s">
        <v>12</v>
      </c>
      <c r="Y21" s="179">
        <v>40.6</v>
      </c>
      <c r="AD21" s="178"/>
      <c r="AG21" s="179"/>
      <c r="AL21" s="178"/>
      <c r="AO21" s="179"/>
      <c r="AP21" s="178"/>
      <c r="AS21" s="179"/>
      <c r="AW21" s="179"/>
      <c r="BA21" s="180"/>
    </row>
    <row r="22" spans="1:53" s="29" customFormat="1" x14ac:dyDescent="0.15">
      <c r="A22" s="29">
        <v>1999</v>
      </c>
      <c r="B22" s="295">
        <v>36244</v>
      </c>
      <c r="C22" s="411" t="s">
        <v>1094</v>
      </c>
      <c r="D22" s="411"/>
      <c r="E22" s="29">
        <v>282</v>
      </c>
      <c r="F22" s="29">
        <v>1</v>
      </c>
      <c r="G22" s="66">
        <v>10</v>
      </c>
      <c r="I22" s="29">
        <v>5</v>
      </c>
      <c r="J22" s="73">
        <v>15</v>
      </c>
      <c r="K22" s="47">
        <f t="shared" si="0"/>
        <v>66.666666666666657</v>
      </c>
      <c r="L22" s="47">
        <f t="shared" si="1"/>
        <v>0</v>
      </c>
      <c r="M22" s="47">
        <f t="shared" si="2"/>
        <v>33.333333333333329</v>
      </c>
      <c r="N22" s="68">
        <f t="shared" si="3"/>
        <v>99.999999999999986</v>
      </c>
      <c r="O22" s="46">
        <v>35.6</v>
      </c>
      <c r="P22" s="47"/>
      <c r="Q22" s="47">
        <v>16.8</v>
      </c>
      <c r="R22" s="48">
        <f t="shared" si="4"/>
        <v>52.400000000000006</v>
      </c>
      <c r="S22" s="29">
        <v>2</v>
      </c>
      <c r="T22" s="286">
        <v>36226</v>
      </c>
      <c r="U22" s="295">
        <v>36244</v>
      </c>
      <c r="V22" s="38" t="s">
        <v>1092</v>
      </c>
      <c r="W22" s="29" t="s">
        <v>74</v>
      </c>
      <c r="X22" s="29" t="s">
        <v>11</v>
      </c>
      <c r="Y22" s="39">
        <v>17.8</v>
      </c>
      <c r="Z22" s="29" t="s">
        <v>1091</v>
      </c>
      <c r="AA22" s="29" t="s">
        <v>87</v>
      </c>
      <c r="AB22" s="29" t="s">
        <v>11</v>
      </c>
      <c r="AC22" s="29">
        <v>17.8</v>
      </c>
      <c r="AD22" s="38" t="s">
        <v>472</v>
      </c>
      <c r="AE22" s="29" t="s">
        <v>97</v>
      </c>
      <c r="AF22" s="29" t="s">
        <v>12</v>
      </c>
      <c r="AG22" s="39">
        <v>16.8</v>
      </c>
      <c r="AL22" s="38"/>
      <c r="AO22" s="39"/>
      <c r="AP22" s="38"/>
      <c r="AS22" s="39"/>
      <c r="AW22" s="39"/>
      <c r="BA22" s="40"/>
    </row>
    <row r="23" spans="1:53" s="29" customFormat="1" x14ac:dyDescent="0.15">
      <c r="A23" s="29">
        <v>2000</v>
      </c>
      <c r="B23" s="295"/>
      <c r="C23" s="411" t="s">
        <v>1094</v>
      </c>
      <c r="D23" s="411"/>
      <c r="E23" s="29">
        <v>0</v>
      </c>
      <c r="G23" s="66">
        <v>10</v>
      </c>
      <c r="I23" s="29">
        <v>5</v>
      </c>
      <c r="J23" s="73">
        <v>15</v>
      </c>
      <c r="K23" s="47">
        <f t="shared" si="0"/>
        <v>66.666666666666657</v>
      </c>
      <c r="L23" s="47">
        <f t="shared" si="1"/>
        <v>0</v>
      </c>
      <c r="M23" s="47">
        <f t="shared" si="2"/>
        <v>33.333333333333329</v>
      </c>
      <c r="N23" s="68">
        <f t="shared" si="3"/>
        <v>99.999999999999986</v>
      </c>
      <c r="O23" s="46">
        <v>35.6</v>
      </c>
      <c r="P23" s="47"/>
      <c r="Q23" s="47">
        <v>16.8</v>
      </c>
      <c r="R23" s="48">
        <f t="shared" si="4"/>
        <v>52.400000000000006</v>
      </c>
      <c r="S23" s="29">
        <v>2</v>
      </c>
      <c r="T23" s="286"/>
      <c r="U23" s="295"/>
      <c r="V23" s="38" t="s">
        <v>1092</v>
      </c>
      <c r="W23" s="29" t="s">
        <v>74</v>
      </c>
      <c r="X23" s="29" t="s">
        <v>11</v>
      </c>
      <c r="Y23" s="39">
        <v>17.8</v>
      </c>
      <c r="Z23" s="29" t="s">
        <v>1091</v>
      </c>
      <c r="AA23" s="29" t="s">
        <v>87</v>
      </c>
      <c r="AB23" s="29" t="s">
        <v>11</v>
      </c>
      <c r="AC23" s="29">
        <v>17.8</v>
      </c>
      <c r="AD23" s="38" t="s">
        <v>472</v>
      </c>
      <c r="AE23" s="29" t="s">
        <v>97</v>
      </c>
      <c r="AF23" s="29" t="s">
        <v>12</v>
      </c>
      <c r="AG23" s="39">
        <v>16.8</v>
      </c>
      <c r="AL23" s="38"/>
      <c r="AO23" s="39"/>
      <c r="AP23" s="38"/>
      <c r="AS23" s="39"/>
      <c r="AW23" s="39"/>
      <c r="BA23" s="40"/>
    </row>
    <row r="24" spans="1:53" s="29" customFormat="1" x14ac:dyDescent="0.15">
      <c r="A24" s="29">
        <v>2000</v>
      </c>
      <c r="B24" s="295"/>
      <c r="C24" s="411" t="s">
        <v>1094</v>
      </c>
      <c r="D24" s="411"/>
      <c r="E24" s="29">
        <v>366</v>
      </c>
      <c r="G24" s="66">
        <v>10</v>
      </c>
      <c r="I24" s="29">
        <v>5</v>
      </c>
      <c r="J24" s="73">
        <v>15</v>
      </c>
      <c r="K24" s="47">
        <f t="shared" si="0"/>
        <v>66.666666666666657</v>
      </c>
      <c r="L24" s="47">
        <f t="shared" si="1"/>
        <v>0</v>
      </c>
      <c r="M24" s="47">
        <f t="shared" si="2"/>
        <v>33.333333333333329</v>
      </c>
      <c r="N24" s="68">
        <f t="shared" si="3"/>
        <v>99.999999999999986</v>
      </c>
      <c r="O24" s="46">
        <v>35.6</v>
      </c>
      <c r="P24" s="47"/>
      <c r="Q24" s="47">
        <v>16.8</v>
      </c>
      <c r="R24" s="48">
        <f t="shared" si="4"/>
        <v>52.400000000000006</v>
      </c>
      <c r="S24" s="29">
        <v>2</v>
      </c>
      <c r="T24" s="286"/>
      <c r="U24" s="295"/>
      <c r="V24" s="38" t="s">
        <v>1092</v>
      </c>
      <c r="W24" s="29" t="s">
        <v>74</v>
      </c>
      <c r="X24" s="29" t="s">
        <v>11</v>
      </c>
      <c r="Y24" s="39">
        <v>17.8</v>
      </c>
      <c r="Z24" s="29" t="s">
        <v>1091</v>
      </c>
      <c r="AA24" s="29" t="s">
        <v>87</v>
      </c>
      <c r="AB24" s="29" t="s">
        <v>11</v>
      </c>
      <c r="AC24" s="29">
        <v>17.8</v>
      </c>
      <c r="AD24" s="38" t="s">
        <v>472</v>
      </c>
      <c r="AE24" s="29" t="s">
        <v>97</v>
      </c>
      <c r="AF24" s="29" t="s">
        <v>12</v>
      </c>
      <c r="AG24" s="39">
        <v>16.8</v>
      </c>
      <c r="AL24" s="38"/>
      <c r="AO24" s="39"/>
      <c r="AP24" s="38"/>
      <c r="AS24" s="39"/>
      <c r="AW24" s="39"/>
      <c r="BA24" s="40"/>
    </row>
    <row r="25" spans="1:53" s="29" customFormat="1" x14ac:dyDescent="0.15">
      <c r="A25" s="29">
        <v>2001</v>
      </c>
      <c r="B25" s="295"/>
      <c r="C25" s="411" t="s">
        <v>1094</v>
      </c>
      <c r="D25" s="411"/>
      <c r="E25" s="29">
        <v>0</v>
      </c>
      <c r="G25" s="66">
        <v>10</v>
      </c>
      <c r="I25" s="29">
        <v>5</v>
      </c>
      <c r="J25" s="73">
        <v>15</v>
      </c>
      <c r="K25" s="47">
        <f t="shared" si="0"/>
        <v>66.666666666666657</v>
      </c>
      <c r="L25" s="47">
        <f t="shared" si="1"/>
        <v>0</v>
      </c>
      <c r="M25" s="47">
        <f t="shared" si="2"/>
        <v>33.333333333333329</v>
      </c>
      <c r="N25" s="68">
        <f t="shared" si="3"/>
        <v>99.999999999999986</v>
      </c>
      <c r="O25" s="46">
        <v>35.6</v>
      </c>
      <c r="P25" s="47"/>
      <c r="Q25" s="47">
        <v>16.8</v>
      </c>
      <c r="R25" s="48">
        <f t="shared" si="4"/>
        <v>52.400000000000006</v>
      </c>
      <c r="S25" s="29">
        <v>2</v>
      </c>
      <c r="T25" s="286"/>
      <c r="U25" s="295"/>
      <c r="V25" s="38" t="s">
        <v>1092</v>
      </c>
      <c r="W25" s="29" t="s">
        <v>74</v>
      </c>
      <c r="X25" s="29" t="s">
        <v>11</v>
      </c>
      <c r="Y25" s="39">
        <v>17.8</v>
      </c>
      <c r="Z25" s="29" t="s">
        <v>1091</v>
      </c>
      <c r="AA25" s="29" t="s">
        <v>87</v>
      </c>
      <c r="AB25" s="29" t="s">
        <v>11</v>
      </c>
      <c r="AC25" s="29">
        <v>17.8</v>
      </c>
      <c r="AD25" s="38" t="s">
        <v>472</v>
      </c>
      <c r="AE25" s="29" t="s">
        <v>97</v>
      </c>
      <c r="AF25" s="29" t="s">
        <v>12</v>
      </c>
      <c r="AG25" s="39">
        <v>16.8</v>
      </c>
      <c r="AL25" s="38"/>
      <c r="AO25" s="39"/>
      <c r="AP25" s="38"/>
      <c r="AS25" s="39"/>
      <c r="AW25" s="39"/>
      <c r="BA25" s="40"/>
    </row>
    <row r="26" spans="1:53" s="29" customFormat="1" x14ac:dyDescent="0.15">
      <c r="A26" s="29">
        <v>2001</v>
      </c>
      <c r="B26" s="295"/>
      <c r="C26" s="411" t="s">
        <v>1094</v>
      </c>
      <c r="D26" s="411"/>
      <c r="E26" s="29">
        <v>365</v>
      </c>
      <c r="G26" s="66">
        <v>10</v>
      </c>
      <c r="I26" s="29">
        <v>5</v>
      </c>
      <c r="J26" s="73">
        <v>15</v>
      </c>
      <c r="K26" s="47">
        <f t="shared" si="0"/>
        <v>66.666666666666657</v>
      </c>
      <c r="L26" s="47">
        <f t="shared" si="1"/>
        <v>0</v>
      </c>
      <c r="M26" s="47">
        <f t="shared" si="2"/>
        <v>33.333333333333329</v>
      </c>
      <c r="N26" s="68">
        <f t="shared" si="3"/>
        <v>99.999999999999986</v>
      </c>
      <c r="O26" s="46">
        <v>35.6</v>
      </c>
      <c r="P26" s="47"/>
      <c r="Q26" s="47">
        <v>16.8</v>
      </c>
      <c r="R26" s="48">
        <f t="shared" si="4"/>
        <v>52.400000000000006</v>
      </c>
      <c r="S26" s="29">
        <v>2</v>
      </c>
      <c r="T26" s="286"/>
      <c r="U26" s="295"/>
      <c r="V26" s="38" t="s">
        <v>1092</v>
      </c>
      <c r="W26" s="29" t="s">
        <v>74</v>
      </c>
      <c r="X26" s="29" t="s">
        <v>11</v>
      </c>
      <c r="Y26" s="39">
        <v>17.8</v>
      </c>
      <c r="Z26" s="29" t="s">
        <v>1091</v>
      </c>
      <c r="AA26" s="29" t="s">
        <v>87</v>
      </c>
      <c r="AB26" s="29" t="s">
        <v>11</v>
      </c>
      <c r="AC26" s="29">
        <v>17.8</v>
      </c>
      <c r="AD26" s="38" t="s">
        <v>472</v>
      </c>
      <c r="AE26" s="29" t="s">
        <v>97</v>
      </c>
      <c r="AF26" s="29" t="s">
        <v>12</v>
      </c>
      <c r="AG26" s="39">
        <v>16.8</v>
      </c>
      <c r="AL26" s="38"/>
      <c r="AO26" s="39"/>
      <c r="AP26" s="38"/>
      <c r="AS26" s="39"/>
      <c r="AW26" s="39"/>
      <c r="BA26" s="40"/>
    </row>
    <row r="27" spans="1:53" s="29" customFormat="1" x14ac:dyDescent="0.15">
      <c r="A27" s="29">
        <v>2002</v>
      </c>
      <c r="B27" s="295"/>
      <c r="C27" s="411" t="s">
        <v>1094</v>
      </c>
      <c r="D27" s="411"/>
      <c r="E27" s="29">
        <v>27</v>
      </c>
      <c r="G27" s="66">
        <v>10</v>
      </c>
      <c r="I27" s="29">
        <v>5</v>
      </c>
      <c r="J27" s="73">
        <v>15</v>
      </c>
      <c r="K27" s="47">
        <f t="shared" si="0"/>
        <v>66.666666666666657</v>
      </c>
      <c r="L27" s="47">
        <f t="shared" si="1"/>
        <v>0</v>
      </c>
      <c r="M27" s="47">
        <f t="shared" si="2"/>
        <v>33.333333333333329</v>
      </c>
      <c r="N27" s="68">
        <f t="shared" si="3"/>
        <v>99.999999999999986</v>
      </c>
      <c r="O27" s="46">
        <v>35.6</v>
      </c>
      <c r="P27" s="47"/>
      <c r="Q27" s="47">
        <v>16.8</v>
      </c>
      <c r="R27" s="48">
        <f t="shared" si="4"/>
        <v>52.400000000000006</v>
      </c>
      <c r="S27" s="29">
        <v>2</v>
      </c>
      <c r="T27" s="286"/>
      <c r="U27" s="295"/>
      <c r="V27" s="38" t="s">
        <v>1092</v>
      </c>
      <c r="W27" s="29" t="s">
        <v>74</v>
      </c>
      <c r="X27" s="29" t="s">
        <v>11</v>
      </c>
      <c r="Y27" s="39">
        <v>17.8</v>
      </c>
      <c r="Z27" s="29" t="s">
        <v>1091</v>
      </c>
      <c r="AA27" s="29" t="s">
        <v>87</v>
      </c>
      <c r="AB27" s="29" t="s">
        <v>11</v>
      </c>
      <c r="AC27" s="29">
        <v>17.8</v>
      </c>
      <c r="AD27" s="38" t="s">
        <v>472</v>
      </c>
      <c r="AE27" s="29" t="s">
        <v>97</v>
      </c>
      <c r="AF27" s="29" t="s">
        <v>12</v>
      </c>
      <c r="AG27" s="39">
        <v>16.8</v>
      </c>
      <c r="AL27" s="38"/>
      <c r="AO27" s="39"/>
      <c r="AP27" s="38"/>
      <c r="AS27" s="39"/>
      <c r="AW27" s="39"/>
      <c r="BA27" s="40"/>
    </row>
    <row r="28" spans="1:53" s="171" customFormat="1" x14ac:dyDescent="0.15">
      <c r="A28" s="171">
        <v>2002</v>
      </c>
      <c r="B28" s="283">
        <v>37284</v>
      </c>
      <c r="C28" s="410" t="s">
        <v>1081</v>
      </c>
      <c r="D28" s="410"/>
      <c r="E28" s="171">
        <v>338</v>
      </c>
      <c r="F28" s="171">
        <v>4</v>
      </c>
      <c r="G28" s="233">
        <v>6</v>
      </c>
      <c r="H28" s="171">
        <v>8</v>
      </c>
      <c r="J28" s="241">
        <v>14</v>
      </c>
      <c r="K28" s="214">
        <f t="shared" si="0"/>
        <v>42.857142857142854</v>
      </c>
      <c r="L28" s="214">
        <f t="shared" si="1"/>
        <v>57.142857142857139</v>
      </c>
      <c r="M28" s="214">
        <f t="shared" si="2"/>
        <v>0</v>
      </c>
      <c r="N28" s="235">
        <f t="shared" si="3"/>
        <v>100</v>
      </c>
      <c r="O28" s="213">
        <v>17.8</v>
      </c>
      <c r="P28" s="214">
        <v>27.7</v>
      </c>
      <c r="Q28" s="214"/>
      <c r="R28" s="215">
        <f t="shared" si="4"/>
        <v>45.5</v>
      </c>
      <c r="S28" s="171">
        <v>5</v>
      </c>
      <c r="T28" s="285"/>
      <c r="U28" s="283">
        <v>37284</v>
      </c>
      <c r="V28" s="178" t="s">
        <v>1333</v>
      </c>
      <c r="W28" s="171" t="s">
        <v>99</v>
      </c>
      <c r="X28" s="171" t="s">
        <v>18</v>
      </c>
      <c r="Y28" s="179">
        <v>27.7</v>
      </c>
      <c r="Z28" s="171" t="s">
        <v>1091</v>
      </c>
      <c r="AA28" s="171" t="s">
        <v>87</v>
      </c>
      <c r="AB28" s="171" t="s">
        <v>11</v>
      </c>
      <c r="AC28" s="171">
        <v>17.8</v>
      </c>
      <c r="AD28" s="178"/>
      <c r="AG28" s="179"/>
      <c r="AL28" s="178"/>
      <c r="AO28" s="179"/>
      <c r="AP28" s="178"/>
      <c r="AS28" s="179"/>
      <c r="AW28" s="179"/>
      <c r="BA28" s="180"/>
    </row>
    <row r="29" spans="1:53" s="171" customFormat="1" x14ac:dyDescent="0.15">
      <c r="A29" s="171">
        <v>2003</v>
      </c>
      <c r="B29" s="283"/>
      <c r="C29" s="410" t="s">
        <v>1081</v>
      </c>
      <c r="D29" s="410"/>
      <c r="E29" s="171">
        <v>99</v>
      </c>
      <c r="G29" s="233">
        <v>6</v>
      </c>
      <c r="H29" s="171">
        <v>8</v>
      </c>
      <c r="J29" s="241">
        <v>14</v>
      </c>
      <c r="K29" s="214">
        <f t="shared" si="0"/>
        <v>42.857142857142854</v>
      </c>
      <c r="L29" s="214">
        <f t="shared" si="1"/>
        <v>57.142857142857139</v>
      </c>
      <c r="M29" s="214">
        <f t="shared" si="2"/>
        <v>0</v>
      </c>
      <c r="N29" s="235">
        <f t="shared" si="3"/>
        <v>100</v>
      </c>
      <c r="O29" s="213">
        <v>17.8</v>
      </c>
      <c r="P29" s="214">
        <v>27.7</v>
      </c>
      <c r="Q29" s="214"/>
      <c r="R29" s="215">
        <f t="shared" si="4"/>
        <v>45.5</v>
      </c>
      <c r="S29" s="171">
        <v>5</v>
      </c>
      <c r="T29" s="285"/>
      <c r="U29" s="283"/>
      <c r="V29" s="178" t="s">
        <v>1333</v>
      </c>
      <c r="W29" s="171" t="s">
        <v>99</v>
      </c>
      <c r="X29" s="171" t="s">
        <v>18</v>
      </c>
      <c r="Y29" s="179">
        <v>27.7</v>
      </c>
      <c r="Z29" s="171" t="s">
        <v>1091</v>
      </c>
      <c r="AA29" s="171" t="s">
        <v>87</v>
      </c>
      <c r="AB29" s="171" t="s">
        <v>11</v>
      </c>
      <c r="AC29" s="171">
        <v>17.8</v>
      </c>
      <c r="AD29" s="178"/>
      <c r="AG29" s="179"/>
      <c r="AL29" s="178"/>
      <c r="AO29" s="179"/>
      <c r="AP29" s="178"/>
      <c r="AS29" s="179"/>
      <c r="AW29" s="179"/>
      <c r="BA29" s="180"/>
    </row>
    <row r="30" spans="1:53" s="29" customFormat="1" x14ac:dyDescent="0.15">
      <c r="A30" s="29">
        <v>2003</v>
      </c>
      <c r="B30" s="277">
        <v>37721</v>
      </c>
      <c r="C30" s="411" t="s">
        <v>1095</v>
      </c>
      <c r="D30" s="411"/>
      <c r="E30" s="29">
        <v>266</v>
      </c>
      <c r="F30" s="29">
        <v>1</v>
      </c>
      <c r="G30" s="66">
        <v>14</v>
      </c>
      <c r="J30" s="73">
        <v>14</v>
      </c>
      <c r="K30" s="47">
        <f t="shared" si="0"/>
        <v>100</v>
      </c>
      <c r="L30" s="47">
        <f t="shared" si="1"/>
        <v>0</v>
      </c>
      <c r="M30" s="47">
        <f t="shared" si="2"/>
        <v>0</v>
      </c>
      <c r="N30" s="68">
        <f t="shared" si="3"/>
        <v>100</v>
      </c>
      <c r="O30" s="46">
        <v>59.4</v>
      </c>
      <c r="P30" s="47"/>
      <c r="Q30" s="47"/>
      <c r="R30" s="48">
        <f>SUM(O30:Q30)</f>
        <v>59.4</v>
      </c>
      <c r="S30" s="29">
        <v>2</v>
      </c>
      <c r="T30" s="286">
        <v>37682</v>
      </c>
      <c r="U30" s="295">
        <v>37721</v>
      </c>
      <c r="V30" s="38" t="s">
        <v>330</v>
      </c>
      <c r="W30" s="29" t="s">
        <v>76</v>
      </c>
      <c r="X30" s="29" t="s">
        <v>11</v>
      </c>
      <c r="Y30" s="39">
        <v>27.7</v>
      </c>
      <c r="Z30" s="29" t="s">
        <v>1091</v>
      </c>
      <c r="AA30" s="29" t="s">
        <v>87</v>
      </c>
      <c r="AB30" s="29" t="s">
        <v>11</v>
      </c>
      <c r="AC30" s="29">
        <v>18.8</v>
      </c>
      <c r="AD30" s="38" t="s">
        <v>1096</v>
      </c>
      <c r="AE30" s="29" t="s">
        <v>78</v>
      </c>
      <c r="AF30" s="29" t="s">
        <v>11</v>
      </c>
      <c r="AG30" s="39">
        <v>12.9</v>
      </c>
      <c r="AL30" s="38"/>
      <c r="AO30" s="39"/>
      <c r="AP30" s="38"/>
      <c r="AS30" s="39"/>
      <c r="AW30" s="39"/>
      <c r="BA30" s="40"/>
    </row>
    <row r="31" spans="1:53" s="29" customFormat="1" x14ac:dyDescent="0.15">
      <c r="A31" s="29">
        <v>2004</v>
      </c>
      <c r="B31" s="277"/>
      <c r="C31" s="411" t="s">
        <v>1095</v>
      </c>
      <c r="D31" s="411"/>
      <c r="E31" s="29">
        <v>0</v>
      </c>
      <c r="G31" s="66">
        <v>14</v>
      </c>
      <c r="J31" s="73">
        <v>14</v>
      </c>
      <c r="K31" s="47">
        <f t="shared" si="0"/>
        <v>100</v>
      </c>
      <c r="L31" s="47">
        <f t="shared" si="1"/>
        <v>0</v>
      </c>
      <c r="M31" s="47">
        <f t="shared" si="2"/>
        <v>0</v>
      </c>
      <c r="N31" s="68">
        <f t="shared" si="3"/>
        <v>100</v>
      </c>
      <c r="O31" s="46">
        <v>59.4</v>
      </c>
      <c r="P31" s="47"/>
      <c r="Q31" s="47"/>
      <c r="R31" s="48">
        <f t="shared" ref="R31:R48" si="5">SUM(O31:Q31)</f>
        <v>59.4</v>
      </c>
      <c r="S31" s="29">
        <v>2</v>
      </c>
      <c r="T31" s="286"/>
      <c r="U31" s="295"/>
      <c r="V31" s="38" t="s">
        <v>330</v>
      </c>
      <c r="W31" s="29" t="s">
        <v>76</v>
      </c>
      <c r="X31" s="29" t="s">
        <v>11</v>
      </c>
      <c r="Y31" s="39">
        <v>27.7</v>
      </c>
      <c r="Z31" s="29" t="s">
        <v>1091</v>
      </c>
      <c r="AA31" s="29" t="s">
        <v>87</v>
      </c>
      <c r="AB31" s="29" t="s">
        <v>11</v>
      </c>
      <c r="AC31" s="29">
        <v>18.8</v>
      </c>
      <c r="AD31" s="38" t="s">
        <v>1096</v>
      </c>
      <c r="AE31" s="29" t="s">
        <v>78</v>
      </c>
      <c r="AF31" s="29" t="s">
        <v>11</v>
      </c>
      <c r="AG31" s="39">
        <v>12.9</v>
      </c>
      <c r="AL31" s="38"/>
      <c r="AO31" s="39"/>
      <c r="AP31" s="38"/>
      <c r="AS31" s="39"/>
      <c r="AW31" s="39"/>
      <c r="BA31" s="40"/>
    </row>
    <row r="32" spans="1:53" s="29" customFormat="1" x14ac:dyDescent="0.15">
      <c r="A32" s="29">
        <v>2004</v>
      </c>
      <c r="B32" s="277"/>
      <c r="C32" s="411" t="s">
        <v>1095</v>
      </c>
      <c r="D32" s="411"/>
      <c r="E32" s="29">
        <v>366</v>
      </c>
      <c r="G32" s="66">
        <v>14</v>
      </c>
      <c r="J32" s="73">
        <v>14</v>
      </c>
      <c r="K32" s="47">
        <f t="shared" si="0"/>
        <v>100</v>
      </c>
      <c r="L32" s="47">
        <f t="shared" si="1"/>
        <v>0</v>
      </c>
      <c r="M32" s="47">
        <f t="shared" si="2"/>
        <v>0</v>
      </c>
      <c r="N32" s="68">
        <f t="shared" si="3"/>
        <v>100</v>
      </c>
      <c r="O32" s="46">
        <v>59.4</v>
      </c>
      <c r="P32" s="47"/>
      <c r="Q32" s="47"/>
      <c r="R32" s="48">
        <f t="shared" si="5"/>
        <v>59.4</v>
      </c>
      <c r="S32" s="29">
        <v>2</v>
      </c>
      <c r="T32" s="286"/>
      <c r="U32" s="295"/>
      <c r="V32" s="38" t="s">
        <v>330</v>
      </c>
      <c r="W32" s="29" t="s">
        <v>76</v>
      </c>
      <c r="X32" s="29" t="s">
        <v>11</v>
      </c>
      <c r="Y32" s="39">
        <v>27.7</v>
      </c>
      <c r="Z32" s="29" t="s">
        <v>1091</v>
      </c>
      <c r="AA32" s="29" t="s">
        <v>87</v>
      </c>
      <c r="AB32" s="29" t="s">
        <v>11</v>
      </c>
      <c r="AC32" s="29">
        <v>18.8</v>
      </c>
      <c r="AD32" s="38" t="s">
        <v>1096</v>
      </c>
      <c r="AE32" s="29" t="s">
        <v>78</v>
      </c>
      <c r="AF32" s="29" t="s">
        <v>11</v>
      </c>
      <c r="AG32" s="39">
        <v>12.9</v>
      </c>
      <c r="AL32" s="38"/>
      <c r="AO32" s="39"/>
      <c r="AP32" s="38"/>
      <c r="AS32" s="39"/>
      <c r="AW32" s="39"/>
      <c r="BA32" s="40"/>
    </row>
    <row r="33" spans="1:53" s="29" customFormat="1" x14ac:dyDescent="0.15">
      <c r="A33" s="29">
        <v>2005</v>
      </c>
      <c r="B33" s="277"/>
      <c r="C33" s="411" t="s">
        <v>1095</v>
      </c>
      <c r="D33" s="411"/>
      <c r="E33" s="29">
        <v>102</v>
      </c>
      <c r="G33" s="66">
        <v>14</v>
      </c>
      <c r="J33" s="73">
        <v>14</v>
      </c>
      <c r="K33" s="47">
        <f t="shared" si="0"/>
        <v>100</v>
      </c>
      <c r="L33" s="47">
        <f t="shared" si="1"/>
        <v>0</v>
      </c>
      <c r="M33" s="47">
        <f t="shared" si="2"/>
        <v>0</v>
      </c>
      <c r="N33" s="68">
        <f t="shared" si="3"/>
        <v>100</v>
      </c>
      <c r="O33" s="46">
        <v>59.4</v>
      </c>
      <c r="P33" s="47"/>
      <c r="Q33" s="47"/>
      <c r="R33" s="48">
        <f t="shared" si="5"/>
        <v>59.4</v>
      </c>
      <c r="S33" s="29">
        <v>2</v>
      </c>
      <c r="T33" s="286"/>
      <c r="U33" s="295"/>
      <c r="V33" s="38" t="s">
        <v>330</v>
      </c>
      <c r="W33" s="29" t="s">
        <v>76</v>
      </c>
      <c r="X33" s="29" t="s">
        <v>11</v>
      </c>
      <c r="Y33" s="39">
        <v>27.7</v>
      </c>
      <c r="Z33" s="29" t="s">
        <v>1091</v>
      </c>
      <c r="AA33" s="29" t="s">
        <v>87</v>
      </c>
      <c r="AB33" s="29" t="s">
        <v>11</v>
      </c>
      <c r="AC33" s="29">
        <v>18.8</v>
      </c>
      <c r="AD33" s="38" t="s">
        <v>1096</v>
      </c>
      <c r="AE33" s="29" t="s">
        <v>78</v>
      </c>
      <c r="AF33" s="29" t="s">
        <v>11</v>
      </c>
      <c r="AG33" s="39">
        <v>12.9</v>
      </c>
      <c r="AL33" s="38"/>
      <c r="AO33" s="39"/>
      <c r="AP33" s="38"/>
      <c r="AS33" s="39"/>
      <c r="AW33" s="39"/>
      <c r="BA33" s="40"/>
    </row>
    <row r="34" spans="1:53" s="171" customFormat="1" x14ac:dyDescent="0.15">
      <c r="A34" s="171">
        <v>2005</v>
      </c>
      <c r="B34" s="306">
        <v>38455</v>
      </c>
      <c r="C34" s="410" t="s">
        <v>1082</v>
      </c>
      <c r="D34" s="410"/>
      <c r="E34" s="171">
        <v>263</v>
      </c>
      <c r="F34" s="171">
        <v>2</v>
      </c>
      <c r="G34" s="233">
        <v>9</v>
      </c>
      <c r="H34" s="171">
        <v>5</v>
      </c>
      <c r="J34" s="241">
        <v>14</v>
      </c>
      <c r="K34" s="214">
        <f t="shared" si="0"/>
        <v>64.285714285714292</v>
      </c>
      <c r="L34" s="214">
        <f t="shared" si="1"/>
        <v>35.714285714285715</v>
      </c>
      <c r="M34" s="214">
        <f t="shared" si="2"/>
        <v>0</v>
      </c>
      <c r="N34" s="235">
        <f t="shared" si="3"/>
        <v>100</v>
      </c>
      <c r="O34" s="213">
        <v>31.7</v>
      </c>
      <c r="P34" s="214">
        <v>27.7</v>
      </c>
      <c r="Q34" s="214"/>
      <c r="R34" s="215">
        <f t="shared" si="5"/>
        <v>59.4</v>
      </c>
      <c r="S34" s="171">
        <v>2</v>
      </c>
      <c r="T34" s="285"/>
      <c r="U34" s="283">
        <v>38455</v>
      </c>
      <c r="V34" s="178" t="s">
        <v>1333</v>
      </c>
      <c r="W34" s="171" t="s">
        <v>99</v>
      </c>
      <c r="X34" s="171" t="s">
        <v>18</v>
      </c>
      <c r="Y34" s="179">
        <v>27.7</v>
      </c>
      <c r="Z34" s="171" t="s">
        <v>1091</v>
      </c>
      <c r="AA34" s="171" t="s">
        <v>87</v>
      </c>
      <c r="AB34" s="171" t="s">
        <v>11</v>
      </c>
      <c r="AC34" s="171">
        <v>18.8</v>
      </c>
      <c r="AD34" s="178" t="s">
        <v>1096</v>
      </c>
      <c r="AE34" s="171" t="s">
        <v>78</v>
      </c>
      <c r="AF34" s="171" t="s">
        <v>11</v>
      </c>
      <c r="AG34" s="179">
        <v>12.9</v>
      </c>
      <c r="AL34" s="178"/>
      <c r="AO34" s="179"/>
      <c r="AP34" s="178"/>
      <c r="AS34" s="179"/>
      <c r="AW34" s="179"/>
      <c r="BA34" s="180"/>
    </row>
    <row r="35" spans="1:53" s="171" customFormat="1" x14ac:dyDescent="0.15">
      <c r="A35" s="171">
        <v>2006</v>
      </c>
      <c r="B35" s="306"/>
      <c r="C35" s="410" t="s">
        <v>1082</v>
      </c>
      <c r="D35" s="410"/>
      <c r="E35" s="171">
        <v>0</v>
      </c>
      <c r="G35" s="233">
        <v>9</v>
      </c>
      <c r="H35" s="171">
        <v>5</v>
      </c>
      <c r="J35" s="241">
        <v>14</v>
      </c>
      <c r="K35" s="214">
        <f t="shared" si="0"/>
        <v>64.285714285714292</v>
      </c>
      <c r="L35" s="214">
        <f t="shared" si="1"/>
        <v>35.714285714285715</v>
      </c>
      <c r="M35" s="214">
        <f t="shared" si="2"/>
        <v>0</v>
      </c>
      <c r="N35" s="235">
        <f t="shared" si="3"/>
        <v>100</v>
      </c>
      <c r="O35" s="213">
        <v>31.7</v>
      </c>
      <c r="P35" s="214">
        <v>27.7</v>
      </c>
      <c r="Q35" s="214"/>
      <c r="R35" s="215">
        <f t="shared" si="5"/>
        <v>59.4</v>
      </c>
      <c r="S35" s="171">
        <v>2</v>
      </c>
      <c r="T35" s="285"/>
      <c r="U35" s="283"/>
      <c r="V35" s="178" t="s">
        <v>1333</v>
      </c>
      <c r="W35" s="171" t="s">
        <v>99</v>
      </c>
      <c r="X35" s="171" t="s">
        <v>18</v>
      </c>
      <c r="Y35" s="179">
        <v>27.7</v>
      </c>
      <c r="Z35" s="171" t="s">
        <v>1091</v>
      </c>
      <c r="AA35" s="171" t="s">
        <v>87</v>
      </c>
      <c r="AB35" s="171" t="s">
        <v>11</v>
      </c>
      <c r="AC35" s="171">
        <v>18.8</v>
      </c>
      <c r="AD35" s="178" t="s">
        <v>1096</v>
      </c>
      <c r="AE35" s="171" t="s">
        <v>78</v>
      </c>
      <c r="AF35" s="171" t="s">
        <v>11</v>
      </c>
      <c r="AG35" s="179">
        <v>12.9</v>
      </c>
      <c r="AL35" s="178"/>
      <c r="AO35" s="179"/>
      <c r="AP35" s="178"/>
      <c r="AS35" s="179"/>
      <c r="AW35" s="179"/>
      <c r="BA35" s="180"/>
    </row>
    <row r="36" spans="1:53" s="171" customFormat="1" x14ac:dyDescent="0.15">
      <c r="A36" s="171">
        <v>2006</v>
      </c>
      <c r="B36" s="306"/>
      <c r="C36" s="410" t="s">
        <v>1082</v>
      </c>
      <c r="D36" s="410"/>
      <c r="E36" s="171">
        <v>365</v>
      </c>
      <c r="G36" s="233">
        <v>9</v>
      </c>
      <c r="H36" s="171">
        <v>5</v>
      </c>
      <c r="J36" s="241">
        <v>14</v>
      </c>
      <c r="K36" s="214">
        <f t="shared" si="0"/>
        <v>64.285714285714292</v>
      </c>
      <c r="L36" s="214">
        <f t="shared" si="1"/>
        <v>35.714285714285715</v>
      </c>
      <c r="M36" s="214">
        <f t="shared" si="2"/>
        <v>0</v>
      </c>
      <c r="N36" s="235">
        <f t="shared" si="3"/>
        <v>100</v>
      </c>
      <c r="O36" s="213">
        <v>31.7</v>
      </c>
      <c r="P36" s="214">
        <v>27.7</v>
      </c>
      <c r="Q36" s="214"/>
      <c r="R36" s="215">
        <f t="shared" si="5"/>
        <v>59.4</v>
      </c>
      <c r="S36" s="171">
        <v>2</v>
      </c>
      <c r="T36" s="285"/>
      <c r="U36" s="283"/>
      <c r="V36" s="178" t="s">
        <v>1333</v>
      </c>
      <c r="W36" s="171" t="s">
        <v>99</v>
      </c>
      <c r="X36" s="171" t="s">
        <v>18</v>
      </c>
      <c r="Y36" s="179">
        <v>27.7</v>
      </c>
      <c r="Z36" s="171" t="s">
        <v>1091</v>
      </c>
      <c r="AA36" s="171" t="s">
        <v>87</v>
      </c>
      <c r="AB36" s="171" t="s">
        <v>11</v>
      </c>
      <c r="AC36" s="171">
        <v>18.8</v>
      </c>
      <c r="AD36" s="178" t="s">
        <v>1096</v>
      </c>
      <c r="AE36" s="171" t="s">
        <v>78</v>
      </c>
      <c r="AF36" s="171" t="s">
        <v>11</v>
      </c>
      <c r="AG36" s="179">
        <v>12.9</v>
      </c>
      <c r="AL36" s="178"/>
      <c r="AO36" s="179"/>
      <c r="AP36" s="178"/>
      <c r="AS36" s="179"/>
      <c r="AW36" s="179"/>
      <c r="BA36" s="180"/>
    </row>
    <row r="37" spans="1:53" s="171" customFormat="1" x14ac:dyDescent="0.15">
      <c r="A37" s="171">
        <v>2007</v>
      </c>
      <c r="B37" s="306"/>
      <c r="C37" s="410" t="s">
        <v>1082</v>
      </c>
      <c r="D37" s="410"/>
      <c r="E37" s="171">
        <v>94</v>
      </c>
      <c r="G37" s="233">
        <v>9</v>
      </c>
      <c r="H37" s="171">
        <v>5</v>
      </c>
      <c r="J37" s="241">
        <v>14</v>
      </c>
      <c r="K37" s="214">
        <f t="shared" si="0"/>
        <v>64.285714285714292</v>
      </c>
      <c r="L37" s="214">
        <f t="shared" si="1"/>
        <v>35.714285714285715</v>
      </c>
      <c r="M37" s="214">
        <f t="shared" si="2"/>
        <v>0</v>
      </c>
      <c r="N37" s="235">
        <f t="shared" si="3"/>
        <v>100</v>
      </c>
      <c r="O37" s="213">
        <v>31.7</v>
      </c>
      <c r="P37" s="214">
        <v>27.7</v>
      </c>
      <c r="Q37" s="214"/>
      <c r="R37" s="215">
        <f t="shared" si="5"/>
        <v>59.4</v>
      </c>
      <c r="S37" s="171">
        <v>2</v>
      </c>
      <c r="T37" s="285"/>
      <c r="U37" s="283"/>
      <c r="V37" s="178" t="s">
        <v>1333</v>
      </c>
      <c r="W37" s="171" t="s">
        <v>99</v>
      </c>
      <c r="X37" s="171" t="s">
        <v>18</v>
      </c>
      <c r="Y37" s="179">
        <v>27.7</v>
      </c>
      <c r="Z37" s="171" t="s">
        <v>1091</v>
      </c>
      <c r="AA37" s="171" t="s">
        <v>87</v>
      </c>
      <c r="AB37" s="171" t="s">
        <v>11</v>
      </c>
      <c r="AC37" s="171">
        <v>18.8</v>
      </c>
      <c r="AD37" s="178" t="s">
        <v>1096</v>
      </c>
      <c r="AE37" s="171" t="s">
        <v>78</v>
      </c>
      <c r="AF37" s="171" t="s">
        <v>11</v>
      </c>
      <c r="AG37" s="179">
        <v>12.9</v>
      </c>
      <c r="AL37" s="178"/>
      <c r="AO37" s="179"/>
      <c r="AP37" s="178"/>
      <c r="AS37" s="179"/>
      <c r="AW37" s="179"/>
      <c r="BA37" s="180"/>
    </row>
    <row r="38" spans="1:53" s="29" customFormat="1" x14ac:dyDescent="0.15">
      <c r="A38" s="29">
        <v>2007</v>
      </c>
      <c r="B38" s="277">
        <v>39177</v>
      </c>
      <c r="C38" s="411" t="s">
        <v>1083</v>
      </c>
      <c r="D38" s="411"/>
      <c r="E38" s="29">
        <v>271</v>
      </c>
      <c r="F38" s="29">
        <v>1</v>
      </c>
      <c r="G38" s="66">
        <v>11</v>
      </c>
      <c r="I38" s="29">
        <v>3</v>
      </c>
      <c r="J38" s="73">
        <v>14</v>
      </c>
      <c r="K38" s="47">
        <f t="shared" si="0"/>
        <v>78.571428571428569</v>
      </c>
      <c r="L38" s="47">
        <f t="shared" si="1"/>
        <v>0</v>
      </c>
      <c r="M38" s="47">
        <f t="shared" si="2"/>
        <v>21.428571428571427</v>
      </c>
      <c r="N38" s="68">
        <f t="shared" si="3"/>
        <v>100</v>
      </c>
      <c r="O38" s="46">
        <v>49.5</v>
      </c>
      <c r="P38" s="47"/>
      <c r="Q38" s="47">
        <v>9.9</v>
      </c>
      <c r="R38" s="48">
        <f t="shared" si="5"/>
        <v>59.4</v>
      </c>
      <c r="S38" s="29">
        <v>2</v>
      </c>
      <c r="T38" s="286">
        <v>39145</v>
      </c>
      <c r="U38" s="295">
        <v>39177</v>
      </c>
      <c r="V38" s="38" t="s">
        <v>1091</v>
      </c>
      <c r="W38" s="29" t="s">
        <v>87</v>
      </c>
      <c r="X38" s="29" t="s">
        <v>11</v>
      </c>
      <c r="Y38" s="39">
        <v>30.7</v>
      </c>
      <c r="Z38" s="29" t="s">
        <v>1097</v>
      </c>
      <c r="AA38" s="29" t="s">
        <v>79</v>
      </c>
      <c r="AB38" s="29" t="s">
        <v>11</v>
      </c>
      <c r="AC38" s="29">
        <v>18.8</v>
      </c>
      <c r="AD38" s="38" t="s">
        <v>1098</v>
      </c>
      <c r="AE38" s="29" t="s">
        <v>97</v>
      </c>
      <c r="AF38" s="29" t="s">
        <v>12</v>
      </c>
      <c r="AG38" s="39">
        <v>9.9</v>
      </c>
      <c r="AL38" s="38"/>
      <c r="AO38" s="39"/>
      <c r="AP38" s="38"/>
      <c r="AS38" s="39"/>
      <c r="AW38" s="39"/>
      <c r="BA38" s="40"/>
    </row>
    <row r="39" spans="1:53" s="29" customFormat="1" x14ac:dyDescent="0.15">
      <c r="A39" s="29">
        <v>2008</v>
      </c>
      <c r="B39" s="277"/>
      <c r="C39" s="411" t="s">
        <v>1083</v>
      </c>
      <c r="D39" s="411"/>
      <c r="E39" s="29">
        <v>0</v>
      </c>
      <c r="G39" s="66">
        <v>11</v>
      </c>
      <c r="I39" s="29">
        <v>3</v>
      </c>
      <c r="J39" s="73">
        <v>14</v>
      </c>
      <c r="K39" s="47">
        <f t="shared" si="0"/>
        <v>78.571428571428569</v>
      </c>
      <c r="L39" s="47">
        <f t="shared" si="1"/>
        <v>0</v>
      </c>
      <c r="M39" s="47">
        <f t="shared" si="2"/>
        <v>21.428571428571427</v>
      </c>
      <c r="N39" s="68">
        <f t="shared" si="3"/>
        <v>100</v>
      </c>
      <c r="O39" s="46">
        <v>49.5</v>
      </c>
      <c r="P39" s="47"/>
      <c r="Q39" s="47">
        <v>9.9</v>
      </c>
      <c r="R39" s="48">
        <f t="shared" si="5"/>
        <v>59.4</v>
      </c>
      <c r="S39" s="29">
        <v>2</v>
      </c>
      <c r="T39" s="286"/>
      <c r="U39" s="295"/>
      <c r="V39" s="38" t="s">
        <v>1091</v>
      </c>
      <c r="W39" s="29" t="s">
        <v>87</v>
      </c>
      <c r="X39" s="29" t="s">
        <v>11</v>
      </c>
      <c r="Y39" s="39">
        <v>30.7</v>
      </c>
      <c r="Z39" s="29" t="s">
        <v>1097</v>
      </c>
      <c r="AA39" s="29" t="s">
        <v>79</v>
      </c>
      <c r="AB39" s="29" t="s">
        <v>11</v>
      </c>
      <c r="AC39" s="29">
        <v>18.8</v>
      </c>
      <c r="AD39" s="38" t="s">
        <v>1098</v>
      </c>
      <c r="AE39" s="29" t="s">
        <v>97</v>
      </c>
      <c r="AF39" s="29" t="s">
        <v>12</v>
      </c>
      <c r="AG39" s="39">
        <v>9.9</v>
      </c>
      <c r="AL39" s="38"/>
      <c r="AO39" s="39"/>
      <c r="AP39" s="38"/>
      <c r="AS39" s="39"/>
      <c r="AW39" s="39"/>
      <c r="BA39" s="40"/>
    </row>
    <row r="40" spans="1:53" s="29" customFormat="1" x14ac:dyDescent="0.15">
      <c r="A40" s="29">
        <v>2008</v>
      </c>
      <c r="B40" s="277"/>
      <c r="C40" s="411" t="s">
        <v>1083</v>
      </c>
      <c r="D40" s="411"/>
      <c r="E40" s="29">
        <v>366</v>
      </c>
      <c r="G40" s="66">
        <v>11</v>
      </c>
      <c r="I40" s="29">
        <v>3</v>
      </c>
      <c r="J40" s="73">
        <v>14</v>
      </c>
      <c r="K40" s="47">
        <f t="shared" si="0"/>
        <v>78.571428571428569</v>
      </c>
      <c r="L40" s="47">
        <f t="shared" si="1"/>
        <v>0</v>
      </c>
      <c r="M40" s="47">
        <f t="shared" si="2"/>
        <v>21.428571428571427</v>
      </c>
      <c r="N40" s="68">
        <f t="shared" si="3"/>
        <v>100</v>
      </c>
      <c r="O40" s="46">
        <v>49.5</v>
      </c>
      <c r="P40" s="47"/>
      <c r="Q40" s="47">
        <v>9.9</v>
      </c>
      <c r="R40" s="48">
        <f t="shared" si="5"/>
        <v>59.4</v>
      </c>
      <c r="S40" s="29">
        <v>2</v>
      </c>
      <c r="T40" s="286"/>
      <c r="U40" s="295"/>
      <c r="V40" s="38" t="s">
        <v>1091</v>
      </c>
      <c r="W40" s="29" t="s">
        <v>87</v>
      </c>
      <c r="X40" s="29" t="s">
        <v>11</v>
      </c>
      <c r="Y40" s="39">
        <v>30.7</v>
      </c>
      <c r="Z40" s="29" t="s">
        <v>1097</v>
      </c>
      <c r="AA40" s="29" t="s">
        <v>79</v>
      </c>
      <c r="AB40" s="29" t="s">
        <v>11</v>
      </c>
      <c r="AC40" s="29">
        <v>18.8</v>
      </c>
      <c r="AD40" s="38" t="s">
        <v>1098</v>
      </c>
      <c r="AE40" s="29" t="s">
        <v>97</v>
      </c>
      <c r="AF40" s="29" t="s">
        <v>12</v>
      </c>
      <c r="AG40" s="39">
        <v>9.9</v>
      </c>
      <c r="AL40" s="38"/>
      <c r="AO40" s="39"/>
      <c r="AP40" s="38"/>
      <c r="AS40" s="39"/>
      <c r="AW40" s="39"/>
      <c r="BA40" s="40"/>
    </row>
    <row r="41" spans="1:53" s="29" customFormat="1" x14ac:dyDescent="0.15">
      <c r="A41" s="29">
        <v>2009</v>
      </c>
      <c r="B41" s="277"/>
      <c r="C41" s="411" t="s">
        <v>1083</v>
      </c>
      <c r="D41" s="411"/>
      <c r="E41" s="29">
        <v>154</v>
      </c>
      <c r="G41" s="66">
        <v>11</v>
      </c>
      <c r="I41" s="29">
        <v>3</v>
      </c>
      <c r="J41" s="73">
        <v>14</v>
      </c>
      <c r="K41" s="47">
        <f t="shared" si="0"/>
        <v>78.571428571428569</v>
      </c>
      <c r="L41" s="47">
        <f t="shared" si="1"/>
        <v>0</v>
      </c>
      <c r="M41" s="47">
        <f t="shared" si="2"/>
        <v>21.428571428571427</v>
      </c>
      <c r="N41" s="68">
        <f t="shared" si="3"/>
        <v>100</v>
      </c>
      <c r="O41" s="46">
        <v>49.5</v>
      </c>
      <c r="P41" s="47"/>
      <c r="Q41" s="47">
        <v>9.9</v>
      </c>
      <c r="R41" s="48">
        <f t="shared" si="5"/>
        <v>59.4</v>
      </c>
      <c r="S41" s="29">
        <v>2</v>
      </c>
      <c r="T41" s="286"/>
      <c r="U41" s="295"/>
      <c r="V41" s="38" t="s">
        <v>1091</v>
      </c>
      <c r="W41" s="29" t="s">
        <v>87</v>
      </c>
      <c r="X41" s="29" t="s">
        <v>11</v>
      </c>
      <c r="Y41" s="39">
        <v>30.7</v>
      </c>
      <c r="Z41" s="29" t="s">
        <v>1097</v>
      </c>
      <c r="AA41" s="29" t="s">
        <v>79</v>
      </c>
      <c r="AB41" s="29" t="s">
        <v>11</v>
      </c>
      <c r="AC41" s="29">
        <v>18.8</v>
      </c>
      <c r="AD41" s="38" t="s">
        <v>1098</v>
      </c>
      <c r="AE41" s="29" t="s">
        <v>97</v>
      </c>
      <c r="AF41" s="29" t="s">
        <v>12</v>
      </c>
      <c r="AG41" s="39">
        <v>9.9</v>
      </c>
      <c r="AL41" s="38"/>
      <c r="AO41" s="39"/>
      <c r="AP41" s="38"/>
      <c r="AS41" s="39"/>
      <c r="AW41" s="39"/>
      <c r="BA41" s="40"/>
    </row>
    <row r="42" spans="1:53" s="171" customFormat="1" x14ac:dyDescent="0.15">
      <c r="A42" s="171">
        <v>2009</v>
      </c>
      <c r="B42" s="306">
        <v>39968</v>
      </c>
      <c r="C42" s="410" t="s">
        <v>1084</v>
      </c>
      <c r="D42" s="410"/>
      <c r="E42" s="171">
        <v>211</v>
      </c>
      <c r="F42" s="171">
        <v>4</v>
      </c>
      <c r="G42" s="233">
        <v>13</v>
      </c>
      <c r="J42" s="241">
        <v>13</v>
      </c>
      <c r="K42" s="214">
        <f t="shared" si="0"/>
        <v>100</v>
      </c>
      <c r="L42" s="214">
        <f t="shared" si="1"/>
        <v>0</v>
      </c>
      <c r="M42" s="214">
        <f t="shared" si="2"/>
        <v>0</v>
      </c>
      <c r="N42" s="235">
        <f t="shared" si="3"/>
        <v>100</v>
      </c>
      <c r="O42" s="213">
        <v>49.5</v>
      </c>
      <c r="P42" s="214"/>
      <c r="Q42" s="214"/>
      <c r="R42" s="215">
        <f t="shared" si="5"/>
        <v>49.5</v>
      </c>
      <c r="S42" s="171">
        <v>5</v>
      </c>
      <c r="T42" s="285"/>
      <c r="U42" s="283">
        <v>39968</v>
      </c>
      <c r="V42" s="178" t="s">
        <v>1091</v>
      </c>
      <c r="W42" s="171" t="s">
        <v>87</v>
      </c>
      <c r="X42" s="171" t="s">
        <v>11</v>
      </c>
      <c r="Y42" s="179">
        <v>30.7</v>
      </c>
      <c r="Z42" s="171" t="s">
        <v>1097</v>
      </c>
      <c r="AA42" s="171" t="s">
        <v>79</v>
      </c>
      <c r="AB42" s="171" t="s">
        <v>11</v>
      </c>
      <c r="AC42" s="171">
        <v>18.8</v>
      </c>
      <c r="AD42" s="178"/>
      <c r="AG42" s="179"/>
      <c r="AL42" s="178"/>
      <c r="AO42" s="179"/>
      <c r="AP42" s="178"/>
      <c r="AS42" s="179"/>
      <c r="AW42" s="179"/>
      <c r="BA42" s="180"/>
    </row>
    <row r="43" spans="1:53" s="171" customFormat="1" x14ac:dyDescent="0.15">
      <c r="A43" s="171">
        <v>2010</v>
      </c>
      <c r="B43" s="306"/>
      <c r="C43" s="410" t="s">
        <v>1084</v>
      </c>
      <c r="D43" s="410"/>
      <c r="E43" s="171">
        <v>0</v>
      </c>
      <c r="G43" s="233">
        <v>13</v>
      </c>
      <c r="J43" s="241">
        <v>13</v>
      </c>
      <c r="K43" s="214">
        <f t="shared" si="0"/>
        <v>100</v>
      </c>
      <c r="L43" s="214">
        <f t="shared" si="1"/>
        <v>0</v>
      </c>
      <c r="M43" s="214">
        <f t="shared" si="2"/>
        <v>0</v>
      </c>
      <c r="N43" s="235">
        <f t="shared" si="3"/>
        <v>100</v>
      </c>
      <c r="O43" s="213">
        <v>49.5</v>
      </c>
      <c r="P43" s="214"/>
      <c r="Q43" s="214"/>
      <c r="R43" s="215">
        <f t="shared" si="5"/>
        <v>49.5</v>
      </c>
      <c r="S43" s="171">
        <v>5</v>
      </c>
      <c r="T43" s="285"/>
      <c r="U43" s="283"/>
      <c r="V43" s="178" t="s">
        <v>1091</v>
      </c>
      <c r="W43" s="171" t="s">
        <v>87</v>
      </c>
      <c r="X43" s="171" t="s">
        <v>11</v>
      </c>
      <c r="Y43" s="179">
        <v>30.7</v>
      </c>
      <c r="Z43" s="171" t="s">
        <v>1097</v>
      </c>
      <c r="AA43" s="171" t="s">
        <v>79</v>
      </c>
      <c r="AB43" s="171" t="s">
        <v>11</v>
      </c>
      <c r="AC43" s="171">
        <v>18.8</v>
      </c>
      <c r="AD43" s="178"/>
      <c r="AG43" s="179"/>
      <c r="AL43" s="178"/>
      <c r="AO43" s="179"/>
      <c r="AP43" s="178"/>
      <c r="AS43" s="179"/>
      <c r="AW43" s="179"/>
      <c r="BA43" s="180"/>
    </row>
    <row r="44" spans="1:53" s="171" customFormat="1" x14ac:dyDescent="0.15">
      <c r="A44" s="171">
        <v>2010</v>
      </c>
      <c r="B44" s="306"/>
      <c r="C44" s="410" t="s">
        <v>1084</v>
      </c>
      <c r="D44" s="410"/>
      <c r="E44" s="171">
        <v>365</v>
      </c>
      <c r="G44" s="233">
        <v>13</v>
      </c>
      <c r="J44" s="241">
        <v>13</v>
      </c>
      <c r="K44" s="214">
        <f t="shared" si="0"/>
        <v>100</v>
      </c>
      <c r="L44" s="214">
        <f t="shared" si="1"/>
        <v>0</v>
      </c>
      <c r="M44" s="214">
        <f t="shared" si="2"/>
        <v>0</v>
      </c>
      <c r="N44" s="235">
        <f t="shared" si="3"/>
        <v>100</v>
      </c>
      <c r="O44" s="213">
        <v>49.5</v>
      </c>
      <c r="P44" s="214"/>
      <c r="Q44" s="214"/>
      <c r="R44" s="215">
        <f t="shared" si="5"/>
        <v>49.5</v>
      </c>
      <c r="S44" s="171">
        <v>5</v>
      </c>
      <c r="T44" s="285"/>
      <c r="U44" s="283"/>
      <c r="V44" s="178" t="s">
        <v>1091</v>
      </c>
      <c r="W44" s="171" t="s">
        <v>87</v>
      </c>
      <c r="X44" s="171" t="s">
        <v>11</v>
      </c>
      <c r="Y44" s="179">
        <v>30.7</v>
      </c>
      <c r="Z44" s="171" t="s">
        <v>1097</v>
      </c>
      <c r="AA44" s="171" t="s">
        <v>79</v>
      </c>
      <c r="AB44" s="171" t="s">
        <v>11</v>
      </c>
      <c r="AC44" s="171">
        <v>18.8</v>
      </c>
      <c r="AD44" s="178"/>
      <c r="AG44" s="179"/>
      <c r="AL44" s="178"/>
      <c r="AO44" s="179"/>
      <c r="AP44" s="178"/>
      <c r="AS44" s="179"/>
      <c r="AW44" s="179"/>
      <c r="BA44" s="180"/>
    </row>
    <row r="45" spans="1:53" s="171" customFormat="1" x14ac:dyDescent="0.15">
      <c r="A45" s="171">
        <v>2011</v>
      </c>
      <c r="B45" s="306"/>
      <c r="C45" s="410" t="s">
        <v>1084</v>
      </c>
      <c r="D45" s="410"/>
      <c r="E45" s="171">
        <v>95</v>
      </c>
      <c r="G45" s="233">
        <v>13</v>
      </c>
      <c r="J45" s="241">
        <v>13</v>
      </c>
      <c r="K45" s="214">
        <f t="shared" ref="K45:K52" si="6">G45/J45*100</f>
        <v>100</v>
      </c>
      <c r="L45" s="214">
        <f t="shared" ref="L45:L52" si="7">H45/J45*100</f>
        <v>0</v>
      </c>
      <c r="M45" s="214">
        <f t="shared" ref="M45:M52" si="8">I45/J45*100</f>
        <v>0</v>
      </c>
      <c r="N45" s="235">
        <f t="shared" si="3"/>
        <v>100</v>
      </c>
      <c r="O45" s="213">
        <v>49.5</v>
      </c>
      <c r="P45" s="214"/>
      <c r="Q45" s="214"/>
      <c r="R45" s="215">
        <f t="shared" si="5"/>
        <v>49.5</v>
      </c>
      <c r="S45" s="171">
        <v>5</v>
      </c>
      <c r="T45" s="285"/>
      <c r="U45" s="283"/>
      <c r="V45" s="178" t="s">
        <v>1091</v>
      </c>
      <c r="W45" s="171" t="s">
        <v>87</v>
      </c>
      <c r="X45" s="171" t="s">
        <v>11</v>
      </c>
      <c r="Y45" s="179">
        <v>30.7</v>
      </c>
      <c r="Z45" s="171" t="s">
        <v>1097</v>
      </c>
      <c r="AA45" s="171" t="s">
        <v>79</v>
      </c>
      <c r="AB45" s="171" t="s">
        <v>11</v>
      </c>
      <c r="AC45" s="171">
        <v>18.8</v>
      </c>
      <c r="AD45" s="178"/>
      <c r="AG45" s="179"/>
      <c r="AL45" s="178"/>
      <c r="AO45" s="179"/>
      <c r="AP45" s="178"/>
      <c r="AS45" s="179"/>
      <c r="AW45" s="179"/>
      <c r="BA45" s="180"/>
    </row>
    <row r="46" spans="1:53" s="29" customFormat="1" x14ac:dyDescent="0.15">
      <c r="A46" s="29">
        <v>2011</v>
      </c>
      <c r="B46" s="277">
        <v>40639</v>
      </c>
      <c r="C46" s="411" t="s">
        <v>1085</v>
      </c>
      <c r="D46" s="411"/>
      <c r="E46" s="29">
        <v>270</v>
      </c>
      <c r="F46" s="29">
        <v>1</v>
      </c>
      <c r="G46" s="66">
        <v>13</v>
      </c>
      <c r="J46" s="73">
        <v>13</v>
      </c>
      <c r="K46" s="47">
        <f t="shared" si="6"/>
        <v>100</v>
      </c>
      <c r="L46" s="47">
        <f t="shared" si="7"/>
        <v>0</v>
      </c>
      <c r="M46" s="47">
        <f t="shared" si="8"/>
        <v>0</v>
      </c>
      <c r="N46" s="68">
        <f t="shared" si="3"/>
        <v>100</v>
      </c>
      <c r="O46" s="46">
        <v>55.5</v>
      </c>
      <c r="P46" s="47"/>
      <c r="Q46" s="47"/>
      <c r="R46" s="48">
        <f t="shared" si="5"/>
        <v>55.5</v>
      </c>
      <c r="S46" s="29">
        <v>2</v>
      </c>
      <c r="T46" s="286">
        <v>40608</v>
      </c>
      <c r="U46" s="295">
        <v>40639</v>
      </c>
      <c r="V46" s="38" t="s">
        <v>1091</v>
      </c>
      <c r="W46" s="29" t="s">
        <v>87</v>
      </c>
      <c r="X46" s="29" t="s">
        <v>11</v>
      </c>
      <c r="Y46" s="39">
        <v>32.700000000000003</v>
      </c>
      <c r="Z46" s="29" t="s">
        <v>1097</v>
      </c>
      <c r="AA46" s="29" t="s">
        <v>79</v>
      </c>
      <c r="AB46" s="29" t="s">
        <v>11</v>
      </c>
      <c r="AC46" s="29">
        <v>22.8</v>
      </c>
      <c r="AD46" s="38"/>
      <c r="AG46" s="39"/>
      <c r="AL46" s="38"/>
      <c r="AO46" s="39"/>
      <c r="AP46" s="38"/>
      <c r="AS46" s="39"/>
      <c r="AW46" s="39"/>
      <c r="BA46" s="40"/>
    </row>
    <row r="47" spans="1:53" s="29" customFormat="1" x14ac:dyDescent="0.15">
      <c r="A47" s="29">
        <v>2012</v>
      </c>
      <c r="B47" s="277"/>
      <c r="C47" s="411" t="s">
        <v>1085</v>
      </c>
      <c r="D47" s="411"/>
      <c r="E47" s="29">
        <v>0</v>
      </c>
      <c r="G47" s="66">
        <v>13</v>
      </c>
      <c r="J47" s="73">
        <v>13</v>
      </c>
      <c r="K47" s="47">
        <f t="shared" si="6"/>
        <v>100</v>
      </c>
      <c r="L47" s="47">
        <f t="shared" si="7"/>
        <v>0</v>
      </c>
      <c r="M47" s="47">
        <f t="shared" si="8"/>
        <v>0</v>
      </c>
      <c r="N47" s="68">
        <f t="shared" si="3"/>
        <v>100</v>
      </c>
      <c r="O47" s="46">
        <v>55.5</v>
      </c>
      <c r="P47" s="47"/>
      <c r="Q47" s="47"/>
      <c r="R47" s="48">
        <f t="shared" si="5"/>
        <v>55.5</v>
      </c>
      <c r="S47" s="29">
        <v>2</v>
      </c>
      <c r="T47" s="286"/>
      <c r="U47" s="295"/>
      <c r="V47" s="38" t="s">
        <v>1091</v>
      </c>
      <c r="W47" s="29" t="s">
        <v>87</v>
      </c>
      <c r="X47" s="29" t="s">
        <v>11</v>
      </c>
      <c r="Y47" s="39">
        <v>32.700000000000003</v>
      </c>
      <c r="Z47" s="29" t="s">
        <v>1097</v>
      </c>
      <c r="AA47" s="29" t="s">
        <v>79</v>
      </c>
      <c r="AB47" s="29" t="s">
        <v>11</v>
      </c>
      <c r="AC47" s="29">
        <v>22.8</v>
      </c>
      <c r="AD47" s="38"/>
      <c r="AG47" s="39"/>
      <c r="AL47" s="38"/>
      <c r="AO47" s="39"/>
      <c r="AP47" s="38"/>
      <c r="AS47" s="39"/>
      <c r="AW47" s="39"/>
      <c r="BA47" s="40"/>
    </row>
    <row r="48" spans="1:53" s="29" customFormat="1" x14ac:dyDescent="0.15">
      <c r="A48" s="29">
        <v>2012</v>
      </c>
      <c r="B48" s="277"/>
      <c r="C48" s="411" t="s">
        <v>1085</v>
      </c>
      <c r="D48" s="411"/>
      <c r="E48" s="29">
        <v>366</v>
      </c>
      <c r="G48" s="66">
        <v>13</v>
      </c>
      <c r="J48" s="73">
        <v>13</v>
      </c>
      <c r="K48" s="47">
        <f t="shared" si="6"/>
        <v>100</v>
      </c>
      <c r="L48" s="47">
        <f t="shared" si="7"/>
        <v>0</v>
      </c>
      <c r="M48" s="47">
        <f t="shared" si="8"/>
        <v>0</v>
      </c>
      <c r="N48" s="68">
        <f t="shared" si="3"/>
        <v>100</v>
      </c>
      <c r="O48" s="46">
        <v>55.5</v>
      </c>
      <c r="P48" s="47"/>
      <c r="Q48" s="47"/>
      <c r="R48" s="48">
        <f t="shared" si="5"/>
        <v>55.5</v>
      </c>
      <c r="S48" s="29">
        <v>2</v>
      </c>
      <c r="T48" s="286"/>
      <c r="U48" s="295"/>
      <c r="V48" s="38" t="s">
        <v>1091</v>
      </c>
      <c r="W48" s="29" t="s">
        <v>87</v>
      </c>
      <c r="X48" s="29" t="s">
        <v>11</v>
      </c>
      <c r="Y48" s="39">
        <v>32.700000000000003</v>
      </c>
      <c r="Z48" s="29" t="s">
        <v>1097</v>
      </c>
      <c r="AA48" s="29" t="s">
        <v>79</v>
      </c>
      <c r="AB48" s="29" t="s">
        <v>11</v>
      </c>
      <c r="AC48" s="29">
        <v>22.8</v>
      </c>
      <c r="AD48" s="38"/>
      <c r="AG48" s="39"/>
      <c r="AL48" s="38"/>
      <c r="AO48" s="39"/>
      <c r="AP48" s="38"/>
      <c r="AS48" s="39"/>
      <c r="AW48" s="39"/>
      <c r="BA48" s="40"/>
    </row>
    <row r="49" spans="1:53" s="29" customFormat="1" x14ac:dyDescent="0.15">
      <c r="A49" s="29">
        <v>2013</v>
      </c>
      <c r="B49" s="277"/>
      <c r="C49" s="411" t="s">
        <v>1085</v>
      </c>
      <c r="D49" s="411"/>
      <c r="E49" s="29">
        <v>0</v>
      </c>
      <c r="G49" s="66">
        <v>13</v>
      </c>
      <c r="J49" s="73">
        <v>13</v>
      </c>
      <c r="K49" s="47">
        <f t="shared" si="6"/>
        <v>100</v>
      </c>
      <c r="L49" s="47">
        <f t="shared" si="7"/>
        <v>0</v>
      </c>
      <c r="M49" s="47">
        <f t="shared" si="8"/>
        <v>0</v>
      </c>
      <c r="N49" s="68">
        <f t="shared" si="3"/>
        <v>100</v>
      </c>
      <c r="O49" s="46">
        <v>55.5</v>
      </c>
      <c r="P49" s="47"/>
      <c r="Q49" s="47"/>
      <c r="R49" s="48">
        <f>SUM(O49:Q49)</f>
        <v>55.5</v>
      </c>
      <c r="S49" s="29">
        <v>2</v>
      </c>
      <c r="T49" s="286"/>
      <c r="U49" s="295"/>
      <c r="V49" s="38" t="s">
        <v>1091</v>
      </c>
      <c r="W49" s="29" t="s">
        <v>87</v>
      </c>
      <c r="X49" s="29" t="s">
        <v>11</v>
      </c>
      <c r="Y49" s="39">
        <v>32.700000000000003</v>
      </c>
      <c r="Z49" s="29" t="s">
        <v>1097</v>
      </c>
      <c r="AA49" s="29" t="s">
        <v>79</v>
      </c>
      <c r="AB49" s="29" t="s">
        <v>11</v>
      </c>
      <c r="AC49" s="29">
        <v>22.8</v>
      </c>
      <c r="AD49" s="38"/>
      <c r="AG49" s="39"/>
      <c r="AL49" s="38"/>
      <c r="AO49" s="39"/>
      <c r="AP49" s="38"/>
      <c r="AS49" s="39"/>
      <c r="AW49" s="39"/>
      <c r="BA49" s="40"/>
    </row>
    <row r="50" spans="1:53" s="29" customFormat="1" x14ac:dyDescent="0.15">
      <c r="A50" s="29">
        <v>2013</v>
      </c>
      <c r="B50" s="277"/>
      <c r="C50" s="411" t="s">
        <v>1085</v>
      </c>
      <c r="D50" s="411"/>
      <c r="E50" s="29">
        <v>365</v>
      </c>
      <c r="G50" s="66">
        <v>13</v>
      </c>
      <c r="J50" s="73">
        <v>13</v>
      </c>
      <c r="K50" s="47">
        <f t="shared" si="6"/>
        <v>100</v>
      </c>
      <c r="L50" s="47">
        <f t="shared" si="7"/>
        <v>0</v>
      </c>
      <c r="M50" s="47">
        <f t="shared" si="8"/>
        <v>0</v>
      </c>
      <c r="N50" s="68">
        <f t="shared" si="3"/>
        <v>100</v>
      </c>
      <c r="O50" s="46">
        <v>55.5</v>
      </c>
      <c r="P50" s="47"/>
      <c r="Q50" s="47"/>
      <c r="R50" s="48">
        <f>SUM(O50:Q50)</f>
        <v>55.5</v>
      </c>
      <c r="S50" s="29">
        <v>2</v>
      </c>
      <c r="T50" s="286"/>
      <c r="U50" s="295"/>
      <c r="V50" s="38" t="s">
        <v>1091</v>
      </c>
      <c r="W50" s="29" t="s">
        <v>87</v>
      </c>
      <c r="X50" s="29" t="s">
        <v>11</v>
      </c>
      <c r="Y50" s="39">
        <v>32.700000000000003</v>
      </c>
      <c r="Z50" s="29" t="s">
        <v>1097</v>
      </c>
      <c r="AA50" s="29" t="s">
        <v>79</v>
      </c>
      <c r="AB50" s="29" t="s">
        <v>11</v>
      </c>
      <c r="AC50" s="29">
        <v>22.8</v>
      </c>
      <c r="AD50" s="38"/>
      <c r="AG50" s="39"/>
      <c r="AL50" s="38"/>
      <c r="AO50" s="39"/>
      <c r="AP50" s="38"/>
      <c r="AS50" s="39"/>
      <c r="AW50" s="39"/>
      <c r="BA50" s="40"/>
    </row>
    <row r="51" spans="1:53" s="29" customFormat="1" x14ac:dyDescent="0.15">
      <c r="A51" s="29">
        <v>2014</v>
      </c>
      <c r="B51" s="277"/>
      <c r="C51" s="411" t="s">
        <v>1085</v>
      </c>
      <c r="D51" s="411"/>
      <c r="E51" s="29">
        <v>84</v>
      </c>
      <c r="G51" s="66">
        <v>13</v>
      </c>
      <c r="J51" s="73">
        <v>13</v>
      </c>
      <c r="K51" s="47">
        <f t="shared" si="6"/>
        <v>100</v>
      </c>
      <c r="L51" s="47">
        <f t="shared" si="7"/>
        <v>0</v>
      </c>
      <c r="M51" s="47">
        <f t="shared" si="8"/>
        <v>0</v>
      </c>
      <c r="N51" s="68">
        <f t="shared" si="3"/>
        <v>100</v>
      </c>
      <c r="O51" s="46">
        <v>55.5</v>
      </c>
      <c r="P51" s="47"/>
      <c r="Q51" s="47"/>
      <c r="R51" s="48">
        <f>SUM(O51:Q51)</f>
        <v>55.5</v>
      </c>
      <c r="S51" s="29">
        <v>2</v>
      </c>
      <c r="T51" s="286"/>
      <c r="U51" s="295"/>
      <c r="V51" s="38" t="s">
        <v>1091</v>
      </c>
      <c r="W51" s="29" t="s">
        <v>87</v>
      </c>
      <c r="X51" s="29" t="s">
        <v>11</v>
      </c>
      <c r="Y51" s="39">
        <v>32.700000000000003</v>
      </c>
      <c r="Z51" s="29" t="s">
        <v>1097</v>
      </c>
      <c r="AA51" s="29" t="s">
        <v>79</v>
      </c>
      <c r="AB51" s="29" t="s">
        <v>11</v>
      </c>
      <c r="AC51" s="29">
        <v>22.8</v>
      </c>
      <c r="AD51" s="38"/>
      <c r="AG51" s="39"/>
      <c r="AL51" s="38"/>
      <c r="AO51" s="39"/>
      <c r="AP51" s="38"/>
      <c r="AS51" s="39"/>
      <c r="AW51" s="39"/>
      <c r="BA51" s="40"/>
    </row>
    <row r="52" spans="1:53" s="171" customFormat="1" x14ac:dyDescent="0.15">
      <c r="A52" s="171">
        <v>2014</v>
      </c>
      <c r="B52" s="306">
        <v>41724</v>
      </c>
      <c r="C52" s="410" t="s">
        <v>1286</v>
      </c>
      <c r="D52" s="410"/>
      <c r="E52" s="171">
        <v>281</v>
      </c>
      <c r="F52" s="171">
        <v>2</v>
      </c>
      <c r="G52" s="233">
        <v>8</v>
      </c>
      <c r="I52" s="171">
        <v>6</v>
      </c>
      <c r="J52" s="241">
        <v>14</v>
      </c>
      <c r="K52" s="214">
        <f t="shared" si="6"/>
        <v>57.142857142857139</v>
      </c>
      <c r="L52" s="214">
        <f t="shared" si="7"/>
        <v>0</v>
      </c>
      <c r="M52" s="214">
        <f t="shared" si="8"/>
        <v>42.857142857142854</v>
      </c>
      <c r="N52" s="235">
        <f t="shared" si="3"/>
        <v>100</v>
      </c>
      <c r="O52" s="213">
        <v>33.700000000000003</v>
      </c>
      <c r="P52" s="214"/>
      <c r="Q52" s="214">
        <v>20.8</v>
      </c>
      <c r="R52" s="215">
        <f>SUM(O52:Q52)</f>
        <v>54.5</v>
      </c>
      <c r="S52" s="171">
        <v>2</v>
      </c>
      <c r="T52" s="285"/>
      <c r="U52" s="283">
        <v>41724</v>
      </c>
      <c r="V52" s="178" t="s">
        <v>1091</v>
      </c>
      <c r="W52" s="171" t="s">
        <v>87</v>
      </c>
      <c r="X52" s="171" t="s">
        <v>11</v>
      </c>
      <c r="Y52" s="179">
        <v>33.700000000000003</v>
      </c>
      <c r="Z52" s="171" t="s">
        <v>1098</v>
      </c>
      <c r="AA52" s="171" t="s">
        <v>97</v>
      </c>
      <c r="AB52" s="171" t="s">
        <v>12</v>
      </c>
      <c r="AC52" s="171">
        <v>20.8</v>
      </c>
      <c r="AD52" s="178"/>
      <c r="AG52" s="179"/>
      <c r="AL52" s="178"/>
      <c r="AO52" s="179"/>
      <c r="AP52" s="178"/>
      <c r="AS52" s="179"/>
      <c r="AW52" s="179"/>
      <c r="BA52" s="180"/>
    </row>
    <row r="53" spans="1:53" s="171" customFormat="1" x14ac:dyDescent="0.15">
      <c r="A53" s="171">
        <v>2015</v>
      </c>
      <c r="B53" s="306"/>
      <c r="C53" s="410" t="s">
        <v>1286</v>
      </c>
      <c r="D53" s="410"/>
      <c r="E53" s="171">
        <v>98</v>
      </c>
      <c r="G53" s="233">
        <v>8</v>
      </c>
      <c r="I53" s="171">
        <v>6</v>
      </c>
      <c r="J53" s="241">
        <v>14</v>
      </c>
      <c r="K53" s="214">
        <f t="shared" ref="K53" si="9">G53/J53*100</f>
        <v>57.142857142857139</v>
      </c>
      <c r="L53" s="214">
        <f t="shared" ref="L53:L54" si="10">H53/J53*100</f>
        <v>0</v>
      </c>
      <c r="M53" s="214">
        <f t="shared" ref="M53:M54" si="11">I53/J53*100</f>
        <v>42.857142857142854</v>
      </c>
      <c r="N53" s="235">
        <f t="shared" ref="N53:N54" si="12">SUM(K53:M53)</f>
        <v>100</v>
      </c>
      <c r="O53" s="213">
        <v>33.700000000000003</v>
      </c>
      <c r="P53" s="214"/>
      <c r="Q53" s="214">
        <v>20.8</v>
      </c>
      <c r="R53" s="215">
        <f>SUM(O53:Q53)</f>
        <v>54.5</v>
      </c>
      <c r="S53" s="171">
        <v>2</v>
      </c>
      <c r="T53" s="285"/>
      <c r="U53" s="283"/>
      <c r="V53" s="178" t="s">
        <v>1091</v>
      </c>
      <c r="W53" s="171" t="s">
        <v>87</v>
      </c>
      <c r="X53" s="171" t="s">
        <v>11</v>
      </c>
      <c r="Y53" s="179">
        <v>33.700000000000003</v>
      </c>
      <c r="Z53" s="171" t="s">
        <v>1098</v>
      </c>
      <c r="AA53" s="171" t="s">
        <v>97</v>
      </c>
      <c r="AB53" s="171" t="s">
        <v>12</v>
      </c>
      <c r="AC53" s="171">
        <v>20.8</v>
      </c>
      <c r="AD53" s="178"/>
      <c r="AG53" s="179"/>
      <c r="AL53" s="178"/>
      <c r="AO53" s="179"/>
      <c r="AP53" s="178"/>
      <c r="AS53" s="179"/>
      <c r="AW53" s="179"/>
      <c r="BA53" s="180"/>
    </row>
    <row r="54" spans="1:53" s="29" customFormat="1" x14ac:dyDescent="0.15">
      <c r="A54" s="29">
        <v>2015</v>
      </c>
      <c r="B54" s="277">
        <v>42103</v>
      </c>
      <c r="C54" s="411" t="s">
        <v>1316</v>
      </c>
      <c r="D54" s="411"/>
      <c r="E54" s="29">
        <v>98</v>
      </c>
      <c r="F54" s="29">
        <v>1</v>
      </c>
      <c r="G54" s="66">
        <v>11</v>
      </c>
      <c r="I54" s="29">
        <v>4</v>
      </c>
      <c r="J54" s="73">
        <v>15</v>
      </c>
      <c r="K54" s="47">
        <f>G54/J54*100</f>
        <v>73.333333333333329</v>
      </c>
      <c r="L54" s="47">
        <f t="shared" si="10"/>
        <v>0</v>
      </c>
      <c r="M54" s="47">
        <f t="shared" si="11"/>
        <v>26.666666666666668</v>
      </c>
      <c r="N54" s="68">
        <f t="shared" si="12"/>
        <v>100</v>
      </c>
      <c r="O54" s="46">
        <v>43.6</v>
      </c>
      <c r="P54" s="47"/>
      <c r="Q54" s="47">
        <v>14.9</v>
      </c>
      <c r="R54" s="48">
        <f t="shared" ref="R54:R55" si="13">SUM(O54:Q54)</f>
        <v>58.5</v>
      </c>
      <c r="S54" s="29">
        <v>2</v>
      </c>
      <c r="T54" s="286">
        <v>42064</v>
      </c>
      <c r="U54" s="277">
        <v>42103</v>
      </c>
      <c r="V54" s="38" t="s">
        <v>1091</v>
      </c>
      <c r="W54" s="29" t="s">
        <v>87</v>
      </c>
      <c r="X54" s="29" t="s">
        <v>11</v>
      </c>
      <c r="Y54" s="39">
        <v>29.7</v>
      </c>
      <c r="Z54" s="29" t="s">
        <v>1098</v>
      </c>
      <c r="AA54" s="29" t="s">
        <v>97</v>
      </c>
      <c r="AB54" s="29" t="s">
        <v>12</v>
      </c>
      <c r="AC54" s="29">
        <v>14.9</v>
      </c>
      <c r="AD54" s="38" t="s">
        <v>1097</v>
      </c>
      <c r="AE54" s="29" t="s">
        <v>79</v>
      </c>
      <c r="AF54" s="29" t="s">
        <v>11</v>
      </c>
      <c r="AG54" s="39">
        <v>13.9</v>
      </c>
      <c r="AL54" s="38"/>
      <c r="AO54" s="39"/>
      <c r="AP54" s="38"/>
      <c r="AS54" s="39"/>
      <c r="AW54" s="39"/>
      <c r="BA54" s="40"/>
    </row>
    <row r="55" spans="1:53" s="29" customFormat="1" x14ac:dyDescent="0.15">
      <c r="A55" s="29">
        <v>2015</v>
      </c>
      <c r="B55" s="303">
        <v>42201</v>
      </c>
      <c r="C55" s="411" t="s">
        <v>1316</v>
      </c>
      <c r="D55" s="411"/>
      <c r="E55" s="29">
        <v>169</v>
      </c>
      <c r="F55" s="84">
        <v>0</v>
      </c>
      <c r="G55" s="66">
        <v>10</v>
      </c>
      <c r="I55" s="29">
        <v>4</v>
      </c>
      <c r="J55" s="73">
        <v>15</v>
      </c>
      <c r="K55" s="47">
        <f t="shared" ref="K55:K56" si="14">G55/J55*100</f>
        <v>66.666666666666657</v>
      </c>
      <c r="L55" s="47">
        <f t="shared" ref="L55:L56" si="15">H55/J55*100</f>
        <v>0</v>
      </c>
      <c r="M55" s="47">
        <f t="shared" ref="M55:M56" si="16">I55/J55*100</f>
        <v>26.666666666666668</v>
      </c>
      <c r="N55" s="68">
        <f t="shared" ref="N55:N56" si="17">SUM(K55:M55)</f>
        <v>93.333333333333329</v>
      </c>
      <c r="O55" s="46">
        <v>43.6</v>
      </c>
      <c r="P55" s="47"/>
      <c r="Q55" s="47">
        <v>14.9</v>
      </c>
      <c r="R55" s="48">
        <f t="shared" si="13"/>
        <v>58.5</v>
      </c>
      <c r="S55" s="29">
        <v>2</v>
      </c>
      <c r="T55" s="286"/>
      <c r="U55" s="295"/>
      <c r="V55" s="38" t="s">
        <v>1091</v>
      </c>
      <c r="W55" s="29" t="s">
        <v>87</v>
      </c>
      <c r="X55" s="29" t="s">
        <v>11</v>
      </c>
      <c r="Y55" s="39">
        <v>29.7</v>
      </c>
      <c r="Z55" s="29" t="s">
        <v>1098</v>
      </c>
      <c r="AA55" s="29" t="s">
        <v>97</v>
      </c>
      <c r="AB55" s="29" t="s">
        <v>12</v>
      </c>
      <c r="AC55" s="29">
        <v>14.9</v>
      </c>
      <c r="AD55" s="38" t="s">
        <v>1097</v>
      </c>
      <c r="AE55" s="29" t="s">
        <v>79</v>
      </c>
      <c r="AF55" s="29" t="s">
        <v>11</v>
      </c>
      <c r="AG55" s="39">
        <v>13.9</v>
      </c>
      <c r="AL55" s="38"/>
      <c r="AO55" s="39"/>
      <c r="AP55" s="38"/>
      <c r="AS55" s="39"/>
      <c r="AW55" s="39"/>
      <c r="BA55" s="40"/>
    </row>
    <row r="56" spans="1:53" s="29" customFormat="1" x14ac:dyDescent="0.15">
      <c r="A56" s="29">
        <v>2016</v>
      </c>
      <c r="B56" s="303"/>
      <c r="C56" s="411" t="s">
        <v>1316</v>
      </c>
      <c r="D56" s="411"/>
      <c r="E56" s="29">
        <v>255</v>
      </c>
      <c r="F56" s="84"/>
      <c r="G56" s="66">
        <v>10</v>
      </c>
      <c r="I56" s="29">
        <v>4</v>
      </c>
      <c r="J56" s="73">
        <v>15</v>
      </c>
      <c r="K56" s="47">
        <f t="shared" si="14"/>
        <v>66.666666666666657</v>
      </c>
      <c r="L56" s="47">
        <f t="shared" si="15"/>
        <v>0</v>
      </c>
      <c r="M56" s="47">
        <f t="shared" si="16"/>
        <v>26.666666666666668</v>
      </c>
      <c r="N56" s="68">
        <f t="shared" si="17"/>
        <v>93.333333333333329</v>
      </c>
      <c r="O56" s="46">
        <v>43.6</v>
      </c>
      <c r="P56" s="47"/>
      <c r="Q56" s="47">
        <v>14.9</v>
      </c>
      <c r="R56" s="48">
        <f t="shared" ref="R56:R57" si="18">SUM(O56:Q56)</f>
        <v>58.5</v>
      </c>
      <c r="S56" s="29">
        <v>2</v>
      </c>
      <c r="T56" s="286"/>
      <c r="U56" s="295"/>
      <c r="V56" s="38" t="s">
        <v>1091</v>
      </c>
      <c r="W56" s="29" t="s">
        <v>87</v>
      </c>
      <c r="X56" s="29" t="s">
        <v>11</v>
      </c>
      <c r="Y56" s="39">
        <v>29.7</v>
      </c>
      <c r="Z56" s="29" t="s">
        <v>1098</v>
      </c>
      <c r="AA56" s="29" t="s">
        <v>97</v>
      </c>
      <c r="AB56" s="29" t="s">
        <v>12</v>
      </c>
      <c r="AC56" s="29">
        <v>14.9</v>
      </c>
      <c r="AD56" s="38" t="s">
        <v>1097</v>
      </c>
      <c r="AE56" s="29" t="s">
        <v>79</v>
      </c>
      <c r="AF56" s="29" t="s">
        <v>11</v>
      </c>
      <c r="AG56" s="39">
        <v>13.9</v>
      </c>
      <c r="AL56" s="38"/>
      <c r="AO56" s="39"/>
      <c r="AP56" s="38"/>
      <c r="AS56" s="39"/>
      <c r="AW56" s="39"/>
      <c r="BA56" s="40"/>
    </row>
    <row r="57" spans="1:53" s="29" customFormat="1" x14ac:dyDescent="0.15">
      <c r="A57" s="29">
        <v>2016</v>
      </c>
      <c r="B57" s="303">
        <v>42625</v>
      </c>
      <c r="C57" s="411" t="s">
        <v>1316</v>
      </c>
      <c r="D57" s="411"/>
      <c r="E57" s="29">
        <v>72</v>
      </c>
      <c r="F57" s="84">
        <v>0</v>
      </c>
      <c r="G57" s="66">
        <v>11</v>
      </c>
      <c r="I57" s="29">
        <v>4</v>
      </c>
      <c r="J57" s="73">
        <v>15</v>
      </c>
      <c r="K57" s="47">
        <f>G57/J57*100</f>
        <v>73.333333333333329</v>
      </c>
      <c r="L57" s="47">
        <f t="shared" ref="L57" si="19">H57/J57*100</f>
        <v>0</v>
      </c>
      <c r="M57" s="47">
        <f t="shared" ref="M57" si="20">I57/J57*100</f>
        <v>26.666666666666668</v>
      </c>
      <c r="N57" s="68">
        <f>SUM(K57:M57)</f>
        <v>100</v>
      </c>
      <c r="O57" s="46">
        <v>43.6</v>
      </c>
      <c r="P57" s="47"/>
      <c r="Q57" s="47">
        <v>14.9</v>
      </c>
      <c r="R57" s="48">
        <f t="shared" si="18"/>
        <v>58.5</v>
      </c>
      <c r="S57" s="29">
        <v>2</v>
      </c>
      <c r="T57" s="286"/>
      <c r="U57" s="295"/>
      <c r="V57" s="38" t="s">
        <v>1091</v>
      </c>
      <c r="W57" s="29" t="s">
        <v>87</v>
      </c>
      <c r="X57" s="29" t="s">
        <v>11</v>
      </c>
      <c r="Y57" s="39">
        <v>29.7</v>
      </c>
      <c r="Z57" s="29" t="s">
        <v>1098</v>
      </c>
      <c r="AA57" s="29" t="s">
        <v>97</v>
      </c>
      <c r="AB57" s="29" t="s">
        <v>12</v>
      </c>
      <c r="AC57" s="29">
        <v>14.9</v>
      </c>
      <c r="AD57" s="38" t="s">
        <v>1097</v>
      </c>
      <c r="AE57" s="29" t="s">
        <v>79</v>
      </c>
      <c r="AF57" s="29" t="s">
        <v>11</v>
      </c>
      <c r="AG57" s="39">
        <v>13.9</v>
      </c>
      <c r="AL57" s="38"/>
      <c r="AO57" s="39"/>
      <c r="AP57" s="38"/>
      <c r="AS57" s="39"/>
      <c r="AW57" s="39"/>
      <c r="BA57" s="40"/>
    </row>
    <row r="58" spans="1:53" s="171" customFormat="1" x14ac:dyDescent="0.15">
      <c r="A58" s="171">
        <v>2016</v>
      </c>
      <c r="B58" s="283">
        <v>42697</v>
      </c>
      <c r="C58" s="410" t="s">
        <v>1354</v>
      </c>
      <c r="D58" s="410"/>
      <c r="E58" s="171">
        <v>39</v>
      </c>
      <c r="F58" s="171">
        <v>5</v>
      </c>
      <c r="G58" s="233">
        <v>5</v>
      </c>
      <c r="H58" s="171">
        <v>5</v>
      </c>
      <c r="I58" s="171">
        <v>5</v>
      </c>
      <c r="J58" s="241">
        <v>15</v>
      </c>
      <c r="K58" s="214">
        <f t="shared" ref="K58" si="21">G58/J58*100</f>
        <v>33.333333333333329</v>
      </c>
      <c r="L58" s="214">
        <f t="shared" ref="L58" si="22">H58/J58*100</f>
        <v>33.333333333333329</v>
      </c>
      <c r="M58" s="214">
        <f t="shared" ref="M58" si="23">I58/J58*100</f>
        <v>33.333333333333329</v>
      </c>
      <c r="N58" s="235">
        <f>SUM(K58:M58)</f>
        <v>99.999999999999986</v>
      </c>
      <c r="O58" s="213">
        <v>13.9</v>
      </c>
      <c r="P58" s="214">
        <v>26.7</v>
      </c>
      <c r="Q58" s="214">
        <v>14.9</v>
      </c>
      <c r="R58" s="215">
        <f>SUM(O58:Q58)</f>
        <v>55.5</v>
      </c>
      <c r="S58" s="171">
        <v>2</v>
      </c>
      <c r="T58" s="285"/>
      <c r="U58" s="283">
        <v>42697</v>
      </c>
      <c r="V58" s="178" t="s">
        <v>1333</v>
      </c>
      <c r="W58" s="171" t="s">
        <v>99</v>
      </c>
      <c r="X58" s="171" t="s">
        <v>18</v>
      </c>
      <c r="Y58" s="179">
        <v>26.7</v>
      </c>
      <c r="Z58" s="171" t="s">
        <v>1098</v>
      </c>
      <c r="AA58" s="171" t="s">
        <v>97</v>
      </c>
      <c r="AB58" s="171" t="s">
        <v>12</v>
      </c>
      <c r="AC58" s="171">
        <v>14.9</v>
      </c>
      <c r="AD58" s="178" t="s">
        <v>1097</v>
      </c>
      <c r="AE58" s="171" t="s">
        <v>79</v>
      </c>
      <c r="AF58" s="171" t="s">
        <v>11</v>
      </c>
      <c r="AG58" s="179">
        <v>13.9</v>
      </c>
      <c r="AK58" s="179"/>
      <c r="AO58" s="179"/>
      <c r="AS58" s="179"/>
      <c r="AW58" s="179"/>
      <c r="BA58" s="180"/>
    </row>
    <row r="59" spans="1:53" s="171" customFormat="1" x14ac:dyDescent="0.15">
      <c r="A59" s="171">
        <v>2017</v>
      </c>
      <c r="B59" s="283"/>
      <c r="C59" s="410" t="s">
        <v>1354</v>
      </c>
      <c r="D59" s="410"/>
      <c r="E59" s="171">
        <v>0</v>
      </c>
      <c r="G59" s="233">
        <v>5</v>
      </c>
      <c r="H59" s="171">
        <v>5</v>
      </c>
      <c r="I59" s="171">
        <v>5</v>
      </c>
      <c r="J59" s="241">
        <v>15</v>
      </c>
      <c r="K59" s="214">
        <f t="shared" ref="K59:K60" si="24">G59/J59*100</f>
        <v>33.333333333333329</v>
      </c>
      <c r="L59" s="214">
        <f t="shared" ref="L59:L60" si="25">H59/J59*100</f>
        <v>33.333333333333329</v>
      </c>
      <c r="M59" s="214">
        <f t="shared" ref="M59:M60" si="26">I59/J59*100</f>
        <v>33.333333333333329</v>
      </c>
      <c r="N59" s="235">
        <f t="shared" ref="N59:N60" si="27">SUM(K59:M59)</f>
        <v>99.999999999999986</v>
      </c>
      <c r="O59" s="213">
        <v>13.9</v>
      </c>
      <c r="P59" s="214">
        <v>26.7</v>
      </c>
      <c r="Q59" s="214">
        <v>14.9</v>
      </c>
      <c r="R59" s="215">
        <f t="shared" ref="R59:R63" si="28">SUM(O59:Q59)</f>
        <v>55.5</v>
      </c>
      <c r="S59" s="171">
        <v>2</v>
      </c>
      <c r="T59" s="285"/>
      <c r="U59" s="283"/>
      <c r="V59" s="178" t="s">
        <v>1333</v>
      </c>
      <c r="W59" s="171" t="s">
        <v>99</v>
      </c>
      <c r="X59" s="171" t="s">
        <v>18</v>
      </c>
      <c r="Y59" s="179">
        <v>26.7</v>
      </c>
      <c r="Z59" s="171" t="s">
        <v>1098</v>
      </c>
      <c r="AA59" s="171" t="s">
        <v>97</v>
      </c>
      <c r="AB59" s="171" t="s">
        <v>12</v>
      </c>
      <c r="AC59" s="171">
        <v>14.9</v>
      </c>
      <c r="AD59" s="178" t="s">
        <v>1097</v>
      </c>
      <c r="AE59" s="171" t="s">
        <v>79</v>
      </c>
      <c r="AF59" s="171" t="s">
        <v>11</v>
      </c>
      <c r="AG59" s="179">
        <v>13.9</v>
      </c>
      <c r="AK59" s="179"/>
      <c r="AO59" s="179"/>
      <c r="AS59" s="179"/>
      <c r="AW59" s="179"/>
      <c r="BA59" s="180"/>
    </row>
    <row r="60" spans="1:53" s="171" customFormat="1" x14ac:dyDescent="0.15">
      <c r="A60" s="171">
        <v>2017</v>
      </c>
      <c r="B60" s="283"/>
      <c r="C60" s="410" t="s">
        <v>1354</v>
      </c>
      <c r="D60" s="410"/>
      <c r="E60" s="171">
        <v>365</v>
      </c>
      <c r="G60" s="233">
        <v>5</v>
      </c>
      <c r="H60" s="171">
        <v>5</v>
      </c>
      <c r="I60" s="171">
        <v>5</v>
      </c>
      <c r="J60" s="241">
        <v>15</v>
      </c>
      <c r="K60" s="214">
        <f t="shared" si="24"/>
        <v>33.333333333333329</v>
      </c>
      <c r="L60" s="214">
        <f t="shared" si="25"/>
        <v>33.333333333333329</v>
      </c>
      <c r="M60" s="214">
        <f t="shared" si="26"/>
        <v>33.333333333333329</v>
      </c>
      <c r="N60" s="235">
        <f t="shared" si="27"/>
        <v>99.999999999999986</v>
      </c>
      <c r="O60" s="213">
        <v>13.9</v>
      </c>
      <c r="P60" s="214">
        <v>26.7</v>
      </c>
      <c r="Q60" s="214">
        <v>14.9</v>
      </c>
      <c r="R60" s="215">
        <f t="shared" si="28"/>
        <v>55.5</v>
      </c>
      <c r="S60" s="171">
        <v>2</v>
      </c>
      <c r="T60" s="285"/>
      <c r="U60" s="283"/>
      <c r="V60" s="178" t="s">
        <v>1333</v>
      </c>
      <c r="W60" s="171" t="s">
        <v>99</v>
      </c>
      <c r="X60" s="171" t="s">
        <v>18</v>
      </c>
      <c r="Y60" s="179">
        <v>26.7</v>
      </c>
      <c r="Z60" s="171" t="s">
        <v>1098</v>
      </c>
      <c r="AA60" s="171" t="s">
        <v>97</v>
      </c>
      <c r="AB60" s="171" t="s">
        <v>12</v>
      </c>
      <c r="AC60" s="171">
        <v>14.9</v>
      </c>
      <c r="AD60" s="178" t="s">
        <v>1097</v>
      </c>
      <c r="AE60" s="171" t="s">
        <v>79</v>
      </c>
      <c r="AF60" s="171" t="s">
        <v>11</v>
      </c>
      <c r="AG60" s="179">
        <v>13.9</v>
      </c>
      <c r="AK60" s="179"/>
      <c r="AO60" s="179"/>
      <c r="AS60" s="179"/>
      <c r="AW60" s="179"/>
      <c r="BA60" s="180"/>
    </row>
    <row r="61" spans="1:53" s="171" customFormat="1" x14ac:dyDescent="0.15">
      <c r="A61" s="171">
        <v>2018</v>
      </c>
      <c r="B61" s="283"/>
      <c r="C61" s="410" t="s">
        <v>1354</v>
      </c>
      <c r="D61" s="410"/>
      <c r="E61" s="171">
        <v>0</v>
      </c>
      <c r="G61" s="233">
        <v>5</v>
      </c>
      <c r="H61" s="171">
        <v>5</v>
      </c>
      <c r="I61" s="171">
        <v>5</v>
      </c>
      <c r="J61" s="241">
        <v>15</v>
      </c>
      <c r="K61" s="214">
        <f t="shared" ref="K61:K62" si="29">G61/J61*100</f>
        <v>33.333333333333329</v>
      </c>
      <c r="L61" s="214">
        <f t="shared" ref="L61:L62" si="30">H61/J61*100</f>
        <v>33.333333333333329</v>
      </c>
      <c r="M61" s="214">
        <f t="shared" ref="M61:M62" si="31">I61/J61*100</f>
        <v>33.333333333333329</v>
      </c>
      <c r="N61" s="235">
        <f t="shared" ref="N61:N62" si="32">SUM(K61:M61)</f>
        <v>99.999999999999986</v>
      </c>
      <c r="O61" s="213">
        <v>13.9</v>
      </c>
      <c r="P61" s="214">
        <v>26.7</v>
      </c>
      <c r="Q61" s="214">
        <v>14.9</v>
      </c>
      <c r="R61" s="215">
        <f t="shared" si="28"/>
        <v>55.5</v>
      </c>
      <c r="S61" s="171">
        <v>2</v>
      </c>
      <c r="T61" s="285"/>
      <c r="U61" s="283"/>
      <c r="V61" s="178" t="s">
        <v>1333</v>
      </c>
      <c r="W61" s="171" t="s">
        <v>99</v>
      </c>
      <c r="X61" s="171" t="s">
        <v>18</v>
      </c>
      <c r="Y61" s="179">
        <v>26.7</v>
      </c>
      <c r="Z61" s="171" t="s">
        <v>1098</v>
      </c>
      <c r="AA61" s="171" t="s">
        <v>97</v>
      </c>
      <c r="AB61" s="171" t="s">
        <v>12</v>
      </c>
      <c r="AC61" s="171">
        <v>14.9</v>
      </c>
      <c r="AD61" s="178" t="s">
        <v>1097</v>
      </c>
      <c r="AE61" s="171" t="s">
        <v>79</v>
      </c>
      <c r="AF61" s="171" t="s">
        <v>11</v>
      </c>
      <c r="AG61" s="179">
        <v>13.9</v>
      </c>
      <c r="AK61" s="179"/>
      <c r="AO61" s="179"/>
      <c r="AS61" s="179"/>
      <c r="AW61" s="179"/>
      <c r="BA61" s="180"/>
    </row>
    <row r="62" spans="1:53" s="171" customFormat="1" x14ac:dyDescent="0.15">
      <c r="A62" s="171">
        <v>2018</v>
      </c>
      <c r="B62" s="283"/>
      <c r="C62" s="410" t="s">
        <v>1354</v>
      </c>
      <c r="D62" s="410"/>
      <c r="E62" s="171">
        <v>365</v>
      </c>
      <c r="G62" s="233">
        <v>5</v>
      </c>
      <c r="H62" s="171">
        <v>5</v>
      </c>
      <c r="I62" s="171">
        <v>5</v>
      </c>
      <c r="J62" s="241">
        <v>15</v>
      </c>
      <c r="K62" s="214">
        <f t="shared" si="29"/>
        <v>33.333333333333329</v>
      </c>
      <c r="L62" s="214">
        <f t="shared" si="30"/>
        <v>33.333333333333329</v>
      </c>
      <c r="M62" s="214">
        <f t="shared" si="31"/>
        <v>33.333333333333329</v>
      </c>
      <c r="N62" s="235">
        <f t="shared" si="32"/>
        <v>99.999999999999986</v>
      </c>
      <c r="O62" s="213">
        <v>13.9</v>
      </c>
      <c r="P62" s="214">
        <v>26.7</v>
      </c>
      <c r="Q62" s="214">
        <v>14.9</v>
      </c>
      <c r="R62" s="215">
        <f t="shared" si="28"/>
        <v>55.5</v>
      </c>
      <c r="S62" s="171">
        <v>2</v>
      </c>
      <c r="T62" s="285"/>
      <c r="U62" s="283"/>
      <c r="V62" s="178" t="s">
        <v>1333</v>
      </c>
      <c r="W62" s="171" t="s">
        <v>99</v>
      </c>
      <c r="X62" s="171" t="s">
        <v>18</v>
      </c>
      <c r="Y62" s="179">
        <v>26.7</v>
      </c>
      <c r="Z62" s="171" t="s">
        <v>1098</v>
      </c>
      <c r="AA62" s="171" t="s">
        <v>97</v>
      </c>
      <c r="AB62" s="171" t="s">
        <v>12</v>
      </c>
      <c r="AC62" s="171">
        <v>14.9</v>
      </c>
      <c r="AD62" s="178" t="s">
        <v>1097</v>
      </c>
      <c r="AE62" s="171" t="s">
        <v>79</v>
      </c>
      <c r="AF62" s="171" t="s">
        <v>11</v>
      </c>
      <c r="AG62" s="179">
        <v>13.9</v>
      </c>
      <c r="AK62" s="179"/>
      <c r="AO62" s="179"/>
      <c r="AS62" s="179"/>
      <c r="AW62" s="179"/>
      <c r="BA62" s="180"/>
    </row>
    <row r="63" spans="1:53" s="171" customFormat="1" x14ac:dyDescent="0.15">
      <c r="A63" s="171">
        <v>2019</v>
      </c>
      <c r="B63" s="283"/>
      <c r="C63" s="410" t="s">
        <v>1354</v>
      </c>
      <c r="D63" s="410"/>
      <c r="E63" s="171">
        <v>118</v>
      </c>
      <c r="G63" s="233">
        <v>5</v>
      </c>
      <c r="H63" s="171">
        <v>5</v>
      </c>
      <c r="I63" s="171">
        <v>5</v>
      </c>
      <c r="J63" s="241">
        <v>15</v>
      </c>
      <c r="K63" s="214">
        <f t="shared" ref="K63:K66" si="33">G63/J63*100</f>
        <v>33.333333333333329</v>
      </c>
      <c r="L63" s="214">
        <f t="shared" ref="L63:L66" si="34">H63/J63*100</f>
        <v>33.333333333333329</v>
      </c>
      <c r="M63" s="214">
        <f t="shared" ref="M63:M66" si="35">I63/J63*100</f>
        <v>33.333333333333329</v>
      </c>
      <c r="N63" s="235">
        <f t="shared" ref="N63:N66" si="36">SUM(K63:M63)</f>
        <v>99.999999999999986</v>
      </c>
      <c r="O63" s="213">
        <v>13.9</v>
      </c>
      <c r="P63" s="214">
        <v>26.7</v>
      </c>
      <c r="Q63" s="214">
        <v>14.9</v>
      </c>
      <c r="R63" s="215">
        <f t="shared" si="28"/>
        <v>55.5</v>
      </c>
      <c r="S63" s="171">
        <v>2</v>
      </c>
      <c r="T63" s="285"/>
      <c r="U63" s="283"/>
      <c r="V63" s="178" t="s">
        <v>1333</v>
      </c>
      <c r="W63" s="171" t="s">
        <v>99</v>
      </c>
      <c r="X63" s="171" t="s">
        <v>18</v>
      </c>
      <c r="Y63" s="179">
        <v>26.7</v>
      </c>
      <c r="Z63" s="171" t="s">
        <v>1098</v>
      </c>
      <c r="AA63" s="171" t="s">
        <v>97</v>
      </c>
      <c r="AB63" s="171" t="s">
        <v>12</v>
      </c>
      <c r="AC63" s="171">
        <v>14.9</v>
      </c>
      <c r="AD63" s="178" t="s">
        <v>1097</v>
      </c>
      <c r="AE63" s="171" t="s">
        <v>79</v>
      </c>
      <c r="AF63" s="171" t="s">
        <v>11</v>
      </c>
      <c r="AG63" s="179">
        <v>13.9</v>
      </c>
      <c r="AK63" s="179"/>
      <c r="AO63" s="179"/>
      <c r="AS63" s="179"/>
      <c r="AW63" s="179"/>
      <c r="BA63" s="180"/>
    </row>
    <row r="64" spans="1:53" s="29" customFormat="1" x14ac:dyDescent="0.15">
      <c r="A64" s="29">
        <v>2019</v>
      </c>
      <c r="B64" s="277">
        <v>43584</v>
      </c>
      <c r="C64" s="411" t="s">
        <v>1410</v>
      </c>
      <c r="D64" s="411"/>
      <c r="E64" s="29">
        <v>247</v>
      </c>
      <c r="F64" s="167">
        <v>1</v>
      </c>
      <c r="G64" s="66">
        <v>10</v>
      </c>
      <c r="H64" s="29">
        <v>5</v>
      </c>
      <c r="J64" s="73">
        <v>15</v>
      </c>
      <c r="K64" s="47">
        <f t="shared" si="33"/>
        <v>66.666666666666657</v>
      </c>
      <c r="L64" s="47">
        <f t="shared" si="34"/>
        <v>33.333333333333329</v>
      </c>
      <c r="M64" s="47">
        <f t="shared" si="35"/>
        <v>0</v>
      </c>
      <c r="N64" s="68">
        <f t="shared" si="36"/>
        <v>99.999999999999986</v>
      </c>
      <c r="O64" s="46">
        <v>30.7</v>
      </c>
      <c r="P64" s="47">
        <v>24.8</v>
      </c>
      <c r="Q64" s="47"/>
      <c r="R64" s="48">
        <f>SUM(O64:Q64)</f>
        <v>55.5</v>
      </c>
      <c r="S64" s="29">
        <v>2</v>
      </c>
      <c r="T64" s="286">
        <v>43527</v>
      </c>
      <c r="U64" s="295">
        <v>43584</v>
      </c>
      <c r="V64" s="38" t="s">
        <v>1333</v>
      </c>
      <c r="W64" s="29" t="s">
        <v>99</v>
      </c>
      <c r="X64" s="29" t="s">
        <v>18</v>
      </c>
      <c r="Y64" s="39">
        <v>24.8</v>
      </c>
      <c r="Z64" s="29" t="s">
        <v>1464</v>
      </c>
      <c r="AA64" s="29" t="s">
        <v>1135</v>
      </c>
      <c r="AB64" s="29" t="s">
        <v>11</v>
      </c>
      <c r="AC64" s="29">
        <v>18.8</v>
      </c>
      <c r="AD64" s="38" t="s">
        <v>1097</v>
      </c>
      <c r="AE64" s="29" t="s">
        <v>79</v>
      </c>
      <c r="AF64" s="29" t="s">
        <v>11</v>
      </c>
      <c r="AG64" s="39">
        <v>11.9</v>
      </c>
      <c r="AK64" s="39"/>
      <c r="AO64" s="39"/>
      <c r="AS64" s="39"/>
      <c r="AW64" s="39"/>
      <c r="BA64" s="40"/>
    </row>
    <row r="65" spans="1:53" s="29" customFormat="1" x14ac:dyDescent="0.15">
      <c r="A65" s="29">
        <v>2020</v>
      </c>
      <c r="B65" s="277"/>
      <c r="C65" s="411" t="s">
        <v>1410</v>
      </c>
      <c r="D65" s="411"/>
      <c r="E65" s="29">
        <v>0</v>
      </c>
      <c r="F65" s="342"/>
      <c r="G65" s="29">
        <v>10</v>
      </c>
      <c r="H65" s="29">
        <v>5</v>
      </c>
      <c r="J65" s="73">
        <v>15</v>
      </c>
      <c r="K65" s="47">
        <f t="shared" si="33"/>
        <v>66.666666666666657</v>
      </c>
      <c r="L65" s="47">
        <f t="shared" si="34"/>
        <v>33.333333333333329</v>
      </c>
      <c r="M65" s="47">
        <f t="shared" si="35"/>
        <v>0</v>
      </c>
      <c r="N65" s="68">
        <f t="shared" si="36"/>
        <v>99.999999999999986</v>
      </c>
      <c r="O65" s="46">
        <v>30.7</v>
      </c>
      <c r="P65" s="47">
        <v>24.8</v>
      </c>
      <c r="Q65" s="47"/>
      <c r="R65" s="48">
        <f t="shared" ref="R65:R66" si="37">SUM(O65:Q65)</f>
        <v>55.5</v>
      </c>
      <c r="S65" s="37">
        <v>2</v>
      </c>
      <c r="T65" s="286"/>
      <c r="U65" s="295"/>
      <c r="V65" s="38" t="s">
        <v>1333</v>
      </c>
      <c r="W65" s="29" t="s">
        <v>99</v>
      </c>
      <c r="X65" s="29" t="s">
        <v>18</v>
      </c>
      <c r="Y65" s="39">
        <v>24.8</v>
      </c>
      <c r="Z65" s="29" t="s">
        <v>1464</v>
      </c>
      <c r="AA65" s="29" t="s">
        <v>1135</v>
      </c>
      <c r="AB65" s="29" t="s">
        <v>11</v>
      </c>
      <c r="AC65" s="29">
        <v>18.8</v>
      </c>
      <c r="AD65" s="38" t="s">
        <v>1097</v>
      </c>
      <c r="AE65" s="29" t="s">
        <v>79</v>
      </c>
      <c r="AF65" s="29" t="s">
        <v>11</v>
      </c>
      <c r="AG65" s="39">
        <v>11.9</v>
      </c>
      <c r="AK65" s="39"/>
      <c r="AO65" s="39"/>
      <c r="AS65" s="39"/>
      <c r="AW65" s="39"/>
      <c r="BA65" s="40"/>
    </row>
    <row r="66" spans="1:53" s="29" customFormat="1" x14ac:dyDescent="0.15">
      <c r="A66" s="29">
        <v>2020</v>
      </c>
      <c r="B66" s="277"/>
      <c r="C66" s="411" t="s">
        <v>1410</v>
      </c>
      <c r="D66" s="411"/>
      <c r="E66" s="29">
        <v>366</v>
      </c>
      <c r="F66" s="342"/>
      <c r="G66" s="29">
        <v>10</v>
      </c>
      <c r="H66" s="29">
        <v>5</v>
      </c>
      <c r="J66" s="73">
        <v>15</v>
      </c>
      <c r="K66" s="47">
        <f t="shared" si="33"/>
        <v>66.666666666666657</v>
      </c>
      <c r="L66" s="47">
        <f t="shared" si="34"/>
        <v>33.333333333333329</v>
      </c>
      <c r="M66" s="47">
        <f t="shared" si="35"/>
        <v>0</v>
      </c>
      <c r="N66" s="68">
        <f t="shared" si="36"/>
        <v>99.999999999999986</v>
      </c>
      <c r="O66" s="46">
        <v>30.7</v>
      </c>
      <c r="P66" s="47">
        <v>24.8</v>
      </c>
      <c r="Q66" s="47"/>
      <c r="R66" s="48">
        <f t="shared" si="37"/>
        <v>55.5</v>
      </c>
      <c r="S66" s="37">
        <v>2</v>
      </c>
      <c r="T66" s="286"/>
      <c r="U66" s="295"/>
      <c r="V66" s="38" t="s">
        <v>1333</v>
      </c>
      <c r="W66" s="29" t="s">
        <v>99</v>
      </c>
      <c r="X66" s="29" t="s">
        <v>18</v>
      </c>
      <c r="Y66" s="39">
        <v>24.8</v>
      </c>
      <c r="Z66" s="29" t="s">
        <v>1464</v>
      </c>
      <c r="AA66" s="29" t="s">
        <v>1135</v>
      </c>
      <c r="AB66" s="29" t="s">
        <v>11</v>
      </c>
      <c r="AC66" s="29">
        <v>18.8</v>
      </c>
      <c r="AD66" s="38" t="s">
        <v>1097</v>
      </c>
      <c r="AE66" s="29" t="s">
        <v>79</v>
      </c>
      <c r="AF66" s="29" t="s">
        <v>11</v>
      </c>
      <c r="AG66" s="39">
        <v>11.9</v>
      </c>
      <c r="AK66" s="39"/>
      <c r="AO66" s="39"/>
      <c r="AS66" s="39"/>
      <c r="AW66" s="39"/>
      <c r="BA66" s="40"/>
    </row>
    <row r="67" spans="1:53" x14ac:dyDescent="0.15">
      <c r="AD67" s="361"/>
      <c r="AG67" s="17"/>
    </row>
    <row r="68" spans="1:53" ht="18" customHeight="1" x14ac:dyDescent="0.15">
      <c r="B68" s="16" t="s">
        <v>1264</v>
      </c>
    </row>
    <row r="69" spans="1:53" ht="9" customHeight="1" x14ac:dyDescent="0.15"/>
    <row r="70" spans="1:53" s="195" customFormat="1" ht="9" customHeight="1" x14ac:dyDescent="0.15">
      <c r="A70" s="193"/>
      <c r="B70" s="194" t="s">
        <v>1215</v>
      </c>
      <c r="C70" s="194"/>
      <c r="D70" s="194"/>
      <c r="E70" s="194"/>
      <c r="F70" s="194"/>
      <c r="G70" s="194" t="s">
        <v>1216</v>
      </c>
      <c r="H70" s="194"/>
      <c r="I70" s="194"/>
      <c r="J70" s="194"/>
      <c r="K70" s="194"/>
      <c r="L70" s="194"/>
      <c r="M70" s="194"/>
      <c r="N70" s="194"/>
      <c r="R70" s="388" t="s">
        <v>1217</v>
      </c>
      <c r="S70" s="388"/>
      <c r="T70" s="388"/>
      <c r="U70" s="388"/>
      <c r="V70" s="388"/>
      <c r="W70" s="388"/>
      <c r="X70" s="196"/>
      <c r="Y70" s="196"/>
      <c r="AA70" s="196"/>
      <c r="AB70" s="196"/>
      <c r="AC70" s="196"/>
      <c r="AD70" s="196"/>
    </row>
    <row r="71" spans="1:53" s="200" customFormat="1" ht="9" customHeight="1" x14ac:dyDescent="0.15">
      <c r="A71" s="197"/>
      <c r="B71" s="198" t="s">
        <v>1219</v>
      </c>
      <c r="C71" s="199"/>
      <c r="D71" s="199"/>
      <c r="E71" s="199"/>
      <c r="F71" s="199"/>
      <c r="G71" s="198" t="s">
        <v>1218</v>
      </c>
      <c r="H71" s="199"/>
      <c r="I71" s="199"/>
      <c r="J71" s="199"/>
      <c r="K71" s="199"/>
      <c r="L71" s="199"/>
      <c r="M71" s="199"/>
      <c r="N71" s="199"/>
      <c r="R71" s="201" t="s">
        <v>1220</v>
      </c>
      <c r="S71" s="202"/>
      <c r="T71" s="203"/>
      <c r="U71" s="203"/>
      <c r="V71" s="203"/>
      <c r="W71" s="201" t="s">
        <v>1221</v>
      </c>
      <c r="X71" s="203"/>
      <c r="Y71" s="203"/>
      <c r="AA71" s="203"/>
      <c r="AB71" s="203"/>
      <c r="AC71" s="203"/>
      <c r="AD71" s="203"/>
    </row>
    <row r="72" spans="1:53" s="186" customFormat="1" ht="12" customHeight="1" x14ac:dyDescent="0.15">
      <c r="A72" s="204" t="s">
        <v>3</v>
      </c>
      <c r="B72" s="205" t="s">
        <v>8</v>
      </c>
      <c r="C72" s="205" t="s">
        <v>9</v>
      </c>
      <c r="D72" s="205" t="s">
        <v>10</v>
      </c>
      <c r="E72" s="206" t="s">
        <v>1195</v>
      </c>
      <c r="F72" s="205"/>
      <c r="G72" s="186" t="s">
        <v>3</v>
      </c>
      <c r="H72" s="389" t="s">
        <v>0</v>
      </c>
      <c r="I72" s="389"/>
      <c r="J72" s="389" t="s">
        <v>1</v>
      </c>
      <c r="K72" s="389"/>
      <c r="L72" s="389" t="s">
        <v>2</v>
      </c>
      <c r="M72" s="389"/>
      <c r="N72" s="390" t="s">
        <v>1195</v>
      </c>
      <c r="O72" s="390"/>
      <c r="P72" s="207"/>
      <c r="Q72" s="207"/>
      <c r="R72" s="208" t="s">
        <v>3</v>
      </c>
      <c r="S72" s="209" t="s">
        <v>135</v>
      </c>
      <c r="T72" s="207" t="s">
        <v>133</v>
      </c>
      <c r="U72" s="205" t="s">
        <v>134</v>
      </c>
      <c r="V72" s="207"/>
      <c r="W72" s="210" t="s">
        <v>26</v>
      </c>
    </row>
    <row r="73" spans="1:53" x14ac:dyDescent="0.15">
      <c r="A73" s="1">
        <v>1990</v>
      </c>
      <c r="C73" s="5"/>
      <c r="D73" s="5"/>
      <c r="E73" s="18"/>
      <c r="G73" s="1">
        <v>1990</v>
      </c>
      <c r="H73" s="409"/>
      <c r="I73" s="409"/>
      <c r="J73" s="409"/>
      <c r="K73" s="409"/>
      <c r="L73" s="409"/>
      <c r="M73" s="409"/>
      <c r="N73" s="379"/>
      <c r="O73" s="379"/>
      <c r="R73" s="1">
        <v>1990</v>
      </c>
    </row>
    <row r="74" spans="1:53" x14ac:dyDescent="0.15">
      <c r="A74" s="1">
        <v>1991</v>
      </c>
      <c r="C74" s="5"/>
      <c r="D74" s="5"/>
      <c r="E74" s="18"/>
      <c r="G74" s="1">
        <v>1991</v>
      </c>
      <c r="H74" s="409"/>
      <c r="I74" s="409"/>
      <c r="J74" s="409"/>
      <c r="K74" s="409"/>
      <c r="L74" s="409"/>
      <c r="M74" s="409"/>
      <c r="N74" s="379"/>
      <c r="O74" s="379"/>
      <c r="R74" s="1">
        <v>1991</v>
      </c>
    </row>
    <row r="75" spans="1:53" x14ac:dyDescent="0.15">
      <c r="A75" s="1">
        <v>1992</v>
      </c>
      <c r="B75" s="5">
        <f>(K7*($E7/72))</f>
        <v>50</v>
      </c>
      <c r="C75" s="5">
        <f>(L7*($E7/72))</f>
        <v>0</v>
      </c>
      <c r="D75" s="5">
        <f>(M7*($E7/72))</f>
        <v>21.428571428571427</v>
      </c>
      <c r="E75" s="18">
        <f>SUM(B75:D75)</f>
        <v>71.428571428571431</v>
      </c>
      <c r="G75" s="1">
        <v>1992</v>
      </c>
      <c r="H75" s="380">
        <f>(O7/$R7*100*($E7/72))</f>
        <v>76.43564356435644</v>
      </c>
      <c r="I75" s="380"/>
      <c r="J75" s="380">
        <f>(P7/$R7*100*($E7/72))</f>
        <v>0</v>
      </c>
      <c r="K75" s="380"/>
      <c r="L75" s="380">
        <f>(Q7/$R7*100*($E7/72))</f>
        <v>23.564356435643568</v>
      </c>
      <c r="M75" s="380"/>
      <c r="N75" s="379">
        <f>SUM(H75:M75)</f>
        <v>100</v>
      </c>
      <c r="O75" s="379"/>
      <c r="R75" s="1">
        <v>1992</v>
      </c>
      <c r="S75" s="5">
        <f>(O7*($E7/72))</f>
        <v>38.6</v>
      </c>
      <c r="T75" s="5">
        <f>(P7*($E7/72))</f>
        <v>0</v>
      </c>
      <c r="U75" s="5">
        <f>(Q7*($E7/72))</f>
        <v>11.9</v>
      </c>
      <c r="W75" s="4">
        <f>SUM(S75:U75)</f>
        <v>50.5</v>
      </c>
      <c r="Y75" s="27" t="s">
        <v>1138</v>
      </c>
    </row>
    <row r="76" spans="1:53" x14ac:dyDescent="0.15">
      <c r="A76" s="1">
        <v>1993</v>
      </c>
      <c r="B76" s="5">
        <f>(K8*($E8/365))+(K9*($E9/365))</f>
        <v>50</v>
      </c>
      <c r="C76" s="5">
        <f>(L8*($E8/365))+(L9*($E9/365))</f>
        <v>0</v>
      </c>
      <c r="D76" s="5">
        <f>(M8*($E8/365))+(M9*($E9/365))</f>
        <v>21.428571428571427</v>
      </c>
      <c r="E76" s="18">
        <f t="shared" ref="E76:E95" si="38">SUM(B76:D76)</f>
        <v>71.428571428571431</v>
      </c>
      <c r="G76" s="1">
        <v>1993</v>
      </c>
      <c r="H76" s="380">
        <f>(O8/$R8*100*($E8/365))+(O9/$R9*100*($E9/365))</f>
        <v>76.43564356435644</v>
      </c>
      <c r="I76" s="380"/>
      <c r="J76" s="380">
        <f>(P8/$R8*100*($E8/365))+(P9/$R9*100*($E9/365))</f>
        <v>0</v>
      </c>
      <c r="K76" s="380"/>
      <c r="L76" s="380">
        <f>(Q8/$R8*100*($E8/365))+(Q9/$R9*100*($E9/365))</f>
        <v>23.564356435643568</v>
      </c>
      <c r="M76" s="380"/>
      <c r="N76" s="379">
        <f t="shared" ref="N76:N95" si="39">SUM(H76:M76)</f>
        <v>100</v>
      </c>
      <c r="O76" s="379"/>
      <c r="R76" s="1">
        <v>1993</v>
      </c>
      <c r="S76" s="5">
        <f>(O8*($E8/365))+(O9*($E9/365))</f>
        <v>38.6</v>
      </c>
      <c r="T76" s="5">
        <f>(P8*($E8/365))+(P9*($E9/365))</f>
        <v>0</v>
      </c>
      <c r="U76" s="5">
        <f>(Q8*($E8/365))+(Q9*($E9/365))</f>
        <v>11.9</v>
      </c>
      <c r="W76" s="4">
        <f t="shared" ref="W76:W95" si="40">SUM(S76:U76)</f>
        <v>50.5</v>
      </c>
    </row>
    <row r="77" spans="1:53" x14ac:dyDescent="0.15">
      <c r="A77" s="1">
        <v>1994</v>
      </c>
      <c r="B77" s="5">
        <f>(K10*($E10/365))+(K11*($E11/365))</f>
        <v>50.000000000000007</v>
      </c>
      <c r="C77" s="5">
        <f>(L10*($E10/365))+(L11*($E11/365))</f>
        <v>0</v>
      </c>
      <c r="D77" s="5">
        <f>(M10*($E10/365))+(M11*($E11/365))</f>
        <v>21.428571428571427</v>
      </c>
      <c r="E77" s="18">
        <f t="shared" si="38"/>
        <v>71.428571428571431</v>
      </c>
      <c r="G77" s="1">
        <v>1994</v>
      </c>
      <c r="H77" s="380">
        <f>(O10/$R10*100*($E10/365))+(O11/$R11*100*($E11/365))</f>
        <v>76.43564356435644</v>
      </c>
      <c r="I77" s="380"/>
      <c r="J77" s="380">
        <f>(P10/$R10*100*($E10/365))+(P11/$R11*100*($E11/365))</f>
        <v>0</v>
      </c>
      <c r="K77" s="380"/>
      <c r="L77" s="380">
        <f>(Q10/$R10*100*($E10/365))+(Q11/$R11*100*($E11/365))</f>
        <v>23.564356435643568</v>
      </c>
      <c r="M77" s="380"/>
      <c r="N77" s="379">
        <f t="shared" si="39"/>
        <v>100</v>
      </c>
      <c r="O77" s="379"/>
      <c r="R77" s="1">
        <v>1994</v>
      </c>
      <c r="S77" s="5">
        <f>(O10*($E10/365))+(O11*($E11/365))</f>
        <v>38.6</v>
      </c>
      <c r="T77" s="5">
        <f>(P10*($E10/365))+(P11*($E11/365))</f>
        <v>0</v>
      </c>
      <c r="U77" s="5">
        <f>(Q10*($E10/365))+(Q11*($E11/365))</f>
        <v>11.9</v>
      </c>
      <c r="W77" s="4">
        <f t="shared" si="40"/>
        <v>50.5</v>
      </c>
    </row>
    <row r="78" spans="1:53" x14ac:dyDescent="0.15">
      <c r="A78" s="1">
        <v>1995</v>
      </c>
      <c r="B78" s="5">
        <f>(K12*($E12/365))+(K13*($E13/365))+(K14*($E14/365))</f>
        <v>20.986301369863014</v>
      </c>
      <c r="C78" s="5">
        <f>(L12*($E12/365))+(L13*($E13/365))+(L14*($E14/365))</f>
        <v>19.569471624266143</v>
      </c>
      <c r="D78" s="5">
        <f>(M12*($E12/365))+(M13*($E13/365))+(M14*($E14/365))</f>
        <v>51.146771037181999</v>
      </c>
      <c r="E78" s="18">
        <f t="shared" si="38"/>
        <v>91.702544031311163</v>
      </c>
      <c r="G78" s="1">
        <v>1995</v>
      </c>
      <c r="H78" s="380">
        <f>(O12/$R12*100*($E12/365))+(O13/$R13*100*($E13/365))+(O14/$R14*100*($E14/365))</f>
        <v>27.31374872647082</v>
      </c>
      <c r="I78" s="380"/>
      <c r="J78" s="380">
        <f>(P12/$R12*100*($E12/365))+(P13/$R13*100*($E13/365))+(P14/$R14*100*($E14/365))</f>
        <v>15.350238025842803</v>
      </c>
      <c r="K78" s="380"/>
      <c r="L78" s="380">
        <f>(Q12/$R12*100*($E12/365))+(Q13/$R13*100*($E13/365))+(Q14/$R14*100*($E14/365))</f>
        <v>57.336013247686374</v>
      </c>
      <c r="M78" s="380"/>
      <c r="N78" s="379">
        <f t="shared" si="39"/>
        <v>100</v>
      </c>
      <c r="O78" s="379"/>
      <c r="R78" s="1">
        <v>1995</v>
      </c>
      <c r="S78" s="5">
        <f>(O12*($E12/365))+(O13*($E13/365))+(O14*($E14/365))</f>
        <v>14.248767123287671</v>
      </c>
      <c r="T78" s="5">
        <f>(P12*($E12/365))+(P13*($E13/365))+(P14*($E14/365))</f>
        <v>8.6575342465753415</v>
      </c>
      <c r="U78" s="5">
        <f>(Q12*($E12/365))+(Q13*($E13/365))+(Q14*($E14/365))</f>
        <v>32.265205479452057</v>
      </c>
      <c r="W78" s="4">
        <f t="shared" si="40"/>
        <v>55.171506849315065</v>
      </c>
    </row>
    <row r="79" spans="1:53" x14ac:dyDescent="0.15">
      <c r="A79" s="1">
        <v>1996</v>
      </c>
      <c r="B79" s="5">
        <f>(K15*($E15/366))+(K16*($E16/366))</f>
        <v>40</v>
      </c>
      <c r="C79" s="5">
        <f>(L15*($E15/366))+(L16*($E16/366))</f>
        <v>0</v>
      </c>
      <c r="D79" s="5">
        <f>(M15*($E15/366))+(M16*($E16/366))</f>
        <v>60</v>
      </c>
      <c r="E79" s="18">
        <f t="shared" si="38"/>
        <v>100</v>
      </c>
      <c r="G79" s="1">
        <v>1996</v>
      </c>
      <c r="H79" s="380">
        <f>(O15/$R15*100*($E15/366))+(O16/$R16*100*($E16/366))</f>
        <v>31.649831649831651</v>
      </c>
      <c r="I79" s="380"/>
      <c r="J79" s="380">
        <f>(P15/$R15*100*($E15/366))+(P16/$R16*100*($E16/366))</f>
        <v>0</v>
      </c>
      <c r="K79" s="380"/>
      <c r="L79" s="380">
        <f>(Q15/$R15*100*($E15/366))+(Q16/$R16*100*($E16/366))</f>
        <v>68.350168350168346</v>
      </c>
      <c r="M79" s="380"/>
      <c r="N79" s="379">
        <f t="shared" si="39"/>
        <v>100</v>
      </c>
      <c r="O79" s="379"/>
      <c r="R79" s="1">
        <v>1996</v>
      </c>
      <c r="S79" s="5">
        <f>(O15*($E15/366))+(O16*($E16/366))</f>
        <v>18.8</v>
      </c>
      <c r="T79" s="5">
        <f>(P15*($E15/366))+(P16*($E16/366))</f>
        <v>0</v>
      </c>
      <c r="U79" s="5">
        <f>(Q15*($E15/366))+(Q16*($E16/366))</f>
        <v>40.6</v>
      </c>
      <c r="W79" s="4">
        <f t="shared" si="40"/>
        <v>59.400000000000006</v>
      </c>
    </row>
    <row r="80" spans="1:53" x14ac:dyDescent="0.15">
      <c r="A80" s="1">
        <v>1997</v>
      </c>
      <c r="B80" s="5">
        <f>(K17*($E17/365))+(K18*($E18/365))</f>
        <v>8.2191780821917799</v>
      </c>
      <c r="C80" s="5">
        <f>(L17*($E17/365))+(L18*($E18/365))</f>
        <v>0</v>
      </c>
      <c r="D80" s="5">
        <f>(M17*($E17/365))+(M18*($E18/365))</f>
        <v>74.755381604696666</v>
      </c>
      <c r="E80" s="18">
        <f t="shared" si="38"/>
        <v>82.974559686888441</v>
      </c>
      <c r="G80" s="1">
        <v>1997</v>
      </c>
      <c r="H80" s="380">
        <f>(O17/$R17*100*($E17/365))+(O18/$R18*100*($E18/365))</f>
        <v>6.5033900650339005</v>
      </c>
      <c r="I80" s="380"/>
      <c r="J80" s="380">
        <f>(P17/$R17*100*($E17/365))+(P18/$R18*100*($E18/365))</f>
        <v>0</v>
      </c>
      <c r="K80" s="380"/>
      <c r="L80" s="380">
        <f>(Q17/$R17*100*($E17/365))+(Q18/$R18*100*($E18/365))</f>
        <v>93.496609934966102</v>
      </c>
      <c r="M80" s="380"/>
      <c r="N80" s="379">
        <f t="shared" si="39"/>
        <v>100</v>
      </c>
      <c r="O80" s="379"/>
      <c r="R80" s="1">
        <v>1997</v>
      </c>
      <c r="S80" s="5">
        <f>(O17*($E17/365))+(O18*($E18/365))</f>
        <v>3.8630136986301369</v>
      </c>
      <c r="T80" s="5">
        <f>(P17*($E17/365))+(P18*($E18/365))</f>
        <v>0</v>
      </c>
      <c r="U80" s="5">
        <f>(Q17*($E17/365))+(Q18*($E18/365))</f>
        <v>40.599999999999994</v>
      </c>
      <c r="W80" s="4">
        <f t="shared" si="40"/>
        <v>44.463013698630128</v>
      </c>
    </row>
    <row r="81" spans="1:23" x14ac:dyDescent="0.15">
      <c r="A81" s="1">
        <v>1998</v>
      </c>
      <c r="B81" s="5">
        <f>(K19*($E19/365))+(K20*($E20/365))</f>
        <v>0</v>
      </c>
      <c r="C81" s="5">
        <f>(L19*($E19/365))+(L20*($E20/365))</f>
        <v>0</v>
      </c>
      <c r="D81" s="5">
        <f>(M19*($E19/365))+(M20*($E20/365))</f>
        <v>78.571428571428569</v>
      </c>
      <c r="E81" s="18">
        <f t="shared" si="38"/>
        <v>78.571428571428569</v>
      </c>
      <c r="G81" s="1">
        <v>1998</v>
      </c>
      <c r="H81" s="380">
        <f>(O19/$R19*100*($E19/365))+(O20/$R20*100*($E20/365))</f>
        <v>0</v>
      </c>
      <c r="I81" s="380"/>
      <c r="J81" s="380">
        <f>(P19/$R19*100*($E19/365))+(P20/$R20*100*($E20/365))</f>
        <v>0</v>
      </c>
      <c r="K81" s="380"/>
      <c r="L81" s="380">
        <f>(Q19/$R19*100*($E19/365))+(Q20/$R20*100*($E20/365))</f>
        <v>100</v>
      </c>
      <c r="M81" s="380"/>
      <c r="N81" s="379">
        <f t="shared" si="39"/>
        <v>100</v>
      </c>
      <c r="O81" s="379"/>
      <c r="R81" s="1">
        <v>1998</v>
      </c>
      <c r="S81" s="5">
        <f>(O19*($E19/365))+(O20*($E20/365))</f>
        <v>0</v>
      </c>
      <c r="T81" s="5">
        <f>(P19*($E19/365))+(P20*($E20/365))</f>
        <v>0</v>
      </c>
      <c r="U81" s="5">
        <f>(Q19*($E19/365))+(Q20*($E20/365))</f>
        <v>40.6</v>
      </c>
      <c r="W81" s="4">
        <f t="shared" si="40"/>
        <v>40.6</v>
      </c>
    </row>
    <row r="82" spans="1:23" x14ac:dyDescent="0.15">
      <c r="A82" s="1">
        <v>1999</v>
      </c>
      <c r="B82" s="5">
        <f>(K21*($E21/365))+(K22*($E22/365))</f>
        <v>51.506849315068486</v>
      </c>
      <c r="C82" s="5">
        <f>(L21*($E21/365))+(L22*($E22/365))</f>
        <v>0</v>
      </c>
      <c r="D82" s="5">
        <f>(M21*($E21/365))+(M22*($E22/365))</f>
        <v>43.620352250489233</v>
      </c>
      <c r="E82" s="18">
        <f t="shared" si="38"/>
        <v>95.127201565557726</v>
      </c>
      <c r="G82" s="1">
        <v>1999</v>
      </c>
      <c r="H82" s="380">
        <f>(O21/$R21*100*($E21/365))+(O22/$R22*100*($E22/365))</f>
        <v>52.489804454669034</v>
      </c>
      <c r="I82" s="380"/>
      <c r="J82" s="380">
        <f>(P21/$R21*100*($E21/365))+(P22/$R22*100*($E22/365))</f>
        <v>0</v>
      </c>
      <c r="K82" s="380"/>
      <c r="L82" s="380">
        <f>(Q21/$R21*100*($E21/365))+(Q22/$R22*100*($E22/365))</f>
        <v>47.510195545330959</v>
      </c>
      <c r="M82" s="380"/>
      <c r="N82" s="379">
        <f t="shared" si="39"/>
        <v>100</v>
      </c>
      <c r="O82" s="379"/>
      <c r="R82" s="1">
        <v>1999</v>
      </c>
      <c r="S82" s="5">
        <f>(O21*($E21/365))+(O22*($E22/365))</f>
        <v>27.504657534246579</v>
      </c>
      <c r="T82" s="5">
        <f>(P21*($E21/365))+(P22*($E22/365))</f>
        <v>0</v>
      </c>
      <c r="U82" s="5">
        <f>(Q21*($E21/365))+(Q22*($E22/365))</f>
        <v>22.212054794520547</v>
      </c>
      <c r="W82" s="4">
        <f t="shared" si="40"/>
        <v>49.71671232876713</v>
      </c>
    </row>
    <row r="83" spans="1:23" x14ac:dyDescent="0.15">
      <c r="A83" s="1">
        <v>2000</v>
      </c>
      <c r="B83" s="5">
        <f>(K23*($E23/366))+(K24*($E24/366))</f>
        <v>66.666666666666657</v>
      </c>
      <c r="C83" s="5">
        <f>(L23*($E23/366))+(L24*($E24/366))</f>
        <v>0</v>
      </c>
      <c r="D83" s="5">
        <f>(M23*($E23/366))+(M24*($E24/366))</f>
        <v>33.333333333333329</v>
      </c>
      <c r="E83" s="18">
        <f t="shared" si="38"/>
        <v>99.999999999999986</v>
      </c>
      <c r="G83" s="1">
        <v>2000</v>
      </c>
      <c r="H83" s="380">
        <f>(O23/$R23*100*($E23/366))+(O24/$R24*100*($E24/366))</f>
        <v>67.938931297709914</v>
      </c>
      <c r="I83" s="380"/>
      <c r="J83" s="380">
        <f>(P23/$R23*100*($E23/366))+(P24/$R24*100*($E24/366))</f>
        <v>0</v>
      </c>
      <c r="K83" s="380"/>
      <c r="L83" s="380">
        <f>(Q23/$R23*100*($E23/366))+(Q24/$R24*100*($E24/366))</f>
        <v>32.061068702290072</v>
      </c>
      <c r="M83" s="380"/>
      <c r="N83" s="379">
        <f t="shared" si="39"/>
        <v>99.999999999999986</v>
      </c>
      <c r="O83" s="379"/>
      <c r="R83" s="1">
        <v>2000</v>
      </c>
      <c r="S83" s="5">
        <f>(O23*($E23/366))+(O24*($E24/366))</f>
        <v>35.6</v>
      </c>
      <c r="T83" s="5">
        <f>(P23*($E23/366))+(P24*($E24/366))</f>
        <v>0</v>
      </c>
      <c r="U83" s="5">
        <f>(Q23*($E23/366))+(Q24*($E24/366))</f>
        <v>16.8</v>
      </c>
      <c r="W83" s="4">
        <f t="shared" si="40"/>
        <v>52.400000000000006</v>
      </c>
    </row>
    <row r="84" spans="1:23" x14ac:dyDescent="0.15">
      <c r="A84" s="1">
        <v>2001</v>
      </c>
      <c r="B84" s="5">
        <f>(K25*($E25/365))+(K26*($E26/365))</f>
        <v>66.666666666666657</v>
      </c>
      <c r="C84" s="5">
        <f>(L25*($E25/365))+(L26*($E26/365))</f>
        <v>0</v>
      </c>
      <c r="D84" s="5">
        <f>(M25*($E25/365))+(M26*($E26/365))</f>
        <v>33.333333333333329</v>
      </c>
      <c r="E84" s="18">
        <f t="shared" si="38"/>
        <v>99.999999999999986</v>
      </c>
      <c r="G84" s="1">
        <v>2001</v>
      </c>
      <c r="H84" s="380">
        <f>(O25/$R25*100*($E25/365))+(O26/$R26*100*($E26/365))</f>
        <v>67.938931297709914</v>
      </c>
      <c r="I84" s="380"/>
      <c r="J84" s="380">
        <f>(P25/$R25*100*($E25/365))+(P26/$R26*100*($E26/365))</f>
        <v>0</v>
      </c>
      <c r="K84" s="380"/>
      <c r="L84" s="380">
        <f>(Q25/$R25*100*($E25/365))+(Q26/$R26*100*($E26/365))</f>
        <v>32.061068702290072</v>
      </c>
      <c r="M84" s="380"/>
      <c r="N84" s="379">
        <f t="shared" si="39"/>
        <v>99.999999999999986</v>
      </c>
      <c r="O84" s="379"/>
      <c r="R84" s="1">
        <v>2001</v>
      </c>
      <c r="S84" s="5">
        <f>(O25*($E25/365))+(O26*($E26/365))</f>
        <v>35.6</v>
      </c>
      <c r="T84" s="5">
        <f>(P25*($E25/365))+(P26*($E26/365))</f>
        <v>0</v>
      </c>
      <c r="U84" s="5">
        <f>(Q25*($E25/365))+(Q26*($E26/365))</f>
        <v>16.8</v>
      </c>
      <c r="W84" s="4">
        <f t="shared" si="40"/>
        <v>52.400000000000006</v>
      </c>
    </row>
    <row r="85" spans="1:23" x14ac:dyDescent="0.15">
      <c r="A85" s="1">
        <v>2002</v>
      </c>
      <c r="B85" s="5">
        <f>(K27*($E27/365))+(K28*($E28/365))</f>
        <v>44.618395303326807</v>
      </c>
      <c r="C85" s="5">
        <f>(L27*($E27/365))+(L28*($E28/365))</f>
        <v>52.915851272015651</v>
      </c>
      <c r="D85" s="5">
        <f>(M27*($E27/365))+(M28*($E28/365))</f>
        <v>2.4657534246575339</v>
      </c>
      <c r="E85" s="18">
        <f t="shared" si="38"/>
        <v>99.999999999999986</v>
      </c>
      <c r="G85" s="1">
        <v>2002</v>
      </c>
      <c r="H85" s="380">
        <f>(O27/$R27*100*($E27/365))+(O28/$R28*100*($E28/365))</f>
        <v>41.252625446288519</v>
      </c>
      <c r="I85" s="380"/>
      <c r="J85" s="380">
        <f>(P27/$R27*100*($E27/365))+(P28/$R28*100*($E28/365))</f>
        <v>56.375733855185906</v>
      </c>
      <c r="K85" s="380"/>
      <c r="L85" s="380">
        <f>(Q27/$R27*100*($E27/365))+(Q28/$R28*100*($E28/365))</f>
        <v>2.3716406985255669</v>
      </c>
      <c r="M85" s="380"/>
      <c r="N85" s="379">
        <f t="shared" si="39"/>
        <v>100</v>
      </c>
      <c r="O85" s="379"/>
      <c r="R85" s="1">
        <v>2002</v>
      </c>
      <c r="S85" s="5">
        <f>(O27*($E27/365))+(O28*($E28/365))</f>
        <v>19.116712328767122</v>
      </c>
      <c r="T85" s="5">
        <f>(P27*($E27/365))+(P28*($E28/365))</f>
        <v>25.650958904109586</v>
      </c>
      <c r="U85" s="5">
        <f>(Q27*($E27/365))+(Q28*($E28/365))</f>
        <v>1.2427397260273974</v>
      </c>
      <c r="W85" s="4">
        <f t="shared" si="40"/>
        <v>46.010410958904103</v>
      </c>
    </row>
    <row r="86" spans="1:23" x14ac:dyDescent="0.15">
      <c r="A86" s="1">
        <v>2003</v>
      </c>
      <c r="B86" s="5">
        <f>(K29*($E29/365))+(K30*($E30/365))</f>
        <v>84.500978473581213</v>
      </c>
      <c r="C86" s="5">
        <f>(L29*($E29/365))+(L30*($E30/365))</f>
        <v>15.499021526418785</v>
      </c>
      <c r="D86" s="5">
        <f>(M29*($E29/365))+(M30*($E30/365))</f>
        <v>0</v>
      </c>
      <c r="E86" s="18">
        <f t="shared" si="38"/>
        <v>100</v>
      </c>
      <c r="G86" s="1">
        <v>2003</v>
      </c>
      <c r="H86" s="380">
        <f>(O29/$R29*100*($E29/365))+(O30/$R30*100*($E30/365))</f>
        <v>83.487580912238457</v>
      </c>
      <c r="I86" s="380"/>
      <c r="J86" s="380">
        <f>(P29/$R29*100*($E29/365))+(P30/$R30*100*($E30/365))</f>
        <v>16.512419087761554</v>
      </c>
      <c r="K86" s="380"/>
      <c r="L86" s="380">
        <f>(Q29/$R29*100*($E29/365))+(Q30/$R30*100*($E30/365))</f>
        <v>0</v>
      </c>
      <c r="M86" s="380"/>
      <c r="N86" s="379">
        <f t="shared" si="39"/>
        <v>100.00000000000001</v>
      </c>
      <c r="O86" s="379"/>
      <c r="R86" s="1">
        <v>2003</v>
      </c>
      <c r="S86" s="5">
        <f>(O29*($E29/365))+(O30*($E30/365))</f>
        <v>48.116712328767122</v>
      </c>
      <c r="T86" s="5">
        <f>(P29*($E29/365))+(P30*($E30/365))</f>
        <v>7.5131506849315066</v>
      </c>
      <c r="U86" s="5">
        <f>(Q29*($E29/365))+(Q30*($E30/365))</f>
        <v>0</v>
      </c>
      <c r="W86" s="4">
        <f t="shared" si="40"/>
        <v>55.629863013698625</v>
      </c>
    </row>
    <row r="87" spans="1:23" x14ac:dyDescent="0.15">
      <c r="A87" s="1">
        <v>2004</v>
      </c>
      <c r="B87" s="5">
        <f>(K31*($E31/366))+(K32*($E32/366))</f>
        <v>100</v>
      </c>
      <c r="C87" s="5">
        <f>(L31*($E31/366))+(L32*($E32/366))</f>
        <v>0</v>
      </c>
      <c r="D87" s="5">
        <f>(M31*($E31/366))+(M32*($E32/366))</f>
        <v>0</v>
      </c>
      <c r="E87" s="18">
        <f t="shared" si="38"/>
        <v>100</v>
      </c>
      <c r="G87" s="1">
        <v>2004</v>
      </c>
      <c r="H87" s="380">
        <f>(O31/$R31*100*($E31/366))+(O32/$R32*100*($E32/366))</f>
        <v>100</v>
      </c>
      <c r="I87" s="380"/>
      <c r="J87" s="380">
        <f>(P31/$R31*100*($E31/366))+(P32/$R32*100*($E32/366))</f>
        <v>0</v>
      </c>
      <c r="K87" s="380"/>
      <c r="L87" s="380">
        <f>(Q31/$R31*100*($E31/366))+(Q32/$R32*100*($E32/366))</f>
        <v>0</v>
      </c>
      <c r="M87" s="380"/>
      <c r="N87" s="379">
        <f t="shared" si="39"/>
        <v>100</v>
      </c>
      <c r="O87" s="379"/>
      <c r="R87" s="1">
        <v>2004</v>
      </c>
      <c r="S87" s="5">
        <f>(O31*($E31/366))+(O32*($E32/366))</f>
        <v>59.4</v>
      </c>
      <c r="T87" s="5">
        <f>(P31*($E31/366))+(P32*($E32/366))</f>
        <v>0</v>
      </c>
      <c r="U87" s="5">
        <f>(Q31*($E31/366))+(Q32*($E32/366))</f>
        <v>0</v>
      </c>
      <c r="W87" s="4">
        <f t="shared" si="40"/>
        <v>59.4</v>
      </c>
    </row>
    <row r="88" spans="1:23" x14ac:dyDescent="0.15">
      <c r="A88" s="1">
        <v>2005</v>
      </c>
      <c r="B88" s="5">
        <f>(K33*($E33/365))+(K34*($E34/365))</f>
        <v>74.266144814090026</v>
      </c>
      <c r="C88" s="5">
        <f>(L33*($E33/365))+(L34*($E34/365))</f>
        <v>25.733855185909981</v>
      </c>
      <c r="D88" s="5">
        <f>(M33*($E33/365))+(M34*($E34/365))</f>
        <v>0</v>
      </c>
      <c r="E88" s="18">
        <f t="shared" si="38"/>
        <v>100</v>
      </c>
      <c r="G88" s="1">
        <v>2005</v>
      </c>
      <c r="H88" s="380">
        <f>(O33/$R33*100*($E33/365))+(O34/$R34*100*($E34/365))</f>
        <v>66.398690097320241</v>
      </c>
      <c r="I88" s="380"/>
      <c r="J88" s="380">
        <f>(P33/$R33*100*($E33/365))+(P34/$R34*100*($E34/365))</f>
        <v>33.601309902679766</v>
      </c>
      <c r="K88" s="380"/>
      <c r="L88" s="380">
        <f>(Q33/$R33*100*($E33/365))+(Q34/$R34*100*($E34/365))</f>
        <v>0</v>
      </c>
      <c r="M88" s="380"/>
      <c r="N88" s="379">
        <f t="shared" si="39"/>
        <v>100</v>
      </c>
      <c r="O88" s="379"/>
      <c r="R88" s="1">
        <v>2005</v>
      </c>
      <c r="S88" s="5">
        <f>(O33*($E33/365))+(O34*($E34/365))</f>
        <v>39.440821917808222</v>
      </c>
      <c r="T88" s="5">
        <f>(P33*($E33/365))+(P34*($E34/365))</f>
        <v>19.95917808219178</v>
      </c>
      <c r="U88" s="5">
        <f>(Q33*($E33/365))+(Q34*($E34/365))</f>
        <v>0</v>
      </c>
      <c r="W88" s="4">
        <f t="shared" si="40"/>
        <v>59.400000000000006</v>
      </c>
    </row>
    <row r="89" spans="1:23" x14ac:dyDescent="0.15">
      <c r="A89" s="1">
        <v>2006</v>
      </c>
      <c r="B89" s="5">
        <f>(K35*($E35/365))+(K36*($E36/365))</f>
        <v>64.285714285714292</v>
      </c>
      <c r="C89" s="5">
        <f>(L35*($E35/365))+(L36*($E36/365))</f>
        <v>35.714285714285715</v>
      </c>
      <c r="D89" s="5">
        <f>(M35*($E35/365))+(M36*($E36/365))</f>
        <v>0</v>
      </c>
      <c r="E89" s="18">
        <f t="shared" si="38"/>
        <v>100</v>
      </c>
      <c r="G89" s="1">
        <v>2006</v>
      </c>
      <c r="H89" s="380">
        <f>(O35/$R35*100*($E35/365))+(O36/$R36*100*($E36/365))</f>
        <v>53.367003367003363</v>
      </c>
      <c r="I89" s="380"/>
      <c r="J89" s="380">
        <f>(P35/$R35*100*($E35/365))+(P36/$R36*100*($E36/365))</f>
        <v>46.63299663299663</v>
      </c>
      <c r="K89" s="380"/>
      <c r="L89" s="380">
        <f>(Q35/$R35*100*($E35/365))+(Q36/$R36*100*($E36/365))</f>
        <v>0</v>
      </c>
      <c r="M89" s="380"/>
      <c r="N89" s="379">
        <f t="shared" si="39"/>
        <v>100</v>
      </c>
      <c r="O89" s="379"/>
      <c r="R89" s="1">
        <v>2006</v>
      </c>
      <c r="S89" s="5">
        <f>(O35*($E35/365))+(O36*($E36/365))</f>
        <v>31.7</v>
      </c>
      <c r="T89" s="5">
        <f>(P35*($E35/365))+(P36*($E36/365))</f>
        <v>27.7</v>
      </c>
      <c r="U89" s="5">
        <f>(Q35*($E35/365))+(Q36*($E36/365))</f>
        <v>0</v>
      </c>
      <c r="W89" s="4">
        <f t="shared" si="40"/>
        <v>59.4</v>
      </c>
    </row>
    <row r="90" spans="1:23" x14ac:dyDescent="0.15">
      <c r="A90" s="1">
        <v>2007</v>
      </c>
      <c r="B90" s="5">
        <f>(K37*($E37/365))+(K38*($E38/365))</f>
        <v>74.892367906066539</v>
      </c>
      <c r="C90" s="5">
        <f>(L37*($E37/365))+(L38*($E38/365))</f>
        <v>9.1976516634050878</v>
      </c>
      <c r="D90" s="5">
        <f>(M37*($E37/365))+(M38*($E38/365))</f>
        <v>15.909980430528373</v>
      </c>
      <c r="E90" s="18">
        <f t="shared" si="38"/>
        <v>100</v>
      </c>
      <c r="G90" s="1">
        <v>2007</v>
      </c>
      <c r="H90" s="380">
        <f>(O37/$R37*100*($E37/365))+(O38/$R38*100*($E38/365))</f>
        <v>75.61597712282645</v>
      </c>
      <c r="I90" s="380"/>
      <c r="J90" s="380">
        <f>(P37/$R37*100*($E37/365))+(P38/$R38*100*($E38/365))</f>
        <v>12.009593653429269</v>
      </c>
      <c r="K90" s="380"/>
      <c r="L90" s="380">
        <f>(Q37/$R37*100*($E37/365))+(Q38/$R38*100*($E38/365))</f>
        <v>12.374429223744292</v>
      </c>
      <c r="M90" s="380"/>
      <c r="N90" s="379">
        <f t="shared" si="39"/>
        <v>100</v>
      </c>
      <c r="O90" s="379"/>
      <c r="R90" s="1">
        <v>2007</v>
      </c>
      <c r="S90" s="5">
        <f>(O37*($E37/365))+(O38*($E38/365))</f>
        <v>44.915890410958902</v>
      </c>
      <c r="T90" s="5">
        <f>(P37*($E37/365))+(P38*($E38/365))</f>
        <v>7.133698630136986</v>
      </c>
      <c r="U90" s="5">
        <f>(Q37*($E37/365))+(Q38*($E38/365))</f>
        <v>7.3504109589041091</v>
      </c>
      <c r="W90" s="4">
        <f t="shared" si="40"/>
        <v>59.399999999999991</v>
      </c>
    </row>
    <row r="91" spans="1:23" x14ac:dyDescent="0.15">
      <c r="A91" s="1">
        <v>2008</v>
      </c>
      <c r="B91" s="5">
        <f>(K39*($E39/366))+(K40*($E40/366))</f>
        <v>78.571428571428569</v>
      </c>
      <c r="C91" s="5">
        <f>(L39*($E39/366))+(L40*($E40/366))</f>
        <v>0</v>
      </c>
      <c r="D91" s="5">
        <f>(M39*($E39/366))+(M40*($E40/366))</f>
        <v>21.428571428571427</v>
      </c>
      <c r="E91" s="18">
        <f t="shared" si="38"/>
        <v>100</v>
      </c>
      <c r="G91" s="1">
        <v>2008</v>
      </c>
      <c r="H91" s="380">
        <f>(O39/$R39*100*($E39/366))+(O40/$R40*100*($E40/366))</f>
        <v>83.333333333333343</v>
      </c>
      <c r="I91" s="380"/>
      <c r="J91" s="380">
        <f>(P39/$R39*100*($E39/366))+(P40/$R40*100*($E40/366))</f>
        <v>0</v>
      </c>
      <c r="K91" s="380"/>
      <c r="L91" s="380">
        <f>(Q39/$R39*100*($E39/366))+(Q40/$R40*100*($E40/366))</f>
        <v>16.666666666666668</v>
      </c>
      <c r="M91" s="380"/>
      <c r="N91" s="379">
        <f t="shared" si="39"/>
        <v>100.00000000000001</v>
      </c>
      <c r="O91" s="379"/>
      <c r="R91" s="1">
        <v>2008</v>
      </c>
      <c r="S91" s="5">
        <f>(O39*($E39/366))+(O40*($E40/366))</f>
        <v>49.5</v>
      </c>
      <c r="T91" s="5">
        <f>(P39*($E39/366))+(P40*($E40/366))</f>
        <v>0</v>
      </c>
      <c r="U91" s="5">
        <f>(Q39*($E39/366))+(Q40*($E40/366))</f>
        <v>9.9</v>
      </c>
      <c r="W91" s="4">
        <f t="shared" si="40"/>
        <v>59.4</v>
      </c>
    </row>
    <row r="92" spans="1:23" x14ac:dyDescent="0.15">
      <c r="A92" s="1">
        <v>2009</v>
      </c>
      <c r="B92" s="5">
        <f>(K41*($E41/365))+(K42*($E42/365))</f>
        <v>90.958904109589042</v>
      </c>
      <c r="C92" s="5">
        <f>(L41*($E41/365))+(L42*($E42/365))</f>
        <v>0</v>
      </c>
      <c r="D92" s="5">
        <f>(M41*($E41/365))+(M42*($E42/365))</f>
        <v>9.0410958904109577</v>
      </c>
      <c r="E92" s="18">
        <f t="shared" si="38"/>
        <v>100</v>
      </c>
      <c r="G92" s="1">
        <v>2009</v>
      </c>
      <c r="H92" s="380">
        <f>(O41/$R41*100*($E41/365))+(O42/$R42*100*($E42/365))</f>
        <v>92.968036529680376</v>
      </c>
      <c r="I92" s="380"/>
      <c r="J92" s="380">
        <f>(P41/$R41*100*($E41/365))+(P42/$R42*100*($E42/365))</f>
        <v>0</v>
      </c>
      <c r="K92" s="380"/>
      <c r="L92" s="380">
        <f>(Q41/$R41*100*($E41/365))+(Q42/$R42*100*($E42/365))</f>
        <v>7.031963470319635</v>
      </c>
      <c r="M92" s="380"/>
      <c r="N92" s="379">
        <f t="shared" si="39"/>
        <v>100.00000000000001</v>
      </c>
      <c r="O92" s="379"/>
      <c r="R92" s="1">
        <v>2009</v>
      </c>
      <c r="S92" s="5">
        <f>(O41*($E41/365))+(O42*($E42/365))</f>
        <v>49.5</v>
      </c>
      <c r="T92" s="5">
        <f>(P41*($E41/365))+(P42*($E42/365))</f>
        <v>0</v>
      </c>
      <c r="U92" s="5">
        <f>(Q41*($E41/365))+(Q42*($E42/365))</f>
        <v>4.1769863013698627</v>
      </c>
      <c r="W92" s="4">
        <f t="shared" si="40"/>
        <v>53.676986301369865</v>
      </c>
    </row>
    <row r="93" spans="1:23" x14ac:dyDescent="0.15">
      <c r="A93" s="1">
        <v>2010</v>
      </c>
      <c r="B93" s="5">
        <f>(K43*($E43/365))+(K44*($E44/365))</f>
        <v>100</v>
      </c>
      <c r="C93" s="5">
        <f>(L43*($E43/365))+(L44*($E44/365))</f>
        <v>0</v>
      </c>
      <c r="D93" s="5">
        <f>(M43*($E43/365))+(M44*($E44/365))</f>
        <v>0</v>
      </c>
      <c r="E93" s="18">
        <f t="shared" si="38"/>
        <v>100</v>
      </c>
      <c r="G93" s="1">
        <v>2010</v>
      </c>
      <c r="H93" s="380">
        <f>(O43/$R43*100*($E43/365))+(O44/$R44*100*($E44/365))</f>
        <v>100</v>
      </c>
      <c r="I93" s="380"/>
      <c r="J93" s="380">
        <f>(P43/$R43*100*($E43/365))+(P44/$R44*100*($E44/365))</f>
        <v>0</v>
      </c>
      <c r="K93" s="380"/>
      <c r="L93" s="380">
        <f>(Q43/$R43*100*($E43/365))+(Q44/$R44*100*($E44/365))</f>
        <v>0</v>
      </c>
      <c r="M93" s="380"/>
      <c r="N93" s="379">
        <f t="shared" si="39"/>
        <v>100</v>
      </c>
      <c r="O93" s="379"/>
      <c r="R93" s="1">
        <v>2010</v>
      </c>
      <c r="S93" s="5">
        <f>(O43*($E43/365))+(O44*($E44/365))</f>
        <v>49.5</v>
      </c>
      <c r="T93" s="5">
        <f>(P43*($E43/365))+(P44*($E44/365))</f>
        <v>0</v>
      </c>
      <c r="U93" s="5">
        <f>(Q43*($E43/365))+(Q44*($E44/365))</f>
        <v>0</v>
      </c>
      <c r="W93" s="4">
        <f t="shared" si="40"/>
        <v>49.5</v>
      </c>
    </row>
    <row r="94" spans="1:23" x14ac:dyDescent="0.15">
      <c r="A94" s="1">
        <v>2011</v>
      </c>
      <c r="B94" s="5">
        <f>(K45*($E45/365))+(K46*($E46/365))</f>
        <v>100</v>
      </c>
      <c r="C94" s="5">
        <f>(L45*($E45/365))+(L46*($E46/365))</f>
        <v>0</v>
      </c>
      <c r="D94" s="5">
        <f>(M45*($E45/365))+(M46*($E46/365))</f>
        <v>0</v>
      </c>
      <c r="E94" s="18">
        <f t="shared" si="38"/>
        <v>100</v>
      </c>
      <c r="G94" s="1">
        <v>2011</v>
      </c>
      <c r="H94" s="380">
        <f>(O45/$R45*100*($E45/365))+(O46/$R46*100*($E46/365))</f>
        <v>100</v>
      </c>
      <c r="I94" s="380"/>
      <c r="J94" s="380">
        <f>(P45/$R45*100*($E45/365))+(P46/$R46*100*($E46/365))</f>
        <v>0</v>
      </c>
      <c r="K94" s="380"/>
      <c r="L94" s="380">
        <f>(Q45/$R45*100*($E45/365))+(Q46/$R46*100*($E46/365))</f>
        <v>0</v>
      </c>
      <c r="M94" s="380"/>
      <c r="N94" s="379">
        <f t="shared" si="39"/>
        <v>100</v>
      </c>
      <c r="O94" s="379"/>
      <c r="R94" s="1">
        <v>2011</v>
      </c>
      <c r="S94" s="5">
        <f>(O45*($E45/365))+(O46*($E46/365))</f>
        <v>53.938356164383563</v>
      </c>
      <c r="T94" s="5">
        <f>(P45*($E45/365))+(P46*($E46/365))</f>
        <v>0</v>
      </c>
      <c r="U94" s="5">
        <f>(Q45*($E45/365))+(Q46*($E46/365))</f>
        <v>0</v>
      </c>
      <c r="W94" s="4">
        <f t="shared" si="40"/>
        <v>53.938356164383563</v>
      </c>
    </row>
    <row r="95" spans="1:23" x14ac:dyDescent="0.15">
      <c r="A95" s="1">
        <v>2012</v>
      </c>
      <c r="B95" s="5">
        <f>(K47*($E47/366))+(K48*($E48/366))</f>
        <v>100</v>
      </c>
      <c r="C95" s="5">
        <f>(L47*($E47/366))+(L48*($E48/366))</f>
        <v>0</v>
      </c>
      <c r="D95" s="5">
        <f>(M47*($E47/366))+(M48*($E48/366))</f>
        <v>0</v>
      </c>
      <c r="E95" s="18">
        <f t="shared" si="38"/>
        <v>100</v>
      </c>
      <c r="G95" s="1">
        <v>2012</v>
      </c>
      <c r="H95" s="380">
        <f>(O47/$R47*100*($E47/366))+(O48/$R48*100*($E48/366))</f>
        <v>100</v>
      </c>
      <c r="I95" s="380"/>
      <c r="J95" s="380">
        <f>(P47/$R47*100*($E47/366))+(P48/$R48*100*($E48/366))</f>
        <v>0</v>
      </c>
      <c r="K95" s="380"/>
      <c r="L95" s="380">
        <f>(Q47/$R47*100*($E47/366))+(Q48/$R48*100*($E48/366))</f>
        <v>0</v>
      </c>
      <c r="M95" s="380"/>
      <c r="N95" s="379">
        <f t="shared" si="39"/>
        <v>100</v>
      </c>
      <c r="O95" s="379"/>
      <c r="R95" s="1">
        <v>2012</v>
      </c>
      <c r="S95" s="5">
        <f>(O47*($E47/366))+(O48*($E48/366))</f>
        <v>55.5</v>
      </c>
      <c r="T95" s="5">
        <f>(P47*($E47/366))+(P48*($E48/366))</f>
        <v>0</v>
      </c>
      <c r="U95" s="5">
        <f>(Q47*($E47/366))+(Q48*($E48/366))</f>
        <v>0</v>
      </c>
      <c r="W95" s="4">
        <f t="shared" si="40"/>
        <v>55.5</v>
      </c>
    </row>
    <row r="96" spans="1:23" x14ac:dyDescent="0.15">
      <c r="A96" s="1">
        <v>2013</v>
      </c>
      <c r="B96" s="5">
        <f>(K49*($E49/365))+(K50*($E50/365))</f>
        <v>100</v>
      </c>
      <c r="C96" s="5">
        <f>(L49*($E49/365))+(L50*($E50/365))</f>
        <v>0</v>
      </c>
      <c r="D96" s="5">
        <f>(M49*($E49/365))+(M50*($E50/365))</f>
        <v>0</v>
      </c>
      <c r="E96" s="18">
        <f>SUM(B96:D96)</f>
        <v>100</v>
      </c>
      <c r="G96" s="1">
        <v>2013</v>
      </c>
      <c r="H96" s="380">
        <f>(O49/$R49*100*($E49/365))+(O50/$R50*100*($E50/365))</f>
        <v>100</v>
      </c>
      <c r="I96" s="380"/>
      <c r="J96" s="380">
        <f>(P49/$R49*100*($E49/365))+(P50/$R50*100*($E50/365))</f>
        <v>0</v>
      </c>
      <c r="K96" s="380"/>
      <c r="L96" s="380">
        <f>(Q49/$R49*100*($E49/365))+(Q50/$R50*100*($E50/365))</f>
        <v>0</v>
      </c>
      <c r="M96" s="380"/>
      <c r="N96" s="379">
        <f>SUM(H96:M96)</f>
        <v>100</v>
      </c>
      <c r="O96" s="379"/>
      <c r="R96" s="1">
        <v>2013</v>
      </c>
      <c r="S96" s="5">
        <f>(O49*($E49/365))+(O50*($E50/365))</f>
        <v>55.5</v>
      </c>
      <c r="T96" s="5">
        <f>(P49*($E49/365))+(P50*($E50/365))</f>
        <v>0</v>
      </c>
      <c r="U96" s="5">
        <f>(Q49*($E49/365))+(Q50*($E50/365))</f>
        <v>0</v>
      </c>
      <c r="W96" s="4">
        <f>SUM(S96:U96)</f>
        <v>55.5</v>
      </c>
    </row>
    <row r="97" spans="1:23" x14ac:dyDescent="0.15">
      <c r="A97" s="1">
        <v>2014</v>
      </c>
      <c r="B97" s="5">
        <f>(K51*($E51/365))+(K52*($E52/365))</f>
        <v>67.00587084148728</v>
      </c>
      <c r="C97" s="5">
        <f>(L51*($E51/365))+(L52*($E52/365))</f>
        <v>0</v>
      </c>
      <c r="D97" s="5">
        <f>(M51*($E51/365))+(M52*($E52/365))</f>
        <v>32.994129158512713</v>
      </c>
      <c r="E97" s="18">
        <f>SUM(B97:D97)</f>
        <v>100</v>
      </c>
      <c r="G97" s="1">
        <v>2014</v>
      </c>
      <c r="H97" s="380">
        <f>(O51/$R51*100*($E51/365))+(O52/$R52*100*($E52/365))</f>
        <v>70.618072137740356</v>
      </c>
      <c r="I97" s="380"/>
      <c r="J97" s="380">
        <f>(P51/$R51*100*($E51/365))+(P52/$R52*100*($E52/365))</f>
        <v>0</v>
      </c>
      <c r="K97" s="380"/>
      <c r="L97" s="380">
        <f>(Q51/$R51*100*($E51/365))+(Q52/$R52*100*($E52/365))</f>
        <v>29.381927862259641</v>
      </c>
      <c r="M97" s="380"/>
      <c r="N97" s="379">
        <f>SUM(H97:M97)</f>
        <v>100</v>
      </c>
      <c r="O97" s="379"/>
      <c r="R97" s="1">
        <v>2014</v>
      </c>
      <c r="S97" s="5">
        <f>(O51*($E51/365))+(O52*($E52/365))</f>
        <v>38.716986301369865</v>
      </c>
      <c r="T97" s="5">
        <f>(P51*($E51/365))+(P52*($E52/365))</f>
        <v>0</v>
      </c>
      <c r="U97" s="5">
        <f>(Q51*($E51/365))+(Q52*($E52/365))</f>
        <v>16.013150684931507</v>
      </c>
      <c r="W97" s="4">
        <f>SUM(S97:U97)</f>
        <v>54.730136986301375</v>
      </c>
    </row>
    <row r="98" spans="1:23" x14ac:dyDescent="0.15">
      <c r="A98" s="1">
        <v>2015</v>
      </c>
      <c r="B98" s="5">
        <f>(K53*($E53/365))+(K54*($E54/365))+(K55*($E55/365))</f>
        <v>65.899543378995418</v>
      </c>
      <c r="C98" s="5">
        <f>(L53*($E53/365))+(L54*($E54/365))+(L55*($E55/365))</f>
        <v>0</v>
      </c>
      <c r="D98" s="5">
        <f>(M53*($E53/365))+(M54*($E54/365))+(M55*($E55/365))</f>
        <v>31.013698630136986</v>
      </c>
      <c r="E98" s="18">
        <f>SUM(B98:D98)</f>
        <v>96.913242009132404</v>
      </c>
      <c r="G98" s="1">
        <v>2015</v>
      </c>
      <c r="H98" s="380">
        <f>(O53/$R53*100*($E53/365))+(O54/$R54*100*($E54/365))+(O55/$R55*100*($E55/365))</f>
        <v>71.121379981503139</v>
      </c>
      <c r="I98" s="380"/>
      <c r="J98" s="380">
        <f>(P53/$R53*100*($E53/365))+(P54/$R54*100*($E54/365))+(P55/$R55*100*($E55/365))</f>
        <v>0</v>
      </c>
      <c r="K98" s="380"/>
      <c r="L98" s="380">
        <f>(Q53/$R53*100*($E53/365))+(Q54/$R54*100*($E54/365))+(Q55/$R55*100*($E55/365))</f>
        <v>28.878620018496854</v>
      </c>
      <c r="M98" s="380"/>
      <c r="N98" s="379">
        <f>SUM(H98:M98)</f>
        <v>100</v>
      </c>
      <c r="O98" s="379"/>
      <c r="R98" s="1">
        <v>2015</v>
      </c>
      <c r="S98" s="5">
        <f>(O53*($E53/365))+(O54*($E54/365))+(O55*($E55/365))</f>
        <v>40.941917808219173</v>
      </c>
      <c r="T98" s="5">
        <f>(P53*($E53/365))+(P54*($E54/365))+(P55*($E55/365))</f>
        <v>0</v>
      </c>
      <c r="U98" s="5">
        <f>(Q53*($E53/365))+(Q54*($E54/365))+(Q55*($E55/365))</f>
        <v>16.484109589041097</v>
      </c>
      <c r="W98" s="4">
        <f>SUM(S98:U98)</f>
        <v>57.42602739726027</v>
      </c>
    </row>
    <row r="99" spans="1:23" x14ac:dyDescent="0.15">
      <c r="A99" s="1">
        <v>2016</v>
      </c>
      <c r="B99" s="5">
        <f>(K56*($E56/366))+(K57*($E57/366))+(K58*($E58/366))</f>
        <v>64.426229508196712</v>
      </c>
      <c r="C99" s="5">
        <f>(L56*($E56/366))+(L57*($E57/366))+(L58*($E58/366))</f>
        <v>3.55191256830601</v>
      </c>
      <c r="D99" s="5">
        <f>(M56*($E56/366))+(M57*($E57/366))+(M58*($E58/366))</f>
        <v>27.377049180327866</v>
      </c>
      <c r="E99" s="18">
        <f>SUM(B99:D99)</f>
        <v>95.35519125683058</v>
      </c>
      <c r="G99" s="1">
        <v>2016</v>
      </c>
      <c r="H99" s="380">
        <f>(O56/$R56*100*($E56/366))+(O57/$R57*100*($E57/366))+(O58/$R58*100*($E58/366))</f>
        <v>69.256936633985816</v>
      </c>
      <c r="I99" s="380"/>
      <c r="J99" s="380">
        <f>(P56/$R56*100*($E56/366))+(P57/$R57*100*($E57/366))+(P58/$R58*100*($E58/366))</f>
        <v>5.1262738147984042</v>
      </c>
      <c r="K99" s="380"/>
      <c r="L99" s="380">
        <f>(Q56/$R56*100*($E56/366))+(Q57/$R57*100*($E57/366))+(Q58/$R58*100*($E58/366))</f>
        <v>25.616789551215778</v>
      </c>
      <c r="M99" s="380"/>
      <c r="N99" s="379">
        <f>SUM(H99:M99)</f>
        <v>100</v>
      </c>
      <c r="O99" s="379"/>
      <c r="R99" s="1">
        <v>2016</v>
      </c>
      <c r="S99" s="5">
        <f>(O56*($E56/366))+(O57*($E57/366))+(O58*($E58/366))</f>
        <v>40.435245901639341</v>
      </c>
      <c r="T99" s="5">
        <f>(P56*($E56/366))+(P57*($E57/366))+(P58*($E58/366))</f>
        <v>2.8450819672131145</v>
      </c>
      <c r="U99" s="5">
        <f>(Q56*($E56/366))+(Q57*($E57/366))+(Q58*($E58/366))</f>
        <v>14.9</v>
      </c>
      <c r="W99" s="4">
        <f>SUM(S99:U99)</f>
        <v>58.180327868852451</v>
      </c>
    </row>
    <row r="100" spans="1:23" x14ac:dyDescent="0.15">
      <c r="A100" s="1">
        <v>2017</v>
      </c>
      <c r="B100" s="5">
        <f>(K59*($E59/365))+(K60*($E60/365))</f>
        <v>33.333333333333329</v>
      </c>
      <c r="C100" s="5">
        <f t="shared" ref="C100:D100" si="41">(L59*($E59/365))+(L60*($E60/365))</f>
        <v>33.333333333333329</v>
      </c>
      <c r="D100" s="5">
        <f t="shared" si="41"/>
        <v>33.333333333333329</v>
      </c>
      <c r="E100" s="18">
        <f>SUM(B100:D100)</f>
        <v>99.999999999999986</v>
      </c>
      <c r="G100" s="1">
        <v>2017</v>
      </c>
      <c r="H100" s="380">
        <f>(O59/$R59*100*($E59/365))+(O60/$R60*100*($E60/365))</f>
        <v>25.045045045045043</v>
      </c>
      <c r="I100" s="380"/>
      <c r="J100" s="380">
        <f>(P59/$R59*100*($E59/365))+(P60/$R60*100*($E60/365))</f>
        <v>48.108108108108105</v>
      </c>
      <c r="K100" s="380"/>
      <c r="L100" s="380">
        <f>(Q59/$R59*100*($E59/365))+(Q60/$R60*100*($E60/365))</f>
        <v>26.846846846846852</v>
      </c>
      <c r="M100" s="380"/>
      <c r="N100" s="379">
        <f>SUM(H100:M100)</f>
        <v>100</v>
      </c>
      <c r="O100" s="379"/>
      <c r="R100" s="1">
        <v>2017</v>
      </c>
      <c r="S100" s="5">
        <f>(O59*($E59/365))+(O60*($E60/365))</f>
        <v>13.9</v>
      </c>
      <c r="T100" s="5">
        <f t="shared" ref="T100:U100" si="42">(P59*($E59/365))+(P60*($E60/365))</f>
        <v>26.7</v>
      </c>
      <c r="U100" s="5">
        <f t="shared" si="42"/>
        <v>14.9</v>
      </c>
      <c r="W100" s="4">
        <f>SUM(S100:U100)</f>
        <v>55.5</v>
      </c>
    </row>
    <row r="101" spans="1:23" x14ac:dyDescent="0.15">
      <c r="A101" s="1">
        <v>2018</v>
      </c>
      <c r="B101" s="5">
        <f>(K61*($E61/365))+(K62*($E62/365))</f>
        <v>33.333333333333329</v>
      </c>
      <c r="C101" s="5">
        <f>(L61*($E61/365))+(L62*($E62/365))</f>
        <v>33.333333333333329</v>
      </c>
      <c r="D101" s="5">
        <f>(M61*($E61/365))+(M62*($E62/365))</f>
        <v>33.333333333333329</v>
      </c>
      <c r="E101" s="18">
        <f t="shared" ref="E101" si="43">SUM(B101:D101)</f>
        <v>99.999999999999986</v>
      </c>
      <c r="G101" s="1">
        <v>2018</v>
      </c>
      <c r="H101" s="380">
        <f>(O61/$R61*100*($E61/365))+(O62/$R62*100*($E62/365))</f>
        <v>25.045045045045043</v>
      </c>
      <c r="I101" s="380"/>
      <c r="J101" s="380">
        <f>(P61/$R61*100*($E61/365))+(P62/$R62*100*($E62/365))</f>
        <v>48.108108108108105</v>
      </c>
      <c r="K101" s="380"/>
      <c r="L101" s="380">
        <f>(Q61/$R61*100*($E61/365))+(Q62/$R62*100*($E62/365))</f>
        <v>26.846846846846852</v>
      </c>
      <c r="M101" s="380"/>
      <c r="N101" s="379">
        <f t="shared" ref="N101" si="44">SUM(H101:M101)</f>
        <v>100</v>
      </c>
      <c r="O101" s="379"/>
      <c r="R101" s="1">
        <v>2018</v>
      </c>
      <c r="S101" s="5">
        <f>(O61*($E61/365))+(O62*($E62/365))</f>
        <v>13.9</v>
      </c>
      <c r="T101" s="5">
        <f>(P61*($E61/365))+(P62*($E62/365))</f>
        <v>26.7</v>
      </c>
      <c r="U101" s="5">
        <f>(Q61*($E61/365))+(Q62*($E62/365))</f>
        <v>14.9</v>
      </c>
      <c r="W101" s="4">
        <f t="shared" ref="W101" si="45">SUM(S101:U101)</f>
        <v>55.5</v>
      </c>
    </row>
    <row r="102" spans="1:23" x14ac:dyDescent="0.15">
      <c r="A102" s="1">
        <v>2019</v>
      </c>
      <c r="B102" s="5">
        <f>(K63*($E63/365))+(K64*($E64/365))</f>
        <v>55.890410958904098</v>
      </c>
      <c r="C102" s="5">
        <f>(L63*($E63/365))+(L64*($E64/365))</f>
        <v>33.333333333333329</v>
      </c>
      <c r="D102" s="5">
        <f>(M63*($E63/365))+(M64*($E64/365))</f>
        <v>10.776255707762555</v>
      </c>
      <c r="E102" s="18">
        <f t="shared" ref="E102:E103" si="46">SUM(B102:D102)</f>
        <v>99.999999999999986</v>
      </c>
      <c r="G102" s="1">
        <v>2019</v>
      </c>
      <c r="H102" s="380">
        <f>(O63/$R63*100*($E63/365))+(O64/$R64*100*($E64/365))</f>
        <v>45.529310132049858</v>
      </c>
      <c r="I102" s="380"/>
      <c r="J102" s="380">
        <f>(P63/$R63*100*($E63/365))+(P64/$R64*100*($E64/365))</f>
        <v>45.79143527088732</v>
      </c>
      <c r="K102" s="380"/>
      <c r="L102" s="380">
        <f>(Q63/$R63*100*($E63/365))+(Q64/$R64*100*($E64/365))</f>
        <v>8.6792545970628172</v>
      </c>
      <c r="M102" s="380"/>
      <c r="N102" s="379">
        <f t="shared" ref="N102" si="47">SUM(H102:M102)</f>
        <v>100</v>
      </c>
      <c r="O102" s="379"/>
      <c r="R102" s="1">
        <v>2019</v>
      </c>
      <c r="S102" s="5">
        <f>(O63*($E63/365))+(O64*($E64/365))</f>
        <v>25.26876712328767</v>
      </c>
      <c r="T102" s="5">
        <f>(P63*($E63/365))+(P64*($E64/365))</f>
        <v>25.414246575342464</v>
      </c>
      <c r="U102" s="5">
        <f>(Q63*($E63/365))+(Q64*($E64/365))</f>
        <v>4.8169863013698633</v>
      </c>
      <c r="W102" s="4">
        <f t="shared" ref="W102" si="48">SUM(S102:U102)</f>
        <v>55.5</v>
      </c>
    </row>
    <row r="103" spans="1:23" x14ac:dyDescent="0.15">
      <c r="A103" s="1">
        <v>2020</v>
      </c>
      <c r="B103" s="5">
        <f>(K65*($E65/366))+(K66*($E66/366))</f>
        <v>66.666666666666657</v>
      </c>
      <c r="C103" s="5">
        <f>(L65*($E65/366))+(L66*($E66/366))</f>
        <v>33.333333333333329</v>
      </c>
      <c r="D103" s="5">
        <f>(M65*($E65/366))+(M66*($E66/366))</f>
        <v>0</v>
      </c>
      <c r="E103" s="18">
        <f t="shared" si="46"/>
        <v>99.999999999999986</v>
      </c>
      <c r="G103" s="1">
        <v>2020</v>
      </c>
      <c r="H103" s="380">
        <f>(O65/$R65*100*($E65/366))+(O66/$R66*100*($E66/366))</f>
        <v>55.315315315315317</v>
      </c>
      <c r="I103" s="380"/>
      <c r="J103" s="380">
        <f>(P65/$R65*100*($E65/366))+(P66/$R66*100*($E66/366))</f>
        <v>44.684684684684683</v>
      </c>
      <c r="K103" s="380"/>
      <c r="L103" s="380">
        <f>(Q65/$R65*100*($E65/366))+(Q66/$R66*100*($E66/366))</f>
        <v>0</v>
      </c>
      <c r="M103" s="380"/>
      <c r="N103" s="379">
        <f t="shared" ref="N103" si="49">SUM(H103:M103)</f>
        <v>100</v>
      </c>
      <c r="O103" s="379"/>
      <c r="R103" s="1">
        <v>2020</v>
      </c>
      <c r="S103" s="5">
        <f>(O65*($E65/366))+(O66*($E66/366))</f>
        <v>30.7</v>
      </c>
      <c r="T103" s="5">
        <f>(P65*($E65/366))+(P66*($E66/366))</f>
        <v>24.8</v>
      </c>
      <c r="U103" s="5">
        <f>(Q65*($E65/366))+(Q66*($E66/366))</f>
        <v>0</v>
      </c>
      <c r="W103" s="4">
        <f>SUM(S103:U103)</f>
        <v>55.5</v>
      </c>
    </row>
  </sheetData>
  <mergeCells count="211">
    <mergeCell ref="C62:D62"/>
    <mergeCell ref="H101:I101"/>
    <mergeCell ref="J101:K101"/>
    <mergeCell ref="L101:M101"/>
    <mergeCell ref="N101:O101"/>
    <mergeCell ref="H100:I100"/>
    <mergeCell ref="J100:K100"/>
    <mergeCell ref="L100:M100"/>
    <mergeCell ref="N100:O100"/>
    <mergeCell ref="H99:I99"/>
    <mergeCell ref="J99:K99"/>
    <mergeCell ref="L99:M99"/>
    <mergeCell ref="N99:O99"/>
    <mergeCell ref="H98:I98"/>
    <mergeCell ref="J98:K98"/>
    <mergeCell ref="L98:M98"/>
    <mergeCell ref="N98:O98"/>
    <mergeCell ref="H97:I97"/>
    <mergeCell ref="J97:K97"/>
    <mergeCell ref="L97:M97"/>
    <mergeCell ref="N97:O97"/>
    <mergeCell ref="H96:I96"/>
    <mergeCell ref="J96:K96"/>
    <mergeCell ref="L96:M96"/>
    <mergeCell ref="N96:O96"/>
    <mergeCell ref="H95:I95"/>
    <mergeCell ref="J95:K95"/>
    <mergeCell ref="L95:M95"/>
    <mergeCell ref="N95:O95"/>
    <mergeCell ref="H93:I93"/>
    <mergeCell ref="J93:K93"/>
    <mergeCell ref="L93:M93"/>
    <mergeCell ref="N93:O93"/>
    <mergeCell ref="H94:I94"/>
    <mergeCell ref="J94:K94"/>
    <mergeCell ref="L94:M94"/>
    <mergeCell ref="N94:O94"/>
    <mergeCell ref="J91:K91"/>
    <mergeCell ref="L91:M91"/>
    <mergeCell ref="N91:O91"/>
    <mergeCell ref="H92:I92"/>
    <mergeCell ref="J92:K92"/>
    <mergeCell ref="L92:M92"/>
    <mergeCell ref="N92:O92"/>
    <mergeCell ref="H91:I91"/>
    <mergeCell ref="N85:O85"/>
    <mergeCell ref="H86:I86"/>
    <mergeCell ref="J86:K86"/>
    <mergeCell ref="L86:M86"/>
    <mergeCell ref="N86:O86"/>
    <mergeCell ref="N89:O89"/>
    <mergeCell ref="N90:O90"/>
    <mergeCell ref="H87:I87"/>
    <mergeCell ref="J87:K87"/>
    <mergeCell ref="L87:M87"/>
    <mergeCell ref="N87:O87"/>
    <mergeCell ref="H88:I88"/>
    <mergeCell ref="J88:K88"/>
    <mergeCell ref="L88:M88"/>
    <mergeCell ref="N88:O88"/>
    <mergeCell ref="H89:I89"/>
    <mergeCell ref="H90:I90"/>
    <mergeCell ref="J89:K89"/>
    <mergeCell ref="J90:K90"/>
    <mergeCell ref="L89:M89"/>
    <mergeCell ref="L90:M90"/>
    <mergeCell ref="H85:I85"/>
    <mergeCell ref="J85:K85"/>
    <mergeCell ref="L85:M85"/>
    <mergeCell ref="N82:O82"/>
    <mergeCell ref="H83:I83"/>
    <mergeCell ref="J83:K83"/>
    <mergeCell ref="L83:M83"/>
    <mergeCell ref="N83:O83"/>
    <mergeCell ref="H84:I84"/>
    <mergeCell ref="J84:K84"/>
    <mergeCell ref="L84:M84"/>
    <mergeCell ref="N84:O84"/>
    <mergeCell ref="H82:I82"/>
    <mergeCell ref="J82:K82"/>
    <mergeCell ref="L82:M82"/>
    <mergeCell ref="N79:O79"/>
    <mergeCell ref="H80:I80"/>
    <mergeCell ref="J80:K80"/>
    <mergeCell ref="L80:M80"/>
    <mergeCell ref="N80:O80"/>
    <mergeCell ref="H81:I81"/>
    <mergeCell ref="J81:K81"/>
    <mergeCell ref="L81:M81"/>
    <mergeCell ref="N81:O81"/>
    <mergeCell ref="H79:I79"/>
    <mergeCell ref="J79:K79"/>
    <mergeCell ref="L79:M79"/>
    <mergeCell ref="J77:K77"/>
    <mergeCell ref="L77:M77"/>
    <mergeCell ref="N77:O77"/>
    <mergeCell ref="H78:I78"/>
    <mergeCell ref="J78:K78"/>
    <mergeCell ref="L78:M78"/>
    <mergeCell ref="N78:O78"/>
    <mergeCell ref="H76:I76"/>
    <mergeCell ref="J76:K76"/>
    <mergeCell ref="L76:M76"/>
    <mergeCell ref="C43:D43"/>
    <mergeCell ref="C44:D44"/>
    <mergeCell ref="C45:D45"/>
    <mergeCell ref="C46:D46"/>
    <mergeCell ref="C47:D47"/>
    <mergeCell ref="C48:D48"/>
    <mergeCell ref="R70:W70"/>
    <mergeCell ref="H72:I72"/>
    <mergeCell ref="J72:K72"/>
    <mergeCell ref="L72:M72"/>
    <mergeCell ref="N72:O72"/>
    <mergeCell ref="C49:D49"/>
    <mergeCell ref="C50:D50"/>
    <mergeCell ref="C51:D51"/>
    <mergeCell ref="C52:D52"/>
    <mergeCell ref="C54:D54"/>
    <mergeCell ref="C53:D53"/>
    <mergeCell ref="C55:D55"/>
    <mergeCell ref="C56:D56"/>
    <mergeCell ref="C57:D57"/>
    <mergeCell ref="C58:D58"/>
    <mergeCell ref="C59:D59"/>
    <mergeCell ref="C60:D60"/>
    <mergeCell ref="C61:D61"/>
    <mergeCell ref="C40:D40"/>
    <mergeCell ref="C30:D30"/>
    <mergeCell ref="C31:D31"/>
    <mergeCell ref="C32:D32"/>
    <mergeCell ref="C33:D33"/>
    <mergeCell ref="C34:D34"/>
    <mergeCell ref="C41:D41"/>
    <mergeCell ref="C35:D35"/>
    <mergeCell ref="C42:D42"/>
    <mergeCell ref="C28:D28"/>
    <mergeCell ref="C29:D29"/>
    <mergeCell ref="C36:D36"/>
    <mergeCell ref="C37:D37"/>
    <mergeCell ref="C16:D16"/>
    <mergeCell ref="C17:D17"/>
    <mergeCell ref="C18:D18"/>
    <mergeCell ref="C38:D38"/>
    <mergeCell ref="C39:D39"/>
    <mergeCell ref="C10:D10"/>
    <mergeCell ref="C11:D11"/>
    <mergeCell ref="C12:D12"/>
    <mergeCell ref="C14:D14"/>
    <mergeCell ref="C15:D15"/>
    <mergeCell ref="C24:D24"/>
    <mergeCell ref="C25:D25"/>
    <mergeCell ref="C26:D26"/>
    <mergeCell ref="C27:D27"/>
    <mergeCell ref="G3:M3"/>
    <mergeCell ref="O3:Q3"/>
    <mergeCell ref="A4:A5"/>
    <mergeCell ref="B4:B5"/>
    <mergeCell ref="C4:D5"/>
    <mergeCell ref="E4:E5"/>
    <mergeCell ref="F4:F5"/>
    <mergeCell ref="G4:J4"/>
    <mergeCell ref="T4:T5"/>
    <mergeCell ref="C64:D64"/>
    <mergeCell ref="C63:D63"/>
    <mergeCell ref="AT4:AW4"/>
    <mergeCell ref="AX4:BA4"/>
    <mergeCell ref="K4:N4"/>
    <mergeCell ref="O4:R4"/>
    <mergeCell ref="Z4:AC4"/>
    <mergeCell ref="AD4:AG4"/>
    <mergeCell ref="AH4:AK4"/>
    <mergeCell ref="AL4:AO4"/>
    <mergeCell ref="AP4:AS4"/>
    <mergeCell ref="S4:S5"/>
    <mergeCell ref="U4:U5"/>
    <mergeCell ref="V4:Y4"/>
    <mergeCell ref="C13:D13"/>
    <mergeCell ref="C19:D19"/>
    <mergeCell ref="C20:D20"/>
    <mergeCell ref="C21:D21"/>
    <mergeCell ref="C22:D22"/>
    <mergeCell ref="C23:D23"/>
    <mergeCell ref="C6:D6"/>
    <mergeCell ref="C7:D7"/>
    <mergeCell ref="C8:D8"/>
    <mergeCell ref="C9:D9"/>
    <mergeCell ref="C65:D65"/>
    <mergeCell ref="C66:D66"/>
    <mergeCell ref="H103:I103"/>
    <mergeCell ref="J103:K103"/>
    <mergeCell ref="L103:M103"/>
    <mergeCell ref="N103:O103"/>
    <mergeCell ref="H102:I102"/>
    <mergeCell ref="J102:K102"/>
    <mergeCell ref="L102:M102"/>
    <mergeCell ref="N102:O102"/>
    <mergeCell ref="N73:O73"/>
    <mergeCell ref="H74:I74"/>
    <mergeCell ref="J74:K74"/>
    <mergeCell ref="L74:M74"/>
    <mergeCell ref="N74:O74"/>
    <mergeCell ref="H75:I75"/>
    <mergeCell ref="J75:K75"/>
    <mergeCell ref="L75:M75"/>
    <mergeCell ref="N75:O75"/>
    <mergeCell ref="H73:I73"/>
    <mergeCell ref="J73:K73"/>
    <mergeCell ref="L73:M73"/>
    <mergeCell ref="N76:O76"/>
    <mergeCell ref="H77:I77"/>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210"/>
  <sheetViews>
    <sheetView zoomScale="139" zoomScaleNormal="120" workbookViewId="0">
      <pane xSplit="1" ySplit="5" topLeftCell="B86" activePane="bottomRight" state="frozen"/>
      <selection pane="topRight" activeCell="B1" sqref="B1"/>
      <selection pane="bottomLeft" activeCell="A6" sqref="A6"/>
      <selection pane="bottomRight" activeCell="AA48" sqref="AA48:AA68"/>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53</v>
      </c>
    </row>
    <row r="3" spans="1:53" x14ac:dyDescent="0.15">
      <c r="G3" s="415"/>
      <c r="H3" s="415"/>
      <c r="I3" s="415"/>
      <c r="J3" s="415"/>
      <c r="K3" s="415"/>
      <c r="L3" s="415"/>
      <c r="M3" s="415"/>
      <c r="O3" s="415"/>
      <c r="P3" s="415"/>
      <c r="Q3" s="415"/>
      <c r="R3" s="4"/>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05" t="s">
        <v>1227</v>
      </c>
      <c r="D6" s="405"/>
      <c r="E6" s="140">
        <v>12</v>
      </c>
      <c r="G6" s="148">
        <v>3</v>
      </c>
      <c r="H6" s="140">
        <v>4</v>
      </c>
      <c r="I6" s="140">
        <v>3</v>
      </c>
      <c r="J6" s="154">
        <v>11</v>
      </c>
      <c r="K6" s="134">
        <f>G6/J6*100</f>
        <v>27.27272727272727</v>
      </c>
      <c r="L6" s="134">
        <f>H6/J6*100</f>
        <v>36.363636363636367</v>
      </c>
      <c r="M6" s="134">
        <f>I6/J6*100</f>
        <v>27.27272727272727</v>
      </c>
      <c r="N6" s="150">
        <f>SUM(K6:M6)</f>
        <v>90.909090909090907</v>
      </c>
      <c r="O6" s="133">
        <f>AG6+AK6</f>
        <v>21</v>
      </c>
      <c r="P6" s="134">
        <v>24</v>
      </c>
      <c r="Q6" s="134">
        <v>24</v>
      </c>
      <c r="R6" s="135">
        <f>SUM(O6:Q6)</f>
        <v>69</v>
      </c>
      <c r="S6" s="140">
        <v>2</v>
      </c>
      <c r="T6" s="308"/>
      <c r="U6" s="296"/>
      <c r="V6" s="139" t="s">
        <v>107</v>
      </c>
      <c r="W6" s="140" t="s">
        <v>869</v>
      </c>
      <c r="X6" s="140" t="s">
        <v>18</v>
      </c>
      <c r="Y6" s="141">
        <v>24</v>
      </c>
      <c r="Z6" s="139" t="s">
        <v>111</v>
      </c>
      <c r="AA6" s="140" t="s">
        <v>20</v>
      </c>
      <c r="AB6" s="140" t="s">
        <v>12</v>
      </c>
      <c r="AC6" s="140">
        <v>24</v>
      </c>
      <c r="AD6" s="139" t="s">
        <v>109</v>
      </c>
      <c r="AE6" s="140" t="s">
        <v>89</v>
      </c>
      <c r="AF6" s="140" t="s">
        <v>11</v>
      </c>
      <c r="AG6" s="141">
        <v>6.5</v>
      </c>
      <c r="AH6" s="139" t="s">
        <v>108</v>
      </c>
      <c r="AI6" s="140" t="s">
        <v>74</v>
      </c>
      <c r="AJ6" s="140" t="s">
        <v>11</v>
      </c>
      <c r="AK6" s="140">
        <v>14.5</v>
      </c>
      <c r="AL6" s="139"/>
      <c r="AO6" s="141"/>
      <c r="AP6" s="139"/>
      <c r="AS6" s="141"/>
      <c r="AW6" s="141"/>
      <c r="BA6" s="142"/>
    </row>
    <row r="7" spans="1:53" s="140" customFormat="1" x14ac:dyDescent="0.15">
      <c r="A7" s="146">
        <v>1959</v>
      </c>
      <c r="B7" s="296">
        <v>21563</v>
      </c>
      <c r="C7" s="405" t="s">
        <v>331</v>
      </c>
      <c r="D7" s="405"/>
      <c r="E7" s="140">
        <f>365-E6</f>
        <v>353</v>
      </c>
      <c r="F7" s="140">
        <v>4</v>
      </c>
      <c r="G7" s="148"/>
      <c r="H7" s="140">
        <v>11</v>
      </c>
      <c r="J7" s="154">
        <v>11</v>
      </c>
      <c r="K7" s="134">
        <f>G7/J7*100</f>
        <v>0</v>
      </c>
      <c r="L7" s="134">
        <f>H7/J7*100</f>
        <v>100</v>
      </c>
      <c r="M7" s="134">
        <f>I7/J7*100</f>
        <v>0</v>
      </c>
      <c r="N7" s="150">
        <f>SUM(K7:M7)</f>
        <v>100</v>
      </c>
      <c r="O7" s="133"/>
      <c r="P7" s="134">
        <v>24</v>
      </c>
      <c r="Q7" s="134"/>
      <c r="R7" s="135">
        <f>SUM(O7:Q7)</f>
        <v>24</v>
      </c>
      <c r="S7" s="140">
        <v>4</v>
      </c>
      <c r="T7" s="308"/>
      <c r="U7" s="296">
        <v>21563</v>
      </c>
      <c r="V7" s="139" t="s">
        <v>107</v>
      </c>
      <c r="W7" s="140" t="s">
        <v>869</v>
      </c>
      <c r="X7" s="140" t="s">
        <v>18</v>
      </c>
      <c r="Y7" s="141">
        <v>24</v>
      </c>
      <c r="AD7" s="139"/>
      <c r="AG7" s="141"/>
      <c r="AL7" s="139"/>
      <c r="AO7" s="141"/>
      <c r="AP7" s="139"/>
      <c r="AS7" s="141"/>
      <c r="AW7" s="141"/>
      <c r="BA7" s="142"/>
    </row>
    <row r="8" spans="1:53" s="29" customFormat="1" x14ac:dyDescent="0.15">
      <c r="A8" s="52">
        <v>1960</v>
      </c>
      <c r="B8" s="295"/>
      <c r="C8" s="394" t="s">
        <v>331</v>
      </c>
      <c r="D8" s="394"/>
      <c r="E8" s="29">
        <v>0</v>
      </c>
      <c r="G8" s="66"/>
      <c r="H8" s="29">
        <v>11</v>
      </c>
      <c r="J8" s="73">
        <v>11</v>
      </c>
      <c r="K8" s="47">
        <f>G8/J8*100</f>
        <v>0</v>
      </c>
      <c r="L8" s="47">
        <f>H8/J8*100</f>
        <v>100</v>
      </c>
      <c r="M8" s="47">
        <f>I8/J8*100</f>
        <v>0</v>
      </c>
      <c r="N8" s="68">
        <f>SUM(K8:M8)</f>
        <v>100</v>
      </c>
      <c r="O8" s="46"/>
      <c r="P8" s="47">
        <v>24</v>
      </c>
      <c r="Q8" s="47"/>
      <c r="R8" s="48">
        <f>SUM(O8:Q8)</f>
        <v>24</v>
      </c>
      <c r="S8" s="29">
        <v>4</v>
      </c>
      <c r="T8" s="286"/>
      <c r="U8" s="295"/>
      <c r="V8" s="38" t="s">
        <v>107</v>
      </c>
      <c r="W8" s="29" t="s">
        <v>869</v>
      </c>
      <c r="X8" s="29" t="s">
        <v>18</v>
      </c>
      <c r="Y8" s="39">
        <v>24</v>
      </c>
      <c r="AD8" s="38"/>
      <c r="AG8" s="39"/>
      <c r="AL8" s="38"/>
      <c r="AO8" s="39"/>
      <c r="AP8" s="38"/>
      <c r="AS8" s="39"/>
      <c r="AW8" s="39"/>
      <c r="BA8" s="40"/>
    </row>
    <row r="9" spans="1:53" s="29" customFormat="1" x14ac:dyDescent="0.15">
      <c r="A9" s="52">
        <v>1960</v>
      </c>
      <c r="B9" s="295"/>
      <c r="C9" s="394" t="s">
        <v>331</v>
      </c>
      <c r="D9" s="394"/>
      <c r="E9" s="29">
        <v>366</v>
      </c>
      <c r="G9" s="66"/>
      <c r="H9" s="29">
        <v>11</v>
      </c>
      <c r="J9" s="73">
        <v>11</v>
      </c>
      <c r="K9" s="47">
        <f t="shared" ref="K9:K14" si="0">G9/J9*100</f>
        <v>0</v>
      </c>
      <c r="L9" s="47">
        <f t="shared" ref="L9:L14" si="1">H9/J9*100</f>
        <v>100</v>
      </c>
      <c r="M9" s="47">
        <f t="shared" ref="M9:M14" si="2">I9/J9*100</f>
        <v>0</v>
      </c>
      <c r="N9" s="68">
        <f t="shared" ref="N9:N72" si="3">SUM(K9:M9)</f>
        <v>100</v>
      </c>
      <c r="O9" s="46"/>
      <c r="P9" s="47">
        <v>24</v>
      </c>
      <c r="Q9" s="47"/>
      <c r="R9" s="48">
        <f t="shared" ref="R9:R72" si="4">SUM(O9:Q9)</f>
        <v>24</v>
      </c>
      <c r="S9" s="29">
        <v>4</v>
      </c>
      <c r="T9" s="286"/>
      <c r="U9" s="295"/>
      <c r="V9" s="38" t="s">
        <v>107</v>
      </c>
      <c r="W9" s="29" t="s">
        <v>869</v>
      </c>
      <c r="X9" s="29" t="s">
        <v>18</v>
      </c>
      <c r="Y9" s="39">
        <v>24</v>
      </c>
      <c r="Z9" s="38"/>
      <c r="AC9" s="39"/>
      <c r="AD9" s="38"/>
      <c r="AG9" s="39"/>
      <c r="AL9" s="38"/>
      <c r="AO9" s="39"/>
      <c r="AP9" s="38"/>
      <c r="AS9" s="39"/>
      <c r="AW9" s="39"/>
      <c r="BA9" s="40"/>
    </row>
    <row r="10" spans="1:53" s="29" customFormat="1" x14ac:dyDescent="0.15">
      <c r="A10" s="52">
        <v>1961</v>
      </c>
      <c r="B10" s="295"/>
      <c r="C10" s="394" t="s">
        <v>331</v>
      </c>
      <c r="D10" s="394"/>
      <c r="E10" s="29">
        <v>194</v>
      </c>
      <c r="G10" s="66"/>
      <c r="H10" s="29">
        <v>11</v>
      </c>
      <c r="J10" s="73">
        <v>11</v>
      </c>
      <c r="K10" s="47">
        <f t="shared" si="0"/>
        <v>0</v>
      </c>
      <c r="L10" s="47">
        <f t="shared" si="1"/>
        <v>100</v>
      </c>
      <c r="M10" s="47">
        <f t="shared" si="2"/>
        <v>0</v>
      </c>
      <c r="N10" s="68">
        <f t="shared" si="3"/>
        <v>100</v>
      </c>
      <c r="O10" s="46"/>
      <c r="P10" s="47">
        <v>24</v>
      </c>
      <c r="Q10" s="47"/>
      <c r="R10" s="48">
        <f t="shared" si="4"/>
        <v>24</v>
      </c>
      <c r="S10" s="29">
        <v>4</v>
      </c>
      <c r="T10" s="286"/>
      <c r="U10" s="295"/>
      <c r="V10" s="38" t="s">
        <v>107</v>
      </c>
      <c r="W10" s="29" t="s">
        <v>869</v>
      </c>
      <c r="X10" s="29" t="s">
        <v>18</v>
      </c>
      <c r="Y10" s="39">
        <v>24</v>
      </c>
      <c r="Z10" s="38"/>
      <c r="AC10" s="39"/>
      <c r="AD10" s="38"/>
      <c r="AG10" s="39"/>
      <c r="AL10" s="38"/>
      <c r="AO10" s="39"/>
      <c r="AP10" s="38"/>
      <c r="AS10" s="39"/>
      <c r="AW10" s="39"/>
      <c r="BA10" s="40"/>
    </row>
    <row r="11" spans="1:53" s="171" customFormat="1" x14ac:dyDescent="0.15">
      <c r="A11" s="216">
        <v>1961</v>
      </c>
      <c r="B11" s="283">
        <v>22476</v>
      </c>
      <c r="C11" s="402" t="s">
        <v>332</v>
      </c>
      <c r="D11" s="402"/>
      <c r="E11" s="171">
        <v>171</v>
      </c>
      <c r="F11" s="171">
        <v>2</v>
      </c>
      <c r="G11" s="233"/>
      <c r="H11" s="171">
        <v>12</v>
      </c>
      <c r="J11" s="241">
        <v>13</v>
      </c>
      <c r="K11" s="214">
        <f t="shared" si="0"/>
        <v>0</v>
      </c>
      <c r="L11" s="214">
        <f t="shared" si="1"/>
        <v>92.307692307692307</v>
      </c>
      <c r="M11" s="214">
        <f t="shared" si="2"/>
        <v>0</v>
      </c>
      <c r="N11" s="235">
        <f t="shared" si="3"/>
        <v>92.307692307692307</v>
      </c>
      <c r="O11" s="213"/>
      <c r="P11" s="214">
        <v>24</v>
      </c>
      <c r="Q11" s="214"/>
      <c r="R11" s="215">
        <f t="shared" si="4"/>
        <v>24</v>
      </c>
      <c r="S11" s="171">
        <v>4</v>
      </c>
      <c r="T11" s="285"/>
      <c r="U11" s="283">
        <v>22476</v>
      </c>
      <c r="V11" s="178" t="s">
        <v>107</v>
      </c>
      <c r="W11" s="171" t="s">
        <v>869</v>
      </c>
      <c r="X11" s="171" t="s">
        <v>18</v>
      </c>
      <c r="Y11" s="179">
        <v>24</v>
      </c>
      <c r="Z11" s="178"/>
      <c r="AC11" s="179"/>
      <c r="AD11" s="178"/>
      <c r="AG11" s="179"/>
      <c r="AL11" s="178"/>
      <c r="AO11" s="179"/>
      <c r="AP11" s="178"/>
      <c r="AS11" s="179"/>
      <c r="AW11" s="179"/>
      <c r="BA11" s="180"/>
    </row>
    <row r="12" spans="1:53" s="171" customFormat="1" x14ac:dyDescent="0.15">
      <c r="A12" s="216">
        <v>1962</v>
      </c>
      <c r="B12" s="283"/>
      <c r="C12" s="402" t="s">
        <v>332</v>
      </c>
      <c r="D12" s="402"/>
      <c r="E12" s="171">
        <v>102</v>
      </c>
      <c r="G12" s="233"/>
      <c r="H12" s="171">
        <v>12</v>
      </c>
      <c r="J12" s="241">
        <v>13</v>
      </c>
      <c r="K12" s="214">
        <f t="shared" si="0"/>
        <v>0</v>
      </c>
      <c r="L12" s="214">
        <f t="shared" si="1"/>
        <v>92.307692307692307</v>
      </c>
      <c r="M12" s="214">
        <f t="shared" si="2"/>
        <v>0</v>
      </c>
      <c r="N12" s="235">
        <f t="shared" si="3"/>
        <v>92.307692307692307</v>
      </c>
      <c r="O12" s="213"/>
      <c r="P12" s="214">
        <v>24</v>
      </c>
      <c r="Q12" s="214"/>
      <c r="R12" s="215">
        <f t="shared" si="4"/>
        <v>24</v>
      </c>
      <c r="S12" s="171">
        <v>4</v>
      </c>
      <c r="T12" s="285"/>
      <c r="U12" s="283"/>
      <c r="V12" s="178" t="s">
        <v>107</v>
      </c>
      <c r="W12" s="171" t="s">
        <v>869</v>
      </c>
      <c r="X12" s="171" t="s">
        <v>18</v>
      </c>
      <c r="Y12" s="179">
        <v>24</v>
      </c>
      <c r="Z12" s="178"/>
      <c r="AC12" s="179"/>
      <c r="AD12" s="178"/>
      <c r="AG12" s="179"/>
      <c r="AL12" s="178"/>
      <c r="AO12" s="179"/>
      <c r="AP12" s="178"/>
      <c r="AS12" s="179"/>
      <c r="AW12" s="179"/>
      <c r="BA12" s="180"/>
    </row>
    <row r="13" spans="1:53" s="29" customFormat="1" x14ac:dyDescent="0.15">
      <c r="A13" s="52">
        <v>1962</v>
      </c>
      <c r="B13" s="295">
        <v>22749</v>
      </c>
      <c r="C13" s="394" t="s">
        <v>333</v>
      </c>
      <c r="D13" s="394"/>
      <c r="E13" s="29">
        <v>263</v>
      </c>
      <c r="F13" s="29">
        <v>6</v>
      </c>
      <c r="G13" s="66">
        <v>3</v>
      </c>
      <c r="H13" s="29">
        <v>7</v>
      </c>
      <c r="J13" s="73">
        <v>11</v>
      </c>
      <c r="K13" s="47">
        <f t="shared" si="0"/>
        <v>27.27272727272727</v>
      </c>
      <c r="L13" s="47">
        <f t="shared" si="1"/>
        <v>63.636363636363633</v>
      </c>
      <c r="M13" s="47">
        <f t="shared" si="2"/>
        <v>0</v>
      </c>
      <c r="N13" s="68">
        <f t="shared" si="3"/>
        <v>90.909090909090907</v>
      </c>
      <c r="O13" s="46">
        <v>23</v>
      </c>
      <c r="P13" s="47">
        <v>33</v>
      </c>
      <c r="Q13" s="47"/>
      <c r="R13" s="48">
        <f t="shared" si="4"/>
        <v>56</v>
      </c>
      <c r="S13" s="29">
        <v>2</v>
      </c>
      <c r="T13" s="286">
        <v>22681</v>
      </c>
      <c r="U13" s="295">
        <v>22749</v>
      </c>
      <c r="V13" s="38" t="s">
        <v>107</v>
      </c>
      <c r="W13" s="29" t="s">
        <v>869</v>
      </c>
      <c r="X13" s="29" t="s">
        <v>18</v>
      </c>
      <c r="Y13" s="29">
        <v>26.5</v>
      </c>
      <c r="Z13" s="38" t="s">
        <v>108</v>
      </c>
      <c r="AA13" s="29" t="s">
        <v>74</v>
      </c>
      <c r="AB13" s="29" t="s">
        <v>11</v>
      </c>
      <c r="AC13" s="39">
        <v>16</v>
      </c>
      <c r="AD13" s="38" t="s">
        <v>109</v>
      </c>
      <c r="AE13" s="29" t="s">
        <v>89</v>
      </c>
      <c r="AF13" s="29" t="s">
        <v>11</v>
      </c>
      <c r="AG13" s="39">
        <v>7</v>
      </c>
      <c r="AH13" s="29" t="s">
        <v>110</v>
      </c>
      <c r="AI13" s="29" t="s">
        <v>22</v>
      </c>
      <c r="AJ13" s="29" t="s">
        <v>18</v>
      </c>
      <c r="AK13" s="29">
        <v>6.5</v>
      </c>
      <c r="AL13" s="38"/>
      <c r="AO13" s="39"/>
      <c r="AP13" s="38"/>
      <c r="AS13" s="39"/>
      <c r="AW13" s="39"/>
      <c r="BA13" s="40"/>
    </row>
    <row r="14" spans="1:53" s="29" customFormat="1" x14ac:dyDescent="0.15">
      <c r="A14" s="52">
        <v>1962.6</v>
      </c>
      <c r="B14" s="295"/>
      <c r="C14" s="394" t="s">
        <v>333</v>
      </c>
      <c r="D14" s="394"/>
      <c r="E14" s="29">
        <v>294</v>
      </c>
      <c r="G14" s="66">
        <v>3</v>
      </c>
      <c r="H14" s="29">
        <v>7</v>
      </c>
      <c r="J14" s="73">
        <v>11</v>
      </c>
      <c r="K14" s="47">
        <f t="shared" si="0"/>
        <v>27.27272727272727</v>
      </c>
      <c r="L14" s="47">
        <f t="shared" si="1"/>
        <v>63.636363636363633</v>
      </c>
      <c r="M14" s="47">
        <f t="shared" si="2"/>
        <v>0</v>
      </c>
      <c r="N14" s="68">
        <f t="shared" si="3"/>
        <v>90.909090909090907</v>
      </c>
      <c r="O14" s="46">
        <v>23</v>
      </c>
      <c r="P14" s="47">
        <v>33</v>
      </c>
      <c r="Q14" s="47"/>
      <c r="R14" s="48">
        <f t="shared" si="4"/>
        <v>56</v>
      </c>
      <c r="S14" s="29">
        <v>2</v>
      </c>
      <c r="T14" s="286"/>
      <c r="U14" s="295"/>
      <c r="V14" s="38" t="s">
        <v>107</v>
      </c>
      <c r="W14" s="29" t="s">
        <v>869</v>
      </c>
      <c r="X14" s="29" t="s">
        <v>18</v>
      </c>
      <c r="Y14" s="29">
        <v>26.5</v>
      </c>
      <c r="Z14" s="38" t="s">
        <v>108</v>
      </c>
      <c r="AA14" s="29" t="s">
        <v>74</v>
      </c>
      <c r="AB14" s="29" t="s">
        <v>11</v>
      </c>
      <c r="AC14" s="39">
        <v>16</v>
      </c>
      <c r="AD14" s="38" t="s">
        <v>109</v>
      </c>
      <c r="AE14" s="29" t="s">
        <v>89</v>
      </c>
      <c r="AF14" s="29" t="s">
        <v>11</v>
      </c>
      <c r="AG14" s="39">
        <v>7</v>
      </c>
      <c r="AH14" s="29" t="s">
        <v>110</v>
      </c>
      <c r="AI14" s="29" t="s">
        <v>22</v>
      </c>
      <c r="AJ14" s="29" t="s">
        <v>18</v>
      </c>
      <c r="AK14" s="29">
        <v>6.5</v>
      </c>
      <c r="AL14" s="38"/>
      <c r="AO14" s="39"/>
      <c r="AP14" s="38"/>
      <c r="AS14" s="39"/>
      <c r="AW14" s="39"/>
      <c r="BA14" s="40"/>
    </row>
    <row r="15" spans="1:53" s="171" customFormat="1" x14ac:dyDescent="0.15">
      <c r="A15" s="216">
        <v>1963.05714285714</v>
      </c>
      <c r="B15" s="283">
        <v>23306</v>
      </c>
      <c r="C15" s="402" t="s">
        <v>334</v>
      </c>
      <c r="D15" s="402"/>
      <c r="E15" s="171">
        <v>57</v>
      </c>
      <c r="F15" s="171">
        <v>4</v>
      </c>
      <c r="G15" s="233">
        <v>3</v>
      </c>
      <c r="H15" s="171">
        <v>7</v>
      </c>
      <c r="J15" s="241">
        <v>10</v>
      </c>
      <c r="K15" s="214">
        <f>G15/J15*100</f>
        <v>30</v>
      </c>
      <c r="L15" s="214">
        <f>H15/J15*100</f>
        <v>70</v>
      </c>
      <c r="M15" s="214">
        <f>I15/J15*100</f>
        <v>0</v>
      </c>
      <c r="N15" s="235">
        <f t="shared" si="3"/>
        <v>100</v>
      </c>
      <c r="O15" s="213">
        <v>23</v>
      </c>
      <c r="P15" s="214">
        <v>33</v>
      </c>
      <c r="Q15" s="214"/>
      <c r="R15" s="215">
        <f t="shared" si="4"/>
        <v>56</v>
      </c>
      <c r="S15" s="171">
        <v>2</v>
      </c>
      <c r="T15" s="285"/>
      <c r="U15" s="283">
        <v>23306</v>
      </c>
      <c r="V15" s="178" t="s">
        <v>107</v>
      </c>
      <c r="W15" s="171" t="s">
        <v>869</v>
      </c>
      <c r="X15" s="171" t="s">
        <v>18</v>
      </c>
      <c r="Y15" s="171">
        <v>26.5</v>
      </c>
      <c r="Z15" s="178" t="s">
        <v>108</v>
      </c>
      <c r="AA15" s="171" t="s">
        <v>74</v>
      </c>
      <c r="AB15" s="171" t="s">
        <v>11</v>
      </c>
      <c r="AC15" s="179">
        <v>16</v>
      </c>
      <c r="AD15" s="178" t="s">
        <v>109</v>
      </c>
      <c r="AE15" s="171" t="s">
        <v>89</v>
      </c>
      <c r="AF15" s="171" t="s">
        <v>11</v>
      </c>
      <c r="AG15" s="179">
        <v>7</v>
      </c>
      <c r="AH15" s="171" t="s">
        <v>110</v>
      </c>
      <c r="AI15" s="171" t="s">
        <v>22</v>
      </c>
      <c r="AJ15" s="171" t="s">
        <v>18</v>
      </c>
      <c r="AK15" s="171">
        <v>6.5</v>
      </c>
      <c r="AL15" s="178"/>
      <c r="AO15" s="179"/>
      <c r="AP15" s="178"/>
      <c r="AS15" s="179"/>
      <c r="AW15" s="179"/>
      <c r="BA15" s="180"/>
    </row>
    <row r="16" spans="1:53" s="29" customFormat="1" x14ac:dyDescent="0.15">
      <c r="A16" s="52">
        <v>1963.05714285714</v>
      </c>
      <c r="B16" s="295">
        <v>23363</v>
      </c>
      <c r="C16" s="394" t="s">
        <v>339</v>
      </c>
      <c r="D16" s="394"/>
      <c r="E16" s="29">
        <v>14</v>
      </c>
      <c r="F16" s="29">
        <v>4</v>
      </c>
      <c r="G16" s="66">
        <v>0</v>
      </c>
      <c r="H16" s="29">
        <v>0</v>
      </c>
      <c r="I16" s="29">
        <v>0</v>
      </c>
      <c r="J16" s="73">
        <v>12</v>
      </c>
      <c r="K16" s="47">
        <f>G16/J16*100</f>
        <v>0</v>
      </c>
      <c r="L16" s="47">
        <f>H16/J16*100</f>
        <v>0</v>
      </c>
      <c r="M16" s="47">
        <f>I16/J16*100</f>
        <v>0</v>
      </c>
      <c r="N16" s="68">
        <f t="shared" si="3"/>
        <v>0</v>
      </c>
      <c r="O16" s="46">
        <v>0</v>
      </c>
      <c r="P16" s="47">
        <v>0</v>
      </c>
      <c r="Q16" s="47">
        <v>0</v>
      </c>
      <c r="R16" s="48">
        <f t="shared" si="4"/>
        <v>0</v>
      </c>
      <c r="S16" s="29">
        <v>7</v>
      </c>
      <c r="T16" s="286"/>
      <c r="U16" s="295">
        <v>23363</v>
      </c>
      <c r="V16" s="89" t="s">
        <v>798</v>
      </c>
      <c r="Z16" s="38"/>
      <c r="AC16" s="39"/>
      <c r="AD16" s="38"/>
      <c r="AG16" s="39"/>
      <c r="AL16" s="38"/>
      <c r="AO16" s="39"/>
      <c r="AP16" s="38"/>
      <c r="AS16" s="39"/>
      <c r="AW16" s="39"/>
      <c r="BA16" s="40"/>
    </row>
    <row r="17" spans="1:53" s="29" customFormat="1" x14ac:dyDescent="0.15">
      <c r="A17" s="52">
        <v>1963.5142857142901</v>
      </c>
      <c r="B17" s="295"/>
      <c r="C17" s="394" t="s">
        <v>339</v>
      </c>
      <c r="D17" s="394"/>
      <c r="E17" s="29">
        <v>255</v>
      </c>
      <c r="G17" s="66">
        <v>0</v>
      </c>
      <c r="H17" s="29">
        <v>0</v>
      </c>
      <c r="I17" s="29">
        <v>0</v>
      </c>
      <c r="J17" s="73">
        <v>12</v>
      </c>
      <c r="K17" s="47">
        <f t="shared" ref="K17:K22" si="5">G17/J17*100</f>
        <v>0</v>
      </c>
      <c r="L17" s="47">
        <f t="shared" ref="L17:L22" si="6">H17/J17*100</f>
        <v>0</v>
      </c>
      <c r="M17" s="47">
        <f t="shared" ref="M17:M22" si="7">I17/J17*100</f>
        <v>0</v>
      </c>
      <c r="N17" s="68">
        <f t="shared" si="3"/>
        <v>0</v>
      </c>
      <c r="O17" s="46">
        <v>0</v>
      </c>
      <c r="P17" s="47">
        <v>0</v>
      </c>
      <c r="Q17" s="47">
        <v>0</v>
      </c>
      <c r="R17" s="48">
        <f t="shared" si="4"/>
        <v>0</v>
      </c>
      <c r="S17" s="29">
        <v>7</v>
      </c>
      <c r="T17" s="286"/>
      <c r="U17" s="295"/>
      <c r="V17" s="89" t="s">
        <v>798</v>
      </c>
      <c r="Z17" s="38"/>
      <c r="AC17" s="39"/>
      <c r="AD17" s="38"/>
      <c r="AG17" s="39"/>
      <c r="AL17" s="38"/>
      <c r="AO17" s="39"/>
      <c r="AP17" s="38"/>
      <c r="AS17" s="39"/>
      <c r="AW17" s="39"/>
      <c r="BA17" s="40"/>
    </row>
    <row r="18" spans="1:53" s="171" customFormat="1" x14ac:dyDescent="0.15">
      <c r="A18" s="216">
        <v>1963.9714285714299</v>
      </c>
      <c r="B18" s="283">
        <v>23632</v>
      </c>
      <c r="C18" s="402" t="s">
        <v>336</v>
      </c>
      <c r="D18" s="402"/>
      <c r="E18" s="171">
        <v>111</v>
      </c>
      <c r="F18" s="171" t="s">
        <v>335</v>
      </c>
      <c r="G18" s="233">
        <v>4</v>
      </c>
      <c r="H18" s="171">
        <v>7</v>
      </c>
      <c r="J18" s="241">
        <v>11</v>
      </c>
      <c r="K18" s="214">
        <f t="shared" si="5"/>
        <v>36.363636363636367</v>
      </c>
      <c r="L18" s="214">
        <f t="shared" si="6"/>
        <v>63.636363636363633</v>
      </c>
      <c r="M18" s="214">
        <f t="shared" si="7"/>
        <v>0</v>
      </c>
      <c r="N18" s="235">
        <f t="shared" si="3"/>
        <v>100</v>
      </c>
      <c r="O18" s="213">
        <v>23</v>
      </c>
      <c r="P18" s="214">
        <v>33</v>
      </c>
      <c r="Q18" s="214"/>
      <c r="R18" s="215">
        <f t="shared" si="4"/>
        <v>56</v>
      </c>
      <c r="S18" s="171">
        <v>2</v>
      </c>
      <c r="T18" s="285"/>
      <c r="U18" s="283">
        <v>23632</v>
      </c>
      <c r="V18" s="178" t="s">
        <v>107</v>
      </c>
      <c r="W18" s="171" t="s">
        <v>869</v>
      </c>
      <c r="X18" s="171" t="s">
        <v>18</v>
      </c>
      <c r="Y18" s="171">
        <v>26.5</v>
      </c>
      <c r="Z18" s="178" t="s">
        <v>108</v>
      </c>
      <c r="AA18" s="171" t="s">
        <v>74</v>
      </c>
      <c r="AB18" s="171" t="s">
        <v>11</v>
      </c>
      <c r="AC18" s="179">
        <v>16</v>
      </c>
      <c r="AD18" s="178" t="s">
        <v>109</v>
      </c>
      <c r="AE18" s="171" t="s">
        <v>89</v>
      </c>
      <c r="AF18" s="171" t="s">
        <v>11</v>
      </c>
      <c r="AG18" s="179">
        <v>7</v>
      </c>
      <c r="AH18" s="171" t="s">
        <v>110</v>
      </c>
      <c r="AI18" s="171" t="s">
        <v>22</v>
      </c>
      <c r="AJ18" s="171" t="s">
        <v>18</v>
      </c>
      <c r="AK18" s="171">
        <v>6.5</v>
      </c>
      <c r="AL18" s="178"/>
      <c r="AO18" s="179"/>
      <c r="AP18" s="178"/>
      <c r="AS18" s="179"/>
      <c r="AW18" s="179"/>
      <c r="BA18" s="180"/>
    </row>
    <row r="19" spans="1:53" s="171" customFormat="1" x14ac:dyDescent="0.15">
      <c r="A19" s="216">
        <v>1965</v>
      </c>
      <c r="B19" s="283"/>
      <c r="C19" s="402" t="s">
        <v>336</v>
      </c>
      <c r="D19" s="402"/>
      <c r="E19" s="171">
        <v>0</v>
      </c>
      <c r="G19" s="233">
        <v>4</v>
      </c>
      <c r="H19" s="171">
        <v>7</v>
      </c>
      <c r="J19" s="241">
        <v>11</v>
      </c>
      <c r="K19" s="214">
        <f t="shared" si="5"/>
        <v>36.363636363636367</v>
      </c>
      <c r="L19" s="214">
        <f t="shared" si="6"/>
        <v>63.636363636363633</v>
      </c>
      <c r="M19" s="214">
        <f t="shared" si="7"/>
        <v>0</v>
      </c>
      <c r="N19" s="235">
        <f t="shared" si="3"/>
        <v>100</v>
      </c>
      <c r="O19" s="213">
        <v>23</v>
      </c>
      <c r="P19" s="214">
        <v>33</v>
      </c>
      <c r="Q19" s="214"/>
      <c r="R19" s="215">
        <f t="shared" si="4"/>
        <v>56</v>
      </c>
      <c r="S19" s="171">
        <v>2</v>
      </c>
      <c r="T19" s="285"/>
      <c r="U19" s="283"/>
      <c r="V19" s="178" t="s">
        <v>107</v>
      </c>
      <c r="W19" s="171" t="s">
        <v>869</v>
      </c>
      <c r="X19" s="171" t="s">
        <v>18</v>
      </c>
      <c r="Y19" s="171">
        <v>26.5</v>
      </c>
      <c r="Z19" s="178" t="s">
        <v>108</v>
      </c>
      <c r="AA19" s="171" t="s">
        <v>74</v>
      </c>
      <c r="AB19" s="171" t="s">
        <v>11</v>
      </c>
      <c r="AC19" s="179">
        <v>16</v>
      </c>
      <c r="AD19" s="178" t="s">
        <v>109</v>
      </c>
      <c r="AE19" s="171" t="s">
        <v>89</v>
      </c>
      <c r="AF19" s="171" t="s">
        <v>11</v>
      </c>
      <c r="AG19" s="179">
        <v>7</v>
      </c>
      <c r="AH19" s="171" t="s">
        <v>110</v>
      </c>
      <c r="AI19" s="171" t="s">
        <v>22</v>
      </c>
      <c r="AJ19" s="171" t="s">
        <v>18</v>
      </c>
      <c r="AK19" s="171">
        <v>6.5</v>
      </c>
      <c r="AL19" s="178"/>
      <c r="AO19" s="179"/>
      <c r="AP19" s="178"/>
      <c r="AS19" s="179"/>
      <c r="AW19" s="179"/>
      <c r="BA19" s="180"/>
    </row>
    <row r="20" spans="1:53" s="171" customFormat="1" x14ac:dyDescent="0.15">
      <c r="A20" s="216">
        <v>1964.88571428572</v>
      </c>
      <c r="B20" s="283"/>
      <c r="C20" s="402" t="s">
        <v>336</v>
      </c>
      <c r="D20" s="402"/>
      <c r="E20" s="171">
        <v>365</v>
      </c>
      <c r="G20" s="233">
        <v>4</v>
      </c>
      <c r="H20" s="171">
        <v>7</v>
      </c>
      <c r="J20" s="241">
        <v>11</v>
      </c>
      <c r="K20" s="214">
        <f t="shared" si="5"/>
        <v>36.363636363636367</v>
      </c>
      <c r="L20" s="214">
        <f t="shared" si="6"/>
        <v>63.636363636363633</v>
      </c>
      <c r="M20" s="214">
        <f t="shared" si="7"/>
        <v>0</v>
      </c>
      <c r="N20" s="235">
        <f t="shared" si="3"/>
        <v>100</v>
      </c>
      <c r="O20" s="213">
        <v>23</v>
      </c>
      <c r="P20" s="214">
        <v>33</v>
      </c>
      <c r="Q20" s="214"/>
      <c r="R20" s="215">
        <f t="shared" si="4"/>
        <v>56</v>
      </c>
      <c r="S20" s="171">
        <v>2</v>
      </c>
      <c r="T20" s="285"/>
      <c r="U20" s="283"/>
      <c r="V20" s="178" t="s">
        <v>107</v>
      </c>
      <c r="W20" s="171" t="s">
        <v>869</v>
      </c>
      <c r="X20" s="171" t="s">
        <v>18</v>
      </c>
      <c r="Y20" s="171">
        <v>26.5</v>
      </c>
      <c r="Z20" s="178" t="s">
        <v>108</v>
      </c>
      <c r="AA20" s="171" t="s">
        <v>74</v>
      </c>
      <c r="AB20" s="171" t="s">
        <v>11</v>
      </c>
      <c r="AC20" s="179">
        <v>16</v>
      </c>
      <c r="AD20" s="178" t="s">
        <v>109</v>
      </c>
      <c r="AE20" s="171" t="s">
        <v>89</v>
      </c>
      <c r="AF20" s="171" t="s">
        <v>11</v>
      </c>
      <c r="AG20" s="179">
        <v>7</v>
      </c>
      <c r="AH20" s="171" t="s">
        <v>110</v>
      </c>
      <c r="AI20" s="171" t="s">
        <v>22</v>
      </c>
      <c r="AJ20" s="171" t="s">
        <v>18</v>
      </c>
      <c r="AK20" s="171">
        <v>6.5</v>
      </c>
      <c r="AL20" s="178"/>
      <c r="AO20" s="179"/>
      <c r="AP20" s="178"/>
      <c r="AS20" s="179"/>
      <c r="AW20" s="179"/>
      <c r="BA20" s="180"/>
    </row>
    <row r="21" spans="1:53" s="171" customFormat="1" x14ac:dyDescent="0.15">
      <c r="A21" s="216">
        <v>1966</v>
      </c>
      <c r="B21" s="283"/>
      <c r="C21" s="402" t="s">
        <v>336</v>
      </c>
      <c r="D21" s="402"/>
      <c r="E21" s="171">
        <v>146</v>
      </c>
      <c r="G21" s="233">
        <v>4</v>
      </c>
      <c r="H21" s="171">
        <v>7</v>
      </c>
      <c r="J21" s="241">
        <v>11</v>
      </c>
      <c r="K21" s="214">
        <f t="shared" si="5"/>
        <v>36.363636363636367</v>
      </c>
      <c r="L21" s="214">
        <f t="shared" si="6"/>
        <v>63.636363636363633</v>
      </c>
      <c r="M21" s="214">
        <f t="shared" si="7"/>
        <v>0</v>
      </c>
      <c r="N21" s="235">
        <f t="shared" si="3"/>
        <v>100</v>
      </c>
      <c r="O21" s="213">
        <v>23</v>
      </c>
      <c r="P21" s="214">
        <v>33</v>
      </c>
      <c r="Q21" s="214"/>
      <c r="R21" s="215">
        <f t="shared" si="4"/>
        <v>56</v>
      </c>
      <c r="S21" s="171">
        <v>2</v>
      </c>
      <c r="T21" s="285"/>
      <c r="U21" s="283"/>
      <c r="V21" s="178" t="s">
        <v>107</v>
      </c>
      <c r="W21" s="171" t="s">
        <v>869</v>
      </c>
      <c r="X21" s="171" t="s">
        <v>18</v>
      </c>
      <c r="Y21" s="171">
        <v>26.5</v>
      </c>
      <c r="Z21" s="178" t="s">
        <v>108</v>
      </c>
      <c r="AA21" s="171" t="s">
        <v>74</v>
      </c>
      <c r="AB21" s="171" t="s">
        <v>11</v>
      </c>
      <c r="AC21" s="179">
        <v>16</v>
      </c>
      <c r="AD21" s="178" t="s">
        <v>109</v>
      </c>
      <c r="AE21" s="171" t="s">
        <v>89</v>
      </c>
      <c r="AF21" s="171" t="s">
        <v>11</v>
      </c>
      <c r="AG21" s="179">
        <v>7</v>
      </c>
      <c r="AH21" s="171" t="s">
        <v>110</v>
      </c>
      <c r="AI21" s="171" t="s">
        <v>22</v>
      </c>
      <c r="AJ21" s="171" t="s">
        <v>18</v>
      </c>
      <c r="AK21" s="171">
        <v>6.5</v>
      </c>
      <c r="AL21" s="178"/>
      <c r="AO21" s="179"/>
      <c r="AP21" s="178"/>
      <c r="AS21" s="179"/>
      <c r="AW21" s="179"/>
      <c r="BA21" s="180"/>
    </row>
    <row r="22" spans="1:53" s="29" customFormat="1" x14ac:dyDescent="0.15">
      <c r="A22" s="52">
        <v>1965.8</v>
      </c>
      <c r="B22" s="295">
        <v>24254</v>
      </c>
      <c r="C22" s="394" t="s">
        <v>337</v>
      </c>
      <c r="D22" s="394"/>
      <c r="E22" s="29">
        <v>219</v>
      </c>
      <c r="F22" s="29">
        <v>1</v>
      </c>
      <c r="G22" s="66"/>
      <c r="H22" s="29">
        <v>4</v>
      </c>
      <c r="I22" s="29">
        <v>8</v>
      </c>
      <c r="J22" s="73">
        <v>12</v>
      </c>
      <c r="K22" s="47">
        <f t="shared" si="5"/>
        <v>0</v>
      </c>
      <c r="L22" s="47">
        <f t="shared" si="6"/>
        <v>33.333333333333329</v>
      </c>
      <c r="M22" s="47">
        <f t="shared" si="7"/>
        <v>66.666666666666657</v>
      </c>
      <c r="N22" s="68">
        <f t="shared" si="3"/>
        <v>99.999999999999986</v>
      </c>
      <c r="O22" s="46"/>
      <c r="P22" s="47">
        <v>24.5</v>
      </c>
      <c r="Q22" s="47">
        <v>51.5</v>
      </c>
      <c r="R22" s="48">
        <f t="shared" si="4"/>
        <v>76</v>
      </c>
      <c r="S22" s="29">
        <v>3</v>
      </c>
      <c r="T22" s="286">
        <v>24186</v>
      </c>
      <c r="U22" s="295">
        <v>24254</v>
      </c>
      <c r="V22" s="38" t="s">
        <v>111</v>
      </c>
      <c r="W22" s="29" t="s">
        <v>20</v>
      </c>
      <c r="X22" s="29" t="s">
        <v>12</v>
      </c>
      <c r="Y22" s="39">
        <v>27.5</v>
      </c>
      <c r="Z22" s="38" t="s">
        <v>107</v>
      </c>
      <c r="AA22" s="29" t="s">
        <v>869</v>
      </c>
      <c r="AB22" s="29" t="s">
        <v>18</v>
      </c>
      <c r="AC22" s="39">
        <v>24.5</v>
      </c>
      <c r="AD22" s="38" t="s">
        <v>112</v>
      </c>
      <c r="AE22" s="29" t="s">
        <v>113</v>
      </c>
      <c r="AF22" s="29" t="s">
        <v>12</v>
      </c>
      <c r="AG22" s="39">
        <v>20.5</v>
      </c>
      <c r="AH22" s="29" t="s">
        <v>114</v>
      </c>
      <c r="AI22" s="29" t="s">
        <v>115</v>
      </c>
      <c r="AJ22" s="29" t="s">
        <v>12</v>
      </c>
      <c r="AK22" s="29">
        <v>3.5</v>
      </c>
      <c r="AL22" s="38"/>
      <c r="AO22" s="39"/>
      <c r="AP22" s="38"/>
      <c r="AS22" s="39"/>
      <c r="AW22" s="39"/>
      <c r="BA22" s="40"/>
    </row>
    <row r="23" spans="1:53" s="29" customFormat="1" x14ac:dyDescent="0.15">
      <c r="A23" s="52">
        <v>1967</v>
      </c>
      <c r="B23" s="295"/>
      <c r="C23" s="394" t="s">
        <v>337</v>
      </c>
      <c r="D23" s="394"/>
      <c r="E23" s="29">
        <v>0</v>
      </c>
      <c r="G23" s="66"/>
      <c r="H23" s="29">
        <v>4</v>
      </c>
      <c r="I23" s="29">
        <v>8</v>
      </c>
      <c r="J23" s="73">
        <v>12</v>
      </c>
      <c r="K23" s="47">
        <f>G23/J23*100</f>
        <v>0</v>
      </c>
      <c r="L23" s="47">
        <f>H23/J23*100</f>
        <v>33.333333333333329</v>
      </c>
      <c r="M23" s="47">
        <f>I23/J23*100</f>
        <v>66.666666666666657</v>
      </c>
      <c r="N23" s="68">
        <f t="shared" si="3"/>
        <v>99.999999999999986</v>
      </c>
      <c r="O23" s="46"/>
      <c r="P23" s="47">
        <v>24.5</v>
      </c>
      <c r="Q23" s="47">
        <v>51.5</v>
      </c>
      <c r="R23" s="48">
        <f t="shared" si="4"/>
        <v>76</v>
      </c>
      <c r="S23" s="29">
        <v>3</v>
      </c>
      <c r="T23" s="286"/>
      <c r="U23" s="295"/>
      <c r="V23" s="38" t="s">
        <v>111</v>
      </c>
      <c r="W23" s="29" t="s">
        <v>20</v>
      </c>
      <c r="X23" s="29" t="s">
        <v>12</v>
      </c>
      <c r="Y23" s="39">
        <v>27.5</v>
      </c>
      <c r="Z23" s="38" t="s">
        <v>107</v>
      </c>
      <c r="AA23" s="29" t="s">
        <v>869</v>
      </c>
      <c r="AB23" s="29" t="s">
        <v>18</v>
      </c>
      <c r="AC23" s="39">
        <v>24.5</v>
      </c>
      <c r="AD23" s="38" t="s">
        <v>112</v>
      </c>
      <c r="AE23" s="29" t="s">
        <v>113</v>
      </c>
      <c r="AF23" s="29" t="s">
        <v>12</v>
      </c>
      <c r="AG23" s="39">
        <v>20.5</v>
      </c>
      <c r="AH23" s="29" t="s">
        <v>114</v>
      </c>
      <c r="AI23" s="29" t="s">
        <v>115</v>
      </c>
      <c r="AJ23" s="29" t="s">
        <v>12</v>
      </c>
      <c r="AK23" s="29">
        <v>3.5</v>
      </c>
      <c r="AL23" s="38"/>
      <c r="AO23" s="39"/>
      <c r="AP23" s="38"/>
      <c r="AS23" s="39"/>
      <c r="AW23" s="39"/>
      <c r="BA23" s="40"/>
    </row>
    <row r="24" spans="1:53" s="29" customFormat="1" x14ac:dyDescent="0.15">
      <c r="A24" s="52">
        <v>1966.7142857142901</v>
      </c>
      <c r="B24" s="295"/>
      <c r="C24" s="394" t="s">
        <v>337</v>
      </c>
      <c r="D24" s="394"/>
      <c r="E24" s="29">
        <v>365</v>
      </c>
      <c r="G24" s="66"/>
      <c r="H24" s="29">
        <v>4</v>
      </c>
      <c r="I24" s="29">
        <v>8</v>
      </c>
      <c r="J24" s="73">
        <v>12</v>
      </c>
      <c r="K24" s="47">
        <f t="shared" ref="K24:K29" si="8">G24/J24*100</f>
        <v>0</v>
      </c>
      <c r="L24" s="47">
        <f t="shared" ref="L24:L29" si="9">H24/J24*100</f>
        <v>33.333333333333329</v>
      </c>
      <c r="M24" s="47">
        <f t="shared" ref="M24:M29" si="10">I24/J24*100</f>
        <v>66.666666666666657</v>
      </c>
      <c r="N24" s="68">
        <f t="shared" si="3"/>
        <v>99.999999999999986</v>
      </c>
      <c r="O24" s="46"/>
      <c r="P24" s="47">
        <v>24.5</v>
      </c>
      <c r="Q24" s="47">
        <v>51.5</v>
      </c>
      <c r="R24" s="48">
        <f t="shared" si="4"/>
        <v>76</v>
      </c>
      <c r="S24" s="29">
        <v>3</v>
      </c>
      <c r="T24" s="286"/>
      <c r="U24" s="295"/>
      <c r="V24" s="38" t="s">
        <v>111</v>
      </c>
      <c r="W24" s="29" t="s">
        <v>20</v>
      </c>
      <c r="X24" s="29" t="s">
        <v>12</v>
      </c>
      <c r="Y24" s="39">
        <v>27.5</v>
      </c>
      <c r="Z24" s="38" t="s">
        <v>107</v>
      </c>
      <c r="AA24" s="29" t="s">
        <v>869</v>
      </c>
      <c r="AB24" s="29" t="s">
        <v>18</v>
      </c>
      <c r="AC24" s="39">
        <v>24.5</v>
      </c>
      <c r="AD24" s="38" t="s">
        <v>112</v>
      </c>
      <c r="AE24" s="29" t="s">
        <v>113</v>
      </c>
      <c r="AF24" s="29" t="s">
        <v>12</v>
      </c>
      <c r="AG24" s="39">
        <v>20.5</v>
      </c>
      <c r="AH24" s="29" t="s">
        <v>114</v>
      </c>
      <c r="AI24" s="29" t="s">
        <v>115</v>
      </c>
      <c r="AJ24" s="29" t="s">
        <v>12</v>
      </c>
      <c r="AK24" s="29">
        <v>3.5</v>
      </c>
      <c r="AL24" s="38"/>
      <c r="AO24" s="39"/>
      <c r="AP24" s="38"/>
      <c r="AS24" s="39"/>
      <c r="AW24" s="39"/>
      <c r="BA24" s="40"/>
    </row>
    <row r="25" spans="1:53" s="29" customFormat="1" x14ac:dyDescent="0.15">
      <c r="A25" s="52">
        <v>1968</v>
      </c>
      <c r="B25" s="295"/>
      <c r="C25" s="394" t="s">
        <v>337</v>
      </c>
      <c r="D25" s="394"/>
      <c r="E25" s="29">
        <v>81</v>
      </c>
      <c r="G25" s="66"/>
      <c r="H25" s="29">
        <v>4</v>
      </c>
      <c r="I25" s="29">
        <v>8</v>
      </c>
      <c r="J25" s="73">
        <v>12</v>
      </c>
      <c r="K25" s="47">
        <f t="shared" si="8"/>
        <v>0</v>
      </c>
      <c r="L25" s="47">
        <f t="shared" si="9"/>
        <v>33.333333333333329</v>
      </c>
      <c r="M25" s="47">
        <f t="shared" si="10"/>
        <v>66.666666666666657</v>
      </c>
      <c r="N25" s="68">
        <f t="shared" si="3"/>
        <v>99.999999999999986</v>
      </c>
      <c r="O25" s="46">
        <v>6</v>
      </c>
      <c r="P25" s="47">
        <v>24.5</v>
      </c>
      <c r="Q25" s="47">
        <v>51.5</v>
      </c>
      <c r="R25" s="48">
        <f t="shared" si="4"/>
        <v>82</v>
      </c>
      <c r="S25" s="29">
        <v>3</v>
      </c>
      <c r="T25" s="286"/>
      <c r="U25" s="295"/>
      <c r="V25" s="38" t="s">
        <v>111</v>
      </c>
      <c r="W25" s="29" t="s">
        <v>20</v>
      </c>
      <c r="X25" s="29" t="s">
        <v>12</v>
      </c>
      <c r="Y25" s="39">
        <v>27.5</v>
      </c>
      <c r="Z25" s="38" t="s">
        <v>107</v>
      </c>
      <c r="AA25" s="29" t="s">
        <v>869</v>
      </c>
      <c r="AB25" s="29" t="s">
        <v>18</v>
      </c>
      <c r="AC25" s="39">
        <v>24.5</v>
      </c>
      <c r="AD25" s="38" t="s">
        <v>112</v>
      </c>
      <c r="AE25" s="29" t="s">
        <v>113</v>
      </c>
      <c r="AF25" s="29" t="s">
        <v>12</v>
      </c>
      <c r="AG25" s="39">
        <v>20.5</v>
      </c>
      <c r="AH25" s="29" t="s">
        <v>114</v>
      </c>
      <c r="AI25" s="29" t="s">
        <v>115</v>
      </c>
      <c r="AJ25" s="29" t="s">
        <v>12</v>
      </c>
      <c r="AK25" s="29">
        <v>3.5</v>
      </c>
      <c r="AL25" s="38"/>
      <c r="AO25" s="39"/>
      <c r="AP25" s="38"/>
      <c r="AS25" s="39"/>
      <c r="AW25" s="39"/>
      <c r="BA25" s="40"/>
    </row>
    <row r="26" spans="1:53" s="171" customFormat="1" x14ac:dyDescent="0.15">
      <c r="A26" s="216">
        <v>1967.62857142857</v>
      </c>
      <c r="B26" s="283">
        <v>24919</v>
      </c>
      <c r="C26" s="402" t="s">
        <v>338</v>
      </c>
      <c r="D26" s="402"/>
      <c r="E26" s="171">
        <v>285</v>
      </c>
      <c r="F26" s="171">
        <v>2</v>
      </c>
      <c r="G26" s="233">
        <v>1</v>
      </c>
      <c r="H26" s="171">
        <v>4</v>
      </c>
      <c r="I26" s="171">
        <v>7</v>
      </c>
      <c r="J26" s="241">
        <v>12</v>
      </c>
      <c r="K26" s="214">
        <f t="shared" si="8"/>
        <v>8.3333333333333321</v>
      </c>
      <c r="L26" s="214">
        <f t="shared" si="9"/>
        <v>33.333333333333329</v>
      </c>
      <c r="M26" s="214">
        <f t="shared" si="10"/>
        <v>58.333333333333336</v>
      </c>
      <c r="N26" s="235">
        <f t="shared" si="3"/>
        <v>100</v>
      </c>
      <c r="O26" s="213">
        <v>6</v>
      </c>
      <c r="P26" s="214">
        <v>24.5</v>
      </c>
      <c r="Q26" s="214">
        <v>51.5</v>
      </c>
      <c r="R26" s="215">
        <f t="shared" si="4"/>
        <v>82</v>
      </c>
      <c r="S26" s="171">
        <v>3</v>
      </c>
      <c r="T26" s="285"/>
      <c r="U26" s="283">
        <v>24919</v>
      </c>
      <c r="V26" s="178" t="s">
        <v>111</v>
      </c>
      <c r="W26" s="171" t="s">
        <v>20</v>
      </c>
      <c r="X26" s="171" t="s">
        <v>12</v>
      </c>
      <c r="Y26" s="179">
        <v>27.5</v>
      </c>
      <c r="Z26" s="178" t="s">
        <v>107</v>
      </c>
      <c r="AA26" s="171" t="s">
        <v>869</v>
      </c>
      <c r="AB26" s="171" t="s">
        <v>18</v>
      </c>
      <c r="AC26" s="179">
        <v>24.5</v>
      </c>
      <c r="AD26" s="178" t="s">
        <v>112</v>
      </c>
      <c r="AE26" s="171" t="s">
        <v>113</v>
      </c>
      <c r="AF26" s="171" t="s">
        <v>12</v>
      </c>
      <c r="AG26" s="179">
        <v>20.5</v>
      </c>
      <c r="AH26" s="171" t="s">
        <v>114</v>
      </c>
      <c r="AI26" s="171" t="s">
        <v>115</v>
      </c>
      <c r="AJ26" s="171" t="s">
        <v>12</v>
      </c>
      <c r="AK26" s="171">
        <v>3.5</v>
      </c>
      <c r="AL26" s="178" t="s">
        <v>109</v>
      </c>
      <c r="AM26" s="171" t="s">
        <v>89</v>
      </c>
      <c r="AN26" s="171" t="s">
        <v>11</v>
      </c>
      <c r="AO26" s="179">
        <v>6</v>
      </c>
      <c r="AP26" s="178"/>
      <c r="AS26" s="179"/>
      <c r="AW26" s="179"/>
      <c r="BA26" s="180"/>
    </row>
    <row r="27" spans="1:53" s="171" customFormat="1" x14ac:dyDescent="0.15">
      <c r="A27" s="216">
        <v>1969</v>
      </c>
      <c r="B27" s="283"/>
      <c r="C27" s="402" t="s">
        <v>338</v>
      </c>
      <c r="D27" s="402"/>
      <c r="E27" s="171">
        <v>0</v>
      </c>
      <c r="G27" s="233">
        <v>1</v>
      </c>
      <c r="H27" s="171">
        <v>4</v>
      </c>
      <c r="I27" s="171">
        <v>7</v>
      </c>
      <c r="J27" s="241">
        <v>12</v>
      </c>
      <c r="K27" s="214">
        <f t="shared" si="8"/>
        <v>8.3333333333333321</v>
      </c>
      <c r="L27" s="214">
        <f t="shared" si="9"/>
        <v>33.333333333333329</v>
      </c>
      <c r="M27" s="214">
        <f t="shared" si="10"/>
        <v>58.333333333333336</v>
      </c>
      <c r="N27" s="235">
        <f t="shared" si="3"/>
        <v>100</v>
      </c>
      <c r="O27" s="213">
        <v>6</v>
      </c>
      <c r="P27" s="214">
        <v>24.5</v>
      </c>
      <c r="Q27" s="214">
        <v>51.5</v>
      </c>
      <c r="R27" s="215">
        <f t="shared" si="4"/>
        <v>82</v>
      </c>
      <c r="S27" s="171">
        <v>3</v>
      </c>
      <c r="T27" s="285"/>
      <c r="U27" s="283"/>
      <c r="V27" s="178" t="s">
        <v>111</v>
      </c>
      <c r="W27" s="171" t="s">
        <v>20</v>
      </c>
      <c r="X27" s="171" t="s">
        <v>12</v>
      </c>
      <c r="Y27" s="179">
        <v>27.5</v>
      </c>
      <c r="Z27" s="178" t="s">
        <v>107</v>
      </c>
      <c r="AA27" s="171" t="s">
        <v>869</v>
      </c>
      <c r="AB27" s="171" t="s">
        <v>18</v>
      </c>
      <c r="AC27" s="179">
        <v>24.5</v>
      </c>
      <c r="AD27" s="178" t="s">
        <v>112</v>
      </c>
      <c r="AE27" s="171" t="s">
        <v>113</v>
      </c>
      <c r="AF27" s="171" t="s">
        <v>12</v>
      </c>
      <c r="AG27" s="179">
        <v>20.5</v>
      </c>
      <c r="AH27" s="171" t="s">
        <v>114</v>
      </c>
      <c r="AI27" s="171" t="s">
        <v>115</v>
      </c>
      <c r="AJ27" s="171" t="s">
        <v>12</v>
      </c>
      <c r="AK27" s="171">
        <v>3.5</v>
      </c>
      <c r="AL27" s="178" t="s">
        <v>109</v>
      </c>
      <c r="AM27" s="171" t="s">
        <v>89</v>
      </c>
      <c r="AN27" s="171" t="s">
        <v>11</v>
      </c>
      <c r="AO27" s="179">
        <v>6</v>
      </c>
      <c r="AP27" s="178"/>
      <c r="AS27" s="179"/>
      <c r="AW27" s="179"/>
      <c r="BA27" s="180"/>
    </row>
    <row r="28" spans="1:53" s="171" customFormat="1" x14ac:dyDescent="0.15">
      <c r="A28" s="216">
        <v>1968.5428571428599</v>
      </c>
      <c r="B28" s="283"/>
      <c r="C28" s="402" t="s">
        <v>338</v>
      </c>
      <c r="D28" s="402"/>
      <c r="E28" s="171">
        <v>365</v>
      </c>
      <c r="G28" s="233">
        <v>1</v>
      </c>
      <c r="H28" s="171">
        <v>4</v>
      </c>
      <c r="I28" s="171">
        <v>7</v>
      </c>
      <c r="J28" s="241">
        <v>12</v>
      </c>
      <c r="K28" s="214">
        <f t="shared" si="8"/>
        <v>8.3333333333333321</v>
      </c>
      <c r="L28" s="214">
        <f t="shared" si="9"/>
        <v>33.333333333333329</v>
      </c>
      <c r="M28" s="214">
        <f t="shared" si="10"/>
        <v>58.333333333333336</v>
      </c>
      <c r="N28" s="235">
        <f t="shared" si="3"/>
        <v>100</v>
      </c>
      <c r="O28" s="213">
        <v>6</v>
      </c>
      <c r="P28" s="214">
        <v>24.5</v>
      </c>
      <c r="Q28" s="214">
        <v>51.5</v>
      </c>
      <c r="R28" s="215">
        <f t="shared" si="4"/>
        <v>82</v>
      </c>
      <c r="S28" s="171">
        <v>3</v>
      </c>
      <c r="T28" s="285"/>
      <c r="U28" s="283"/>
      <c r="V28" s="178" t="s">
        <v>111</v>
      </c>
      <c r="W28" s="171" t="s">
        <v>20</v>
      </c>
      <c r="X28" s="171" t="s">
        <v>12</v>
      </c>
      <c r="Y28" s="179">
        <v>27.5</v>
      </c>
      <c r="Z28" s="178" t="s">
        <v>107</v>
      </c>
      <c r="AA28" s="171" t="s">
        <v>869</v>
      </c>
      <c r="AB28" s="171" t="s">
        <v>18</v>
      </c>
      <c r="AC28" s="179">
        <v>24.5</v>
      </c>
      <c r="AD28" s="178" t="s">
        <v>112</v>
      </c>
      <c r="AE28" s="171" t="s">
        <v>113</v>
      </c>
      <c r="AF28" s="171" t="s">
        <v>12</v>
      </c>
      <c r="AG28" s="179">
        <v>20.5</v>
      </c>
      <c r="AH28" s="171" t="s">
        <v>114</v>
      </c>
      <c r="AI28" s="171" t="s">
        <v>115</v>
      </c>
      <c r="AJ28" s="171" t="s">
        <v>12</v>
      </c>
      <c r="AK28" s="171">
        <v>3.5</v>
      </c>
      <c r="AL28" s="178" t="s">
        <v>109</v>
      </c>
      <c r="AM28" s="171" t="s">
        <v>89</v>
      </c>
      <c r="AN28" s="171" t="s">
        <v>11</v>
      </c>
      <c r="AO28" s="179">
        <v>6</v>
      </c>
      <c r="AP28" s="178"/>
      <c r="AS28" s="179"/>
      <c r="AW28" s="179"/>
      <c r="BA28" s="180"/>
    </row>
    <row r="29" spans="1:53" s="171" customFormat="1" x14ac:dyDescent="0.15">
      <c r="A29" s="216">
        <v>1970</v>
      </c>
      <c r="B29" s="283"/>
      <c r="C29" s="402" t="s">
        <v>338</v>
      </c>
      <c r="D29" s="402"/>
      <c r="E29" s="171">
        <v>133</v>
      </c>
      <c r="G29" s="233">
        <v>1</v>
      </c>
      <c r="H29" s="171">
        <v>4</v>
      </c>
      <c r="I29" s="171">
        <v>7</v>
      </c>
      <c r="J29" s="241">
        <v>12</v>
      </c>
      <c r="K29" s="214">
        <f t="shared" si="8"/>
        <v>8.3333333333333321</v>
      </c>
      <c r="L29" s="214">
        <f t="shared" si="9"/>
        <v>33.333333333333329</v>
      </c>
      <c r="M29" s="214">
        <f t="shared" si="10"/>
        <v>58.333333333333336</v>
      </c>
      <c r="N29" s="235">
        <f t="shared" si="3"/>
        <v>100</v>
      </c>
      <c r="O29" s="213">
        <v>6</v>
      </c>
      <c r="P29" s="214">
        <v>24.5</v>
      </c>
      <c r="Q29" s="214">
        <v>51.5</v>
      </c>
      <c r="R29" s="215">
        <f t="shared" si="4"/>
        <v>82</v>
      </c>
      <c r="S29" s="171">
        <v>3</v>
      </c>
      <c r="T29" s="285"/>
      <c r="U29" s="283"/>
      <c r="V29" s="178" t="s">
        <v>111</v>
      </c>
      <c r="W29" s="171" t="s">
        <v>20</v>
      </c>
      <c r="X29" s="171" t="s">
        <v>12</v>
      </c>
      <c r="Y29" s="179">
        <v>27.5</v>
      </c>
      <c r="Z29" s="178" t="s">
        <v>107</v>
      </c>
      <c r="AA29" s="171" t="s">
        <v>869</v>
      </c>
      <c r="AB29" s="171" t="s">
        <v>18</v>
      </c>
      <c r="AC29" s="179">
        <v>24.5</v>
      </c>
      <c r="AD29" s="178" t="s">
        <v>112</v>
      </c>
      <c r="AE29" s="171" t="s">
        <v>113</v>
      </c>
      <c r="AF29" s="171" t="s">
        <v>12</v>
      </c>
      <c r="AG29" s="179">
        <v>20.5</v>
      </c>
      <c r="AH29" s="171" t="s">
        <v>114</v>
      </c>
      <c r="AI29" s="171" t="s">
        <v>115</v>
      </c>
      <c r="AJ29" s="171" t="s">
        <v>12</v>
      </c>
      <c r="AK29" s="171">
        <v>3.5</v>
      </c>
      <c r="AL29" s="178" t="s">
        <v>109</v>
      </c>
      <c r="AM29" s="171" t="s">
        <v>89</v>
      </c>
      <c r="AN29" s="171" t="s">
        <v>11</v>
      </c>
      <c r="AO29" s="179">
        <v>6</v>
      </c>
      <c r="AP29" s="178"/>
      <c r="AS29" s="179"/>
      <c r="AW29" s="179"/>
      <c r="BA29" s="180"/>
    </row>
    <row r="30" spans="1:53" s="29" customFormat="1" x14ac:dyDescent="0.15">
      <c r="A30" s="52">
        <v>1970</v>
      </c>
      <c r="B30" s="295">
        <v>25702</v>
      </c>
      <c r="C30" s="394" t="s">
        <v>340</v>
      </c>
      <c r="D30" s="394"/>
      <c r="E30" s="29">
        <v>62</v>
      </c>
      <c r="F30" s="29">
        <v>1</v>
      </c>
      <c r="G30" s="66">
        <v>1</v>
      </c>
      <c r="H30" s="29">
        <v>4</v>
      </c>
      <c r="I30" s="29">
        <v>7</v>
      </c>
      <c r="J30" s="73">
        <v>12</v>
      </c>
      <c r="K30" s="47">
        <f>G30/J30*100</f>
        <v>8.3333333333333321</v>
      </c>
      <c r="L30" s="47">
        <f>H30/J30*100</f>
        <v>33.333333333333329</v>
      </c>
      <c r="M30" s="47">
        <f>I30/J30*100</f>
        <v>58.333333333333336</v>
      </c>
      <c r="N30" s="68">
        <f t="shared" si="3"/>
        <v>100</v>
      </c>
      <c r="O30" s="46">
        <v>24.5</v>
      </c>
      <c r="P30" s="47">
        <v>22.5</v>
      </c>
      <c r="Q30" s="47">
        <v>25.5</v>
      </c>
      <c r="R30" s="48">
        <f t="shared" si="4"/>
        <v>72.5</v>
      </c>
      <c r="S30" s="29">
        <v>6</v>
      </c>
      <c r="T30" s="286">
        <v>25642</v>
      </c>
      <c r="U30" s="295">
        <v>25702</v>
      </c>
      <c r="V30" s="38" t="s">
        <v>107</v>
      </c>
      <c r="W30" s="29" t="s">
        <v>869</v>
      </c>
      <c r="X30" s="29" t="s">
        <v>18</v>
      </c>
      <c r="Y30" s="39">
        <v>18.5</v>
      </c>
      <c r="Z30" s="38" t="s">
        <v>111</v>
      </c>
      <c r="AA30" s="29" t="s">
        <v>20</v>
      </c>
      <c r="AB30" s="29" t="s">
        <v>12</v>
      </c>
      <c r="AC30" s="39">
        <v>25.5</v>
      </c>
      <c r="AD30" s="38" t="s">
        <v>108</v>
      </c>
      <c r="AE30" s="29" t="s">
        <v>74</v>
      </c>
      <c r="AF30" s="29" t="s">
        <v>11</v>
      </c>
      <c r="AG30" s="39">
        <v>18.5</v>
      </c>
      <c r="AH30" s="38" t="s">
        <v>109</v>
      </c>
      <c r="AI30" s="29" t="s">
        <v>89</v>
      </c>
      <c r="AJ30" s="29" t="s">
        <v>11</v>
      </c>
      <c r="AK30" s="39">
        <v>6</v>
      </c>
      <c r="AL30" s="29" t="s">
        <v>110</v>
      </c>
      <c r="AM30" s="29" t="s">
        <v>22</v>
      </c>
      <c r="AN30" s="29" t="s">
        <v>18</v>
      </c>
      <c r="AO30" s="29">
        <v>4</v>
      </c>
      <c r="AP30" s="38"/>
      <c r="AS30" s="39"/>
      <c r="AW30" s="39"/>
      <c r="BA30" s="40"/>
    </row>
    <row r="31" spans="1:53" s="171" customFormat="1" x14ac:dyDescent="0.15">
      <c r="A31" s="216">
        <v>1970</v>
      </c>
      <c r="B31" s="283">
        <v>25764</v>
      </c>
      <c r="C31" s="402" t="s">
        <v>341</v>
      </c>
      <c r="D31" s="402"/>
      <c r="E31" s="171">
        <v>170</v>
      </c>
      <c r="F31" s="171">
        <v>6</v>
      </c>
      <c r="G31" s="233">
        <v>2</v>
      </c>
      <c r="H31" s="171">
        <v>6</v>
      </c>
      <c r="I31" s="171">
        <v>5</v>
      </c>
      <c r="J31" s="241">
        <v>13</v>
      </c>
      <c r="K31" s="214">
        <f>G31/J31*100</f>
        <v>15.384615384615385</v>
      </c>
      <c r="L31" s="214">
        <f>H31/J31*100</f>
        <v>46.153846153846153</v>
      </c>
      <c r="M31" s="214">
        <f>I31/J31*100</f>
        <v>38.461538461538467</v>
      </c>
      <c r="N31" s="235">
        <f t="shared" si="3"/>
        <v>100</v>
      </c>
      <c r="O31" s="213">
        <v>6</v>
      </c>
      <c r="P31" s="214">
        <v>22.5</v>
      </c>
      <c r="Q31" s="214">
        <v>43.5</v>
      </c>
      <c r="R31" s="215">
        <f t="shared" si="4"/>
        <v>72</v>
      </c>
      <c r="S31" s="171">
        <v>3</v>
      </c>
      <c r="T31" s="285"/>
      <c r="U31" s="283">
        <v>25764</v>
      </c>
      <c r="V31" s="178" t="s">
        <v>107</v>
      </c>
      <c r="W31" s="171" t="s">
        <v>869</v>
      </c>
      <c r="X31" s="171" t="s">
        <v>18</v>
      </c>
      <c r="Y31" s="179">
        <v>18.5</v>
      </c>
      <c r="Z31" s="178" t="s">
        <v>111</v>
      </c>
      <c r="AA31" s="171" t="s">
        <v>20</v>
      </c>
      <c r="AB31" s="171" t="s">
        <v>12</v>
      </c>
      <c r="AC31" s="179">
        <v>25.5</v>
      </c>
      <c r="AD31" s="178" t="s">
        <v>112</v>
      </c>
      <c r="AE31" s="171" t="s">
        <v>113</v>
      </c>
      <c r="AF31" s="171" t="s">
        <v>12</v>
      </c>
      <c r="AG31" s="179">
        <v>18</v>
      </c>
      <c r="AH31" s="178" t="s">
        <v>109</v>
      </c>
      <c r="AI31" s="171" t="s">
        <v>89</v>
      </c>
      <c r="AJ31" s="171" t="s">
        <v>11</v>
      </c>
      <c r="AK31" s="179">
        <v>6</v>
      </c>
      <c r="AL31" s="171" t="s">
        <v>110</v>
      </c>
      <c r="AM31" s="171" t="s">
        <v>22</v>
      </c>
      <c r="AN31" s="171" t="s">
        <v>18</v>
      </c>
      <c r="AO31" s="171">
        <v>4</v>
      </c>
      <c r="AP31" s="178"/>
      <c r="AS31" s="179"/>
      <c r="AW31" s="179"/>
      <c r="BA31" s="180"/>
    </row>
    <row r="32" spans="1:53" s="171" customFormat="1" x14ac:dyDescent="0.15">
      <c r="A32" s="216">
        <v>1971</v>
      </c>
      <c r="B32" s="283"/>
      <c r="C32" s="402" t="s">
        <v>341</v>
      </c>
      <c r="D32" s="402"/>
      <c r="E32" s="171">
        <v>84</v>
      </c>
      <c r="G32" s="233">
        <v>2</v>
      </c>
      <c r="H32" s="171">
        <v>6</v>
      </c>
      <c r="I32" s="171">
        <v>5</v>
      </c>
      <c r="J32" s="241">
        <v>13</v>
      </c>
      <c r="K32" s="214">
        <f t="shared" ref="K32:K39" si="11">G32/J32*100</f>
        <v>15.384615384615385</v>
      </c>
      <c r="L32" s="214">
        <f t="shared" ref="L32:L39" si="12">H32/J32*100</f>
        <v>46.153846153846153</v>
      </c>
      <c r="M32" s="214">
        <f t="shared" ref="M32:M39" si="13">I32/J32*100</f>
        <v>38.461538461538467</v>
      </c>
      <c r="N32" s="235">
        <f t="shared" si="3"/>
        <v>100</v>
      </c>
      <c r="O32" s="213">
        <v>6</v>
      </c>
      <c r="P32" s="214">
        <v>22.5</v>
      </c>
      <c r="Q32" s="214">
        <v>43.5</v>
      </c>
      <c r="R32" s="215">
        <f t="shared" si="4"/>
        <v>72</v>
      </c>
      <c r="S32" s="171">
        <v>3</v>
      </c>
      <c r="T32" s="285"/>
      <c r="U32" s="283"/>
      <c r="V32" s="178" t="s">
        <v>107</v>
      </c>
      <c r="W32" s="171" t="s">
        <v>869</v>
      </c>
      <c r="X32" s="171" t="s">
        <v>18</v>
      </c>
      <c r="Y32" s="179">
        <v>18.5</v>
      </c>
      <c r="Z32" s="178" t="s">
        <v>111</v>
      </c>
      <c r="AA32" s="171" t="s">
        <v>20</v>
      </c>
      <c r="AB32" s="171" t="s">
        <v>12</v>
      </c>
      <c r="AC32" s="179">
        <v>25.5</v>
      </c>
      <c r="AD32" s="178" t="s">
        <v>112</v>
      </c>
      <c r="AE32" s="171" t="s">
        <v>113</v>
      </c>
      <c r="AF32" s="171" t="s">
        <v>12</v>
      </c>
      <c r="AG32" s="179">
        <v>18</v>
      </c>
      <c r="AH32" s="178" t="s">
        <v>109</v>
      </c>
      <c r="AI32" s="171" t="s">
        <v>89</v>
      </c>
      <c r="AJ32" s="171" t="s">
        <v>11</v>
      </c>
      <c r="AK32" s="179">
        <v>6</v>
      </c>
      <c r="AL32" s="171" t="s">
        <v>110</v>
      </c>
      <c r="AM32" s="171" t="s">
        <v>22</v>
      </c>
      <c r="AN32" s="171" t="s">
        <v>18</v>
      </c>
      <c r="AO32" s="171">
        <v>4</v>
      </c>
      <c r="AP32" s="178"/>
      <c r="AS32" s="179"/>
      <c r="AW32" s="179"/>
      <c r="BA32" s="180"/>
    </row>
    <row r="33" spans="1:53" s="29" customFormat="1" x14ac:dyDescent="0.15">
      <c r="A33" s="52">
        <v>1971</v>
      </c>
      <c r="B33" s="295">
        <v>26018</v>
      </c>
      <c r="C33" s="394" t="s">
        <v>342</v>
      </c>
      <c r="D33" s="394"/>
      <c r="E33" s="29">
        <v>217</v>
      </c>
      <c r="F33" s="29">
        <v>4</v>
      </c>
      <c r="G33" s="66">
        <v>2</v>
      </c>
      <c r="H33" s="29">
        <v>6</v>
      </c>
      <c r="I33" s="29">
        <v>6</v>
      </c>
      <c r="J33" s="73">
        <v>14</v>
      </c>
      <c r="K33" s="47">
        <f>G33/J33*100</f>
        <v>14.285714285714285</v>
      </c>
      <c r="L33" s="47">
        <f>H33/J33*100</f>
        <v>42.857142857142854</v>
      </c>
      <c r="M33" s="47">
        <f>I33/J33*100</f>
        <v>42.857142857142854</v>
      </c>
      <c r="N33" s="68">
        <f t="shared" si="3"/>
        <v>100</v>
      </c>
      <c r="O33" s="46">
        <v>6</v>
      </c>
      <c r="P33" s="47">
        <v>22.5</v>
      </c>
      <c r="Q33" s="47">
        <v>25.5</v>
      </c>
      <c r="R33" s="48">
        <f t="shared" si="4"/>
        <v>54</v>
      </c>
      <c r="S33" s="29">
        <v>3</v>
      </c>
      <c r="T33" s="286"/>
      <c r="U33" s="295">
        <v>26018</v>
      </c>
      <c r="V33" s="38" t="s">
        <v>107</v>
      </c>
      <c r="W33" s="29" t="s">
        <v>869</v>
      </c>
      <c r="X33" s="29" t="s">
        <v>18</v>
      </c>
      <c r="Y33" s="39">
        <v>18.5</v>
      </c>
      <c r="Z33" s="38" t="s">
        <v>111</v>
      </c>
      <c r="AA33" s="29" t="s">
        <v>20</v>
      </c>
      <c r="AB33" s="29" t="s">
        <v>12</v>
      </c>
      <c r="AC33" s="39">
        <v>25.5</v>
      </c>
      <c r="AD33" s="38" t="s">
        <v>109</v>
      </c>
      <c r="AE33" s="29" t="s">
        <v>89</v>
      </c>
      <c r="AF33" s="29" t="s">
        <v>11</v>
      </c>
      <c r="AG33" s="39">
        <v>6</v>
      </c>
      <c r="AH33" s="29" t="s">
        <v>110</v>
      </c>
      <c r="AI33" s="29" t="s">
        <v>22</v>
      </c>
      <c r="AJ33" s="29" t="s">
        <v>18</v>
      </c>
      <c r="AK33" s="29">
        <v>4</v>
      </c>
      <c r="AL33" s="38"/>
      <c r="AO33" s="39"/>
      <c r="AP33" s="38"/>
      <c r="AS33" s="39"/>
      <c r="AW33" s="39"/>
      <c r="BA33" s="40"/>
    </row>
    <row r="34" spans="1:53" s="171" customFormat="1" x14ac:dyDescent="0.15">
      <c r="A34" s="216">
        <v>1971</v>
      </c>
      <c r="B34" s="283">
        <v>26235</v>
      </c>
      <c r="C34" s="402" t="s">
        <v>343</v>
      </c>
      <c r="D34" s="402"/>
      <c r="E34" s="171">
        <v>64</v>
      </c>
      <c r="F34" s="171">
        <v>4</v>
      </c>
      <c r="G34" s="233">
        <v>1</v>
      </c>
      <c r="H34" s="171">
        <v>4</v>
      </c>
      <c r="I34" s="171">
        <v>3</v>
      </c>
      <c r="J34" s="241">
        <v>13</v>
      </c>
      <c r="K34" s="214">
        <f t="shared" si="11"/>
        <v>7.6923076923076925</v>
      </c>
      <c r="L34" s="214">
        <f t="shared" si="12"/>
        <v>30.76923076923077</v>
      </c>
      <c r="M34" s="214">
        <f t="shared" si="13"/>
        <v>23.076923076923077</v>
      </c>
      <c r="N34" s="235">
        <f t="shared" si="3"/>
        <v>61.538461538461533</v>
      </c>
      <c r="O34" s="213">
        <v>18.5</v>
      </c>
      <c r="P34" s="214">
        <v>22.5</v>
      </c>
      <c r="Q34" s="214">
        <v>25.5</v>
      </c>
      <c r="R34" s="215">
        <f t="shared" si="4"/>
        <v>66.5</v>
      </c>
      <c r="S34" s="171">
        <v>6</v>
      </c>
      <c r="T34" s="285"/>
      <c r="U34" s="283">
        <v>26235</v>
      </c>
      <c r="V34" s="178" t="s">
        <v>107</v>
      </c>
      <c r="W34" s="171" t="s">
        <v>869</v>
      </c>
      <c r="X34" s="171" t="s">
        <v>18</v>
      </c>
      <c r="Y34" s="179">
        <v>18.5</v>
      </c>
      <c r="Z34" s="178" t="s">
        <v>111</v>
      </c>
      <c r="AA34" s="171" t="s">
        <v>20</v>
      </c>
      <c r="AB34" s="171" t="s">
        <v>12</v>
      </c>
      <c r="AC34" s="179">
        <v>25.5</v>
      </c>
      <c r="AD34" s="178" t="s">
        <v>108</v>
      </c>
      <c r="AE34" s="171" t="s">
        <v>74</v>
      </c>
      <c r="AF34" s="171" t="s">
        <v>11</v>
      </c>
      <c r="AG34" s="179">
        <v>18.5</v>
      </c>
      <c r="AH34" s="171" t="s">
        <v>110</v>
      </c>
      <c r="AI34" s="171" t="s">
        <v>22</v>
      </c>
      <c r="AJ34" s="171" t="s">
        <v>18</v>
      </c>
      <c r="AK34" s="171">
        <v>4</v>
      </c>
      <c r="AL34" s="178"/>
      <c r="AO34" s="179"/>
      <c r="AP34" s="178"/>
      <c r="AS34" s="179"/>
      <c r="AW34" s="179"/>
      <c r="BA34" s="180"/>
    </row>
    <row r="35" spans="1:53" s="171" customFormat="1" x14ac:dyDescent="0.15">
      <c r="A35" s="216">
        <v>1972</v>
      </c>
      <c r="B35" s="283"/>
      <c r="C35" s="402" t="s">
        <v>343</v>
      </c>
      <c r="D35" s="402"/>
      <c r="E35" s="171">
        <v>53</v>
      </c>
      <c r="G35" s="233">
        <v>1</v>
      </c>
      <c r="H35" s="171">
        <v>4</v>
      </c>
      <c r="I35" s="171">
        <v>3</v>
      </c>
      <c r="J35" s="241">
        <v>13</v>
      </c>
      <c r="K35" s="214">
        <f t="shared" si="11"/>
        <v>7.6923076923076925</v>
      </c>
      <c r="L35" s="214">
        <f t="shared" si="12"/>
        <v>30.76923076923077</v>
      </c>
      <c r="M35" s="214">
        <f t="shared" si="13"/>
        <v>23.076923076923077</v>
      </c>
      <c r="N35" s="235">
        <f t="shared" si="3"/>
        <v>61.538461538461533</v>
      </c>
      <c r="O35" s="213">
        <v>18.5</v>
      </c>
      <c r="P35" s="214">
        <v>22.5</v>
      </c>
      <c r="Q35" s="214">
        <v>25.5</v>
      </c>
      <c r="R35" s="215">
        <f t="shared" si="4"/>
        <v>66.5</v>
      </c>
      <c r="S35" s="171">
        <v>6</v>
      </c>
      <c r="T35" s="285"/>
      <c r="U35" s="283"/>
      <c r="V35" s="178" t="s">
        <v>107</v>
      </c>
      <c r="W35" s="171" t="s">
        <v>869</v>
      </c>
      <c r="X35" s="171" t="s">
        <v>18</v>
      </c>
      <c r="Y35" s="179">
        <v>18.5</v>
      </c>
      <c r="Z35" s="178" t="s">
        <v>111</v>
      </c>
      <c r="AA35" s="171" t="s">
        <v>20</v>
      </c>
      <c r="AB35" s="171" t="s">
        <v>12</v>
      </c>
      <c r="AC35" s="179">
        <v>25.5</v>
      </c>
      <c r="AD35" s="178" t="s">
        <v>108</v>
      </c>
      <c r="AE35" s="171" t="s">
        <v>74</v>
      </c>
      <c r="AF35" s="171" t="s">
        <v>11</v>
      </c>
      <c r="AG35" s="179">
        <v>18.5</v>
      </c>
      <c r="AH35" s="171" t="s">
        <v>110</v>
      </c>
      <c r="AI35" s="171" t="s">
        <v>22</v>
      </c>
      <c r="AJ35" s="171" t="s">
        <v>18</v>
      </c>
      <c r="AK35" s="171">
        <v>4</v>
      </c>
      <c r="AL35" s="178"/>
      <c r="AO35" s="179"/>
      <c r="AP35" s="178"/>
      <c r="AS35" s="179"/>
      <c r="AW35" s="179"/>
      <c r="BA35" s="180"/>
    </row>
    <row r="36" spans="1:53" s="29" customFormat="1" x14ac:dyDescent="0.15">
      <c r="A36" s="52">
        <v>1972</v>
      </c>
      <c r="B36" s="295">
        <v>26352</v>
      </c>
      <c r="C36" s="394" t="s">
        <v>344</v>
      </c>
      <c r="D36" s="394"/>
      <c r="E36" s="29">
        <v>194</v>
      </c>
      <c r="F36" s="29">
        <v>1</v>
      </c>
      <c r="G36" s="66"/>
      <c r="I36" s="29">
        <v>14</v>
      </c>
      <c r="J36" s="73">
        <v>14</v>
      </c>
      <c r="K36" s="47">
        <f>G36/J36*100</f>
        <v>0</v>
      </c>
      <c r="L36" s="47">
        <f>H36/J36*100</f>
        <v>0</v>
      </c>
      <c r="M36" s="47">
        <f>I36/J36*100</f>
        <v>100</v>
      </c>
      <c r="N36" s="68">
        <f t="shared" si="3"/>
        <v>100</v>
      </c>
      <c r="O36" s="46"/>
      <c r="P36" s="47"/>
      <c r="Q36" s="47">
        <v>27.5</v>
      </c>
      <c r="R36" s="48">
        <f t="shared" si="4"/>
        <v>27.5</v>
      </c>
      <c r="S36" s="29">
        <v>4</v>
      </c>
      <c r="T36" s="286">
        <v>26300</v>
      </c>
      <c r="U36" s="295">
        <v>26352</v>
      </c>
      <c r="V36" s="38" t="s">
        <v>111</v>
      </c>
      <c r="W36" s="29" t="s">
        <v>20</v>
      </c>
      <c r="X36" s="29" t="s">
        <v>12</v>
      </c>
      <c r="Y36" s="39">
        <v>27.5</v>
      </c>
      <c r="Z36" s="38"/>
      <c r="AC36" s="39"/>
      <c r="AD36" s="38"/>
      <c r="AG36" s="39"/>
      <c r="AL36" s="38"/>
      <c r="AO36" s="39"/>
      <c r="AP36" s="38"/>
      <c r="AS36" s="39"/>
      <c r="AW36" s="39"/>
      <c r="BA36" s="40"/>
    </row>
    <row r="37" spans="1:53" s="171" customFormat="1" x14ac:dyDescent="0.15">
      <c r="A37" s="216">
        <v>1972</v>
      </c>
      <c r="B37" s="283">
        <v>26546</v>
      </c>
      <c r="C37" s="402" t="s">
        <v>345</v>
      </c>
      <c r="D37" s="402"/>
      <c r="E37" s="171">
        <v>119</v>
      </c>
      <c r="F37" s="171">
        <v>2</v>
      </c>
      <c r="G37" s="233">
        <v>2</v>
      </c>
      <c r="H37" s="171">
        <v>6</v>
      </c>
      <c r="I37" s="171">
        <v>7</v>
      </c>
      <c r="J37" s="241">
        <v>16</v>
      </c>
      <c r="K37" s="214">
        <f t="shared" si="11"/>
        <v>12.5</v>
      </c>
      <c r="L37" s="214">
        <f t="shared" si="12"/>
        <v>37.5</v>
      </c>
      <c r="M37" s="214">
        <f t="shared" si="13"/>
        <v>43.75</v>
      </c>
      <c r="N37" s="235">
        <f t="shared" si="3"/>
        <v>93.75</v>
      </c>
      <c r="O37" s="213">
        <v>5</v>
      </c>
      <c r="P37" s="214">
        <v>21</v>
      </c>
      <c r="Q37" s="214">
        <v>27.5</v>
      </c>
      <c r="R37" s="215">
        <f t="shared" si="4"/>
        <v>53.5</v>
      </c>
      <c r="S37" s="171">
        <v>2</v>
      </c>
      <c r="T37" s="285"/>
      <c r="U37" s="283">
        <v>26546</v>
      </c>
      <c r="V37" s="178" t="s">
        <v>111</v>
      </c>
      <c r="W37" s="171" t="s">
        <v>20</v>
      </c>
      <c r="X37" s="171" t="s">
        <v>12</v>
      </c>
      <c r="Y37" s="179">
        <v>27.5</v>
      </c>
      <c r="Z37" s="178" t="s">
        <v>107</v>
      </c>
      <c r="AA37" s="171" t="s">
        <v>869</v>
      </c>
      <c r="AB37" s="171" t="s">
        <v>18</v>
      </c>
      <c r="AC37" s="179">
        <v>17.5</v>
      </c>
      <c r="AD37" s="178" t="s">
        <v>109</v>
      </c>
      <c r="AE37" s="171" t="s">
        <v>89</v>
      </c>
      <c r="AF37" s="171" t="s">
        <v>11</v>
      </c>
      <c r="AG37" s="179">
        <v>5</v>
      </c>
      <c r="AH37" s="171" t="s">
        <v>110</v>
      </c>
      <c r="AI37" s="171" t="s">
        <v>22</v>
      </c>
      <c r="AJ37" s="171" t="s">
        <v>18</v>
      </c>
      <c r="AK37" s="171">
        <v>3.5</v>
      </c>
      <c r="AL37" s="178"/>
      <c r="AO37" s="179"/>
      <c r="AP37" s="178"/>
      <c r="AS37" s="179"/>
      <c r="AW37" s="179"/>
      <c r="BA37" s="180"/>
    </row>
    <row r="38" spans="1:53" s="171" customFormat="1" x14ac:dyDescent="0.15">
      <c r="A38" s="216">
        <v>1973</v>
      </c>
      <c r="B38" s="283"/>
      <c r="C38" s="402" t="s">
        <v>345</v>
      </c>
      <c r="D38" s="402"/>
      <c r="E38" s="171">
        <v>0</v>
      </c>
      <c r="G38" s="233">
        <v>2</v>
      </c>
      <c r="H38" s="171">
        <v>6</v>
      </c>
      <c r="I38" s="171">
        <v>7</v>
      </c>
      <c r="J38" s="241">
        <v>16</v>
      </c>
      <c r="K38" s="214">
        <f t="shared" si="11"/>
        <v>12.5</v>
      </c>
      <c r="L38" s="214">
        <f t="shared" si="12"/>
        <v>37.5</v>
      </c>
      <c r="M38" s="214">
        <f t="shared" si="13"/>
        <v>43.75</v>
      </c>
      <c r="N38" s="235">
        <f t="shared" si="3"/>
        <v>93.75</v>
      </c>
      <c r="O38" s="213">
        <v>5</v>
      </c>
      <c r="P38" s="214">
        <v>21</v>
      </c>
      <c r="Q38" s="214">
        <v>27.5</v>
      </c>
      <c r="R38" s="215">
        <f t="shared" si="4"/>
        <v>53.5</v>
      </c>
      <c r="S38" s="171">
        <v>2</v>
      </c>
      <c r="T38" s="285"/>
      <c r="U38" s="283"/>
      <c r="V38" s="178" t="s">
        <v>111</v>
      </c>
      <c r="W38" s="171" t="s">
        <v>20</v>
      </c>
      <c r="X38" s="171" t="s">
        <v>12</v>
      </c>
      <c r="Y38" s="179">
        <v>27.5</v>
      </c>
      <c r="Z38" s="178" t="s">
        <v>107</v>
      </c>
      <c r="AA38" s="171" t="s">
        <v>869</v>
      </c>
      <c r="AB38" s="171" t="s">
        <v>18</v>
      </c>
      <c r="AC38" s="179">
        <v>17.5</v>
      </c>
      <c r="AD38" s="178" t="s">
        <v>109</v>
      </c>
      <c r="AE38" s="171" t="s">
        <v>89</v>
      </c>
      <c r="AF38" s="171" t="s">
        <v>11</v>
      </c>
      <c r="AG38" s="179">
        <v>5</v>
      </c>
      <c r="AH38" s="171" t="s">
        <v>110</v>
      </c>
      <c r="AI38" s="171" t="s">
        <v>22</v>
      </c>
      <c r="AJ38" s="171" t="s">
        <v>18</v>
      </c>
      <c r="AK38" s="171">
        <v>3.5</v>
      </c>
      <c r="AL38" s="178"/>
      <c r="AO38" s="179"/>
      <c r="AP38" s="178"/>
      <c r="AS38" s="179"/>
      <c r="AW38" s="179"/>
      <c r="BA38" s="180"/>
    </row>
    <row r="39" spans="1:53" s="171" customFormat="1" x14ac:dyDescent="0.15">
      <c r="A39" s="216">
        <v>1973</v>
      </c>
      <c r="B39" s="283"/>
      <c r="C39" s="402" t="s">
        <v>345</v>
      </c>
      <c r="D39" s="402"/>
      <c r="E39" s="171">
        <v>365</v>
      </c>
      <c r="G39" s="233">
        <v>2</v>
      </c>
      <c r="H39" s="171">
        <v>6</v>
      </c>
      <c r="I39" s="171">
        <v>7</v>
      </c>
      <c r="J39" s="241">
        <v>16</v>
      </c>
      <c r="K39" s="214">
        <f t="shared" si="11"/>
        <v>12.5</v>
      </c>
      <c r="L39" s="214">
        <f t="shared" si="12"/>
        <v>37.5</v>
      </c>
      <c r="M39" s="214">
        <f t="shared" si="13"/>
        <v>43.75</v>
      </c>
      <c r="N39" s="235">
        <f t="shared" si="3"/>
        <v>93.75</v>
      </c>
      <c r="O39" s="213">
        <v>5</v>
      </c>
      <c r="P39" s="214">
        <v>21</v>
      </c>
      <c r="Q39" s="214">
        <v>27.5</v>
      </c>
      <c r="R39" s="215">
        <f t="shared" si="4"/>
        <v>53.5</v>
      </c>
      <c r="S39" s="171">
        <v>2</v>
      </c>
      <c r="T39" s="285"/>
      <c r="U39" s="283"/>
      <c r="V39" s="178" t="s">
        <v>111</v>
      </c>
      <c r="W39" s="171" t="s">
        <v>20</v>
      </c>
      <c r="X39" s="171" t="s">
        <v>12</v>
      </c>
      <c r="Y39" s="179">
        <v>27.5</v>
      </c>
      <c r="Z39" s="178" t="s">
        <v>107</v>
      </c>
      <c r="AA39" s="171" t="s">
        <v>869</v>
      </c>
      <c r="AB39" s="171" t="s">
        <v>18</v>
      </c>
      <c r="AC39" s="179">
        <v>17.5</v>
      </c>
      <c r="AD39" s="178" t="s">
        <v>109</v>
      </c>
      <c r="AE39" s="171" t="s">
        <v>89</v>
      </c>
      <c r="AF39" s="171" t="s">
        <v>11</v>
      </c>
      <c r="AG39" s="179">
        <v>5</v>
      </c>
      <c r="AH39" s="171" t="s">
        <v>110</v>
      </c>
      <c r="AI39" s="171" t="s">
        <v>22</v>
      </c>
      <c r="AJ39" s="171" t="s">
        <v>18</v>
      </c>
      <c r="AK39" s="171">
        <v>3.5</v>
      </c>
      <c r="AL39" s="178"/>
      <c r="AO39" s="179"/>
      <c r="AP39" s="178"/>
      <c r="AS39" s="179"/>
      <c r="AW39" s="179"/>
      <c r="BA39" s="180"/>
    </row>
    <row r="40" spans="1:53" s="171" customFormat="1" x14ac:dyDescent="0.15">
      <c r="A40" s="216">
        <v>1974</v>
      </c>
      <c r="B40" s="283"/>
      <c r="C40" s="402" t="s">
        <v>345</v>
      </c>
      <c r="D40" s="402"/>
      <c r="E40" s="171">
        <v>0</v>
      </c>
      <c r="G40" s="233">
        <v>2</v>
      </c>
      <c r="H40" s="171">
        <v>6</v>
      </c>
      <c r="I40" s="171">
        <v>7</v>
      </c>
      <c r="J40" s="241">
        <v>16</v>
      </c>
      <c r="K40" s="214">
        <f>G40/J40*100</f>
        <v>12.5</v>
      </c>
      <c r="L40" s="214">
        <f>H40/J40*100</f>
        <v>37.5</v>
      </c>
      <c r="M40" s="214">
        <f>I40/J40*100</f>
        <v>43.75</v>
      </c>
      <c r="N40" s="235">
        <f t="shared" si="3"/>
        <v>93.75</v>
      </c>
      <c r="O40" s="213">
        <v>5</v>
      </c>
      <c r="P40" s="214">
        <v>21</v>
      </c>
      <c r="Q40" s="214">
        <v>27.5</v>
      </c>
      <c r="R40" s="215">
        <f t="shared" si="4"/>
        <v>53.5</v>
      </c>
      <c r="S40" s="171">
        <v>2</v>
      </c>
      <c r="T40" s="285"/>
      <c r="U40" s="283"/>
      <c r="V40" s="178" t="s">
        <v>111</v>
      </c>
      <c r="W40" s="171" t="s">
        <v>20</v>
      </c>
      <c r="X40" s="171" t="s">
        <v>12</v>
      </c>
      <c r="Y40" s="179">
        <v>27.5</v>
      </c>
      <c r="Z40" s="178" t="s">
        <v>107</v>
      </c>
      <c r="AA40" s="171" t="s">
        <v>869</v>
      </c>
      <c r="AB40" s="171" t="s">
        <v>18</v>
      </c>
      <c r="AC40" s="179">
        <v>17.5</v>
      </c>
      <c r="AD40" s="178" t="s">
        <v>109</v>
      </c>
      <c r="AE40" s="171" t="s">
        <v>89</v>
      </c>
      <c r="AF40" s="171" t="s">
        <v>11</v>
      </c>
      <c r="AG40" s="179">
        <v>5</v>
      </c>
      <c r="AH40" s="171" t="s">
        <v>110</v>
      </c>
      <c r="AI40" s="171" t="s">
        <v>22</v>
      </c>
      <c r="AJ40" s="171" t="s">
        <v>18</v>
      </c>
      <c r="AK40" s="171">
        <v>3.5</v>
      </c>
      <c r="AL40" s="178"/>
      <c r="AO40" s="179"/>
      <c r="AP40" s="178"/>
      <c r="AS40" s="179"/>
      <c r="AW40" s="179"/>
      <c r="BA40" s="180"/>
    </row>
    <row r="41" spans="1:53" s="171" customFormat="1" x14ac:dyDescent="0.15">
      <c r="A41" s="216">
        <v>1974</v>
      </c>
      <c r="B41" s="283"/>
      <c r="C41" s="402" t="s">
        <v>345</v>
      </c>
      <c r="D41" s="402"/>
      <c r="E41" s="171">
        <v>365</v>
      </c>
      <c r="G41" s="233">
        <v>2</v>
      </c>
      <c r="H41" s="171">
        <v>6</v>
      </c>
      <c r="I41" s="171">
        <v>7</v>
      </c>
      <c r="J41" s="241">
        <v>16</v>
      </c>
      <c r="K41" s="214">
        <f t="shared" ref="K41:K47" si="14">G41/J41*100</f>
        <v>12.5</v>
      </c>
      <c r="L41" s="214">
        <f t="shared" ref="L41:L47" si="15">H41/J41*100</f>
        <v>37.5</v>
      </c>
      <c r="M41" s="214">
        <f t="shared" ref="M41:M47" si="16">I41/J41*100</f>
        <v>43.75</v>
      </c>
      <c r="N41" s="235">
        <f t="shared" si="3"/>
        <v>93.75</v>
      </c>
      <c r="O41" s="213">
        <v>5</v>
      </c>
      <c r="P41" s="214">
        <v>21</v>
      </c>
      <c r="Q41" s="214">
        <v>27.5</v>
      </c>
      <c r="R41" s="215">
        <f t="shared" si="4"/>
        <v>53.5</v>
      </c>
      <c r="S41" s="171">
        <v>2</v>
      </c>
      <c r="T41" s="285"/>
      <c r="U41" s="283"/>
      <c r="V41" s="178" t="s">
        <v>111</v>
      </c>
      <c r="W41" s="171" t="s">
        <v>20</v>
      </c>
      <c r="X41" s="171" t="s">
        <v>12</v>
      </c>
      <c r="Y41" s="179">
        <v>27.5</v>
      </c>
      <c r="Z41" s="178" t="s">
        <v>107</v>
      </c>
      <c r="AA41" s="171" t="s">
        <v>869</v>
      </c>
      <c r="AB41" s="171" t="s">
        <v>18</v>
      </c>
      <c r="AC41" s="179">
        <v>17.5</v>
      </c>
      <c r="AD41" s="178" t="s">
        <v>109</v>
      </c>
      <c r="AE41" s="171" t="s">
        <v>89</v>
      </c>
      <c r="AF41" s="171" t="s">
        <v>11</v>
      </c>
      <c r="AG41" s="179">
        <v>5</v>
      </c>
      <c r="AH41" s="171" t="s">
        <v>110</v>
      </c>
      <c r="AI41" s="171" t="s">
        <v>22</v>
      </c>
      <c r="AJ41" s="171" t="s">
        <v>18</v>
      </c>
      <c r="AK41" s="171">
        <v>3.5</v>
      </c>
      <c r="AL41" s="178"/>
      <c r="AO41" s="179"/>
      <c r="AP41" s="178"/>
      <c r="AS41" s="179"/>
      <c r="AW41" s="179"/>
      <c r="BA41" s="180"/>
    </row>
    <row r="42" spans="1:53" s="171" customFormat="1" x14ac:dyDescent="0.15">
      <c r="A42" s="216">
        <v>1975</v>
      </c>
      <c r="B42" s="283"/>
      <c r="C42" s="402" t="s">
        <v>345</v>
      </c>
      <c r="D42" s="402"/>
      <c r="E42" s="171">
        <v>163</v>
      </c>
      <c r="G42" s="233">
        <v>2</v>
      </c>
      <c r="H42" s="171">
        <v>6</v>
      </c>
      <c r="I42" s="171">
        <v>7</v>
      </c>
      <c r="J42" s="241">
        <v>16</v>
      </c>
      <c r="K42" s="214">
        <f t="shared" si="14"/>
        <v>12.5</v>
      </c>
      <c r="L42" s="214">
        <f t="shared" si="15"/>
        <v>37.5</v>
      </c>
      <c r="M42" s="214">
        <f t="shared" si="16"/>
        <v>43.75</v>
      </c>
      <c r="N42" s="235">
        <f t="shared" si="3"/>
        <v>93.75</v>
      </c>
      <c r="O42" s="213">
        <v>5</v>
      </c>
      <c r="P42" s="214">
        <v>21</v>
      </c>
      <c r="Q42" s="214">
        <v>27.5</v>
      </c>
      <c r="R42" s="215">
        <f t="shared" si="4"/>
        <v>53.5</v>
      </c>
      <c r="S42" s="171">
        <v>2</v>
      </c>
      <c r="T42" s="285"/>
      <c r="U42" s="283"/>
      <c r="V42" s="178" t="s">
        <v>111</v>
      </c>
      <c r="W42" s="171" t="s">
        <v>20</v>
      </c>
      <c r="X42" s="171" t="s">
        <v>12</v>
      </c>
      <c r="Y42" s="179">
        <v>27.5</v>
      </c>
      <c r="Z42" s="178" t="s">
        <v>107</v>
      </c>
      <c r="AA42" s="171" t="s">
        <v>869</v>
      </c>
      <c r="AB42" s="171" t="s">
        <v>18</v>
      </c>
      <c r="AC42" s="179">
        <v>17.5</v>
      </c>
      <c r="AD42" s="178" t="s">
        <v>109</v>
      </c>
      <c r="AE42" s="171" t="s">
        <v>89</v>
      </c>
      <c r="AF42" s="171" t="s">
        <v>11</v>
      </c>
      <c r="AG42" s="179">
        <v>5</v>
      </c>
      <c r="AH42" s="171" t="s">
        <v>110</v>
      </c>
      <c r="AI42" s="171" t="s">
        <v>22</v>
      </c>
      <c r="AJ42" s="171" t="s">
        <v>18</v>
      </c>
      <c r="AK42" s="171">
        <v>3.5</v>
      </c>
      <c r="AL42" s="178"/>
      <c r="AO42" s="179"/>
      <c r="AP42" s="178"/>
      <c r="AS42" s="179"/>
      <c r="AW42" s="179"/>
      <c r="BA42" s="180"/>
    </row>
    <row r="43" spans="1:53" s="29" customFormat="1" x14ac:dyDescent="0.15">
      <c r="A43" s="52">
        <v>1975</v>
      </c>
      <c r="B43" s="295">
        <v>27558</v>
      </c>
      <c r="C43" s="394" t="s">
        <v>346</v>
      </c>
      <c r="D43" s="394"/>
      <c r="E43" s="29">
        <v>170</v>
      </c>
      <c r="F43" s="29">
        <v>7</v>
      </c>
      <c r="G43" s="66">
        <v>2</v>
      </c>
      <c r="H43" s="29">
        <v>4</v>
      </c>
      <c r="I43" s="29">
        <v>5</v>
      </c>
      <c r="J43" s="73">
        <v>17</v>
      </c>
      <c r="K43" s="47">
        <f>G43/J43*100</f>
        <v>11.76470588235294</v>
      </c>
      <c r="L43" s="47">
        <f>H43/J43*100</f>
        <v>23.52941176470588</v>
      </c>
      <c r="M43" s="47">
        <f>I43/J43*100</f>
        <v>29.411764705882355</v>
      </c>
      <c r="N43" s="68">
        <f t="shared" si="3"/>
        <v>64.705882352941174</v>
      </c>
      <c r="O43" s="46">
        <v>22</v>
      </c>
      <c r="P43" s="47">
        <v>21</v>
      </c>
      <c r="Q43" s="47">
        <v>27</v>
      </c>
      <c r="R43" s="48">
        <f t="shared" si="4"/>
        <v>70</v>
      </c>
      <c r="S43" s="29">
        <v>6</v>
      </c>
      <c r="T43" s="286"/>
      <c r="U43" s="295">
        <v>27558</v>
      </c>
      <c r="V43" s="38" t="s">
        <v>111</v>
      </c>
      <c r="W43" s="29" t="s">
        <v>20</v>
      </c>
      <c r="X43" s="29" t="s">
        <v>12</v>
      </c>
      <c r="Y43" s="39">
        <v>27.5</v>
      </c>
      <c r="Z43" s="38" t="s">
        <v>107</v>
      </c>
      <c r="AA43" s="29" t="s">
        <v>869</v>
      </c>
      <c r="AB43" s="29" t="s">
        <v>18</v>
      </c>
      <c r="AC43" s="39">
        <v>17.5</v>
      </c>
      <c r="AD43" s="38" t="s">
        <v>109</v>
      </c>
      <c r="AE43" s="29" t="s">
        <v>89</v>
      </c>
      <c r="AF43" s="29" t="s">
        <v>11</v>
      </c>
      <c r="AG43" s="39">
        <v>5</v>
      </c>
      <c r="AH43" s="29" t="s">
        <v>110</v>
      </c>
      <c r="AI43" s="29" t="s">
        <v>22</v>
      </c>
      <c r="AJ43" s="29" t="s">
        <v>18</v>
      </c>
      <c r="AK43" s="29">
        <v>3.5</v>
      </c>
      <c r="AL43" s="38" t="s">
        <v>108</v>
      </c>
      <c r="AM43" s="29" t="s">
        <v>74</v>
      </c>
      <c r="AN43" s="29" t="s">
        <v>11</v>
      </c>
      <c r="AO43" s="39">
        <v>17</v>
      </c>
      <c r="AP43" s="38"/>
      <c r="AS43" s="39"/>
      <c r="AW43" s="39"/>
      <c r="BA43" s="40"/>
    </row>
    <row r="44" spans="1:53" s="171" customFormat="1" x14ac:dyDescent="0.15">
      <c r="A44" s="216">
        <v>1975</v>
      </c>
      <c r="B44" s="283">
        <v>27728</v>
      </c>
      <c r="C44" s="402" t="s">
        <v>347</v>
      </c>
      <c r="D44" s="402"/>
      <c r="E44" s="171">
        <v>32</v>
      </c>
      <c r="F44" s="171">
        <v>1</v>
      </c>
      <c r="G44" s="233">
        <v>2</v>
      </c>
      <c r="H44" s="171">
        <v>5</v>
      </c>
      <c r="I44" s="171">
        <v>9</v>
      </c>
      <c r="J44" s="241">
        <v>18</v>
      </c>
      <c r="K44" s="214">
        <f t="shared" si="14"/>
        <v>11.111111111111111</v>
      </c>
      <c r="L44" s="214">
        <f t="shared" si="15"/>
        <v>27.777777777777779</v>
      </c>
      <c r="M44" s="214">
        <f t="shared" si="16"/>
        <v>50</v>
      </c>
      <c r="N44" s="235">
        <f t="shared" si="3"/>
        <v>88.888888888888886</v>
      </c>
      <c r="O44" s="213">
        <v>5</v>
      </c>
      <c r="P44" s="214">
        <v>24</v>
      </c>
      <c r="Q44" s="214">
        <v>47</v>
      </c>
      <c r="R44" s="215">
        <f t="shared" si="4"/>
        <v>76</v>
      </c>
      <c r="S44" s="171">
        <v>3</v>
      </c>
      <c r="T44" s="285">
        <v>27658</v>
      </c>
      <c r="U44" s="283">
        <v>27728</v>
      </c>
      <c r="V44" s="178" t="s">
        <v>107</v>
      </c>
      <c r="W44" s="171" t="s">
        <v>869</v>
      </c>
      <c r="X44" s="171" t="s">
        <v>18</v>
      </c>
      <c r="Y44" s="179">
        <v>19.5</v>
      </c>
      <c r="Z44" s="178" t="s">
        <v>111</v>
      </c>
      <c r="AA44" s="171" t="s">
        <v>20</v>
      </c>
      <c r="AB44" s="171" t="s">
        <v>12</v>
      </c>
      <c r="AC44" s="179">
        <v>27</v>
      </c>
      <c r="AD44" s="178" t="s">
        <v>112</v>
      </c>
      <c r="AE44" s="171" t="s">
        <v>113</v>
      </c>
      <c r="AF44" s="171" t="s">
        <v>12</v>
      </c>
      <c r="AG44" s="179">
        <v>20</v>
      </c>
      <c r="AH44" s="178" t="s">
        <v>109</v>
      </c>
      <c r="AI44" s="171" t="s">
        <v>89</v>
      </c>
      <c r="AJ44" s="171" t="s">
        <v>11</v>
      </c>
      <c r="AK44" s="179">
        <v>5</v>
      </c>
      <c r="AL44" s="171" t="s">
        <v>110</v>
      </c>
      <c r="AM44" s="171" t="s">
        <v>22</v>
      </c>
      <c r="AN44" s="171" t="s">
        <v>18</v>
      </c>
      <c r="AO44" s="171">
        <v>4.5</v>
      </c>
      <c r="AP44" s="178"/>
      <c r="AS44" s="179"/>
      <c r="AW44" s="179"/>
      <c r="BA44" s="180"/>
    </row>
    <row r="45" spans="1:53" s="171" customFormat="1" x14ac:dyDescent="0.15">
      <c r="A45" s="216">
        <v>1976</v>
      </c>
      <c r="B45" s="283"/>
      <c r="C45" s="402" t="s">
        <v>347</v>
      </c>
      <c r="D45" s="402"/>
      <c r="E45" s="171">
        <v>272</v>
      </c>
      <c r="G45" s="233">
        <v>2</v>
      </c>
      <c r="H45" s="171">
        <v>5</v>
      </c>
      <c r="I45" s="171">
        <v>9</v>
      </c>
      <c r="J45" s="241">
        <v>18</v>
      </c>
      <c r="K45" s="214">
        <f t="shared" si="14"/>
        <v>11.111111111111111</v>
      </c>
      <c r="L45" s="214">
        <f t="shared" si="15"/>
        <v>27.777777777777779</v>
      </c>
      <c r="M45" s="214">
        <f t="shared" si="16"/>
        <v>50</v>
      </c>
      <c r="N45" s="235">
        <f t="shared" si="3"/>
        <v>88.888888888888886</v>
      </c>
      <c r="O45" s="213">
        <v>5</v>
      </c>
      <c r="P45" s="214">
        <v>24</v>
      </c>
      <c r="Q45" s="214">
        <v>47</v>
      </c>
      <c r="R45" s="215">
        <f t="shared" si="4"/>
        <v>76</v>
      </c>
      <c r="S45" s="171">
        <v>3</v>
      </c>
      <c r="T45" s="285"/>
      <c r="U45" s="283"/>
      <c r="V45" s="178" t="s">
        <v>107</v>
      </c>
      <c r="W45" s="171" t="s">
        <v>869</v>
      </c>
      <c r="X45" s="171" t="s">
        <v>18</v>
      </c>
      <c r="Y45" s="179">
        <v>19.5</v>
      </c>
      <c r="Z45" s="178" t="s">
        <v>111</v>
      </c>
      <c r="AA45" s="171" t="s">
        <v>20</v>
      </c>
      <c r="AB45" s="171" t="s">
        <v>12</v>
      </c>
      <c r="AC45" s="179">
        <v>27</v>
      </c>
      <c r="AD45" s="178" t="s">
        <v>112</v>
      </c>
      <c r="AE45" s="171" t="s">
        <v>113</v>
      </c>
      <c r="AF45" s="171" t="s">
        <v>12</v>
      </c>
      <c r="AG45" s="179">
        <v>20</v>
      </c>
      <c r="AH45" s="178" t="s">
        <v>109</v>
      </c>
      <c r="AI45" s="171" t="s">
        <v>89</v>
      </c>
      <c r="AJ45" s="171" t="s">
        <v>11</v>
      </c>
      <c r="AK45" s="179">
        <v>5</v>
      </c>
      <c r="AL45" s="171" t="s">
        <v>110</v>
      </c>
      <c r="AM45" s="171" t="s">
        <v>22</v>
      </c>
      <c r="AN45" s="171" t="s">
        <v>18</v>
      </c>
      <c r="AO45" s="171">
        <v>4.5</v>
      </c>
      <c r="AP45" s="178"/>
      <c r="AS45" s="179"/>
      <c r="AW45" s="179"/>
      <c r="BA45" s="180"/>
    </row>
    <row r="46" spans="1:53" s="29" customFormat="1" x14ac:dyDescent="0.15">
      <c r="A46" s="52">
        <v>1976</v>
      </c>
      <c r="B46" s="295">
        <v>28032</v>
      </c>
      <c r="C46" s="394" t="s">
        <v>348</v>
      </c>
      <c r="D46" s="394"/>
      <c r="E46" s="29">
        <v>94</v>
      </c>
      <c r="F46" s="29">
        <v>4</v>
      </c>
      <c r="G46" s="66">
        <v>3</v>
      </c>
      <c r="H46" s="29">
        <v>12</v>
      </c>
      <c r="J46" s="73">
        <v>16</v>
      </c>
      <c r="K46" s="47">
        <f t="shared" si="14"/>
        <v>18.75</v>
      </c>
      <c r="L46" s="47">
        <f t="shared" si="15"/>
        <v>75</v>
      </c>
      <c r="M46" s="47">
        <f t="shared" si="16"/>
        <v>0</v>
      </c>
      <c r="N46" s="68">
        <f t="shared" si="3"/>
        <v>93.75</v>
      </c>
      <c r="O46" s="46">
        <v>5</v>
      </c>
      <c r="P46" s="47">
        <v>24</v>
      </c>
      <c r="Q46" s="47"/>
      <c r="R46" s="48">
        <f t="shared" si="4"/>
        <v>29</v>
      </c>
      <c r="S46" s="29">
        <v>5</v>
      </c>
      <c r="T46" s="286"/>
      <c r="U46" s="295">
        <v>28032</v>
      </c>
      <c r="V46" s="38" t="s">
        <v>107</v>
      </c>
      <c r="W46" s="29" t="s">
        <v>869</v>
      </c>
      <c r="X46" s="29" t="s">
        <v>18</v>
      </c>
      <c r="Y46" s="39">
        <v>19.5</v>
      </c>
      <c r="Z46" s="38" t="s">
        <v>109</v>
      </c>
      <c r="AA46" s="29" t="s">
        <v>89</v>
      </c>
      <c r="AB46" s="29" t="s">
        <v>11</v>
      </c>
      <c r="AC46" s="39">
        <v>5</v>
      </c>
      <c r="AD46" s="29" t="s">
        <v>110</v>
      </c>
      <c r="AE46" s="29" t="s">
        <v>22</v>
      </c>
      <c r="AF46" s="29" t="s">
        <v>18</v>
      </c>
      <c r="AG46" s="39">
        <v>4.5</v>
      </c>
      <c r="AL46" s="38"/>
      <c r="AO46" s="39"/>
      <c r="AP46" s="38"/>
      <c r="AS46" s="39"/>
      <c r="AW46" s="39"/>
      <c r="BA46" s="40"/>
    </row>
    <row r="47" spans="1:53" s="29" customFormat="1" x14ac:dyDescent="0.15">
      <c r="A47" s="52">
        <v>1977</v>
      </c>
      <c r="B47" s="295"/>
      <c r="C47" s="394" t="s">
        <v>348</v>
      </c>
      <c r="D47" s="394"/>
      <c r="E47" s="29">
        <v>134</v>
      </c>
      <c r="G47" s="66">
        <v>3</v>
      </c>
      <c r="H47" s="29">
        <v>12</v>
      </c>
      <c r="J47" s="73">
        <v>16</v>
      </c>
      <c r="K47" s="47">
        <f t="shared" si="14"/>
        <v>18.75</v>
      </c>
      <c r="L47" s="47">
        <f t="shared" si="15"/>
        <v>75</v>
      </c>
      <c r="M47" s="47">
        <f t="shared" si="16"/>
        <v>0</v>
      </c>
      <c r="N47" s="68">
        <f t="shared" si="3"/>
        <v>93.75</v>
      </c>
      <c r="O47" s="46">
        <v>5</v>
      </c>
      <c r="P47" s="47">
        <v>24</v>
      </c>
      <c r="Q47" s="47"/>
      <c r="R47" s="48">
        <f t="shared" si="4"/>
        <v>29</v>
      </c>
      <c r="S47" s="29">
        <v>5</v>
      </c>
      <c r="T47" s="286"/>
      <c r="U47" s="295"/>
      <c r="V47" s="38" t="s">
        <v>107</v>
      </c>
      <c r="W47" s="29" t="s">
        <v>869</v>
      </c>
      <c r="X47" s="29" t="s">
        <v>18</v>
      </c>
      <c r="Y47" s="39">
        <v>19.5</v>
      </c>
      <c r="Z47" s="38" t="s">
        <v>109</v>
      </c>
      <c r="AA47" s="29" t="s">
        <v>89</v>
      </c>
      <c r="AB47" s="29" t="s">
        <v>11</v>
      </c>
      <c r="AC47" s="39">
        <v>5</v>
      </c>
      <c r="AD47" s="29" t="s">
        <v>110</v>
      </c>
      <c r="AE47" s="29" t="s">
        <v>22</v>
      </c>
      <c r="AF47" s="29" t="s">
        <v>18</v>
      </c>
      <c r="AG47" s="39">
        <v>4.5</v>
      </c>
      <c r="AL47" s="38"/>
      <c r="AO47" s="39"/>
      <c r="AP47" s="38"/>
      <c r="AS47" s="39"/>
      <c r="AW47" s="39"/>
      <c r="BA47" s="40"/>
    </row>
    <row r="48" spans="1:53" s="171" customFormat="1" x14ac:dyDescent="0.15">
      <c r="A48" s="216">
        <v>1977</v>
      </c>
      <c r="B48" s="283">
        <v>28260</v>
      </c>
      <c r="C48" s="402" t="s">
        <v>349</v>
      </c>
      <c r="D48" s="402"/>
      <c r="E48" s="171">
        <v>231</v>
      </c>
      <c r="F48" s="171">
        <v>6</v>
      </c>
      <c r="G48" s="233">
        <v>1</v>
      </c>
      <c r="H48" s="171">
        <v>6</v>
      </c>
      <c r="I48" s="171">
        <v>7</v>
      </c>
      <c r="J48" s="241">
        <v>15</v>
      </c>
      <c r="K48" s="214">
        <f>G48/J48*100</f>
        <v>6.666666666666667</v>
      </c>
      <c r="L48" s="214">
        <f>H48/J48*100</f>
        <v>40</v>
      </c>
      <c r="M48" s="214">
        <f>I48/J48*100</f>
        <v>46.666666666666664</v>
      </c>
      <c r="N48" s="235">
        <f t="shared" si="3"/>
        <v>93.333333333333329</v>
      </c>
      <c r="O48" s="213">
        <v>5</v>
      </c>
      <c r="P48" s="214">
        <v>24</v>
      </c>
      <c r="Q48" s="214">
        <v>47</v>
      </c>
      <c r="R48" s="215">
        <f t="shared" si="4"/>
        <v>76</v>
      </c>
      <c r="S48" s="171">
        <v>3</v>
      </c>
      <c r="T48" s="285"/>
      <c r="U48" s="283">
        <v>28260</v>
      </c>
      <c r="V48" s="178" t="s">
        <v>111</v>
      </c>
      <c r="W48" s="171" t="s">
        <v>20</v>
      </c>
      <c r="X48" s="171" t="s">
        <v>12</v>
      </c>
      <c r="Y48" s="179">
        <v>27</v>
      </c>
      <c r="Z48" s="178" t="s">
        <v>107</v>
      </c>
      <c r="AA48" s="171" t="s">
        <v>869</v>
      </c>
      <c r="AB48" s="171" t="s">
        <v>18</v>
      </c>
      <c r="AC48" s="179">
        <v>19.5</v>
      </c>
      <c r="AD48" s="178" t="s">
        <v>112</v>
      </c>
      <c r="AE48" s="171" t="s">
        <v>113</v>
      </c>
      <c r="AF48" s="171" t="s">
        <v>12</v>
      </c>
      <c r="AG48" s="179">
        <v>20</v>
      </c>
      <c r="AH48" s="178" t="s">
        <v>109</v>
      </c>
      <c r="AI48" s="171" t="s">
        <v>89</v>
      </c>
      <c r="AJ48" s="171" t="s">
        <v>11</v>
      </c>
      <c r="AK48" s="179">
        <v>5</v>
      </c>
      <c r="AL48" s="171" t="s">
        <v>110</v>
      </c>
      <c r="AM48" s="171" t="s">
        <v>22</v>
      </c>
      <c r="AN48" s="171" t="s">
        <v>18</v>
      </c>
      <c r="AO48" s="171">
        <v>4.5</v>
      </c>
      <c r="AP48" s="178"/>
      <c r="AS48" s="179"/>
      <c r="AW48" s="179"/>
      <c r="BA48" s="180"/>
    </row>
    <row r="49" spans="1:53" s="171" customFormat="1" x14ac:dyDescent="0.15">
      <c r="A49" s="216">
        <v>1978</v>
      </c>
      <c r="B49" s="283"/>
      <c r="C49" s="402" t="s">
        <v>349</v>
      </c>
      <c r="D49" s="402"/>
      <c r="E49" s="171">
        <v>60</v>
      </c>
      <c r="G49" s="233">
        <v>1</v>
      </c>
      <c r="H49" s="171">
        <v>6</v>
      </c>
      <c r="I49" s="171">
        <v>7</v>
      </c>
      <c r="J49" s="241">
        <v>15</v>
      </c>
      <c r="K49" s="214">
        <f t="shared" ref="K49:K54" si="17">G49/J49*100</f>
        <v>6.666666666666667</v>
      </c>
      <c r="L49" s="214">
        <f t="shared" ref="L49:L54" si="18">H49/J49*100</f>
        <v>40</v>
      </c>
      <c r="M49" s="214">
        <f t="shared" ref="M49:M54" si="19">I49/J49*100</f>
        <v>46.666666666666664</v>
      </c>
      <c r="N49" s="235">
        <f t="shared" si="3"/>
        <v>93.333333333333329</v>
      </c>
      <c r="O49" s="213">
        <v>5</v>
      </c>
      <c r="P49" s="214">
        <v>24</v>
      </c>
      <c r="Q49" s="214">
        <v>47</v>
      </c>
      <c r="R49" s="215">
        <f t="shared" si="4"/>
        <v>76</v>
      </c>
      <c r="S49" s="171">
        <v>3</v>
      </c>
      <c r="T49" s="285"/>
      <c r="U49" s="283"/>
      <c r="V49" s="178" t="s">
        <v>111</v>
      </c>
      <c r="W49" s="171" t="s">
        <v>20</v>
      </c>
      <c r="X49" s="171" t="s">
        <v>12</v>
      </c>
      <c r="Y49" s="179">
        <v>27</v>
      </c>
      <c r="Z49" s="178" t="s">
        <v>107</v>
      </c>
      <c r="AA49" s="171" t="s">
        <v>869</v>
      </c>
      <c r="AB49" s="171" t="s">
        <v>18</v>
      </c>
      <c r="AC49" s="179">
        <v>19.5</v>
      </c>
      <c r="AD49" s="178" t="s">
        <v>112</v>
      </c>
      <c r="AE49" s="171" t="s">
        <v>113</v>
      </c>
      <c r="AF49" s="171" t="s">
        <v>12</v>
      </c>
      <c r="AG49" s="179">
        <v>20</v>
      </c>
      <c r="AH49" s="178" t="s">
        <v>109</v>
      </c>
      <c r="AI49" s="171" t="s">
        <v>89</v>
      </c>
      <c r="AJ49" s="171" t="s">
        <v>11</v>
      </c>
      <c r="AK49" s="179">
        <v>5</v>
      </c>
      <c r="AL49" s="171" t="s">
        <v>110</v>
      </c>
      <c r="AM49" s="171" t="s">
        <v>22</v>
      </c>
      <c r="AN49" s="171" t="s">
        <v>18</v>
      </c>
      <c r="AO49" s="171">
        <v>4.5</v>
      </c>
      <c r="AP49" s="178"/>
      <c r="AS49" s="179"/>
      <c r="AW49" s="179"/>
      <c r="BA49" s="180"/>
    </row>
    <row r="50" spans="1:53" s="29" customFormat="1" x14ac:dyDescent="0.15">
      <c r="A50" s="52">
        <v>1978</v>
      </c>
      <c r="B50" s="295">
        <v>28551</v>
      </c>
      <c r="C50" s="394" t="s">
        <v>350</v>
      </c>
      <c r="D50" s="394"/>
      <c r="E50" s="29">
        <v>305</v>
      </c>
      <c r="F50" s="29">
        <v>4</v>
      </c>
      <c r="G50" s="66"/>
      <c r="H50" s="29">
        <v>7</v>
      </c>
      <c r="I50" s="29">
        <v>7</v>
      </c>
      <c r="J50" s="73">
        <v>15</v>
      </c>
      <c r="K50" s="47">
        <f t="shared" si="17"/>
        <v>0</v>
      </c>
      <c r="L50" s="47">
        <f t="shared" si="18"/>
        <v>46.666666666666664</v>
      </c>
      <c r="M50" s="47">
        <f t="shared" si="19"/>
        <v>46.666666666666664</v>
      </c>
      <c r="N50" s="68">
        <f t="shared" si="3"/>
        <v>93.333333333333329</v>
      </c>
      <c r="O50" s="46"/>
      <c r="P50" s="47">
        <v>24</v>
      </c>
      <c r="Q50" s="47">
        <v>47</v>
      </c>
      <c r="R50" s="48">
        <f t="shared" si="4"/>
        <v>71</v>
      </c>
      <c r="S50" s="29">
        <v>3</v>
      </c>
      <c r="T50" s="286"/>
      <c r="U50" s="295">
        <v>28551</v>
      </c>
      <c r="V50" s="38" t="s">
        <v>111</v>
      </c>
      <c r="W50" s="29" t="s">
        <v>20</v>
      </c>
      <c r="X50" s="29" t="s">
        <v>12</v>
      </c>
      <c r="Y50" s="39">
        <v>27</v>
      </c>
      <c r="Z50" s="38" t="s">
        <v>107</v>
      </c>
      <c r="AA50" s="29" t="s">
        <v>869</v>
      </c>
      <c r="AB50" s="29" t="s">
        <v>18</v>
      </c>
      <c r="AC50" s="39">
        <v>19.5</v>
      </c>
      <c r="AD50" s="38" t="s">
        <v>112</v>
      </c>
      <c r="AE50" s="29" t="s">
        <v>113</v>
      </c>
      <c r="AF50" s="29" t="s">
        <v>12</v>
      </c>
      <c r="AG50" s="39">
        <v>20</v>
      </c>
      <c r="AH50" s="29" t="s">
        <v>110</v>
      </c>
      <c r="AI50" s="29" t="s">
        <v>22</v>
      </c>
      <c r="AJ50" s="29" t="s">
        <v>18</v>
      </c>
      <c r="AK50" s="29">
        <v>4.5</v>
      </c>
      <c r="AL50" s="38"/>
      <c r="AO50" s="39"/>
      <c r="AP50" s="38"/>
      <c r="AS50" s="39"/>
      <c r="AW50" s="39"/>
      <c r="BA50" s="40"/>
    </row>
    <row r="51" spans="1:53" s="29" customFormat="1" x14ac:dyDescent="0.15">
      <c r="A51" s="52">
        <v>1979</v>
      </c>
      <c r="B51" s="295"/>
      <c r="C51" s="394" t="s">
        <v>350</v>
      </c>
      <c r="D51" s="394"/>
      <c r="E51" s="29">
        <v>144</v>
      </c>
      <c r="G51" s="66"/>
      <c r="H51" s="29">
        <v>7</v>
      </c>
      <c r="I51" s="29">
        <v>7</v>
      </c>
      <c r="J51" s="73">
        <v>15</v>
      </c>
      <c r="K51" s="47">
        <f t="shared" si="17"/>
        <v>0</v>
      </c>
      <c r="L51" s="47">
        <f t="shared" si="18"/>
        <v>46.666666666666664</v>
      </c>
      <c r="M51" s="47">
        <f t="shared" si="19"/>
        <v>46.666666666666664</v>
      </c>
      <c r="N51" s="68">
        <f t="shared" si="3"/>
        <v>93.333333333333329</v>
      </c>
      <c r="O51" s="46"/>
      <c r="P51" s="47">
        <v>24</v>
      </c>
      <c r="Q51" s="47">
        <v>47</v>
      </c>
      <c r="R51" s="48">
        <f t="shared" si="4"/>
        <v>71</v>
      </c>
      <c r="S51" s="29">
        <v>3</v>
      </c>
      <c r="T51" s="286"/>
      <c r="U51" s="295"/>
      <c r="V51" s="38" t="s">
        <v>111</v>
      </c>
      <c r="W51" s="29" t="s">
        <v>20</v>
      </c>
      <c r="X51" s="29" t="s">
        <v>12</v>
      </c>
      <c r="Y51" s="39">
        <v>27</v>
      </c>
      <c r="Z51" s="38" t="s">
        <v>107</v>
      </c>
      <c r="AA51" s="29" t="s">
        <v>869</v>
      </c>
      <c r="AB51" s="29" t="s">
        <v>18</v>
      </c>
      <c r="AC51" s="39">
        <v>19.5</v>
      </c>
      <c r="AD51" s="38" t="s">
        <v>112</v>
      </c>
      <c r="AE51" s="29" t="s">
        <v>113</v>
      </c>
      <c r="AF51" s="29" t="s">
        <v>12</v>
      </c>
      <c r="AG51" s="39">
        <v>20</v>
      </c>
      <c r="AH51" s="29" t="s">
        <v>110</v>
      </c>
      <c r="AI51" s="29" t="s">
        <v>22</v>
      </c>
      <c r="AJ51" s="29" t="s">
        <v>18</v>
      </c>
      <c r="AK51" s="29">
        <v>4.5</v>
      </c>
      <c r="AL51" s="38"/>
      <c r="AO51" s="39"/>
      <c r="AP51" s="38"/>
      <c r="AS51" s="39"/>
      <c r="AW51" s="39"/>
      <c r="BA51" s="40"/>
    </row>
    <row r="52" spans="1:53" s="171" customFormat="1" x14ac:dyDescent="0.15">
      <c r="A52" s="216">
        <v>1979</v>
      </c>
      <c r="B52" s="283">
        <v>29000</v>
      </c>
      <c r="C52" s="402" t="s">
        <v>351</v>
      </c>
      <c r="D52" s="402"/>
      <c r="E52" s="171">
        <v>221</v>
      </c>
      <c r="F52" s="171">
        <v>1</v>
      </c>
      <c r="G52" s="233">
        <v>2</v>
      </c>
      <c r="H52" s="171">
        <v>6</v>
      </c>
      <c r="I52" s="171">
        <v>8</v>
      </c>
      <c r="J52" s="241">
        <v>17</v>
      </c>
      <c r="K52" s="214">
        <f t="shared" si="17"/>
        <v>11.76470588235294</v>
      </c>
      <c r="L52" s="214">
        <f t="shared" si="18"/>
        <v>35.294117647058826</v>
      </c>
      <c r="M52" s="214">
        <f t="shared" si="19"/>
        <v>47.058823529411761</v>
      </c>
      <c r="N52" s="235">
        <f t="shared" si="3"/>
        <v>94.117647058823536</v>
      </c>
      <c r="O52" s="213">
        <v>5</v>
      </c>
      <c r="P52" s="214">
        <v>18</v>
      </c>
      <c r="Q52" s="214">
        <v>43.5</v>
      </c>
      <c r="R52" s="215">
        <f t="shared" si="4"/>
        <v>66.5</v>
      </c>
      <c r="S52" s="171">
        <v>3</v>
      </c>
      <c r="T52" s="285">
        <v>28926</v>
      </c>
      <c r="U52" s="283">
        <v>29000</v>
      </c>
      <c r="V52" s="178" t="s">
        <v>111</v>
      </c>
      <c r="W52" s="171" t="s">
        <v>20</v>
      </c>
      <c r="X52" s="171" t="s">
        <v>12</v>
      </c>
      <c r="Y52" s="179">
        <v>26</v>
      </c>
      <c r="Z52" s="178" t="s">
        <v>107</v>
      </c>
      <c r="AA52" s="171" t="s">
        <v>869</v>
      </c>
      <c r="AB52" s="171" t="s">
        <v>18</v>
      </c>
      <c r="AC52" s="179">
        <v>18</v>
      </c>
      <c r="AD52" s="178" t="s">
        <v>112</v>
      </c>
      <c r="AE52" s="171" t="s">
        <v>113</v>
      </c>
      <c r="AF52" s="171" t="s">
        <v>12</v>
      </c>
      <c r="AG52" s="179">
        <v>17.5</v>
      </c>
      <c r="AH52" s="178" t="s">
        <v>109</v>
      </c>
      <c r="AI52" s="171" t="s">
        <v>89</v>
      </c>
      <c r="AJ52" s="171" t="s">
        <v>11</v>
      </c>
      <c r="AK52" s="179">
        <v>5</v>
      </c>
      <c r="AL52" s="178"/>
      <c r="AO52" s="179"/>
      <c r="AP52" s="178"/>
      <c r="AS52" s="179"/>
      <c r="AW52" s="179"/>
      <c r="BA52" s="180"/>
    </row>
    <row r="53" spans="1:53" s="171" customFormat="1" x14ac:dyDescent="0.15">
      <c r="A53" s="216">
        <v>1980</v>
      </c>
      <c r="B53" s="283"/>
      <c r="C53" s="402" t="s">
        <v>351</v>
      </c>
      <c r="D53" s="402"/>
      <c r="E53" s="171">
        <v>0</v>
      </c>
      <c r="G53" s="233">
        <v>2</v>
      </c>
      <c r="H53" s="171">
        <v>6</v>
      </c>
      <c r="I53" s="171">
        <v>8</v>
      </c>
      <c r="J53" s="241">
        <v>17</v>
      </c>
      <c r="K53" s="214">
        <f t="shared" si="17"/>
        <v>11.76470588235294</v>
      </c>
      <c r="L53" s="214">
        <f t="shared" si="18"/>
        <v>35.294117647058826</v>
      </c>
      <c r="M53" s="214">
        <f t="shared" si="19"/>
        <v>47.058823529411761</v>
      </c>
      <c r="N53" s="235">
        <f t="shared" si="3"/>
        <v>94.117647058823536</v>
      </c>
      <c r="O53" s="213">
        <v>5</v>
      </c>
      <c r="P53" s="214">
        <v>18</v>
      </c>
      <c r="Q53" s="214">
        <v>43.5</v>
      </c>
      <c r="R53" s="215">
        <f t="shared" si="4"/>
        <v>66.5</v>
      </c>
      <c r="S53" s="171">
        <v>3</v>
      </c>
      <c r="T53" s="285"/>
      <c r="U53" s="283"/>
      <c r="V53" s="178" t="s">
        <v>111</v>
      </c>
      <c r="W53" s="171" t="s">
        <v>20</v>
      </c>
      <c r="X53" s="171" t="s">
        <v>12</v>
      </c>
      <c r="Y53" s="179">
        <v>26</v>
      </c>
      <c r="Z53" s="178" t="s">
        <v>107</v>
      </c>
      <c r="AA53" s="171" t="s">
        <v>869</v>
      </c>
      <c r="AB53" s="171" t="s">
        <v>18</v>
      </c>
      <c r="AC53" s="179">
        <v>18</v>
      </c>
      <c r="AD53" s="178" t="s">
        <v>112</v>
      </c>
      <c r="AE53" s="171" t="s">
        <v>113</v>
      </c>
      <c r="AF53" s="171" t="s">
        <v>12</v>
      </c>
      <c r="AG53" s="179">
        <v>17.5</v>
      </c>
      <c r="AH53" s="178" t="s">
        <v>109</v>
      </c>
      <c r="AI53" s="171" t="s">
        <v>89</v>
      </c>
      <c r="AJ53" s="171" t="s">
        <v>11</v>
      </c>
      <c r="AK53" s="179">
        <v>5</v>
      </c>
      <c r="AL53" s="178"/>
      <c r="AO53" s="179"/>
      <c r="AP53" s="178"/>
      <c r="AS53" s="179"/>
      <c r="AW53" s="179"/>
      <c r="BA53" s="180"/>
    </row>
    <row r="54" spans="1:53" s="171" customFormat="1" x14ac:dyDescent="0.15">
      <c r="A54" s="216">
        <v>1980</v>
      </c>
      <c r="B54" s="283"/>
      <c r="C54" s="402" t="s">
        <v>351</v>
      </c>
      <c r="D54" s="402"/>
      <c r="E54" s="171">
        <v>366</v>
      </c>
      <c r="G54" s="233">
        <v>2</v>
      </c>
      <c r="H54" s="171">
        <v>6</v>
      </c>
      <c r="I54" s="171">
        <v>8</v>
      </c>
      <c r="J54" s="241">
        <v>17</v>
      </c>
      <c r="K54" s="214">
        <f t="shared" si="17"/>
        <v>11.76470588235294</v>
      </c>
      <c r="L54" s="214">
        <f t="shared" si="18"/>
        <v>35.294117647058826</v>
      </c>
      <c r="M54" s="214">
        <f t="shared" si="19"/>
        <v>47.058823529411761</v>
      </c>
      <c r="N54" s="235">
        <f t="shared" si="3"/>
        <v>94.117647058823536</v>
      </c>
      <c r="O54" s="213">
        <v>5</v>
      </c>
      <c r="P54" s="214">
        <v>18</v>
      </c>
      <c r="Q54" s="214">
        <v>43.5</v>
      </c>
      <c r="R54" s="215">
        <f t="shared" si="4"/>
        <v>66.5</v>
      </c>
      <c r="S54" s="171">
        <v>3</v>
      </c>
      <c r="T54" s="285"/>
      <c r="U54" s="283"/>
      <c r="V54" s="178" t="s">
        <v>111</v>
      </c>
      <c r="W54" s="171" t="s">
        <v>20</v>
      </c>
      <c r="X54" s="171" t="s">
        <v>12</v>
      </c>
      <c r="Y54" s="179">
        <v>26</v>
      </c>
      <c r="Z54" s="178" t="s">
        <v>107</v>
      </c>
      <c r="AA54" s="171" t="s">
        <v>869</v>
      </c>
      <c r="AB54" s="171" t="s">
        <v>18</v>
      </c>
      <c r="AC54" s="179">
        <v>18</v>
      </c>
      <c r="AD54" s="178" t="s">
        <v>112</v>
      </c>
      <c r="AE54" s="171" t="s">
        <v>113</v>
      </c>
      <c r="AF54" s="171" t="s">
        <v>12</v>
      </c>
      <c r="AG54" s="179">
        <v>17.5</v>
      </c>
      <c r="AH54" s="178" t="s">
        <v>109</v>
      </c>
      <c r="AI54" s="171" t="s">
        <v>89</v>
      </c>
      <c r="AJ54" s="171" t="s">
        <v>11</v>
      </c>
      <c r="AK54" s="179">
        <v>5</v>
      </c>
      <c r="AL54" s="178"/>
      <c r="AO54" s="179"/>
      <c r="AP54" s="178"/>
      <c r="AS54" s="179"/>
      <c r="AW54" s="179"/>
      <c r="BA54" s="180"/>
    </row>
    <row r="55" spans="1:53" s="171" customFormat="1" x14ac:dyDescent="0.15">
      <c r="A55" s="216">
        <v>1981</v>
      </c>
      <c r="B55" s="283"/>
      <c r="C55" s="402" t="s">
        <v>351</v>
      </c>
      <c r="D55" s="402"/>
      <c r="E55" s="171">
        <v>0</v>
      </c>
      <c r="G55" s="233">
        <v>2</v>
      </c>
      <c r="H55" s="171">
        <v>6</v>
      </c>
      <c r="I55" s="171">
        <v>8</v>
      </c>
      <c r="J55" s="241">
        <v>17</v>
      </c>
      <c r="K55" s="214">
        <f>G55/J55*100</f>
        <v>11.76470588235294</v>
      </c>
      <c r="L55" s="214">
        <f>H55/J55*100</f>
        <v>35.294117647058826</v>
      </c>
      <c r="M55" s="214">
        <f>I55/J55*100</f>
        <v>47.058823529411761</v>
      </c>
      <c r="N55" s="235">
        <f t="shared" si="3"/>
        <v>94.117647058823536</v>
      </c>
      <c r="O55" s="213">
        <v>5</v>
      </c>
      <c r="P55" s="214">
        <v>18</v>
      </c>
      <c r="Q55" s="214">
        <v>43.5</v>
      </c>
      <c r="R55" s="215">
        <f t="shared" si="4"/>
        <v>66.5</v>
      </c>
      <c r="S55" s="171">
        <v>3</v>
      </c>
      <c r="T55" s="285"/>
      <c r="U55" s="283"/>
      <c r="V55" s="178" t="s">
        <v>111</v>
      </c>
      <c r="W55" s="171" t="s">
        <v>20</v>
      </c>
      <c r="X55" s="171" t="s">
        <v>12</v>
      </c>
      <c r="Y55" s="179">
        <v>26</v>
      </c>
      <c r="Z55" s="178" t="s">
        <v>107</v>
      </c>
      <c r="AA55" s="171" t="s">
        <v>869</v>
      </c>
      <c r="AB55" s="171" t="s">
        <v>18</v>
      </c>
      <c r="AC55" s="179">
        <v>18</v>
      </c>
      <c r="AD55" s="178" t="s">
        <v>112</v>
      </c>
      <c r="AE55" s="171" t="s">
        <v>113</v>
      </c>
      <c r="AF55" s="171" t="s">
        <v>12</v>
      </c>
      <c r="AG55" s="179">
        <v>17.5</v>
      </c>
      <c r="AH55" s="178" t="s">
        <v>109</v>
      </c>
      <c r="AI55" s="171" t="s">
        <v>89</v>
      </c>
      <c r="AJ55" s="171" t="s">
        <v>11</v>
      </c>
      <c r="AK55" s="179">
        <v>5</v>
      </c>
      <c r="AL55" s="178"/>
      <c r="AO55" s="179"/>
      <c r="AP55" s="178"/>
      <c r="AS55" s="179"/>
      <c r="AW55" s="179"/>
      <c r="BA55" s="180"/>
    </row>
    <row r="56" spans="1:53" s="171" customFormat="1" x14ac:dyDescent="0.15">
      <c r="A56" s="216">
        <v>1981</v>
      </c>
      <c r="B56" s="283"/>
      <c r="C56" s="402" t="s">
        <v>351</v>
      </c>
      <c r="D56" s="402"/>
      <c r="E56" s="171">
        <v>365</v>
      </c>
      <c r="G56" s="233">
        <v>2</v>
      </c>
      <c r="H56" s="171">
        <v>6</v>
      </c>
      <c r="I56" s="171">
        <v>8</v>
      </c>
      <c r="J56" s="241">
        <v>17</v>
      </c>
      <c r="K56" s="214">
        <f t="shared" ref="K56:K62" si="20">G56/J56*100</f>
        <v>11.76470588235294</v>
      </c>
      <c r="L56" s="214">
        <f t="shared" ref="L56:L62" si="21">H56/J56*100</f>
        <v>35.294117647058826</v>
      </c>
      <c r="M56" s="214">
        <f t="shared" ref="M56:M62" si="22">I56/J56*100</f>
        <v>47.058823529411761</v>
      </c>
      <c r="N56" s="235">
        <f t="shared" si="3"/>
        <v>94.117647058823536</v>
      </c>
      <c r="O56" s="213">
        <v>5</v>
      </c>
      <c r="P56" s="214">
        <v>18</v>
      </c>
      <c r="Q56" s="214">
        <v>43.5</v>
      </c>
      <c r="R56" s="215">
        <f t="shared" si="4"/>
        <v>66.5</v>
      </c>
      <c r="S56" s="171">
        <v>3</v>
      </c>
      <c r="T56" s="285"/>
      <c r="U56" s="283"/>
      <c r="V56" s="178" t="s">
        <v>111</v>
      </c>
      <c r="W56" s="171" t="s">
        <v>20</v>
      </c>
      <c r="X56" s="171" t="s">
        <v>12</v>
      </c>
      <c r="Y56" s="179">
        <v>26</v>
      </c>
      <c r="Z56" s="178" t="s">
        <v>107</v>
      </c>
      <c r="AA56" s="171" t="s">
        <v>869</v>
      </c>
      <c r="AB56" s="171" t="s">
        <v>18</v>
      </c>
      <c r="AC56" s="179">
        <v>18</v>
      </c>
      <c r="AD56" s="178" t="s">
        <v>112</v>
      </c>
      <c r="AE56" s="171" t="s">
        <v>113</v>
      </c>
      <c r="AF56" s="171" t="s">
        <v>12</v>
      </c>
      <c r="AG56" s="179">
        <v>17.5</v>
      </c>
      <c r="AH56" s="178" t="s">
        <v>109</v>
      </c>
      <c r="AI56" s="171" t="s">
        <v>89</v>
      </c>
      <c r="AJ56" s="171" t="s">
        <v>11</v>
      </c>
      <c r="AK56" s="179">
        <v>5</v>
      </c>
      <c r="AL56" s="178"/>
      <c r="AO56" s="179"/>
      <c r="AP56" s="178"/>
      <c r="AS56" s="179"/>
      <c r="AW56" s="179"/>
      <c r="BA56" s="180"/>
    </row>
    <row r="57" spans="1:53" s="171" customFormat="1" x14ac:dyDescent="0.15">
      <c r="A57" s="216">
        <v>1982</v>
      </c>
      <c r="B57" s="283"/>
      <c r="C57" s="402" t="s">
        <v>351</v>
      </c>
      <c r="D57" s="402"/>
      <c r="E57" s="171">
        <v>55</v>
      </c>
      <c r="G57" s="233">
        <v>2</v>
      </c>
      <c r="H57" s="171">
        <v>6</v>
      </c>
      <c r="I57" s="171">
        <v>8</v>
      </c>
      <c r="J57" s="241">
        <v>17</v>
      </c>
      <c r="K57" s="214">
        <f t="shared" si="20"/>
        <v>11.76470588235294</v>
      </c>
      <c r="L57" s="214">
        <f t="shared" si="21"/>
        <v>35.294117647058826</v>
      </c>
      <c r="M57" s="214">
        <f t="shared" si="22"/>
        <v>47.058823529411761</v>
      </c>
      <c r="N57" s="235">
        <f t="shared" si="3"/>
        <v>94.117647058823536</v>
      </c>
      <c r="O57" s="213">
        <v>5</v>
      </c>
      <c r="P57" s="214">
        <v>18</v>
      </c>
      <c r="Q57" s="214">
        <v>43.5</v>
      </c>
      <c r="R57" s="215">
        <f t="shared" si="4"/>
        <v>66.5</v>
      </c>
      <c r="S57" s="171">
        <v>3</v>
      </c>
      <c r="T57" s="285"/>
      <c r="U57" s="283"/>
      <c r="V57" s="178" t="s">
        <v>111</v>
      </c>
      <c r="W57" s="171" t="s">
        <v>20</v>
      </c>
      <c r="X57" s="171" t="s">
        <v>12</v>
      </c>
      <c r="Y57" s="179">
        <v>26</v>
      </c>
      <c r="Z57" s="178" t="s">
        <v>107</v>
      </c>
      <c r="AA57" s="171" t="s">
        <v>869</v>
      </c>
      <c r="AB57" s="171" t="s">
        <v>18</v>
      </c>
      <c r="AC57" s="179">
        <v>18</v>
      </c>
      <c r="AD57" s="178" t="s">
        <v>112</v>
      </c>
      <c r="AE57" s="171" t="s">
        <v>113</v>
      </c>
      <c r="AF57" s="171" t="s">
        <v>12</v>
      </c>
      <c r="AG57" s="179">
        <v>17.5</v>
      </c>
      <c r="AH57" s="178" t="s">
        <v>109</v>
      </c>
      <c r="AI57" s="171" t="s">
        <v>89</v>
      </c>
      <c r="AJ57" s="171" t="s">
        <v>11</v>
      </c>
      <c r="AK57" s="179">
        <v>5</v>
      </c>
      <c r="AL57" s="178"/>
      <c r="AO57" s="179"/>
      <c r="AP57" s="178"/>
      <c r="AS57" s="179"/>
      <c r="AW57" s="179"/>
      <c r="BA57" s="180"/>
    </row>
    <row r="58" spans="1:53" s="29" customFormat="1" x14ac:dyDescent="0.15">
      <c r="A58" s="52">
        <v>1982</v>
      </c>
      <c r="B58" s="295">
        <v>30007</v>
      </c>
      <c r="C58" s="394" t="s">
        <v>352</v>
      </c>
      <c r="D58" s="394"/>
      <c r="E58" s="29">
        <v>308</v>
      </c>
      <c r="F58" s="29">
        <v>2</v>
      </c>
      <c r="G58" s="66">
        <v>2</v>
      </c>
      <c r="H58" s="29">
        <v>6</v>
      </c>
      <c r="I58" s="29">
        <v>8</v>
      </c>
      <c r="J58" s="73">
        <v>17</v>
      </c>
      <c r="K58" s="47">
        <f>G58/J58*100</f>
        <v>11.76470588235294</v>
      </c>
      <c r="L58" s="47">
        <f>H58/J58*100</f>
        <v>35.294117647058826</v>
      </c>
      <c r="M58" s="47">
        <f>I58/J58*100</f>
        <v>47.058823529411761</v>
      </c>
      <c r="N58" s="68">
        <f t="shared" si="3"/>
        <v>94.117647058823536</v>
      </c>
      <c r="O58" s="46">
        <v>5</v>
      </c>
      <c r="P58" s="47">
        <v>18</v>
      </c>
      <c r="Q58" s="47">
        <v>43.5</v>
      </c>
      <c r="R58" s="48">
        <f t="shared" si="4"/>
        <v>66.5</v>
      </c>
      <c r="S58" s="29">
        <v>3</v>
      </c>
      <c r="T58" s="286"/>
      <c r="U58" s="295">
        <v>30007</v>
      </c>
      <c r="V58" s="38" t="s">
        <v>111</v>
      </c>
      <c r="W58" s="29" t="s">
        <v>20</v>
      </c>
      <c r="X58" s="29" t="s">
        <v>12</v>
      </c>
      <c r="Y58" s="39">
        <v>26</v>
      </c>
      <c r="Z58" s="38" t="s">
        <v>107</v>
      </c>
      <c r="AA58" s="29" t="s">
        <v>869</v>
      </c>
      <c r="AB58" s="29" t="s">
        <v>18</v>
      </c>
      <c r="AC58" s="39">
        <v>18</v>
      </c>
      <c r="AD58" s="38" t="s">
        <v>112</v>
      </c>
      <c r="AE58" s="29" t="s">
        <v>113</v>
      </c>
      <c r="AF58" s="29" t="s">
        <v>12</v>
      </c>
      <c r="AG58" s="39">
        <v>17.5</v>
      </c>
      <c r="AH58" s="38" t="s">
        <v>109</v>
      </c>
      <c r="AI58" s="29" t="s">
        <v>89</v>
      </c>
      <c r="AJ58" s="29" t="s">
        <v>11</v>
      </c>
      <c r="AK58" s="39">
        <v>5</v>
      </c>
      <c r="AL58" s="38"/>
      <c r="AO58" s="39"/>
      <c r="AP58" s="38"/>
      <c r="AS58" s="39"/>
      <c r="AW58" s="39"/>
      <c r="BA58" s="40"/>
    </row>
    <row r="59" spans="1:53" s="171" customFormat="1" x14ac:dyDescent="0.15">
      <c r="A59" s="216">
        <v>1982</v>
      </c>
      <c r="B59" s="283">
        <v>30315</v>
      </c>
      <c r="C59" s="402" t="s">
        <v>353</v>
      </c>
      <c r="D59" s="402"/>
      <c r="E59" s="171">
        <v>2</v>
      </c>
      <c r="F59" s="171">
        <v>4</v>
      </c>
      <c r="G59" s="233">
        <v>2</v>
      </c>
      <c r="H59" s="171">
        <v>7</v>
      </c>
      <c r="I59" s="171">
        <v>8</v>
      </c>
      <c r="J59" s="241">
        <v>17</v>
      </c>
      <c r="K59" s="214">
        <f t="shared" si="20"/>
        <v>11.76470588235294</v>
      </c>
      <c r="L59" s="214">
        <f t="shared" si="21"/>
        <v>41.17647058823529</v>
      </c>
      <c r="M59" s="214">
        <f t="shared" si="22"/>
        <v>47.058823529411761</v>
      </c>
      <c r="N59" s="235">
        <f t="shared" si="3"/>
        <v>100</v>
      </c>
      <c r="O59" s="213">
        <v>5</v>
      </c>
      <c r="P59" s="214">
        <v>18</v>
      </c>
      <c r="Q59" s="214">
        <v>26</v>
      </c>
      <c r="R59" s="215">
        <f t="shared" si="4"/>
        <v>49</v>
      </c>
      <c r="S59" s="171">
        <v>5</v>
      </c>
      <c r="T59" s="285"/>
      <c r="U59" s="283">
        <v>30315</v>
      </c>
      <c r="V59" s="178" t="s">
        <v>111</v>
      </c>
      <c r="W59" s="171" t="s">
        <v>20</v>
      </c>
      <c r="X59" s="171" t="s">
        <v>12</v>
      </c>
      <c r="Y59" s="179">
        <v>26</v>
      </c>
      <c r="Z59" s="178" t="s">
        <v>107</v>
      </c>
      <c r="AA59" s="171" t="s">
        <v>869</v>
      </c>
      <c r="AB59" s="171" t="s">
        <v>18</v>
      </c>
      <c r="AC59" s="179">
        <v>18</v>
      </c>
      <c r="AD59" s="178" t="s">
        <v>109</v>
      </c>
      <c r="AE59" s="171" t="s">
        <v>89</v>
      </c>
      <c r="AF59" s="171" t="s">
        <v>11</v>
      </c>
      <c r="AG59" s="179">
        <v>5</v>
      </c>
      <c r="AL59" s="178"/>
      <c r="AO59" s="179"/>
      <c r="AP59" s="178"/>
      <c r="AS59" s="179"/>
      <c r="AW59" s="179"/>
      <c r="BA59" s="180"/>
    </row>
    <row r="60" spans="1:53" s="171" customFormat="1" x14ac:dyDescent="0.15">
      <c r="A60" s="216">
        <v>1983</v>
      </c>
      <c r="B60" s="283"/>
      <c r="C60" s="402" t="s">
        <v>353</v>
      </c>
      <c r="D60" s="402"/>
      <c r="E60" s="171">
        <v>126</v>
      </c>
      <c r="G60" s="233">
        <v>2</v>
      </c>
      <c r="H60" s="171">
        <v>7</v>
      </c>
      <c r="I60" s="171">
        <v>8</v>
      </c>
      <c r="J60" s="241">
        <v>17</v>
      </c>
      <c r="K60" s="214">
        <f t="shared" si="20"/>
        <v>11.76470588235294</v>
      </c>
      <c r="L60" s="214">
        <f t="shared" si="21"/>
        <v>41.17647058823529</v>
      </c>
      <c r="M60" s="214">
        <f t="shared" si="22"/>
        <v>47.058823529411761</v>
      </c>
      <c r="N60" s="235">
        <f t="shared" si="3"/>
        <v>100</v>
      </c>
      <c r="O60" s="213">
        <v>5</v>
      </c>
      <c r="P60" s="214">
        <v>18</v>
      </c>
      <c r="Q60" s="214">
        <v>26</v>
      </c>
      <c r="R60" s="215">
        <f t="shared" si="4"/>
        <v>49</v>
      </c>
      <c r="S60" s="171">
        <v>5</v>
      </c>
      <c r="T60" s="285"/>
      <c r="U60" s="283"/>
      <c r="V60" s="178" t="s">
        <v>111</v>
      </c>
      <c r="W60" s="171" t="s">
        <v>20</v>
      </c>
      <c r="X60" s="171" t="s">
        <v>12</v>
      </c>
      <c r="Y60" s="179">
        <v>26</v>
      </c>
      <c r="Z60" s="178" t="s">
        <v>107</v>
      </c>
      <c r="AA60" s="171" t="s">
        <v>869</v>
      </c>
      <c r="AB60" s="171" t="s">
        <v>18</v>
      </c>
      <c r="AC60" s="179">
        <v>18</v>
      </c>
      <c r="AD60" s="178" t="s">
        <v>109</v>
      </c>
      <c r="AE60" s="171" t="s">
        <v>89</v>
      </c>
      <c r="AF60" s="171" t="s">
        <v>11</v>
      </c>
      <c r="AG60" s="179">
        <v>5</v>
      </c>
      <c r="AL60" s="178"/>
      <c r="AO60" s="179"/>
      <c r="AP60" s="178"/>
      <c r="AS60" s="179"/>
      <c r="AW60" s="179"/>
      <c r="BA60" s="180"/>
    </row>
    <row r="61" spans="1:53" s="29" customFormat="1" x14ac:dyDescent="0.15">
      <c r="A61" s="52">
        <v>1983</v>
      </c>
      <c r="B61" s="295">
        <v>30443</v>
      </c>
      <c r="C61" s="394" t="s">
        <v>354</v>
      </c>
      <c r="D61" s="394"/>
      <c r="E61" s="29">
        <v>239</v>
      </c>
      <c r="F61" s="29">
        <v>1</v>
      </c>
      <c r="G61" s="66">
        <v>2</v>
      </c>
      <c r="H61" s="29">
        <v>7</v>
      </c>
      <c r="I61" s="29">
        <v>8</v>
      </c>
      <c r="J61" s="73">
        <v>17</v>
      </c>
      <c r="K61" s="47">
        <f t="shared" si="20"/>
        <v>11.76470588235294</v>
      </c>
      <c r="L61" s="47">
        <f t="shared" si="21"/>
        <v>41.17647058823529</v>
      </c>
      <c r="M61" s="47">
        <f t="shared" si="22"/>
        <v>47.058823529411761</v>
      </c>
      <c r="N61" s="68">
        <f t="shared" si="3"/>
        <v>100</v>
      </c>
      <c r="O61" s="46">
        <v>5.5</v>
      </c>
      <c r="P61" s="47">
        <v>27.5</v>
      </c>
      <c r="Q61" s="47">
        <v>28.5</v>
      </c>
      <c r="R61" s="48">
        <f t="shared" si="4"/>
        <v>61.5</v>
      </c>
      <c r="S61" s="29">
        <v>3</v>
      </c>
      <c r="T61" s="286">
        <v>30395</v>
      </c>
      <c r="U61" s="295">
        <v>30443</v>
      </c>
      <c r="V61" s="38" t="s">
        <v>111</v>
      </c>
      <c r="W61" s="29" t="s">
        <v>20</v>
      </c>
      <c r="X61" s="29" t="s">
        <v>12</v>
      </c>
      <c r="Y61" s="39">
        <v>28.5</v>
      </c>
      <c r="Z61" s="38" t="s">
        <v>107</v>
      </c>
      <c r="AA61" s="29" t="s">
        <v>869</v>
      </c>
      <c r="AB61" s="29" t="s">
        <v>18</v>
      </c>
      <c r="AC61" s="39">
        <v>19</v>
      </c>
      <c r="AD61" s="38" t="s">
        <v>116</v>
      </c>
      <c r="AE61" s="29" t="s">
        <v>117</v>
      </c>
      <c r="AF61" s="29" t="s">
        <v>18</v>
      </c>
      <c r="AG61" s="39">
        <v>8.5</v>
      </c>
      <c r="AH61" s="38" t="s">
        <v>109</v>
      </c>
      <c r="AI61" s="29" t="s">
        <v>89</v>
      </c>
      <c r="AJ61" s="29" t="s">
        <v>11</v>
      </c>
      <c r="AK61" s="39">
        <v>5.5</v>
      </c>
      <c r="AL61" s="38"/>
      <c r="AO61" s="39"/>
      <c r="AP61" s="38"/>
      <c r="AS61" s="39"/>
      <c r="AW61" s="39"/>
      <c r="BA61" s="40"/>
    </row>
    <row r="62" spans="1:53" s="29" customFormat="1" x14ac:dyDescent="0.15">
      <c r="A62" s="52">
        <v>1984</v>
      </c>
      <c r="B62" s="295"/>
      <c r="C62" s="394" t="s">
        <v>354</v>
      </c>
      <c r="D62" s="394"/>
      <c r="E62" s="29">
        <v>0</v>
      </c>
      <c r="G62" s="66">
        <v>2</v>
      </c>
      <c r="H62" s="29">
        <v>7</v>
      </c>
      <c r="I62" s="29">
        <v>8</v>
      </c>
      <c r="J62" s="73">
        <v>17</v>
      </c>
      <c r="K62" s="47">
        <f t="shared" si="20"/>
        <v>11.76470588235294</v>
      </c>
      <c r="L62" s="47">
        <f t="shared" si="21"/>
        <v>41.17647058823529</v>
      </c>
      <c r="M62" s="47">
        <f t="shared" si="22"/>
        <v>47.058823529411761</v>
      </c>
      <c r="N62" s="68">
        <f t="shared" si="3"/>
        <v>100</v>
      </c>
      <c r="O62" s="46">
        <v>5.5</v>
      </c>
      <c r="P62" s="47">
        <v>27.5</v>
      </c>
      <c r="Q62" s="47">
        <v>28.5</v>
      </c>
      <c r="R62" s="48">
        <f t="shared" si="4"/>
        <v>61.5</v>
      </c>
      <c r="S62" s="29">
        <v>3</v>
      </c>
      <c r="T62" s="286"/>
      <c r="U62" s="295"/>
      <c r="V62" s="38" t="s">
        <v>111</v>
      </c>
      <c r="W62" s="29" t="s">
        <v>20</v>
      </c>
      <c r="X62" s="29" t="s">
        <v>12</v>
      </c>
      <c r="Y62" s="39">
        <v>28.5</v>
      </c>
      <c r="Z62" s="38" t="s">
        <v>107</v>
      </c>
      <c r="AA62" s="29" t="s">
        <v>869</v>
      </c>
      <c r="AB62" s="29" t="s">
        <v>18</v>
      </c>
      <c r="AC62" s="39">
        <v>19</v>
      </c>
      <c r="AD62" s="38" t="s">
        <v>116</v>
      </c>
      <c r="AE62" s="29" t="s">
        <v>117</v>
      </c>
      <c r="AF62" s="29" t="s">
        <v>18</v>
      </c>
      <c r="AG62" s="39">
        <v>8.5</v>
      </c>
      <c r="AH62" s="38" t="s">
        <v>109</v>
      </c>
      <c r="AI62" s="29" t="s">
        <v>89</v>
      </c>
      <c r="AJ62" s="29" t="s">
        <v>11</v>
      </c>
      <c r="AK62" s="39">
        <v>5.5</v>
      </c>
      <c r="AL62" s="38"/>
      <c r="AO62" s="39"/>
      <c r="AP62" s="38"/>
      <c r="AS62" s="39"/>
      <c r="AW62" s="39"/>
      <c r="BA62" s="40"/>
    </row>
    <row r="63" spans="1:53" s="29" customFormat="1" x14ac:dyDescent="0.15">
      <c r="A63" s="52">
        <v>1984</v>
      </c>
      <c r="B63" s="295"/>
      <c r="C63" s="394" t="s">
        <v>354</v>
      </c>
      <c r="D63" s="394"/>
      <c r="E63" s="29">
        <v>366</v>
      </c>
      <c r="G63" s="66">
        <v>2</v>
      </c>
      <c r="H63" s="29">
        <v>7</v>
      </c>
      <c r="I63" s="29">
        <v>8</v>
      </c>
      <c r="J63" s="73">
        <v>17</v>
      </c>
      <c r="K63" s="47">
        <f>G63/J63*100</f>
        <v>11.76470588235294</v>
      </c>
      <c r="L63" s="47">
        <f>H63/J63*100</f>
        <v>41.17647058823529</v>
      </c>
      <c r="M63" s="47">
        <f>I63/J63*100</f>
        <v>47.058823529411761</v>
      </c>
      <c r="N63" s="68">
        <f t="shared" si="3"/>
        <v>100</v>
      </c>
      <c r="O63" s="46">
        <v>5.5</v>
      </c>
      <c r="P63" s="47">
        <v>27.5</v>
      </c>
      <c r="Q63" s="47">
        <v>28.5</v>
      </c>
      <c r="R63" s="48">
        <f t="shared" si="4"/>
        <v>61.5</v>
      </c>
      <c r="S63" s="29">
        <v>3</v>
      </c>
      <c r="T63" s="286"/>
      <c r="U63" s="295"/>
      <c r="V63" s="38" t="s">
        <v>111</v>
      </c>
      <c r="W63" s="29" t="s">
        <v>20</v>
      </c>
      <c r="X63" s="29" t="s">
        <v>12</v>
      </c>
      <c r="Y63" s="39">
        <v>28.5</v>
      </c>
      <c r="Z63" s="38" t="s">
        <v>107</v>
      </c>
      <c r="AA63" s="29" t="s">
        <v>869</v>
      </c>
      <c r="AB63" s="29" t="s">
        <v>18</v>
      </c>
      <c r="AC63" s="39">
        <v>19</v>
      </c>
      <c r="AD63" s="38" t="s">
        <v>116</v>
      </c>
      <c r="AE63" s="29" t="s">
        <v>117</v>
      </c>
      <c r="AF63" s="29" t="s">
        <v>18</v>
      </c>
      <c r="AG63" s="39">
        <v>8.5</v>
      </c>
      <c r="AH63" s="38" t="s">
        <v>109</v>
      </c>
      <c r="AI63" s="29" t="s">
        <v>89</v>
      </c>
      <c r="AJ63" s="29" t="s">
        <v>11</v>
      </c>
      <c r="AK63" s="39">
        <v>5.5</v>
      </c>
      <c r="AL63" s="38"/>
      <c r="AO63" s="39"/>
      <c r="AP63" s="38"/>
      <c r="AS63" s="39"/>
      <c r="AW63" s="39"/>
      <c r="BA63" s="40"/>
    </row>
    <row r="64" spans="1:53" s="29" customFormat="1" x14ac:dyDescent="0.15">
      <c r="A64" s="52">
        <v>1985</v>
      </c>
      <c r="B64" s="295"/>
      <c r="C64" s="394" t="s">
        <v>354</v>
      </c>
      <c r="D64" s="394"/>
      <c r="E64" s="29">
        <v>0</v>
      </c>
      <c r="G64" s="66">
        <v>2</v>
      </c>
      <c r="H64" s="29">
        <v>7</v>
      </c>
      <c r="I64" s="29">
        <v>8</v>
      </c>
      <c r="J64" s="73">
        <v>17</v>
      </c>
      <c r="K64" s="47">
        <f t="shared" ref="K64:K69" si="23">G64/J64*100</f>
        <v>11.76470588235294</v>
      </c>
      <c r="L64" s="47">
        <f t="shared" ref="L64:L69" si="24">H64/J64*100</f>
        <v>41.17647058823529</v>
      </c>
      <c r="M64" s="47">
        <f t="shared" ref="M64:M69" si="25">I64/J64*100</f>
        <v>47.058823529411761</v>
      </c>
      <c r="N64" s="68">
        <f t="shared" si="3"/>
        <v>100</v>
      </c>
      <c r="O64" s="46">
        <v>5.5</v>
      </c>
      <c r="P64" s="47">
        <v>27.5</v>
      </c>
      <c r="Q64" s="47">
        <v>28.5</v>
      </c>
      <c r="R64" s="48">
        <f t="shared" si="4"/>
        <v>61.5</v>
      </c>
      <c r="S64" s="29">
        <v>3</v>
      </c>
      <c r="T64" s="286"/>
      <c r="U64" s="295"/>
      <c r="V64" s="38" t="s">
        <v>111</v>
      </c>
      <c r="W64" s="29" t="s">
        <v>20</v>
      </c>
      <c r="X64" s="29" t="s">
        <v>12</v>
      </c>
      <c r="Y64" s="39">
        <v>28.5</v>
      </c>
      <c r="Z64" s="38" t="s">
        <v>107</v>
      </c>
      <c r="AA64" s="29" t="s">
        <v>869</v>
      </c>
      <c r="AB64" s="29" t="s">
        <v>18</v>
      </c>
      <c r="AC64" s="39">
        <v>19</v>
      </c>
      <c r="AD64" s="38" t="s">
        <v>116</v>
      </c>
      <c r="AE64" s="29" t="s">
        <v>117</v>
      </c>
      <c r="AF64" s="29" t="s">
        <v>18</v>
      </c>
      <c r="AG64" s="39">
        <v>8.5</v>
      </c>
      <c r="AH64" s="38" t="s">
        <v>109</v>
      </c>
      <c r="AI64" s="29" t="s">
        <v>89</v>
      </c>
      <c r="AJ64" s="29" t="s">
        <v>11</v>
      </c>
      <c r="AK64" s="39">
        <v>5.5</v>
      </c>
      <c r="AL64" s="38"/>
      <c r="AO64" s="39"/>
      <c r="AP64" s="38"/>
      <c r="AS64" s="39"/>
      <c r="AW64" s="39"/>
      <c r="BA64" s="40"/>
    </row>
    <row r="65" spans="1:53" s="29" customFormat="1" x14ac:dyDescent="0.15">
      <c r="A65" s="52">
        <v>1985</v>
      </c>
      <c r="B65" s="295"/>
      <c r="C65" s="394" t="s">
        <v>354</v>
      </c>
      <c r="D65" s="394"/>
      <c r="E65" s="29">
        <v>365</v>
      </c>
      <c r="G65" s="66">
        <v>2</v>
      </c>
      <c r="H65" s="29">
        <v>7</v>
      </c>
      <c r="I65" s="29">
        <v>8</v>
      </c>
      <c r="J65" s="73">
        <v>17</v>
      </c>
      <c r="K65" s="47">
        <f t="shared" si="23"/>
        <v>11.76470588235294</v>
      </c>
      <c r="L65" s="47">
        <f t="shared" si="24"/>
        <v>41.17647058823529</v>
      </c>
      <c r="M65" s="47">
        <f t="shared" si="25"/>
        <v>47.058823529411761</v>
      </c>
      <c r="N65" s="68">
        <f t="shared" si="3"/>
        <v>100</v>
      </c>
      <c r="O65" s="46">
        <v>5.5</v>
      </c>
      <c r="P65" s="47">
        <v>27.5</v>
      </c>
      <c r="Q65" s="47">
        <v>28.5</v>
      </c>
      <c r="R65" s="48">
        <f t="shared" si="4"/>
        <v>61.5</v>
      </c>
      <c r="S65" s="29">
        <v>3</v>
      </c>
      <c r="T65" s="286"/>
      <c r="U65" s="295"/>
      <c r="V65" s="38" t="s">
        <v>111</v>
      </c>
      <c r="W65" s="29" t="s">
        <v>20</v>
      </c>
      <c r="X65" s="29" t="s">
        <v>12</v>
      </c>
      <c r="Y65" s="39">
        <v>28.5</v>
      </c>
      <c r="Z65" s="38" t="s">
        <v>107</v>
      </c>
      <c r="AA65" s="29" t="s">
        <v>869</v>
      </c>
      <c r="AB65" s="29" t="s">
        <v>18</v>
      </c>
      <c r="AC65" s="39">
        <v>19</v>
      </c>
      <c r="AD65" s="38" t="s">
        <v>116</v>
      </c>
      <c r="AE65" s="29" t="s">
        <v>117</v>
      </c>
      <c r="AF65" s="29" t="s">
        <v>18</v>
      </c>
      <c r="AG65" s="39">
        <v>8.5</v>
      </c>
      <c r="AH65" s="38" t="s">
        <v>109</v>
      </c>
      <c r="AI65" s="29" t="s">
        <v>89</v>
      </c>
      <c r="AJ65" s="29" t="s">
        <v>11</v>
      </c>
      <c r="AK65" s="39">
        <v>5.5</v>
      </c>
      <c r="AL65" s="38"/>
      <c r="AO65" s="39"/>
      <c r="AP65" s="38"/>
      <c r="AS65" s="39"/>
      <c r="AW65" s="39"/>
      <c r="BA65" s="40"/>
    </row>
    <row r="66" spans="1:53" s="29" customFormat="1" x14ac:dyDescent="0.15">
      <c r="A66" s="52">
        <v>1986</v>
      </c>
      <c r="B66" s="295"/>
      <c r="C66" s="394" t="s">
        <v>354</v>
      </c>
      <c r="D66" s="394"/>
      <c r="E66" s="29">
        <v>0</v>
      </c>
      <c r="G66" s="66">
        <v>2</v>
      </c>
      <c r="H66" s="29">
        <v>7</v>
      </c>
      <c r="I66" s="29">
        <v>8</v>
      </c>
      <c r="J66" s="73">
        <v>17</v>
      </c>
      <c r="K66" s="47">
        <f t="shared" si="23"/>
        <v>11.76470588235294</v>
      </c>
      <c r="L66" s="47">
        <f t="shared" si="24"/>
        <v>41.17647058823529</v>
      </c>
      <c r="M66" s="47">
        <f t="shared" si="25"/>
        <v>47.058823529411761</v>
      </c>
      <c r="N66" s="68">
        <f t="shared" si="3"/>
        <v>100</v>
      </c>
      <c r="O66" s="46">
        <v>5.5</v>
      </c>
      <c r="P66" s="47">
        <v>27.5</v>
      </c>
      <c r="Q66" s="47">
        <v>28.5</v>
      </c>
      <c r="R66" s="48">
        <f t="shared" si="4"/>
        <v>61.5</v>
      </c>
      <c r="S66" s="29">
        <v>3</v>
      </c>
      <c r="T66" s="286"/>
      <c r="U66" s="295"/>
      <c r="V66" s="38" t="s">
        <v>111</v>
      </c>
      <c r="W66" s="29" t="s">
        <v>20</v>
      </c>
      <c r="X66" s="29" t="s">
        <v>12</v>
      </c>
      <c r="Y66" s="39">
        <v>28.5</v>
      </c>
      <c r="Z66" s="38" t="s">
        <v>107</v>
      </c>
      <c r="AA66" s="29" t="s">
        <v>869</v>
      </c>
      <c r="AB66" s="29" t="s">
        <v>18</v>
      </c>
      <c r="AC66" s="39">
        <v>19</v>
      </c>
      <c r="AD66" s="38" t="s">
        <v>116</v>
      </c>
      <c r="AE66" s="29" t="s">
        <v>117</v>
      </c>
      <c r="AF66" s="29" t="s">
        <v>18</v>
      </c>
      <c r="AG66" s="39">
        <v>8.5</v>
      </c>
      <c r="AH66" s="38" t="s">
        <v>109</v>
      </c>
      <c r="AI66" s="29" t="s">
        <v>89</v>
      </c>
      <c r="AJ66" s="29" t="s">
        <v>11</v>
      </c>
      <c r="AK66" s="39">
        <v>5.5</v>
      </c>
      <c r="AL66" s="38"/>
      <c r="AO66" s="39"/>
      <c r="AP66" s="38"/>
      <c r="AS66" s="39"/>
      <c r="AW66" s="39"/>
      <c r="BA66" s="40"/>
    </row>
    <row r="67" spans="1:53" s="29" customFormat="1" x14ac:dyDescent="0.15">
      <c r="A67" s="52">
        <v>1986</v>
      </c>
      <c r="B67" s="295"/>
      <c r="C67" s="394" t="s">
        <v>354</v>
      </c>
      <c r="D67" s="394"/>
      <c r="E67" s="29">
        <v>365</v>
      </c>
      <c r="G67" s="66">
        <v>2</v>
      </c>
      <c r="H67" s="29">
        <v>7</v>
      </c>
      <c r="I67" s="29">
        <v>8</v>
      </c>
      <c r="J67" s="73">
        <v>17</v>
      </c>
      <c r="K67" s="47">
        <f t="shared" si="23"/>
        <v>11.76470588235294</v>
      </c>
      <c r="L67" s="47">
        <f t="shared" si="24"/>
        <v>41.17647058823529</v>
      </c>
      <c r="M67" s="47">
        <f t="shared" si="25"/>
        <v>47.058823529411761</v>
      </c>
      <c r="N67" s="68">
        <f t="shared" si="3"/>
        <v>100</v>
      </c>
      <c r="O67" s="46">
        <v>5.5</v>
      </c>
      <c r="P67" s="47">
        <v>27.5</v>
      </c>
      <c r="Q67" s="47">
        <v>28.5</v>
      </c>
      <c r="R67" s="48">
        <f t="shared" si="4"/>
        <v>61.5</v>
      </c>
      <c r="S67" s="29">
        <v>3</v>
      </c>
      <c r="T67" s="286"/>
      <c r="U67" s="295"/>
      <c r="V67" s="38" t="s">
        <v>111</v>
      </c>
      <c r="W67" s="29" t="s">
        <v>20</v>
      </c>
      <c r="X67" s="29" t="s">
        <v>12</v>
      </c>
      <c r="Y67" s="39">
        <v>28.5</v>
      </c>
      <c r="Z67" s="38" t="s">
        <v>107</v>
      </c>
      <c r="AA67" s="29" t="s">
        <v>869</v>
      </c>
      <c r="AB67" s="29" t="s">
        <v>18</v>
      </c>
      <c r="AC67" s="39">
        <v>19</v>
      </c>
      <c r="AD67" s="38" t="s">
        <v>116</v>
      </c>
      <c r="AE67" s="29" t="s">
        <v>117</v>
      </c>
      <c r="AF67" s="29" t="s">
        <v>18</v>
      </c>
      <c r="AG67" s="39">
        <v>8.5</v>
      </c>
      <c r="AH67" s="38" t="s">
        <v>109</v>
      </c>
      <c r="AI67" s="29" t="s">
        <v>89</v>
      </c>
      <c r="AJ67" s="29" t="s">
        <v>11</v>
      </c>
      <c r="AK67" s="39">
        <v>5.5</v>
      </c>
      <c r="AL67" s="38"/>
      <c r="AO67" s="39"/>
      <c r="AP67" s="38"/>
      <c r="AS67" s="39"/>
      <c r="AW67" s="39"/>
      <c r="BA67" s="40"/>
    </row>
    <row r="68" spans="1:53" s="29" customFormat="1" x14ac:dyDescent="0.15">
      <c r="A68" s="52">
        <v>1987</v>
      </c>
      <c r="B68" s="295"/>
      <c r="C68" s="394" t="s">
        <v>354</v>
      </c>
      <c r="D68" s="394"/>
      <c r="E68" s="29">
        <v>119</v>
      </c>
      <c r="G68" s="66">
        <v>2</v>
      </c>
      <c r="H68" s="29">
        <v>7</v>
      </c>
      <c r="I68" s="29">
        <v>8</v>
      </c>
      <c r="J68" s="73">
        <v>17</v>
      </c>
      <c r="K68" s="47">
        <f t="shared" si="23"/>
        <v>11.76470588235294</v>
      </c>
      <c r="L68" s="47">
        <f t="shared" si="24"/>
        <v>41.17647058823529</v>
      </c>
      <c r="M68" s="47">
        <f t="shared" si="25"/>
        <v>47.058823529411761</v>
      </c>
      <c r="N68" s="68">
        <f t="shared" si="3"/>
        <v>100</v>
      </c>
      <c r="O68" s="46">
        <v>5.5</v>
      </c>
      <c r="P68" s="47">
        <v>27.5</v>
      </c>
      <c r="Q68" s="47">
        <v>28.5</v>
      </c>
      <c r="R68" s="48">
        <f t="shared" si="4"/>
        <v>61.5</v>
      </c>
      <c r="S68" s="29">
        <v>3</v>
      </c>
      <c r="T68" s="286"/>
      <c r="U68" s="295"/>
      <c r="V68" s="38" t="s">
        <v>111</v>
      </c>
      <c r="W68" s="29" t="s">
        <v>20</v>
      </c>
      <c r="X68" s="29" t="s">
        <v>12</v>
      </c>
      <c r="Y68" s="39">
        <v>28.5</v>
      </c>
      <c r="Z68" s="38" t="s">
        <v>107</v>
      </c>
      <c r="AA68" s="29" t="s">
        <v>869</v>
      </c>
      <c r="AB68" s="29" t="s">
        <v>18</v>
      </c>
      <c r="AC68" s="39">
        <v>19</v>
      </c>
      <c r="AD68" s="38" t="s">
        <v>116</v>
      </c>
      <c r="AE68" s="29" t="s">
        <v>117</v>
      </c>
      <c r="AF68" s="29" t="s">
        <v>18</v>
      </c>
      <c r="AG68" s="39">
        <v>8.5</v>
      </c>
      <c r="AH68" s="38" t="s">
        <v>109</v>
      </c>
      <c r="AI68" s="29" t="s">
        <v>89</v>
      </c>
      <c r="AJ68" s="29" t="s">
        <v>11</v>
      </c>
      <c r="AK68" s="39">
        <v>5.5</v>
      </c>
      <c r="AL68" s="38"/>
      <c r="AO68" s="39"/>
      <c r="AP68" s="38"/>
      <c r="AS68" s="39"/>
      <c r="AW68" s="39"/>
      <c r="BA68" s="40"/>
    </row>
    <row r="69" spans="1:53" s="171" customFormat="1" x14ac:dyDescent="0.15">
      <c r="A69" s="216">
        <v>1987</v>
      </c>
      <c r="B69" s="283">
        <v>31897</v>
      </c>
      <c r="C69" s="402" t="s">
        <v>355</v>
      </c>
      <c r="D69" s="402"/>
      <c r="E69" s="171">
        <v>246</v>
      </c>
      <c r="F69" s="171">
        <v>1</v>
      </c>
      <c r="G69" s="233">
        <v>9</v>
      </c>
      <c r="H69" s="171">
        <v>1</v>
      </c>
      <c r="I69" s="171">
        <v>8</v>
      </c>
      <c r="J69" s="241">
        <v>18</v>
      </c>
      <c r="K69" s="214">
        <f t="shared" si="23"/>
        <v>50</v>
      </c>
      <c r="L69" s="214">
        <f t="shared" si="24"/>
        <v>5.5555555555555554</v>
      </c>
      <c r="M69" s="214">
        <f t="shared" si="25"/>
        <v>44.444444444444443</v>
      </c>
      <c r="N69" s="235">
        <f t="shared" si="3"/>
        <v>100</v>
      </c>
      <c r="O69" s="213">
        <v>33</v>
      </c>
      <c r="P69" s="214">
        <v>4.5</v>
      </c>
      <c r="Q69" s="214">
        <v>28</v>
      </c>
      <c r="R69" s="215">
        <f t="shared" si="4"/>
        <v>65.5</v>
      </c>
      <c r="S69" s="171">
        <v>3</v>
      </c>
      <c r="T69" s="285">
        <v>31851</v>
      </c>
      <c r="U69" s="283">
        <v>31897</v>
      </c>
      <c r="V69" s="178" t="s">
        <v>108</v>
      </c>
      <c r="W69" s="171" t="s">
        <v>74</v>
      </c>
      <c r="X69" s="171" t="s">
        <v>11</v>
      </c>
      <c r="Y69" s="179">
        <v>26.5</v>
      </c>
      <c r="Z69" s="178" t="s">
        <v>111</v>
      </c>
      <c r="AA69" s="171" t="s">
        <v>20</v>
      </c>
      <c r="AB69" s="171" t="s">
        <v>12</v>
      </c>
      <c r="AC69" s="179">
        <v>28</v>
      </c>
      <c r="AD69" s="178" t="s">
        <v>109</v>
      </c>
      <c r="AE69" s="171" t="s">
        <v>89</v>
      </c>
      <c r="AF69" s="171" t="s">
        <v>11</v>
      </c>
      <c r="AG69" s="179">
        <v>6.5</v>
      </c>
      <c r="AH69" s="178" t="s">
        <v>116</v>
      </c>
      <c r="AI69" s="171" t="s">
        <v>117</v>
      </c>
      <c r="AJ69" s="171" t="s">
        <v>18</v>
      </c>
      <c r="AK69" s="179">
        <v>4.5</v>
      </c>
      <c r="AL69" s="178"/>
      <c r="AO69" s="179"/>
      <c r="AP69" s="178"/>
      <c r="AS69" s="179"/>
      <c r="AW69" s="179"/>
      <c r="BA69" s="180"/>
    </row>
    <row r="70" spans="1:53" s="171" customFormat="1" x14ac:dyDescent="0.15">
      <c r="A70" s="216">
        <v>1988</v>
      </c>
      <c r="B70" s="283"/>
      <c r="C70" s="402" t="s">
        <v>355</v>
      </c>
      <c r="D70" s="402"/>
      <c r="E70" s="171">
        <v>0</v>
      </c>
      <c r="G70" s="233">
        <v>9</v>
      </c>
      <c r="H70" s="171">
        <v>1</v>
      </c>
      <c r="I70" s="171">
        <v>8</v>
      </c>
      <c r="J70" s="241">
        <v>18</v>
      </c>
      <c r="K70" s="214">
        <f>G70/J70*100</f>
        <v>50</v>
      </c>
      <c r="L70" s="214">
        <f>H70/J70*100</f>
        <v>5.5555555555555554</v>
      </c>
      <c r="M70" s="214">
        <f>I70/J70*100</f>
        <v>44.444444444444443</v>
      </c>
      <c r="N70" s="235">
        <f t="shared" si="3"/>
        <v>100</v>
      </c>
      <c r="O70" s="213">
        <v>33</v>
      </c>
      <c r="P70" s="214">
        <v>4.5</v>
      </c>
      <c r="Q70" s="214">
        <v>28</v>
      </c>
      <c r="R70" s="215">
        <f t="shared" si="4"/>
        <v>65.5</v>
      </c>
      <c r="S70" s="171">
        <v>3</v>
      </c>
      <c r="T70" s="285"/>
      <c r="U70" s="283"/>
      <c r="V70" s="178" t="s">
        <v>108</v>
      </c>
      <c r="W70" s="171" t="s">
        <v>74</v>
      </c>
      <c r="X70" s="171" t="s">
        <v>11</v>
      </c>
      <c r="Y70" s="179">
        <v>26.5</v>
      </c>
      <c r="Z70" s="178" t="s">
        <v>111</v>
      </c>
      <c r="AA70" s="171" t="s">
        <v>20</v>
      </c>
      <c r="AB70" s="171" t="s">
        <v>12</v>
      </c>
      <c r="AC70" s="179">
        <v>28</v>
      </c>
      <c r="AD70" s="178" t="s">
        <v>109</v>
      </c>
      <c r="AE70" s="171" t="s">
        <v>89</v>
      </c>
      <c r="AF70" s="171" t="s">
        <v>11</v>
      </c>
      <c r="AG70" s="179">
        <v>6.5</v>
      </c>
      <c r="AH70" s="178" t="s">
        <v>116</v>
      </c>
      <c r="AI70" s="171" t="s">
        <v>117</v>
      </c>
      <c r="AJ70" s="171" t="s">
        <v>18</v>
      </c>
      <c r="AK70" s="179">
        <v>4.5</v>
      </c>
      <c r="AL70" s="178"/>
      <c r="AO70" s="179"/>
      <c r="AP70" s="178"/>
      <c r="AS70" s="179"/>
      <c r="AW70" s="179"/>
      <c r="BA70" s="180"/>
    </row>
    <row r="71" spans="1:53" s="171" customFormat="1" x14ac:dyDescent="0.15">
      <c r="A71" s="216">
        <v>1988</v>
      </c>
      <c r="B71" s="283"/>
      <c r="C71" s="402" t="s">
        <v>355</v>
      </c>
      <c r="D71" s="402"/>
      <c r="E71" s="171">
        <v>366</v>
      </c>
      <c r="G71" s="233">
        <v>9</v>
      </c>
      <c r="H71" s="171">
        <v>1</v>
      </c>
      <c r="I71" s="171">
        <v>8</v>
      </c>
      <c r="J71" s="241">
        <v>18</v>
      </c>
      <c r="K71" s="214">
        <f>G71/J71*100</f>
        <v>50</v>
      </c>
      <c r="L71" s="214">
        <f>H71/J71*100</f>
        <v>5.5555555555555554</v>
      </c>
      <c r="M71" s="214">
        <f>I71/J71*100</f>
        <v>44.444444444444443</v>
      </c>
      <c r="N71" s="235">
        <f t="shared" si="3"/>
        <v>100</v>
      </c>
      <c r="O71" s="213">
        <v>33</v>
      </c>
      <c r="P71" s="214">
        <v>4.5</v>
      </c>
      <c r="Q71" s="214">
        <v>28</v>
      </c>
      <c r="R71" s="215">
        <f t="shared" si="4"/>
        <v>65.5</v>
      </c>
      <c r="S71" s="171">
        <v>3</v>
      </c>
      <c r="T71" s="285"/>
      <c r="U71" s="283"/>
      <c r="V71" s="178" t="s">
        <v>108</v>
      </c>
      <c r="W71" s="171" t="s">
        <v>74</v>
      </c>
      <c r="X71" s="171" t="s">
        <v>11</v>
      </c>
      <c r="Y71" s="179">
        <v>26.5</v>
      </c>
      <c r="Z71" s="178" t="s">
        <v>111</v>
      </c>
      <c r="AA71" s="171" t="s">
        <v>20</v>
      </c>
      <c r="AB71" s="171" t="s">
        <v>12</v>
      </c>
      <c r="AC71" s="179">
        <v>28</v>
      </c>
      <c r="AD71" s="178" t="s">
        <v>109</v>
      </c>
      <c r="AE71" s="171" t="s">
        <v>89</v>
      </c>
      <c r="AF71" s="171" t="s">
        <v>11</v>
      </c>
      <c r="AG71" s="179">
        <v>6.5</v>
      </c>
      <c r="AH71" s="178" t="s">
        <v>116</v>
      </c>
      <c r="AI71" s="171" t="s">
        <v>117</v>
      </c>
      <c r="AJ71" s="171" t="s">
        <v>18</v>
      </c>
      <c r="AK71" s="179">
        <v>4.5</v>
      </c>
      <c r="AL71" s="178"/>
      <c r="AO71" s="179"/>
      <c r="AP71" s="178"/>
      <c r="AS71" s="179"/>
      <c r="AW71" s="179"/>
      <c r="BA71" s="180"/>
    </row>
    <row r="72" spans="1:53" s="171" customFormat="1" x14ac:dyDescent="0.15">
      <c r="A72" s="171">
        <v>1989</v>
      </c>
      <c r="B72" s="283"/>
      <c r="C72" s="402" t="s">
        <v>355</v>
      </c>
      <c r="D72" s="402"/>
      <c r="E72" s="171">
        <v>0</v>
      </c>
      <c r="G72" s="233">
        <v>9</v>
      </c>
      <c r="H72" s="171">
        <v>1</v>
      </c>
      <c r="I72" s="171">
        <v>8</v>
      </c>
      <c r="J72" s="241">
        <v>18</v>
      </c>
      <c r="K72" s="214">
        <f>G72/J72*100</f>
        <v>50</v>
      </c>
      <c r="L72" s="214">
        <f>H72/J72*100</f>
        <v>5.5555555555555554</v>
      </c>
      <c r="M72" s="214">
        <f>I72/J72*100</f>
        <v>44.444444444444443</v>
      </c>
      <c r="N72" s="235">
        <f t="shared" si="3"/>
        <v>100</v>
      </c>
      <c r="O72" s="213">
        <v>33</v>
      </c>
      <c r="P72" s="214">
        <v>4.5</v>
      </c>
      <c r="Q72" s="214">
        <v>28</v>
      </c>
      <c r="R72" s="215">
        <f t="shared" si="4"/>
        <v>65.5</v>
      </c>
      <c r="S72" s="171">
        <v>3</v>
      </c>
      <c r="T72" s="285"/>
      <c r="U72" s="283"/>
      <c r="V72" s="178" t="s">
        <v>108</v>
      </c>
      <c r="W72" s="171" t="s">
        <v>74</v>
      </c>
      <c r="X72" s="171" t="s">
        <v>11</v>
      </c>
      <c r="Y72" s="179">
        <v>26.5</v>
      </c>
      <c r="Z72" s="178" t="s">
        <v>111</v>
      </c>
      <c r="AA72" s="171" t="s">
        <v>20</v>
      </c>
      <c r="AB72" s="171" t="s">
        <v>12</v>
      </c>
      <c r="AC72" s="179">
        <v>28</v>
      </c>
      <c r="AD72" s="178" t="s">
        <v>109</v>
      </c>
      <c r="AE72" s="171" t="s">
        <v>89</v>
      </c>
      <c r="AF72" s="171" t="s">
        <v>11</v>
      </c>
      <c r="AG72" s="179">
        <v>6.5</v>
      </c>
      <c r="AH72" s="178" t="s">
        <v>116</v>
      </c>
      <c r="AI72" s="171" t="s">
        <v>117</v>
      </c>
      <c r="AJ72" s="171" t="s">
        <v>18</v>
      </c>
      <c r="AK72" s="179">
        <v>4.5</v>
      </c>
      <c r="AL72" s="178"/>
      <c r="AO72" s="179"/>
      <c r="AP72" s="178"/>
      <c r="AS72" s="179"/>
      <c r="AW72" s="179"/>
      <c r="BA72" s="180"/>
    </row>
    <row r="73" spans="1:53" s="54" customFormat="1" x14ac:dyDescent="0.15">
      <c r="A73" s="54">
        <v>1989</v>
      </c>
      <c r="B73" s="293"/>
      <c r="C73" s="406" t="s">
        <v>355</v>
      </c>
      <c r="D73" s="406"/>
      <c r="E73" s="54">
        <f>365-E72</f>
        <v>365</v>
      </c>
      <c r="G73" s="249">
        <v>9</v>
      </c>
      <c r="H73" s="54">
        <v>1</v>
      </c>
      <c r="I73" s="54">
        <v>8</v>
      </c>
      <c r="J73" s="250">
        <v>18</v>
      </c>
      <c r="K73" s="226">
        <f>G73/J73*100</f>
        <v>50</v>
      </c>
      <c r="L73" s="226">
        <f>H73/J73*100</f>
        <v>5.5555555555555554</v>
      </c>
      <c r="M73" s="226">
        <f>I73/J73*100</f>
        <v>44.444444444444443</v>
      </c>
      <c r="N73" s="238">
        <f t="shared" ref="N73:N123" si="26">SUM(K73:M73)</f>
        <v>100</v>
      </c>
      <c r="O73" s="225">
        <v>33</v>
      </c>
      <c r="P73" s="226">
        <v>4.5</v>
      </c>
      <c r="Q73" s="226">
        <v>28</v>
      </c>
      <c r="R73" s="227">
        <f t="shared" ref="R73:R121" si="27">SUM(O73:Q73)</f>
        <v>65.5</v>
      </c>
      <c r="S73" s="54">
        <v>3</v>
      </c>
      <c r="T73" s="287"/>
      <c r="U73" s="293"/>
      <c r="V73" s="55" t="s">
        <v>108</v>
      </c>
      <c r="W73" s="54" t="s">
        <v>74</v>
      </c>
      <c r="X73" s="54" t="s">
        <v>11</v>
      </c>
      <c r="Y73" s="56">
        <v>26.5</v>
      </c>
      <c r="Z73" s="55" t="s">
        <v>111</v>
      </c>
      <c r="AA73" s="54" t="s">
        <v>20</v>
      </c>
      <c r="AB73" s="54" t="s">
        <v>12</v>
      </c>
      <c r="AC73" s="56">
        <v>28</v>
      </c>
      <c r="AD73" s="55" t="s">
        <v>109</v>
      </c>
      <c r="AE73" s="54" t="s">
        <v>89</v>
      </c>
      <c r="AF73" s="54" t="s">
        <v>11</v>
      </c>
      <c r="AG73" s="56">
        <v>6.5</v>
      </c>
      <c r="AH73" s="55" t="s">
        <v>116</v>
      </c>
      <c r="AI73" s="54" t="s">
        <v>117</v>
      </c>
      <c r="AJ73" s="54" t="s">
        <v>18</v>
      </c>
      <c r="AK73" s="56">
        <v>4.5</v>
      </c>
      <c r="AL73" s="55"/>
      <c r="AO73" s="56"/>
      <c r="AP73" s="55"/>
      <c r="AS73" s="56"/>
      <c r="AW73" s="56"/>
      <c r="BA73" s="57"/>
    </row>
    <row r="74" spans="1:53" s="171" customFormat="1" x14ac:dyDescent="0.15">
      <c r="A74" s="171">
        <v>1990</v>
      </c>
      <c r="B74" s="283"/>
      <c r="C74" s="402" t="s">
        <v>355</v>
      </c>
      <c r="D74" s="402"/>
      <c r="E74" s="171">
        <v>239</v>
      </c>
      <c r="G74" s="233">
        <v>9</v>
      </c>
      <c r="H74" s="171">
        <v>1</v>
      </c>
      <c r="I74" s="171">
        <v>8</v>
      </c>
      <c r="J74" s="241">
        <v>18</v>
      </c>
      <c r="K74" s="214">
        <v>44.4</v>
      </c>
      <c r="L74" s="214">
        <v>11.1</v>
      </c>
      <c r="M74" s="214">
        <v>44.4</v>
      </c>
      <c r="N74" s="235">
        <f t="shared" si="26"/>
        <v>99.9</v>
      </c>
      <c r="O74" s="213">
        <v>33</v>
      </c>
      <c r="P74" s="214">
        <v>4.5</v>
      </c>
      <c r="Q74" s="214">
        <v>28</v>
      </c>
      <c r="R74" s="215">
        <f t="shared" si="27"/>
        <v>65.5</v>
      </c>
      <c r="S74" s="171">
        <v>3</v>
      </c>
      <c r="T74" s="285"/>
      <c r="U74" s="283"/>
      <c r="V74" s="178" t="s">
        <v>108</v>
      </c>
      <c r="W74" s="171" t="s">
        <v>74</v>
      </c>
      <c r="X74" s="171" t="s">
        <v>11</v>
      </c>
      <c r="Y74" s="179">
        <v>26.5</v>
      </c>
      <c r="Z74" s="178" t="s">
        <v>111</v>
      </c>
      <c r="AA74" s="171" t="s">
        <v>20</v>
      </c>
      <c r="AB74" s="171" t="s">
        <v>12</v>
      </c>
      <c r="AC74" s="179">
        <v>28</v>
      </c>
      <c r="AD74" s="178" t="s">
        <v>109</v>
      </c>
      <c r="AE74" s="171" t="s">
        <v>89</v>
      </c>
      <c r="AF74" s="171" t="s">
        <v>11</v>
      </c>
      <c r="AG74" s="179">
        <v>6.5</v>
      </c>
      <c r="AH74" s="178" t="s">
        <v>116</v>
      </c>
      <c r="AI74" s="171" t="s">
        <v>117</v>
      </c>
      <c r="AJ74" s="171" t="s">
        <v>18</v>
      </c>
      <c r="AK74" s="179">
        <v>4.5</v>
      </c>
      <c r="AL74" s="178"/>
      <c r="AO74" s="179"/>
      <c r="AP74" s="178"/>
      <c r="AS74" s="179"/>
      <c r="AW74" s="179"/>
      <c r="BA74" s="180"/>
    </row>
    <row r="75" spans="1:53" s="29" customFormat="1" x14ac:dyDescent="0.15">
      <c r="A75" s="29">
        <v>1990</v>
      </c>
      <c r="B75" s="295">
        <v>33113</v>
      </c>
      <c r="C75" s="411" t="s">
        <v>356</v>
      </c>
      <c r="D75" s="411"/>
      <c r="E75" s="29">
        <f>365-E74</f>
        <v>126</v>
      </c>
      <c r="F75" s="29">
        <v>4</v>
      </c>
      <c r="G75" s="66">
        <v>9</v>
      </c>
      <c r="I75" s="29">
        <v>8</v>
      </c>
      <c r="J75" s="73">
        <v>17</v>
      </c>
      <c r="K75" s="47">
        <f>G75/J75*100</f>
        <v>52.941176470588239</v>
      </c>
      <c r="L75" s="47">
        <f>H75/J75*100</f>
        <v>0</v>
      </c>
      <c r="M75" s="47">
        <f>I75/J75*100</f>
        <v>47.058823529411761</v>
      </c>
      <c r="N75" s="68">
        <f t="shared" si="26"/>
        <v>100</v>
      </c>
      <c r="O75" s="46">
        <v>33</v>
      </c>
      <c r="P75" s="47"/>
      <c r="Q75" s="47">
        <v>28</v>
      </c>
      <c r="R75" s="48">
        <f t="shared" si="27"/>
        <v>61</v>
      </c>
      <c r="S75" s="29">
        <v>3</v>
      </c>
      <c r="T75" s="286"/>
      <c r="U75" s="295">
        <v>33113</v>
      </c>
      <c r="V75" s="38" t="s">
        <v>108</v>
      </c>
      <c r="W75" s="29" t="s">
        <v>74</v>
      </c>
      <c r="X75" s="29" t="s">
        <v>11</v>
      </c>
      <c r="Y75" s="39">
        <v>26.5</v>
      </c>
      <c r="Z75" s="38" t="s">
        <v>111</v>
      </c>
      <c r="AA75" s="29" t="s">
        <v>20</v>
      </c>
      <c r="AB75" s="29" t="s">
        <v>12</v>
      </c>
      <c r="AC75" s="39">
        <v>28</v>
      </c>
      <c r="AD75" s="38" t="s">
        <v>109</v>
      </c>
      <c r="AE75" s="29" t="s">
        <v>89</v>
      </c>
      <c r="AF75" s="29" t="s">
        <v>11</v>
      </c>
      <c r="AG75" s="39">
        <v>6.5</v>
      </c>
      <c r="AL75" s="38"/>
      <c r="AO75" s="39"/>
      <c r="AP75" s="38"/>
      <c r="AS75" s="39"/>
      <c r="AW75" s="39"/>
      <c r="BA75" s="40"/>
    </row>
    <row r="76" spans="1:53" s="29" customFormat="1" x14ac:dyDescent="0.15">
      <c r="A76" s="29">
        <v>1991</v>
      </c>
      <c r="B76" s="295"/>
      <c r="C76" s="411" t="s">
        <v>356</v>
      </c>
      <c r="D76" s="411"/>
      <c r="E76" s="29">
        <v>115</v>
      </c>
      <c r="G76" s="66">
        <v>9</v>
      </c>
      <c r="I76" s="29">
        <v>8</v>
      </c>
      <c r="J76" s="73">
        <v>17</v>
      </c>
      <c r="K76" s="47">
        <f>G76/J76*100</f>
        <v>52.941176470588239</v>
      </c>
      <c r="L76" s="47">
        <f>H76/J76*100</f>
        <v>0</v>
      </c>
      <c r="M76" s="47">
        <f>I76/J76*100</f>
        <v>47.058823529411761</v>
      </c>
      <c r="N76" s="68">
        <f t="shared" si="26"/>
        <v>100</v>
      </c>
      <c r="O76" s="46">
        <v>33</v>
      </c>
      <c r="P76" s="47"/>
      <c r="Q76" s="47">
        <v>28</v>
      </c>
      <c r="R76" s="48">
        <f t="shared" si="27"/>
        <v>61</v>
      </c>
      <c r="S76" s="29">
        <v>3</v>
      </c>
      <c r="T76" s="286"/>
      <c r="U76" s="295"/>
      <c r="V76" s="38" t="s">
        <v>108</v>
      </c>
      <c r="W76" s="29" t="s">
        <v>74</v>
      </c>
      <c r="X76" s="29" t="s">
        <v>11</v>
      </c>
      <c r="Y76" s="39">
        <v>26.5</v>
      </c>
      <c r="Z76" s="38" t="s">
        <v>111</v>
      </c>
      <c r="AA76" s="29" t="s">
        <v>20</v>
      </c>
      <c r="AB76" s="29" t="s">
        <v>12</v>
      </c>
      <c r="AC76" s="39">
        <v>28</v>
      </c>
      <c r="AD76" s="38" t="s">
        <v>109</v>
      </c>
      <c r="AE76" s="29" t="s">
        <v>89</v>
      </c>
      <c r="AF76" s="29" t="s">
        <v>11</v>
      </c>
      <c r="AG76" s="39">
        <v>6.5</v>
      </c>
      <c r="AL76" s="38"/>
      <c r="AO76" s="39"/>
      <c r="AP76" s="38"/>
      <c r="AS76" s="39"/>
      <c r="AW76" s="39"/>
      <c r="BA76" s="40"/>
    </row>
    <row r="77" spans="1:53" s="171" customFormat="1" x14ac:dyDescent="0.15">
      <c r="A77" s="171">
        <v>1991</v>
      </c>
      <c r="B77" s="283">
        <v>33354</v>
      </c>
      <c r="C77" s="410" t="s">
        <v>357</v>
      </c>
      <c r="D77" s="410"/>
      <c r="E77" s="171">
        <f>365-E76</f>
        <v>250</v>
      </c>
      <c r="F77" s="171">
        <v>1</v>
      </c>
      <c r="G77" s="233">
        <v>8</v>
      </c>
      <c r="H77" s="171">
        <v>9</v>
      </c>
      <c r="J77" s="241">
        <v>17</v>
      </c>
      <c r="K77" s="214">
        <f>G77/J77*100</f>
        <v>47.058823529411761</v>
      </c>
      <c r="L77" s="214">
        <f>H77/J77*100</f>
        <v>52.941176470588239</v>
      </c>
      <c r="M77" s="214">
        <f>I77/J77*100</f>
        <v>0</v>
      </c>
      <c r="N77" s="235">
        <f t="shared" si="26"/>
        <v>100</v>
      </c>
      <c r="O77" s="213">
        <v>26</v>
      </c>
      <c r="P77" s="214">
        <v>31.5</v>
      </c>
      <c r="Q77" s="214"/>
      <c r="R77" s="215">
        <f t="shared" si="27"/>
        <v>57.5</v>
      </c>
      <c r="S77" s="171">
        <v>3</v>
      </c>
      <c r="T77" s="285">
        <v>33314</v>
      </c>
      <c r="U77" s="283">
        <v>33354</v>
      </c>
      <c r="V77" s="178" t="s">
        <v>107</v>
      </c>
      <c r="W77" s="171" t="s">
        <v>869</v>
      </c>
      <c r="X77" s="171" t="s">
        <v>18</v>
      </c>
      <c r="Y77" s="179">
        <v>27.5</v>
      </c>
      <c r="Z77" s="178" t="s">
        <v>108</v>
      </c>
      <c r="AA77" s="171" t="s">
        <v>74</v>
      </c>
      <c r="AB77" s="171" t="s">
        <v>11</v>
      </c>
      <c r="AC77" s="179">
        <v>20</v>
      </c>
      <c r="AD77" s="178" t="s">
        <v>109</v>
      </c>
      <c r="AE77" s="171" t="s">
        <v>89</v>
      </c>
      <c r="AF77" s="171" t="s">
        <v>11</v>
      </c>
      <c r="AG77" s="179">
        <v>6</v>
      </c>
      <c r="AH77" s="171" t="s">
        <v>358</v>
      </c>
      <c r="AI77" s="171" t="s">
        <v>17</v>
      </c>
      <c r="AJ77" s="171" t="s">
        <v>18</v>
      </c>
      <c r="AK77" s="171">
        <v>4</v>
      </c>
      <c r="AL77" s="178"/>
      <c r="AO77" s="179"/>
      <c r="AP77" s="178"/>
      <c r="AS77" s="179"/>
      <c r="AW77" s="179"/>
      <c r="BA77" s="180"/>
    </row>
    <row r="78" spans="1:53" s="171" customFormat="1" x14ac:dyDescent="0.15">
      <c r="A78" s="171">
        <v>1992</v>
      </c>
      <c r="B78" s="283"/>
      <c r="C78" s="410" t="s">
        <v>357</v>
      </c>
      <c r="D78" s="410"/>
      <c r="E78" s="171">
        <v>0</v>
      </c>
      <c r="G78" s="233">
        <v>8</v>
      </c>
      <c r="H78" s="171">
        <v>9</v>
      </c>
      <c r="J78" s="241">
        <v>17</v>
      </c>
      <c r="K78" s="214">
        <f>G78/J78*100</f>
        <v>47.058823529411761</v>
      </c>
      <c r="L78" s="214">
        <f>H78/J78*100</f>
        <v>52.941176470588239</v>
      </c>
      <c r="M78" s="214">
        <f>I78/J78*100</f>
        <v>0</v>
      </c>
      <c r="N78" s="235">
        <f t="shared" si="26"/>
        <v>100</v>
      </c>
      <c r="O78" s="213">
        <v>26</v>
      </c>
      <c r="P78" s="214">
        <v>31.5</v>
      </c>
      <c r="Q78" s="214"/>
      <c r="R78" s="215">
        <f t="shared" si="27"/>
        <v>57.5</v>
      </c>
      <c r="S78" s="171">
        <v>3</v>
      </c>
      <c r="T78" s="285"/>
      <c r="U78" s="283"/>
      <c r="V78" s="178" t="s">
        <v>107</v>
      </c>
      <c r="W78" s="171" t="s">
        <v>869</v>
      </c>
      <c r="X78" s="171" t="s">
        <v>18</v>
      </c>
      <c r="Y78" s="179">
        <v>27.5</v>
      </c>
      <c r="Z78" s="178" t="s">
        <v>108</v>
      </c>
      <c r="AA78" s="171" t="s">
        <v>74</v>
      </c>
      <c r="AB78" s="171" t="s">
        <v>11</v>
      </c>
      <c r="AC78" s="179">
        <v>20</v>
      </c>
      <c r="AD78" s="178" t="s">
        <v>109</v>
      </c>
      <c r="AE78" s="171" t="s">
        <v>89</v>
      </c>
      <c r="AF78" s="171" t="s">
        <v>11</v>
      </c>
      <c r="AG78" s="179">
        <v>6</v>
      </c>
      <c r="AH78" s="171" t="s">
        <v>358</v>
      </c>
      <c r="AI78" s="171" t="s">
        <v>17</v>
      </c>
      <c r="AJ78" s="171" t="s">
        <v>18</v>
      </c>
      <c r="AK78" s="171">
        <v>4</v>
      </c>
      <c r="AL78" s="178"/>
      <c r="AO78" s="179"/>
      <c r="AP78" s="178"/>
      <c r="AS78" s="179"/>
      <c r="AW78" s="179"/>
      <c r="BA78" s="180"/>
    </row>
    <row r="79" spans="1:53" s="171" customFormat="1" x14ac:dyDescent="0.15">
      <c r="A79" s="171">
        <v>1992</v>
      </c>
      <c r="B79" s="283"/>
      <c r="C79" s="410" t="s">
        <v>357</v>
      </c>
      <c r="D79" s="410"/>
      <c r="E79" s="171">
        <v>366</v>
      </c>
      <c r="G79" s="233">
        <v>8</v>
      </c>
      <c r="H79" s="171">
        <v>9</v>
      </c>
      <c r="J79" s="241">
        <v>17</v>
      </c>
      <c r="K79" s="214">
        <f>G79/J79*100</f>
        <v>47.058823529411761</v>
      </c>
      <c r="L79" s="214">
        <f>H79/J79*100</f>
        <v>52.941176470588239</v>
      </c>
      <c r="M79" s="214">
        <f>I79/J79*100</f>
        <v>0</v>
      </c>
      <c r="N79" s="235">
        <f t="shared" si="26"/>
        <v>100</v>
      </c>
      <c r="O79" s="213">
        <v>26</v>
      </c>
      <c r="P79" s="214">
        <v>31.5</v>
      </c>
      <c r="Q79" s="214"/>
      <c r="R79" s="215">
        <f t="shared" si="27"/>
        <v>57.5</v>
      </c>
      <c r="S79" s="171">
        <v>3</v>
      </c>
      <c r="T79" s="285"/>
      <c r="U79" s="283"/>
      <c r="V79" s="178" t="s">
        <v>107</v>
      </c>
      <c r="W79" s="171" t="s">
        <v>869</v>
      </c>
      <c r="X79" s="171" t="s">
        <v>18</v>
      </c>
      <c r="Y79" s="179">
        <v>27.5</v>
      </c>
      <c r="Z79" s="178" t="s">
        <v>108</v>
      </c>
      <c r="AA79" s="171" t="s">
        <v>74</v>
      </c>
      <c r="AB79" s="171" t="s">
        <v>11</v>
      </c>
      <c r="AC79" s="179">
        <v>20</v>
      </c>
      <c r="AD79" s="178" t="s">
        <v>109</v>
      </c>
      <c r="AE79" s="171" t="s">
        <v>89</v>
      </c>
      <c r="AF79" s="171" t="s">
        <v>11</v>
      </c>
      <c r="AG79" s="179">
        <v>6</v>
      </c>
      <c r="AH79" s="171" t="s">
        <v>358</v>
      </c>
      <c r="AI79" s="171" t="s">
        <v>17</v>
      </c>
      <c r="AJ79" s="171" t="s">
        <v>18</v>
      </c>
      <c r="AK79" s="171">
        <v>4</v>
      </c>
      <c r="AL79" s="178"/>
      <c r="AO79" s="179"/>
      <c r="AP79" s="178"/>
      <c r="AS79" s="179"/>
      <c r="AW79" s="179"/>
      <c r="BA79" s="180"/>
    </row>
    <row r="80" spans="1:53" s="171" customFormat="1" x14ac:dyDescent="0.15">
      <c r="A80" s="171">
        <v>1993</v>
      </c>
      <c r="B80" s="283"/>
      <c r="C80" s="410" t="s">
        <v>357</v>
      </c>
      <c r="D80" s="410"/>
      <c r="E80" s="171">
        <v>0</v>
      </c>
      <c r="G80" s="233">
        <v>8</v>
      </c>
      <c r="H80" s="171">
        <v>9</v>
      </c>
      <c r="J80" s="241">
        <v>17</v>
      </c>
      <c r="K80" s="214">
        <f t="shared" ref="K80:K107" si="28">G80/J80*100</f>
        <v>47.058823529411761</v>
      </c>
      <c r="L80" s="214">
        <f t="shared" ref="L80:L107" si="29">H80/J80*100</f>
        <v>52.941176470588239</v>
      </c>
      <c r="M80" s="214">
        <f t="shared" ref="M80:M107" si="30">I80/J80*100</f>
        <v>0</v>
      </c>
      <c r="N80" s="235">
        <f t="shared" si="26"/>
        <v>100</v>
      </c>
      <c r="O80" s="213">
        <v>26</v>
      </c>
      <c r="P80" s="214">
        <v>31.5</v>
      </c>
      <c r="Q80" s="214"/>
      <c r="R80" s="215">
        <f t="shared" si="27"/>
        <v>57.5</v>
      </c>
      <c r="S80" s="171">
        <v>3</v>
      </c>
      <c r="T80" s="285"/>
      <c r="U80" s="283"/>
      <c r="V80" s="178" t="s">
        <v>107</v>
      </c>
      <c r="W80" s="171" t="s">
        <v>869</v>
      </c>
      <c r="X80" s="171" t="s">
        <v>18</v>
      </c>
      <c r="Y80" s="179">
        <v>27.5</v>
      </c>
      <c r="Z80" s="178" t="s">
        <v>108</v>
      </c>
      <c r="AA80" s="171" t="s">
        <v>74</v>
      </c>
      <c r="AB80" s="171" t="s">
        <v>11</v>
      </c>
      <c r="AC80" s="179">
        <v>20</v>
      </c>
      <c r="AD80" s="178" t="s">
        <v>109</v>
      </c>
      <c r="AE80" s="171" t="s">
        <v>89</v>
      </c>
      <c r="AF80" s="171" t="s">
        <v>11</v>
      </c>
      <c r="AG80" s="179">
        <v>6</v>
      </c>
      <c r="AH80" s="171" t="s">
        <v>358</v>
      </c>
      <c r="AI80" s="171" t="s">
        <v>17</v>
      </c>
      <c r="AJ80" s="171" t="s">
        <v>18</v>
      </c>
      <c r="AK80" s="171">
        <v>4</v>
      </c>
      <c r="AL80" s="178"/>
      <c r="AO80" s="179"/>
      <c r="AP80" s="178"/>
      <c r="AS80" s="179"/>
      <c r="AW80" s="179"/>
      <c r="BA80" s="180"/>
    </row>
    <row r="81" spans="1:53" s="171" customFormat="1" x14ac:dyDescent="0.15">
      <c r="A81" s="171">
        <v>1993</v>
      </c>
      <c r="B81" s="283"/>
      <c r="C81" s="410" t="s">
        <v>357</v>
      </c>
      <c r="D81" s="410"/>
      <c r="E81" s="171">
        <f>365-E80</f>
        <v>365</v>
      </c>
      <c r="G81" s="233">
        <v>8</v>
      </c>
      <c r="H81" s="171">
        <v>9</v>
      </c>
      <c r="J81" s="241">
        <v>17</v>
      </c>
      <c r="K81" s="214">
        <f t="shared" si="28"/>
        <v>47.058823529411761</v>
      </c>
      <c r="L81" s="214">
        <f t="shared" si="29"/>
        <v>52.941176470588239</v>
      </c>
      <c r="M81" s="214">
        <f t="shared" si="30"/>
        <v>0</v>
      </c>
      <c r="N81" s="235">
        <f t="shared" si="26"/>
        <v>100</v>
      </c>
      <c r="O81" s="213">
        <v>26</v>
      </c>
      <c r="P81" s="214">
        <v>31.5</v>
      </c>
      <c r="Q81" s="214"/>
      <c r="R81" s="215">
        <f t="shared" si="27"/>
        <v>57.5</v>
      </c>
      <c r="S81" s="171">
        <v>3</v>
      </c>
      <c r="T81" s="285"/>
      <c r="U81" s="283"/>
      <c r="V81" s="178" t="s">
        <v>107</v>
      </c>
      <c r="W81" s="171" t="s">
        <v>869</v>
      </c>
      <c r="X81" s="171" t="s">
        <v>18</v>
      </c>
      <c r="Y81" s="179">
        <v>27.5</v>
      </c>
      <c r="Z81" s="178" t="s">
        <v>108</v>
      </c>
      <c r="AA81" s="171" t="s">
        <v>74</v>
      </c>
      <c r="AB81" s="171" t="s">
        <v>11</v>
      </c>
      <c r="AC81" s="179">
        <v>20</v>
      </c>
      <c r="AD81" s="178" t="s">
        <v>109</v>
      </c>
      <c r="AE81" s="171" t="s">
        <v>89</v>
      </c>
      <c r="AF81" s="171" t="s">
        <v>11</v>
      </c>
      <c r="AG81" s="179">
        <v>6</v>
      </c>
      <c r="AH81" s="171" t="s">
        <v>358</v>
      </c>
      <c r="AI81" s="171" t="s">
        <v>17</v>
      </c>
      <c r="AJ81" s="171" t="s">
        <v>18</v>
      </c>
      <c r="AK81" s="171">
        <v>4</v>
      </c>
      <c r="AL81" s="178"/>
      <c r="AO81" s="179"/>
      <c r="AP81" s="178"/>
      <c r="AS81" s="179"/>
      <c r="AW81" s="179"/>
      <c r="BA81" s="180"/>
    </row>
    <row r="82" spans="1:53" s="171" customFormat="1" x14ac:dyDescent="0.15">
      <c r="A82" s="171">
        <v>1994</v>
      </c>
      <c r="B82" s="283"/>
      <c r="C82" s="410" t="s">
        <v>357</v>
      </c>
      <c r="D82" s="410"/>
      <c r="E82" s="171">
        <v>170</v>
      </c>
      <c r="G82" s="233">
        <v>8</v>
      </c>
      <c r="H82" s="171">
        <v>9</v>
      </c>
      <c r="J82" s="241">
        <v>17</v>
      </c>
      <c r="K82" s="214">
        <f t="shared" si="28"/>
        <v>47.058823529411761</v>
      </c>
      <c r="L82" s="214">
        <f t="shared" si="29"/>
        <v>52.941176470588239</v>
      </c>
      <c r="M82" s="214">
        <f t="shared" si="30"/>
        <v>0</v>
      </c>
      <c r="N82" s="235">
        <f t="shared" si="26"/>
        <v>100</v>
      </c>
      <c r="O82" s="213">
        <v>26</v>
      </c>
      <c r="P82" s="214">
        <v>31.5</v>
      </c>
      <c r="Q82" s="214"/>
      <c r="R82" s="215">
        <f t="shared" si="27"/>
        <v>57.5</v>
      </c>
      <c r="S82" s="171">
        <v>3</v>
      </c>
      <c r="T82" s="285"/>
      <c r="U82" s="283"/>
      <c r="V82" s="178" t="s">
        <v>107</v>
      </c>
      <c r="W82" s="171" t="s">
        <v>869</v>
      </c>
      <c r="X82" s="171" t="s">
        <v>18</v>
      </c>
      <c r="Y82" s="179">
        <v>27.5</v>
      </c>
      <c r="Z82" s="178" t="s">
        <v>108</v>
      </c>
      <c r="AA82" s="171" t="s">
        <v>74</v>
      </c>
      <c r="AB82" s="171" t="s">
        <v>11</v>
      </c>
      <c r="AC82" s="179">
        <v>20</v>
      </c>
      <c r="AD82" s="178" t="s">
        <v>109</v>
      </c>
      <c r="AE82" s="171" t="s">
        <v>89</v>
      </c>
      <c r="AF82" s="171" t="s">
        <v>11</v>
      </c>
      <c r="AG82" s="179">
        <v>6</v>
      </c>
      <c r="AH82" s="171" t="s">
        <v>358</v>
      </c>
      <c r="AI82" s="171" t="s">
        <v>17</v>
      </c>
      <c r="AJ82" s="171" t="s">
        <v>18</v>
      </c>
      <c r="AK82" s="171">
        <v>4</v>
      </c>
      <c r="AL82" s="178"/>
      <c r="AO82" s="179"/>
      <c r="AP82" s="178"/>
      <c r="AS82" s="179"/>
      <c r="AW82" s="179"/>
      <c r="BA82" s="180"/>
    </row>
    <row r="83" spans="1:53" s="29" customFormat="1" x14ac:dyDescent="0.15">
      <c r="A83" s="29">
        <v>1994</v>
      </c>
      <c r="B83" s="295">
        <v>34505</v>
      </c>
      <c r="C83" s="411" t="s">
        <v>359</v>
      </c>
      <c r="D83" s="411"/>
      <c r="E83" s="29">
        <f>365-E82</f>
        <v>195</v>
      </c>
      <c r="F83" s="29">
        <v>4</v>
      </c>
      <c r="G83" s="66">
        <v>8</v>
      </c>
      <c r="H83" s="29">
        <v>8</v>
      </c>
      <c r="J83" s="73">
        <v>16</v>
      </c>
      <c r="K83" s="47">
        <f t="shared" si="28"/>
        <v>50</v>
      </c>
      <c r="L83" s="47">
        <f t="shared" si="29"/>
        <v>50</v>
      </c>
      <c r="M83" s="47">
        <f t="shared" si="30"/>
        <v>0</v>
      </c>
      <c r="N83" s="68">
        <f t="shared" si="26"/>
        <v>100</v>
      </c>
      <c r="O83" s="46">
        <v>26</v>
      </c>
      <c r="P83" s="47">
        <v>27.5</v>
      </c>
      <c r="Q83" s="47"/>
      <c r="R83" s="48">
        <f t="shared" si="27"/>
        <v>53.5</v>
      </c>
      <c r="S83" s="29">
        <v>2</v>
      </c>
      <c r="T83" s="286"/>
      <c r="U83" s="295">
        <v>34505</v>
      </c>
      <c r="V83" s="38" t="s">
        <v>107</v>
      </c>
      <c r="W83" s="29" t="s">
        <v>869</v>
      </c>
      <c r="X83" s="29" t="s">
        <v>18</v>
      </c>
      <c r="Y83" s="39">
        <v>27.5</v>
      </c>
      <c r="Z83" s="38" t="s">
        <v>108</v>
      </c>
      <c r="AA83" s="29" t="s">
        <v>74</v>
      </c>
      <c r="AB83" s="29" t="s">
        <v>11</v>
      </c>
      <c r="AC83" s="39">
        <v>20</v>
      </c>
      <c r="AD83" s="38" t="s">
        <v>109</v>
      </c>
      <c r="AE83" s="29" t="s">
        <v>89</v>
      </c>
      <c r="AF83" s="29" t="s">
        <v>11</v>
      </c>
      <c r="AG83" s="39">
        <v>6</v>
      </c>
      <c r="AL83" s="38"/>
      <c r="AO83" s="39"/>
      <c r="AP83" s="38"/>
      <c r="AS83" s="39"/>
      <c r="AW83" s="39"/>
      <c r="BA83" s="40"/>
    </row>
    <row r="84" spans="1:53" s="29" customFormat="1" x14ac:dyDescent="0.15">
      <c r="A84" s="29">
        <v>1995</v>
      </c>
      <c r="B84" s="295"/>
      <c r="C84" s="411" t="s">
        <v>359</v>
      </c>
      <c r="D84" s="411"/>
      <c r="E84" s="29">
        <v>102</v>
      </c>
      <c r="G84" s="66">
        <v>8</v>
      </c>
      <c r="H84" s="29">
        <v>8</v>
      </c>
      <c r="J84" s="73">
        <v>16</v>
      </c>
      <c r="K84" s="47">
        <f t="shared" si="28"/>
        <v>50</v>
      </c>
      <c r="L84" s="47">
        <f t="shared" si="29"/>
        <v>50</v>
      </c>
      <c r="M84" s="47">
        <f t="shared" si="30"/>
        <v>0</v>
      </c>
      <c r="N84" s="68">
        <f t="shared" si="26"/>
        <v>100</v>
      </c>
      <c r="O84" s="46">
        <v>26</v>
      </c>
      <c r="P84" s="47">
        <v>27.5</v>
      </c>
      <c r="Q84" s="47"/>
      <c r="R84" s="48">
        <f t="shared" si="27"/>
        <v>53.5</v>
      </c>
      <c r="S84" s="29">
        <v>2</v>
      </c>
      <c r="T84" s="286"/>
      <c r="U84" s="295"/>
      <c r="V84" s="38" t="s">
        <v>107</v>
      </c>
      <c r="W84" s="29" t="s">
        <v>869</v>
      </c>
      <c r="X84" s="29" t="s">
        <v>18</v>
      </c>
      <c r="Y84" s="39">
        <v>27.5</v>
      </c>
      <c r="Z84" s="38" t="s">
        <v>108</v>
      </c>
      <c r="AA84" s="29" t="s">
        <v>74</v>
      </c>
      <c r="AB84" s="29" t="s">
        <v>11</v>
      </c>
      <c r="AC84" s="39">
        <v>20</v>
      </c>
      <c r="AD84" s="38" t="s">
        <v>109</v>
      </c>
      <c r="AE84" s="29" t="s">
        <v>89</v>
      </c>
      <c r="AF84" s="29" t="s">
        <v>11</v>
      </c>
      <c r="AG84" s="39">
        <v>6</v>
      </c>
      <c r="AL84" s="38"/>
      <c r="AO84" s="39"/>
      <c r="AP84" s="38"/>
      <c r="AS84" s="39"/>
      <c r="AW84" s="39"/>
      <c r="BA84" s="40"/>
    </row>
    <row r="85" spans="1:53" s="171" customFormat="1" x14ac:dyDescent="0.15">
      <c r="A85" s="171">
        <v>1995</v>
      </c>
      <c r="B85" s="283">
        <v>34802</v>
      </c>
      <c r="C85" s="410" t="s">
        <v>360</v>
      </c>
      <c r="D85" s="410"/>
      <c r="E85" s="171">
        <f>365-E84</f>
        <v>263</v>
      </c>
      <c r="F85" s="171">
        <v>1</v>
      </c>
      <c r="G85" s="233">
        <v>7</v>
      </c>
      <c r="I85" s="171">
        <v>10</v>
      </c>
      <c r="J85" s="241">
        <v>18</v>
      </c>
      <c r="K85" s="214">
        <f t="shared" si="28"/>
        <v>38.888888888888893</v>
      </c>
      <c r="L85" s="214">
        <f t="shared" si="29"/>
        <v>0</v>
      </c>
      <c r="M85" s="214">
        <f t="shared" si="30"/>
        <v>55.555555555555557</v>
      </c>
      <c r="N85" s="235">
        <f t="shared" si="26"/>
        <v>94.444444444444457</v>
      </c>
      <c r="O85" s="213">
        <v>25.5</v>
      </c>
      <c r="P85" s="214"/>
      <c r="Q85" s="214">
        <v>47</v>
      </c>
      <c r="R85" s="215">
        <f t="shared" si="27"/>
        <v>72.5</v>
      </c>
      <c r="S85" s="171">
        <v>3</v>
      </c>
      <c r="T85" s="285">
        <v>34777</v>
      </c>
      <c r="U85" s="283">
        <v>34802</v>
      </c>
      <c r="V85" s="178" t="s">
        <v>111</v>
      </c>
      <c r="W85" s="171" t="s">
        <v>20</v>
      </c>
      <c r="X85" s="171" t="s">
        <v>12</v>
      </c>
      <c r="Y85" s="179">
        <v>31.5</v>
      </c>
      <c r="Z85" s="178" t="s">
        <v>108</v>
      </c>
      <c r="AA85" s="171" t="s">
        <v>74</v>
      </c>
      <c r="AB85" s="171" t="s">
        <v>11</v>
      </c>
      <c r="AC85" s="179">
        <v>19.5</v>
      </c>
      <c r="AD85" s="178" t="s">
        <v>109</v>
      </c>
      <c r="AE85" s="171" t="s">
        <v>89</v>
      </c>
      <c r="AF85" s="171" t="s">
        <v>11</v>
      </c>
      <c r="AG85" s="179">
        <v>6</v>
      </c>
      <c r="AH85" s="171" t="s">
        <v>361</v>
      </c>
      <c r="AI85" s="171" t="s">
        <v>191</v>
      </c>
      <c r="AJ85" s="171" t="s">
        <v>12</v>
      </c>
      <c r="AK85" s="171">
        <v>11</v>
      </c>
      <c r="AL85" s="178" t="s">
        <v>362</v>
      </c>
      <c r="AM85" s="171" t="s">
        <v>216</v>
      </c>
      <c r="AN85" s="171" t="s">
        <v>12</v>
      </c>
      <c r="AO85" s="179">
        <v>4.5</v>
      </c>
      <c r="AP85" s="178"/>
      <c r="AS85" s="179"/>
      <c r="AW85" s="179"/>
      <c r="BA85" s="180"/>
    </row>
    <row r="86" spans="1:53" s="171" customFormat="1" x14ac:dyDescent="0.15">
      <c r="A86" s="171">
        <v>1996</v>
      </c>
      <c r="B86" s="283"/>
      <c r="C86" s="410" t="s">
        <v>360</v>
      </c>
      <c r="D86" s="410"/>
      <c r="E86" s="171">
        <v>0</v>
      </c>
      <c r="G86" s="233">
        <v>7</v>
      </c>
      <c r="I86" s="171">
        <v>10</v>
      </c>
      <c r="J86" s="241">
        <v>18</v>
      </c>
      <c r="K86" s="214">
        <f t="shared" si="28"/>
        <v>38.888888888888893</v>
      </c>
      <c r="L86" s="214">
        <f t="shared" si="29"/>
        <v>0</v>
      </c>
      <c r="M86" s="214">
        <f t="shared" si="30"/>
        <v>55.555555555555557</v>
      </c>
      <c r="N86" s="235">
        <f t="shared" si="26"/>
        <v>94.444444444444457</v>
      </c>
      <c r="O86" s="213">
        <v>25.5</v>
      </c>
      <c r="P86" s="214"/>
      <c r="Q86" s="214">
        <v>47</v>
      </c>
      <c r="R86" s="215">
        <f t="shared" si="27"/>
        <v>72.5</v>
      </c>
      <c r="S86" s="171">
        <v>3</v>
      </c>
      <c r="T86" s="285"/>
      <c r="U86" s="283"/>
      <c r="V86" s="178" t="s">
        <v>111</v>
      </c>
      <c r="W86" s="171" t="s">
        <v>20</v>
      </c>
      <c r="X86" s="171" t="s">
        <v>12</v>
      </c>
      <c r="Y86" s="179">
        <v>31.5</v>
      </c>
      <c r="Z86" s="178" t="s">
        <v>108</v>
      </c>
      <c r="AA86" s="171" t="s">
        <v>74</v>
      </c>
      <c r="AB86" s="171" t="s">
        <v>11</v>
      </c>
      <c r="AC86" s="179">
        <v>19.5</v>
      </c>
      <c r="AD86" s="178" t="s">
        <v>109</v>
      </c>
      <c r="AE86" s="171" t="s">
        <v>89</v>
      </c>
      <c r="AF86" s="171" t="s">
        <v>11</v>
      </c>
      <c r="AG86" s="179">
        <v>6</v>
      </c>
      <c r="AH86" s="171" t="s">
        <v>361</v>
      </c>
      <c r="AI86" s="171" t="s">
        <v>191</v>
      </c>
      <c r="AJ86" s="171" t="s">
        <v>12</v>
      </c>
      <c r="AK86" s="171">
        <v>11</v>
      </c>
      <c r="AL86" s="178" t="s">
        <v>362</v>
      </c>
      <c r="AM86" s="171" t="s">
        <v>216</v>
      </c>
      <c r="AN86" s="171" t="s">
        <v>12</v>
      </c>
      <c r="AO86" s="179">
        <v>4.5</v>
      </c>
      <c r="AP86" s="178"/>
      <c r="AS86" s="179"/>
      <c r="AW86" s="179"/>
      <c r="BA86" s="180"/>
    </row>
    <row r="87" spans="1:53" s="171" customFormat="1" x14ac:dyDescent="0.15">
      <c r="A87" s="171">
        <v>1996</v>
      </c>
      <c r="B87" s="283"/>
      <c r="C87" s="410" t="s">
        <v>360</v>
      </c>
      <c r="D87" s="410"/>
      <c r="E87" s="171">
        <v>366</v>
      </c>
      <c r="G87" s="233">
        <v>7</v>
      </c>
      <c r="I87" s="171">
        <v>10</v>
      </c>
      <c r="J87" s="241">
        <v>18</v>
      </c>
      <c r="K87" s="214">
        <f t="shared" si="28"/>
        <v>38.888888888888893</v>
      </c>
      <c r="L87" s="214">
        <f t="shared" si="29"/>
        <v>0</v>
      </c>
      <c r="M87" s="214">
        <f t="shared" si="30"/>
        <v>55.555555555555557</v>
      </c>
      <c r="N87" s="235">
        <f t="shared" si="26"/>
        <v>94.444444444444457</v>
      </c>
      <c r="O87" s="213">
        <v>25.5</v>
      </c>
      <c r="P87" s="214"/>
      <c r="Q87" s="214">
        <v>47</v>
      </c>
      <c r="R87" s="215">
        <f t="shared" si="27"/>
        <v>72.5</v>
      </c>
      <c r="S87" s="171">
        <v>3</v>
      </c>
      <c r="T87" s="285"/>
      <c r="U87" s="283"/>
      <c r="V87" s="178" t="s">
        <v>111</v>
      </c>
      <c r="W87" s="171" t="s">
        <v>20</v>
      </c>
      <c r="X87" s="171" t="s">
        <v>12</v>
      </c>
      <c r="Y87" s="179">
        <v>31.5</v>
      </c>
      <c r="Z87" s="178" t="s">
        <v>108</v>
      </c>
      <c r="AA87" s="171" t="s">
        <v>74</v>
      </c>
      <c r="AB87" s="171" t="s">
        <v>11</v>
      </c>
      <c r="AC87" s="179">
        <v>19.5</v>
      </c>
      <c r="AD87" s="178" t="s">
        <v>109</v>
      </c>
      <c r="AE87" s="171" t="s">
        <v>89</v>
      </c>
      <c r="AF87" s="171" t="s">
        <v>11</v>
      </c>
      <c r="AG87" s="179">
        <v>6</v>
      </c>
      <c r="AH87" s="171" t="s">
        <v>361</v>
      </c>
      <c r="AI87" s="171" t="s">
        <v>191</v>
      </c>
      <c r="AJ87" s="171" t="s">
        <v>12</v>
      </c>
      <c r="AK87" s="171">
        <v>11</v>
      </c>
      <c r="AL87" s="178" t="s">
        <v>362</v>
      </c>
      <c r="AM87" s="171" t="s">
        <v>216</v>
      </c>
      <c r="AN87" s="171" t="s">
        <v>12</v>
      </c>
      <c r="AO87" s="179">
        <v>4.5</v>
      </c>
      <c r="AP87" s="178"/>
      <c r="AS87" s="179"/>
      <c r="AW87" s="179"/>
      <c r="BA87" s="180"/>
    </row>
    <row r="88" spans="1:53" s="171" customFormat="1" x14ac:dyDescent="0.15">
      <c r="A88" s="171">
        <v>1997</v>
      </c>
      <c r="B88" s="283"/>
      <c r="C88" s="410" t="s">
        <v>360</v>
      </c>
      <c r="D88" s="410"/>
      <c r="E88" s="171">
        <v>0</v>
      </c>
      <c r="G88" s="233">
        <v>7</v>
      </c>
      <c r="I88" s="171">
        <v>10</v>
      </c>
      <c r="J88" s="241">
        <v>18</v>
      </c>
      <c r="K88" s="214">
        <f t="shared" si="28"/>
        <v>38.888888888888893</v>
      </c>
      <c r="L88" s="214">
        <f t="shared" si="29"/>
        <v>0</v>
      </c>
      <c r="M88" s="214">
        <f t="shared" si="30"/>
        <v>55.555555555555557</v>
      </c>
      <c r="N88" s="235">
        <f t="shared" si="26"/>
        <v>94.444444444444457</v>
      </c>
      <c r="O88" s="213">
        <v>25.5</v>
      </c>
      <c r="P88" s="214"/>
      <c r="Q88" s="214">
        <v>47</v>
      </c>
      <c r="R88" s="215">
        <f t="shared" si="27"/>
        <v>72.5</v>
      </c>
      <c r="S88" s="171">
        <v>3</v>
      </c>
      <c r="T88" s="285"/>
      <c r="U88" s="283"/>
      <c r="V88" s="178" t="s">
        <v>111</v>
      </c>
      <c r="W88" s="171" t="s">
        <v>20</v>
      </c>
      <c r="X88" s="171" t="s">
        <v>12</v>
      </c>
      <c r="Y88" s="179">
        <v>31.5</v>
      </c>
      <c r="Z88" s="178" t="s">
        <v>108</v>
      </c>
      <c r="AA88" s="171" t="s">
        <v>74</v>
      </c>
      <c r="AB88" s="171" t="s">
        <v>11</v>
      </c>
      <c r="AC88" s="179">
        <v>19.5</v>
      </c>
      <c r="AD88" s="178" t="s">
        <v>109</v>
      </c>
      <c r="AE88" s="171" t="s">
        <v>89</v>
      </c>
      <c r="AF88" s="171" t="s">
        <v>11</v>
      </c>
      <c r="AG88" s="179">
        <v>6</v>
      </c>
      <c r="AH88" s="171" t="s">
        <v>361</v>
      </c>
      <c r="AI88" s="171" t="s">
        <v>191</v>
      </c>
      <c r="AJ88" s="171" t="s">
        <v>12</v>
      </c>
      <c r="AK88" s="171">
        <v>11</v>
      </c>
      <c r="AL88" s="178" t="s">
        <v>362</v>
      </c>
      <c r="AM88" s="171" t="s">
        <v>216</v>
      </c>
      <c r="AN88" s="171" t="s">
        <v>12</v>
      </c>
      <c r="AO88" s="179">
        <v>4.5</v>
      </c>
      <c r="AP88" s="178"/>
      <c r="AS88" s="179"/>
      <c r="AW88" s="179"/>
      <c r="BA88" s="180"/>
    </row>
    <row r="89" spans="1:53" s="171" customFormat="1" x14ac:dyDescent="0.15">
      <c r="A89" s="171">
        <v>1997</v>
      </c>
      <c r="B89" s="283"/>
      <c r="C89" s="410" t="s">
        <v>360</v>
      </c>
      <c r="D89" s="410"/>
      <c r="E89" s="171">
        <f>365-E88</f>
        <v>365</v>
      </c>
      <c r="G89" s="233">
        <v>7</v>
      </c>
      <c r="I89" s="171">
        <v>10</v>
      </c>
      <c r="J89" s="241">
        <v>18</v>
      </c>
      <c r="K89" s="214">
        <f t="shared" si="28"/>
        <v>38.888888888888893</v>
      </c>
      <c r="L89" s="214">
        <f t="shared" si="29"/>
        <v>0</v>
      </c>
      <c r="M89" s="214">
        <f t="shared" si="30"/>
        <v>55.555555555555557</v>
      </c>
      <c r="N89" s="235">
        <f t="shared" si="26"/>
        <v>94.444444444444457</v>
      </c>
      <c r="O89" s="213">
        <v>25.5</v>
      </c>
      <c r="P89" s="214"/>
      <c r="Q89" s="214">
        <v>47</v>
      </c>
      <c r="R89" s="215">
        <f t="shared" si="27"/>
        <v>72.5</v>
      </c>
      <c r="S89" s="171">
        <v>3</v>
      </c>
      <c r="T89" s="285"/>
      <c r="U89" s="283"/>
      <c r="V89" s="178" t="s">
        <v>111</v>
      </c>
      <c r="W89" s="171" t="s">
        <v>20</v>
      </c>
      <c r="X89" s="171" t="s">
        <v>12</v>
      </c>
      <c r="Y89" s="179">
        <v>31.5</v>
      </c>
      <c r="Z89" s="178" t="s">
        <v>108</v>
      </c>
      <c r="AA89" s="171" t="s">
        <v>74</v>
      </c>
      <c r="AB89" s="171" t="s">
        <v>11</v>
      </c>
      <c r="AC89" s="179">
        <v>19.5</v>
      </c>
      <c r="AD89" s="178" t="s">
        <v>109</v>
      </c>
      <c r="AE89" s="171" t="s">
        <v>89</v>
      </c>
      <c r="AF89" s="171" t="s">
        <v>11</v>
      </c>
      <c r="AG89" s="179">
        <v>6</v>
      </c>
      <c r="AH89" s="171" t="s">
        <v>361</v>
      </c>
      <c r="AI89" s="171" t="s">
        <v>191</v>
      </c>
      <c r="AJ89" s="171" t="s">
        <v>12</v>
      </c>
      <c r="AK89" s="171">
        <v>11</v>
      </c>
      <c r="AL89" s="178" t="s">
        <v>362</v>
      </c>
      <c r="AM89" s="171" t="s">
        <v>216</v>
      </c>
      <c r="AN89" s="171" t="s">
        <v>12</v>
      </c>
      <c r="AO89" s="179">
        <v>4.5</v>
      </c>
      <c r="AP89" s="178"/>
      <c r="AS89" s="179"/>
      <c r="AW89" s="179"/>
      <c r="BA89" s="180"/>
    </row>
    <row r="90" spans="1:53" s="171" customFormat="1" x14ac:dyDescent="0.15">
      <c r="A90" s="171">
        <v>1998</v>
      </c>
      <c r="B90" s="283"/>
      <c r="C90" s="410" t="s">
        <v>360</v>
      </c>
      <c r="D90" s="410"/>
      <c r="E90" s="171">
        <v>0</v>
      </c>
      <c r="G90" s="233">
        <v>7</v>
      </c>
      <c r="I90" s="171">
        <v>10</v>
      </c>
      <c r="J90" s="241">
        <v>18</v>
      </c>
      <c r="K90" s="214">
        <f t="shared" si="28"/>
        <v>38.888888888888893</v>
      </c>
      <c r="L90" s="214">
        <f t="shared" si="29"/>
        <v>0</v>
      </c>
      <c r="M90" s="214">
        <f t="shared" si="30"/>
        <v>55.555555555555557</v>
      </c>
      <c r="N90" s="235">
        <f t="shared" si="26"/>
        <v>94.444444444444457</v>
      </c>
      <c r="O90" s="213">
        <v>25.5</v>
      </c>
      <c r="P90" s="214"/>
      <c r="Q90" s="214">
        <v>47</v>
      </c>
      <c r="R90" s="215">
        <f t="shared" si="27"/>
        <v>72.5</v>
      </c>
      <c r="S90" s="171">
        <v>3</v>
      </c>
      <c r="T90" s="285"/>
      <c r="U90" s="283"/>
      <c r="V90" s="178" t="s">
        <v>111</v>
      </c>
      <c r="W90" s="171" t="s">
        <v>20</v>
      </c>
      <c r="X90" s="171" t="s">
        <v>12</v>
      </c>
      <c r="Y90" s="179">
        <v>31.5</v>
      </c>
      <c r="Z90" s="178" t="s">
        <v>108</v>
      </c>
      <c r="AA90" s="171" t="s">
        <v>74</v>
      </c>
      <c r="AB90" s="171" t="s">
        <v>11</v>
      </c>
      <c r="AC90" s="179">
        <v>19.5</v>
      </c>
      <c r="AD90" s="178" t="s">
        <v>109</v>
      </c>
      <c r="AE90" s="171" t="s">
        <v>89</v>
      </c>
      <c r="AF90" s="171" t="s">
        <v>11</v>
      </c>
      <c r="AG90" s="179">
        <v>6</v>
      </c>
      <c r="AH90" s="171" t="s">
        <v>361</v>
      </c>
      <c r="AI90" s="171" t="s">
        <v>191</v>
      </c>
      <c r="AJ90" s="171" t="s">
        <v>12</v>
      </c>
      <c r="AK90" s="171">
        <v>11</v>
      </c>
      <c r="AL90" s="178" t="s">
        <v>362</v>
      </c>
      <c r="AM90" s="171" t="s">
        <v>216</v>
      </c>
      <c r="AN90" s="171" t="s">
        <v>12</v>
      </c>
      <c r="AO90" s="179">
        <v>4.5</v>
      </c>
      <c r="AP90" s="178"/>
      <c r="AS90" s="179"/>
      <c r="AW90" s="179"/>
      <c r="BA90" s="180"/>
    </row>
    <row r="91" spans="1:53" s="171" customFormat="1" x14ac:dyDescent="0.15">
      <c r="A91" s="171">
        <v>1998</v>
      </c>
      <c r="B91" s="283"/>
      <c r="C91" s="410" t="s">
        <v>360</v>
      </c>
      <c r="D91" s="410"/>
      <c r="E91" s="171">
        <f>365-E90</f>
        <v>365</v>
      </c>
      <c r="G91" s="233">
        <v>7</v>
      </c>
      <c r="I91" s="171">
        <v>10</v>
      </c>
      <c r="J91" s="241">
        <v>18</v>
      </c>
      <c r="K91" s="214">
        <f t="shared" si="28"/>
        <v>38.888888888888893</v>
      </c>
      <c r="L91" s="214">
        <f t="shared" si="29"/>
        <v>0</v>
      </c>
      <c r="M91" s="214">
        <f t="shared" si="30"/>
        <v>55.555555555555557</v>
      </c>
      <c r="N91" s="235">
        <f t="shared" si="26"/>
        <v>94.444444444444457</v>
      </c>
      <c r="O91" s="213">
        <v>25.5</v>
      </c>
      <c r="P91" s="214"/>
      <c r="Q91" s="214">
        <v>47</v>
      </c>
      <c r="R91" s="215">
        <f t="shared" si="27"/>
        <v>72.5</v>
      </c>
      <c r="S91" s="171">
        <v>3</v>
      </c>
      <c r="T91" s="285"/>
      <c r="U91" s="283"/>
      <c r="V91" s="178" t="s">
        <v>111</v>
      </c>
      <c r="W91" s="171" t="s">
        <v>20</v>
      </c>
      <c r="X91" s="171" t="s">
        <v>12</v>
      </c>
      <c r="Y91" s="179">
        <v>31.5</v>
      </c>
      <c r="Z91" s="178" t="s">
        <v>108</v>
      </c>
      <c r="AA91" s="171" t="s">
        <v>74</v>
      </c>
      <c r="AB91" s="171" t="s">
        <v>11</v>
      </c>
      <c r="AC91" s="179">
        <v>19.5</v>
      </c>
      <c r="AD91" s="178" t="s">
        <v>109</v>
      </c>
      <c r="AE91" s="171" t="s">
        <v>89</v>
      </c>
      <c r="AF91" s="171" t="s">
        <v>11</v>
      </c>
      <c r="AG91" s="179">
        <v>6</v>
      </c>
      <c r="AH91" s="171" t="s">
        <v>361</v>
      </c>
      <c r="AI91" s="171" t="s">
        <v>191</v>
      </c>
      <c r="AJ91" s="171" t="s">
        <v>12</v>
      </c>
      <c r="AK91" s="171">
        <v>11</v>
      </c>
      <c r="AL91" s="178" t="s">
        <v>362</v>
      </c>
      <c r="AM91" s="171" t="s">
        <v>216</v>
      </c>
      <c r="AN91" s="171" t="s">
        <v>12</v>
      </c>
      <c r="AO91" s="179">
        <v>4.5</v>
      </c>
      <c r="AP91" s="178"/>
      <c r="AS91" s="179"/>
      <c r="AW91" s="179"/>
      <c r="BA91" s="180"/>
    </row>
    <row r="92" spans="1:53" s="171" customFormat="1" x14ac:dyDescent="0.15">
      <c r="A92" s="171">
        <v>1999</v>
      </c>
      <c r="B92" s="283"/>
      <c r="C92" s="410" t="s">
        <v>360</v>
      </c>
      <c r="D92" s="410"/>
      <c r="E92" s="171">
        <v>104</v>
      </c>
      <c r="G92" s="233">
        <v>7</v>
      </c>
      <c r="I92" s="171">
        <v>10</v>
      </c>
      <c r="J92" s="241">
        <v>18</v>
      </c>
      <c r="K92" s="214">
        <f t="shared" si="28"/>
        <v>38.888888888888893</v>
      </c>
      <c r="L92" s="214">
        <f t="shared" si="29"/>
        <v>0</v>
      </c>
      <c r="M92" s="214">
        <f t="shared" si="30"/>
        <v>55.555555555555557</v>
      </c>
      <c r="N92" s="235">
        <f t="shared" si="26"/>
        <v>94.444444444444457</v>
      </c>
      <c r="O92" s="213">
        <v>25.5</v>
      </c>
      <c r="P92" s="214"/>
      <c r="Q92" s="214">
        <v>47</v>
      </c>
      <c r="R92" s="215">
        <f t="shared" si="27"/>
        <v>72.5</v>
      </c>
      <c r="S92" s="171">
        <v>3</v>
      </c>
      <c r="T92" s="285"/>
      <c r="U92" s="283"/>
      <c r="V92" s="178" t="s">
        <v>111</v>
      </c>
      <c r="W92" s="171" t="s">
        <v>20</v>
      </c>
      <c r="X92" s="171" t="s">
        <v>12</v>
      </c>
      <c r="Y92" s="179">
        <v>31.5</v>
      </c>
      <c r="Z92" s="178" t="s">
        <v>108</v>
      </c>
      <c r="AA92" s="171" t="s">
        <v>74</v>
      </c>
      <c r="AB92" s="171" t="s">
        <v>11</v>
      </c>
      <c r="AC92" s="179">
        <v>19.5</v>
      </c>
      <c r="AD92" s="178" t="s">
        <v>109</v>
      </c>
      <c r="AE92" s="171" t="s">
        <v>89</v>
      </c>
      <c r="AF92" s="171" t="s">
        <v>11</v>
      </c>
      <c r="AG92" s="179">
        <v>6</v>
      </c>
      <c r="AH92" s="171" t="s">
        <v>361</v>
      </c>
      <c r="AI92" s="171" t="s">
        <v>191</v>
      </c>
      <c r="AJ92" s="171" t="s">
        <v>12</v>
      </c>
      <c r="AK92" s="171">
        <v>11</v>
      </c>
      <c r="AL92" s="178" t="s">
        <v>362</v>
      </c>
      <c r="AM92" s="171" t="s">
        <v>216</v>
      </c>
      <c r="AN92" s="171" t="s">
        <v>12</v>
      </c>
      <c r="AO92" s="179">
        <v>4.5</v>
      </c>
      <c r="AP92" s="178"/>
      <c r="AS92" s="179"/>
      <c r="AW92" s="179"/>
      <c r="BA92" s="180"/>
    </row>
    <row r="93" spans="1:53" s="29" customFormat="1" x14ac:dyDescent="0.15">
      <c r="A93" s="29">
        <v>1999</v>
      </c>
      <c r="B93" s="295">
        <v>36265</v>
      </c>
      <c r="C93" s="411" t="s">
        <v>363</v>
      </c>
      <c r="D93" s="411"/>
      <c r="E93" s="29">
        <f>365-E92</f>
        <v>261</v>
      </c>
      <c r="F93" s="29">
        <v>1</v>
      </c>
      <c r="G93" s="66">
        <v>8</v>
      </c>
      <c r="I93" s="29">
        <v>9</v>
      </c>
      <c r="J93" s="73">
        <v>18</v>
      </c>
      <c r="K93" s="47">
        <f t="shared" si="28"/>
        <v>44.444444444444443</v>
      </c>
      <c r="L93" s="47">
        <f t="shared" si="29"/>
        <v>0</v>
      </c>
      <c r="M93" s="47">
        <f t="shared" si="30"/>
        <v>50</v>
      </c>
      <c r="N93" s="68">
        <f t="shared" si="26"/>
        <v>94.444444444444443</v>
      </c>
      <c r="O93" s="46">
        <v>29</v>
      </c>
      <c r="P93" s="47"/>
      <c r="Q93" s="47">
        <v>41</v>
      </c>
      <c r="R93" s="48">
        <f t="shared" si="27"/>
        <v>70</v>
      </c>
      <c r="S93" s="29">
        <v>3</v>
      </c>
      <c r="T93" s="286">
        <v>36240</v>
      </c>
      <c r="U93" s="295">
        <v>36265</v>
      </c>
      <c r="V93" s="38" t="s">
        <v>111</v>
      </c>
      <c r="W93" s="29" t="s">
        <v>20</v>
      </c>
      <c r="X93" s="29" t="s">
        <v>12</v>
      </c>
      <c r="Y93" s="39">
        <v>25.5</v>
      </c>
      <c r="Z93" s="38" t="s">
        <v>108</v>
      </c>
      <c r="AA93" s="29" t="s">
        <v>74</v>
      </c>
      <c r="AB93" s="29" t="s">
        <v>11</v>
      </c>
      <c r="AC93" s="39">
        <v>23</v>
      </c>
      <c r="AD93" s="38" t="s">
        <v>109</v>
      </c>
      <c r="AE93" s="29" t="s">
        <v>89</v>
      </c>
      <c r="AF93" s="29" t="s">
        <v>11</v>
      </c>
      <c r="AG93" s="39">
        <v>6</v>
      </c>
      <c r="AH93" s="29" t="s">
        <v>361</v>
      </c>
      <c r="AI93" s="29" t="s">
        <v>191</v>
      </c>
      <c r="AJ93" s="29" t="s">
        <v>12</v>
      </c>
      <c r="AK93" s="29">
        <v>10</v>
      </c>
      <c r="AL93" s="38" t="s">
        <v>362</v>
      </c>
      <c r="AM93" s="29" t="s">
        <v>216</v>
      </c>
      <c r="AN93" s="29" t="s">
        <v>12</v>
      </c>
      <c r="AO93" s="39">
        <v>5.5</v>
      </c>
      <c r="AP93" s="38"/>
      <c r="AS93" s="39"/>
      <c r="AW93" s="39"/>
      <c r="BA93" s="40"/>
    </row>
    <row r="94" spans="1:53" s="29" customFormat="1" x14ac:dyDescent="0.15">
      <c r="A94" s="29">
        <v>2000</v>
      </c>
      <c r="B94" s="295"/>
      <c r="C94" s="411" t="s">
        <v>363</v>
      </c>
      <c r="D94" s="411"/>
      <c r="E94" s="29">
        <v>0</v>
      </c>
      <c r="G94" s="66">
        <v>8</v>
      </c>
      <c r="I94" s="29">
        <v>9</v>
      </c>
      <c r="J94" s="73">
        <v>18</v>
      </c>
      <c r="K94" s="47">
        <f t="shared" si="28"/>
        <v>44.444444444444443</v>
      </c>
      <c r="L94" s="47">
        <f t="shared" si="29"/>
        <v>0</v>
      </c>
      <c r="M94" s="47">
        <f t="shared" si="30"/>
        <v>50</v>
      </c>
      <c r="N94" s="68">
        <f t="shared" si="26"/>
        <v>94.444444444444443</v>
      </c>
      <c r="O94" s="46">
        <v>29</v>
      </c>
      <c r="P94" s="47"/>
      <c r="Q94" s="47">
        <v>41</v>
      </c>
      <c r="R94" s="48">
        <f t="shared" si="27"/>
        <v>70</v>
      </c>
      <c r="S94" s="29">
        <v>3</v>
      </c>
      <c r="T94" s="286"/>
      <c r="U94" s="295"/>
      <c r="V94" s="38" t="s">
        <v>111</v>
      </c>
      <c r="W94" s="29" t="s">
        <v>20</v>
      </c>
      <c r="X94" s="29" t="s">
        <v>12</v>
      </c>
      <c r="Y94" s="39">
        <v>25.5</v>
      </c>
      <c r="Z94" s="38" t="s">
        <v>108</v>
      </c>
      <c r="AA94" s="29" t="s">
        <v>74</v>
      </c>
      <c r="AB94" s="29" t="s">
        <v>11</v>
      </c>
      <c r="AC94" s="39">
        <v>23</v>
      </c>
      <c r="AD94" s="38" t="s">
        <v>109</v>
      </c>
      <c r="AE94" s="29" t="s">
        <v>89</v>
      </c>
      <c r="AF94" s="29" t="s">
        <v>11</v>
      </c>
      <c r="AG94" s="39">
        <v>6</v>
      </c>
      <c r="AH94" s="29" t="s">
        <v>361</v>
      </c>
      <c r="AI94" s="29" t="s">
        <v>191</v>
      </c>
      <c r="AJ94" s="29" t="s">
        <v>12</v>
      </c>
      <c r="AK94" s="29">
        <v>10</v>
      </c>
      <c r="AL94" s="38" t="s">
        <v>362</v>
      </c>
      <c r="AM94" s="29" t="s">
        <v>216</v>
      </c>
      <c r="AN94" s="29" t="s">
        <v>12</v>
      </c>
      <c r="AO94" s="39">
        <v>5.5</v>
      </c>
      <c r="AP94" s="38"/>
      <c r="AS94" s="39"/>
      <c r="AW94" s="39"/>
      <c r="BA94" s="40"/>
    </row>
    <row r="95" spans="1:53" s="29" customFormat="1" x14ac:dyDescent="0.15">
      <c r="A95" s="29">
        <v>2000</v>
      </c>
      <c r="B95" s="295"/>
      <c r="C95" s="411" t="s">
        <v>363</v>
      </c>
      <c r="D95" s="411"/>
      <c r="E95" s="29">
        <v>366</v>
      </c>
      <c r="G95" s="66">
        <v>8</v>
      </c>
      <c r="I95" s="29">
        <v>9</v>
      </c>
      <c r="J95" s="73">
        <v>18</v>
      </c>
      <c r="K95" s="47">
        <f t="shared" si="28"/>
        <v>44.444444444444443</v>
      </c>
      <c r="L95" s="47">
        <f t="shared" si="29"/>
        <v>0</v>
      </c>
      <c r="M95" s="47">
        <f t="shared" si="30"/>
        <v>50</v>
      </c>
      <c r="N95" s="68">
        <f t="shared" si="26"/>
        <v>94.444444444444443</v>
      </c>
      <c r="O95" s="46">
        <v>29</v>
      </c>
      <c r="P95" s="47"/>
      <c r="Q95" s="47">
        <v>41</v>
      </c>
      <c r="R95" s="48">
        <f t="shared" si="27"/>
        <v>70</v>
      </c>
      <c r="S95" s="29">
        <v>3</v>
      </c>
      <c r="T95" s="286"/>
      <c r="U95" s="295"/>
      <c r="V95" s="38" t="s">
        <v>111</v>
      </c>
      <c r="W95" s="29" t="s">
        <v>20</v>
      </c>
      <c r="X95" s="29" t="s">
        <v>12</v>
      </c>
      <c r="Y95" s="39">
        <v>25.5</v>
      </c>
      <c r="Z95" s="38" t="s">
        <v>108</v>
      </c>
      <c r="AA95" s="29" t="s">
        <v>74</v>
      </c>
      <c r="AB95" s="29" t="s">
        <v>11</v>
      </c>
      <c r="AC95" s="39">
        <v>23</v>
      </c>
      <c r="AD95" s="38" t="s">
        <v>109</v>
      </c>
      <c r="AE95" s="29" t="s">
        <v>89</v>
      </c>
      <c r="AF95" s="29" t="s">
        <v>11</v>
      </c>
      <c r="AG95" s="39">
        <v>6</v>
      </c>
      <c r="AH95" s="29" t="s">
        <v>361</v>
      </c>
      <c r="AI95" s="29" t="s">
        <v>191</v>
      </c>
      <c r="AJ95" s="29" t="s">
        <v>12</v>
      </c>
      <c r="AK95" s="29">
        <v>10</v>
      </c>
      <c r="AL95" s="38" t="s">
        <v>362</v>
      </c>
      <c r="AM95" s="29" t="s">
        <v>216</v>
      </c>
      <c r="AN95" s="29" t="s">
        <v>12</v>
      </c>
      <c r="AO95" s="39">
        <v>5.5</v>
      </c>
      <c r="AP95" s="38"/>
      <c r="AS95" s="39"/>
      <c r="AW95" s="39"/>
      <c r="BA95" s="40"/>
    </row>
    <row r="96" spans="1:53" s="29" customFormat="1" x14ac:dyDescent="0.15">
      <c r="A96" s="29">
        <v>2001</v>
      </c>
      <c r="B96" s="295"/>
      <c r="C96" s="411" t="s">
        <v>363</v>
      </c>
      <c r="D96" s="411"/>
      <c r="E96" s="29">
        <v>0</v>
      </c>
      <c r="G96" s="66">
        <v>8</v>
      </c>
      <c r="I96" s="29">
        <v>9</v>
      </c>
      <c r="J96" s="73">
        <v>18</v>
      </c>
      <c r="K96" s="47">
        <f t="shared" si="28"/>
        <v>44.444444444444443</v>
      </c>
      <c r="L96" s="47">
        <f t="shared" si="29"/>
        <v>0</v>
      </c>
      <c r="M96" s="47">
        <f t="shared" si="30"/>
        <v>50</v>
      </c>
      <c r="N96" s="68">
        <f t="shared" si="26"/>
        <v>94.444444444444443</v>
      </c>
      <c r="O96" s="46">
        <v>29</v>
      </c>
      <c r="P96" s="47"/>
      <c r="Q96" s="47">
        <v>41</v>
      </c>
      <c r="R96" s="48">
        <f t="shared" si="27"/>
        <v>70</v>
      </c>
      <c r="S96" s="29">
        <v>3</v>
      </c>
      <c r="T96" s="286"/>
      <c r="U96" s="295"/>
      <c r="V96" s="38" t="s">
        <v>111</v>
      </c>
      <c r="W96" s="29" t="s">
        <v>20</v>
      </c>
      <c r="X96" s="29" t="s">
        <v>12</v>
      </c>
      <c r="Y96" s="39">
        <v>25.5</v>
      </c>
      <c r="Z96" s="38" t="s">
        <v>108</v>
      </c>
      <c r="AA96" s="29" t="s">
        <v>74</v>
      </c>
      <c r="AB96" s="29" t="s">
        <v>11</v>
      </c>
      <c r="AC96" s="39">
        <v>23</v>
      </c>
      <c r="AD96" s="38" t="s">
        <v>109</v>
      </c>
      <c r="AE96" s="29" t="s">
        <v>89</v>
      </c>
      <c r="AF96" s="29" t="s">
        <v>11</v>
      </c>
      <c r="AG96" s="39">
        <v>6</v>
      </c>
      <c r="AH96" s="29" t="s">
        <v>361</v>
      </c>
      <c r="AI96" s="29" t="s">
        <v>191</v>
      </c>
      <c r="AJ96" s="29" t="s">
        <v>12</v>
      </c>
      <c r="AK96" s="29">
        <v>10</v>
      </c>
      <c r="AL96" s="38" t="s">
        <v>362</v>
      </c>
      <c r="AM96" s="29" t="s">
        <v>216</v>
      </c>
      <c r="AN96" s="29" t="s">
        <v>12</v>
      </c>
      <c r="AO96" s="39">
        <v>5.5</v>
      </c>
      <c r="AP96" s="38"/>
      <c r="AS96" s="39"/>
      <c r="AW96" s="39"/>
      <c r="BA96" s="40"/>
    </row>
    <row r="97" spans="1:53" s="29" customFormat="1" x14ac:dyDescent="0.15">
      <c r="A97" s="29">
        <v>2001</v>
      </c>
      <c r="B97" s="295"/>
      <c r="C97" s="411" t="s">
        <v>363</v>
      </c>
      <c r="D97" s="411"/>
      <c r="E97" s="29">
        <f>365-E96</f>
        <v>365</v>
      </c>
      <c r="G97" s="66">
        <v>8</v>
      </c>
      <c r="I97" s="29">
        <v>9</v>
      </c>
      <c r="J97" s="73">
        <v>18</v>
      </c>
      <c r="K97" s="47">
        <f t="shared" si="28"/>
        <v>44.444444444444443</v>
      </c>
      <c r="L97" s="47">
        <f t="shared" si="29"/>
        <v>0</v>
      </c>
      <c r="M97" s="47">
        <f t="shared" si="30"/>
        <v>50</v>
      </c>
      <c r="N97" s="68">
        <f t="shared" si="26"/>
        <v>94.444444444444443</v>
      </c>
      <c r="O97" s="46">
        <v>29</v>
      </c>
      <c r="P97" s="47"/>
      <c r="Q97" s="47">
        <v>41</v>
      </c>
      <c r="R97" s="48">
        <f t="shared" si="27"/>
        <v>70</v>
      </c>
      <c r="S97" s="29">
        <v>3</v>
      </c>
      <c r="T97" s="286"/>
      <c r="U97" s="295"/>
      <c r="V97" s="38" t="s">
        <v>111</v>
      </c>
      <c r="W97" s="29" t="s">
        <v>20</v>
      </c>
      <c r="X97" s="29" t="s">
        <v>12</v>
      </c>
      <c r="Y97" s="39">
        <v>25.5</v>
      </c>
      <c r="Z97" s="38" t="s">
        <v>108</v>
      </c>
      <c r="AA97" s="29" t="s">
        <v>74</v>
      </c>
      <c r="AB97" s="29" t="s">
        <v>11</v>
      </c>
      <c r="AC97" s="39">
        <v>23</v>
      </c>
      <c r="AD97" s="38" t="s">
        <v>109</v>
      </c>
      <c r="AE97" s="29" t="s">
        <v>89</v>
      </c>
      <c r="AF97" s="29" t="s">
        <v>11</v>
      </c>
      <c r="AG97" s="39">
        <v>6</v>
      </c>
      <c r="AH97" s="29" t="s">
        <v>361</v>
      </c>
      <c r="AI97" s="29" t="s">
        <v>191</v>
      </c>
      <c r="AJ97" s="29" t="s">
        <v>12</v>
      </c>
      <c r="AK97" s="29">
        <v>10</v>
      </c>
      <c r="AL97" s="38" t="s">
        <v>362</v>
      </c>
      <c r="AM97" s="29" t="s">
        <v>216</v>
      </c>
      <c r="AN97" s="29" t="s">
        <v>12</v>
      </c>
      <c r="AO97" s="39">
        <v>5.5</v>
      </c>
      <c r="AP97" s="38"/>
      <c r="AS97" s="39"/>
      <c r="AW97" s="39"/>
      <c r="BA97" s="40"/>
    </row>
    <row r="98" spans="1:53" s="29" customFormat="1" x14ac:dyDescent="0.15">
      <c r="A98" s="29">
        <v>2002</v>
      </c>
      <c r="B98" s="295"/>
      <c r="C98" s="411" t="s">
        <v>363</v>
      </c>
      <c r="D98" s="411"/>
      <c r="E98" s="29">
        <v>108</v>
      </c>
      <c r="G98" s="66">
        <v>8</v>
      </c>
      <c r="I98" s="29">
        <v>9</v>
      </c>
      <c r="J98" s="73">
        <v>18</v>
      </c>
      <c r="K98" s="47">
        <f t="shared" si="28"/>
        <v>44.444444444444443</v>
      </c>
      <c r="L98" s="47">
        <f t="shared" si="29"/>
        <v>0</v>
      </c>
      <c r="M98" s="47">
        <f t="shared" si="30"/>
        <v>50</v>
      </c>
      <c r="N98" s="68">
        <f t="shared" si="26"/>
        <v>94.444444444444443</v>
      </c>
      <c r="O98" s="46">
        <v>29</v>
      </c>
      <c r="P98" s="47"/>
      <c r="Q98" s="47">
        <v>41</v>
      </c>
      <c r="R98" s="48">
        <f t="shared" si="27"/>
        <v>70</v>
      </c>
      <c r="S98" s="29">
        <v>3</v>
      </c>
      <c r="T98" s="286"/>
      <c r="U98" s="295"/>
      <c r="V98" s="38" t="s">
        <v>111</v>
      </c>
      <c r="W98" s="29" t="s">
        <v>20</v>
      </c>
      <c r="X98" s="29" t="s">
        <v>12</v>
      </c>
      <c r="Y98" s="39">
        <v>25.5</v>
      </c>
      <c r="Z98" s="38" t="s">
        <v>108</v>
      </c>
      <c r="AA98" s="29" t="s">
        <v>74</v>
      </c>
      <c r="AB98" s="29" t="s">
        <v>11</v>
      </c>
      <c r="AC98" s="39">
        <v>23</v>
      </c>
      <c r="AD98" s="38" t="s">
        <v>109</v>
      </c>
      <c r="AE98" s="29" t="s">
        <v>89</v>
      </c>
      <c r="AF98" s="29" t="s">
        <v>11</v>
      </c>
      <c r="AG98" s="39">
        <v>6</v>
      </c>
      <c r="AH98" s="29" t="s">
        <v>361</v>
      </c>
      <c r="AI98" s="29" t="s">
        <v>191</v>
      </c>
      <c r="AJ98" s="29" t="s">
        <v>12</v>
      </c>
      <c r="AK98" s="29">
        <v>10</v>
      </c>
      <c r="AL98" s="38" t="s">
        <v>362</v>
      </c>
      <c r="AM98" s="29" t="s">
        <v>216</v>
      </c>
      <c r="AN98" s="29" t="s">
        <v>12</v>
      </c>
      <c r="AO98" s="39">
        <v>5.5</v>
      </c>
      <c r="AP98" s="38"/>
      <c r="AS98" s="39"/>
      <c r="AW98" s="39"/>
      <c r="BA98" s="40"/>
    </row>
    <row r="99" spans="1:53" s="171" customFormat="1" x14ac:dyDescent="0.15">
      <c r="A99" s="171">
        <v>2002</v>
      </c>
      <c r="B99" s="283">
        <v>37365</v>
      </c>
      <c r="C99" s="410" t="s">
        <v>364</v>
      </c>
      <c r="D99" s="410"/>
      <c r="E99" s="171">
        <v>42</v>
      </c>
      <c r="F99" s="171">
        <v>4</v>
      </c>
      <c r="G99" s="233">
        <v>9</v>
      </c>
      <c r="I99" s="171">
        <v>8</v>
      </c>
      <c r="J99" s="241">
        <v>18</v>
      </c>
      <c r="K99" s="214">
        <f>G99/J99*100</f>
        <v>50</v>
      </c>
      <c r="L99" s="214">
        <f>H99/J99*100</f>
        <v>0</v>
      </c>
      <c r="M99" s="214">
        <f>I99/J99*100</f>
        <v>44.444444444444443</v>
      </c>
      <c r="N99" s="235">
        <f>SUM(K99:M99)</f>
        <v>94.444444444444443</v>
      </c>
      <c r="O99" s="213">
        <v>29</v>
      </c>
      <c r="P99" s="214"/>
      <c r="Q99" s="214">
        <v>35.5</v>
      </c>
      <c r="R99" s="215">
        <f>SUM(O99:Q99)</f>
        <v>64.5</v>
      </c>
      <c r="S99" s="171">
        <v>3</v>
      </c>
      <c r="T99" s="285"/>
      <c r="U99" s="283">
        <v>37365</v>
      </c>
      <c r="V99" s="178" t="s">
        <v>111</v>
      </c>
      <c r="W99" s="171" t="s">
        <v>20</v>
      </c>
      <c r="X99" s="171" t="s">
        <v>12</v>
      </c>
      <c r="Y99" s="179">
        <v>25.5</v>
      </c>
      <c r="Z99" s="178" t="s">
        <v>108</v>
      </c>
      <c r="AA99" s="171" t="s">
        <v>74</v>
      </c>
      <c r="AB99" s="171" t="s">
        <v>11</v>
      </c>
      <c r="AC99" s="179">
        <v>23</v>
      </c>
      <c r="AD99" s="178" t="s">
        <v>109</v>
      </c>
      <c r="AE99" s="171" t="s">
        <v>89</v>
      </c>
      <c r="AF99" s="171" t="s">
        <v>11</v>
      </c>
      <c r="AG99" s="179">
        <v>6</v>
      </c>
      <c r="AH99" s="171" t="s">
        <v>361</v>
      </c>
      <c r="AI99" s="171" t="s">
        <v>191</v>
      </c>
      <c r="AJ99" s="171" t="s">
        <v>12</v>
      </c>
      <c r="AK99" s="171">
        <v>10</v>
      </c>
      <c r="AL99" s="178"/>
      <c r="AO99" s="179"/>
      <c r="AP99" s="178"/>
      <c r="AS99" s="179"/>
      <c r="AW99" s="179"/>
      <c r="BA99" s="180"/>
    </row>
    <row r="100" spans="1:53" s="171" customFormat="1" x14ac:dyDescent="0.15">
      <c r="A100" s="171">
        <v>2002</v>
      </c>
      <c r="B100" s="305">
        <v>37407</v>
      </c>
      <c r="C100" s="410" t="s">
        <v>364</v>
      </c>
      <c r="D100" s="410"/>
      <c r="E100" s="171">
        <v>215</v>
      </c>
      <c r="F100" s="244">
        <v>0</v>
      </c>
      <c r="G100" s="233">
        <v>10</v>
      </c>
      <c r="I100" s="171">
        <v>8</v>
      </c>
      <c r="J100" s="241">
        <v>18</v>
      </c>
      <c r="K100" s="214">
        <f t="shared" si="28"/>
        <v>55.555555555555557</v>
      </c>
      <c r="L100" s="214">
        <f t="shared" si="29"/>
        <v>0</v>
      </c>
      <c r="M100" s="214">
        <f t="shared" si="30"/>
        <v>44.444444444444443</v>
      </c>
      <c r="N100" s="235">
        <f t="shared" si="26"/>
        <v>100</v>
      </c>
      <c r="O100" s="213">
        <v>29</v>
      </c>
      <c r="P100" s="214"/>
      <c r="Q100" s="214">
        <v>35.5</v>
      </c>
      <c r="R100" s="215">
        <f t="shared" si="27"/>
        <v>64.5</v>
      </c>
      <c r="S100" s="171">
        <v>3</v>
      </c>
      <c r="T100" s="285"/>
      <c r="U100" s="283"/>
      <c r="V100" s="178" t="s">
        <v>111</v>
      </c>
      <c r="W100" s="171" t="s">
        <v>20</v>
      </c>
      <c r="X100" s="171" t="s">
        <v>12</v>
      </c>
      <c r="Y100" s="179">
        <v>25.5</v>
      </c>
      <c r="Z100" s="178" t="s">
        <v>108</v>
      </c>
      <c r="AA100" s="171" t="s">
        <v>74</v>
      </c>
      <c r="AB100" s="171" t="s">
        <v>11</v>
      </c>
      <c r="AC100" s="179">
        <v>23</v>
      </c>
      <c r="AD100" s="178" t="s">
        <v>109</v>
      </c>
      <c r="AE100" s="171" t="s">
        <v>89</v>
      </c>
      <c r="AF100" s="171" t="s">
        <v>11</v>
      </c>
      <c r="AG100" s="179">
        <v>6</v>
      </c>
      <c r="AH100" s="171" t="s">
        <v>361</v>
      </c>
      <c r="AI100" s="171" t="s">
        <v>191</v>
      </c>
      <c r="AJ100" s="171" t="s">
        <v>12</v>
      </c>
      <c r="AK100" s="171">
        <v>10</v>
      </c>
      <c r="AL100" s="178"/>
      <c r="AO100" s="179"/>
      <c r="AP100" s="178"/>
      <c r="AS100" s="179"/>
      <c r="AW100" s="179"/>
      <c r="BA100" s="180"/>
    </row>
    <row r="101" spans="1:53" s="171" customFormat="1" x14ac:dyDescent="0.15">
      <c r="A101" s="171">
        <v>2003</v>
      </c>
      <c r="B101" s="283"/>
      <c r="C101" s="410" t="s">
        <v>364</v>
      </c>
      <c r="D101" s="410"/>
      <c r="E101" s="171">
        <v>106</v>
      </c>
      <c r="G101" s="233">
        <v>10</v>
      </c>
      <c r="I101" s="171">
        <v>8</v>
      </c>
      <c r="J101" s="241">
        <v>18</v>
      </c>
      <c r="K101" s="214">
        <f t="shared" si="28"/>
        <v>55.555555555555557</v>
      </c>
      <c r="L101" s="214">
        <f t="shared" si="29"/>
        <v>0</v>
      </c>
      <c r="M101" s="214">
        <f t="shared" si="30"/>
        <v>44.444444444444443</v>
      </c>
      <c r="N101" s="235">
        <f t="shared" si="26"/>
        <v>100</v>
      </c>
      <c r="O101" s="213">
        <v>29</v>
      </c>
      <c r="P101" s="214"/>
      <c r="Q101" s="214">
        <v>35.5</v>
      </c>
      <c r="R101" s="215">
        <f t="shared" si="27"/>
        <v>64.5</v>
      </c>
      <c r="S101" s="171">
        <v>3</v>
      </c>
      <c r="T101" s="285"/>
      <c r="U101" s="283"/>
      <c r="V101" s="178" t="s">
        <v>111</v>
      </c>
      <c r="W101" s="171" t="s">
        <v>20</v>
      </c>
      <c r="X101" s="171" t="s">
        <v>12</v>
      </c>
      <c r="Y101" s="179">
        <v>25.5</v>
      </c>
      <c r="Z101" s="178" t="s">
        <v>108</v>
      </c>
      <c r="AA101" s="171" t="s">
        <v>74</v>
      </c>
      <c r="AB101" s="171" t="s">
        <v>11</v>
      </c>
      <c r="AC101" s="179">
        <v>23</v>
      </c>
      <c r="AD101" s="178" t="s">
        <v>109</v>
      </c>
      <c r="AE101" s="171" t="s">
        <v>89</v>
      </c>
      <c r="AF101" s="171" t="s">
        <v>11</v>
      </c>
      <c r="AG101" s="179">
        <v>6</v>
      </c>
      <c r="AH101" s="171" t="s">
        <v>361</v>
      </c>
      <c r="AI101" s="171" t="s">
        <v>191</v>
      </c>
      <c r="AJ101" s="171" t="s">
        <v>12</v>
      </c>
      <c r="AK101" s="171">
        <v>10</v>
      </c>
      <c r="AL101" s="178"/>
      <c r="AO101" s="179"/>
      <c r="AP101" s="178"/>
      <c r="AS101" s="179"/>
      <c r="AW101" s="179"/>
      <c r="BA101" s="180"/>
    </row>
    <row r="102" spans="1:53" s="29" customFormat="1" x14ac:dyDescent="0.15">
      <c r="A102" s="29">
        <v>2003</v>
      </c>
      <c r="B102" s="295">
        <v>37728</v>
      </c>
      <c r="C102" s="411" t="s">
        <v>365</v>
      </c>
      <c r="D102" s="411"/>
      <c r="E102" s="29">
        <v>68</v>
      </c>
      <c r="F102" s="29">
        <v>1</v>
      </c>
      <c r="G102" s="66">
        <v>2</v>
      </c>
      <c r="H102" s="29">
        <v>8</v>
      </c>
      <c r="I102" s="29">
        <v>8</v>
      </c>
      <c r="J102" s="73">
        <v>18</v>
      </c>
      <c r="K102" s="47">
        <f>G102/J102*100</f>
        <v>11.111111111111111</v>
      </c>
      <c r="L102" s="47">
        <f>H102/J102*100</f>
        <v>44.444444444444443</v>
      </c>
      <c r="M102" s="47">
        <f>I102/J102*100</f>
        <v>44.444444444444443</v>
      </c>
      <c r="N102" s="68">
        <f>SUM(K102:M102)</f>
        <v>100</v>
      </c>
      <c r="O102" s="46">
        <v>4.5</v>
      </c>
      <c r="P102" s="47">
        <v>27.5</v>
      </c>
      <c r="Q102" s="47">
        <v>26.5</v>
      </c>
      <c r="R102" s="48">
        <f>SUM(O102:Q102)</f>
        <v>58.5</v>
      </c>
      <c r="S102" s="29">
        <v>3</v>
      </c>
      <c r="T102" s="286">
        <v>37696</v>
      </c>
      <c r="U102" s="295">
        <v>37728</v>
      </c>
      <c r="V102" s="38" t="s">
        <v>107</v>
      </c>
      <c r="W102" s="29" t="s">
        <v>869</v>
      </c>
      <c r="X102" s="29" t="s">
        <v>18</v>
      </c>
      <c r="Y102" s="39">
        <v>27.5</v>
      </c>
      <c r="Z102" s="29" t="s">
        <v>111</v>
      </c>
      <c r="AA102" s="29" t="s">
        <v>20</v>
      </c>
      <c r="AB102" s="29" t="s">
        <v>12</v>
      </c>
      <c r="AC102" s="29">
        <v>26.5</v>
      </c>
      <c r="AD102" s="38" t="s">
        <v>109</v>
      </c>
      <c r="AE102" s="29" t="s">
        <v>89</v>
      </c>
      <c r="AF102" s="29" t="s">
        <v>11</v>
      </c>
      <c r="AG102" s="39">
        <v>4.5</v>
      </c>
      <c r="AL102" s="38"/>
      <c r="AO102" s="39"/>
      <c r="AP102" s="38"/>
      <c r="AS102" s="39"/>
      <c r="AW102" s="39"/>
      <c r="BA102" s="40"/>
    </row>
    <row r="103" spans="1:53" s="171" customFormat="1" x14ac:dyDescent="0.15">
      <c r="A103" s="171">
        <v>2003</v>
      </c>
      <c r="B103" s="283">
        <v>37796</v>
      </c>
      <c r="C103" s="410" t="s">
        <v>366</v>
      </c>
      <c r="D103" s="410"/>
      <c r="E103" s="171">
        <v>191</v>
      </c>
      <c r="F103" s="171">
        <v>2</v>
      </c>
      <c r="G103" s="233">
        <v>2</v>
      </c>
      <c r="H103" s="171">
        <v>8</v>
      </c>
      <c r="I103" s="171">
        <v>8</v>
      </c>
      <c r="J103" s="241">
        <v>18</v>
      </c>
      <c r="K103" s="214">
        <f t="shared" si="28"/>
        <v>11.111111111111111</v>
      </c>
      <c r="L103" s="214">
        <f t="shared" si="29"/>
        <v>44.444444444444443</v>
      </c>
      <c r="M103" s="214">
        <f t="shared" si="30"/>
        <v>44.444444444444443</v>
      </c>
      <c r="N103" s="235">
        <f t="shared" si="26"/>
        <v>100</v>
      </c>
      <c r="O103" s="213">
        <v>4.5</v>
      </c>
      <c r="P103" s="214">
        <v>27.5</v>
      </c>
      <c r="Q103" s="214">
        <v>26.5</v>
      </c>
      <c r="R103" s="215">
        <f t="shared" si="27"/>
        <v>58.5</v>
      </c>
      <c r="S103" s="171">
        <v>3</v>
      </c>
      <c r="T103" s="285"/>
      <c r="U103" s="283">
        <v>37796</v>
      </c>
      <c r="V103" s="178" t="s">
        <v>107</v>
      </c>
      <c r="W103" s="171" t="s">
        <v>869</v>
      </c>
      <c r="X103" s="171" t="s">
        <v>18</v>
      </c>
      <c r="Y103" s="179">
        <v>27.5</v>
      </c>
      <c r="Z103" s="171" t="s">
        <v>111</v>
      </c>
      <c r="AA103" s="171" t="s">
        <v>20</v>
      </c>
      <c r="AB103" s="171" t="s">
        <v>12</v>
      </c>
      <c r="AC103" s="171">
        <v>26.5</v>
      </c>
      <c r="AD103" s="178" t="s">
        <v>109</v>
      </c>
      <c r="AE103" s="171" t="s">
        <v>89</v>
      </c>
      <c r="AF103" s="171" t="s">
        <v>11</v>
      </c>
      <c r="AG103" s="179">
        <v>4.5</v>
      </c>
      <c r="AL103" s="178"/>
      <c r="AO103" s="179"/>
      <c r="AP103" s="178"/>
      <c r="AS103" s="179"/>
      <c r="AW103" s="179"/>
      <c r="BA103" s="180"/>
    </row>
    <row r="104" spans="1:53" s="171" customFormat="1" x14ac:dyDescent="0.15">
      <c r="A104" s="171">
        <v>2004</v>
      </c>
      <c r="B104" s="283"/>
      <c r="C104" s="410" t="s">
        <v>366</v>
      </c>
      <c r="D104" s="410"/>
      <c r="E104" s="171">
        <v>0</v>
      </c>
      <c r="G104" s="233">
        <v>2</v>
      </c>
      <c r="H104" s="171">
        <v>8</v>
      </c>
      <c r="I104" s="171">
        <v>8</v>
      </c>
      <c r="J104" s="241">
        <v>18</v>
      </c>
      <c r="K104" s="214">
        <f t="shared" si="28"/>
        <v>11.111111111111111</v>
      </c>
      <c r="L104" s="214">
        <f t="shared" si="29"/>
        <v>44.444444444444443</v>
      </c>
      <c r="M104" s="214">
        <f t="shared" si="30"/>
        <v>44.444444444444443</v>
      </c>
      <c r="N104" s="235">
        <f t="shared" si="26"/>
        <v>100</v>
      </c>
      <c r="O104" s="213">
        <v>4.5</v>
      </c>
      <c r="P104" s="214">
        <v>27.5</v>
      </c>
      <c r="Q104" s="214">
        <v>26.5</v>
      </c>
      <c r="R104" s="215">
        <f t="shared" si="27"/>
        <v>58.5</v>
      </c>
      <c r="S104" s="171">
        <v>3</v>
      </c>
      <c r="T104" s="285"/>
      <c r="U104" s="283"/>
      <c r="V104" s="178" t="s">
        <v>107</v>
      </c>
      <c r="W104" s="171" t="s">
        <v>869</v>
      </c>
      <c r="X104" s="171" t="s">
        <v>18</v>
      </c>
      <c r="Y104" s="179">
        <v>27.5</v>
      </c>
      <c r="Z104" s="171" t="s">
        <v>111</v>
      </c>
      <c r="AA104" s="171" t="s">
        <v>20</v>
      </c>
      <c r="AB104" s="171" t="s">
        <v>12</v>
      </c>
      <c r="AC104" s="171">
        <v>26.5</v>
      </c>
      <c r="AD104" s="178" t="s">
        <v>109</v>
      </c>
      <c r="AE104" s="171" t="s">
        <v>89</v>
      </c>
      <c r="AF104" s="171" t="s">
        <v>11</v>
      </c>
      <c r="AG104" s="179">
        <v>4.5</v>
      </c>
      <c r="AL104" s="178"/>
      <c r="AO104" s="179"/>
      <c r="AP104" s="178"/>
      <c r="AS104" s="179"/>
      <c r="AW104" s="179"/>
      <c r="BA104" s="180"/>
    </row>
    <row r="105" spans="1:53" s="171" customFormat="1" x14ac:dyDescent="0.15">
      <c r="A105" s="171">
        <v>2004</v>
      </c>
      <c r="B105" s="283"/>
      <c r="C105" s="410" t="s">
        <v>366</v>
      </c>
      <c r="D105" s="410"/>
      <c r="E105" s="171">
        <v>366</v>
      </c>
      <c r="G105" s="233">
        <v>2</v>
      </c>
      <c r="H105" s="171">
        <v>8</v>
      </c>
      <c r="I105" s="171">
        <v>8</v>
      </c>
      <c r="J105" s="241">
        <v>18</v>
      </c>
      <c r="K105" s="214">
        <f t="shared" si="28"/>
        <v>11.111111111111111</v>
      </c>
      <c r="L105" s="214">
        <f t="shared" si="29"/>
        <v>44.444444444444443</v>
      </c>
      <c r="M105" s="214">
        <f t="shared" si="30"/>
        <v>44.444444444444443</v>
      </c>
      <c r="N105" s="235">
        <f t="shared" si="26"/>
        <v>100</v>
      </c>
      <c r="O105" s="213">
        <v>4.5</v>
      </c>
      <c r="P105" s="214">
        <v>27.5</v>
      </c>
      <c r="Q105" s="214">
        <v>26.5</v>
      </c>
      <c r="R105" s="215">
        <f t="shared" si="27"/>
        <v>58.5</v>
      </c>
      <c r="S105" s="171">
        <v>3</v>
      </c>
      <c r="T105" s="285"/>
      <c r="U105" s="283"/>
      <c r="V105" s="178" t="s">
        <v>107</v>
      </c>
      <c r="W105" s="171" t="s">
        <v>869</v>
      </c>
      <c r="X105" s="171" t="s">
        <v>18</v>
      </c>
      <c r="Y105" s="179">
        <v>27.5</v>
      </c>
      <c r="Z105" s="171" t="s">
        <v>111</v>
      </c>
      <c r="AA105" s="171" t="s">
        <v>20</v>
      </c>
      <c r="AB105" s="171" t="s">
        <v>12</v>
      </c>
      <c r="AC105" s="171">
        <v>26.5</v>
      </c>
      <c r="AD105" s="178" t="s">
        <v>109</v>
      </c>
      <c r="AE105" s="171" t="s">
        <v>89</v>
      </c>
      <c r="AF105" s="171" t="s">
        <v>11</v>
      </c>
      <c r="AG105" s="179">
        <v>4.5</v>
      </c>
      <c r="AL105" s="178"/>
      <c r="AO105" s="179"/>
      <c r="AP105" s="178"/>
      <c r="AS105" s="179"/>
      <c r="AW105" s="179"/>
      <c r="BA105" s="180"/>
    </row>
    <row r="106" spans="1:53" s="171" customFormat="1" x14ac:dyDescent="0.15">
      <c r="A106" s="171">
        <v>2005</v>
      </c>
      <c r="B106" s="283"/>
      <c r="C106" s="410" t="s">
        <v>366</v>
      </c>
      <c r="D106" s="410"/>
      <c r="E106" s="171">
        <v>0</v>
      </c>
      <c r="G106" s="233">
        <v>2</v>
      </c>
      <c r="H106" s="171">
        <v>8</v>
      </c>
      <c r="I106" s="171">
        <v>8</v>
      </c>
      <c r="J106" s="241">
        <v>18</v>
      </c>
      <c r="K106" s="214">
        <f t="shared" si="28"/>
        <v>11.111111111111111</v>
      </c>
      <c r="L106" s="214">
        <f t="shared" si="29"/>
        <v>44.444444444444443</v>
      </c>
      <c r="M106" s="214">
        <f t="shared" si="30"/>
        <v>44.444444444444443</v>
      </c>
      <c r="N106" s="235">
        <f t="shared" si="26"/>
        <v>100</v>
      </c>
      <c r="O106" s="213">
        <v>4.5</v>
      </c>
      <c r="P106" s="214">
        <v>27.5</v>
      </c>
      <c r="Q106" s="214">
        <v>26.5</v>
      </c>
      <c r="R106" s="215">
        <f t="shared" si="27"/>
        <v>58.5</v>
      </c>
      <c r="S106" s="171">
        <v>3</v>
      </c>
      <c r="T106" s="285"/>
      <c r="U106" s="283"/>
      <c r="V106" s="178" t="s">
        <v>107</v>
      </c>
      <c r="W106" s="171" t="s">
        <v>869</v>
      </c>
      <c r="X106" s="171" t="s">
        <v>18</v>
      </c>
      <c r="Y106" s="179">
        <v>27.5</v>
      </c>
      <c r="Z106" s="171" t="s">
        <v>111</v>
      </c>
      <c r="AA106" s="171" t="s">
        <v>20</v>
      </c>
      <c r="AB106" s="171" t="s">
        <v>12</v>
      </c>
      <c r="AC106" s="171">
        <v>26.5</v>
      </c>
      <c r="AD106" s="178" t="s">
        <v>109</v>
      </c>
      <c r="AE106" s="171" t="s">
        <v>89</v>
      </c>
      <c r="AF106" s="171" t="s">
        <v>11</v>
      </c>
      <c r="AG106" s="179">
        <v>4.5</v>
      </c>
      <c r="AL106" s="178"/>
      <c r="AO106" s="179"/>
      <c r="AP106" s="178"/>
      <c r="AS106" s="179"/>
      <c r="AW106" s="179"/>
      <c r="BA106" s="180"/>
    </row>
    <row r="107" spans="1:53" s="171" customFormat="1" x14ac:dyDescent="0.15">
      <c r="A107" s="171">
        <v>2005</v>
      </c>
      <c r="B107" s="283"/>
      <c r="C107" s="410" t="s">
        <v>366</v>
      </c>
      <c r="D107" s="410"/>
      <c r="E107" s="171">
        <f>365-E106</f>
        <v>365</v>
      </c>
      <c r="G107" s="233">
        <v>2</v>
      </c>
      <c r="H107" s="171">
        <v>8</v>
      </c>
      <c r="I107" s="171">
        <v>8</v>
      </c>
      <c r="J107" s="241">
        <v>18</v>
      </c>
      <c r="K107" s="214">
        <f t="shared" si="28"/>
        <v>11.111111111111111</v>
      </c>
      <c r="L107" s="214">
        <f t="shared" si="29"/>
        <v>44.444444444444443</v>
      </c>
      <c r="M107" s="214">
        <f t="shared" si="30"/>
        <v>44.444444444444443</v>
      </c>
      <c r="N107" s="235">
        <f t="shared" si="26"/>
        <v>100</v>
      </c>
      <c r="O107" s="213">
        <v>4.5</v>
      </c>
      <c r="P107" s="214">
        <v>27.5</v>
      </c>
      <c r="Q107" s="214">
        <v>26.5</v>
      </c>
      <c r="R107" s="215">
        <f t="shared" si="27"/>
        <v>58.5</v>
      </c>
      <c r="S107" s="171">
        <v>3</v>
      </c>
      <c r="T107" s="285"/>
      <c r="U107" s="283"/>
      <c r="V107" s="178" t="s">
        <v>107</v>
      </c>
      <c r="W107" s="171" t="s">
        <v>869</v>
      </c>
      <c r="X107" s="171" t="s">
        <v>18</v>
      </c>
      <c r="Y107" s="179">
        <v>27.5</v>
      </c>
      <c r="Z107" s="171" t="s">
        <v>111</v>
      </c>
      <c r="AA107" s="171" t="s">
        <v>20</v>
      </c>
      <c r="AB107" s="171" t="s">
        <v>12</v>
      </c>
      <c r="AC107" s="171">
        <v>26.5</v>
      </c>
      <c r="AD107" s="178" t="s">
        <v>109</v>
      </c>
      <c r="AE107" s="171" t="s">
        <v>89</v>
      </c>
      <c r="AF107" s="171" t="s">
        <v>11</v>
      </c>
      <c r="AG107" s="179">
        <v>4.5</v>
      </c>
      <c r="AL107" s="178"/>
      <c r="AO107" s="179"/>
      <c r="AP107" s="178"/>
      <c r="AS107" s="179"/>
      <c r="AW107" s="179"/>
      <c r="BA107" s="180"/>
    </row>
    <row r="108" spans="1:53" s="171" customFormat="1" x14ac:dyDescent="0.15">
      <c r="A108" s="171">
        <v>2006</v>
      </c>
      <c r="B108" s="283"/>
      <c r="C108" s="410" t="s">
        <v>366</v>
      </c>
      <c r="D108" s="410"/>
      <c r="E108" s="171">
        <v>0</v>
      </c>
      <c r="G108" s="233">
        <v>2</v>
      </c>
      <c r="H108" s="171">
        <v>8</v>
      </c>
      <c r="I108" s="171">
        <v>8</v>
      </c>
      <c r="J108" s="241">
        <v>18</v>
      </c>
      <c r="K108" s="214">
        <f t="shared" ref="K108:K117" si="31">G108/J108*100</f>
        <v>11.111111111111111</v>
      </c>
      <c r="L108" s="214">
        <f t="shared" ref="L108:L117" si="32">H108/J108*100</f>
        <v>44.444444444444443</v>
      </c>
      <c r="M108" s="214">
        <f t="shared" ref="M108:M117" si="33">I108/J108*100</f>
        <v>44.444444444444443</v>
      </c>
      <c r="N108" s="235">
        <f t="shared" si="26"/>
        <v>100</v>
      </c>
      <c r="O108" s="213">
        <v>4.5</v>
      </c>
      <c r="P108" s="214">
        <v>27.5</v>
      </c>
      <c r="Q108" s="214">
        <v>26.5</v>
      </c>
      <c r="R108" s="215">
        <f t="shared" si="27"/>
        <v>58.5</v>
      </c>
      <c r="S108" s="171">
        <v>3</v>
      </c>
      <c r="T108" s="285"/>
      <c r="U108" s="283"/>
      <c r="V108" s="178" t="s">
        <v>107</v>
      </c>
      <c r="W108" s="171" t="s">
        <v>869</v>
      </c>
      <c r="X108" s="171" t="s">
        <v>18</v>
      </c>
      <c r="Y108" s="179">
        <v>27.5</v>
      </c>
      <c r="Z108" s="171" t="s">
        <v>111</v>
      </c>
      <c r="AA108" s="171" t="s">
        <v>20</v>
      </c>
      <c r="AB108" s="171" t="s">
        <v>12</v>
      </c>
      <c r="AC108" s="171">
        <v>26.5</v>
      </c>
      <c r="AD108" s="178" t="s">
        <v>109</v>
      </c>
      <c r="AE108" s="171" t="s">
        <v>89</v>
      </c>
      <c r="AF108" s="171" t="s">
        <v>11</v>
      </c>
      <c r="AG108" s="179">
        <v>4.5</v>
      </c>
      <c r="AL108" s="178"/>
      <c r="AO108" s="179"/>
      <c r="AP108" s="178"/>
      <c r="AS108" s="179"/>
      <c r="AW108" s="179"/>
      <c r="BA108" s="180"/>
    </row>
    <row r="109" spans="1:53" s="171" customFormat="1" x14ac:dyDescent="0.15">
      <c r="A109" s="171">
        <v>2006</v>
      </c>
      <c r="B109" s="283"/>
      <c r="C109" s="410" t="s">
        <v>366</v>
      </c>
      <c r="D109" s="410"/>
      <c r="E109" s="171">
        <v>365</v>
      </c>
      <c r="G109" s="233">
        <v>2</v>
      </c>
      <c r="H109" s="171">
        <v>8</v>
      </c>
      <c r="I109" s="171">
        <v>8</v>
      </c>
      <c r="J109" s="241">
        <v>18</v>
      </c>
      <c r="K109" s="214">
        <f t="shared" si="31"/>
        <v>11.111111111111111</v>
      </c>
      <c r="L109" s="214">
        <f t="shared" si="32"/>
        <v>44.444444444444443</v>
      </c>
      <c r="M109" s="214">
        <f t="shared" si="33"/>
        <v>44.444444444444443</v>
      </c>
      <c r="N109" s="235">
        <f t="shared" si="26"/>
        <v>100</v>
      </c>
      <c r="O109" s="213">
        <v>4.5</v>
      </c>
      <c r="P109" s="214">
        <v>27.5</v>
      </c>
      <c r="Q109" s="214">
        <v>26.5</v>
      </c>
      <c r="R109" s="215">
        <f t="shared" si="27"/>
        <v>58.5</v>
      </c>
      <c r="S109" s="171">
        <v>3</v>
      </c>
      <c r="T109" s="285"/>
      <c r="U109" s="283"/>
      <c r="V109" s="178" t="s">
        <v>107</v>
      </c>
      <c r="W109" s="171" t="s">
        <v>869</v>
      </c>
      <c r="X109" s="171" t="s">
        <v>18</v>
      </c>
      <c r="Y109" s="179">
        <v>27.5</v>
      </c>
      <c r="Z109" s="171" t="s">
        <v>111</v>
      </c>
      <c r="AA109" s="171" t="s">
        <v>20</v>
      </c>
      <c r="AB109" s="171" t="s">
        <v>12</v>
      </c>
      <c r="AC109" s="171">
        <v>26.5</v>
      </c>
      <c r="AD109" s="178" t="s">
        <v>109</v>
      </c>
      <c r="AE109" s="171" t="s">
        <v>89</v>
      </c>
      <c r="AF109" s="171" t="s">
        <v>11</v>
      </c>
      <c r="AG109" s="179">
        <v>4.5</v>
      </c>
      <c r="AL109" s="178"/>
      <c r="AO109" s="179"/>
      <c r="AP109" s="178"/>
      <c r="AS109" s="179"/>
      <c r="AW109" s="179"/>
      <c r="BA109" s="180"/>
    </row>
    <row r="110" spans="1:53" s="171" customFormat="1" x14ac:dyDescent="0.15">
      <c r="A110" s="171">
        <v>2007</v>
      </c>
      <c r="B110" s="283"/>
      <c r="C110" s="410" t="s">
        <v>366</v>
      </c>
      <c r="D110" s="410"/>
      <c r="E110" s="171">
        <v>108</v>
      </c>
      <c r="G110" s="233">
        <v>2</v>
      </c>
      <c r="H110" s="171">
        <v>8</v>
      </c>
      <c r="I110" s="171">
        <v>8</v>
      </c>
      <c r="J110" s="241">
        <v>18</v>
      </c>
      <c r="K110" s="214">
        <f t="shared" si="31"/>
        <v>11.111111111111111</v>
      </c>
      <c r="L110" s="214">
        <f t="shared" si="32"/>
        <v>44.444444444444443</v>
      </c>
      <c r="M110" s="214">
        <f t="shared" si="33"/>
        <v>44.444444444444443</v>
      </c>
      <c r="N110" s="235">
        <f t="shared" si="26"/>
        <v>100</v>
      </c>
      <c r="O110" s="213">
        <v>4.5</v>
      </c>
      <c r="P110" s="214">
        <v>27.5</v>
      </c>
      <c r="Q110" s="214">
        <v>26.5</v>
      </c>
      <c r="R110" s="215">
        <f t="shared" si="27"/>
        <v>58.5</v>
      </c>
      <c r="S110" s="171">
        <v>3</v>
      </c>
      <c r="T110" s="285"/>
      <c r="U110" s="283"/>
      <c r="V110" s="178" t="s">
        <v>107</v>
      </c>
      <c r="W110" s="171" t="s">
        <v>869</v>
      </c>
      <c r="X110" s="171" t="s">
        <v>18</v>
      </c>
      <c r="Y110" s="179">
        <v>27.5</v>
      </c>
      <c r="Z110" s="171" t="s">
        <v>111</v>
      </c>
      <c r="AA110" s="171" t="s">
        <v>20</v>
      </c>
      <c r="AB110" s="171" t="s">
        <v>12</v>
      </c>
      <c r="AC110" s="171">
        <v>26.5</v>
      </c>
      <c r="AD110" s="178" t="s">
        <v>109</v>
      </c>
      <c r="AE110" s="171" t="s">
        <v>89</v>
      </c>
      <c r="AF110" s="171" t="s">
        <v>11</v>
      </c>
      <c r="AG110" s="179">
        <v>4.5</v>
      </c>
      <c r="AL110" s="178"/>
      <c r="AO110" s="179"/>
      <c r="AP110" s="178"/>
      <c r="AS110" s="179"/>
      <c r="AW110" s="179"/>
      <c r="BA110" s="180"/>
    </row>
    <row r="111" spans="1:53" s="29" customFormat="1" x14ac:dyDescent="0.15">
      <c r="A111" s="29">
        <v>2007</v>
      </c>
      <c r="B111" s="295">
        <v>39191</v>
      </c>
      <c r="C111" s="411" t="s">
        <v>367</v>
      </c>
      <c r="D111" s="411"/>
      <c r="E111" s="29">
        <f>365-E110</f>
        <v>257</v>
      </c>
      <c r="F111" s="29">
        <v>1</v>
      </c>
      <c r="G111" s="66">
        <v>10</v>
      </c>
      <c r="H111" s="29">
        <v>8</v>
      </c>
      <c r="I111" s="29">
        <v>2</v>
      </c>
      <c r="J111" s="73">
        <v>20</v>
      </c>
      <c r="K111" s="47">
        <f t="shared" si="31"/>
        <v>50</v>
      </c>
      <c r="L111" s="47">
        <f t="shared" si="32"/>
        <v>40</v>
      </c>
      <c r="M111" s="47">
        <f t="shared" si="33"/>
        <v>10</v>
      </c>
      <c r="N111" s="68">
        <f t="shared" si="26"/>
        <v>100</v>
      </c>
      <c r="O111" s="46">
        <v>30</v>
      </c>
      <c r="P111" s="47">
        <v>25.5</v>
      </c>
      <c r="Q111" s="47">
        <v>7.5</v>
      </c>
      <c r="R111" s="48">
        <f t="shared" si="27"/>
        <v>63</v>
      </c>
      <c r="S111" s="29">
        <v>3</v>
      </c>
      <c r="T111" s="286">
        <v>39159</v>
      </c>
      <c r="U111" s="295">
        <v>39191</v>
      </c>
      <c r="V111" s="38" t="s">
        <v>107</v>
      </c>
      <c r="W111" s="29" t="s">
        <v>869</v>
      </c>
      <c r="X111" s="29" t="s">
        <v>18</v>
      </c>
      <c r="Y111" s="39">
        <v>25.5</v>
      </c>
      <c r="Z111" s="38" t="s">
        <v>108</v>
      </c>
      <c r="AA111" s="29" t="s">
        <v>74</v>
      </c>
      <c r="AB111" s="29" t="s">
        <v>11</v>
      </c>
      <c r="AC111" s="29">
        <v>25</v>
      </c>
      <c r="AD111" s="38" t="s">
        <v>109</v>
      </c>
      <c r="AE111" s="29" t="s">
        <v>89</v>
      </c>
      <c r="AF111" s="29" t="s">
        <v>11</v>
      </c>
      <c r="AG111" s="39">
        <v>5</v>
      </c>
      <c r="AH111" s="38" t="s">
        <v>362</v>
      </c>
      <c r="AI111" s="29" t="s">
        <v>216</v>
      </c>
      <c r="AJ111" s="29" t="s">
        <v>12</v>
      </c>
      <c r="AK111" s="29">
        <v>7.5</v>
      </c>
      <c r="AL111" s="38"/>
      <c r="AO111" s="39"/>
      <c r="AP111" s="38"/>
      <c r="AS111" s="39"/>
      <c r="AW111" s="39"/>
      <c r="BA111" s="40"/>
    </row>
    <row r="112" spans="1:53" s="29" customFormat="1" x14ac:dyDescent="0.15">
      <c r="A112" s="29">
        <v>2008</v>
      </c>
      <c r="B112" s="295"/>
      <c r="C112" s="411" t="s">
        <v>367</v>
      </c>
      <c r="D112" s="411"/>
      <c r="E112" s="29">
        <v>0</v>
      </c>
      <c r="G112" s="66">
        <v>10</v>
      </c>
      <c r="H112" s="29">
        <v>8</v>
      </c>
      <c r="I112" s="29">
        <v>2</v>
      </c>
      <c r="J112" s="73">
        <v>20</v>
      </c>
      <c r="K112" s="47">
        <f t="shared" si="31"/>
        <v>50</v>
      </c>
      <c r="L112" s="47">
        <f t="shared" si="32"/>
        <v>40</v>
      </c>
      <c r="M112" s="47">
        <f t="shared" si="33"/>
        <v>10</v>
      </c>
      <c r="N112" s="68">
        <f t="shared" si="26"/>
        <v>100</v>
      </c>
      <c r="O112" s="46">
        <v>30</v>
      </c>
      <c r="P112" s="47">
        <v>25.5</v>
      </c>
      <c r="Q112" s="47">
        <v>7.5</v>
      </c>
      <c r="R112" s="48">
        <f t="shared" si="27"/>
        <v>63</v>
      </c>
      <c r="S112" s="29">
        <v>3</v>
      </c>
      <c r="T112" s="286"/>
      <c r="U112" s="295"/>
      <c r="V112" s="38" t="s">
        <v>107</v>
      </c>
      <c r="W112" s="29" t="s">
        <v>869</v>
      </c>
      <c r="X112" s="29" t="s">
        <v>18</v>
      </c>
      <c r="Y112" s="39">
        <v>25.5</v>
      </c>
      <c r="Z112" s="38" t="s">
        <v>108</v>
      </c>
      <c r="AA112" s="29" t="s">
        <v>74</v>
      </c>
      <c r="AB112" s="29" t="s">
        <v>11</v>
      </c>
      <c r="AC112" s="29">
        <v>25</v>
      </c>
      <c r="AD112" s="38" t="s">
        <v>109</v>
      </c>
      <c r="AE112" s="29" t="s">
        <v>89</v>
      </c>
      <c r="AF112" s="29" t="s">
        <v>11</v>
      </c>
      <c r="AG112" s="39">
        <v>5</v>
      </c>
      <c r="AH112" s="38" t="s">
        <v>362</v>
      </c>
      <c r="AI112" s="29" t="s">
        <v>216</v>
      </c>
      <c r="AJ112" s="29" t="s">
        <v>12</v>
      </c>
      <c r="AK112" s="29">
        <v>7.5</v>
      </c>
      <c r="AL112" s="38"/>
      <c r="AO112" s="39"/>
      <c r="AP112" s="38"/>
      <c r="AS112" s="39"/>
      <c r="AW112" s="39"/>
      <c r="BA112" s="40"/>
    </row>
    <row r="113" spans="1:53" s="29" customFormat="1" x14ac:dyDescent="0.15">
      <c r="A113" s="29">
        <v>2008</v>
      </c>
      <c r="B113" s="295"/>
      <c r="C113" s="411" t="s">
        <v>367</v>
      </c>
      <c r="D113" s="411"/>
      <c r="E113" s="29">
        <v>366</v>
      </c>
      <c r="G113" s="66">
        <v>10</v>
      </c>
      <c r="H113" s="29">
        <v>8</v>
      </c>
      <c r="I113" s="29">
        <v>2</v>
      </c>
      <c r="J113" s="73">
        <v>20</v>
      </c>
      <c r="K113" s="47">
        <f t="shared" si="31"/>
        <v>50</v>
      </c>
      <c r="L113" s="47">
        <f t="shared" si="32"/>
        <v>40</v>
      </c>
      <c r="M113" s="47">
        <f t="shared" si="33"/>
        <v>10</v>
      </c>
      <c r="N113" s="68">
        <f t="shared" si="26"/>
        <v>100</v>
      </c>
      <c r="O113" s="46">
        <v>30</v>
      </c>
      <c r="P113" s="47">
        <v>25.5</v>
      </c>
      <c r="Q113" s="47">
        <v>7.5</v>
      </c>
      <c r="R113" s="48">
        <f t="shared" si="27"/>
        <v>63</v>
      </c>
      <c r="S113" s="29">
        <v>3</v>
      </c>
      <c r="T113" s="286"/>
      <c r="U113" s="295"/>
      <c r="V113" s="38" t="s">
        <v>107</v>
      </c>
      <c r="W113" s="29" t="s">
        <v>869</v>
      </c>
      <c r="X113" s="29" t="s">
        <v>18</v>
      </c>
      <c r="Y113" s="39">
        <v>25.5</v>
      </c>
      <c r="Z113" s="38" t="s">
        <v>108</v>
      </c>
      <c r="AA113" s="29" t="s">
        <v>74</v>
      </c>
      <c r="AB113" s="29" t="s">
        <v>11</v>
      </c>
      <c r="AC113" s="29">
        <v>25</v>
      </c>
      <c r="AD113" s="38" t="s">
        <v>109</v>
      </c>
      <c r="AE113" s="29" t="s">
        <v>89</v>
      </c>
      <c r="AF113" s="29" t="s">
        <v>11</v>
      </c>
      <c r="AG113" s="39">
        <v>5</v>
      </c>
      <c r="AH113" s="38" t="s">
        <v>362</v>
      </c>
      <c r="AI113" s="29" t="s">
        <v>216</v>
      </c>
      <c r="AJ113" s="29" t="s">
        <v>12</v>
      </c>
      <c r="AK113" s="29">
        <v>7.5</v>
      </c>
      <c r="AL113" s="38"/>
      <c r="AO113" s="39"/>
      <c r="AP113" s="38"/>
      <c r="AS113" s="39"/>
      <c r="AW113" s="39"/>
      <c r="BA113" s="40"/>
    </row>
    <row r="114" spans="1:53" s="29" customFormat="1" x14ac:dyDescent="0.15">
      <c r="A114" s="29">
        <v>2009</v>
      </c>
      <c r="B114" s="295"/>
      <c r="C114" s="411" t="s">
        <v>367</v>
      </c>
      <c r="D114" s="411"/>
      <c r="E114" s="29">
        <v>0</v>
      </c>
      <c r="G114" s="66">
        <v>10</v>
      </c>
      <c r="H114" s="29">
        <v>8</v>
      </c>
      <c r="I114" s="29">
        <v>2</v>
      </c>
      <c r="J114" s="73">
        <v>20</v>
      </c>
      <c r="K114" s="47">
        <f t="shared" si="31"/>
        <v>50</v>
      </c>
      <c r="L114" s="47">
        <f t="shared" si="32"/>
        <v>40</v>
      </c>
      <c r="M114" s="47">
        <f t="shared" si="33"/>
        <v>10</v>
      </c>
      <c r="N114" s="68">
        <f t="shared" si="26"/>
        <v>100</v>
      </c>
      <c r="O114" s="46">
        <v>30</v>
      </c>
      <c r="P114" s="47">
        <v>25.5</v>
      </c>
      <c r="Q114" s="47">
        <v>7.5</v>
      </c>
      <c r="R114" s="48">
        <f t="shared" si="27"/>
        <v>63</v>
      </c>
      <c r="S114" s="29">
        <v>3</v>
      </c>
      <c r="T114" s="286"/>
      <c r="U114" s="295"/>
      <c r="V114" s="38" t="s">
        <v>107</v>
      </c>
      <c r="W114" s="29" t="s">
        <v>869</v>
      </c>
      <c r="X114" s="29" t="s">
        <v>18</v>
      </c>
      <c r="Y114" s="39">
        <v>25.5</v>
      </c>
      <c r="Z114" s="38" t="s">
        <v>108</v>
      </c>
      <c r="AA114" s="29" t="s">
        <v>74</v>
      </c>
      <c r="AB114" s="29" t="s">
        <v>11</v>
      </c>
      <c r="AC114" s="29">
        <v>25</v>
      </c>
      <c r="AD114" s="38" t="s">
        <v>109</v>
      </c>
      <c r="AE114" s="29" t="s">
        <v>89</v>
      </c>
      <c r="AF114" s="29" t="s">
        <v>11</v>
      </c>
      <c r="AG114" s="39">
        <v>5</v>
      </c>
      <c r="AH114" s="38" t="s">
        <v>362</v>
      </c>
      <c r="AI114" s="29" t="s">
        <v>216</v>
      </c>
      <c r="AJ114" s="29" t="s">
        <v>12</v>
      </c>
      <c r="AK114" s="29">
        <v>7.5</v>
      </c>
      <c r="AL114" s="38"/>
      <c r="AO114" s="39"/>
      <c r="AP114" s="38"/>
      <c r="AS114" s="39"/>
      <c r="AW114" s="39"/>
      <c r="BA114" s="40"/>
    </row>
    <row r="115" spans="1:53" s="29" customFormat="1" x14ac:dyDescent="0.15">
      <c r="A115" s="29">
        <v>2009</v>
      </c>
      <c r="B115" s="295"/>
      <c r="C115" s="411" t="s">
        <v>367</v>
      </c>
      <c r="D115" s="411"/>
      <c r="E115" s="29">
        <v>365</v>
      </c>
      <c r="G115" s="66">
        <v>10</v>
      </c>
      <c r="H115" s="29">
        <v>8</v>
      </c>
      <c r="I115" s="29">
        <v>2</v>
      </c>
      <c r="J115" s="73">
        <v>20</v>
      </c>
      <c r="K115" s="47">
        <f t="shared" si="31"/>
        <v>50</v>
      </c>
      <c r="L115" s="47">
        <f t="shared" si="32"/>
        <v>40</v>
      </c>
      <c r="M115" s="47">
        <f t="shared" si="33"/>
        <v>10</v>
      </c>
      <c r="N115" s="68">
        <f t="shared" si="26"/>
        <v>100</v>
      </c>
      <c r="O115" s="46">
        <v>30</v>
      </c>
      <c r="P115" s="47">
        <v>25.5</v>
      </c>
      <c r="Q115" s="47">
        <v>7.5</v>
      </c>
      <c r="R115" s="48">
        <f t="shared" si="27"/>
        <v>63</v>
      </c>
      <c r="S115" s="29">
        <v>3</v>
      </c>
      <c r="T115" s="286"/>
      <c r="U115" s="295"/>
      <c r="V115" s="38" t="s">
        <v>107</v>
      </c>
      <c r="W115" s="29" t="s">
        <v>869</v>
      </c>
      <c r="X115" s="29" t="s">
        <v>18</v>
      </c>
      <c r="Y115" s="39">
        <v>25.5</v>
      </c>
      <c r="Z115" s="38" t="s">
        <v>108</v>
      </c>
      <c r="AA115" s="29" t="s">
        <v>74</v>
      </c>
      <c r="AB115" s="29" t="s">
        <v>11</v>
      </c>
      <c r="AC115" s="29">
        <v>25</v>
      </c>
      <c r="AD115" s="38" t="s">
        <v>109</v>
      </c>
      <c r="AE115" s="29" t="s">
        <v>89</v>
      </c>
      <c r="AF115" s="29" t="s">
        <v>11</v>
      </c>
      <c r="AG115" s="39">
        <v>5</v>
      </c>
      <c r="AH115" s="38" t="s">
        <v>362</v>
      </c>
      <c r="AI115" s="29" t="s">
        <v>216</v>
      </c>
      <c r="AJ115" s="29" t="s">
        <v>12</v>
      </c>
      <c r="AK115" s="29">
        <v>7.5</v>
      </c>
      <c r="AL115" s="38"/>
      <c r="AO115" s="39"/>
      <c r="AP115" s="38"/>
      <c r="AS115" s="39"/>
      <c r="AW115" s="39"/>
      <c r="BA115" s="40"/>
    </row>
    <row r="116" spans="1:53" s="29" customFormat="1" x14ac:dyDescent="0.15">
      <c r="A116" s="29">
        <v>2010</v>
      </c>
      <c r="B116" s="295"/>
      <c r="C116" s="411" t="s">
        <v>367</v>
      </c>
      <c r="D116" s="411"/>
      <c r="E116" s="29">
        <v>172</v>
      </c>
      <c r="G116" s="66">
        <v>10</v>
      </c>
      <c r="H116" s="29">
        <v>8</v>
      </c>
      <c r="I116" s="29">
        <v>2</v>
      </c>
      <c r="J116" s="73">
        <v>20</v>
      </c>
      <c r="K116" s="47">
        <f t="shared" si="31"/>
        <v>50</v>
      </c>
      <c r="L116" s="47">
        <f t="shared" si="32"/>
        <v>40</v>
      </c>
      <c r="M116" s="47">
        <f t="shared" si="33"/>
        <v>10</v>
      </c>
      <c r="N116" s="68">
        <f t="shared" si="26"/>
        <v>100</v>
      </c>
      <c r="O116" s="46">
        <v>30</v>
      </c>
      <c r="P116" s="47">
        <v>25.5</v>
      </c>
      <c r="Q116" s="47">
        <v>7.5</v>
      </c>
      <c r="R116" s="48">
        <f t="shared" si="27"/>
        <v>63</v>
      </c>
      <c r="S116" s="29">
        <v>3</v>
      </c>
      <c r="T116" s="286"/>
      <c r="U116" s="295"/>
      <c r="V116" s="38" t="s">
        <v>107</v>
      </c>
      <c r="W116" s="29" t="s">
        <v>869</v>
      </c>
      <c r="X116" s="29" t="s">
        <v>18</v>
      </c>
      <c r="Y116" s="39">
        <v>25.5</v>
      </c>
      <c r="Z116" s="38" t="s">
        <v>108</v>
      </c>
      <c r="AA116" s="29" t="s">
        <v>74</v>
      </c>
      <c r="AB116" s="29" t="s">
        <v>11</v>
      </c>
      <c r="AC116" s="29">
        <v>25</v>
      </c>
      <c r="AD116" s="38" t="s">
        <v>109</v>
      </c>
      <c r="AE116" s="29" t="s">
        <v>89</v>
      </c>
      <c r="AF116" s="29" t="s">
        <v>11</v>
      </c>
      <c r="AG116" s="39">
        <v>5</v>
      </c>
      <c r="AH116" s="38" t="s">
        <v>362</v>
      </c>
      <c r="AI116" s="29" t="s">
        <v>216</v>
      </c>
      <c r="AJ116" s="29" t="s">
        <v>12</v>
      </c>
      <c r="AK116" s="29">
        <v>7.5</v>
      </c>
      <c r="AL116" s="38"/>
      <c r="AO116" s="39"/>
      <c r="AP116" s="38"/>
      <c r="AS116" s="39"/>
      <c r="AW116" s="39"/>
      <c r="BA116" s="40"/>
    </row>
    <row r="117" spans="1:53" s="171" customFormat="1" x14ac:dyDescent="0.15">
      <c r="A117" s="171">
        <v>2010</v>
      </c>
      <c r="B117" s="283">
        <v>40351</v>
      </c>
      <c r="C117" s="410" t="s">
        <v>368</v>
      </c>
      <c r="D117" s="410"/>
      <c r="E117" s="171">
        <f>365-E116</f>
        <v>193</v>
      </c>
      <c r="F117" s="171">
        <v>2</v>
      </c>
      <c r="G117" s="233">
        <v>10</v>
      </c>
      <c r="H117" s="171">
        <v>8</v>
      </c>
      <c r="I117" s="171">
        <v>2</v>
      </c>
      <c r="J117" s="241">
        <v>20</v>
      </c>
      <c r="K117" s="214">
        <f t="shared" si="31"/>
        <v>50</v>
      </c>
      <c r="L117" s="214">
        <f t="shared" si="32"/>
        <v>40</v>
      </c>
      <c r="M117" s="214">
        <f t="shared" si="33"/>
        <v>10</v>
      </c>
      <c r="N117" s="235">
        <f t="shared" si="26"/>
        <v>100</v>
      </c>
      <c r="O117" s="213">
        <v>30</v>
      </c>
      <c r="P117" s="214">
        <v>25.5</v>
      </c>
      <c r="Q117" s="214">
        <v>7.5</v>
      </c>
      <c r="R117" s="215">
        <f t="shared" si="27"/>
        <v>63</v>
      </c>
      <c r="S117" s="171">
        <v>3</v>
      </c>
      <c r="T117" s="285"/>
      <c r="U117" s="283">
        <v>40351</v>
      </c>
      <c r="V117" s="178" t="s">
        <v>107</v>
      </c>
      <c r="W117" s="171" t="s">
        <v>869</v>
      </c>
      <c r="X117" s="171" t="s">
        <v>18</v>
      </c>
      <c r="Y117" s="179">
        <v>25.5</v>
      </c>
      <c r="Z117" s="178" t="s">
        <v>108</v>
      </c>
      <c r="AA117" s="171" t="s">
        <v>74</v>
      </c>
      <c r="AB117" s="171" t="s">
        <v>11</v>
      </c>
      <c r="AC117" s="171">
        <v>25</v>
      </c>
      <c r="AD117" s="178" t="s">
        <v>109</v>
      </c>
      <c r="AE117" s="171" t="s">
        <v>89</v>
      </c>
      <c r="AF117" s="171" t="s">
        <v>11</v>
      </c>
      <c r="AG117" s="179">
        <v>5</v>
      </c>
      <c r="AH117" s="178" t="s">
        <v>362</v>
      </c>
      <c r="AI117" s="171" t="s">
        <v>216</v>
      </c>
      <c r="AJ117" s="171" t="s">
        <v>12</v>
      </c>
      <c r="AK117" s="171">
        <v>7.5</v>
      </c>
      <c r="AL117" s="178"/>
      <c r="AO117" s="179"/>
      <c r="AP117" s="178"/>
      <c r="AS117" s="179"/>
      <c r="AW117" s="179"/>
      <c r="BA117" s="180"/>
    </row>
    <row r="118" spans="1:53" s="171" customFormat="1" x14ac:dyDescent="0.15">
      <c r="A118" s="171">
        <v>2011</v>
      </c>
      <c r="B118" s="283"/>
      <c r="C118" s="410" t="s">
        <v>368</v>
      </c>
      <c r="D118" s="410"/>
      <c r="E118" s="171">
        <v>172</v>
      </c>
      <c r="G118" s="233">
        <v>10</v>
      </c>
      <c r="H118" s="171">
        <v>8</v>
      </c>
      <c r="I118" s="171">
        <v>2</v>
      </c>
      <c r="J118" s="241">
        <v>20</v>
      </c>
      <c r="K118" s="214">
        <f t="shared" ref="K118:K123" si="34">G118/J118*100</f>
        <v>50</v>
      </c>
      <c r="L118" s="214">
        <f t="shared" ref="L118:L123" si="35">H118/J118*100</f>
        <v>40</v>
      </c>
      <c r="M118" s="214">
        <f t="shared" ref="M118:M123" si="36">I118/J118*100</f>
        <v>10</v>
      </c>
      <c r="N118" s="235">
        <f t="shared" si="26"/>
        <v>100</v>
      </c>
      <c r="O118" s="213">
        <v>30</v>
      </c>
      <c r="P118" s="214">
        <v>25.5</v>
      </c>
      <c r="Q118" s="214">
        <v>7.5</v>
      </c>
      <c r="R118" s="215">
        <f t="shared" si="27"/>
        <v>63</v>
      </c>
      <c r="S118" s="171">
        <v>3</v>
      </c>
      <c r="T118" s="285"/>
      <c r="U118" s="283"/>
      <c r="V118" s="178" t="s">
        <v>107</v>
      </c>
      <c r="W118" s="171" t="s">
        <v>869</v>
      </c>
      <c r="X118" s="171" t="s">
        <v>18</v>
      </c>
      <c r="Y118" s="179">
        <v>25.5</v>
      </c>
      <c r="Z118" s="178" t="s">
        <v>108</v>
      </c>
      <c r="AA118" s="171" t="s">
        <v>74</v>
      </c>
      <c r="AB118" s="171" t="s">
        <v>11</v>
      </c>
      <c r="AC118" s="171">
        <v>25</v>
      </c>
      <c r="AD118" s="178" t="s">
        <v>109</v>
      </c>
      <c r="AE118" s="171" t="s">
        <v>89</v>
      </c>
      <c r="AF118" s="171" t="s">
        <v>11</v>
      </c>
      <c r="AG118" s="179">
        <v>5</v>
      </c>
      <c r="AH118" s="178" t="s">
        <v>362</v>
      </c>
      <c r="AI118" s="171" t="s">
        <v>216</v>
      </c>
      <c r="AJ118" s="171" t="s">
        <v>12</v>
      </c>
      <c r="AK118" s="171">
        <v>7.5</v>
      </c>
      <c r="AL118" s="178"/>
      <c r="AO118" s="179"/>
      <c r="AP118" s="178"/>
      <c r="AS118" s="179"/>
      <c r="AW118" s="179"/>
      <c r="BA118" s="180"/>
    </row>
    <row r="119" spans="1:53" s="29" customFormat="1" x14ac:dyDescent="0.15">
      <c r="A119" s="29">
        <v>2011</v>
      </c>
      <c r="B119" s="295">
        <v>40716</v>
      </c>
      <c r="C119" s="411" t="s">
        <v>369</v>
      </c>
      <c r="D119" s="411"/>
      <c r="E119" s="29">
        <v>193</v>
      </c>
      <c r="F119" s="29">
        <v>1</v>
      </c>
      <c r="G119" s="66">
        <v>8</v>
      </c>
      <c r="H119" s="29">
        <v>1</v>
      </c>
      <c r="I119" s="29">
        <v>10</v>
      </c>
      <c r="J119" s="73">
        <v>19</v>
      </c>
      <c r="K119" s="47">
        <f t="shared" si="34"/>
        <v>42.105263157894733</v>
      </c>
      <c r="L119" s="47">
        <f t="shared" si="35"/>
        <v>5.2631578947368416</v>
      </c>
      <c r="M119" s="47">
        <f t="shared" si="36"/>
        <v>52.631578947368418</v>
      </c>
      <c r="N119" s="68">
        <f t="shared" si="26"/>
        <v>100</v>
      </c>
      <c r="O119" s="46">
        <v>27</v>
      </c>
      <c r="P119" s="47">
        <v>3</v>
      </c>
      <c r="Q119" s="47">
        <v>33</v>
      </c>
      <c r="R119" s="48">
        <f t="shared" si="27"/>
        <v>63</v>
      </c>
      <c r="S119" s="29">
        <v>3</v>
      </c>
      <c r="T119" s="286">
        <v>40650</v>
      </c>
      <c r="U119" s="295">
        <v>40716</v>
      </c>
      <c r="V119" s="38" t="s">
        <v>108</v>
      </c>
      <c r="W119" s="29" t="s">
        <v>74</v>
      </c>
      <c r="X119" s="29" t="s">
        <v>11</v>
      </c>
      <c r="Y119" s="39">
        <v>22</v>
      </c>
      <c r="Z119" s="29" t="s">
        <v>111</v>
      </c>
      <c r="AA119" s="29" t="s">
        <v>20</v>
      </c>
      <c r="AB119" s="29" t="s">
        <v>12</v>
      </c>
      <c r="AC119" s="29">
        <v>21</v>
      </c>
      <c r="AD119" s="38" t="s">
        <v>109</v>
      </c>
      <c r="AE119" s="29" t="s">
        <v>89</v>
      </c>
      <c r="AF119" s="29" t="s">
        <v>11</v>
      </c>
      <c r="AG119" s="39">
        <v>5</v>
      </c>
      <c r="AH119" s="38" t="s">
        <v>362</v>
      </c>
      <c r="AI119" s="29" t="s">
        <v>216</v>
      </c>
      <c r="AJ119" s="29" t="s">
        <v>12</v>
      </c>
      <c r="AK119" s="29">
        <v>5</v>
      </c>
      <c r="AL119" s="38" t="s">
        <v>361</v>
      </c>
      <c r="AM119" s="29" t="s">
        <v>191</v>
      </c>
      <c r="AN119" s="29" t="s">
        <v>12</v>
      </c>
      <c r="AO119" s="39">
        <v>7</v>
      </c>
      <c r="AP119" s="38" t="s">
        <v>370</v>
      </c>
      <c r="AQ119" s="29" t="s">
        <v>17</v>
      </c>
      <c r="AR119" s="29" t="s">
        <v>18</v>
      </c>
      <c r="AS119" s="39">
        <v>3</v>
      </c>
      <c r="AW119" s="39"/>
      <c r="BA119" s="40"/>
    </row>
    <row r="120" spans="1:53" s="29" customFormat="1" x14ac:dyDescent="0.15">
      <c r="A120" s="29">
        <v>2012</v>
      </c>
      <c r="B120" s="295"/>
      <c r="C120" s="411" t="s">
        <v>369</v>
      </c>
      <c r="D120" s="411"/>
      <c r="E120" s="29">
        <v>0</v>
      </c>
      <c r="G120" s="66">
        <v>8</v>
      </c>
      <c r="H120" s="29">
        <v>1</v>
      </c>
      <c r="I120" s="29">
        <v>10</v>
      </c>
      <c r="J120" s="73">
        <v>19</v>
      </c>
      <c r="K120" s="47">
        <f t="shared" si="34"/>
        <v>42.105263157894733</v>
      </c>
      <c r="L120" s="47">
        <f t="shared" si="35"/>
        <v>5.2631578947368416</v>
      </c>
      <c r="M120" s="47">
        <f t="shared" si="36"/>
        <v>52.631578947368418</v>
      </c>
      <c r="N120" s="68">
        <f t="shared" si="26"/>
        <v>100</v>
      </c>
      <c r="O120" s="46">
        <v>27</v>
      </c>
      <c r="P120" s="47">
        <v>3</v>
      </c>
      <c r="Q120" s="47">
        <v>33</v>
      </c>
      <c r="R120" s="48">
        <f t="shared" si="27"/>
        <v>63</v>
      </c>
      <c r="S120" s="29">
        <v>3</v>
      </c>
      <c r="T120" s="286"/>
      <c r="U120" s="295"/>
      <c r="V120" s="38" t="s">
        <v>108</v>
      </c>
      <c r="W120" s="29" t="s">
        <v>74</v>
      </c>
      <c r="X120" s="29" t="s">
        <v>11</v>
      </c>
      <c r="Y120" s="39">
        <v>22</v>
      </c>
      <c r="Z120" s="29" t="s">
        <v>111</v>
      </c>
      <c r="AA120" s="29" t="s">
        <v>20</v>
      </c>
      <c r="AB120" s="29" t="s">
        <v>12</v>
      </c>
      <c r="AC120" s="29">
        <v>21</v>
      </c>
      <c r="AD120" s="38" t="s">
        <v>109</v>
      </c>
      <c r="AE120" s="29" t="s">
        <v>89</v>
      </c>
      <c r="AF120" s="29" t="s">
        <v>11</v>
      </c>
      <c r="AG120" s="39">
        <v>5</v>
      </c>
      <c r="AH120" s="38" t="s">
        <v>362</v>
      </c>
      <c r="AI120" s="29" t="s">
        <v>216</v>
      </c>
      <c r="AJ120" s="29" t="s">
        <v>12</v>
      </c>
      <c r="AK120" s="29">
        <v>5</v>
      </c>
      <c r="AL120" s="38" t="s">
        <v>361</v>
      </c>
      <c r="AM120" s="29" t="s">
        <v>191</v>
      </c>
      <c r="AN120" s="29" t="s">
        <v>12</v>
      </c>
      <c r="AO120" s="39">
        <v>7</v>
      </c>
      <c r="AP120" s="38" t="s">
        <v>370</v>
      </c>
      <c r="AQ120" s="29" t="s">
        <v>17</v>
      </c>
      <c r="AR120" s="29" t="s">
        <v>18</v>
      </c>
      <c r="AS120" s="39">
        <v>3</v>
      </c>
      <c r="AW120" s="39"/>
      <c r="BA120" s="40"/>
    </row>
    <row r="121" spans="1:53" s="29" customFormat="1" x14ac:dyDescent="0.15">
      <c r="A121" s="29">
        <v>2012</v>
      </c>
      <c r="B121" s="295"/>
      <c r="C121" s="411" t="s">
        <v>369</v>
      </c>
      <c r="D121" s="411"/>
      <c r="E121" s="29">
        <v>366</v>
      </c>
      <c r="G121" s="66">
        <v>8</v>
      </c>
      <c r="H121" s="29">
        <v>1</v>
      </c>
      <c r="I121" s="29">
        <v>10</v>
      </c>
      <c r="J121" s="73">
        <v>19</v>
      </c>
      <c r="K121" s="47">
        <f t="shared" si="34"/>
        <v>42.105263157894733</v>
      </c>
      <c r="L121" s="47">
        <f t="shared" si="35"/>
        <v>5.2631578947368416</v>
      </c>
      <c r="M121" s="47">
        <f t="shared" si="36"/>
        <v>52.631578947368418</v>
      </c>
      <c r="N121" s="68">
        <f t="shared" si="26"/>
        <v>100</v>
      </c>
      <c r="O121" s="46">
        <v>27</v>
      </c>
      <c r="P121" s="47">
        <v>3</v>
      </c>
      <c r="Q121" s="47">
        <v>33</v>
      </c>
      <c r="R121" s="48">
        <f t="shared" si="27"/>
        <v>63</v>
      </c>
      <c r="S121" s="29">
        <v>3</v>
      </c>
      <c r="T121" s="286"/>
      <c r="U121" s="295"/>
      <c r="V121" s="38" t="s">
        <v>108</v>
      </c>
      <c r="W121" s="29" t="s">
        <v>74</v>
      </c>
      <c r="X121" s="29" t="s">
        <v>11</v>
      </c>
      <c r="Y121" s="39">
        <v>22</v>
      </c>
      <c r="Z121" s="29" t="s">
        <v>111</v>
      </c>
      <c r="AA121" s="29" t="s">
        <v>20</v>
      </c>
      <c r="AB121" s="29" t="s">
        <v>12</v>
      </c>
      <c r="AC121" s="29">
        <v>21</v>
      </c>
      <c r="AD121" s="38" t="s">
        <v>109</v>
      </c>
      <c r="AE121" s="29" t="s">
        <v>89</v>
      </c>
      <c r="AF121" s="29" t="s">
        <v>11</v>
      </c>
      <c r="AG121" s="39">
        <v>5</v>
      </c>
      <c r="AH121" s="38" t="s">
        <v>362</v>
      </c>
      <c r="AI121" s="29" t="s">
        <v>216</v>
      </c>
      <c r="AJ121" s="29" t="s">
        <v>12</v>
      </c>
      <c r="AK121" s="29">
        <v>5</v>
      </c>
      <c r="AL121" s="38" t="s">
        <v>361</v>
      </c>
      <c r="AM121" s="29" t="s">
        <v>191</v>
      </c>
      <c r="AN121" s="29" t="s">
        <v>12</v>
      </c>
      <c r="AO121" s="39">
        <v>7</v>
      </c>
      <c r="AP121" s="38" t="s">
        <v>370</v>
      </c>
      <c r="AQ121" s="29" t="s">
        <v>17</v>
      </c>
      <c r="AR121" s="29" t="s">
        <v>18</v>
      </c>
      <c r="AS121" s="39">
        <v>3</v>
      </c>
      <c r="AW121" s="39"/>
      <c r="BA121" s="40"/>
    </row>
    <row r="122" spans="1:53" s="29" customFormat="1" x14ac:dyDescent="0.15">
      <c r="A122" s="29">
        <v>2013</v>
      </c>
      <c r="B122" s="295"/>
      <c r="C122" s="411" t="s">
        <v>369</v>
      </c>
      <c r="D122" s="411"/>
      <c r="E122" s="29">
        <v>0</v>
      </c>
      <c r="G122" s="66">
        <v>8</v>
      </c>
      <c r="H122" s="29">
        <v>1</v>
      </c>
      <c r="I122" s="29">
        <v>10</v>
      </c>
      <c r="J122" s="73">
        <v>19</v>
      </c>
      <c r="K122" s="47">
        <f t="shared" si="34"/>
        <v>42.105263157894733</v>
      </c>
      <c r="L122" s="47">
        <f t="shared" si="35"/>
        <v>5.2631578947368416</v>
      </c>
      <c r="M122" s="47">
        <f t="shared" si="36"/>
        <v>52.631578947368418</v>
      </c>
      <c r="N122" s="68">
        <f t="shared" si="26"/>
        <v>100</v>
      </c>
      <c r="O122" s="46">
        <v>27</v>
      </c>
      <c r="P122" s="47">
        <v>3</v>
      </c>
      <c r="Q122" s="47">
        <v>33</v>
      </c>
      <c r="R122" s="48">
        <f t="shared" ref="R122:R127" si="37">SUM(O122:Q122)</f>
        <v>63</v>
      </c>
      <c r="S122" s="29">
        <v>3</v>
      </c>
      <c r="T122" s="286"/>
      <c r="U122" s="295"/>
      <c r="V122" s="38" t="s">
        <v>108</v>
      </c>
      <c r="W122" s="29" t="s">
        <v>74</v>
      </c>
      <c r="X122" s="29" t="s">
        <v>11</v>
      </c>
      <c r="Y122" s="39">
        <v>22</v>
      </c>
      <c r="Z122" s="29" t="s">
        <v>111</v>
      </c>
      <c r="AA122" s="29" t="s">
        <v>20</v>
      </c>
      <c r="AB122" s="29" t="s">
        <v>12</v>
      </c>
      <c r="AC122" s="29">
        <v>21</v>
      </c>
      <c r="AD122" s="38" t="s">
        <v>109</v>
      </c>
      <c r="AE122" s="29" t="s">
        <v>89</v>
      </c>
      <c r="AF122" s="29" t="s">
        <v>11</v>
      </c>
      <c r="AG122" s="39">
        <v>5</v>
      </c>
      <c r="AH122" s="38" t="s">
        <v>362</v>
      </c>
      <c r="AI122" s="29" t="s">
        <v>216</v>
      </c>
      <c r="AJ122" s="29" t="s">
        <v>12</v>
      </c>
      <c r="AK122" s="29">
        <v>5</v>
      </c>
      <c r="AL122" s="38" t="s">
        <v>361</v>
      </c>
      <c r="AM122" s="29" t="s">
        <v>191</v>
      </c>
      <c r="AN122" s="29" t="s">
        <v>12</v>
      </c>
      <c r="AO122" s="39">
        <v>7</v>
      </c>
      <c r="AP122" s="38" t="s">
        <v>370</v>
      </c>
      <c r="AQ122" s="29" t="s">
        <v>17</v>
      </c>
      <c r="AR122" s="29" t="s">
        <v>18</v>
      </c>
      <c r="AS122" s="39">
        <v>3</v>
      </c>
      <c r="AW122" s="39"/>
      <c r="BA122" s="40"/>
    </row>
    <row r="123" spans="1:53" s="29" customFormat="1" x14ac:dyDescent="0.15">
      <c r="A123" s="29">
        <v>2013</v>
      </c>
      <c r="B123" s="295"/>
      <c r="C123" s="411" t="s">
        <v>369</v>
      </c>
      <c r="D123" s="411"/>
      <c r="E123" s="29">
        <v>365</v>
      </c>
      <c r="G123" s="66">
        <v>8</v>
      </c>
      <c r="H123" s="29">
        <v>1</v>
      </c>
      <c r="I123" s="29">
        <v>10</v>
      </c>
      <c r="J123" s="73">
        <v>19</v>
      </c>
      <c r="K123" s="47">
        <f t="shared" si="34"/>
        <v>42.105263157894733</v>
      </c>
      <c r="L123" s="47">
        <f t="shared" si="35"/>
        <v>5.2631578947368416</v>
      </c>
      <c r="M123" s="47">
        <f t="shared" si="36"/>
        <v>52.631578947368418</v>
      </c>
      <c r="N123" s="68">
        <f t="shared" si="26"/>
        <v>100</v>
      </c>
      <c r="O123" s="46">
        <v>27</v>
      </c>
      <c r="P123" s="47">
        <v>3</v>
      </c>
      <c r="Q123" s="47">
        <v>33</v>
      </c>
      <c r="R123" s="48">
        <f t="shared" si="37"/>
        <v>63</v>
      </c>
      <c r="S123" s="29">
        <v>3</v>
      </c>
      <c r="T123" s="286"/>
      <c r="U123" s="295"/>
      <c r="V123" s="38" t="s">
        <v>108</v>
      </c>
      <c r="W123" s="29" t="s">
        <v>74</v>
      </c>
      <c r="X123" s="29" t="s">
        <v>11</v>
      </c>
      <c r="Y123" s="39">
        <v>22</v>
      </c>
      <c r="Z123" s="29" t="s">
        <v>111</v>
      </c>
      <c r="AA123" s="29" t="s">
        <v>20</v>
      </c>
      <c r="AB123" s="29" t="s">
        <v>12</v>
      </c>
      <c r="AC123" s="29">
        <v>21</v>
      </c>
      <c r="AD123" s="38" t="s">
        <v>109</v>
      </c>
      <c r="AE123" s="29" t="s">
        <v>89</v>
      </c>
      <c r="AF123" s="29" t="s">
        <v>11</v>
      </c>
      <c r="AG123" s="39">
        <v>5</v>
      </c>
      <c r="AH123" s="29" t="s">
        <v>362</v>
      </c>
      <c r="AI123" s="29" t="s">
        <v>216</v>
      </c>
      <c r="AJ123" s="29" t="s">
        <v>12</v>
      </c>
      <c r="AK123" s="29">
        <v>5</v>
      </c>
      <c r="AL123" s="38" t="s">
        <v>361</v>
      </c>
      <c r="AM123" s="29" t="s">
        <v>191</v>
      </c>
      <c r="AN123" s="29" t="s">
        <v>12</v>
      </c>
      <c r="AO123" s="39">
        <v>7</v>
      </c>
      <c r="AP123" s="38" t="s">
        <v>370</v>
      </c>
      <c r="AQ123" s="29" t="s">
        <v>17</v>
      </c>
      <c r="AR123" s="29" t="s">
        <v>18</v>
      </c>
      <c r="AS123" s="39">
        <v>3</v>
      </c>
      <c r="AW123" s="39"/>
      <c r="BA123" s="40"/>
    </row>
    <row r="124" spans="1:53" s="29" customFormat="1" x14ac:dyDescent="0.15">
      <c r="A124" s="29">
        <v>2014</v>
      </c>
      <c r="B124" s="295"/>
      <c r="C124" s="411" t="s">
        <v>369</v>
      </c>
      <c r="D124" s="411"/>
      <c r="E124" s="29">
        <v>93</v>
      </c>
      <c r="G124" s="66">
        <v>8</v>
      </c>
      <c r="H124" s="29">
        <v>1</v>
      </c>
      <c r="I124" s="29">
        <v>10</v>
      </c>
      <c r="J124" s="73">
        <v>19</v>
      </c>
      <c r="K124" s="47">
        <f t="shared" ref="K124:K129" si="38">G124/J124*100</f>
        <v>42.105263157894733</v>
      </c>
      <c r="L124" s="47">
        <f t="shared" ref="L124:L129" si="39">H124/J124*100</f>
        <v>5.2631578947368416</v>
      </c>
      <c r="M124" s="47">
        <f t="shared" ref="M124:M129" si="40">I124/J124*100</f>
        <v>52.631578947368418</v>
      </c>
      <c r="N124" s="68">
        <f t="shared" ref="N124:N129" si="41">SUM(K124:M124)</f>
        <v>100</v>
      </c>
      <c r="O124" s="46">
        <v>27</v>
      </c>
      <c r="P124" s="47">
        <v>3</v>
      </c>
      <c r="Q124" s="47">
        <v>33</v>
      </c>
      <c r="R124" s="48">
        <f t="shared" si="37"/>
        <v>63</v>
      </c>
      <c r="S124" s="29">
        <v>3</v>
      </c>
      <c r="T124" s="286"/>
      <c r="U124" s="295"/>
      <c r="V124" s="38" t="s">
        <v>108</v>
      </c>
      <c r="W124" s="29" t="s">
        <v>74</v>
      </c>
      <c r="X124" s="29" t="s">
        <v>11</v>
      </c>
      <c r="Y124" s="39">
        <v>22</v>
      </c>
      <c r="Z124" s="29" t="s">
        <v>111</v>
      </c>
      <c r="AA124" s="29" t="s">
        <v>20</v>
      </c>
      <c r="AB124" s="29" t="s">
        <v>12</v>
      </c>
      <c r="AC124" s="29">
        <v>21</v>
      </c>
      <c r="AD124" s="38" t="s">
        <v>109</v>
      </c>
      <c r="AE124" s="29" t="s">
        <v>89</v>
      </c>
      <c r="AF124" s="29" t="s">
        <v>11</v>
      </c>
      <c r="AG124" s="39">
        <v>5</v>
      </c>
      <c r="AH124" s="29" t="s">
        <v>362</v>
      </c>
      <c r="AI124" s="29" t="s">
        <v>216</v>
      </c>
      <c r="AJ124" s="29" t="s">
        <v>12</v>
      </c>
      <c r="AK124" s="29">
        <v>5</v>
      </c>
      <c r="AL124" s="38" t="s">
        <v>361</v>
      </c>
      <c r="AM124" s="29" t="s">
        <v>191</v>
      </c>
      <c r="AN124" s="29" t="s">
        <v>12</v>
      </c>
      <c r="AO124" s="39">
        <v>7</v>
      </c>
      <c r="AP124" s="38" t="s">
        <v>370</v>
      </c>
      <c r="AQ124" s="29" t="s">
        <v>17</v>
      </c>
      <c r="AR124" s="29" t="s">
        <v>18</v>
      </c>
      <c r="AS124" s="39">
        <v>3</v>
      </c>
      <c r="AW124" s="39"/>
      <c r="BA124" s="40"/>
    </row>
    <row r="125" spans="1:53" s="29" customFormat="1" x14ac:dyDescent="0.15">
      <c r="A125" s="29">
        <v>2014</v>
      </c>
      <c r="B125" s="303">
        <v>41733</v>
      </c>
      <c r="C125" s="411" t="s">
        <v>369</v>
      </c>
      <c r="D125" s="411"/>
      <c r="E125" s="29">
        <v>81</v>
      </c>
      <c r="F125" s="84">
        <v>0</v>
      </c>
      <c r="G125" s="66">
        <v>9</v>
      </c>
      <c r="H125" s="29">
        <v>1</v>
      </c>
      <c r="I125" s="29">
        <v>9</v>
      </c>
      <c r="J125" s="73">
        <v>19</v>
      </c>
      <c r="K125" s="47">
        <f t="shared" si="38"/>
        <v>47.368421052631575</v>
      </c>
      <c r="L125" s="47">
        <f t="shared" si="39"/>
        <v>5.2631578947368416</v>
      </c>
      <c r="M125" s="47">
        <f t="shared" si="40"/>
        <v>47.368421052631575</v>
      </c>
      <c r="N125" s="68">
        <f t="shared" si="41"/>
        <v>100</v>
      </c>
      <c r="O125" s="46">
        <v>27</v>
      </c>
      <c r="P125" s="47">
        <v>3</v>
      </c>
      <c r="Q125" s="47">
        <v>26</v>
      </c>
      <c r="R125" s="48">
        <f t="shared" si="37"/>
        <v>56</v>
      </c>
      <c r="S125" s="29">
        <v>3</v>
      </c>
      <c r="T125" s="286"/>
      <c r="U125" s="295"/>
      <c r="V125" s="38" t="s">
        <v>108</v>
      </c>
      <c r="W125" s="29" t="s">
        <v>74</v>
      </c>
      <c r="X125" s="29" t="s">
        <v>11</v>
      </c>
      <c r="Y125" s="39">
        <v>22</v>
      </c>
      <c r="Z125" s="29" t="s">
        <v>111</v>
      </c>
      <c r="AA125" s="29" t="s">
        <v>20</v>
      </c>
      <c r="AB125" s="29" t="s">
        <v>12</v>
      </c>
      <c r="AC125" s="29">
        <v>21</v>
      </c>
      <c r="AD125" s="38" t="s">
        <v>109</v>
      </c>
      <c r="AE125" s="29" t="s">
        <v>89</v>
      </c>
      <c r="AF125" s="29" t="s">
        <v>11</v>
      </c>
      <c r="AG125" s="39">
        <v>5</v>
      </c>
      <c r="AH125" s="29" t="s">
        <v>362</v>
      </c>
      <c r="AI125" s="29" t="s">
        <v>216</v>
      </c>
      <c r="AJ125" s="29" t="s">
        <v>12</v>
      </c>
      <c r="AK125" s="29">
        <v>5</v>
      </c>
      <c r="AL125" s="38" t="s">
        <v>370</v>
      </c>
      <c r="AM125" s="29" t="s">
        <v>17</v>
      </c>
      <c r="AN125" s="29" t="s">
        <v>18</v>
      </c>
      <c r="AO125" s="39">
        <v>3</v>
      </c>
      <c r="AP125" s="38"/>
      <c r="AS125" s="39"/>
      <c r="AW125" s="39"/>
      <c r="BA125" s="40"/>
    </row>
    <row r="126" spans="1:53" s="171" customFormat="1" x14ac:dyDescent="0.15">
      <c r="A126" s="171">
        <v>2014</v>
      </c>
      <c r="B126" s="283">
        <v>41814</v>
      </c>
      <c r="C126" s="410" t="s">
        <v>1306</v>
      </c>
      <c r="D126" s="410"/>
      <c r="E126" s="171">
        <v>97</v>
      </c>
      <c r="F126" s="171">
        <v>2</v>
      </c>
      <c r="G126" s="233">
        <v>8</v>
      </c>
      <c r="H126" s="171">
        <v>1</v>
      </c>
      <c r="I126" s="171">
        <v>8</v>
      </c>
      <c r="J126" s="241">
        <v>17</v>
      </c>
      <c r="K126" s="214">
        <f t="shared" si="38"/>
        <v>47.058823529411761</v>
      </c>
      <c r="L126" s="214">
        <f t="shared" si="39"/>
        <v>5.8823529411764701</v>
      </c>
      <c r="M126" s="214">
        <f t="shared" si="40"/>
        <v>47.058823529411761</v>
      </c>
      <c r="N126" s="235">
        <f t="shared" si="41"/>
        <v>100</v>
      </c>
      <c r="O126" s="213">
        <v>27</v>
      </c>
      <c r="P126" s="214">
        <v>3</v>
      </c>
      <c r="Q126" s="214">
        <v>26</v>
      </c>
      <c r="R126" s="215">
        <f t="shared" si="37"/>
        <v>56</v>
      </c>
      <c r="S126" s="171">
        <v>3</v>
      </c>
      <c r="T126" s="285"/>
      <c r="U126" s="283">
        <v>41814</v>
      </c>
      <c r="V126" s="178" t="s">
        <v>108</v>
      </c>
      <c r="W126" s="171" t="s">
        <v>74</v>
      </c>
      <c r="X126" s="171" t="s">
        <v>11</v>
      </c>
      <c r="Y126" s="179">
        <v>22</v>
      </c>
      <c r="Z126" s="178" t="s">
        <v>111</v>
      </c>
      <c r="AA126" s="171" t="s">
        <v>20</v>
      </c>
      <c r="AB126" s="171" t="s">
        <v>12</v>
      </c>
      <c r="AC126" s="171">
        <v>21</v>
      </c>
      <c r="AD126" s="178" t="s">
        <v>109</v>
      </c>
      <c r="AE126" s="171" t="s">
        <v>89</v>
      </c>
      <c r="AF126" s="171" t="s">
        <v>11</v>
      </c>
      <c r="AG126" s="179">
        <v>5</v>
      </c>
      <c r="AH126" s="178" t="s">
        <v>362</v>
      </c>
      <c r="AI126" s="171" t="s">
        <v>216</v>
      </c>
      <c r="AJ126" s="171" t="s">
        <v>12</v>
      </c>
      <c r="AK126" s="171">
        <v>5</v>
      </c>
      <c r="AL126" s="178" t="s">
        <v>370</v>
      </c>
      <c r="AM126" s="171" t="s">
        <v>17</v>
      </c>
      <c r="AN126" s="171" t="s">
        <v>18</v>
      </c>
      <c r="AO126" s="179">
        <v>3</v>
      </c>
      <c r="AP126" s="178"/>
      <c r="AS126" s="179"/>
      <c r="AW126" s="179"/>
      <c r="BA126" s="180"/>
    </row>
    <row r="127" spans="1:53" s="171" customFormat="1" x14ac:dyDescent="0.15">
      <c r="A127" s="171">
        <v>2014</v>
      </c>
      <c r="B127" s="305">
        <v>41911</v>
      </c>
      <c r="C127" s="410" t="s">
        <v>1306</v>
      </c>
      <c r="D127" s="410"/>
      <c r="E127" s="171">
        <v>94</v>
      </c>
      <c r="F127" s="244">
        <v>0</v>
      </c>
      <c r="G127" s="233">
        <v>9</v>
      </c>
      <c r="H127" s="171">
        <v>1</v>
      </c>
      <c r="I127" s="171">
        <v>7</v>
      </c>
      <c r="J127" s="241">
        <v>17</v>
      </c>
      <c r="K127" s="214">
        <f t="shared" si="38"/>
        <v>52.941176470588239</v>
      </c>
      <c r="L127" s="214">
        <f t="shared" si="39"/>
        <v>5.8823529411764701</v>
      </c>
      <c r="M127" s="214">
        <f t="shared" si="40"/>
        <v>41.17647058823529</v>
      </c>
      <c r="N127" s="235">
        <f t="shared" si="41"/>
        <v>100</v>
      </c>
      <c r="O127" s="213">
        <v>27</v>
      </c>
      <c r="P127" s="214">
        <v>3</v>
      </c>
      <c r="Q127" s="214">
        <v>21</v>
      </c>
      <c r="R127" s="215">
        <f t="shared" si="37"/>
        <v>51</v>
      </c>
      <c r="S127" s="171">
        <v>2</v>
      </c>
      <c r="T127" s="285"/>
      <c r="U127" s="283"/>
      <c r="V127" s="178" t="s">
        <v>108</v>
      </c>
      <c r="W127" s="171" t="s">
        <v>74</v>
      </c>
      <c r="X127" s="171" t="s">
        <v>11</v>
      </c>
      <c r="Y127" s="179">
        <v>22</v>
      </c>
      <c r="Z127" s="178" t="s">
        <v>111</v>
      </c>
      <c r="AA127" s="171" t="s">
        <v>20</v>
      </c>
      <c r="AB127" s="171" t="s">
        <v>12</v>
      </c>
      <c r="AC127" s="171">
        <v>21</v>
      </c>
      <c r="AD127" s="178" t="s">
        <v>109</v>
      </c>
      <c r="AE127" s="171" t="s">
        <v>89</v>
      </c>
      <c r="AF127" s="171" t="s">
        <v>11</v>
      </c>
      <c r="AG127" s="179">
        <v>5</v>
      </c>
      <c r="AH127" s="178" t="s">
        <v>370</v>
      </c>
      <c r="AI127" s="171" t="s">
        <v>17</v>
      </c>
      <c r="AJ127" s="171" t="s">
        <v>18</v>
      </c>
      <c r="AK127" s="179">
        <v>3</v>
      </c>
      <c r="AL127" s="178"/>
      <c r="AO127" s="179"/>
      <c r="AP127" s="178"/>
      <c r="AS127" s="179"/>
      <c r="AW127" s="179"/>
      <c r="BA127" s="180"/>
    </row>
    <row r="128" spans="1:53" s="171" customFormat="1" x14ac:dyDescent="0.15">
      <c r="A128" s="171">
        <v>2015</v>
      </c>
      <c r="B128" s="305"/>
      <c r="C128" s="410" t="s">
        <v>1306</v>
      </c>
      <c r="D128" s="410"/>
      <c r="E128" s="171">
        <v>148</v>
      </c>
      <c r="F128" s="244"/>
      <c r="G128" s="233">
        <v>9</v>
      </c>
      <c r="H128" s="171">
        <v>1</v>
      </c>
      <c r="I128" s="171">
        <v>7</v>
      </c>
      <c r="J128" s="241">
        <v>17</v>
      </c>
      <c r="K128" s="214">
        <f t="shared" si="38"/>
        <v>52.941176470588239</v>
      </c>
      <c r="L128" s="214">
        <f t="shared" si="39"/>
        <v>5.8823529411764701</v>
      </c>
      <c r="M128" s="214">
        <f t="shared" si="40"/>
        <v>41.17647058823529</v>
      </c>
      <c r="N128" s="235">
        <f t="shared" si="41"/>
        <v>100</v>
      </c>
      <c r="O128" s="213">
        <v>27</v>
      </c>
      <c r="P128" s="214">
        <v>3</v>
      </c>
      <c r="Q128" s="214">
        <v>21</v>
      </c>
      <c r="R128" s="215">
        <f t="shared" ref="R128:R129" si="42">SUM(O128:Q128)</f>
        <v>51</v>
      </c>
      <c r="S128" s="171">
        <v>2</v>
      </c>
      <c r="T128" s="285"/>
      <c r="U128" s="283"/>
      <c r="V128" s="178" t="s">
        <v>108</v>
      </c>
      <c r="W128" s="171" t="s">
        <v>74</v>
      </c>
      <c r="X128" s="171" t="s">
        <v>11</v>
      </c>
      <c r="Y128" s="179">
        <v>22</v>
      </c>
      <c r="Z128" s="178" t="s">
        <v>111</v>
      </c>
      <c r="AA128" s="171" t="s">
        <v>20</v>
      </c>
      <c r="AB128" s="171" t="s">
        <v>12</v>
      </c>
      <c r="AC128" s="171">
        <v>21</v>
      </c>
      <c r="AD128" s="178" t="s">
        <v>109</v>
      </c>
      <c r="AE128" s="171" t="s">
        <v>89</v>
      </c>
      <c r="AF128" s="171" t="s">
        <v>11</v>
      </c>
      <c r="AG128" s="179">
        <v>5</v>
      </c>
      <c r="AH128" s="178" t="s">
        <v>370</v>
      </c>
      <c r="AI128" s="171" t="s">
        <v>17</v>
      </c>
      <c r="AJ128" s="171" t="s">
        <v>18</v>
      </c>
      <c r="AK128" s="179">
        <v>3</v>
      </c>
      <c r="AL128" s="178"/>
      <c r="AO128" s="179"/>
      <c r="AP128" s="178"/>
      <c r="AS128" s="179"/>
      <c r="AW128" s="179"/>
      <c r="BA128" s="180"/>
    </row>
    <row r="129" spans="1:53" s="29" customFormat="1" x14ac:dyDescent="0.15">
      <c r="A129" s="29">
        <v>2015</v>
      </c>
      <c r="B129" s="295">
        <v>42153</v>
      </c>
      <c r="C129" s="411" t="s">
        <v>1317</v>
      </c>
      <c r="D129" s="411"/>
      <c r="E129" s="29">
        <v>217</v>
      </c>
      <c r="F129" s="29">
        <v>1</v>
      </c>
      <c r="G129" s="66">
        <v>8</v>
      </c>
      <c r="H129" s="29">
        <v>6</v>
      </c>
      <c r="J129" s="73">
        <v>14</v>
      </c>
      <c r="K129" s="47">
        <f t="shared" si="38"/>
        <v>57.142857142857139</v>
      </c>
      <c r="L129" s="47">
        <f t="shared" si="39"/>
        <v>42.857142857142854</v>
      </c>
      <c r="M129" s="47">
        <f t="shared" si="40"/>
        <v>0</v>
      </c>
      <c r="N129" s="68">
        <f t="shared" si="41"/>
        <v>100</v>
      </c>
      <c r="O129" s="46">
        <v>37.5</v>
      </c>
      <c r="P129" s="47">
        <v>24.5</v>
      </c>
      <c r="Q129" s="47"/>
      <c r="R129" s="48">
        <f t="shared" si="42"/>
        <v>62</v>
      </c>
      <c r="S129" s="29">
        <v>2</v>
      </c>
      <c r="T129" s="286">
        <v>42113</v>
      </c>
      <c r="U129" s="295">
        <v>42153</v>
      </c>
      <c r="V129" s="38" t="s">
        <v>107</v>
      </c>
      <c r="W129" s="29" t="s">
        <v>869</v>
      </c>
      <c r="X129" s="29" t="s">
        <v>18</v>
      </c>
      <c r="Y129" s="39">
        <v>24.5</v>
      </c>
      <c r="Z129" s="29" t="s">
        <v>95</v>
      </c>
      <c r="AA129" s="29" t="s">
        <v>27</v>
      </c>
      <c r="AB129" s="29" t="s">
        <v>11</v>
      </c>
      <c r="AC129" s="29">
        <v>19</v>
      </c>
      <c r="AD129" s="38" t="s">
        <v>108</v>
      </c>
      <c r="AE129" s="29" t="s">
        <v>74</v>
      </c>
      <c r="AF129" s="29" t="s">
        <v>11</v>
      </c>
      <c r="AG129" s="39">
        <v>18.5</v>
      </c>
      <c r="AH129" s="38"/>
      <c r="AL129" s="38"/>
      <c r="AO129" s="39"/>
      <c r="AP129" s="38"/>
      <c r="AS129" s="39"/>
      <c r="AW129" s="39"/>
      <c r="BA129" s="40"/>
    </row>
    <row r="130" spans="1:53" s="29" customFormat="1" x14ac:dyDescent="0.15">
      <c r="A130" s="29">
        <v>2016</v>
      </c>
      <c r="B130" s="295"/>
      <c r="C130" s="411" t="s">
        <v>1317</v>
      </c>
      <c r="D130" s="411"/>
      <c r="E130" s="29">
        <v>0</v>
      </c>
      <c r="G130" s="66">
        <v>8</v>
      </c>
      <c r="H130" s="29">
        <v>6</v>
      </c>
      <c r="J130" s="73">
        <v>14</v>
      </c>
      <c r="K130" s="47">
        <f t="shared" ref="K130:K135" si="43">G130/J130*100</f>
        <v>57.142857142857139</v>
      </c>
      <c r="L130" s="47">
        <f t="shared" ref="L130:L135" si="44">H130/J130*100</f>
        <v>42.857142857142854</v>
      </c>
      <c r="M130" s="47">
        <f t="shared" ref="M130:M135" si="45">I130/J130*100</f>
        <v>0</v>
      </c>
      <c r="N130" s="68">
        <f t="shared" ref="N130:N135" si="46">SUM(K130:M130)</f>
        <v>100</v>
      </c>
      <c r="O130" s="46">
        <v>37.5</v>
      </c>
      <c r="P130" s="47">
        <v>24.5</v>
      </c>
      <c r="Q130" s="47"/>
      <c r="R130" s="48">
        <f t="shared" ref="R130:R131" si="47">SUM(O130:Q130)</f>
        <v>62</v>
      </c>
      <c r="S130" s="29">
        <v>2</v>
      </c>
      <c r="T130" s="286"/>
      <c r="U130" s="295"/>
      <c r="V130" s="38" t="s">
        <v>107</v>
      </c>
      <c r="W130" s="29" t="s">
        <v>869</v>
      </c>
      <c r="X130" s="29" t="s">
        <v>18</v>
      </c>
      <c r="Y130" s="39">
        <v>24.5</v>
      </c>
      <c r="Z130" s="29" t="s">
        <v>95</v>
      </c>
      <c r="AA130" s="29" t="s">
        <v>27</v>
      </c>
      <c r="AB130" s="29" t="s">
        <v>11</v>
      </c>
      <c r="AC130" s="29">
        <v>19</v>
      </c>
      <c r="AD130" s="38" t="s">
        <v>108</v>
      </c>
      <c r="AE130" s="29" t="s">
        <v>74</v>
      </c>
      <c r="AF130" s="29" t="s">
        <v>11</v>
      </c>
      <c r="AG130" s="39">
        <v>18.5</v>
      </c>
      <c r="AH130" s="38"/>
      <c r="AL130" s="38"/>
      <c r="AO130" s="39"/>
      <c r="AP130" s="38"/>
      <c r="AS130" s="39"/>
      <c r="AW130" s="39"/>
      <c r="BA130" s="40"/>
    </row>
    <row r="131" spans="1:53" s="29" customFormat="1" x14ac:dyDescent="0.15">
      <c r="A131" s="29">
        <v>2016</v>
      </c>
      <c r="B131" s="295"/>
      <c r="C131" s="411" t="s">
        <v>1317</v>
      </c>
      <c r="D131" s="411"/>
      <c r="E131" s="29">
        <v>366</v>
      </c>
      <c r="G131" s="66">
        <v>8</v>
      </c>
      <c r="H131" s="29">
        <v>6</v>
      </c>
      <c r="J131" s="73">
        <v>14</v>
      </c>
      <c r="K131" s="47">
        <f t="shared" si="43"/>
        <v>57.142857142857139</v>
      </c>
      <c r="L131" s="47">
        <f t="shared" si="44"/>
        <v>42.857142857142854</v>
      </c>
      <c r="M131" s="47">
        <f t="shared" si="45"/>
        <v>0</v>
      </c>
      <c r="N131" s="68">
        <f t="shared" si="46"/>
        <v>100</v>
      </c>
      <c r="O131" s="46">
        <v>37.5</v>
      </c>
      <c r="P131" s="47">
        <v>24.5</v>
      </c>
      <c r="Q131" s="47"/>
      <c r="R131" s="48">
        <f t="shared" si="47"/>
        <v>62</v>
      </c>
      <c r="S131" s="29">
        <v>2</v>
      </c>
      <c r="T131" s="286"/>
      <c r="U131" s="295"/>
      <c r="V131" s="38" t="s">
        <v>107</v>
      </c>
      <c r="W131" s="29" t="s">
        <v>869</v>
      </c>
      <c r="X131" s="29" t="s">
        <v>18</v>
      </c>
      <c r="Y131" s="39">
        <v>24.5</v>
      </c>
      <c r="Z131" s="29" t="s">
        <v>95</v>
      </c>
      <c r="AA131" s="29" t="s">
        <v>27</v>
      </c>
      <c r="AB131" s="29" t="s">
        <v>11</v>
      </c>
      <c r="AC131" s="29">
        <v>19</v>
      </c>
      <c r="AD131" s="38" t="s">
        <v>108</v>
      </c>
      <c r="AE131" s="29" t="s">
        <v>74</v>
      </c>
      <c r="AF131" s="29" t="s">
        <v>11</v>
      </c>
      <c r="AG131" s="39">
        <v>18.5</v>
      </c>
      <c r="AH131" s="38"/>
      <c r="AL131" s="38"/>
      <c r="AO131" s="39"/>
      <c r="AP131" s="38"/>
      <c r="AS131" s="39"/>
      <c r="AW131" s="39"/>
      <c r="BA131" s="40"/>
    </row>
    <row r="132" spans="1:53" s="29" customFormat="1" x14ac:dyDescent="0.15">
      <c r="A132" s="29">
        <v>2017</v>
      </c>
      <c r="B132" s="295"/>
      <c r="C132" s="411" t="s">
        <v>1317</v>
      </c>
      <c r="D132" s="411"/>
      <c r="E132" s="29">
        <v>124</v>
      </c>
      <c r="G132" s="66">
        <v>8</v>
      </c>
      <c r="H132" s="29">
        <v>6</v>
      </c>
      <c r="J132" s="73">
        <v>14</v>
      </c>
      <c r="K132" s="47">
        <f t="shared" ref="K132" si="48">G132/J132*100</f>
        <v>57.142857142857139</v>
      </c>
      <c r="L132" s="47">
        <f t="shared" ref="L132" si="49">H132/J132*100</f>
        <v>42.857142857142854</v>
      </c>
      <c r="M132" s="47">
        <f t="shared" ref="M132" si="50">I132/J132*100</f>
        <v>0</v>
      </c>
      <c r="N132" s="68">
        <f t="shared" ref="N132" si="51">SUM(K132:M132)</f>
        <v>100</v>
      </c>
      <c r="O132" s="46">
        <v>37.5</v>
      </c>
      <c r="P132" s="47">
        <v>24.5</v>
      </c>
      <c r="Q132" s="47"/>
      <c r="R132" s="48">
        <f t="shared" ref="R132" si="52">SUM(O132:Q132)</f>
        <v>62</v>
      </c>
      <c r="S132" s="29">
        <v>2</v>
      </c>
      <c r="T132" s="286"/>
      <c r="U132" s="295"/>
      <c r="V132" s="38" t="s">
        <v>107</v>
      </c>
      <c r="W132" s="29" t="s">
        <v>869</v>
      </c>
      <c r="X132" s="29" t="s">
        <v>18</v>
      </c>
      <c r="Y132" s="39">
        <v>24.5</v>
      </c>
      <c r="Z132" s="29" t="s">
        <v>95</v>
      </c>
      <c r="AA132" s="29" t="s">
        <v>27</v>
      </c>
      <c r="AB132" s="29" t="s">
        <v>11</v>
      </c>
      <c r="AC132" s="29">
        <v>19</v>
      </c>
      <c r="AD132" s="38" t="s">
        <v>108</v>
      </c>
      <c r="AE132" s="29" t="s">
        <v>74</v>
      </c>
      <c r="AF132" s="29" t="s">
        <v>11</v>
      </c>
      <c r="AG132" s="39">
        <v>18.5</v>
      </c>
      <c r="AH132" s="38"/>
      <c r="AL132" s="38"/>
      <c r="AO132" s="39"/>
      <c r="AP132" s="38"/>
      <c r="AS132" s="39"/>
      <c r="AW132" s="39"/>
      <c r="BA132" s="40"/>
    </row>
    <row r="133" spans="1:53" s="29" customFormat="1" x14ac:dyDescent="0.15">
      <c r="A133" s="29">
        <v>2017</v>
      </c>
      <c r="B133" s="303">
        <v>42860</v>
      </c>
      <c r="C133" s="411" t="s">
        <v>1317</v>
      </c>
      <c r="D133" s="411"/>
      <c r="E133" s="29">
        <v>54</v>
      </c>
      <c r="F133" s="84">
        <v>0</v>
      </c>
      <c r="G133" s="66">
        <v>9</v>
      </c>
      <c r="H133" s="29">
        <v>7</v>
      </c>
      <c r="J133" s="73">
        <v>16</v>
      </c>
      <c r="K133" s="47">
        <f t="shared" si="43"/>
        <v>56.25</v>
      </c>
      <c r="L133" s="47">
        <f t="shared" si="44"/>
        <v>43.75</v>
      </c>
      <c r="M133" s="47">
        <f t="shared" si="45"/>
        <v>0</v>
      </c>
      <c r="N133" s="68">
        <f t="shared" si="46"/>
        <v>100</v>
      </c>
      <c r="O133" s="46">
        <v>37.5</v>
      </c>
      <c r="P133" s="47">
        <v>24.5</v>
      </c>
      <c r="Q133" s="47"/>
      <c r="R133" s="48">
        <f t="shared" ref="R133:R134" si="53">SUM(O133:Q133)</f>
        <v>62</v>
      </c>
      <c r="S133" s="29">
        <v>2</v>
      </c>
      <c r="T133" s="286"/>
      <c r="U133" s="295"/>
      <c r="V133" s="38" t="s">
        <v>107</v>
      </c>
      <c r="W133" s="29" t="s">
        <v>869</v>
      </c>
      <c r="X133" s="29" t="s">
        <v>18</v>
      </c>
      <c r="Y133" s="39">
        <v>24.5</v>
      </c>
      <c r="Z133" s="29" t="s">
        <v>95</v>
      </c>
      <c r="AA133" s="29" t="s">
        <v>27</v>
      </c>
      <c r="AB133" s="29" t="s">
        <v>11</v>
      </c>
      <c r="AC133" s="29">
        <v>19</v>
      </c>
      <c r="AD133" s="38" t="s">
        <v>108</v>
      </c>
      <c r="AE133" s="29" t="s">
        <v>74</v>
      </c>
      <c r="AF133" s="29" t="s">
        <v>11</v>
      </c>
      <c r="AG133" s="39">
        <v>18.5</v>
      </c>
      <c r="AH133" s="38"/>
      <c r="AL133" s="38"/>
      <c r="AO133" s="39"/>
      <c r="AP133" s="38"/>
      <c r="AS133" s="39"/>
      <c r="AW133" s="39"/>
      <c r="BA133" s="40"/>
    </row>
    <row r="134" spans="1:53" s="171" customFormat="1" x14ac:dyDescent="0.15">
      <c r="A134" s="171">
        <v>2017</v>
      </c>
      <c r="B134" s="306">
        <v>42914</v>
      </c>
      <c r="C134" s="410" t="s">
        <v>1406</v>
      </c>
      <c r="D134" s="410"/>
      <c r="E134" s="171">
        <v>187</v>
      </c>
      <c r="F134" s="191">
        <v>4</v>
      </c>
      <c r="G134" s="233">
        <v>10</v>
      </c>
      <c r="H134" s="171">
        <v>7</v>
      </c>
      <c r="J134" s="241">
        <v>17</v>
      </c>
      <c r="K134" s="214">
        <f t="shared" si="43"/>
        <v>58.82352941176471</v>
      </c>
      <c r="L134" s="214">
        <f t="shared" si="44"/>
        <v>41.17647058823529</v>
      </c>
      <c r="M134" s="214">
        <f t="shared" si="45"/>
        <v>0</v>
      </c>
      <c r="N134" s="235">
        <f t="shared" si="46"/>
        <v>100</v>
      </c>
      <c r="O134" s="213">
        <v>37.5</v>
      </c>
      <c r="P134" s="214">
        <v>24.5</v>
      </c>
      <c r="Q134" s="214"/>
      <c r="R134" s="215">
        <f t="shared" si="53"/>
        <v>62</v>
      </c>
      <c r="S134" s="171">
        <v>2</v>
      </c>
      <c r="T134" s="285"/>
      <c r="U134" s="306">
        <v>42914</v>
      </c>
      <c r="V134" s="178" t="s">
        <v>107</v>
      </c>
      <c r="W134" s="171" t="s">
        <v>869</v>
      </c>
      <c r="X134" s="171" t="s">
        <v>18</v>
      </c>
      <c r="Y134" s="179">
        <v>24.5</v>
      </c>
      <c r="Z134" s="178" t="s">
        <v>95</v>
      </c>
      <c r="AA134" s="171" t="s">
        <v>27</v>
      </c>
      <c r="AB134" s="171" t="s">
        <v>11</v>
      </c>
      <c r="AC134" s="171">
        <v>19</v>
      </c>
      <c r="AD134" s="178" t="s">
        <v>108</v>
      </c>
      <c r="AE134" s="171" t="s">
        <v>74</v>
      </c>
      <c r="AF134" s="171" t="s">
        <v>11</v>
      </c>
      <c r="AG134" s="179">
        <v>18.5</v>
      </c>
      <c r="AH134" s="178"/>
      <c r="AK134" s="179"/>
      <c r="AL134" s="178"/>
      <c r="AO134" s="179"/>
      <c r="AP134" s="178"/>
      <c r="AS134" s="179"/>
      <c r="AW134" s="179"/>
      <c r="BA134" s="180"/>
    </row>
    <row r="135" spans="1:53" s="171" customFormat="1" x14ac:dyDescent="0.15">
      <c r="A135" s="171">
        <v>2018</v>
      </c>
      <c r="B135" s="306"/>
      <c r="C135" s="410" t="s">
        <v>1406</v>
      </c>
      <c r="D135" s="410"/>
      <c r="E135" s="171">
        <v>0</v>
      </c>
      <c r="F135" s="191"/>
      <c r="G135" s="233">
        <v>10</v>
      </c>
      <c r="H135" s="171">
        <v>7</v>
      </c>
      <c r="J135" s="241">
        <v>17</v>
      </c>
      <c r="K135" s="214">
        <f t="shared" si="43"/>
        <v>58.82352941176471</v>
      </c>
      <c r="L135" s="214">
        <f t="shared" si="44"/>
        <v>41.17647058823529</v>
      </c>
      <c r="M135" s="214">
        <f t="shared" si="45"/>
        <v>0</v>
      </c>
      <c r="N135" s="235">
        <f t="shared" si="46"/>
        <v>100</v>
      </c>
      <c r="O135" s="213">
        <v>37.5</v>
      </c>
      <c r="P135" s="214">
        <v>24.5</v>
      </c>
      <c r="Q135" s="214"/>
      <c r="R135" s="215">
        <f t="shared" ref="R135:R136" si="54">SUM(O135:Q135)</f>
        <v>62</v>
      </c>
      <c r="S135" s="171">
        <v>2</v>
      </c>
      <c r="T135" s="285"/>
      <c r="U135" s="283"/>
      <c r="V135" s="178" t="s">
        <v>107</v>
      </c>
      <c r="W135" s="171" t="s">
        <v>869</v>
      </c>
      <c r="X135" s="171" t="s">
        <v>18</v>
      </c>
      <c r="Y135" s="179">
        <v>24.5</v>
      </c>
      <c r="Z135" s="178" t="s">
        <v>1392</v>
      </c>
      <c r="AA135" s="171" t="s">
        <v>294</v>
      </c>
      <c r="AB135" s="171" t="s">
        <v>11</v>
      </c>
      <c r="AC135" s="171">
        <v>19</v>
      </c>
      <c r="AD135" s="178" t="s">
        <v>108</v>
      </c>
      <c r="AE135" s="171" t="s">
        <v>74</v>
      </c>
      <c r="AF135" s="171" t="s">
        <v>11</v>
      </c>
      <c r="AG135" s="179">
        <v>18.5</v>
      </c>
      <c r="AH135" s="178"/>
      <c r="AK135" s="179"/>
      <c r="AL135" s="178"/>
      <c r="AO135" s="179"/>
      <c r="AP135" s="178"/>
      <c r="AS135" s="179"/>
      <c r="AW135" s="179"/>
      <c r="BA135" s="180"/>
    </row>
    <row r="136" spans="1:53" s="171" customFormat="1" x14ac:dyDescent="0.15">
      <c r="A136" s="171">
        <v>2018</v>
      </c>
      <c r="B136" s="306"/>
      <c r="C136" s="410" t="s">
        <v>1406</v>
      </c>
      <c r="D136" s="410"/>
      <c r="E136" s="171">
        <v>365</v>
      </c>
      <c r="F136" s="191"/>
      <c r="G136" s="233">
        <v>10</v>
      </c>
      <c r="H136" s="171">
        <v>7</v>
      </c>
      <c r="J136" s="241">
        <v>17</v>
      </c>
      <c r="K136" s="214">
        <f t="shared" ref="K136" si="55">G136/J136*100</f>
        <v>58.82352941176471</v>
      </c>
      <c r="L136" s="214">
        <f t="shared" ref="L136" si="56">H136/J136*100</f>
        <v>41.17647058823529</v>
      </c>
      <c r="M136" s="214">
        <f t="shared" ref="M136" si="57">I136/J136*100</f>
        <v>0</v>
      </c>
      <c r="N136" s="235">
        <f t="shared" ref="N136" si="58">SUM(K136:M136)</f>
        <v>100</v>
      </c>
      <c r="O136" s="213">
        <v>37.5</v>
      </c>
      <c r="P136" s="214">
        <v>24.5</v>
      </c>
      <c r="Q136" s="214"/>
      <c r="R136" s="215">
        <f t="shared" si="54"/>
        <v>62</v>
      </c>
      <c r="S136" s="171">
        <v>2</v>
      </c>
      <c r="T136" s="285"/>
      <c r="U136" s="283"/>
      <c r="V136" s="178" t="s">
        <v>107</v>
      </c>
      <c r="W136" s="171" t="s">
        <v>869</v>
      </c>
      <c r="X136" s="171" t="s">
        <v>18</v>
      </c>
      <c r="Y136" s="179">
        <v>24.5</v>
      </c>
      <c r="Z136" s="178" t="s">
        <v>1392</v>
      </c>
      <c r="AA136" s="171" t="s">
        <v>294</v>
      </c>
      <c r="AB136" s="171" t="s">
        <v>11</v>
      </c>
      <c r="AC136" s="171">
        <v>19</v>
      </c>
      <c r="AD136" s="178" t="s">
        <v>108</v>
      </c>
      <c r="AE136" s="171" t="s">
        <v>74</v>
      </c>
      <c r="AF136" s="171" t="s">
        <v>11</v>
      </c>
      <c r="AG136" s="179">
        <v>18.5</v>
      </c>
      <c r="AH136" s="178"/>
      <c r="AK136" s="179"/>
      <c r="AL136" s="178"/>
      <c r="AO136" s="179"/>
      <c r="AP136" s="178"/>
      <c r="AS136" s="179"/>
      <c r="AW136" s="179"/>
      <c r="BA136" s="180"/>
    </row>
    <row r="137" spans="1:53" s="171" customFormat="1" x14ac:dyDescent="0.15">
      <c r="A137" s="171">
        <v>2019</v>
      </c>
      <c r="B137" s="306"/>
      <c r="C137" s="410" t="s">
        <v>1406</v>
      </c>
      <c r="D137" s="410"/>
      <c r="E137" s="171">
        <v>66</v>
      </c>
      <c r="F137" s="191"/>
      <c r="G137" s="233">
        <v>10</v>
      </c>
      <c r="H137" s="171">
        <v>7</v>
      </c>
      <c r="J137" s="241">
        <v>17</v>
      </c>
      <c r="K137" s="214">
        <f t="shared" ref="K137:K139" si="59">G137/J137*100</f>
        <v>58.82352941176471</v>
      </c>
      <c r="L137" s="214">
        <f t="shared" ref="L137:L139" si="60">H137/J137*100</f>
        <v>41.17647058823529</v>
      </c>
      <c r="M137" s="214">
        <f t="shared" ref="M137:M139" si="61">I137/J137*100</f>
        <v>0</v>
      </c>
      <c r="N137" s="235">
        <f t="shared" ref="N137:N139" si="62">SUM(K137:M137)</f>
        <v>100</v>
      </c>
      <c r="O137" s="213">
        <v>37.5</v>
      </c>
      <c r="P137" s="214">
        <v>24.5</v>
      </c>
      <c r="Q137" s="214"/>
      <c r="R137" s="215">
        <f t="shared" ref="R137:R139" si="63">SUM(O137:Q137)</f>
        <v>62</v>
      </c>
      <c r="S137" s="171">
        <v>2</v>
      </c>
      <c r="T137" s="285"/>
      <c r="U137" s="283"/>
      <c r="V137" s="178" t="s">
        <v>107</v>
      </c>
      <c r="W137" s="171" t="s">
        <v>869</v>
      </c>
      <c r="X137" s="171" t="s">
        <v>18</v>
      </c>
      <c r="Y137" s="179">
        <v>24.5</v>
      </c>
      <c r="Z137" s="178" t="s">
        <v>1392</v>
      </c>
      <c r="AA137" s="171" t="s">
        <v>294</v>
      </c>
      <c r="AB137" s="171" t="s">
        <v>11</v>
      </c>
      <c r="AC137" s="171">
        <v>19</v>
      </c>
      <c r="AD137" s="178" t="s">
        <v>108</v>
      </c>
      <c r="AE137" s="171" t="s">
        <v>74</v>
      </c>
      <c r="AF137" s="171" t="s">
        <v>11</v>
      </c>
      <c r="AG137" s="179">
        <v>18.5</v>
      </c>
      <c r="AH137" s="178"/>
      <c r="AL137" s="178"/>
      <c r="AO137" s="179"/>
      <c r="AP137" s="178"/>
      <c r="AS137" s="179"/>
      <c r="AW137" s="179"/>
      <c r="BA137" s="180"/>
    </row>
    <row r="138" spans="1:53" s="29" customFormat="1" x14ac:dyDescent="0.15">
      <c r="A138" s="29">
        <v>2019</v>
      </c>
      <c r="B138" s="295">
        <v>43532</v>
      </c>
      <c r="C138" s="411" t="s">
        <v>1457</v>
      </c>
      <c r="D138" s="411"/>
      <c r="E138" s="29">
        <v>90</v>
      </c>
      <c r="F138" s="29">
        <v>2</v>
      </c>
      <c r="G138" s="66">
        <v>10</v>
      </c>
      <c r="H138" s="29">
        <v>6</v>
      </c>
      <c r="J138" s="73">
        <v>16</v>
      </c>
      <c r="K138" s="47">
        <f t="shared" si="59"/>
        <v>62.5</v>
      </c>
      <c r="L138" s="47">
        <f t="shared" si="60"/>
        <v>37.5</v>
      </c>
      <c r="M138" s="47">
        <f t="shared" si="61"/>
        <v>0</v>
      </c>
      <c r="N138" s="68">
        <f t="shared" si="62"/>
        <v>100</v>
      </c>
      <c r="O138" s="46">
        <v>37.5</v>
      </c>
      <c r="P138" s="47">
        <v>24.5</v>
      </c>
      <c r="Q138" s="47"/>
      <c r="R138" s="48">
        <f t="shared" si="63"/>
        <v>62</v>
      </c>
      <c r="S138" s="29">
        <v>6</v>
      </c>
      <c r="T138" s="286"/>
      <c r="U138" s="295">
        <v>43532</v>
      </c>
      <c r="V138" s="38" t="s">
        <v>107</v>
      </c>
      <c r="W138" s="29" t="s">
        <v>869</v>
      </c>
      <c r="X138" s="29" t="s">
        <v>18</v>
      </c>
      <c r="Y138" s="39">
        <v>24.5</v>
      </c>
      <c r="Z138" s="29" t="s">
        <v>1392</v>
      </c>
      <c r="AA138" s="29" t="s">
        <v>294</v>
      </c>
      <c r="AB138" s="29" t="s">
        <v>11</v>
      </c>
      <c r="AC138" s="29">
        <v>19</v>
      </c>
      <c r="AD138" s="38" t="s">
        <v>108</v>
      </c>
      <c r="AE138" s="29" t="s">
        <v>74</v>
      </c>
      <c r="AF138" s="29" t="s">
        <v>11</v>
      </c>
      <c r="AG138" s="39">
        <v>18.5</v>
      </c>
      <c r="AH138" s="38"/>
      <c r="AL138" s="38"/>
      <c r="AO138" s="39"/>
      <c r="AP138" s="38"/>
      <c r="AS138" s="39"/>
      <c r="AW138" s="39"/>
      <c r="BA138" s="40"/>
    </row>
    <row r="139" spans="1:53" s="171" customFormat="1" x14ac:dyDescent="0.15">
      <c r="A139" s="171">
        <v>2019</v>
      </c>
      <c r="B139" s="306">
        <v>43622</v>
      </c>
      <c r="C139" s="410" t="s">
        <v>1411</v>
      </c>
      <c r="D139" s="410"/>
      <c r="E139" s="171">
        <v>187</v>
      </c>
      <c r="F139" s="191">
        <v>1</v>
      </c>
      <c r="G139" s="233">
        <v>2</v>
      </c>
      <c r="H139" s="171">
        <v>5</v>
      </c>
      <c r="I139" s="171">
        <v>12</v>
      </c>
      <c r="J139" s="241">
        <v>19</v>
      </c>
      <c r="K139" s="214">
        <f t="shared" si="59"/>
        <v>10.526315789473683</v>
      </c>
      <c r="L139" s="214">
        <f t="shared" si="60"/>
        <v>26.315789473684209</v>
      </c>
      <c r="M139" s="214">
        <f t="shared" si="61"/>
        <v>63.157894736842103</v>
      </c>
      <c r="N139" s="235">
        <f t="shared" si="62"/>
        <v>100</v>
      </c>
      <c r="O139" s="213">
        <v>4.5</v>
      </c>
      <c r="P139" s="214">
        <v>15.5</v>
      </c>
      <c r="Q139" s="214">
        <v>38</v>
      </c>
      <c r="R139" s="215">
        <f t="shared" si="63"/>
        <v>58</v>
      </c>
      <c r="S139" s="171">
        <v>3</v>
      </c>
      <c r="T139" s="285">
        <v>43569</v>
      </c>
      <c r="U139" s="283">
        <v>43622</v>
      </c>
      <c r="V139" s="178" t="s">
        <v>111</v>
      </c>
      <c r="W139" s="171" t="s">
        <v>20</v>
      </c>
      <c r="X139" s="171" t="s">
        <v>12</v>
      </c>
      <c r="Y139" s="179">
        <v>20</v>
      </c>
      <c r="Z139" s="178" t="s">
        <v>107</v>
      </c>
      <c r="AA139" s="171" t="s">
        <v>869</v>
      </c>
      <c r="AB139" s="171" t="s">
        <v>1413</v>
      </c>
      <c r="AC139" s="171">
        <v>15.5</v>
      </c>
      <c r="AD139" s="178" t="s">
        <v>362</v>
      </c>
      <c r="AE139" s="171" t="s">
        <v>216</v>
      </c>
      <c r="AF139" s="171" t="s">
        <v>12</v>
      </c>
      <c r="AG139" s="179">
        <v>10</v>
      </c>
      <c r="AH139" s="178" t="s">
        <v>361</v>
      </c>
      <c r="AI139" s="171" t="s">
        <v>191</v>
      </c>
      <c r="AJ139" s="171" t="s">
        <v>12</v>
      </c>
      <c r="AK139" s="179">
        <v>8</v>
      </c>
      <c r="AL139" s="178" t="s">
        <v>1414</v>
      </c>
      <c r="AM139" s="171" t="s">
        <v>89</v>
      </c>
      <c r="AN139" s="171" t="s">
        <v>11</v>
      </c>
      <c r="AO139" s="179">
        <v>4.5</v>
      </c>
      <c r="AP139" s="178"/>
      <c r="AS139" s="179"/>
      <c r="AW139" s="179"/>
      <c r="BA139" s="180"/>
    </row>
    <row r="140" spans="1:53" s="29" customFormat="1" x14ac:dyDescent="0.15">
      <c r="A140" s="29">
        <v>2019</v>
      </c>
      <c r="B140" s="295">
        <v>43809</v>
      </c>
      <c r="C140" s="411" t="s">
        <v>1412</v>
      </c>
      <c r="D140" s="411"/>
      <c r="E140" s="29">
        <v>22</v>
      </c>
      <c r="F140" s="29">
        <v>2</v>
      </c>
      <c r="G140" s="66">
        <v>2</v>
      </c>
      <c r="H140" s="29">
        <v>5</v>
      </c>
      <c r="I140" s="29">
        <v>12</v>
      </c>
      <c r="J140" s="73">
        <v>19</v>
      </c>
      <c r="K140" s="47">
        <f t="shared" ref="K140:K142" si="64">G140/J140*100</f>
        <v>10.526315789473683</v>
      </c>
      <c r="L140" s="47">
        <f t="shared" ref="L140:L142" si="65">H140/J140*100</f>
        <v>26.315789473684209</v>
      </c>
      <c r="M140" s="47">
        <f t="shared" ref="M140:M142" si="66">I140/J140*100</f>
        <v>63.157894736842103</v>
      </c>
      <c r="N140" s="68">
        <f t="shared" ref="N140:N142" si="67">SUM(K140:M140)</f>
        <v>100</v>
      </c>
      <c r="O140" s="46">
        <v>4.5</v>
      </c>
      <c r="P140" s="47">
        <v>15.5</v>
      </c>
      <c r="Q140" s="47">
        <v>38</v>
      </c>
      <c r="R140" s="48">
        <f>SUM(O140:Q140)</f>
        <v>58</v>
      </c>
      <c r="S140" s="29">
        <v>3</v>
      </c>
      <c r="T140" s="286"/>
      <c r="U140" s="295">
        <v>43809</v>
      </c>
      <c r="V140" s="38" t="s">
        <v>111</v>
      </c>
      <c r="W140" s="29" t="s">
        <v>20</v>
      </c>
      <c r="X140" s="29" t="s">
        <v>12</v>
      </c>
      <c r="Y140" s="39">
        <v>20</v>
      </c>
      <c r="Z140" s="29" t="s">
        <v>107</v>
      </c>
      <c r="AA140" s="29" t="s">
        <v>869</v>
      </c>
      <c r="AB140" s="29" t="s">
        <v>1413</v>
      </c>
      <c r="AC140" s="29">
        <v>15.5</v>
      </c>
      <c r="AD140" s="38" t="s">
        <v>362</v>
      </c>
      <c r="AE140" s="29" t="s">
        <v>216</v>
      </c>
      <c r="AF140" s="29" t="s">
        <v>12</v>
      </c>
      <c r="AG140" s="39">
        <v>10</v>
      </c>
      <c r="AH140" s="38" t="s">
        <v>361</v>
      </c>
      <c r="AI140" s="29" t="s">
        <v>191</v>
      </c>
      <c r="AJ140" s="29" t="s">
        <v>12</v>
      </c>
      <c r="AK140" s="29">
        <v>8</v>
      </c>
      <c r="AL140" s="38" t="s">
        <v>1414</v>
      </c>
      <c r="AM140" s="29" t="s">
        <v>89</v>
      </c>
      <c r="AN140" s="29" t="s">
        <v>11</v>
      </c>
      <c r="AO140" s="39">
        <v>4.5</v>
      </c>
      <c r="AP140" s="38"/>
      <c r="AS140" s="39"/>
      <c r="AW140" s="39"/>
      <c r="BA140" s="40"/>
    </row>
    <row r="141" spans="1:53" s="29" customFormat="1" x14ac:dyDescent="0.15">
      <c r="A141" s="29">
        <v>2020</v>
      </c>
      <c r="B141" s="295"/>
      <c r="C141" s="411" t="s">
        <v>1412</v>
      </c>
      <c r="D141" s="411"/>
      <c r="E141" s="29">
        <v>0</v>
      </c>
      <c r="G141" s="66">
        <v>2</v>
      </c>
      <c r="H141" s="29">
        <v>5</v>
      </c>
      <c r="I141" s="29">
        <v>12</v>
      </c>
      <c r="J141" s="73">
        <v>19</v>
      </c>
      <c r="K141" s="47">
        <f t="shared" si="64"/>
        <v>10.526315789473683</v>
      </c>
      <c r="L141" s="47">
        <f t="shared" si="65"/>
        <v>26.315789473684209</v>
      </c>
      <c r="M141" s="47">
        <f t="shared" si="66"/>
        <v>63.157894736842103</v>
      </c>
      <c r="N141" s="68">
        <f t="shared" si="67"/>
        <v>100</v>
      </c>
      <c r="O141" s="46">
        <v>4.5</v>
      </c>
      <c r="P141" s="47">
        <v>15.5</v>
      </c>
      <c r="Q141" s="47">
        <v>38</v>
      </c>
      <c r="R141" s="48">
        <f t="shared" ref="R141:R142" si="68">SUM(O141:Q141)</f>
        <v>58</v>
      </c>
      <c r="S141" s="29">
        <v>3</v>
      </c>
      <c r="T141" s="286"/>
      <c r="U141" s="295"/>
      <c r="V141" s="38" t="s">
        <v>111</v>
      </c>
      <c r="W141" s="29" t="s">
        <v>20</v>
      </c>
      <c r="X141" s="29" t="s">
        <v>12</v>
      </c>
      <c r="Y141" s="39">
        <v>20</v>
      </c>
      <c r="Z141" s="29" t="s">
        <v>107</v>
      </c>
      <c r="AA141" s="29" t="s">
        <v>869</v>
      </c>
      <c r="AB141" s="29" t="s">
        <v>1413</v>
      </c>
      <c r="AC141" s="29">
        <v>15.5</v>
      </c>
      <c r="AD141" s="38" t="s">
        <v>362</v>
      </c>
      <c r="AE141" s="29" t="s">
        <v>216</v>
      </c>
      <c r="AF141" s="29" t="s">
        <v>12</v>
      </c>
      <c r="AG141" s="39">
        <v>10</v>
      </c>
      <c r="AH141" s="38" t="s">
        <v>361</v>
      </c>
      <c r="AI141" s="29" t="s">
        <v>191</v>
      </c>
      <c r="AJ141" s="29" t="s">
        <v>12</v>
      </c>
      <c r="AK141" s="29">
        <v>8</v>
      </c>
      <c r="AL141" s="38" t="s">
        <v>1414</v>
      </c>
      <c r="AM141" s="29" t="s">
        <v>89</v>
      </c>
      <c r="AN141" s="29" t="s">
        <v>11</v>
      </c>
      <c r="AO141" s="39">
        <v>4.5</v>
      </c>
      <c r="AP141" s="38"/>
      <c r="AS141" s="39"/>
      <c r="AW141" s="39"/>
      <c r="BA141" s="40"/>
    </row>
    <row r="142" spans="1:53" s="29" customFormat="1" x14ac:dyDescent="0.15">
      <c r="A142" s="29">
        <v>2020</v>
      </c>
      <c r="B142" s="41"/>
      <c r="C142" s="411" t="s">
        <v>1412</v>
      </c>
      <c r="D142" s="411"/>
      <c r="E142" s="29">
        <v>366</v>
      </c>
      <c r="G142" s="66">
        <v>2</v>
      </c>
      <c r="H142" s="29">
        <v>5</v>
      </c>
      <c r="I142" s="29">
        <v>12</v>
      </c>
      <c r="J142" s="73">
        <v>19</v>
      </c>
      <c r="K142" s="47">
        <f t="shared" si="64"/>
        <v>10.526315789473683</v>
      </c>
      <c r="L142" s="47">
        <f t="shared" si="65"/>
        <v>26.315789473684209</v>
      </c>
      <c r="M142" s="47">
        <f t="shared" si="66"/>
        <v>63.157894736842103</v>
      </c>
      <c r="N142" s="68">
        <f t="shared" si="67"/>
        <v>100</v>
      </c>
      <c r="O142" s="46">
        <v>4.5</v>
      </c>
      <c r="P142" s="47">
        <v>15.5</v>
      </c>
      <c r="Q142" s="47">
        <v>38</v>
      </c>
      <c r="R142" s="48">
        <f t="shared" si="68"/>
        <v>58</v>
      </c>
      <c r="S142" s="29">
        <v>3</v>
      </c>
      <c r="T142" s="286"/>
      <c r="U142" s="295"/>
      <c r="V142" s="38" t="s">
        <v>111</v>
      </c>
      <c r="W142" s="29" t="s">
        <v>20</v>
      </c>
      <c r="X142" s="29" t="s">
        <v>12</v>
      </c>
      <c r="Y142" s="39">
        <v>20</v>
      </c>
      <c r="Z142" s="29" t="s">
        <v>107</v>
      </c>
      <c r="AA142" s="29" t="s">
        <v>869</v>
      </c>
      <c r="AB142" s="29" t="s">
        <v>1413</v>
      </c>
      <c r="AC142" s="29">
        <v>15.5</v>
      </c>
      <c r="AD142" s="38" t="s">
        <v>362</v>
      </c>
      <c r="AE142" s="29" t="s">
        <v>216</v>
      </c>
      <c r="AF142" s="29" t="s">
        <v>12</v>
      </c>
      <c r="AG142" s="39">
        <v>10</v>
      </c>
      <c r="AH142" s="38" t="s">
        <v>361</v>
      </c>
      <c r="AI142" s="29" t="s">
        <v>191</v>
      </c>
      <c r="AJ142" s="29" t="s">
        <v>12</v>
      </c>
      <c r="AK142" s="29">
        <v>8</v>
      </c>
      <c r="AL142" s="38" t="s">
        <v>1414</v>
      </c>
      <c r="AM142" s="29" t="s">
        <v>89</v>
      </c>
      <c r="AN142" s="29" t="s">
        <v>11</v>
      </c>
      <c r="AO142" s="39">
        <v>4.5</v>
      </c>
      <c r="AP142" s="38"/>
      <c r="AS142" s="39"/>
      <c r="AW142" s="39"/>
      <c r="BA142" s="40"/>
    </row>
    <row r="143" spans="1:53" x14ac:dyDescent="0.15">
      <c r="B143" s="367"/>
      <c r="C143" s="415"/>
      <c r="D143" s="415"/>
      <c r="J143" s="26"/>
      <c r="K143" s="12"/>
      <c r="L143" s="12"/>
      <c r="M143" s="12"/>
      <c r="N143" s="20"/>
      <c r="O143" s="12"/>
      <c r="P143" s="12"/>
      <c r="Q143" s="12"/>
      <c r="R143" s="20"/>
      <c r="T143" s="340"/>
      <c r="U143" s="340"/>
      <c r="V143" s="361"/>
      <c r="Y143" s="17"/>
      <c r="AD143" s="361"/>
      <c r="AG143" s="17"/>
      <c r="AH143" s="361"/>
      <c r="AL143" s="361"/>
      <c r="AO143" s="17"/>
      <c r="AP143" s="361"/>
      <c r="AS143" s="17"/>
      <c r="AW143" s="17"/>
    </row>
    <row r="144" spans="1:53" ht="18" customHeight="1" x14ac:dyDescent="0.15">
      <c r="B144" s="16" t="s">
        <v>1264</v>
      </c>
    </row>
    <row r="145" spans="1:30" ht="9" customHeight="1" x14ac:dyDescent="0.15"/>
    <row r="146" spans="1:30" s="195" customFormat="1" ht="9" customHeight="1" x14ac:dyDescent="0.15">
      <c r="A146" s="193"/>
      <c r="B146" s="194" t="s">
        <v>1215</v>
      </c>
      <c r="C146" s="194"/>
      <c r="D146" s="194"/>
      <c r="E146" s="194"/>
      <c r="F146" s="194"/>
      <c r="G146" s="194" t="s">
        <v>1216</v>
      </c>
      <c r="H146" s="194"/>
      <c r="I146" s="194"/>
      <c r="J146" s="194"/>
      <c r="K146" s="194"/>
      <c r="L146" s="194"/>
      <c r="M146" s="194"/>
      <c r="N146" s="194"/>
      <c r="R146" s="388" t="s">
        <v>1217</v>
      </c>
      <c r="S146" s="388"/>
      <c r="T146" s="388"/>
      <c r="U146" s="388"/>
      <c r="V146" s="388"/>
      <c r="W146" s="388"/>
      <c r="X146" s="196"/>
      <c r="Y146" s="196"/>
      <c r="AA146" s="196"/>
      <c r="AB146" s="196"/>
      <c r="AC146" s="196"/>
      <c r="AD146" s="196"/>
    </row>
    <row r="147" spans="1:30" s="200" customFormat="1" ht="9" customHeight="1" x14ac:dyDescent="0.15">
      <c r="A147" s="197"/>
      <c r="B147" s="198" t="s">
        <v>1219</v>
      </c>
      <c r="C147" s="199"/>
      <c r="D147" s="199"/>
      <c r="E147" s="199"/>
      <c r="F147" s="199"/>
      <c r="G147" s="198" t="s">
        <v>1218</v>
      </c>
      <c r="H147" s="199"/>
      <c r="I147" s="199"/>
      <c r="J147" s="199"/>
      <c r="K147" s="199"/>
      <c r="L147" s="199"/>
      <c r="M147" s="199"/>
      <c r="N147" s="199"/>
      <c r="R147" s="201" t="s">
        <v>1220</v>
      </c>
      <c r="S147" s="202"/>
      <c r="T147" s="203"/>
      <c r="U147" s="203"/>
      <c r="V147" s="203"/>
      <c r="W147" s="201" t="s">
        <v>1221</v>
      </c>
      <c r="X147" s="203"/>
      <c r="Y147" s="203"/>
      <c r="AA147" s="203"/>
      <c r="AB147" s="203"/>
      <c r="AC147" s="203"/>
      <c r="AD147" s="203"/>
    </row>
    <row r="148" spans="1:30" s="186" customFormat="1" ht="12" customHeight="1" x14ac:dyDescent="0.15">
      <c r="A148" s="204" t="s">
        <v>3</v>
      </c>
      <c r="B148" s="205" t="s">
        <v>8</v>
      </c>
      <c r="C148" s="205" t="s">
        <v>9</v>
      </c>
      <c r="D148" s="205" t="s">
        <v>10</v>
      </c>
      <c r="E148" s="206" t="s">
        <v>1195</v>
      </c>
      <c r="F148" s="205"/>
      <c r="G148" s="186" t="s">
        <v>3</v>
      </c>
      <c r="H148" s="389" t="s">
        <v>0</v>
      </c>
      <c r="I148" s="389"/>
      <c r="J148" s="389" t="s">
        <v>1</v>
      </c>
      <c r="K148" s="389"/>
      <c r="L148" s="389" t="s">
        <v>2</v>
      </c>
      <c r="M148" s="389"/>
      <c r="N148" s="390" t="s">
        <v>1195</v>
      </c>
      <c r="O148" s="390"/>
      <c r="P148" s="207"/>
      <c r="Q148" s="207"/>
      <c r="R148" s="208" t="s">
        <v>3</v>
      </c>
      <c r="S148" s="209" t="s">
        <v>135</v>
      </c>
      <c r="T148" s="207" t="s">
        <v>133</v>
      </c>
      <c r="U148" s="205" t="s">
        <v>134</v>
      </c>
      <c r="V148" s="207"/>
      <c r="W148" s="210" t="s">
        <v>26</v>
      </c>
    </row>
    <row r="149" spans="1:30" s="140" customFormat="1" x14ac:dyDescent="0.15">
      <c r="A149" s="140">
        <v>1959</v>
      </c>
      <c r="B149" s="143">
        <f>(K6*($E6/365))+(K7*($E7/365))</f>
        <v>0.8966376089663759</v>
      </c>
      <c r="C149" s="143">
        <f>(L6*($E6/365))+(L7*($E7/365))</f>
        <v>97.907845579078469</v>
      </c>
      <c r="D149" s="143">
        <f>(M6*($E6/365))+(M7*($E7/365))</f>
        <v>0.8966376089663759</v>
      </c>
      <c r="E149" s="144">
        <f>B149+C149+D149</f>
        <v>99.701120797011214</v>
      </c>
      <c r="G149" s="140">
        <v>1959</v>
      </c>
      <c r="H149" s="391">
        <f>(O6/$R6*100*($E6/365))+(O7/$R7*100*($E7/365))</f>
        <v>1.0005955926146517</v>
      </c>
      <c r="I149" s="391"/>
      <c r="J149" s="391">
        <f>(P6/$R6*100*($E6/365))+(P7/$R7*100*($E7/365))</f>
        <v>97.855866587254326</v>
      </c>
      <c r="K149" s="391"/>
      <c r="L149" s="391">
        <f>(Q6/$R6*100*($E6/365))+(Q7/$R7*100*($E7/365))</f>
        <v>1.1435378201310302</v>
      </c>
      <c r="M149" s="391"/>
      <c r="N149" s="423">
        <f>H149+J149+K149</f>
        <v>98.856462179868984</v>
      </c>
      <c r="O149" s="423"/>
      <c r="P149" s="153"/>
      <c r="Q149" s="153"/>
      <c r="R149" s="153">
        <v>1959</v>
      </c>
      <c r="S149" s="143">
        <f>(O6*($E6/365))+(O7*($E7/365))</f>
        <v>0.69041095890410953</v>
      </c>
      <c r="T149" s="143">
        <f>(P6*($E6/365))+(P7*($E7/365))</f>
        <v>24</v>
      </c>
      <c r="U149" s="143">
        <f>(Q6*($E6/365))+(Q7*($E7/365))</f>
        <v>0.78904109589041083</v>
      </c>
      <c r="V149" s="153"/>
      <c r="W149" s="143">
        <f>S149+T149+U149</f>
        <v>25.479452054794521</v>
      </c>
      <c r="X149" s="145"/>
      <c r="Y149" s="145"/>
    </row>
    <row r="150" spans="1:30" x14ac:dyDescent="0.15">
      <c r="A150" s="1">
        <v>1960</v>
      </c>
      <c r="B150" s="5">
        <f>(K8*($E8/366))+(K9*($E9/366))</f>
        <v>0</v>
      </c>
      <c r="C150" s="5">
        <f>(L8*($E8/366))+(L9*($E9/366))</f>
        <v>100</v>
      </c>
      <c r="D150" s="5">
        <f>(M8*($E8/366))+(M9*($E9/366))</f>
        <v>0</v>
      </c>
      <c r="E150" s="18">
        <f>SUM(B150:D150)</f>
        <v>100</v>
      </c>
      <c r="G150" s="1">
        <v>1960</v>
      </c>
      <c r="H150" s="380">
        <f>(O8/$R8*100*($E8/366))+(O9/$R9*100*($E9/366))</f>
        <v>0</v>
      </c>
      <c r="I150" s="380"/>
      <c r="J150" s="380">
        <f>(P8/$R8*100*($E8/366))+(P9/$R9*100*($E9/366))</f>
        <v>100</v>
      </c>
      <c r="K150" s="380"/>
      <c r="L150" s="380">
        <f>(Q8/$R8*100*($E8/366))+(Q9/$R9*100*($E9/366))</f>
        <v>0</v>
      </c>
      <c r="M150" s="380"/>
      <c r="N150" s="379">
        <f t="shared" ref="N150:N180" si="69">SUM(H150:M150)</f>
        <v>100</v>
      </c>
      <c r="O150" s="379"/>
      <c r="P150" s="9"/>
      <c r="Q150" s="9"/>
      <c r="R150" s="9">
        <v>1960</v>
      </c>
      <c r="S150" s="5">
        <f>(O8*($E8/366))+(O9*($E9/366))</f>
        <v>0</v>
      </c>
      <c r="T150" s="5">
        <f>(P8*($E8/366))+(P9*($E9/366))</f>
        <v>24</v>
      </c>
      <c r="U150" s="5">
        <f>(Q8*($E8/366))+(Q9*($E9/366))</f>
        <v>0</v>
      </c>
      <c r="V150" s="9"/>
      <c r="W150" s="5">
        <f>SUM(S150:U150)</f>
        <v>24</v>
      </c>
      <c r="X150" s="4"/>
      <c r="Y150" s="4"/>
    </row>
    <row r="151" spans="1:30" x14ac:dyDescent="0.15">
      <c r="A151" s="1">
        <v>1961</v>
      </c>
      <c r="B151" s="5">
        <f>(K10*($E10/365))+(K11*($E11/365))</f>
        <v>0</v>
      </c>
      <c r="C151" s="5">
        <f>(L10*($E10/365))+(L11*($E11/365))</f>
        <v>96.396206533192839</v>
      </c>
      <c r="D151" s="5">
        <f>(M10*($E10/365))+(M11*($E11/365))</f>
        <v>0</v>
      </c>
      <c r="E151" s="18">
        <f t="shared" ref="E151:E203" si="70">SUM(B151:D151)</f>
        <v>96.396206533192839</v>
      </c>
      <c r="G151" s="1">
        <v>1961</v>
      </c>
      <c r="H151" s="380">
        <f>(O10/$R10*100*($E10/365))+(O11/$R11*100*($E11/365))</f>
        <v>0</v>
      </c>
      <c r="I151" s="380"/>
      <c r="J151" s="380">
        <f>(P10/$R10*100*($E10/365))+(P11/$R11*100*($E11/365))</f>
        <v>100</v>
      </c>
      <c r="K151" s="380"/>
      <c r="L151" s="380">
        <f>(Q10/$R10*100*($E10/365))+(Q11/$R11*100*($E11/365))</f>
        <v>0</v>
      </c>
      <c r="M151" s="380"/>
      <c r="N151" s="379">
        <f t="shared" si="69"/>
        <v>100</v>
      </c>
      <c r="O151" s="379"/>
      <c r="P151" s="9"/>
      <c r="Q151" s="9"/>
      <c r="R151" s="9">
        <v>1961</v>
      </c>
      <c r="S151" s="5">
        <f>(O10*($E10/365))+(O11*($E11/365))</f>
        <v>0</v>
      </c>
      <c r="T151" s="5">
        <f>(P10*($E10/365))+(P11*($E11/365))</f>
        <v>24</v>
      </c>
      <c r="U151" s="5">
        <f>(Q10*($E10/365))+(Q11*($E11/365))</f>
        <v>0</v>
      </c>
      <c r="V151" s="9"/>
      <c r="W151" s="5">
        <f t="shared" ref="W151:W203" si="71">SUM(S151:U151)</f>
        <v>24</v>
      </c>
      <c r="X151" s="4"/>
      <c r="Y151" s="4"/>
    </row>
    <row r="152" spans="1:30" x14ac:dyDescent="0.15">
      <c r="A152" s="1">
        <v>1962</v>
      </c>
      <c r="B152" s="5">
        <f>(K12*($E12/365))+(K13*($E13/365))</f>
        <v>19.651307596513075</v>
      </c>
      <c r="C152" s="5">
        <f>(L12*($E12/365))+(L13*($E13/365))</f>
        <v>71.648625347255489</v>
      </c>
      <c r="D152" s="5">
        <f>(M12*($E12/365))+(M13*($E13/365))</f>
        <v>0</v>
      </c>
      <c r="E152" s="18">
        <f t="shared" si="70"/>
        <v>91.299932943768567</v>
      </c>
      <c r="G152" s="1">
        <v>1962</v>
      </c>
      <c r="H152" s="380">
        <f>(O12/$R12*100*($E12/365))+(O13/$R13*100*($E13/365))</f>
        <v>29.593933463796478</v>
      </c>
      <c r="I152" s="380"/>
      <c r="J152" s="380">
        <f>(P12/$R12*100*($E12/365))+(P13/$R13*100*($E13/365))</f>
        <v>70.406066536203525</v>
      </c>
      <c r="K152" s="380"/>
      <c r="L152" s="380">
        <f>(Q12/$R12*100*($E12/365))+(Q13/$R13*100*($E13/365))</f>
        <v>0</v>
      </c>
      <c r="M152" s="380"/>
      <c r="N152" s="379">
        <f t="shared" si="69"/>
        <v>100</v>
      </c>
      <c r="O152" s="379"/>
      <c r="P152" s="9"/>
      <c r="Q152" s="9"/>
      <c r="R152" s="9">
        <v>1962</v>
      </c>
      <c r="S152" s="5">
        <f>(O12*($E12/365))+(O13*($E13/365))</f>
        <v>16.57260273972603</v>
      </c>
      <c r="T152" s="5">
        <f>(P12*($E12/365))+(P13*($E13/365))</f>
        <v>30.484931506849314</v>
      </c>
      <c r="U152" s="5">
        <f>(Q12*($E12/365))+(Q13*($E13/365))</f>
        <v>0</v>
      </c>
      <c r="V152" s="9"/>
      <c r="W152" s="5">
        <f t="shared" si="71"/>
        <v>47.057534246575344</v>
      </c>
      <c r="X152" s="4"/>
      <c r="Y152" s="4"/>
    </row>
    <row r="153" spans="1:30" x14ac:dyDescent="0.15">
      <c r="A153" s="1">
        <v>1963</v>
      </c>
      <c r="B153" s="5">
        <f>(K14*($E14/365))+(K15*($E15/365))+(K16*($E16/365))</f>
        <v>26.65255292652553</v>
      </c>
      <c r="C153" s="5">
        <f>(L14*($E14/365))+(L15*($E15/365))+(L16*($E16/365))</f>
        <v>62.189290161892899</v>
      </c>
      <c r="D153" s="5">
        <f>(M14*($E14/365))+(M15*($E15/365))+(M16*($E16/365))</f>
        <v>0</v>
      </c>
      <c r="E153" s="18">
        <f t="shared" si="70"/>
        <v>88.841843088418429</v>
      </c>
      <c r="G153" s="1">
        <v>1963</v>
      </c>
      <c r="H153" s="380">
        <f>(O14/$R14*100*($E14/365))+(O15/$R15*100*($E15/365))</f>
        <v>39.496086105675147</v>
      </c>
      <c r="I153" s="380"/>
      <c r="J153" s="380">
        <f>(P14/$R14*100*($E14/365))+(P15/$R15*100*($E15/365))</f>
        <v>56.668297455968691</v>
      </c>
      <c r="K153" s="380"/>
      <c r="L153" s="380">
        <f>(Q14/$R14*100*($E14/365))+(Q15/$R15*100*($E15/365))</f>
        <v>0</v>
      </c>
      <c r="M153" s="380"/>
      <c r="N153" s="379">
        <f t="shared" si="69"/>
        <v>96.164383561643831</v>
      </c>
      <c r="O153" s="379"/>
      <c r="P153" s="9"/>
      <c r="Q153" s="9"/>
      <c r="R153" s="9">
        <v>1963</v>
      </c>
      <c r="S153" s="5">
        <f>(O14*($E14/365))+(O15*($E15/365))+(O16*($E16/365))</f>
        <v>22.117808219178084</v>
      </c>
      <c r="T153" s="5">
        <f>(P14*($E14/365))+(P15*($E15/365))+(P16*($E16/365))</f>
        <v>31.734246575342468</v>
      </c>
      <c r="U153" s="5">
        <f>(Q14*($E14/365))+(Q15*($E15/365))+(Q16*($E16/365))</f>
        <v>0</v>
      </c>
      <c r="V153" s="9"/>
      <c r="W153" s="5">
        <f t="shared" si="71"/>
        <v>53.852054794520555</v>
      </c>
      <c r="X153" s="4"/>
      <c r="Y153" s="4"/>
    </row>
    <row r="154" spans="1:30" x14ac:dyDescent="0.15">
      <c r="A154" s="1">
        <v>1964</v>
      </c>
      <c r="B154" s="5">
        <f>(K17*($E17/366))+(K18*($E18/366))</f>
        <v>11.028315946348734</v>
      </c>
      <c r="C154" s="5">
        <f>(L17*($E17/366))+(L18*($E18/366))</f>
        <v>19.299552906110282</v>
      </c>
      <c r="D154" s="5">
        <f>(M17*($E17/366))+(M18*($E18/366))</f>
        <v>0</v>
      </c>
      <c r="E154" s="18">
        <f t="shared" si="70"/>
        <v>30.327868852459016</v>
      </c>
      <c r="G154" s="1">
        <v>1964</v>
      </c>
      <c r="H154" s="380">
        <f>(O18/$R18*100*($E18/366))</f>
        <v>12.456088992974239</v>
      </c>
      <c r="I154" s="380"/>
      <c r="J154" s="380">
        <f>(P18/$R18*100*($E18/366))</f>
        <v>17.871779859484779</v>
      </c>
      <c r="K154" s="380"/>
      <c r="L154" s="380">
        <f>(Q18/$R18*100*($E18/366))</f>
        <v>0</v>
      </c>
      <c r="M154" s="380"/>
      <c r="N154" s="379">
        <f t="shared" si="69"/>
        <v>30.327868852459019</v>
      </c>
      <c r="O154" s="379"/>
      <c r="P154" s="9"/>
      <c r="Q154" s="9"/>
      <c r="R154" s="9">
        <v>1964</v>
      </c>
      <c r="S154" s="5">
        <f>(O17*($E17/366))+(O18*($E18/366))</f>
        <v>6.9754098360655741</v>
      </c>
      <c r="T154" s="5">
        <f>(P17*($E17/366))+(P18*($E18/366))</f>
        <v>10.008196721311476</v>
      </c>
      <c r="U154" s="5">
        <f>(Q17*($E17/366))+(Q18*($E18/366))</f>
        <v>0</v>
      </c>
      <c r="V154" s="9"/>
      <c r="W154" s="5">
        <f t="shared" si="71"/>
        <v>16.983606557377051</v>
      </c>
      <c r="X154" s="4"/>
      <c r="Y154" s="4"/>
    </row>
    <row r="155" spans="1:30" x14ac:dyDescent="0.15">
      <c r="A155" s="1">
        <v>1965</v>
      </c>
      <c r="B155" s="5">
        <f>(K19*($E19/365))+(K20*($E20/365))</f>
        <v>36.363636363636367</v>
      </c>
      <c r="C155" s="5">
        <f>(L19*($E19/365))+(L20*($E20/365))</f>
        <v>63.636363636363633</v>
      </c>
      <c r="D155" s="5">
        <f>(M19*($E19/365))+(M20*($E20/365))</f>
        <v>0</v>
      </c>
      <c r="E155" s="18">
        <f t="shared" si="70"/>
        <v>100</v>
      </c>
      <c r="G155" s="1">
        <v>1965</v>
      </c>
      <c r="H155" s="380">
        <f>(O19/$R19*100*($E19/365))+(O20/$R20*100*($E20/365))</f>
        <v>41.071428571428569</v>
      </c>
      <c r="I155" s="380"/>
      <c r="J155" s="380">
        <f>(P19/$R19*100*($E19/365))+(P20/$R20*100*($E20/365))</f>
        <v>58.928571428571431</v>
      </c>
      <c r="K155" s="380"/>
      <c r="L155" s="380">
        <f>(Q19/$R19*100*($E19/365))+(Q20/$R20*100*($E20/365))</f>
        <v>0</v>
      </c>
      <c r="M155" s="380"/>
      <c r="N155" s="379">
        <f t="shared" si="69"/>
        <v>100</v>
      </c>
      <c r="O155" s="379"/>
      <c r="P155" s="9"/>
      <c r="Q155" s="9"/>
      <c r="R155" s="9">
        <v>1965</v>
      </c>
      <c r="S155" s="5">
        <f>(O19*($E19/365))+(O20*($E20/365))</f>
        <v>23</v>
      </c>
      <c r="T155" s="5">
        <f>(P19*($E19/365))+(P20*($E20/365))</f>
        <v>33</v>
      </c>
      <c r="U155" s="5">
        <f>(Q19*($E19/365))+(Q20*($E20/365))</f>
        <v>0</v>
      </c>
      <c r="V155" s="9"/>
      <c r="W155" s="5">
        <f t="shared" si="71"/>
        <v>56</v>
      </c>
      <c r="X155" s="4"/>
      <c r="Y155" s="4"/>
    </row>
    <row r="156" spans="1:30" x14ac:dyDescent="0.15">
      <c r="A156" s="1">
        <v>1966</v>
      </c>
      <c r="B156" s="5">
        <f>(K21*($E21/365))+(K22*($E22/365))</f>
        <v>14.545454545454547</v>
      </c>
      <c r="C156" s="5">
        <f>(L21*($E21/365))+(L22*($E22/365))</f>
        <v>45.454545454545453</v>
      </c>
      <c r="D156" s="5">
        <f>(M21*($E21/365))+(M22*($E22/365))</f>
        <v>39.999999999999993</v>
      </c>
      <c r="E156" s="18">
        <f t="shared" si="70"/>
        <v>100</v>
      </c>
      <c r="G156" s="1">
        <v>1966</v>
      </c>
      <c r="H156" s="380">
        <f>(O21/$R21*100*($E21/365))+(O22/$R22*100*($E22/365))</f>
        <v>16.428571428571427</v>
      </c>
      <c r="I156" s="380"/>
      <c r="J156" s="380">
        <f>(P21/$R21*100*($E21/365))+(P22/$R22*100*($E22/365))</f>
        <v>42.913533834586467</v>
      </c>
      <c r="K156" s="380"/>
      <c r="L156" s="380">
        <f>(Q21/$R21*100*($E21/365))+(Q22/$R22*100*($E22/365))</f>
        <v>40.65789473684211</v>
      </c>
      <c r="M156" s="380"/>
      <c r="N156" s="379">
        <f t="shared" si="69"/>
        <v>100</v>
      </c>
      <c r="O156" s="379"/>
      <c r="P156" s="9"/>
      <c r="Q156" s="9"/>
      <c r="R156" s="9">
        <v>1966</v>
      </c>
      <c r="S156" s="5">
        <f>(O21*($E21/365))+(O22*($E22/365))</f>
        <v>9.2000000000000011</v>
      </c>
      <c r="T156" s="5">
        <f>(P21*($E21/365))+(P22*($E22/365))</f>
        <v>27.9</v>
      </c>
      <c r="U156" s="5">
        <f>(Q21*($E21/365))+(Q22*($E22/365))</f>
        <v>30.9</v>
      </c>
      <c r="V156" s="9"/>
      <c r="W156" s="5">
        <f t="shared" si="71"/>
        <v>68</v>
      </c>
      <c r="X156" s="4"/>
      <c r="Y156" s="4"/>
    </row>
    <row r="157" spans="1:30" x14ac:dyDescent="0.15">
      <c r="A157" s="1">
        <v>1967</v>
      </c>
      <c r="B157" s="5">
        <f>(K23*($E23/365))+(K24*($E24/365))</f>
        <v>0</v>
      </c>
      <c r="C157" s="5">
        <f>(L23*($E23/365))+(L24*($E24/365))</f>
        <v>33.333333333333329</v>
      </c>
      <c r="D157" s="5">
        <f>(M23*($E23/365))+(M24*($E24/365))</f>
        <v>66.666666666666657</v>
      </c>
      <c r="E157" s="18">
        <f t="shared" si="70"/>
        <v>99.999999999999986</v>
      </c>
      <c r="G157" s="1">
        <v>1967</v>
      </c>
      <c r="H157" s="380">
        <f>(O23/$R23*100*($E23/365))+(O24/$R24*100*($E24/365))</f>
        <v>0</v>
      </c>
      <c r="I157" s="380"/>
      <c r="J157" s="380">
        <f>(P23/$R23*100*($E23/365))+(P24/$R24*100*($E24/365))</f>
        <v>32.236842105263158</v>
      </c>
      <c r="K157" s="380"/>
      <c r="L157" s="380">
        <f>(Q23/$R23*100*($E23/365))+(Q24/$R24*100*($E24/365))</f>
        <v>67.76315789473685</v>
      </c>
      <c r="M157" s="380"/>
      <c r="N157" s="379">
        <f t="shared" si="69"/>
        <v>100</v>
      </c>
      <c r="O157" s="379"/>
      <c r="P157" s="9"/>
      <c r="Q157" s="9"/>
      <c r="R157" s="9">
        <v>1967</v>
      </c>
      <c r="S157" s="5">
        <f>(O23*($E23/365))+(O24*($E24/365))</f>
        <v>0</v>
      </c>
      <c r="T157" s="5">
        <f>(P23*($E23/365))+(P24*($E24/365))</f>
        <v>24.5</v>
      </c>
      <c r="U157" s="5">
        <f>(Q23*($E23/365))+(Q24*($E24/365))</f>
        <v>51.5</v>
      </c>
      <c r="V157" s="9"/>
      <c r="W157" s="5">
        <f t="shared" si="71"/>
        <v>76</v>
      </c>
      <c r="X157" s="4"/>
      <c r="Y157" s="4"/>
    </row>
    <row r="158" spans="1:30" x14ac:dyDescent="0.15">
      <c r="A158" s="1">
        <v>1968</v>
      </c>
      <c r="B158" s="5">
        <f>(K25*($E25/366))+(K26*($E26/366))</f>
        <v>6.4890710382513648</v>
      </c>
      <c r="C158" s="5">
        <f>(L25*($E25/366))+(L26*($E26/366))</f>
        <v>33.333333333333329</v>
      </c>
      <c r="D158" s="5">
        <f>(M25*($E25/366))+(M26*($E26/366))</f>
        <v>60.177595628415304</v>
      </c>
      <c r="E158" s="18">
        <f t="shared" si="70"/>
        <v>100</v>
      </c>
      <c r="G158" s="1">
        <v>1968</v>
      </c>
      <c r="H158" s="380">
        <f>(O25/$R25*100*($E25/366))+(O26/$R26*100*($E26/366))</f>
        <v>7.3170731707317067</v>
      </c>
      <c r="I158" s="380"/>
      <c r="J158" s="380">
        <f>(P25/$R25*100*($E25/366))+(P26/$R26*100*($E26/366))</f>
        <v>29.878048780487802</v>
      </c>
      <c r="K158" s="380"/>
      <c r="L158" s="380">
        <f>(Q25/$R25*100*($E25/366))+(Q26/$R26*100*($E26/366))</f>
        <v>62.804878048780481</v>
      </c>
      <c r="M158" s="380"/>
      <c r="N158" s="379">
        <f t="shared" si="69"/>
        <v>99.999999999999986</v>
      </c>
      <c r="O158" s="379"/>
      <c r="P158" s="9"/>
      <c r="Q158" s="9"/>
      <c r="R158" s="9">
        <v>1968</v>
      </c>
      <c r="S158" s="5">
        <f>(O25*($E25/366))+(O26*($E26/366))</f>
        <v>6</v>
      </c>
      <c r="T158" s="5">
        <f>(P25*($E25/366))+(P26*($E26/366))</f>
        <v>24.5</v>
      </c>
      <c r="U158" s="5">
        <f>(Q25*($E25/366))+(Q26*($E26/366))</f>
        <v>51.5</v>
      </c>
      <c r="V158" s="9"/>
      <c r="W158" s="5">
        <f t="shared" si="71"/>
        <v>82</v>
      </c>
      <c r="X158" s="4"/>
      <c r="Y158" s="4"/>
    </row>
    <row r="159" spans="1:30" x14ac:dyDescent="0.15">
      <c r="A159" s="1">
        <v>1969</v>
      </c>
      <c r="B159" s="5">
        <f>(K27*($E27/365))+(K28*($E28/365))</f>
        <v>8.3333333333333321</v>
      </c>
      <c r="C159" s="5">
        <f>(L27*($E27/365))+(L28*($E28/365))</f>
        <v>33.333333333333329</v>
      </c>
      <c r="D159" s="5">
        <f>(M27*($E27/365))+(M28*($E28/365))</f>
        <v>58.333333333333336</v>
      </c>
      <c r="E159" s="18">
        <f t="shared" si="70"/>
        <v>100</v>
      </c>
      <c r="G159" s="1">
        <v>1969</v>
      </c>
      <c r="H159" s="380">
        <f>(O27/$R27*100*($E27/365))+(O28/$R28*100*($E28/365))</f>
        <v>7.3170731707317067</v>
      </c>
      <c r="I159" s="380"/>
      <c r="J159" s="380">
        <f>(P27/$R27*100*($E27/365))+(P28/$R28*100*($E28/365))</f>
        <v>29.878048780487802</v>
      </c>
      <c r="K159" s="380"/>
      <c r="L159" s="380">
        <f>(Q27/$R27*100*($E27/365))+(Q28/$R28*100*($E28/365))</f>
        <v>62.804878048780488</v>
      </c>
      <c r="M159" s="380"/>
      <c r="N159" s="379">
        <f t="shared" si="69"/>
        <v>100</v>
      </c>
      <c r="O159" s="379"/>
      <c r="P159" s="9"/>
      <c r="Q159" s="9"/>
      <c r="R159" s="9">
        <v>1969</v>
      </c>
      <c r="S159" s="5">
        <f>(O27*($E27/365))+(O28*($E28/365))</f>
        <v>6</v>
      </c>
      <c r="T159" s="5">
        <f>(P27*($E27/365))+(P28*($E28/365))</f>
        <v>24.5</v>
      </c>
      <c r="U159" s="5">
        <f>(Q27*($E27/365))+(Q28*($E28/365))</f>
        <v>51.5</v>
      </c>
      <c r="V159" s="9"/>
      <c r="W159" s="5">
        <f t="shared" si="71"/>
        <v>82</v>
      </c>
      <c r="X159" s="4"/>
      <c r="Y159" s="4"/>
    </row>
    <row r="160" spans="1:30" x14ac:dyDescent="0.15">
      <c r="A160" s="1">
        <v>1970</v>
      </c>
      <c r="B160" s="5">
        <f>(K29*($E29/365))+(K30*($E30/365))+(K31*($E31/365))</f>
        <v>11.617492096944151</v>
      </c>
      <c r="C160" s="5">
        <f>(L29*($E29/365))+(L30*($E30/365))+(L31*($E31/365))</f>
        <v>39.304531085352998</v>
      </c>
      <c r="D160" s="5">
        <f>(M29*($E29/365))+(M30*($E30/365))+(M31*($E31/365))</f>
        <v>49.077976817702847</v>
      </c>
      <c r="E160" s="18">
        <f t="shared" si="70"/>
        <v>100</v>
      </c>
      <c r="G160" s="1">
        <v>1970</v>
      </c>
      <c r="H160" s="380">
        <f>(O29/$R29*100*($E29/365))+(O30/$R30*100*($E30/365))+(O31/$R31*100*($E31/365))</f>
        <v>12.287698115526265</v>
      </c>
      <c r="I160" s="380"/>
      <c r="J160" s="380">
        <f>(P29/$R29*100*($E29/365))+(P30/$R30*100*($E30/365))+(P31/$R31*100*($E31/365))</f>
        <v>30.713475120107837</v>
      </c>
      <c r="K160" s="380"/>
      <c r="L160" s="380">
        <f>(Q29/$R29*100*($E29/365))+(Q30/$R30*100*($E30/365))+(Q31/$R31*100*($E31/365))</f>
        <v>56.998826764365894</v>
      </c>
      <c r="M160" s="380"/>
      <c r="N160" s="379">
        <f t="shared" si="69"/>
        <v>100</v>
      </c>
      <c r="O160" s="379"/>
      <c r="P160" s="9"/>
      <c r="Q160" s="9"/>
      <c r="R160" s="9">
        <v>1970</v>
      </c>
      <c r="S160" s="5">
        <f>(O29*($E29/365))+(O30*($E30/365))+(O31*($E31/365))</f>
        <v>9.1424657534246556</v>
      </c>
      <c r="T160" s="5">
        <f>(P29*($E29/365))+(P30*($E30/365))+(P31*($E31/365))</f>
        <v>23.228767123287668</v>
      </c>
      <c r="U160" s="5">
        <f>(Q29*($E29/365))+(Q30*($E30/365))+(Q31*($E31/365))</f>
        <v>43.357534246575341</v>
      </c>
      <c r="V160" s="9"/>
      <c r="W160" s="5">
        <f t="shared" si="71"/>
        <v>75.728767123287668</v>
      </c>
      <c r="X160" s="4"/>
      <c r="Y160" s="4"/>
    </row>
    <row r="161" spans="1:25" x14ac:dyDescent="0.15">
      <c r="A161" s="1">
        <v>1971</v>
      </c>
      <c r="B161" s="5">
        <f>(K32*($E32/365))+(K33*($E33/365))+(K34*($E34/365))</f>
        <v>13.382507903055847</v>
      </c>
      <c r="C161" s="5">
        <f>(L32*($E32/365))+(L33*($E33/365))+(L34*($E34/365))</f>
        <v>41.496311907270808</v>
      </c>
      <c r="D161" s="5">
        <f>(M32*($E32/365))+(M33*($E33/365))+(M34*($E34/365))</f>
        <v>38.37723919915701</v>
      </c>
      <c r="E161" s="18">
        <f t="shared" si="70"/>
        <v>93.256059009483664</v>
      </c>
      <c r="G161" s="1">
        <v>1971</v>
      </c>
      <c r="H161" s="380">
        <f>(O32/$R32*100*($E32/365))+(O33/$R33*100*($E33/365))+(O34/$R34*100*($E34/365))</f>
        <v>13.401540380631944</v>
      </c>
      <c r="I161" s="380"/>
      <c r="J161" s="380">
        <f>(P32/$R32*100*($E32/365))+(P33/$R33*100*($E33/365))+(P34/$R34*100*($E34/365))</f>
        <v>37.896110138359603</v>
      </c>
      <c r="K161" s="380"/>
      <c r="L161" s="380">
        <f>(Q32/$R32*100*($E32/365))+(Q33/$R33*100*($E33/365))+(Q34/$R34*100*($E34/365))</f>
        <v>48.702349481008454</v>
      </c>
      <c r="M161" s="380"/>
      <c r="N161" s="379">
        <f t="shared" si="69"/>
        <v>100</v>
      </c>
      <c r="O161" s="379"/>
      <c r="P161" s="9"/>
      <c r="Q161" s="9"/>
      <c r="R161" s="9">
        <v>1971</v>
      </c>
      <c r="S161" s="5">
        <f>(O32*($E32/365))+(O33*($E33/365))+(O34*($E34/365))</f>
        <v>8.1917808219178099</v>
      </c>
      <c r="T161" s="5">
        <f>(P32*($E32/365))+(P33*($E33/365))+(P34*($E34/365))</f>
        <v>22.5</v>
      </c>
      <c r="U161" s="5">
        <f>(Q32*($E32/365))+(Q33*($E33/365))+(Q34*($E34/365))</f>
        <v>29.642465753424659</v>
      </c>
      <c r="V161" s="9"/>
      <c r="W161" s="5">
        <f t="shared" si="71"/>
        <v>60.334246575342469</v>
      </c>
      <c r="X161" s="4"/>
      <c r="Y161" s="4"/>
    </row>
    <row r="162" spans="1:25" x14ac:dyDescent="0.15">
      <c r="A162" s="1">
        <v>1972</v>
      </c>
      <c r="B162" s="5">
        <f>(K35*($E35/366))+(K36*($E36/366))+(K37*($E37/366))</f>
        <v>5.1781210592685998</v>
      </c>
      <c r="C162" s="5">
        <f>(L35*($E35/366))+(L36*($E36/366))+(L37*($E37/366))</f>
        <v>16.648276586801178</v>
      </c>
      <c r="D162" s="5">
        <f>(M35*($E35/366))+(M36*($E36/366))+(M37*($E37/366))</f>
        <v>70.571931483816726</v>
      </c>
      <c r="E162" s="18">
        <f t="shared" si="70"/>
        <v>92.398329129886505</v>
      </c>
      <c r="G162" s="1">
        <v>1972</v>
      </c>
      <c r="H162" s="380">
        <f>(O35/$R35*100*($E35/366))+(O36/$R36*100*($E36/366))+(O37/$R37*100*($E37/366))</f>
        <v>7.0671738331580443</v>
      </c>
      <c r="I162" s="380"/>
      <c r="J162" s="380">
        <f>(P35/$R35*100*($E35/366))+(P36/$R36*100*($E36/366))+(P37/$R37*100*($E37/366))</f>
        <v>17.661915628661049</v>
      </c>
      <c r="K162" s="380"/>
      <c r="L162" s="380">
        <f>(Q35/$R35*100*($E35/366))+(Q36/$R36*100*($E36/366))+(Q37/$R37*100*($E37/366))</f>
        <v>75.270910538180914</v>
      </c>
      <c r="M162" s="380"/>
      <c r="N162" s="379">
        <f t="shared" si="69"/>
        <v>100</v>
      </c>
      <c r="O162" s="379"/>
      <c r="P162" s="9"/>
      <c r="Q162" s="9"/>
      <c r="R162" s="9">
        <v>1972</v>
      </c>
      <c r="S162" s="5">
        <f>(O35*($E35/366))+(O36*($E36/366))+(O37*($E37/366))</f>
        <v>4.304644808743169</v>
      </c>
      <c r="T162" s="5">
        <f>(P35*($E35/366))+(P36*($E36/366))+(P37*($E37/366))</f>
        <v>10.08606557377049</v>
      </c>
      <c r="U162" s="5">
        <f>(Q35*($E35/366))+(Q36*($E36/366))+(Q37*($E37/366))</f>
        <v>27.210382513661202</v>
      </c>
      <c r="V162" s="9"/>
      <c r="W162" s="5">
        <f t="shared" si="71"/>
        <v>41.601092896174862</v>
      </c>
      <c r="X162" s="4"/>
      <c r="Y162" s="4"/>
    </row>
    <row r="163" spans="1:25" x14ac:dyDescent="0.15">
      <c r="A163" s="1">
        <v>1973</v>
      </c>
      <c r="B163" s="5">
        <f>(K38*($E38/365))+(K39*($E39/365))</f>
        <v>12.5</v>
      </c>
      <c r="C163" s="5">
        <f>(L38*($E38/365))+(L39*($E39/365))</f>
        <v>37.5</v>
      </c>
      <c r="D163" s="5">
        <f>(M38*($E38/365))+(M39*($E39/365))</f>
        <v>43.75</v>
      </c>
      <c r="E163" s="18">
        <f t="shared" si="70"/>
        <v>93.75</v>
      </c>
      <c r="G163" s="1">
        <v>1973</v>
      </c>
      <c r="H163" s="380">
        <f>(O38/$R38*100*($E38/365))+(O39/$R39*100*($E39/365))</f>
        <v>9.3457943925233646</v>
      </c>
      <c r="I163" s="380"/>
      <c r="J163" s="380">
        <f>(P38/$R38*100*($E38/365))+(P39/$R39*100*($E39/365))</f>
        <v>39.252336448598129</v>
      </c>
      <c r="K163" s="380"/>
      <c r="L163" s="380">
        <f>(Q38/$R38*100*($E38/365))+(Q39/$R39*100*($E39/365))</f>
        <v>51.401869158878498</v>
      </c>
      <c r="M163" s="380"/>
      <c r="N163" s="379">
        <f t="shared" si="69"/>
        <v>100</v>
      </c>
      <c r="O163" s="379"/>
      <c r="P163" s="9"/>
      <c r="Q163" s="9"/>
      <c r="R163" s="9">
        <v>1973</v>
      </c>
      <c r="S163" s="5">
        <f>(O38*($E38/365))+(O39*($E39/365))</f>
        <v>5</v>
      </c>
      <c r="T163" s="5">
        <f>(P38*($E38/365))+(P39*($E39/365))</f>
        <v>21</v>
      </c>
      <c r="U163" s="5">
        <f>(Q38*($E38/365))+(Q39*($E39/365))</f>
        <v>27.5</v>
      </c>
      <c r="V163" s="9"/>
      <c r="W163" s="5">
        <f t="shared" si="71"/>
        <v>53.5</v>
      </c>
      <c r="X163" s="4"/>
      <c r="Y163" s="4"/>
    </row>
    <row r="164" spans="1:25" x14ac:dyDescent="0.15">
      <c r="A164" s="1">
        <v>1974</v>
      </c>
      <c r="B164" s="5">
        <f>(K40*($E40/365))+(K41*($E41/365))</f>
        <v>12.5</v>
      </c>
      <c r="C164" s="5">
        <f>(L40*($E40/365))+(L41*($E41/365))</f>
        <v>37.5</v>
      </c>
      <c r="D164" s="5">
        <f>(M40*($E40/365))+(M41*($E41/365))</f>
        <v>43.75</v>
      </c>
      <c r="E164" s="18">
        <f t="shared" si="70"/>
        <v>93.75</v>
      </c>
      <c r="G164" s="1">
        <v>1974</v>
      </c>
      <c r="H164" s="380">
        <f>(O40/$R40*100*($E40/365))+(O41/$R41*100*($E41/365))</f>
        <v>9.3457943925233646</v>
      </c>
      <c r="I164" s="380"/>
      <c r="J164" s="380">
        <f>(P40/$R40*100*($E40/365))+(P41/$R41*100*($E41/365))</f>
        <v>39.252336448598129</v>
      </c>
      <c r="K164" s="380"/>
      <c r="L164" s="380">
        <f>(Q40/$R40*100*($E40/365))+(Q41/$R41*100*($E41/365))</f>
        <v>51.401869158878498</v>
      </c>
      <c r="M164" s="380"/>
      <c r="N164" s="379">
        <f t="shared" si="69"/>
        <v>100</v>
      </c>
      <c r="O164" s="379"/>
      <c r="P164" s="9"/>
      <c r="Q164" s="9"/>
      <c r="R164" s="9">
        <v>1974</v>
      </c>
      <c r="S164" s="5">
        <f>(O40*($E40/365))+(O41*($E41/365))</f>
        <v>5</v>
      </c>
      <c r="T164" s="5">
        <f>(P40*($E40/365))+(P41*($E41/365))</f>
        <v>21</v>
      </c>
      <c r="U164" s="5">
        <f>(Q40*($E40/365))+(Q41*($E41/365))</f>
        <v>27.5</v>
      </c>
      <c r="V164" s="9"/>
      <c r="W164" s="5">
        <f t="shared" si="71"/>
        <v>53.5</v>
      </c>
      <c r="X164" s="4"/>
      <c r="Y164" s="4"/>
    </row>
    <row r="165" spans="1:25" x14ac:dyDescent="0.15">
      <c r="A165" s="1">
        <v>1975</v>
      </c>
      <c r="B165" s="5">
        <f>(K42*($E42/365))+(K43*($E43/365))+(K44*($E44/365))</f>
        <v>12.035768645357686</v>
      </c>
      <c r="C165" s="5">
        <f>(L42*($E42/365))+(L43*($E43/365))+(L44*($E44/365))</f>
        <v>30.140791476407916</v>
      </c>
      <c r="D165" s="5">
        <f>(M42*($E42/365))+(M43*($E43/365))+(M44*($E44/365))</f>
        <v>37.619863013698634</v>
      </c>
      <c r="E165" s="18">
        <f t="shared" si="70"/>
        <v>79.796423135464238</v>
      </c>
      <c r="G165" s="1">
        <v>1975</v>
      </c>
      <c r="H165" s="380">
        <f>(O42/$R42*100*($E42/365))+(O43/$R43*100*($E43/365))+(O44/$R44*100*($E44/365))</f>
        <v>19.388350533227189</v>
      </c>
      <c r="I165" s="380"/>
      <c r="J165" s="380">
        <f>(P42/$R42*100*($E42/365))+(P43/$R43*100*($E43/365))+(P44/$R44*100*($E44/365))</f>
        <v>34.270293580577999</v>
      </c>
      <c r="K165" s="380"/>
      <c r="L165" s="380">
        <f>(Q42/$R42*100*($E42/365))+(Q43/$R43*100*($E43/365))+(Q44/$R44*100*($E44/365))</f>
        <v>46.341355886194812</v>
      </c>
      <c r="M165" s="380"/>
      <c r="N165" s="379">
        <f t="shared" si="69"/>
        <v>100</v>
      </c>
      <c r="O165" s="379"/>
      <c r="P165" s="9"/>
      <c r="Q165" s="9"/>
      <c r="R165" s="9">
        <v>1975</v>
      </c>
      <c r="S165" s="5">
        <f>(O42*($E42/365))+(O43*($E43/365))+(O44*($E44/365))</f>
        <v>12.917808219178083</v>
      </c>
      <c r="T165" s="5">
        <f>(P42*($E42/365))+(P43*($E43/365))+(P44*($E44/365))</f>
        <v>21.263013698630132</v>
      </c>
      <c r="U165" s="5">
        <f>(Q42*($E42/365))+(Q43*($E43/365))+(Q44*($E44/365))</f>
        <v>28.976712328767121</v>
      </c>
      <c r="V165" s="9"/>
      <c r="W165" s="5">
        <f t="shared" si="71"/>
        <v>63.157534246575338</v>
      </c>
      <c r="X165" s="4"/>
      <c r="Y165" s="4"/>
    </row>
    <row r="166" spans="1:25" x14ac:dyDescent="0.15">
      <c r="A166" s="1">
        <v>1976</v>
      </c>
      <c r="B166" s="5">
        <f>(K45*($E45/366))+(K46*($E46/366))</f>
        <v>13.073011536126291</v>
      </c>
      <c r="C166" s="5">
        <f>(L45*($E45/366))+(L46*($E46/366))</f>
        <v>39.905889496053433</v>
      </c>
      <c r="D166" s="5">
        <f>(M45*($E45/366))+(M46*($E46/366))</f>
        <v>37.158469945355193</v>
      </c>
      <c r="E166" s="18">
        <f t="shared" si="70"/>
        <v>90.137370977534914</v>
      </c>
      <c r="G166" s="1">
        <v>1976</v>
      </c>
      <c r="H166" s="380">
        <f>(O45/$R45*100*($E45/366))+(O46/$R46*100*($E46/366))</f>
        <v>9.3173861731774323</v>
      </c>
      <c r="I166" s="380"/>
      <c r="J166" s="380">
        <f>(P45/$R45*100*($E45/366))+(P46/$R46*100*($E46/366))</f>
        <v>44.723453631251672</v>
      </c>
      <c r="K166" s="380"/>
      <c r="L166" s="380">
        <f>(Q45/$R45*100*($E45/366))+(Q46/$R46*100*($E46/366))</f>
        <v>45.959160195570902</v>
      </c>
      <c r="M166" s="380"/>
      <c r="N166" s="379">
        <f t="shared" si="69"/>
        <v>100</v>
      </c>
      <c r="O166" s="379"/>
      <c r="P166" s="9"/>
      <c r="Q166" s="9"/>
      <c r="R166" s="9">
        <v>1976</v>
      </c>
      <c r="S166" s="5">
        <f>(O45*($E45/366))+(O46*($E46/366))</f>
        <v>5</v>
      </c>
      <c r="T166" s="5">
        <f>(P45*($E45/366))+(P46*($E46/366))</f>
        <v>24</v>
      </c>
      <c r="U166" s="5">
        <f>(Q45*($E45/366))+(Q46*($E46/366))</f>
        <v>34.928961748633881</v>
      </c>
      <c r="V166" s="9"/>
      <c r="W166" s="5">
        <f t="shared" si="71"/>
        <v>63.928961748633881</v>
      </c>
      <c r="X166" s="4"/>
      <c r="Y166" s="4"/>
    </row>
    <row r="167" spans="1:25" x14ac:dyDescent="0.15">
      <c r="A167" s="1">
        <v>1977</v>
      </c>
      <c r="B167" s="5">
        <f>(K47*($E47/365))+(K48*($E48/365))</f>
        <v>11.102739726027398</v>
      </c>
      <c r="C167" s="5">
        <f>(L47*($E47/365))+(L48*($E48/365))</f>
        <v>52.849315068493148</v>
      </c>
      <c r="D167" s="5">
        <f>(M47*($E47/365))+(M48*($E48/365))</f>
        <v>29.534246575342461</v>
      </c>
      <c r="E167" s="18">
        <f t="shared" si="70"/>
        <v>93.486301369863014</v>
      </c>
      <c r="G167" s="1">
        <v>1977</v>
      </c>
      <c r="H167" s="380">
        <f>(O47/$R47*100*($E47/365))+(O48/$R48*100*($E48/365))</f>
        <v>10.493374437510877</v>
      </c>
      <c r="I167" s="380"/>
      <c r="J167" s="380">
        <f>(P47/$R47*100*($E47/365))+(P48/$R48*100*($E48/365))</f>
        <v>50.368197300052202</v>
      </c>
      <c r="K167" s="380"/>
      <c r="L167" s="380">
        <f>(Q47/$R47*100*($E47/365))+(Q48/$R48*100*($E48/365))</f>
        <v>39.138428262436911</v>
      </c>
      <c r="M167" s="380"/>
      <c r="N167" s="379">
        <f t="shared" si="69"/>
        <v>100</v>
      </c>
      <c r="O167" s="379"/>
      <c r="P167" s="9"/>
      <c r="Q167" s="9"/>
      <c r="R167" s="9">
        <v>1977</v>
      </c>
      <c r="S167" s="5">
        <f>(O47*($E47/365))+(O48*($E48/365))</f>
        <v>5</v>
      </c>
      <c r="T167" s="5">
        <f>(P47*($E47/365))+(P48*($E48/365))</f>
        <v>24</v>
      </c>
      <c r="U167" s="5">
        <f>(Q47*($E47/365))+(Q48*($E48/365))</f>
        <v>29.745205479452054</v>
      </c>
      <c r="V167" s="9"/>
      <c r="W167" s="5">
        <f t="shared" si="71"/>
        <v>58.745205479452054</v>
      </c>
      <c r="X167" s="4"/>
      <c r="Y167" s="4"/>
    </row>
    <row r="168" spans="1:25" x14ac:dyDescent="0.15">
      <c r="A168" s="1">
        <v>1978</v>
      </c>
      <c r="B168" s="5">
        <f>(K49*($E49/365))+(K50*($E50/365))</f>
        <v>1.095890410958904</v>
      </c>
      <c r="C168" s="5">
        <f>(L49*($E49/365))+(L50*($E50/365))</f>
        <v>45.570776255707756</v>
      </c>
      <c r="D168" s="5">
        <f>(M49*($E49/365))+(M50*($E50/365))</f>
        <v>46.666666666666664</v>
      </c>
      <c r="E168" s="18">
        <f t="shared" si="70"/>
        <v>93.333333333333314</v>
      </c>
      <c r="G168" s="1">
        <v>1978</v>
      </c>
      <c r="H168" s="380">
        <f>(O49/$R49*100*($E49/365))+(O50/$R50*100*($E50/365))</f>
        <v>1.0814708002883922</v>
      </c>
      <c r="I168" s="380"/>
      <c r="J168" s="380">
        <f>(P49/$R49*100*($E49/365))+(P50/$R50*100*($E50/365))</f>
        <v>33.437249306944764</v>
      </c>
      <c r="K168" s="380"/>
      <c r="L168" s="380">
        <f>(Q49/$R49*100*($E49/365))+(Q50/$R50*100*($E50/365))</f>
        <v>65.481279892766835</v>
      </c>
      <c r="M168" s="380"/>
      <c r="N168" s="379">
        <f t="shared" si="69"/>
        <v>100</v>
      </c>
      <c r="O168" s="379"/>
      <c r="P168" s="9"/>
      <c r="Q168" s="9"/>
      <c r="R168" s="9">
        <v>1978</v>
      </c>
      <c r="S168" s="5">
        <f>(O49*($E49/365))+(O50*($E50/365))</f>
        <v>0.82191780821917804</v>
      </c>
      <c r="T168" s="5">
        <f>(P49*($E49/365))+(P50*($E50/365))</f>
        <v>24</v>
      </c>
      <c r="U168" s="5">
        <f>(Q49*($E49/365))+(Q50*($E50/365))</f>
        <v>47</v>
      </c>
      <c r="V168" s="9"/>
      <c r="W168" s="5">
        <f t="shared" si="71"/>
        <v>71.821917808219183</v>
      </c>
      <c r="X168" s="4"/>
      <c r="Y168" s="4"/>
    </row>
    <row r="169" spans="1:25" x14ac:dyDescent="0.15">
      <c r="A169" s="1">
        <v>1979</v>
      </c>
      <c r="B169" s="5">
        <f>(K51*($E51/365))+(K52*($E52/365))</f>
        <v>7.1232876712328759</v>
      </c>
      <c r="C169" s="5">
        <f>(L51*($E51/365))+(L52*($E52/365))</f>
        <v>39.780821917808218</v>
      </c>
      <c r="D169" s="5">
        <f>(M51*($E51/365))+(M52*($E52/365))</f>
        <v>46.904109589041092</v>
      </c>
      <c r="E169" s="18">
        <f t="shared" si="70"/>
        <v>93.808219178082183</v>
      </c>
      <c r="G169" s="1">
        <v>1979</v>
      </c>
      <c r="H169" s="380">
        <f>(O51/$R51*100*($E51/365))+(O52/$R52*100*($E52/365))</f>
        <v>4.5524770831187551</v>
      </c>
      <c r="I169" s="380"/>
      <c r="J169" s="380">
        <f>(P51/$R51*100*($E51/365))+(P52/$R52*100*($E52/365))</f>
        <v>29.724823345262635</v>
      </c>
      <c r="K169" s="380"/>
      <c r="L169" s="380">
        <f>(Q51/$R51*100*($E51/365))+(Q52/$R52*100*($E52/365))</f>
        <v>65.722699571618605</v>
      </c>
      <c r="M169" s="380"/>
      <c r="N169" s="379">
        <f t="shared" si="69"/>
        <v>100</v>
      </c>
      <c r="O169" s="379"/>
      <c r="P169" s="9"/>
      <c r="Q169" s="9"/>
      <c r="R169" s="9">
        <v>1979</v>
      </c>
      <c r="S169" s="5">
        <f>(O51*($E51/365))+(O52*($E52/365))</f>
        <v>3.0273972602739723</v>
      </c>
      <c r="T169" s="5">
        <f>(P51*($E51/365))+(P52*($E52/365))</f>
        <v>20.367123287671234</v>
      </c>
      <c r="U169" s="5">
        <f>(Q51*($E51/365))+(Q52*($E52/365))</f>
        <v>44.88082191780822</v>
      </c>
      <c r="V169" s="9"/>
      <c r="W169" s="5">
        <f t="shared" si="71"/>
        <v>68.275342465753425</v>
      </c>
      <c r="X169" s="4"/>
      <c r="Y169" s="4"/>
    </row>
    <row r="170" spans="1:25" x14ac:dyDescent="0.15">
      <c r="A170" s="1">
        <v>1980</v>
      </c>
      <c r="B170" s="5">
        <f>(K53*($E53/366))+(K54*($E54/366))</f>
        <v>11.76470588235294</v>
      </c>
      <c r="C170" s="5">
        <f>(L53*($E53/366))+(L54*($E54/366))</f>
        <v>35.294117647058826</v>
      </c>
      <c r="D170" s="5">
        <f>(M53*($E53/366))+(M54*($E54/366))</f>
        <v>47.058823529411761</v>
      </c>
      <c r="E170" s="18">
        <f t="shared" si="70"/>
        <v>94.117647058823536</v>
      </c>
      <c r="G170" s="1">
        <v>1980</v>
      </c>
      <c r="H170" s="380">
        <f>(O53/$R53*100*($E53/366))+(O54/$R54*100*($E54/366))</f>
        <v>7.518796992481203</v>
      </c>
      <c r="I170" s="380"/>
      <c r="J170" s="380">
        <f>(P53/$R53*100*($E53/366))+(P54/$R54*100*($E54/366))</f>
        <v>27.06766917293233</v>
      </c>
      <c r="K170" s="380"/>
      <c r="L170" s="380">
        <f>(Q53/$R53*100*($E53/366))+(Q54/$R54*100*($E54/366))</f>
        <v>65.413533834586474</v>
      </c>
      <c r="M170" s="380"/>
      <c r="N170" s="379">
        <f t="shared" si="69"/>
        <v>100</v>
      </c>
      <c r="O170" s="379"/>
      <c r="P170" s="9"/>
      <c r="Q170" s="9"/>
      <c r="R170" s="9">
        <v>1980</v>
      </c>
      <c r="S170" s="5">
        <f>(O53*($E53/366))+(O54*($E54/366))</f>
        <v>5</v>
      </c>
      <c r="T170" s="5">
        <f>(P53*($E53/366))+(P54*($E54/366))</f>
        <v>18</v>
      </c>
      <c r="U170" s="5">
        <f>(Q53*($E53/366))+(Q54*($E54/366))</f>
        <v>43.5</v>
      </c>
      <c r="V170" s="9"/>
      <c r="W170" s="5">
        <f t="shared" si="71"/>
        <v>66.5</v>
      </c>
      <c r="X170" s="4"/>
      <c r="Y170" s="4"/>
    </row>
    <row r="171" spans="1:25" x14ac:dyDescent="0.15">
      <c r="A171" s="1">
        <v>1981</v>
      </c>
      <c r="B171" s="5">
        <f>(K55*($E55/365))+(K56*($E56/365))</f>
        <v>11.76470588235294</v>
      </c>
      <c r="C171" s="5">
        <f>(L55*($E55/365))+(L56*($E56/365))</f>
        <v>35.294117647058826</v>
      </c>
      <c r="D171" s="5">
        <f>(M55*($E55/365))+(M56*($E56/365))</f>
        <v>47.058823529411761</v>
      </c>
      <c r="E171" s="18">
        <f t="shared" si="70"/>
        <v>94.117647058823536</v>
      </c>
      <c r="G171" s="1">
        <v>1981</v>
      </c>
      <c r="H171" s="380">
        <f>(O55/$R55*100*($E55/365))+(O56/$R56*100*($E56/365))</f>
        <v>7.518796992481203</v>
      </c>
      <c r="I171" s="380"/>
      <c r="J171" s="380">
        <f>(P55/$R55*100*($E55/365))+(P56/$R56*100*($E56/365))</f>
        <v>27.06766917293233</v>
      </c>
      <c r="K171" s="380"/>
      <c r="L171" s="380">
        <f>(Q55/$R55*100*($E55/365))+(Q56/$R56*100*($E56/365))</f>
        <v>65.413533834586474</v>
      </c>
      <c r="M171" s="380"/>
      <c r="N171" s="379">
        <f t="shared" si="69"/>
        <v>100</v>
      </c>
      <c r="O171" s="379"/>
      <c r="P171" s="9"/>
      <c r="Q171" s="9"/>
      <c r="R171" s="9">
        <v>1981</v>
      </c>
      <c r="S171" s="5">
        <f>(O55*($E55/365))+(O56*($E56/365))</f>
        <v>5</v>
      </c>
      <c r="T171" s="5">
        <f>(P55*($E55/365))+(P56*($E56/365))</f>
        <v>18</v>
      </c>
      <c r="U171" s="5">
        <f>(Q55*($E55/365))+(Q56*($E56/365))</f>
        <v>43.5</v>
      </c>
      <c r="V171" s="9"/>
      <c r="W171" s="5">
        <f t="shared" si="71"/>
        <v>66.5</v>
      </c>
      <c r="X171" s="4"/>
      <c r="Y171" s="4"/>
    </row>
    <row r="172" spans="1:25" x14ac:dyDescent="0.15">
      <c r="A172" s="1">
        <v>1982</v>
      </c>
      <c r="B172" s="5">
        <f>(K57*($E57/365))+(K58*($E58/365))+(K59*($E59/365))</f>
        <v>11.76470588235294</v>
      </c>
      <c r="C172" s="5">
        <f>(L57*($E57/365))+(L58*($E58/365))+(L59*($E59/365))</f>
        <v>35.326349717969379</v>
      </c>
      <c r="D172" s="5">
        <f>(M57*($E57/365))+(M58*($E58/365))+(M59*($E59/365))</f>
        <v>47.058823529411761</v>
      </c>
      <c r="E172" s="18">
        <f t="shared" si="70"/>
        <v>94.149879129734074</v>
      </c>
      <c r="G172" s="1">
        <v>1982</v>
      </c>
      <c r="H172" s="380">
        <f>(O57/$R57*100*($E57/365))+(O58/$R58*100*($E58/365))+(O59/$R59*100*($E59/365))</f>
        <v>7.5335108809204998</v>
      </c>
      <c r="I172" s="380"/>
      <c r="J172" s="380">
        <f>(P57/$R57*100*($E57/365))+(P58/$R58*100*($E58/365))+(P59/$R59*100*($E59/365))</f>
        <v>27.120639171313801</v>
      </c>
      <c r="K172" s="380"/>
      <c r="L172" s="380">
        <f>(Q57/$R57*100*($E57/365))+(Q58/$R58*100*($E58/365))+(Q59/$R59*100*($E59/365))</f>
        <v>65.3458499477657</v>
      </c>
      <c r="M172" s="380"/>
      <c r="N172" s="379">
        <f t="shared" si="69"/>
        <v>100</v>
      </c>
      <c r="O172" s="379"/>
      <c r="P172" s="9"/>
      <c r="Q172" s="9"/>
      <c r="R172" s="9">
        <v>1982</v>
      </c>
      <c r="S172" s="5">
        <f>(O57*($E57/365))+(O58*($E58/365))+(O59*($E59/365))</f>
        <v>5</v>
      </c>
      <c r="T172" s="5">
        <f>(P57*($E57/365))+(P58*($E58/365))+(P59*($E59/365))</f>
        <v>18</v>
      </c>
      <c r="U172" s="5">
        <f>(Q57*($E57/365))+(Q58*($E58/365))+(Q59*($E59/365))</f>
        <v>43.404109589041092</v>
      </c>
      <c r="V172" s="9"/>
      <c r="W172" s="5">
        <f t="shared" si="71"/>
        <v>66.404109589041099</v>
      </c>
      <c r="X172" s="4"/>
      <c r="Y172" s="4"/>
    </row>
    <row r="173" spans="1:25" x14ac:dyDescent="0.15">
      <c r="A173" s="1">
        <v>1983</v>
      </c>
      <c r="B173" s="5">
        <f>(K60*($E60/365))+(K61*($E61/365))</f>
        <v>11.76470588235294</v>
      </c>
      <c r="C173" s="5">
        <f>(L60*($E60/365))+(L61*($E61/365))</f>
        <v>41.17647058823529</v>
      </c>
      <c r="D173" s="5">
        <f>(M60*($E60/365))+(M61*($E61/365))</f>
        <v>47.058823529411761</v>
      </c>
      <c r="E173" s="18">
        <f t="shared" si="70"/>
        <v>100</v>
      </c>
      <c r="G173" s="1">
        <v>1983</v>
      </c>
      <c r="H173" s="380">
        <f>(O60/$R60*100*($E60/365))+(O61/$R61*100*($E61/365))</f>
        <v>9.3783908484877418</v>
      </c>
      <c r="I173" s="380"/>
      <c r="J173" s="380">
        <f>(P60/$R60*100*($E60/365))+(P61/$R61*100*($E61/365))</f>
        <v>41.960447393123637</v>
      </c>
      <c r="K173" s="380"/>
      <c r="L173" s="380">
        <f>(Q60/$R60*100*($E60/365))+(Q61/$R61*100*($E61/365))</f>
        <v>48.661161758388623</v>
      </c>
      <c r="M173" s="380"/>
      <c r="N173" s="379">
        <f t="shared" si="69"/>
        <v>100</v>
      </c>
      <c r="O173" s="379"/>
      <c r="P173" s="9"/>
      <c r="Q173" s="9"/>
      <c r="R173" s="9">
        <v>1983</v>
      </c>
      <c r="S173" s="5">
        <f>(O60*($E60/365))+(O61*($E61/365))</f>
        <v>5.3273972602739725</v>
      </c>
      <c r="T173" s="5">
        <f>(P60*($E60/365))+(P61*($E61/365))</f>
        <v>24.220547945205482</v>
      </c>
      <c r="U173" s="5">
        <f>(Q60*($E60/365))+(Q61*($E61/365))</f>
        <v>27.636986301369863</v>
      </c>
      <c r="V173" s="9"/>
      <c r="W173" s="5">
        <f t="shared" si="71"/>
        <v>57.184931506849317</v>
      </c>
      <c r="X173" s="4"/>
      <c r="Y173" s="4"/>
    </row>
    <row r="174" spans="1:25" x14ac:dyDescent="0.15">
      <c r="A174" s="1">
        <v>1984</v>
      </c>
      <c r="B174" s="5">
        <f>(K62*($E62/366))+(K63*($E63/366))</f>
        <v>11.76470588235294</v>
      </c>
      <c r="C174" s="5">
        <f>(L62*($E62/366))+(L63*($E63/366))</f>
        <v>41.17647058823529</v>
      </c>
      <c r="D174" s="5">
        <f>(M62*($E62/366))+(M63*($E63/366))</f>
        <v>47.058823529411761</v>
      </c>
      <c r="E174" s="18">
        <f t="shared" si="70"/>
        <v>100</v>
      </c>
      <c r="G174" s="1">
        <v>1984</v>
      </c>
      <c r="H174" s="380">
        <f>(O62/$R62*100*($E62/366))+(O63/$R63*100*($E63/366))</f>
        <v>8.9430894308943092</v>
      </c>
      <c r="I174" s="380"/>
      <c r="J174" s="380">
        <f>(P62/$R62*100*($E62/366))+(P63/$R63*100*($E63/366))</f>
        <v>44.715447154471541</v>
      </c>
      <c r="K174" s="380"/>
      <c r="L174" s="380">
        <f>(Q62/$R62*100*($E62/366))+(Q63/$R63*100*($E63/366))</f>
        <v>46.341463414634148</v>
      </c>
      <c r="M174" s="380"/>
      <c r="N174" s="379">
        <f t="shared" si="69"/>
        <v>100</v>
      </c>
      <c r="O174" s="379"/>
      <c r="P174" s="9"/>
      <c r="Q174" s="9"/>
      <c r="R174" s="9">
        <v>1984</v>
      </c>
      <c r="S174" s="5">
        <f>(O62*($E62/366))+(O63*($E63/366))</f>
        <v>5.5</v>
      </c>
      <c r="T174" s="5">
        <f>(P62*($E62/366))+(P63*($E63/366))</f>
        <v>27.5</v>
      </c>
      <c r="U174" s="5">
        <f>(Q62*($E62/366))+(Q63*($E63/366))</f>
        <v>28.5</v>
      </c>
      <c r="V174" s="9"/>
      <c r="W174" s="5">
        <f t="shared" si="71"/>
        <v>61.5</v>
      </c>
      <c r="X174" s="4"/>
      <c r="Y174" s="4"/>
    </row>
    <row r="175" spans="1:25" x14ac:dyDescent="0.15">
      <c r="A175" s="1">
        <v>1985</v>
      </c>
      <c r="B175" s="5">
        <f>(K64*($E64/365))+(K65*($E65/365))</f>
        <v>11.76470588235294</v>
      </c>
      <c r="C175" s="5">
        <f>(L64*($E64/365))+(L65*($E65/365))</f>
        <v>41.17647058823529</v>
      </c>
      <c r="D175" s="5">
        <f>(M64*($E64/365))+(M65*($E65/365))</f>
        <v>47.058823529411761</v>
      </c>
      <c r="E175" s="18">
        <f t="shared" si="70"/>
        <v>100</v>
      </c>
      <c r="G175" s="1">
        <v>1985</v>
      </c>
      <c r="H175" s="380">
        <f>(O64/$R64*100*($E64/365))+(O65/$R65*100*($E65/365))</f>
        <v>8.9430894308943092</v>
      </c>
      <c r="I175" s="380"/>
      <c r="J175" s="380">
        <f>(P64/$R64*100*($E64/365))+(P65/$R65*100*($E65/365))</f>
        <v>44.715447154471541</v>
      </c>
      <c r="K175" s="380"/>
      <c r="L175" s="380">
        <f>(Q64/$R64*100*($E64/365))+(Q65/$R65*100*($E65/365))</f>
        <v>46.341463414634148</v>
      </c>
      <c r="M175" s="380"/>
      <c r="N175" s="379">
        <f t="shared" si="69"/>
        <v>100</v>
      </c>
      <c r="O175" s="379"/>
      <c r="P175" s="9"/>
      <c r="Q175" s="9"/>
      <c r="R175" s="9">
        <v>1985</v>
      </c>
      <c r="S175" s="5">
        <f>(O64*($E64/365))+(O65*($E65/365))</f>
        <v>5.5</v>
      </c>
      <c r="T175" s="5">
        <f>(P64*($E64/365))+(P65*($E65/365))</f>
        <v>27.5</v>
      </c>
      <c r="U175" s="5">
        <f>(Q64*($E64/365))+(Q65*($E65/365))</f>
        <v>28.5</v>
      </c>
      <c r="V175" s="9"/>
      <c r="W175" s="5">
        <f t="shared" si="71"/>
        <v>61.5</v>
      </c>
      <c r="X175" s="4"/>
      <c r="Y175" s="4"/>
    </row>
    <row r="176" spans="1:25" x14ac:dyDescent="0.15">
      <c r="A176" s="1">
        <v>1986</v>
      </c>
      <c r="B176" s="5">
        <f>(K66*($E66/365))+(K67*($E67/365))</f>
        <v>11.76470588235294</v>
      </c>
      <c r="C176" s="5">
        <f>(L66*($E66/365))+(L67*($E67/365))</f>
        <v>41.17647058823529</v>
      </c>
      <c r="D176" s="5">
        <f>(M66*($E66/365))+(M67*($E67/365))</f>
        <v>47.058823529411761</v>
      </c>
      <c r="E176" s="18">
        <f t="shared" si="70"/>
        <v>100</v>
      </c>
      <c r="G176" s="1">
        <v>1986</v>
      </c>
      <c r="H176" s="380">
        <f>(O66/$R66*100*($E66/365))+(O67/$R67*100*($E67/365))</f>
        <v>8.9430894308943092</v>
      </c>
      <c r="I176" s="380"/>
      <c r="J176" s="380">
        <f>(P66/$R66*100*($E66/365))+(P67/$R67*100*($E67/365))</f>
        <v>44.715447154471541</v>
      </c>
      <c r="K176" s="380"/>
      <c r="L176" s="380">
        <f>(Q66/$R66*100*($E66/365))+(Q67/$R67*100*($E67/365))</f>
        <v>46.341463414634148</v>
      </c>
      <c r="M176" s="380"/>
      <c r="N176" s="379">
        <f t="shared" si="69"/>
        <v>100</v>
      </c>
      <c r="O176" s="379"/>
      <c r="P176" s="9"/>
      <c r="Q176" s="9"/>
      <c r="R176" s="9">
        <v>1986</v>
      </c>
      <c r="S176" s="5">
        <f>(O66*($E66/365))+(O67*($E67/365))</f>
        <v>5.5</v>
      </c>
      <c r="T176" s="5">
        <f>(P66*($E66/365))+(P67*($E67/365))</f>
        <v>27.5</v>
      </c>
      <c r="U176" s="5">
        <f>(Q66*($E66/365))+(Q67*($E67/365))</f>
        <v>28.5</v>
      </c>
      <c r="V176" s="9"/>
      <c r="W176" s="5">
        <f t="shared" si="71"/>
        <v>61.5</v>
      </c>
      <c r="X176" s="4"/>
      <c r="Y176" s="4"/>
    </row>
    <row r="177" spans="1:25" x14ac:dyDescent="0.15">
      <c r="A177" s="1">
        <v>1987</v>
      </c>
      <c r="B177" s="5">
        <f>(K68*($E68/365))+(K69*($E69/365))</f>
        <v>37.534246575342465</v>
      </c>
      <c r="C177" s="5">
        <f>(L68*($E68/365))+(L69*($E69/365))</f>
        <v>17.168949771689498</v>
      </c>
      <c r="D177" s="5">
        <f>(M68*($E68/365))+(M69*($E69/365))</f>
        <v>45.296803652968038</v>
      </c>
      <c r="E177" s="18">
        <f t="shared" si="70"/>
        <v>100</v>
      </c>
      <c r="G177" s="1">
        <v>1987</v>
      </c>
      <c r="H177" s="380">
        <f>(O68/$R68*100*($E68/365))+(O69/$R69*100*($E69/365))</f>
        <v>36.871563759034011</v>
      </c>
      <c r="I177" s="380"/>
      <c r="J177" s="380">
        <f>(P68/$R68*100*($E68/365))+(P69/$R69*100*($E69/365))</f>
        <v>19.208806978794456</v>
      </c>
      <c r="K177" s="380"/>
      <c r="L177" s="380">
        <f>(Q68/$R68*100*($E68/365))+(Q69/$R69*100*($E69/365))</f>
        <v>43.919629262171526</v>
      </c>
      <c r="M177" s="380"/>
      <c r="N177" s="379">
        <f t="shared" si="69"/>
        <v>100</v>
      </c>
      <c r="O177" s="379"/>
      <c r="P177" s="9"/>
      <c r="Q177" s="9"/>
      <c r="R177" s="9">
        <v>1987</v>
      </c>
      <c r="S177" s="5">
        <f>(O68*($E68/365))+(O69*($E69/365))</f>
        <v>24.034246575342468</v>
      </c>
      <c r="T177" s="5">
        <f>(P68*($E68/365))+(P69*($E69/365))</f>
        <v>11.9986301369863</v>
      </c>
      <c r="U177" s="5">
        <f>(Q68*($E68/365))+(Q69*($E69/365))</f>
        <v>28.163013698630138</v>
      </c>
      <c r="V177" s="9"/>
      <c r="W177" s="5">
        <f t="shared" si="71"/>
        <v>64.19589041095891</v>
      </c>
      <c r="X177" s="4"/>
      <c r="Y177" s="4"/>
    </row>
    <row r="178" spans="1:25" x14ac:dyDescent="0.15">
      <c r="A178" s="1">
        <v>1988</v>
      </c>
      <c r="B178" s="5">
        <f>(K70*($E70/366))+(K71*($E71/366))</f>
        <v>50</v>
      </c>
      <c r="C178" s="5">
        <f>(L70*($E70/366))+(L71*($E71/366))</f>
        <v>5.5555555555555554</v>
      </c>
      <c r="D178" s="5">
        <f>(M70*($E70/366))+(M71*($E71/366))</f>
        <v>44.444444444444443</v>
      </c>
      <c r="E178" s="18">
        <f t="shared" si="70"/>
        <v>100</v>
      </c>
      <c r="G178" s="1">
        <v>1988</v>
      </c>
      <c r="H178" s="380">
        <f>(O70/$R70*100*($E70/366))+(O71/$R71*100*($E71/366))</f>
        <v>50.381679389312971</v>
      </c>
      <c r="I178" s="380"/>
      <c r="J178" s="380">
        <f>(P70/$R70*100*($E70/366))+(P71/$R71*100*($E71/366))</f>
        <v>6.8702290076335881</v>
      </c>
      <c r="K178" s="380"/>
      <c r="L178" s="380">
        <f>(Q70/$R70*100*($E70/366))+(Q71/$R71*100*($E71/366))</f>
        <v>42.748091603053432</v>
      </c>
      <c r="M178" s="380"/>
      <c r="N178" s="379">
        <f t="shared" si="69"/>
        <v>100</v>
      </c>
      <c r="O178" s="379"/>
      <c r="P178" s="9"/>
      <c r="Q178" s="9"/>
      <c r="R178" s="9">
        <v>1988</v>
      </c>
      <c r="S178" s="5">
        <f>(O70*($E70/366))+(O71*($E71/366))</f>
        <v>33</v>
      </c>
      <c r="T178" s="5">
        <f>(P70*($E70/366))+(P71*($E71/366))</f>
        <v>4.5</v>
      </c>
      <c r="U178" s="5">
        <f>(Q70*($E70/366))+(Q71*($E71/366))</f>
        <v>28</v>
      </c>
      <c r="V178" s="9"/>
      <c r="W178" s="5">
        <f t="shared" si="71"/>
        <v>65.5</v>
      </c>
      <c r="X178" s="4"/>
      <c r="Y178" s="4"/>
    </row>
    <row r="179" spans="1:25" s="3" customFormat="1" x14ac:dyDescent="0.15">
      <c r="A179" s="3">
        <v>1989</v>
      </c>
      <c r="B179" s="8">
        <f>(K72*($E72/365))+(K73*($E73/365))</f>
        <v>50</v>
      </c>
      <c r="C179" s="8">
        <f>(L72*($E72/365))+(L73*($E73/365))</f>
        <v>5.5555555555555554</v>
      </c>
      <c r="D179" s="8">
        <f>(M72*($E72/365))+(M73*($E73/365))</f>
        <v>44.444444444444443</v>
      </c>
      <c r="E179" s="19">
        <f t="shared" si="70"/>
        <v>100</v>
      </c>
      <c r="G179" s="3">
        <v>1989</v>
      </c>
      <c r="H179" s="385">
        <f>(O72/$R72*100*($E72/365))+(O73/$R73*100*($E73/365))</f>
        <v>50.381679389312971</v>
      </c>
      <c r="I179" s="385"/>
      <c r="J179" s="385">
        <f>(P72/$R72*100*($E72/365))+(P73/$R73*100*($E73/365))</f>
        <v>6.8702290076335881</v>
      </c>
      <c r="K179" s="385"/>
      <c r="L179" s="385">
        <f>(Q72/$R72*100*($E72/365))+(Q73/$R73*100*($E73/365))</f>
        <v>42.748091603053432</v>
      </c>
      <c r="M179" s="385"/>
      <c r="N179" s="386">
        <f t="shared" si="69"/>
        <v>100</v>
      </c>
      <c r="O179" s="386"/>
      <c r="P179" s="21"/>
      <c r="Q179" s="21"/>
      <c r="R179" s="21">
        <v>1989</v>
      </c>
      <c r="S179" s="8">
        <f>(O72*($E72/365))+(O73*($E73/365))</f>
        <v>33</v>
      </c>
      <c r="T179" s="8">
        <f>(P72*($E72/365))+(P73*($E73/365))</f>
        <v>4.5</v>
      </c>
      <c r="U179" s="8">
        <f>(Q72*($E72/365))+(Q73*($E73/365))</f>
        <v>28</v>
      </c>
      <c r="V179" s="21"/>
      <c r="W179" s="8">
        <f t="shared" si="71"/>
        <v>65.5</v>
      </c>
      <c r="X179" s="13"/>
      <c r="Y179" s="13"/>
    </row>
    <row r="180" spans="1:25" x14ac:dyDescent="0.15">
      <c r="A180" s="1">
        <v>1990</v>
      </c>
      <c r="B180" s="5">
        <f>(K74*($E74/365))+(K75*($E75/365))</f>
        <v>47.348460918614023</v>
      </c>
      <c r="C180" s="5">
        <f>(L74*($E74/365))+(L75*($E75/365))</f>
        <v>7.268219178082191</v>
      </c>
      <c r="D180" s="5">
        <f>(M74*($E74/365))+(M75*($E75/365))</f>
        <v>45.317840451248991</v>
      </c>
      <c r="E180" s="18">
        <f t="shared" si="70"/>
        <v>99.934520547945198</v>
      </c>
      <c r="G180" s="1">
        <v>1990</v>
      </c>
      <c r="H180" s="380">
        <f>(O74/$R74*100*($E74/365))+(O75/$R75*100*($E75/365))</f>
        <v>51.664698127859594</v>
      </c>
      <c r="I180" s="380"/>
      <c r="J180" s="380">
        <f>(P74/$R74*100*($E74/365))+(P75/$R75*100*($E75/365))</f>
        <v>4.4985883091080208</v>
      </c>
      <c r="K180" s="380"/>
      <c r="L180" s="380">
        <f>(Q74/$R74*100*($E74/365))+(Q75/$R75*100*($E75/365))</f>
        <v>43.836713563032376</v>
      </c>
      <c r="M180" s="380"/>
      <c r="N180" s="379">
        <f t="shared" si="69"/>
        <v>100</v>
      </c>
      <c r="O180" s="379"/>
      <c r="P180" s="9"/>
      <c r="Q180" s="9"/>
      <c r="R180" s="9">
        <v>1990</v>
      </c>
      <c r="S180" s="5">
        <f>(O74*($E74/365))+(O75*($E75/365))</f>
        <v>33</v>
      </c>
      <c r="T180" s="5">
        <f>(P74*($E74/365))+(P75*($E75/365))</f>
        <v>2.9465753424657533</v>
      </c>
      <c r="U180" s="5">
        <f>(Q74*($E74/365))+(Q75*($E75/365))</f>
        <v>28</v>
      </c>
      <c r="V180" s="9"/>
      <c r="W180" s="5">
        <f t="shared" si="71"/>
        <v>63.946575342465756</v>
      </c>
      <c r="X180" s="4"/>
      <c r="Y180" s="4"/>
    </row>
    <row r="181" spans="1:25" x14ac:dyDescent="0.15">
      <c r="A181" s="1">
        <v>1991</v>
      </c>
      <c r="B181" s="5">
        <f>(K76*($E76/365))+(K77*($E77/365))</f>
        <v>48.912167606768733</v>
      </c>
      <c r="C181" s="5">
        <f>(L76*($E76/365))+(L77*($E77/365))</f>
        <v>36.261079774375503</v>
      </c>
      <c r="D181" s="5">
        <f>(M76*($E76/365))+(M77*($E77/365))</f>
        <v>14.82675261885576</v>
      </c>
      <c r="E181" s="18">
        <f t="shared" si="70"/>
        <v>100</v>
      </c>
      <c r="G181" s="1">
        <v>1991</v>
      </c>
      <c r="H181" s="380">
        <f>(O76/$R76*100*($E76/365))+(O77/$R77*100*($E77/365))</f>
        <v>48.015504935607652</v>
      </c>
      <c r="I181" s="380"/>
      <c r="J181" s="380">
        <f>(P76/$R76*100*($E76/365))+(P77/$R77*100*($E77/365))</f>
        <v>37.522334723049433</v>
      </c>
      <c r="K181" s="380"/>
      <c r="L181" s="380">
        <f>(Q76/$R76*100*($E76/365))+(Q77/$R77*100*($E77/365))</f>
        <v>14.462160341342914</v>
      </c>
      <c r="M181" s="380"/>
      <c r="N181" s="379">
        <f t="shared" ref="N181:N202" si="72">SUM(H181:M181)</f>
        <v>99.999999999999986</v>
      </c>
      <c r="O181" s="379"/>
      <c r="P181" s="9"/>
      <c r="Q181" s="9"/>
      <c r="R181" s="9">
        <v>1991</v>
      </c>
      <c r="S181" s="5">
        <f>(O76*($E76/365))+(O77*($E77/365))</f>
        <v>28.205479452054792</v>
      </c>
      <c r="T181" s="5">
        <f>(P76*($E76/365))+(P77*($E77/365))</f>
        <v>21.575342465753423</v>
      </c>
      <c r="U181" s="5">
        <f>(Q76*($E76/365))+(Q77*($E77/365))</f>
        <v>8.8219178082191778</v>
      </c>
      <c r="V181" s="9"/>
      <c r="W181" s="5">
        <f t="shared" si="71"/>
        <v>58.602739726027387</v>
      </c>
      <c r="X181" s="4"/>
      <c r="Y181" s="4"/>
    </row>
    <row r="182" spans="1:25" x14ac:dyDescent="0.15">
      <c r="A182" s="1">
        <v>1992</v>
      </c>
      <c r="B182" s="5">
        <f>(K78*($E78/366))+(K79*($E79/366))</f>
        <v>47.058823529411761</v>
      </c>
      <c r="C182" s="5">
        <f>(L78*($E78/366))+(L79*($E79/366))</f>
        <v>52.941176470588239</v>
      </c>
      <c r="D182" s="5">
        <f>(M78*($E78/366))+(M79*($E79/366))</f>
        <v>0</v>
      </c>
      <c r="E182" s="18">
        <f t="shared" si="70"/>
        <v>100</v>
      </c>
      <c r="G182" s="1">
        <v>1992</v>
      </c>
      <c r="H182" s="380">
        <f>(O78/$R78*100*($E78/366))+(O79/$R79*100*($E79/366))</f>
        <v>45.217391304347828</v>
      </c>
      <c r="I182" s="380"/>
      <c r="J182" s="380">
        <f>(P78/$R78*100*($E78/366))+(P79/$R79*100*($E79/366))</f>
        <v>54.782608695652172</v>
      </c>
      <c r="K182" s="380"/>
      <c r="L182" s="380">
        <f>(Q78/$R78*100*($E78/366))+(Q79/$R79*100*($E79/366))</f>
        <v>0</v>
      </c>
      <c r="M182" s="380"/>
      <c r="N182" s="379">
        <f t="shared" si="72"/>
        <v>100</v>
      </c>
      <c r="O182" s="379"/>
      <c r="P182" s="9"/>
      <c r="Q182" s="9"/>
      <c r="R182" s="9">
        <v>1992</v>
      </c>
      <c r="S182" s="5">
        <f>(O78*($E78/366))+(O79*($E79/366))</f>
        <v>26</v>
      </c>
      <c r="T182" s="5">
        <f>(P78*($E78/366))+(P79*($E79/366))</f>
        <v>31.5</v>
      </c>
      <c r="U182" s="5">
        <f>(Q78*($E78/366))+(Q79*($E79/366))</f>
        <v>0</v>
      </c>
      <c r="V182" s="9"/>
      <c r="W182" s="5">
        <f t="shared" si="71"/>
        <v>57.5</v>
      </c>
      <c r="X182" s="4"/>
      <c r="Y182" s="4"/>
    </row>
    <row r="183" spans="1:25" x14ac:dyDescent="0.15">
      <c r="A183" s="1">
        <v>1993</v>
      </c>
      <c r="B183" s="5">
        <f>(K80*($E80/365))+(K81*($E81/365))</f>
        <v>47.058823529411761</v>
      </c>
      <c r="C183" s="5">
        <f>(L80*($E80/365))+(L81*($E81/365))</f>
        <v>52.941176470588239</v>
      </c>
      <c r="D183" s="5">
        <f>(M80*($E80/365))+(M81*($E81/365))</f>
        <v>0</v>
      </c>
      <c r="E183" s="18">
        <f t="shared" si="70"/>
        <v>100</v>
      </c>
      <c r="G183" s="1">
        <v>1993</v>
      </c>
      <c r="H183" s="380">
        <f>(O80/$R80*100*($E80/365))+(O81/$R81*100*($E81/365))</f>
        <v>45.217391304347828</v>
      </c>
      <c r="I183" s="380"/>
      <c r="J183" s="380">
        <f>(P80/$R80*100*($E80/365))+(P81/$R81*100*($E81/365))</f>
        <v>54.782608695652172</v>
      </c>
      <c r="K183" s="380"/>
      <c r="L183" s="380">
        <f>(Q80/$R80*100*($E80/365))+(Q81/$R81*100*($E81/365))</f>
        <v>0</v>
      </c>
      <c r="M183" s="380"/>
      <c r="N183" s="379">
        <f t="shared" si="72"/>
        <v>100</v>
      </c>
      <c r="O183" s="379"/>
      <c r="P183" s="9"/>
      <c r="Q183" s="9"/>
      <c r="R183" s="9">
        <v>1993</v>
      </c>
      <c r="S183" s="5">
        <f>(O80*($E80/365))+(O81*($E81/365))</f>
        <v>26</v>
      </c>
      <c r="T183" s="5">
        <f>(P80*($E80/365))+(P81*($E81/365))</f>
        <v>31.5</v>
      </c>
      <c r="U183" s="5">
        <f>(Q80*($E80/365))+(Q81*($E81/365))</f>
        <v>0</v>
      </c>
      <c r="V183" s="9"/>
      <c r="W183" s="5">
        <f t="shared" si="71"/>
        <v>57.5</v>
      </c>
      <c r="X183" s="4"/>
      <c r="Y183" s="4"/>
    </row>
    <row r="184" spans="1:25" x14ac:dyDescent="0.15">
      <c r="A184" s="1">
        <v>1994</v>
      </c>
      <c r="B184" s="5">
        <f>(K82*($E82/365))+(K83*($E83/365))</f>
        <v>48.630136986301366</v>
      </c>
      <c r="C184" s="5">
        <f>(L82*($E82/365))+(L83*($E83/365))</f>
        <v>51.369863013698634</v>
      </c>
      <c r="D184" s="5">
        <f>(M82*($E82/365))+(M83*($E83/365))</f>
        <v>0</v>
      </c>
      <c r="E184" s="18">
        <f t="shared" si="70"/>
        <v>100</v>
      </c>
      <c r="G184" s="1">
        <v>1994</v>
      </c>
      <c r="H184" s="380">
        <f>(O82/$R82*100*($E82/365))+(O83/$R83*100*($E83/365))</f>
        <v>47.023539823994028</v>
      </c>
      <c r="I184" s="380"/>
      <c r="J184" s="380">
        <f>(P82/$R82*100*($E82/365))+(P83/$R83*100*($E83/365))</f>
        <v>52.976460176005965</v>
      </c>
      <c r="K184" s="380"/>
      <c r="L184" s="380">
        <f>(Q82/$R82*100*($E82/365))+(Q83/$R83*100*($E83/365))</f>
        <v>0</v>
      </c>
      <c r="M184" s="380"/>
      <c r="N184" s="379">
        <f t="shared" si="72"/>
        <v>100</v>
      </c>
      <c r="O184" s="379"/>
      <c r="P184" s="9"/>
      <c r="Q184" s="9"/>
      <c r="R184" s="9">
        <v>1994</v>
      </c>
      <c r="S184" s="5">
        <f>(O82*($E82/365))+(O83*($E83/365))</f>
        <v>26</v>
      </c>
      <c r="T184" s="5">
        <f>(P82*($E82/365))+(P83*($E83/365))</f>
        <v>29.363013698630134</v>
      </c>
      <c r="U184" s="5">
        <f>(Q82*($E82/365))+(Q83*($E83/365))</f>
        <v>0</v>
      </c>
      <c r="V184" s="9"/>
      <c r="W184" s="5">
        <f t="shared" si="71"/>
        <v>55.363013698630134</v>
      </c>
      <c r="X184" s="4"/>
      <c r="Y184" s="4"/>
    </row>
    <row r="185" spans="1:25" x14ac:dyDescent="0.15">
      <c r="A185" s="1">
        <v>1995</v>
      </c>
      <c r="B185" s="5">
        <f>(K84*($E84/365))+(K85*($E85/365))</f>
        <v>41.993911719939121</v>
      </c>
      <c r="C185" s="5">
        <f>(L84*($E84/365))+(L85*($E85/365))</f>
        <v>13.972602739726028</v>
      </c>
      <c r="D185" s="5">
        <f>(M84*($E84/365))+(M85*($E85/365))</f>
        <v>40.030441400304419</v>
      </c>
      <c r="E185" s="18">
        <f t="shared" si="70"/>
        <v>95.996955859969574</v>
      </c>
      <c r="G185" s="1">
        <v>1995</v>
      </c>
      <c r="H185" s="380">
        <f>(O84/$R84*100*($E84/365))+(O85/$R85*100*($E85/365))</f>
        <v>38.924258009261912</v>
      </c>
      <c r="I185" s="380"/>
      <c r="J185" s="380">
        <f>(P84/$R84*100*($E84/365))+(P85/$R85*100*($E85/365))</f>
        <v>14.364357956727691</v>
      </c>
      <c r="K185" s="380"/>
      <c r="L185" s="380">
        <f>(Q84/$R84*100*($E84/365))+(Q85/$R85*100*($E85/365))</f>
        <v>46.711384034010386</v>
      </c>
      <c r="M185" s="380"/>
      <c r="N185" s="379">
        <f t="shared" si="72"/>
        <v>100</v>
      </c>
      <c r="O185" s="379"/>
      <c r="P185" s="9"/>
      <c r="Q185" s="9"/>
      <c r="R185" s="9">
        <v>1995</v>
      </c>
      <c r="S185" s="5">
        <f>(O84*($E84/365))+(O85*($E85/365))</f>
        <v>25.639726027397263</v>
      </c>
      <c r="T185" s="5">
        <f>(P84*($E84/365))+(P85*($E85/365))</f>
        <v>7.6849315068493151</v>
      </c>
      <c r="U185" s="5">
        <f>(Q84*($E84/365))+(Q85*($E85/365))</f>
        <v>33.865753424657534</v>
      </c>
      <c r="V185" s="9"/>
      <c r="W185" s="5">
        <f t="shared" si="71"/>
        <v>67.19041095890411</v>
      </c>
      <c r="X185" s="4"/>
      <c r="Y185" s="4"/>
    </row>
    <row r="186" spans="1:25" x14ac:dyDescent="0.15">
      <c r="A186" s="1">
        <v>1996</v>
      </c>
      <c r="B186" s="5">
        <f>(K86*($E86/366))+(K87*($E87/366))</f>
        <v>38.888888888888893</v>
      </c>
      <c r="C186" s="5">
        <f>(L86*($E86/366))+(L87*($E87/366))</f>
        <v>0</v>
      </c>
      <c r="D186" s="5">
        <f>(M86*($E86/366))+(M87*($E87/366))</f>
        <v>55.555555555555557</v>
      </c>
      <c r="E186" s="18">
        <f t="shared" si="70"/>
        <v>94.444444444444457</v>
      </c>
      <c r="G186" s="1">
        <v>1996</v>
      </c>
      <c r="H186" s="380">
        <f>(O86/$R86*100*($E86/366))+(O87/$R87*100*($E87/366))</f>
        <v>35.172413793103445</v>
      </c>
      <c r="I186" s="380"/>
      <c r="J186" s="380">
        <f>(P86/$R86*100*($E86/366))+(P87/$R87*100*($E87/366))</f>
        <v>0</v>
      </c>
      <c r="K186" s="380"/>
      <c r="L186" s="380">
        <f>(Q86/$R86*100*($E86/366))+(Q87/$R87*100*($E87/366))</f>
        <v>64.827586206896541</v>
      </c>
      <c r="M186" s="380"/>
      <c r="N186" s="379">
        <f t="shared" si="72"/>
        <v>99.999999999999986</v>
      </c>
      <c r="O186" s="379"/>
      <c r="P186" s="9"/>
      <c r="Q186" s="9"/>
      <c r="R186" s="9">
        <v>1996</v>
      </c>
      <c r="S186" s="5">
        <f>(O86*($E86/366))+(O87*($E87/366))</f>
        <v>25.5</v>
      </c>
      <c r="T186" s="5">
        <f>(P86*($E86/366))+(P87*($E87/366))</f>
        <v>0</v>
      </c>
      <c r="U186" s="5">
        <f>(Q86*($E86/366))+(Q87*($E87/366))</f>
        <v>47</v>
      </c>
      <c r="V186" s="9"/>
      <c r="W186" s="5">
        <f t="shared" si="71"/>
        <v>72.5</v>
      </c>
      <c r="X186" s="4"/>
      <c r="Y186" s="4"/>
    </row>
    <row r="187" spans="1:25" x14ac:dyDescent="0.15">
      <c r="A187" s="1">
        <v>1997</v>
      </c>
      <c r="B187" s="5">
        <f>(K88*($E88/365))+(K89*($E89/365))</f>
        <v>38.888888888888893</v>
      </c>
      <c r="C187" s="5">
        <f>(L88*($E88/365))+(L89*($E89/365))</f>
        <v>0</v>
      </c>
      <c r="D187" s="5">
        <f>(M88*($E88/365))+(M89*($E89/365))</f>
        <v>55.555555555555557</v>
      </c>
      <c r="E187" s="18">
        <f t="shared" si="70"/>
        <v>94.444444444444457</v>
      </c>
      <c r="G187" s="1">
        <v>1997</v>
      </c>
      <c r="H187" s="380">
        <f>(O88/$R88*100*($E88/365))+(O89/$R89*100*($E89/365))</f>
        <v>35.172413793103445</v>
      </c>
      <c r="I187" s="380"/>
      <c r="J187" s="380">
        <f>(P88/$R88*100*($E88/365))+(P89/$R89*100*($E89/365))</f>
        <v>0</v>
      </c>
      <c r="K187" s="380"/>
      <c r="L187" s="380">
        <f>(Q88/$R88*100*($E88/365))+(Q89/$R89*100*($E89/365))</f>
        <v>64.827586206896541</v>
      </c>
      <c r="M187" s="380"/>
      <c r="N187" s="379">
        <f t="shared" si="72"/>
        <v>99.999999999999986</v>
      </c>
      <c r="O187" s="379"/>
      <c r="P187" s="9"/>
      <c r="Q187" s="9"/>
      <c r="R187" s="9">
        <v>1997</v>
      </c>
      <c r="S187" s="5">
        <f>(O88*($E88/365))+(O89*($E89/365))</f>
        <v>25.5</v>
      </c>
      <c r="T187" s="5">
        <f>(P88*($E88/365))+(P89*($E89/365))</f>
        <v>0</v>
      </c>
      <c r="U187" s="5">
        <f>(Q88*($E88/365))+(Q89*($E89/365))</f>
        <v>47</v>
      </c>
      <c r="V187" s="9"/>
      <c r="W187" s="5">
        <f t="shared" si="71"/>
        <v>72.5</v>
      </c>
      <c r="X187" s="4"/>
      <c r="Y187" s="4"/>
    </row>
    <row r="188" spans="1:25" x14ac:dyDescent="0.15">
      <c r="A188" s="1">
        <v>1998</v>
      </c>
      <c r="B188" s="5">
        <f>(K90*($E90/365))+(K91*($E91/365))</f>
        <v>38.888888888888893</v>
      </c>
      <c r="C188" s="5">
        <f>(L90*($E90/365))+(L91*($E91/365))</f>
        <v>0</v>
      </c>
      <c r="D188" s="5">
        <f>(M90*($E90/365))+(M91*($E91/365))</f>
        <v>55.555555555555557</v>
      </c>
      <c r="E188" s="18">
        <f t="shared" si="70"/>
        <v>94.444444444444457</v>
      </c>
      <c r="G188" s="1">
        <v>1998</v>
      </c>
      <c r="H188" s="380">
        <f>(O90/$R90*100*($E90/365))+(O91/$R91*100*($E91/365))</f>
        <v>35.172413793103445</v>
      </c>
      <c r="I188" s="380"/>
      <c r="J188" s="380">
        <f>(P90/$R90*100*($E90/365))+(P91/$R91*100*($E91/365))</f>
        <v>0</v>
      </c>
      <c r="K188" s="380"/>
      <c r="L188" s="380">
        <f>(Q90/$R90*100*($E90/365))+(Q91/$R91*100*($E91/365))</f>
        <v>64.827586206896541</v>
      </c>
      <c r="M188" s="380"/>
      <c r="N188" s="379">
        <f t="shared" si="72"/>
        <v>99.999999999999986</v>
      </c>
      <c r="O188" s="379"/>
      <c r="P188" s="9"/>
      <c r="Q188" s="9"/>
      <c r="R188" s="9">
        <v>1998</v>
      </c>
      <c r="S188" s="5">
        <f>(O90*($E90/365))+(O91*($E91/365))</f>
        <v>25.5</v>
      </c>
      <c r="T188" s="5">
        <f>(P90*($E90/365))+(P91*($E91/365))</f>
        <v>0</v>
      </c>
      <c r="U188" s="5">
        <f>(Q90*($E90/365))+(Q91*($E91/365))</f>
        <v>47</v>
      </c>
      <c r="V188" s="9"/>
      <c r="W188" s="5">
        <f t="shared" si="71"/>
        <v>72.5</v>
      </c>
      <c r="X188" s="4"/>
      <c r="Y188" s="4"/>
    </row>
    <row r="189" spans="1:25" x14ac:dyDescent="0.15">
      <c r="A189" s="1">
        <v>1999</v>
      </c>
      <c r="B189" s="5">
        <f>(K92*($E92/365))+(K93*($E93/365))</f>
        <v>42.861491628614914</v>
      </c>
      <c r="C189" s="5">
        <f>(L92*($E92/365))+(L93*($E93/365))</f>
        <v>0</v>
      </c>
      <c r="D189" s="5">
        <f>(M92*($E92/365))+(M93*($E93/365))</f>
        <v>51.582952815829529</v>
      </c>
      <c r="E189" s="18">
        <f t="shared" si="70"/>
        <v>94.444444444444443</v>
      </c>
      <c r="G189" s="1">
        <v>1999</v>
      </c>
      <c r="H189" s="380">
        <f>(O92/$R92*100*($E92/365))+(O93/$R93*100*($E93/365))</f>
        <v>39.645995006410686</v>
      </c>
      <c r="I189" s="380"/>
      <c r="J189" s="380">
        <f>(P92/$R92*100*($E92/365))+(P93/$R93*100*($E93/365))</f>
        <v>0</v>
      </c>
      <c r="K189" s="380"/>
      <c r="L189" s="380">
        <f>(Q92/$R92*100*($E92/365))+(Q93/$R93*100*($E93/365))</f>
        <v>60.354004993589314</v>
      </c>
      <c r="M189" s="380"/>
      <c r="N189" s="379">
        <f t="shared" si="72"/>
        <v>100</v>
      </c>
      <c r="O189" s="379"/>
      <c r="P189" s="9"/>
      <c r="Q189" s="9"/>
      <c r="R189" s="9">
        <v>1999</v>
      </c>
      <c r="S189" s="5">
        <f>(O92*($E92/365))+(O93*($E93/365))</f>
        <v>28.002739726027393</v>
      </c>
      <c r="T189" s="5">
        <f>(P92*($E92/365))+(P93*($E93/365))</f>
        <v>0</v>
      </c>
      <c r="U189" s="5">
        <f>(Q92*($E92/365))+(Q93*($E93/365))</f>
        <v>42.709589041095889</v>
      </c>
      <c r="V189" s="9"/>
      <c r="W189" s="5">
        <f t="shared" si="71"/>
        <v>70.712328767123282</v>
      </c>
      <c r="X189" s="4"/>
      <c r="Y189" s="4"/>
    </row>
    <row r="190" spans="1:25" x14ac:dyDescent="0.15">
      <c r="A190" s="1">
        <v>2000</v>
      </c>
      <c r="B190" s="5">
        <f>(K94*($E94/366))+(K95*($E95/366))</f>
        <v>44.444444444444443</v>
      </c>
      <c r="C190" s="5">
        <f>(L94*($E94/366))+(L95*($E95/366))</f>
        <v>0</v>
      </c>
      <c r="D190" s="5">
        <f>(M94*($E94/366))+(M95*($E95/366))</f>
        <v>50</v>
      </c>
      <c r="E190" s="18">
        <f t="shared" si="70"/>
        <v>94.444444444444443</v>
      </c>
      <c r="G190" s="1">
        <v>2000</v>
      </c>
      <c r="H190" s="380">
        <f>(O94/$R94*100*($E94/366))+(O95/$R95*100*($E95/366))</f>
        <v>41.428571428571431</v>
      </c>
      <c r="I190" s="380"/>
      <c r="J190" s="380">
        <f>(P94/$R94*100*($E94/366))+(P95/$R95*100*($E95/366))</f>
        <v>0</v>
      </c>
      <c r="K190" s="380"/>
      <c r="L190" s="380">
        <f>(Q94/$R94*100*($E94/366))+(Q95/$R95*100*($E95/366))</f>
        <v>58.571428571428577</v>
      </c>
      <c r="M190" s="380"/>
      <c r="N190" s="379">
        <f t="shared" si="72"/>
        <v>100</v>
      </c>
      <c r="O190" s="379"/>
      <c r="P190" s="9"/>
      <c r="Q190" s="9"/>
      <c r="R190" s="9">
        <v>2000</v>
      </c>
      <c r="S190" s="5">
        <f>(O94*($E94/366))+(O95*($E95/366))</f>
        <v>29</v>
      </c>
      <c r="T190" s="5">
        <f>(P94*($E94/366))+(P95*($E95/366))</f>
        <v>0</v>
      </c>
      <c r="U190" s="5">
        <f>(Q94*($E94/366))+(Q95*($E95/366))</f>
        <v>41</v>
      </c>
      <c r="V190" s="9"/>
      <c r="W190" s="5">
        <f t="shared" si="71"/>
        <v>70</v>
      </c>
      <c r="X190" s="4"/>
      <c r="Y190" s="4"/>
    </row>
    <row r="191" spans="1:25" x14ac:dyDescent="0.15">
      <c r="A191" s="1">
        <v>2001</v>
      </c>
      <c r="B191" s="5">
        <f>(K96*($E96/365))+(K97*($E97/365))</f>
        <v>44.444444444444443</v>
      </c>
      <c r="C191" s="5">
        <f>(L96*($E96/365))+(L97*($E97/365))</f>
        <v>0</v>
      </c>
      <c r="D191" s="5">
        <f>(M96*($E96/365))+(M97*($E97/365))</f>
        <v>50</v>
      </c>
      <c r="E191" s="18">
        <f t="shared" si="70"/>
        <v>94.444444444444443</v>
      </c>
      <c r="G191" s="1">
        <v>2001</v>
      </c>
      <c r="H191" s="380">
        <f>(O96/$R96*100*($E96/365))+(O97/$R97*100*($E97/365))</f>
        <v>41.428571428571431</v>
      </c>
      <c r="I191" s="380"/>
      <c r="J191" s="380">
        <f>(P96/$R96*100*($E96/365))+(P97/$R97*100*($E97/365))</f>
        <v>0</v>
      </c>
      <c r="K191" s="380"/>
      <c r="L191" s="380">
        <f>(Q96/$R96*100*($E96/365))+(Q97/$R97*100*($E97/365))</f>
        <v>58.571428571428577</v>
      </c>
      <c r="M191" s="380"/>
      <c r="N191" s="379">
        <f t="shared" si="72"/>
        <v>100</v>
      </c>
      <c r="O191" s="379"/>
      <c r="P191" s="9"/>
      <c r="Q191" s="9"/>
      <c r="R191" s="9">
        <v>2001</v>
      </c>
      <c r="S191" s="5">
        <f>(O96*($E96/365))+(O97*($E97/365))</f>
        <v>29</v>
      </c>
      <c r="T191" s="5">
        <f>(P96*($E96/365))+(P97*($E97/365))</f>
        <v>0</v>
      </c>
      <c r="U191" s="5">
        <f>(Q96*($E96/365))+(Q97*($E97/365))</f>
        <v>41</v>
      </c>
      <c r="V191" s="9"/>
      <c r="W191" s="5">
        <f t="shared" si="71"/>
        <v>70</v>
      </c>
      <c r="X191" s="4"/>
      <c r="Y191" s="4"/>
    </row>
    <row r="192" spans="1:25" x14ac:dyDescent="0.15">
      <c r="A192" s="1">
        <v>2002</v>
      </c>
      <c r="B192" s="5">
        <f>(K98*($E98/365))+(K99*($E99/365))+(K100*($E100/365))</f>
        <v>51.628614916286153</v>
      </c>
      <c r="C192" s="5">
        <f>(L98*($E98/365))+(L99*($E99/365))+(L100*($E100/365))</f>
        <v>0</v>
      </c>
      <c r="D192" s="5">
        <f>(M98*($E98/365))+(M99*($E99/365))+(M100*($E100/365))</f>
        <v>46.088280060882802</v>
      </c>
      <c r="E192" s="18">
        <f t="shared" si="70"/>
        <v>97.716894977168948</v>
      </c>
      <c r="G192" s="1">
        <v>2002</v>
      </c>
      <c r="H192" s="380">
        <f>(O98/$R98*100*($E98/365))+(O99/$R99*100*($E99/365))+(O100/$R100*100*($E100/365))</f>
        <v>43.915957462946949</v>
      </c>
      <c r="I192" s="380"/>
      <c r="J192" s="380">
        <f>(P98/$R98*100*($E98/365))+(P99/$R99*100*($E99/365))+(P100/$R100*100*($E100/365))</f>
        <v>0</v>
      </c>
      <c r="K192" s="380"/>
      <c r="L192" s="380">
        <f>(Q98/$R98*100*($E98/365))+(Q99/$R99*100*($E99/365))+(Q100/$R100*100*($E100/365))</f>
        <v>56.084042537053051</v>
      </c>
      <c r="M192" s="380"/>
      <c r="N192" s="379">
        <f t="shared" si="72"/>
        <v>100</v>
      </c>
      <c r="O192" s="379"/>
      <c r="P192" s="9"/>
      <c r="Q192" s="9"/>
      <c r="R192" s="9">
        <v>2002</v>
      </c>
      <c r="S192" s="5">
        <f>(O98*($E98/365))+(O99*($E99/365))+(O100*($E100/365))</f>
        <v>29</v>
      </c>
      <c r="T192" s="5">
        <f>(P98*($E98/365))+(P99*($E99/365))+(P100*($E100/365))</f>
        <v>0</v>
      </c>
      <c r="U192" s="5">
        <f>(Q98*($E98/365))+(Q99*($E99/365))+(Q100*($E100/365))</f>
        <v>37.127397260273973</v>
      </c>
      <c r="V192" s="9"/>
      <c r="W192" s="5">
        <f t="shared" si="71"/>
        <v>66.127397260273966</v>
      </c>
      <c r="X192" s="4"/>
      <c r="Y192" s="4"/>
    </row>
    <row r="193" spans="1:25" x14ac:dyDescent="0.15">
      <c r="A193" s="1">
        <v>2003</v>
      </c>
      <c r="B193" s="5">
        <f>(K101*($E101/365))+(K102*($E102/365))+(K103*($E103/365))</f>
        <v>24.018264840182646</v>
      </c>
      <c r="C193" s="5">
        <f>(L101*($E101/365))+(L102*($E102/365))+(L103*($E103/365))</f>
        <v>31.537290715372905</v>
      </c>
      <c r="D193" s="5">
        <f>(M101*($E101/365))+(M102*($E102/365))+(M103*($E103/365))</f>
        <v>44.444444444444443</v>
      </c>
      <c r="E193" s="18">
        <f t="shared" si="70"/>
        <v>100</v>
      </c>
      <c r="G193" s="1">
        <v>2003</v>
      </c>
      <c r="H193" s="380">
        <f>(O101/$R101*100*($E101/365))+(O102/$R102*100*($E102/365))+(O103/$R103*100*($E103/365))</f>
        <v>18.515614151166872</v>
      </c>
      <c r="I193" s="380"/>
      <c r="J193" s="380">
        <f>(P101/$R101*100*($E101/365))+(P102/$R102*100*($E102/365))+(P103/$R103*100*($E103/365))</f>
        <v>33.356749795105955</v>
      </c>
      <c r="K193" s="380"/>
      <c r="L193" s="380">
        <f>(Q101/$R101*100*($E101/365))+(Q102/$R102*100*($E102/365))+(Q103/$R103*100*($E103/365))</f>
        <v>48.127636053727159</v>
      </c>
      <c r="M193" s="380"/>
      <c r="N193" s="379">
        <f t="shared" si="72"/>
        <v>99.999999999999986</v>
      </c>
      <c r="O193" s="379"/>
      <c r="P193" s="9"/>
      <c r="Q193" s="9"/>
      <c r="R193" s="9">
        <v>2003</v>
      </c>
      <c r="S193" s="5">
        <f>(O101*($E101/365))+(O102*($E102/365))+(O103*($E103/365))</f>
        <v>11.615068493150684</v>
      </c>
      <c r="T193" s="5">
        <f>(P101*($E101/365))+(P102*($E102/365))+(P103*($E103/365))</f>
        <v>19.513698630136986</v>
      </c>
      <c r="U193" s="5">
        <f>(Q101*($E101/365))+(Q102*($E102/365))+(Q103*($E103/365))</f>
        <v>29.113698630136987</v>
      </c>
      <c r="V193" s="9"/>
      <c r="W193" s="5">
        <f t="shared" si="71"/>
        <v>60.242465753424653</v>
      </c>
      <c r="X193" s="4"/>
      <c r="Y193" s="4"/>
    </row>
    <row r="194" spans="1:25" x14ac:dyDescent="0.15">
      <c r="A194" s="1">
        <v>2004</v>
      </c>
      <c r="B194" s="5">
        <f>(K104*($E104/366))+(K105*($E105/366))</f>
        <v>11.111111111111111</v>
      </c>
      <c r="C194" s="5">
        <f>(L104*($E104/366))+(L105*($E105/366))</f>
        <v>44.444444444444443</v>
      </c>
      <c r="D194" s="5">
        <f>(M104*($E104/366))+(M105*($E105/366))</f>
        <v>44.444444444444443</v>
      </c>
      <c r="E194" s="18">
        <f t="shared" si="70"/>
        <v>100</v>
      </c>
      <c r="G194" s="1">
        <v>2004</v>
      </c>
      <c r="H194" s="380">
        <f>(O104/$R104*100*($E104/366))+(O105/$R105*100*($E105/366))</f>
        <v>7.6923076923076925</v>
      </c>
      <c r="I194" s="380"/>
      <c r="J194" s="380">
        <f>(P104/$R104*100*($E104/366))+(P105/$R105*100*($E105/366))</f>
        <v>47.008547008547005</v>
      </c>
      <c r="K194" s="380"/>
      <c r="L194" s="380">
        <f>(Q104/$R104*100*($E104/366))+(Q105/$R105*100*($E105/366))</f>
        <v>45.299145299145302</v>
      </c>
      <c r="M194" s="380"/>
      <c r="N194" s="379">
        <f t="shared" si="72"/>
        <v>100</v>
      </c>
      <c r="O194" s="379"/>
      <c r="P194" s="9"/>
      <c r="Q194" s="9"/>
      <c r="R194" s="9">
        <v>2004</v>
      </c>
      <c r="S194" s="5">
        <f>(O104*($E104/366))+(O105*($E105/366))</f>
        <v>4.5</v>
      </c>
      <c r="T194" s="5">
        <f>(P104*($E104/366))+(P105*($E105/366))</f>
        <v>27.5</v>
      </c>
      <c r="U194" s="5">
        <f>(Q104*($E104/366))+(Q105*($E105/366))</f>
        <v>26.5</v>
      </c>
      <c r="V194" s="9"/>
      <c r="W194" s="5">
        <f t="shared" si="71"/>
        <v>58.5</v>
      </c>
      <c r="X194" s="4"/>
      <c r="Y194" s="4"/>
    </row>
    <row r="195" spans="1:25" x14ac:dyDescent="0.15">
      <c r="A195" s="1">
        <v>2005</v>
      </c>
      <c r="B195" s="5">
        <f>(K106*($E106/365))+(K107*($E107/365))</f>
        <v>11.111111111111111</v>
      </c>
      <c r="C195" s="5">
        <f>(L106*($E106/365))+(L107*($E107/365))</f>
        <v>44.444444444444443</v>
      </c>
      <c r="D195" s="5">
        <f>(M106*($E106/365))+(M107*($E107/365))</f>
        <v>44.444444444444443</v>
      </c>
      <c r="E195" s="18">
        <f t="shared" si="70"/>
        <v>100</v>
      </c>
      <c r="G195" s="1">
        <v>2005</v>
      </c>
      <c r="H195" s="380">
        <f>(O106/$R106*100*($E106/365))+(O107/$R107*100*($E107/365))</f>
        <v>7.6923076923076925</v>
      </c>
      <c r="I195" s="380"/>
      <c r="J195" s="380">
        <f>(P106/$R106*100*($E106/365))+(P107/$R107*100*($E107/365))</f>
        <v>47.008547008547005</v>
      </c>
      <c r="K195" s="380"/>
      <c r="L195" s="380">
        <f>(Q106/$R106*100*($E106/365))+(Q107/$R107*100*($E107/365))</f>
        <v>45.299145299145302</v>
      </c>
      <c r="M195" s="380"/>
      <c r="N195" s="379">
        <f t="shared" si="72"/>
        <v>100</v>
      </c>
      <c r="O195" s="379"/>
      <c r="P195" s="9"/>
      <c r="Q195" s="9"/>
      <c r="R195" s="9">
        <v>2005</v>
      </c>
      <c r="S195" s="5">
        <f>(O106*($E106/365))+(O107*($E107/365))</f>
        <v>4.5</v>
      </c>
      <c r="T195" s="5">
        <f>(P106*($E106/365))+(P107*($E107/365))</f>
        <v>27.5</v>
      </c>
      <c r="U195" s="5">
        <f>(Q106*($E106/365))+(Q107*($E107/365))</f>
        <v>26.5</v>
      </c>
      <c r="V195" s="9"/>
      <c r="W195" s="5">
        <f t="shared" si="71"/>
        <v>58.5</v>
      </c>
      <c r="X195" s="4"/>
      <c r="Y195" s="4"/>
    </row>
    <row r="196" spans="1:25" x14ac:dyDescent="0.15">
      <c r="A196" s="1">
        <v>2006</v>
      </c>
      <c r="B196" s="5">
        <f>(K108*($E108/365))+(K109*($E109/365))</f>
        <v>11.111111111111111</v>
      </c>
      <c r="C196" s="5">
        <f>(L108*($E108/365))+(L109*($E109/365))</f>
        <v>44.444444444444443</v>
      </c>
      <c r="D196" s="5">
        <f>(M108*($E108/365))+(M109*($E109/365))</f>
        <v>44.444444444444443</v>
      </c>
      <c r="E196" s="18">
        <f t="shared" si="70"/>
        <v>100</v>
      </c>
      <c r="G196" s="1">
        <v>2006</v>
      </c>
      <c r="H196" s="380">
        <f>(O108/$R108*100*($E108/365))+(O109/$R109*100*($E109/365))</f>
        <v>7.6923076923076925</v>
      </c>
      <c r="I196" s="380"/>
      <c r="J196" s="380">
        <f>(P108/$R108*100*($E108/365))+(P109/$R109*100*($E109/365))</f>
        <v>47.008547008547005</v>
      </c>
      <c r="K196" s="380"/>
      <c r="L196" s="380">
        <f>(Q108/$R108*100*($E108/365))+(Q109/$R109*100*($E109/365))</f>
        <v>45.299145299145302</v>
      </c>
      <c r="M196" s="380"/>
      <c r="N196" s="379">
        <f t="shared" si="72"/>
        <v>100</v>
      </c>
      <c r="O196" s="379"/>
      <c r="P196" s="9"/>
      <c r="Q196" s="9"/>
      <c r="R196" s="9">
        <v>2006</v>
      </c>
      <c r="S196" s="5">
        <f>(O108*($E108/365))+(O109*($E109/365))</f>
        <v>4.5</v>
      </c>
      <c r="T196" s="5">
        <f>(P108*($E108/365))+(P109*($E109/365))</f>
        <v>27.5</v>
      </c>
      <c r="U196" s="5">
        <f>(Q108*($E108/365))+(Q109*($E109/365))</f>
        <v>26.5</v>
      </c>
      <c r="V196" s="9"/>
      <c r="W196" s="5">
        <f t="shared" si="71"/>
        <v>58.5</v>
      </c>
      <c r="X196" s="4"/>
      <c r="Y196" s="4"/>
    </row>
    <row r="197" spans="1:25" x14ac:dyDescent="0.15">
      <c r="A197" s="1">
        <v>2007</v>
      </c>
      <c r="B197" s="5">
        <f>(K110*($E110/365))+(K111*($E111/365))</f>
        <v>38.493150684931507</v>
      </c>
      <c r="C197" s="5">
        <f>(L110*($E110/365))+(L111*($E111/365))</f>
        <v>41.315068493150683</v>
      </c>
      <c r="D197" s="5">
        <f>(M110*($E110/365))+(M111*($E111/365))</f>
        <v>20.191780821917806</v>
      </c>
      <c r="E197" s="18">
        <f t="shared" si="70"/>
        <v>100</v>
      </c>
      <c r="G197" s="1">
        <v>2007</v>
      </c>
      <c r="H197" s="380">
        <f>(O110/$R110*100*($E110/365))+(O111/$R111*100*($E111/365))</f>
        <v>35.805108133875251</v>
      </c>
      <c r="I197" s="380"/>
      <c r="J197" s="380">
        <f>(P110/$R110*100*($E110/365))+(P111/$R111*100*($E111/365))</f>
        <v>42.409052135079527</v>
      </c>
      <c r="K197" s="380"/>
      <c r="L197" s="380">
        <f>(Q110/$R110*100*($E110/365))+(Q111/$R111*100*($E111/365))</f>
        <v>21.785839731045211</v>
      </c>
      <c r="M197" s="380"/>
      <c r="N197" s="379">
        <f t="shared" si="72"/>
        <v>99.999999999999986</v>
      </c>
      <c r="O197" s="379"/>
      <c r="P197" s="9"/>
      <c r="Q197" s="9"/>
      <c r="R197" s="9">
        <v>2007</v>
      </c>
      <c r="S197" s="5">
        <f>(O110*($E110/365))+(O111*($E111/365))</f>
        <v>22.454794520547946</v>
      </c>
      <c r="T197" s="5">
        <f>(P110*($E110/365))+(P111*($E111/365))</f>
        <v>26.091780821917808</v>
      </c>
      <c r="U197" s="5">
        <f>(Q110*($E110/365))+(Q111*($E111/365))</f>
        <v>13.121917808219179</v>
      </c>
      <c r="V197" s="9"/>
      <c r="W197" s="5">
        <f t="shared" si="71"/>
        <v>61.668493150684938</v>
      </c>
      <c r="X197" s="4"/>
      <c r="Y197" s="4"/>
    </row>
    <row r="198" spans="1:25" x14ac:dyDescent="0.15">
      <c r="A198" s="1">
        <v>2008</v>
      </c>
      <c r="B198" s="5">
        <f>(K112*($E112/366))+(K113*($E113/366))</f>
        <v>50</v>
      </c>
      <c r="C198" s="5">
        <f>(L112*($E112/366))+(L113*($E113/366))</f>
        <v>40</v>
      </c>
      <c r="D198" s="5">
        <f>(M112*($E112/366))+(M113*($E113/366))</f>
        <v>10</v>
      </c>
      <c r="E198" s="18">
        <f t="shared" si="70"/>
        <v>100</v>
      </c>
      <c r="G198" s="1">
        <v>2008</v>
      </c>
      <c r="H198" s="380">
        <f>(O112/$R112*100*($E112/366))+(O113/$R113*100*($E113/366))</f>
        <v>47.619047619047613</v>
      </c>
      <c r="I198" s="380"/>
      <c r="J198" s="380">
        <f>(P112/$R112*100*($E112/366))+(P113/$R113*100*($E113/366))</f>
        <v>40.476190476190474</v>
      </c>
      <c r="K198" s="380"/>
      <c r="L198" s="380">
        <f>(Q112/$R112*100*($E112/366))+(Q113/$R113*100*($E113/366))</f>
        <v>11.904761904761903</v>
      </c>
      <c r="M198" s="380"/>
      <c r="N198" s="379">
        <f t="shared" si="72"/>
        <v>99.999999999999986</v>
      </c>
      <c r="O198" s="379"/>
      <c r="P198" s="9"/>
      <c r="Q198" s="9"/>
      <c r="R198" s="9">
        <v>2008</v>
      </c>
      <c r="S198" s="5">
        <f>(O112*($E112/366))+(O113*($E113/366))</f>
        <v>30</v>
      </c>
      <c r="T198" s="5">
        <f>(P112*($E112/366))+(P113*($E113/366))</f>
        <v>25.5</v>
      </c>
      <c r="U198" s="5">
        <f>(Q112*($E112/366))+(Q113*($E113/366))</f>
        <v>7.5</v>
      </c>
      <c r="V198" s="9"/>
      <c r="W198" s="5">
        <f t="shared" si="71"/>
        <v>63</v>
      </c>
      <c r="X198" s="4"/>
      <c r="Y198" s="4"/>
    </row>
    <row r="199" spans="1:25" x14ac:dyDescent="0.15">
      <c r="A199" s="1">
        <v>2009</v>
      </c>
      <c r="B199" s="5">
        <f>(K114*($E114/365))+(K115*($E115/365))</f>
        <v>50</v>
      </c>
      <c r="C199" s="5">
        <f>(L114*($E114/365))+(L115*($E115/365))</f>
        <v>40</v>
      </c>
      <c r="D199" s="5">
        <f>(M114*($E114/365))+(M115*($E115/365))</f>
        <v>10</v>
      </c>
      <c r="E199" s="18">
        <f t="shared" si="70"/>
        <v>100</v>
      </c>
      <c r="G199" s="1">
        <v>2009</v>
      </c>
      <c r="H199" s="380">
        <f>(O114/$R114*100*($E114/365))+(O115/$R115*100*($E115/365))</f>
        <v>47.619047619047613</v>
      </c>
      <c r="I199" s="380"/>
      <c r="J199" s="380">
        <f>(P114/$R114*100*($E114/365))+(P115/$R115*100*($E115/365))</f>
        <v>40.476190476190474</v>
      </c>
      <c r="K199" s="380"/>
      <c r="L199" s="380">
        <f>(Q114/$R114*100*($E114/365))+(Q115/$R115*100*($E115/365))</f>
        <v>11.904761904761903</v>
      </c>
      <c r="M199" s="380"/>
      <c r="N199" s="379">
        <f t="shared" si="72"/>
        <v>99.999999999999986</v>
      </c>
      <c r="O199" s="379"/>
      <c r="P199" s="9"/>
      <c r="Q199" s="9"/>
      <c r="R199" s="9">
        <v>2009</v>
      </c>
      <c r="S199" s="5">
        <f>(O114*($E114/365))+(O115*($E115/365))</f>
        <v>30</v>
      </c>
      <c r="T199" s="5">
        <f>(P114*($E114/365))+(P115*($E115/365))</f>
        <v>25.5</v>
      </c>
      <c r="U199" s="5">
        <f>(Q114*($E114/365))+(Q115*($E115/365))</f>
        <v>7.5</v>
      </c>
      <c r="V199" s="9"/>
      <c r="W199" s="5">
        <f t="shared" si="71"/>
        <v>63</v>
      </c>
      <c r="X199" s="4"/>
      <c r="Y199" s="4"/>
    </row>
    <row r="200" spans="1:25" x14ac:dyDescent="0.15">
      <c r="A200" s="1">
        <v>2010</v>
      </c>
      <c r="B200" s="5">
        <f>(K116*($E116/365))+(K117*($E117/365))</f>
        <v>50</v>
      </c>
      <c r="C200" s="5">
        <f>(L116*($E116/365))+(L117*($E117/365))</f>
        <v>40</v>
      </c>
      <c r="D200" s="5">
        <f>(M116*($E116/365))+(M117*($E117/365))</f>
        <v>10</v>
      </c>
      <c r="E200" s="18">
        <f t="shared" si="70"/>
        <v>100</v>
      </c>
      <c r="G200" s="1">
        <v>2010</v>
      </c>
      <c r="H200" s="380">
        <f>(O116/$R116*100*($E116/365))+(O117/$R117*100*($E117/365))</f>
        <v>47.61904761904762</v>
      </c>
      <c r="I200" s="380"/>
      <c r="J200" s="380">
        <f>(P116/$R116*100*($E116/365))+(P117/$R117*100*($E117/365))</f>
        <v>40.476190476190482</v>
      </c>
      <c r="K200" s="380"/>
      <c r="L200" s="380">
        <f>(Q116/$R116*100*($E116/365))+(Q117/$R117*100*($E117/365))</f>
        <v>11.904761904761905</v>
      </c>
      <c r="M200" s="380"/>
      <c r="N200" s="379">
        <f t="shared" si="72"/>
        <v>100</v>
      </c>
      <c r="O200" s="379"/>
      <c r="P200" s="9"/>
      <c r="Q200" s="9"/>
      <c r="R200" s="9">
        <v>2010</v>
      </c>
      <c r="S200" s="5">
        <f>(O116*($E116/365))+(O117*($E117/365))</f>
        <v>30</v>
      </c>
      <c r="T200" s="5">
        <f>(P116*($E116/365))+(P117*($E117/365))</f>
        <v>25.5</v>
      </c>
      <c r="U200" s="5">
        <f>(Q116*($E116/365))+(Q117*($E117/365))</f>
        <v>7.5</v>
      </c>
      <c r="V200" s="9"/>
      <c r="W200" s="5">
        <f t="shared" si="71"/>
        <v>63</v>
      </c>
      <c r="X200" s="4"/>
      <c r="Y200" s="4"/>
    </row>
    <row r="201" spans="1:25" x14ac:dyDescent="0.15">
      <c r="A201" s="1">
        <v>2011</v>
      </c>
      <c r="B201" s="5">
        <f>(K118*($E118/365))+(K119*($E119/365))</f>
        <v>45.825522710886808</v>
      </c>
      <c r="C201" s="5">
        <f>(L118*($E118/365))+(L119*($E119/365))</f>
        <v>21.632299927901947</v>
      </c>
      <c r="D201" s="5">
        <f>(M118*($E118/365))+(M119*($E119/365))</f>
        <v>32.542177361211245</v>
      </c>
      <c r="E201" s="18">
        <f t="shared" si="70"/>
        <v>100</v>
      </c>
      <c r="G201" s="1">
        <v>2011</v>
      </c>
      <c r="H201" s="380">
        <f>(O118/$R118*100*($E118/365))+(O119/$R119*100*($E119/365))</f>
        <v>45.101108936725367</v>
      </c>
      <c r="I201" s="380"/>
      <c r="J201" s="380">
        <f>(P118/$R118*100*($E118/365))+(P119/$R119*100*($E119/365))</f>
        <v>21.591650358773649</v>
      </c>
      <c r="K201" s="380"/>
      <c r="L201" s="380">
        <f>(Q118/$R118*100*($E118/365))+(Q119/$R119*100*($E119/365))</f>
        <v>33.307240704500984</v>
      </c>
      <c r="M201" s="380"/>
      <c r="N201" s="379">
        <f t="shared" si="72"/>
        <v>100</v>
      </c>
      <c r="O201" s="379"/>
      <c r="P201" s="9"/>
      <c r="Q201" s="9"/>
      <c r="R201" s="9">
        <v>2011</v>
      </c>
      <c r="S201" s="5">
        <f>(O118*($E118/365))+(O119*($E119/365))</f>
        <v>28.413698630136988</v>
      </c>
      <c r="T201" s="5">
        <f>(P118*($E118/365))+(P119*($E119/365))</f>
        <v>13.602739726027398</v>
      </c>
      <c r="U201" s="5">
        <f>(Q118*($E118/365))+(Q119*($E119/365))</f>
        <v>20.983561643835618</v>
      </c>
      <c r="V201" s="9"/>
      <c r="W201" s="5">
        <f t="shared" si="71"/>
        <v>63</v>
      </c>
      <c r="X201" s="4"/>
      <c r="Y201" s="4"/>
    </row>
    <row r="202" spans="1:25" x14ac:dyDescent="0.15">
      <c r="A202" s="1">
        <v>2012</v>
      </c>
      <c r="B202" s="5">
        <f>(K120*($E120/366))+(K121*($E121/366))</f>
        <v>42.105263157894733</v>
      </c>
      <c r="C202" s="5">
        <f>(L120*($E120/366))+(L121*($E121/366))</f>
        <v>5.2631578947368416</v>
      </c>
      <c r="D202" s="5">
        <f>(M120*($E120/366))+(M121*($E121/366))</f>
        <v>52.631578947368418</v>
      </c>
      <c r="E202" s="18">
        <f t="shared" si="70"/>
        <v>100</v>
      </c>
      <c r="G202" s="1">
        <v>2012</v>
      </c>
      <c r="H202" s="380">
        <f>(O120/$R120*100*($E120/366))+(O121/$R121*100*($E121/366))</f>
        <v>42.857142857142854</v>
      </c>
      <c r="I202" s="380"/>
      <c r="J202" s="380">
        <f>(P120/$R120*100*($E120/366))+(P121/$R121*100*($E121/366))</f>
        <v>4.7619047619047619</v>
      </c>
      <c r="K202" s="380"/>
      <c r="L202" s="380">
        <f>(Q120/$R120*100*($E120/366))+(Q121/$R121*100*($E121/366))</f>
        <v>52.380952380952387</v>
      </c>
      <c r="M202" s="380"/>
      <c r="N202" s="379">
        <f t="shared" si="72"/>
        <v>100</v>
      </c>
      <c r="O202" s="379"/>
      <c r="P202" s="9"/>
      <c r="Q202" s="9"/>
      <c r="R202" s="9">
        <v>2012</v>
      </c>
      <c r="S202" s="5">
        <f>(O120*($E120/366))+(O121*($E121/366))</f>
        <v>27</v>
      </c>
      <c r="T202" s="5">
        <f>(P120*($E120/366))+(P121*($E121/366))</f>
        <v>3</v>
      </c>
      <c r="U202" s="5">
        <f>(Q120*($E120/366))+(Q121*($E121/366))</f>
        <v>33</v>
      </c>
      <c r="V202" s="9"/>
      <c r="W202" s="5">
        <f t="shared" si="71"/>
        <v>63</v>
      </c>
      <c r="X202" s="4"/>
      <c r="Y202" s="4"/>
    </row>
    <row r="203" spans="1:25" x14ac:dyDescent="0.15">
      <c r="A203" s="1">
        <v>2013</v>
      </c>
      <c r="B203" s="5">
        <f>(K122*($E122/365))+(K123*($E123/365))</f>
        <v>42.105263157894733</v>
      </c>
      <c r="C203" s="5">
        <f>(L122*($E122/365))+(L123*($E123/365))</f>
        <v>5.2631578947368416</v>
      </c>
      <c r="D203" s="5">
        <f>(M122*($E122/365))+(M123*($E123/365))</f>
        <v>52.631578947368418</v>
      </c>
      <c r="E203" s="18">
        <f t="shared" si="70"/>
        <v>100</v>
      </c>
      <c r="G203" s="1">
        <v>2013</v>
      </c>
      <c r="H203" s="380">
        <f>(O122/$R122*100*($E122/365))+(O123/$R123*100*($E123/365))</f>
        <v>42.857142857142854</v>
      </c>
      <c r="I203" s="380"/>
      <c r="J203" s="380">
        <f>(P122/$R122*100*($E122/365))+(P123/$R123*100*($E123/365))</f>
        <v>4.7619047619047619</v>
      </c>
      <c r="K203" s="380"/>
      <c r="L203" s="380">
        <f>(Q122/$R122*100*($E122/365))+(Q123/$R123*100*($E123/365))</f>
        <v>52.380952380952387</v>
      </c>
      <c r="M203" s="380"/>
      <c r="N203" s="379">
        <f>SUM(H203:M203)</f>
        <v>100</v>
      </c>
      <c r="O203" s="379"/>
      <c r="P203" s="9"/>
      <c r="Q203" s="9"/>
      <c r="R203" s="9">
        <v>2013</v>
      </c>
      <c r="S203" s="5">
        <f>(O122*($E122/365))+(O123*($E123/365))</f>
        <v>27</v>
      </c>
      <c r="T203" s="5">
        <f>(P122*($E122/365))+(P123*($E123/365))</f>
        <v>3</v>
      </c>
      <c r="U203" s="5">
        <f>(Q122*($E122/365))+(Q123*($E123/365))</f>
        <v>33</v>
      </c>
      <c r="V203" s="9"/>
      <c r="W203" s="5">
        <f t="shared" si="71"/>
        <v>63</v>
      </c>
      <c r="X203" s="4"/>
      <c r="Y203" s="4"/>
    </row>
    <row r="204" spans="1:25" x14ac:dyDescent="0.15">
      <c r="A204" s="1">
        <v>2014</v>
      </c>
      <c r="B204" s="5">
        <f>(K124*($E124/365))+(K125*($E125/365))+(K126*($E126/365))+(K127*($E127/365))</f>
        <v>47.380296026124938</v>
      </c>
      <c r="C204" s="5">
        <f>(L124*($E124/365))+(L125*($E125/365))+(L126*($E126/365))+(L127*($E127/365))</f>
        <v>5.5871750286271675</v>
      </c>
      <c r="D204" s="5">
        <f>(M124*($E124/365))+(M125*($E125/365))+(M126*($E126/365))+(M127*($E127/365))</f>
        <v>47.032528945247883</v>
      </c>
      <c r="E204" s="18">
        <f>SUM(B204:D204)</f>
        <v>99.999999999999986</v>
      </c>
      <c r="G204" s="1">
        <v>2014</v>
      </c>
      <c r="H204" s="380">
        <f>(O124/$R124*100*($E124/365))+(O125/$R125*100*($E125/365))+(O126/$R126*100*($E126/365))+(O127/$R127*100*($E127/365))</f>
        <v>48.066651318061474</v>
      </c>
      <c r="I204" s="380"/>
      <c r="J204" s="380">
        <f>(P124/$R124*100*($E124/365))+(P125/$R125*100*($E125/365))+(P126/$R126*100*($E126/365))+(P127/$R127*100*($E127/365))</f>
        <v>5.3407390353401638</v>
      </c>
      <c r="K204" s="380"/>
      <c r="L204" s="380">
        <f>(Q124/$R124*100*($E124/365))+(Q125/$R125*100*($E125/365))+(Q126/$R126*100*($E126/365))+(Q127/$R127*100*($E127/365))</f>
        <v>46.592609646598362</v>
      </c>
      <c r="M204" s="380"/>
      <c r="N204" s="379">
        <f>SUM(H204:M204)</f>
        <v>100</v>
      </c>
      <c r="O204" s="379"/>
      <c r="P204" s="9"/>
      <c r="Q204" s="9"/>
      <c r="R204" s="9">
        <v>2014</v>
      </c>
      <c r="S204" s="5">
        <f>(O124*($E124/365))+(O125*($E125/365))+(O126*($E126/365))+(O127*($E127/365))</f>
        <v>27</v>
      </c>
      <c r="T204" s="5">
        <f>(P124*($E124/365))+(P125*($E125/365))+(P126*($E126/365))+(P127*($E127/365))</f>
        <v>3</v>
      </c>
      <c r="U204" s="5">
        <f>(Q124*($E124/365))+(Q125*($E125/365))+(Q126*($E126/365))+(Q127*($E127/365))</f>
        <v>26.495890410958904</v>
      </c>
      <c r="V204" s="9"/>
      <c r="W204" s="5">
        <f>SUM(S204:U204)</f>
        <v>56.495890410958907</v>
      </c>
      <c r="X204" s="4"/>
      <c r="Y204" s="4"/>
    </row>
    <row r="205" spans="1:25" x14ac:dyDescent="0.15">
      <c r="A205" s="1">
        <v>2015</v>
      </c>
      <c r="B205" s="5">
        <f>(K128*($E128/365))+(K129*($E129/365))</f>
        <v>55.439161966156327</v>
      </c>
      <c r="C205" s="5">
        <f>(L128*($E128/365))+(L129*($E129/365))</f>
        <v>27.864625302175661</v>
      </c>
      <c r="D205" s="5">
        <f>(M128*($E128/365))+(M129*($E129/365))</f>
        <v>16.696212731668009</v>
      </c>
      <c r="E205" s="18">
        <f>SUM(B205:D205)</f>
        <v>100</v>
      </c>
      <c r="G205" s="1">
        <v>2015</v>
      </c>
      <c r="H205" s="380">
        <f>(O128/$R128*100*($E128/365))+(O129/$R129*100*($E129/365))</f>
        <v>57.425463336019341</v>
      </c>
      <c r="I205" s="380"/>
      <c r="J205" s="380">
        <f>(P128/$R128*100*($E128/365))+(P129/$R129*100*($E129/365))</f>
        <v>25.87832393231265</v>
      </c>
      <c r="K205" s="380"/>
      <c r="L205" s="380">
        <f>(Q128/$R128*100*($E128/365))+(Q129/$R129*100*($E129/365))</f>
        <v>16.696212731668009</v>
      </c>
      <c r="M205" s="380"/>
      <c r="N205" s="379">
        <f>SUM(H205:M205)</f>
        <v>100</v>
      </c>
      <c r="O205" s="379"/>
      <c r="P205" s="9"/>
      <c r="Q205" s="9"/>
      <c r="R205" s="9">
        <v>2015</v>
      </c>
      <c r="S205" s="5">
        <f>(O128*($E128/365))+(O129*($E129/365))</f>
        <v>33.242465753424653</v>
      </c>
      <c r="T205" s="5">
        <f>(P128*($E128/365))+(P129*($E129/365))</f>
        <v>15.782191780821918</v>
      </c>
      <c r="U205" s="5">
        <f>(Q128*($E128/365))+(Q129*($E129/365))</f>
        <v>8.5150684931506841</v>
      </c>
      <c r="V205" s="9"/>
      <c r="W205" s="5">
        <f>SUM(S205:U205)</f>
        <v>57.539726027397258</v>
      </c>
      <c r="X205" s="4"/>
      <c r="Y205" s="4"/>
    </row>
    <row r="206" spans="1:25" x14ac:dyDescent="0.15">
      <c r="A206" s="1">
        <v>2016</v>
      </c>
      <c r="B206" s="5">
        <f>(K130*($E130/366))+(K131*($E131/366))</f>
        <v>57.142857142857139</v>
      </c>
      <c r="C206" s="5">
        <f>(L130*($E130/366))+(L131*($E131/366))</f>
        <v>42.857142857142854</v>
      </c>
      <c r="D206" s="5">
        <f>(M130*($E130/366))+(M131*($E131/366))</f>
        <v>0</v>
      </c>
      <c r="E206" s="18">
        <f>SUM(B206:D206)</f>
        <v>100</v>
      </c>
      <c r="G206" s="1">
        <v>2016</v>
      </c>
      <c r="H206" s="380">
        <f>(O130/$R130*100*($E130/365))+(O131/$R131*100*($E131/366))</f>
        <v>60.483870967741936</v>
      </c>
      <c r="I206" s="380"/>
      <c r="J206" s="380">
        <f>(P130/$R130*100*($E130/366))+(P131/$R131*100*($E131/366))</f>
        <v>39.516129032258064</v>
      </c>
      <c r="K206" s="380"/>
      <c r="L206" s="380">
        <f>(Q130/$R130*100*($E130/366))+(Q131/$R131*100*($E131/366))</f>
        <v>0</v>
      </c>
      <c r="M206" s="380"/>
      <c r="N206" s="379">
        <f>SUM(H206:M206)</f>
        <v>100</v>
      </c>
      <c r="O206" s="379"/>
      <c r="P206" s="9"/>
      <c r="Q206" s="9"/>
      <c r="R206" s="9">
        <v>2016</v>
      </c>
      <c r="S206" s="5">
        <f>(O130*($E130/366))+(O131*($E131/366))</f>
        <v>37.5</v>
      </c>
      <c r="T206" s="5">
        <f>(P130*($E130/366))+(P131*($E131/366))</f>
        <v>24.5</v>
      </c>
      <c r="U206" s="5">
        <f>(Q130*($E130/366))+(Q131*($E131/366))</f>
        <v>0</v>
      </c>
      <c r="V206" s="9"/>
      <c r="W206" s="5">
        <f>SUM(S206:U206)</f>
        <v>62</v>
      </c>
      <c r="X206" s="4"/>
      <c r="Y206" s="4"/>
    </row>
    <row r="207" spans="1:25" x14ac:dyDescent="0.15">
      <c r="A207" s="1">
        <v>2017</v>
      </c>
      <c r="B207" s="5">
        <f>(K132*($E132/365))+(K133*($E133/365))+(K134*($E134/365))</f>
        <v>57.87181996086106</v>
      </c>
      <c r="C207" s="5">
        <f t="shared" ref="C207:D207" si="73">(L132*($E132/365))+(L133*($E133/365))+(L134*($E134/365))</f>
        <v>42.12818003913894</v>
      </c>
      <c r="D207" s="5">
        <f t="shared" si="73"/>
        <v>0</v>
      </c>
      <c r="E207" s="18">
        <f>SUM(B207:D207)</f>
        <v>100</v>
      </c>
      <c r="G207" s="1">
        <v>2017</v>
      </c>
      <c r="H207" s="380">
        <f>(O132/$R132*100*($E132/365))+(O133/$R133*100*($E133/365))+(O134/$R134*100*($E134/365))</f>
        <v>60.483870967741936</v>
      </c>
      <c r="I207" s="380"/>
      <c r="J207" s="380">
        <f>(P132/$R132*100*($E132/365))+(P133/$R133*100*($E133/365))+(P134/$R134*100*($E134/365))</f>
        <v>39.516129032258064</v>
      </c>
      <c r="K207" s="380"/>
      <c r="L207" s="380">
        <f>(Q132/$R132*100*($E132/365))+(Q133/$R133*100*($E133/365))+(Q134/$R134*100*($E134/365))</f>
        <v>0</v>
      </c>
      <c r="M207" s="380"/>
      <c r="N207" s="379">
        <f>SUM(H207:M207)</f>
        <v>100</v>
      </c>
      <c r="O207" s="379"/>
      <c r="P207" s="9"/>
      <c r="Q207" s="9"/>
      <c r="R207" s="9">
        <v>2017</v>
      </c>
      <c r="S207" s="5">
        <f>(O132*($E132/365))+(O133*($E133/365))+(O134*($E134/365))</f>
        <v>37.5</v>
      </c>
      <c r="T207" s="5">
        <f t="shared" ref="T207:U207" si="74">(P132*($E132/365))+(P133*($E133/365))+(P134*($E134/365))</f>
        <v>24.5</v>
      </c>
      <c r="U207" s="5">
        <f t="shared" si="74"/>
        <v>0</v>
      </c>
      <c r="V207" s="9"/>
      <c r="W207" s="5">
        <f>SUM(S207:U207)</f>
        <v>62</v>
      </c>
      <c r="X207" s="4"/>
      <c r="Y207" s="4"/>
    </row>
    <row r="208" spans="1:25" x14ac:dyDescent="0.15">
      <c r="A208" s="1">
        <v>2018</v>
      </c>
      <c r="B208" s="5">
        <f>(K135*($E135/365))+(K136*($E136/365))</f>
        <v>58.82352941176471</v>
      </c>
      <c r="C208" s="5">
        <f>(L135*($E135/365))+(L136*($E136/365))</f>
        <v>41.17647058823529</v>
      </c>
      <c r="D208" s="5">
        <f>(M135*($E135/365))+(M136*($E136/365))</f>
        <v>0</v>
      </c>
      <c r="E208" s="18">
        <f t="shared" ref="E208" si="75">SUM(B208:D208)</f>
        <v>100</v>
      </c>
      <c r="G208" s="1">
        <v>2018</v>
      </c>
      <c r="H208" s="380">
        <f>(O135/$R135*100*($E135/365))+(O136/$R136*100*($E136/365))</f>
        <v>60.483870967741936</v>
      </c>
      <c r="I208" s="380"/>
      <c r="J208" s="380">
        <f>(P135/$R135*100*($E135/365))+(P136/$R136*100*($E136/365))</f>
        <v>39.516129032258064</v>
      </c>
      <c r="K208" s="380"/>
      <c r="L208" s="380">
        <f>(Q135/$R135*100*($E135/365))+(Q136/$R136*100*($E136/365))</f>
        <v>0</v>
      </c>
      <c r="M208" s="380"/>
      <c r="N208" s="379">
        <f t="shared" ref="N208" si="76">SUM(H208:M208)</f>
        <v>100</v>
      </c>
      <c r="O208" s="379"/>
      <c r="P208" s="9"/>
      <c r="Q208" s="9"/>
      <c r="R208" s="9">
        <v>2018</v>
      </c>
      <c r="S208" s="5">
        <f>(O135*($E135/365))+(O136*($E136/365))</f>
        <v>37.5</v>
      </c>
      <c r="T208" s="5">
        <f>(P135*($E135/365))+(P136*($E136/365))</f>
        <v>24.5</v>
      </c>
      <c r="U208" s="5">
        <f>(Q135*($E135/365))+(Q136*($E136/365))</f>
        <v>0</v>
      </c>
      <c r="V208" s="9"/>
      <c r="W208" s="5">
        <f t="shared" ref="W208" si="77">SUM(S208:U208)</f>
        <v>62</v>
      </c>
    </row>
    <row r="209" spans="1:23" x14ac:dyDescent="0.15">
      <c r="A209" s="1">
        <v>2019</v>
      </c>
      <c r="B209" s="5">
        <f>(K137*($E137/365))+(K138*($E138/365))+(K139*(E139/365))+(K140*(E140/365))</f>
        <v>32.074939564867044</v>
      </c>
      <c r="C209" s="5">
        <f>(L137*($E137/365))+(L138*($E138/365))+(L139*(E139/365))+(L140*(E140/365))</f>
        <v>31.760676873489121</v>
      </c>
      <c r="D209" s="5">
        <f>(M137*($E137/365))+(M138*($E138/365))+(M139*(E139/365))+(M140*(E140/365))</f>
        <v>36.164383561643831</v>
      </c>
      <c r="E209" s="18">
        <f t="shared" ref="E209:E210" si="78">SUM(B209:D209)</f>
        <v>100</v>
      </c>
      <c r="G209" s="1">
        <v>2019</v>
      </c>
      <c r="H209" s="380">
        <f>(O137/$R137*100*($E137/365))+(O138/$R138*100*($E138/365))+(O139/R139*100*(E139/365))+(O140/R140*100*(E140/365))</f>
        <v>30.293248205768965</v>
      </c>
      <c r="I209" s="380"/>
      <c r="J209" s="380">
        <f>(P137/$R137*100*($E137/365))+(P138/$R138*100*($E138/365))+(P139/R139*100*(E139/365))+(P140/R140*100*(E140/365))</f>
        <v>32.191399881146474</v>
      </c>
      <c r="K209" s="380"/>
      <c r="L209" s="380">
        <f>(Q137/$R137*100*($E137/365))+(Q138/$R138*100*($E138/365))+(Q139/R139*100*(E139/365))+(Q140/R140*100*(E140/365))</f>
        <v>37.515351913084558</v>
      </c>
      <c r="M209" s="380"/>
      <c r="N209" s="379">
        <f t="shared" ref="N209" si="79">SUM(H209:M209)</f>
        <v>100</v>
      </c>
      <c r="O209" s="379"/>
      <c r="P209" s="9"/>
      <c r="Q209" s="9"/>
      <c r="R209" s="9">
        <v>2019</v>
      </c>
      <c r="S209" s="5">
        <f>(O137*($E137/365))+(O138*($E138/365))+(O139*(E139/365))+(O140*(E140/365))</f>
        <v>18.604109589041094</v>
      </c>
      <c r="T209" s="5">
        <f>(P137*($E137/365))+(P138*($E138/365))+(P139*(E139/365))+(P140*(E140/365))</f>
        <v>19.346575342465755</v>
      </c>
      <c r="U209" s="5">
        <f>(Q137*($E137/365))+(Q138*($E138/365))+(Q139*(E139/365))+(Q140*(E140/365))</f>
        <v>21.758904109589039</v>
      </c>
      <c r="V209" s="9"/>
      <c r="W209" s="5">
        <f t="shared" ref="W209" si="80">SUM(S209:U209)</f>
        <v>59.709589041095889</v>
      </c>
    </row>
    <row r="210" spans="1:23" x14ac:dyDescent="0.15">
      <c r="A210" s="1">
        <v>2020</v>
      </c>
      <c r="B210" s="5">
        <f>(K141*($E141/366))+(K142*($E142/366))</f>
        <v>10.526315789473683</v>
      </c>
      <c r="C210" s="5">
        <f>(L141*($E141/366))+(L142*($E142/366))</f>
        <v>26.315789473684209</v>
      </c>
      <c r="D210" s="5">
        <f>(M141*($E141/366))+(M142*($E142/366))</f>
        <v>63.157894736842103</v>
      </c>
      <c r="E210" s="18">
        <f t="shared" si="78"/>
        <v>100</v>
      </c>
      <c r="G210" s="1">
        <v>2020</v>
      </c>
      <c r="H210" s="380">
        <f>(O141/$R141*100*($E141/366))+(O142/$R142*100*($E142/366))</f>
        <v>7.7586206896551726</v>
      </c>
      <c r="I210" s="380"/>
      <c r="J210" s="380">
        <f>(P141/$R141*100*($E141/366))+(P142/$R142*100*($E142/366))</f>
        <v>26.72413793103448</v>
      </c>
      <c r="K210" s="380"/>
      <c r="L210" s="380">
        <f>(Q141/$R141*100*($E141/366))+(Q142/$R142*100*($E142/366))</f>
        <v>65.517241379310349</v>
      </c>
      <c r="M210" s="380"/>
      <c r="N210" s="379">
        <f t="shared" ref="N210" si="81">SUM(H210:M210)</f>
        <v>100</v>
      </c>
      <c r="O210" s="379"/>
      <c r="R210" s="1">
        <v>2020</v>
      </c>
      <c r="S210" s="5">
        <f>(O141*($E141/366))+(O142*($E142/366))</f>
        <v>4.5</v>
      </c>
      <c r="T210" s="5">
        <f>(P141*($E141/366))+(P142*($E142/366))</f>
        <v>15.5</v>
      </c>
      <c r="U210" s="5">
        <f>(Q141*($E141/366))+(Q142*($E142/366))</f>
        <v>38</v>
      </c>
      <c r="W210" s="5">
        <f>SUM(S210:U210)</f>
        <v>58</v>
      </c>
    </row>
  </sheetData>
  <mergeCells count="412">
    <mergeCell ref="H183:I183"/>
    <mergeCell ref="L178:M178"/>
    <mergeCell ref="L179:M179"/>
    <mergeCell ref="L180:M180"/>
    <mergeCell ref="L181:M181"/>
    <mergeCell ref="L182:M182"/>
    <mergeCell ref="H193:I193"/>
    <mergeCell ref="H194:I194"/>
    <mergeCell ref="H195:I195"/>
    <mergeCell ref="H190:I190"/>
    <mergeCell ref="H191:I191"/>
    <mergeCell ref="H184:I184"/>
    <mergeCell ref="H185:I185"/>
    <mergeCell ref="H186:I186"/>
    <mergeCell ref="H187:I187"/>
    <mergeCell ref="H188:I188"/>
    <mergeCell ref="H189:I189"/>
    <mergeCell ref="H192:I192"/>
    <mergeCell ref="L148:M148"/>
    <mergeCell ref="J182:K182"/>
    <mergeCell ref="J183:K183"/>
    <mergeCell ref="J192:K192"/>
    <mergeCell ref="J193:K193"/>
    <mergeCell ref="J194:K194"/>
    <mergeCell ref="J195:K195"/>
    <mergeCell ref="J184:K184"/>
    <mergeCell ref="J185:K185"/>
    <mergeCell ref="J186:K186"/>
    <mergeCell ref="J190:K190"/>
    <mergeCell ref="J160:K160"/>
    <mergeCell ref="L172:M172"/>
    <mergeCell ref="L173:M173"/>
    <mergeCell ref="L174:M174"/>
    <mergeCell ref="L175:M175"/>
    <mergeCell ref="L176:M176"/>
    <mergeCell ref="L171:M171"/>
    <mergeCell ref="L186:M186"/>
    <mergeCell ref="L187:M187"/>
    <mergeCell ref="L188:M188"/>
    <mergeCell ref="L189:M189"/>
    <mergeCell ref="L166:M166"/>
    <mergeCell ref="L167:M167"/>
    <mergeCell ref="N203:O203"/>
    <mergeCell ref="J151:K151"/>
    <mergeCell ref="J152:K152"/>
    <mergeCell ref="J161:K161"/>
    <mergeCell ref="J162:K162"/>
    <mergeCell ref="J163:K163"/>
    <mergeCell ref="J164:K164"/>
    <mergeCell ref="J165:K165"/>
    <mergeCell ref="J166:K166"/>
    <mergeCell ref="L202:M202"/>
    <mergeCell ref="L196:M196"/>
    <mergeCell ref="L197:M197"/>
    <mergeCell ref="L198:M198"/>
    <mergeCell ref="L199:M199"/>
    <mergeCell ref="J167:K167"/>
    <mergeCell ref="J168:K168"/>
    <mergeCell ref="J169:K169"/>
    <mergeCell ref="J187:K187"/>
    <mergeCell ref="J188:K188"/>
    <mergeCell ref="J191:K191"/>
    <mergeCell ref="J189:K189"/>
    <mergeCell ref="L164:M164"/>
    <mergeCell ref="L165:M165"/>
    <mergeCell ref="L170:M170"/>
    <mergeCell ref="N150:O150"/>
    <mergeCell ref="H150:I150"/>
    <mergeCell ref="J150:K150"/>
    <mergeCell ref="L150:M150"/>
    <mergeCell ref="H178:I178"/>
    <mergeCell ref="H179:I179"/>
    <mergeCell ref="H180:I180"/>
    <mergeCell ref="H181:I181"/>
    <mergeCell ref="H182:I182"/>
    <mergeCell ref="J178:K178"/>
    <mergeCell ref="J179:K179"/>
    <mergeCell ref="J180:K180"/>
    <mergeCell ref="J172:K172"/>
    <mergeCell ref="J173:K173"/>
    <mergeCell ref="J174:K174"/>
    <mergeCell ref="J175:K175"/>
    <mergeCell ref="J176:K176"/>
    <mergeCell ref="J177:K177"/>
    <mergeCell ref="J170:K170"/>
    <mergeCell ref="J171:K171"/>
    <mergeCell ref="L160:M160"/>
    <mergeCell ref="L161:M161"/>
    <mergeCell ref="L162:M162"/>
    <mergeCell ref="L163:M163"/>
    <mergeCell ref="N149:O149"/>
    <mergeCell ref="H174:I174"/>
    <mergeCell ref="H175:I175"/>
    <mergeCell ref="C124:D124"/>
    <mergeCell ref="C125:D125"/>
    <mergeCell ref="C126:D126"/>
    <mergeCell ref="C127:D127"/>
    <mergeCell ref="H148:I148"/>
    <mergeCell ref="J148:K148"/>
    <mergeCell ref="J159:K159"/>
    <mergeCell ref="J153:K153"/>
    <mergeCell ref="J154:K154"/>
    <mergeCell ref="J155:K155"/>
    <mergeCell ref="J156:K156"/>
    <mergeCell ref="J157:K157"/>
    <mergeCell ref="J158:K158"/>
    <mergeCell ref="C133:D133"/>
    <mergeCell ref="C134:D134"/>
    <mergeCell ref="C136:D136"/>
    <mergeCell ref="C142:D142"/>
    <mergeCell ref="C132:D132"/>
    <mergeCell ref="C130:D130"/>
    <mergeCell ref="C143:D143"/>
    <mergeCell ref="C131:D131"/>
    <mergeCell ref="C128:D128"/>
    <mergeCell ref="H176:I176"/>
    <mergeCell ref="H177:I177"/>
    <mergeCell ref="H166:I166"/>
    <mergeCell ref="H167:I167"/>
    <mergeCell ref="H168:I168"/>
    <mergeCell ref="H169:I169"/>
    <mergeCell ref="H170:I170"/>
    <mergeCell ref="H171:I171"/>
    <mergeCell ref="H172:I172"/>
    <mergeCell ref="H173:I173"/>
    <mergeCell ref="C135:D135"/>
    <mergeCell ref="C137:D137"/>
    <mergeCell ref="C138:D138"/>
    <mergeCell ref="C139:D139"/>
    <mergeCell ref="C140:D140"/>
    <mergeCell ref="C129:D129"/>
    <mergeCell ref="H149:I149"/>
    <mergeCell ref="C141:D141"/>
    <mergeCell ref="N148:O148"/>
    <mergeCell ref="C122:D122"/>
    <mergeCell ref="C123:D123"/>
    <mergeCell ref="H203:I203"/>
    <mergeCell ref="J203:K203"/>
    <mergeCell ref="L203:M203"/>
    <mergeCell ref="J149:K149"/>
    <mergeCell ref="L149:M149"/>
    <mergeCell ref="H151:I151"/>
    <mergeCell ref="H152:I152"/>
    <mergeCell ref="H153:I153"/>
    <mergeCell ref="H160:I160"/>
    <mergeCell ref="H161:I161"/>
    <mergeCell ref="H162:I162"/>
    <mergeCell ref="H163:I163"/>
    <mergeCell ref="H164:I164"/>
    <mergeCell ref="H165:I165"/>
    <mergeCell ref="H154:I154"/>
    <mergeCell ref="H155:I155"/>
    <mergeCell ref="H156:I156"/>
    <mergeCell ref="H157:I157"/>
    <mergeCell ref="H158:I158"/>
    <mergeCell ref="H159:I159"/>
    <mergeCell ref="J181:K181"/>
    <mergeCell ref="C118:D118"/>
    <mergeCell ref="C111:D111"/>
    <mergeCell ref="C112:D112"/>
    <mergeCell ref="C119:D119"/>
    <mergeCell ref="C120:D120"/>
    <mergeCell ref="C121:D121"/>
    <mergeCell ref="C113:D113"/>
    <mergeCell ref="C114:D114"/>
    <mergeCell ref="C115:D115"/>
    <mergeCell ref="C116:D116"/>
    <mergeCell ref="C98:D98"/>
    <mergeCell ref="C100:D100"/>
    <mergeCell ref="C101:D101"/>
    <mergeCell ref="C103:D103"/>
    <mergeCell ref="C104:D104"/>
    <mergeCell ref="C99:D99"/>
    <mergeCell ref="C102:D102"/>
    <mergeCell ref="C117:D117"/>
    <mergeCell ref="C105:D105"/>
    <mergeCell ref="C106:D106"/>
    <mergeCell ref="C107:D107"/>
    <mergeCell ref="C108:D108"/>
    <mergeCell ref="C109:D109"/>
    <mergeCell ref="C110:D110"/>
    <mergeCell ref="C89:D89"/>
    <mergeCell ref="C90:D90"/>
    <mergeCell ref="C91:D91"/>
    <mergeCell ref="C92:D92"/>
    <mergeCell ref="C93:D93"/>
    <mergeCell ref="C94:D94"/>
    <mergeCell ref="C95:D95"/>
    <mergeCell ref="C96:D96"/>
    <mergeCell ref="C97:D97"/>
    <mergeCell ref="C80:D80"/>
    <mergeCell ref="C81:D81"/>
    <mergeCell ref="C82:D82"/>
    <mergeCell ref="C83:D83"/>
    <mergeCell ref="C84:D84"/>
    <mergeCell ref="C85:D85"/>
    <mergeCell ref="C86:D86"/>
    <mergeCell ref="C87:D87"/>
    <mergeCell ref="C88:D88"/>
    <mergeCell ref="C71:D71"/>
    <mergeCell ref="C72:D72"/>
    <mergeCell ref="C73:D73"/>
    <mergeCell ref="C74:D74"/>
    <mergeCell ref="C75:D75"/>
    <mergeCell ref="C76:D76"/>
    <mergeCell ref="C77:D77"/>
    <mergeCell ref="C78:D78"/>
    <mergeCell ref="C79:D79"/>
    <mergeCell ref="C62:D62"/>
    <mergeCell ref="C63:D63"/>
    <mergeCell ref="C64:D64"/>
    <mergeCell ref="C65:D65"/>
    <mergeCell ref="C66:D66"/>
    <mergeCell ref="C67:D67"/>
    <mergeCell ref="C68:D68"/>
    <mergeCell ref="C69:D69"/>
    <mergeCell ref="C70:D70"/>
    <mergeCell ref="C53:D53"/>
    <mergeCell ref="C54:D54"/>
    <mergeCell ref="C55:D55"/>
    <mergeCell ref="C56:D56"/>
    <mergeCell ref="C57:D57"/>
    <mergeCell ref="C58:D58"/>
    <mergeCell ref="C59:D59"/>
    <mergeCell ref="C60:D60"/>
    <mergeCell ref="C61:D61"/>
    <mergeCell ref="C44:D44"/>
    <mergeCell ref="C45:D45"/>
    <mergeCell ref="C46:D46"/>
    <mergeCell ref="C47:D47"/>
    <mergeCell ref="C48:D48"/>
    <mergeCell ref="C49:D49"/>
    <mergeCell ref="C50:D50"/>
    <mergeCell ref="C51:D51"/>
    <mergeCell ref="C52:D52"/>
    <mergeCell ref="C35:D35"/>
    <mergeCell ref="C36:D36"/>
    <mergeCell ref="C37:D37"/>
    <mergeCell ref="C38:D38"/>
    <mergeCell ref="C39:D39"/>
    <mergeCell ref="C40:D40"/>
    <mergeCell ref="C41:D41"/>
    <mergeCell ref="C42:D42"/>
    <mergeCell ref="C43:D43"/>
    <mergeCell ref="C26:D26"/>
    <mergeCell ref="C27:D27"/>
    <mergeCell ref="C28:D28"/>
    <mergeCell ref="C29:D29"/>
    <mergeCell ref="C30:D30"/>
    <mergeCell ref="C31:D31"/>
    <mergeCell ref="C32:D32"/>
    <mergeCell ref="C33:D33"/>
    <mergeCell ref="C34:D34"/>
    <mergeCell ref="Z4:AC4"/>
    <mergeCell ref="AD4:AG4"/>
    <mergeCell ref="AH4:AK4"/>
    <mergeCell ref="C20:D20"/>
    <mergeCell ref="C21:D21"/>
    <mergeCell ref="C22:D22"/>
    <mergeCell ref="C23:D23"/>
    <mergeCell ref="C24:D24"/>
    <mergeCell ref="C25:D25"/>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G3:M3"/>
    <mergeCell ref="O3:Q3"/>
    <mergeCell ref="C9:D9"/>
    <mergeCell ref="C10:D10"/>
    <mergeCell ref="A4:A5"/>
    <mergeCell ref="B4:B5"/>
    <mergeCell ref="C4:D5"/>
    <mergeCell ref="E4:E5"/>
    <mergeCell ref="F4:F5"/>
    <mergeCell ref="G4:J4"/>
    <mergeCell ref="C8:D8"/>
    <mergeCell ref="K4:N4"/>
    <mergeCell ref="O4:R4"/>
    <mergeCell ref="L177:M177"/>
    <mergeCell ref="L151:M151"/>
    <mergeCell ref="L152:M152"/>
    <mergeCell ref="L153:M153"/>
    <mergeCell ref="L154:M154"/>
    <mergeCell ref="L155:M155"/>
    <mergeCell ref="L156:M156"/>
    <mergeCell ref="L157:M157"/>
    <mergeCell ref="L158:M158"/>
    <mergeCell ref="L159:M159"/>
    <mergeCell ref="L168:M168"/>
    <mergeCell ref="L169:M169"/>
    <mergeCell ref="N187:O187"/>
    <mergeCell ref="N181:O181"/>
    <mergeCell ref="L200:M200"/>
    <mergeCell ref="L201:M201"/>
    <mergeCell ref="L190:M190"/>
    <mergeCell ref="L191:M191"/>
    <mergeCell ref="L192:M192"/>
    <mergeCell ref="L193:M193"/>
    <mergeCell ref="L194:M194"/>
    <mergeCell ref="L195:M195"/>
    <mergeCell ref="L184:M184"/>
    <mergeCell ref="L185:M185"/>
    <mergeCell ref="N193:O193"/>
    <mergeCell ref="N194:O194"/>
    <mergeCell ref="N195:O195"/>
    <mergeCell ref="N196:O196"/>
    <mergeCell ref="N197:O197"/>
    <mergeCell ref="N198:O198"/>
    <mergeCell ref="L183:M183"/>
    <mergeCell ref="N180:O180"/>
    <mergeCell ref="R146:W146"/>
    <mergeCell ref="AP4:AS4"/>
    <mergeCell ref="S4:S5"/>
    <mergeCell ref="AX4:BA4"/>
    <mergeCell ref="N200:O200"/>
    <mergeCell ref="N199:O199"/>
    <mergeCell ref="N182:O182"/>
    <mergeCell ref="N183:O183"/>
    <mergeCell ref="N184:O184"/>
    <mergeCell ref="N185:O185"/>
    <mergeCell ref="N186:O186"/>
    <mergeCell ref="N175:O175"/>
    <mergeCell ref="N188:O188"/>
    <mergeCell ref="N189:O189"/>
    <mergeCell ref="N190:O190"/>
    <mergeCell ref="N191:O191"/>
    <mergeCell ref="N192:O192"/>
    <mergeCell ref="N176:O176"/>
    <mergeCell ref="N177:O177"/>
    <mergeCell ref="N178:O178"/>
    <mergeCell ref="N179:O179"/>
    <mergeCell ref="N166:O166"/>
    <mergeCell ref="N167:O167"/>
    <mergeCell ref="AT4:AW4"/>
    <mergeCell ref="N170:O170"/>
    <mergeCell ref="N171:O171"/>
    <mergeCell ref="N172:O172"/>
    <mergeCell ref="N173:O173"/>
    <mergeCell ref="N174:O174"/>
    <mergeCell ref="N160:O160"/>
    <mergeCell ref="N161:O161"/>
    <mergeCell ref="N162:O162"/>
    <mergeCell ref="N163:O163"/>
    <mergeCell ref="N164:O164"/>
    <mergeCell ref="N165:O165"/>
    <mergeCell ref="N168:O168"/>
    <mergeCell ref="N169:O169"/>
    <mergeCell ref="N151:O151"/>
    <mergeCell ref="N152:O152"/>
    <mergeCell ref="N153:O153"/>
    <mergeCell ref="N154:O154"/>
    <mergeCell ref="N155:O155"/>
    <mergeCell ref="N156:O156"/>
    <mergeCell ref="N157:O157"/>
    <mergeCell ref="N158:O158"/>
    <mergeCell ref="N159:O159"/>
    <mergeCell ref="AL4:AO4"/>
    <mergeCell ref="H200:I200"/>
    <mergeCell ref="H201:I201"/>
    <mergeCell ref="J202:K202"/>
    <mergeCell ref="J196:K196"/>
    <mergeCell ref="J197:K197"/>
    <mergeCell ref="J198:K198"/>
    <mergeCell ref="J199:K199"/>
    <mergeCell ref="H210:I210"/>
    <mergeCell ref="J210:K210"/>
    <mergeCell ref="H204:I204"/>
    <mergeCell ref="J204:K204"/>
    <mergeCell ref="H205:I205"/>
    <mergeCell ref="J205:K205"/>
    <mergeCell ref="H202:I202"/>
    <mergeCell ref="H198:I198"/>
    <mergeCell ref="H199:I199"/>
    <mergeCell ref="J200:K200"/>
    <mergeCell ref="J201:K201"/>
    <mergeCell ref="H196:I196"/>
    <mergeCell ref="H197:I197"/>
    <mergeCell ref="L210:M210"/>
    <mergeCell ref="N210:O210"/>
    <mergeCell ref="J209:K209"/>
    <mergeCell ref="L209:M209"/>
    <mergeCell ref="H209:I209"/>
    <mergeCell ref="N209:O209"/>
    <mergeCell ref="N201:O201"/>
    <mergeCell ref="N202:O202"/>
    <mergeCell ref="H208:I208"/>
    <mergeCell ref="J208:K208"/>
    <mergeCell ref="L208:M208"/>
    <mergeCell ref="N208:O208"/>
    <mergeCell ref="H207:I207"/>
    <mergeCell ref="J207:K207"/>
    <mergeCell ref="L207:M207"/>
    <mergeCell ref="N207:O207"/>
    <mergeCell ref="H206:I206"/>
    <mergeCell ref="L206:M206"/>
    <mergeCell ref="N206:O206"/>
    <mergeCell ref="J206:K206"/>
    <mergeCell ref="N205:O205"/>
    <mergeCell ref="L204:M204"/>
    <mergeCell ref="N204:O204"/>
    <mergeCell ref="L205:M20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A217"/>
  <sheetViews>
    <sheetView zoomScale="144" zoomScaleNormal="120" workbookViewId="0">
      <pane xSplit="1" ySplit="5" topLeftCell="B63" activePane="bottomRight" state="frozen"/>
      <selection pane="topRight" activeCell="B1" sqref="B1"/>
      <selection pane="bottomLeft" activeCell="A6" sqref="A6"/>
      <selection pane="bottomRight" activeCell="G150" sqref="G150"/>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54</v>
      </c>
    </row>
    <row r="3" spans="1:53" x14ac:dyDescent="0.15">
      <c r="G3" s="415"/>
      <c r="H3" s="415"/>
      <c r="I3" s="415"/>
      <c r="J3" s="415"/>
      <c r="K3" s="415"/>
      <c r="L3" s="415"/>
      <c r="M3" s="415"/>
      <c r="O3" s="415"/>
      <c r="P3" s="415"/>
      <c r="Q3" s="415"/>
      <c r="R3" s="4"/>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05" t="s">
        <v>1228</v>
      </c>
      <c r="D6" s="405"/>
      <c r="E6" s="140">
        <v>7</v>
      </c>
      <c r="G6" s="148">
        <v>5</v>
      </c>
      <c r="H6" s="140">
        <v>3</v>
      </c>
      <c r="I6" s="140">
        <v>5</v>
      </c>
      <c r="J6" s="154">
        <v>24</v>
      </c>
      <c r="K6" s="134">
        <f>G6/J6*100</f>
        <v>20.833333333333336</v>
      </c>
      <c r="L6" s="134">
        <f>H6/J6*100</f>
        <v>12.5</v>
      </c>
      <c r="M6" s="134">
        <f>I6/J6*100</f>
        <v>20.833333333333336</v>
      </c>
      <c r="N6" s="150">
        <f>SUM(K6:M6)</f>
        <v>54.166666666666671</v>
      </c>
      <c r="O6" s="133">
        <v>42.6</v>
      </c>
      <c r="P6" s="134">
        <v>12.3</v>
      </c>
      <c r="Q6" s="134">
        <v>14.3</v>
      </c>
      <c r="R6" s="135">
        <f>SUM(O6:Q6)</f>
        <v>69.2</v>
      </c>
      <c r="S6" s="140">
        <v>5</v>
      </c>
      <c r="T6" s="308"/>
      <c r="U6" s="296"/>
      <c r="V6" s="139" t="s">
        <v>371</v>
      </c>
      <c r="W6" s="140" t="s">
        <v>75</v>
      </c>
      <c r="X6" s="140" t="s">
        <v>11</v>
      </c>
      <c r="Y6" s="141">
        <v>42.6</v>
      </c>
      <c r="Z6" s="139" t="s">
        <v>120</v>
      </c>
      <c r="AA6" s="140" t="s">
        <v>17</v>
      </c>
      <c r="AB6" s="140" t="s">
        <v>18</v>
      </c>
      <c r="AC6" s="140">
        <v>12.3</v>
      </c>
      <c r="AD6" s="139" t="s">
        <v>95</v>
      </c>
      <c r="AE6" s="140" t="s">
        <v>20</v>
      </c>
      <c r="AF6" s="140" t="s">
        <v>12</v>
      </c>
      <c r="AG6" s="141">
        <v>9.4</v>
      </c>
      <c r="AH6" s="140" t="s">
        <v>121</v>
      </c>
      <c r="AI6" s="140" t="s">
        <v>22</v>
      </c>
      <c r="AJ6" s="140" t="s">
        <v>12</v>
      </c>
      <c r="AK6" s="140">
        <v>4.9000000000000004</v>
      </c>
      <c r="AL6" s="139"/>
      <c r="AO6" s="141"/>
      <c r="AP6" s="139"/>
      <c r="AS6" s="141"/>
      <c r="AW6" s="141"/>
      <c r="BA6" s="142"/>
    </row>
    <row r="7" spans="1:53" s="140" customFormat="1" x14ac:dyDescent="0.15">
      <c r="A7" s="146">
        <v>1959</v>
      </c>
      <c r="B7" s="296">
        <v>21558</v>
      </c>
      <c r="C7" s="405" t="s">
        <v>373</v>
      </c>
      <c r="D7" s="405"/>
      <c r="E7" s="140">
        <f>365-E6</f>
        <v>358</v>
      </c>
      <c r="F7" s="140">
        <v>4</v>
      </c>
      <c r="G7" s="148">
        <v>9</v>
      </c>
      <c r="H7" s="140">
        <v>4</v>
      </c>
      <c r="I7" s="140">
        <v>1</v>
      </c>
      <c r="J7" s="154">
        <v>21</v>
      </c>
      <c r="K7" s="134">
        <f>G7/J7*100</f>
        <v>42.857142857142854</v>
      </c>
      <c r="L7" s="134">
        <f>H7/J7*100</f>
        <v>19.047619047619047</v>
      </c>
      <c r="M7" s="134">
        <f>I7/J7*100</f>
        <v>4.7619047619047619</v>
      </c>
      <c r="N7" s="150">
        <f>SUM(K7:M7)</f>
        <v>66.666666666666657</v>
      </c>
      <c r="O7" s="133">
        <v>71.2</v>
      </c>
      <c r="P7" s="134">
        <v>12.3</v>
      </c>
      <c r="Q7" s="134">
        <v>4.9000000000000004</v>
      </c>
      <c r="R7" s="135">
        <f>SUM(O7:Q7)</f>
        <v>88.4</v>
      </c>
      <c r="S7" s="140">
        <v>3</v>
      </c>
      <c r="T7" s="308"/>
      <c r="U7" s="296">
        <v>21558</v>
      </c>
      <c r="V7" s="139" t="s">
        <v>371</v>
      </c>
      <c r="W7" s="140" t="s">
        <v>75</v>
      </c>
      <c r="X7" s="140" t="s">
        <v>11</v>
      </c>
      <c r="Y7" s="141">
        <v>42.6</v>
      </c>
      <c r="Z7" s="139" t="s">
        <v>119</v>
      </c>
      <c r="AA7" s="140" t="s">
        <v>74</v>
      </c>
      <c r="AB7" s="140" t="s">
        <v>11</v>
      </c>
      <c r="AC7" s="140">
        <v>28.6</v>
      </c>
      <c r="AD7" s="139" t="s">
        <v>120</v>
      </c>
      <c r="AE7" s="140" t="s">
        <v>17</v>
      </c>
      <c r="AF7" s="140" t="s">
        <v>18</v>
      </c>
      <c r="AG7" s="141">
        <v>12.3</v>
      </c>
      <c r="AH7" s="140" t="s">
        <v>121</v>
      </c>
      <c r="AI7" s="140" t="s">
        <v>22</v>
      </c>
      <c r="AJ7" s="140" t="s">
        <v>12</v>
      </c>
      <c r="AK7" s="140">
        <v>4.9000000000000004</v>
      </c>
      <c r="AL7" s="139"/>
      <c r="AO7" s="141"/>
      <c r="AP7" s="139"/>
      <c r="AS7" s="141"/>
      <c r="AW7" s="141"/>
      <c r="BA7" s="142"/>
    </row>
    <row r="8" spans="1:53" s="29" customFormat="1" x14ac:dyDescent="0.15">
      <c r="A8" s="52">
        <v>1960</v>
      </c>
      <c r="B8" s="295"/>
      <c r="C8" s="394" t="s">
        <v>373</v>
      </c>
      <c r="D8" s="394"/>
      <c r="E8" s="29">
        <v>0</v>
      </c>
      <c r="G8" s="66">
        <v>9</v>
      </c>
      <c r="H8" s="29">
        <v>4</v>
      </c>
      <c r="I8" s="29">
        <v>1</v>
      </c>
      <c r="J8" s="73">
        <v>21</v>
      </c>
      <c r="K8" s="47">
        <f t="shared" ref="K8:K64" si="0">G8/J8*100</f>
        <v>42.857142857142854</v>
      </c>
      <c r="L8" s="47">
        <f t="shared" ref="L8:L64" si="1">H8/J8*100</f>
        <v>19.047619047619047</v>
      </c>
      <c r="M8" s="47">
        <f t="shared" ref="M8:M64" si="2">I8/J8*100</f>
        <v>4.7619047619047619</v>
      </c>
      <c r="N8" s="68">
        <f>SUM(K8:M8)</f>
        <v>66.666666666666657</v>
      </c>
      <c r="O8" s="46">
        <v>71.2</v>
      </c>
      <c r="P8" s="47">
        <v>12.3</v>
      </c>
      <c r="Q8" s="47">
        <v>4.9000000000000004</v>
      </c>
      <c r="R8" s="48">
        <f>SUM(O8:Q8)</f>
        <v>88.4</v>
      </c>
      <c r="S8" s="29">
        <v>3</v>
      </c>
      <c r="T8" s="286"/>
      <c r="U8" s="295"/>
      <c r="V8" s="38" t="s">
        <v>371</v>
      </c>
      <c r="W8" s="29" t="s">
        <v>75</v>
      </c>
      <c r="X8" s="29" t="s">
        <v>11</v>
      </c>
      <c r="Y8" s="39">
        <v>42.6</v>
      </c>
      <c r="Z8" s="38" t="s">
        <v>119</v>
      </c>
      <c r="AA8" s="29" t="s">
        <v>74</v>
      </c>
      <c r="AB8" s="29" t="s">
        <v>11</v>
      </c>
      <c r="AC8" s="29">
        <v>28.6</v>
      </c>
      <c r="AD8" s="38" t="s">
        <v>120</v>
      </c>
      <c r="AE8" s="29" t="s">
        <v>17</v>
      </c>
      <c r="AF8" s="29" t="s">
        <v>18</v>
      </c>
      <c r="AG8" s="39">
        <v>12.3</v>
      </c>
      <c r="AH8" s="29" t="s">
        <v>121</v>
      </c>
      <c r="AI8" s="29" t="s">
        <v>22</v>
      </c>
      <c r="AJ8" s="29" t="s">
        <v>12</v>
      </c>
      <c r="AK8" s="29">
        <v>4.9000000000000004</v>
      </c>
      <c r="AL8" s="38"/>
      <c r="AO8" s="39"/>
      <c r="AP8" s="38"/>
      <c r="AS8" s="39"/>
      <c r="AW8" s="39"/>
      <c r="BA8" s="40"/>
    </row>
    <row r="9" spans="1:53" s="29" customFormat="1" x14ac:dyDescent="0.15">
      <c r="A9" s="52">
        <v>1960</v>
      </c>
      <c r="B9" s="295"/>
      <c r="C9" s="394" t="s">
        <v>373</v>
      </c>
      <c r="D9" s="394"/>
      <c r="E9" s="29">
        <v>366</v>
      </c>
      <c r="G9" s="66">
        <v>9</v>
      </c>
      <c r="H9" s="29">
        <v>4</v>
      </c>
      <c r="I9" s="29">
        <v>1</v>
      </c>
      <c r="J9" s="73">
        <v>21</v>
      </c>
      <c r="K9" s="47">
        <f t="shared" si="0"/>
        <v>42.857142857142854</v>
      </c>
      <c r="L9" s="47">
        <f t="shared" si="1"/>
        <v>19.047619047619047</v>
      </c>
      <c r="M9" s="47">
        <f t="shared" si="2"/>
        <v>4.7619047619047619</v>
      </c>
      <c r="N9" s="68">
        <f t="shared" ref="N9:N72" si="3">SUM(K9:M9)</f>
        <v>66.666666666666657</v>
      </c>
      <c r="O9" s="46">
        <v>71.2</v>
      </c>
      <c r="P9" s="47">
        <v>12.3</v>
      </c>
      <c r="Q9" s="47">
        <v>4.9000000000000004</v>
      </c>
      <c r="R9" s="48">
        <f t="shared" ref="R9:R72" si="4">SUM(O9:Q9)</f>
        <v>88.4</v>
      </c>
      <c r="S9" s="29">
        <v>3</v>
      </c>
      <c r="T9" s="286"/>
      <c r="U9" s="295"/>
      <c r="V9" s="38" t="s">
        <v>371</v>
      </c>
      <c r="W9" s="29" t="s">
        <v>75</v>
      </c>
      <c r="X9" s="29" t="s">
        <v>11</v>
      </c>
      <c r="Y9" s="39">
        <v>42.6</v>
      </c>
      <c r="Z9" s="38" t="s">
        <v>119</v>
      </c>
      <c r="AA9" s="29" t="s">
        <v>74</v>
      </c>
      <c r="AB9" s="29" t="s">
        <v>11</v>
      </c>
      <c r="AC9" s="29">
        <v>28.6</v>
      </c>
      <c r="AD9" s="38" t="s">
        <v>120</v>
      </c>
      <c r="AE9" s="29" t="s">
        <v>17</v>
      </c>
      <c r="AF9" s="29" t="s">
        <v>18</v>
      </c>
      <c r="AG9" s="39">
        <v>12.3</v>
      </c>
      <c r="AH9" s="29" t="s">
        <v>121</v>
      </c>
      <c r="AI9" s="29" t="s">
        <v>22</v>
      </c>
      <c r="AJ9" s="29" t="s">
        <v>12</v>
      </c>
      <c r="AK9" s="29">
        <v>4.9000000000000004</v>
      </c>
      <c r="AL9" s="38"/>
      <c r="AO9" s="39"/>
      <c r="AP9" s="38"/>
      <c r="AS9" s="39"/>
      <c r="AW9" s="39"/>
      <c r="BA9" s="40"/>
    </row>
    <row r="10" spans="1:53" s="29" customFormat="1" x14ac:dyDescent="0.15">
      <c r="A10" s="52">
        <v>1961</v>
      </c>
      <c r="B10" s="295"/>
      <c r="C10" s="394" t="s">
        <v>373</v>
      </c>
      <c r="D10" s="394"/>
      <c r="E10" s="29">
        <v>0</v>
      </c>
      <c r="G10" s="66">
        <v>9</v>
      </c>
      <c r="H10" s="29">
        <v>4</v>
      </c>
      <c r="I10" s="29">
        <v>1</v>
      </c>
      <c r="J10" s="73">
        <v>21</v>
      </c>
      <c r="K10" s="47">
        <f t="shared" si="0"/>
        <v>42.857142857142854</v>
      </c>
      <c r="L10" s="47">
        <f t="shared" si="1"/>
        <v>19.047619047619047</v>
      </c>
      <c r="M10" s="47">
        <f t="shared" si="2"/>
        <v>4.7619047619047619</v>
      </c>
      <c r="N10" s="68">
        <f t="shared" si="3"/>
        <v>66.666666666666657</v>
      </c>
      <c r="O10" s="46">
        <v>71.2</v>
      </c>
      <c r="P10" s="47">
        <v>12.3</v>
      </c>
      <c r="Q10" s="47">
        <v>4.9000000000000004</v>
      </c>
      <c r="R10" s="48">
        <f t="shared" si="4"/>
        <v>88.4</v>
      </c>
      <c r="S10" s="29">
        <v>3</v>
      </c>
      <c r="T10" s="286"/>
      <c r="U10" s="295"/>
      <c r="V10" s="38" t="s">
        <v>371</v>
      </c>
      <c r="W10" s="29" t="s">
        <v>75</v>
      </c>
      <c r="X10" s="29" t="s">
        <v>11</v>
      </c>
      <c r="Y10" s="39">
        <v>42.6</v>
      </c>
      <c r="Z10" s="38" t="s">
        <v>119</v>
      </c>
      <c r="AA10" s="29" t="s">
        <v>74</v>
      </c>
      <c r="AB10" s="29" t="s">
        <v>11</v>
      </c>
      <c r="AC10" s="29">
        <v>28.6</v>
      </c>
      <c r="AD10" s="38" t="s">
        <v>120</v>
      </c>
      <c r="AE10" s="29" t="s">
        <v>17</v>
      </c>
      <c r="AF10" s="29" t="s">
        <v>18</v>
      </c>
      <c r="AG10" s="39">
        <v>12.3</v>
      </c>
      <c r="AH10" s="29" t="s">
        <v>121</v>
      </c>
      <c r="AI10" s="29" t="s">
        <v>22</v>
      </c>
      <c r="AJ10" s="29" t="s">
        <v>12</v>
      </c>
      <c r="AK10" s="29">
        <v>4.9000000000000004</v>
      </c>
      <c r="AL10" s="38"/>
      <c r="AO10" s="39"/>
      <c r="AP10" s="38"/>
      <c r="AS10" s="39"/>
      <c r="AW10" s="39"/>
      <c r="BA10" s="40"/>
    </row>
    <row r="11" spans="1:53" s="29" customFormat="1" x14ac:dyDescent="0.15">
      <c r="A11" s="52">
        <v>1961</v>
      </c>
      <c r="B11" s="295"/>
      <c r="C11" s="394" t="s">
        <v>373</v>
      </c>
      <c r="D11" s="394"/>
      <c r="E11" s="29">
        <v>365</v>
      </c>
      <c r="G11" s="66">
        <v>9</v>
      </c>
      <c r="H11" s="29">
        <v>4</v>
      </c>
      <c r="I11" s="29">
        <v>1</v>
      </c>
      <c r="J11" s="73">
        <v>21</v>
      </c>
      <c r="K11" s="47">
        <f t="shared" si="0"/>
        <v>42.857142857142854</v>
      </c>
      <c r="L11" s="47">
        <f t="shared" si="1"/>
        <v>19.047619047619047</v>
      </c>
      <c r="M11" s="47">
        <f t="shared" si="2"/>
        <v>4.7619047619047619</v>
      </c>
      <c r="N11" s="68">
        <f t="shared" si="3"/>
        <v>66.666666666666657</v>
      </c>
      <c r="O11" s="46">
        <v>71.2</v>
      </c>
      <c r="P11" s="47">
        <v>12.3</v>
      </c>
      <c r="Q11" s="47">
        <v>4.9000000000000004</v>
      </c>
      <c r="R11" s="48">
        <f t="shared" si="4"/>
        <v>88.4</v>
      </c>
      <c r="S11" s="29">
        <v>3</v>
      </c>
      <c r="T11" s="286"/>
      <c r="U11" s="295"/>
      <c r="V11" s="38" t="s">
        <v>371</v>
      </c>
      <c r="W11" s="29" t="s">
        <v>75</v>
      </c>
      <c r="X11" s="29" t="s">
        <v>11</v>
      </c>
      <c r="Y11" s="39">
        <v>42.6</v>
      </c>
      <c r="Z11" s="38" t="s">
        <v>119</v>
      </c>
      <c r="AA11" s="29" t="s">
        <v>74</v>
      </c>
      <c r="AB11" s="29" t="s">
        <v>11</v>
      </c>
      <c r="AC11" s="29">
        <v>28.6</v>
      </c>
      <c r="AD11" s="38" t="s">
        <v>120</v>
      </c>
      <c r="AE11" s="29" t="s">
        <v>17</v>
      </c>
      <c r="AF11" s="29" t="s">
        <v>18</v>
      </c>
      <c r="AG11" s="39">
        <v>12.3</v>
      </c>
      <c r="AH11" s="29" t="s">
        <v>121</v>
      </c>
      <c r="AI11" s="29" t="s">
        <v>22</v>
      </c>
      <c r="AJ11" s="29" t="s">
        <v>12</v>
      </c>
      <c r="AK11" s="29">
        <v>4.9000000000000004</v>
      </c>
      <c r="AL11" s="38"/>
      <c r="AO11" s="39"/>
      <c r="AP11" s="38"/>
      <c r="AS11" s="39"/>
      <c r="AW11" s="39"/>
      <c r="BA11" s="40"/>
    </row>
    <row r="12" spans="1:53" s="29" customFormat="1" x14ac:dyDescent="0.15">
      <c r="A12" s="52">
        <v>1962</v>
      </c>
      <c r="B12" s="295"/>
      <c r="C12" s="394" t="s">
        <v>373</v>
      </c>
      <c r="D12" s="394"/>
      <c r="E12" s="29">
        <v>104</v>
      </c>
      <c r="G12" s="66">
        <v>9</v>
      </c>
      <c r="H12" s="29">
        <v>4</v>
      </c>
      <c r="I12" s="29">
        <v>1</v>
      </c>
      <c r="J12" s="73">
        <v>21</v>
      </c>
      <c r="K12" s="47">
        <f t="shared" si="0"/>
        <v>42.857142857142854</v>
      </c>
      <c r="L12" s="47">
        <f t="shared" si="1"/>
        <v>19.047619047619047</v>
      </c>
      <c r="M12" s="47">
        <f t="shared" si="2"/>
        <v>4.7619047619047619</v>
      </c>
      <c r="N12" s="68">
        <f t="shared" si="3"/>
        <v>66.666666666666657</v>
      </c>
      <c r="O12" s="46">
        <v>71.2</v>
      </c>
      <c r="P12" s="47">
        <v>12.3</v>
      </c>
      <c r="Q12" s="47">
        <v>4.9000000000000004</v>
      </c>
      <c r="R12" s="48">
        <f t="shared" si="4"/>
        <v>88.4</v>
      </c>
      <c r="S12" s="29">
        <v>3</v>
      </c>
      <c r="T12" s="286"/>
      <c r="U12" s="295"/>
      <c r="V12" s="38" t="s">
        <v>371</v>
      </c>
      <c r="W12" s="29" t="s">
        <v>75</v>
      </c>
      <c r="X12" s="29" t="s">
        <v>11</v>
      </c>
      <c r="Y12" s="39">
        <v>42.6</v>
      </c>
      <c r="Z12" s="38" t="s">
        <v>119</v>
      </c>
      <c r="AA12" s="29" t="s">
        <v>74</v>
      </c>
      <c r="AB12" s="29" t="s">
        <v>11</v>
      </c>
      <c r="AC12" s="29">
        <v>28.6</v>
      </c>
      <c r="AD12" s="38" t="s">
        <v>120</v>
      </c>
      <c r="AE12" s="29" t="s">
        <v>17</v>
      </c>
      <c r="AF12" s="29" t="s">
        <v>18</v>
      </c>
      <c r="AG12" s="39">
        <v>12.3</v>
      </c>
      <c r="AH12" s="29" t="s">
        <v>121</v>
      </c>
      <c r="AI12" s="29" t="s">
        <v>22</v>
      </c>
      <c r="AJ12" s="29" t="s">
        <v>12</v>
      </c>
      <c r="AK12" s="29">
        <v>4.9000000000000004</v>
      </c>
      <c r="AL12" s="38"/>
      <c r="AO12" s="39"/>
      <c r="AP12" s="38"/>
      <c r="AS12" s="39"/>
      <c r="AW12" s="39"/>
      <c r="BA12" s="40"/>
    </row>
    <row r="13" spans="1:53" s="171" customFormat="1" x14ac:dyDescent="0.15">
      <c r="A13" s="216">
        <v>1962</v>
      </c>
      <c r="B13" s="283">
        <v>22751</v>
      </c>
      <c r="C13" s="402" t="s">
        <v>374</v>
      </c>
      <c r="D13" s="402"/>
      <c r="E13" s="171">
        <v>31</v>
      </c>
      <c r="F13" s="171">
        <v>1</v>
      </c>
      <c r="G13" s="233">
        <v>11</v>
      </c>
      <c r="H13" s="171">
        <v>4</v>
      </c>
      <c r="J13" s="241">
        <v>22</v>
      </c>
      <c r="K13" s="214">
        <f t="shared" si="0"/>
        <v>50</v>
      </c>
      <c r="L13" s="214">
        <f t="shared" si="1"/>
        <v>18.181818181818183</v>
      </c>
      <c r="M13" s="214">
        <f t="shared" si="2"/>
        <v>0</v>
      </c>
      <c r="N13" s="235">
        <f t="shared" si="3"/>
        <v>68.181818181818187</v>
      </c>
      <c r="O13" s="213">
        <v>71.2</v>
      </c>
      <c r="P13" s="214">
        <v>12.3</v>
      </c>
      <c r="Q13" s="214"/>
      <c r="R13" s="215">
        <f t="shared" si="4"/>
        <v>83.5</v>
      </c>
      <c r="S13" s="171">
        <v>3</v>
      </c>
      <c r="T13" s="285"/>
      <c r="U13" s="283">
        <v>22751</v>
      </c>
      <c r="V13" s="178" t="s">
        <v>371</v>
      </c>
      <c r="W13" s="171" t="s">
        <v>75</v>
      </c>
      <c r="X13" s="171" t="s">
        <v>11</v>
      </c>
      <c r="Y13" s="179">
        <v>42.6</v>
      </c>
      <c r="Z13" s="178" t="s">
        <v>119</v>
      </c>
      <c r="AA13" s="171" t="s">
        <v>74</v>
      </c>
      <c r="AB13" s="171" t="s">
        <v>11</v>
      </c>
      <c r="AC13" s="171">
        <v>28.6</v>
      </c>
      <c r="AD13" s="178" t="s">
        <v>120</v>
      </c>
      <c r="AE13" s="171" t="s">
        <v>17</v>
      </c>
      <c r="AF13" s="171" t="s">
        <v>18</v>
      </c>
      <c r="AG13" s="179">
        <v>12.3</v>
      </c>
      <c r="AL13" s="178"/>
      <c r="AO13" s="179"/>
      <c r="AP13" s="178"/>
      <c r="AS13" s="179"/>
      <c r="AW13" s="179"/>
      <c r="BA13" s="180"/>
    </row>
    <row r="14" spans="1:53" s="29" customFormat="1" x14ac:dyDescent="0.15">
      <c r="A14" s="52">
        <v>1962</v>
      </c>
      <c r="B14" s="295">
        <v>22782</v>
      </c>
      <c r="C14" s="394" t="s">
        <v>375</v>
      </c>
      <c r="D14" s="394"/>
      <c r="E14" s="29">
        <v>204</v>
      </c>
      <c r="F14" s="29">
        <v>5</v>
      </c>
      <c r="G14" s="66">
        <v>15</v>
      </c>
      <c r="J14" s="73">
        <v>20</v>
      </c>
      <c r="K14" s="47">
        <f t="shared" si="0"/>
        <v>75</v>
      </c>
      <c r="L14" s="47">
        <f t="shared" si="1"/>
        <v>0</v>
      </c>
      <c r="M14" s="47">
        <f t="shared" si="2"/>
        <v>0</v>
      </c>
      <c r="N14" s="68">
        <f t="shared" si="3"/>
        <v>75</v>
      </c>
      <c r="O14" s="46">
        <v>71.2</v>
      </c>
      <c r="P14" s="47"/>
      <c r="Q14" s="47"/>
      <c r="R14" s="48">
        <f t="shared" si="4"/>
        <v>71.2</v>
      </c>
      <c r="S14" s="29">
        <v>2</v>
      </c>
      <c r="T14" s="286"/>
      <c r="U14" s="295">
        <v>22782</v>
      </c>
      <c r="V14" s="38" t="s">
        <v>371</v>
      </c>
      <c r="W14" s="29" t="s">
        <v>75</v>
      </c>
      <c r="X14" s="29" t="s">
        <v>11</v>
      </c>
      <c r="Y14" s="39">
        <v>42.6</v>
      </c>
      <c r="Z14" s="38" t="s">
        <v>119</v>
      </c>
      <c r="AA14" s="29" t="s">
        <v>74</v>
      </c>
      <c r="AB14" s="29" t="s">
        <v>11</v>
      </c>
      <c r="AC14" s="29">
        <v>28.6</v>
      </c>
      <c r="AD14" s="38"/>
      <c r="AG14" s="39"/>
      <c r="AL14" s="38"/>
      <c r="AO14" s="39"/>
      <c r="AP14" s="38"/>
      <c r="AS14" s="39"/>
      <c r="AW14" s="39"/>
      <c r="BA14" s="40"/>
    </row>
    <row r="15" spans="1:53" s="171" customFormat="1" x14ac:dyDescent="0.15">
      <c r="A15" s="216">
        <v>1962</v>
      </c>
      <c r="B15" s="283">
        <v>22986</v>
      </c>
      <c r="C15" s="402" t="s">
        <v>376</v>
      </c>
      <c r="D15" s="402"/>
      <c r="E15" s="171">
        <v>26</v>
      </c>
      <c r="F15" s="171">
        <v>7</v>
      </c>
      <c r="G15" s="233">
        <v>16</v>
      </c>
      <c r="J15" s="241">
        <v>22</v>
      </c>
      <c r="K15" s="214">
        <f t="shared" si="0"/>
        <v>72.727272727272734</v>
      </c>
      <c r="L15" s="214">
        <f t="shared" si="1"/>
        <v>0</v>
      </c>
      <c r="M15" s="214">
        <f t="shared" si="2"/>
        <v>0</v>
      </c>
      <c r="N15" s="235">
        <f t="shared" si="3"/>
        <v>72.727272727272734</v>
      </c>
      <c r="O15" s="213">
        <v>49.5</v>
      </c>
      <c r="P15" s="214">
        <v>3.8</v>
      </c>
      <c r="Q15" s="214"/>
      <c r="R15" s="215">
        <f t="shared" si="4"/>
        <v>53.3</v>
      </c>
      <c r="S15" s="171">
        <v>2</v>
      </c>
      <c r="T15" s="285">
        <v>22968</v>
      </c>
      <c r="U15" s="283">
        <v>22986</v>
      </c>
      <c r="V15" s="178" t="s">
        <v>371</v>
      </c>
      <c r="W15" s="171" t="s">
        <v>75</v>
      </c>
      <c r="X15" s="171" t="s">
        <v>11</v>
      </c>
      <c r="Y15" s="179">
        <v>49.5</v>
      </c>
      <c r="Z15" s="178" t="s">
        <v>122</v>
      </c>
      <c r="AA15" s="171" t="s">
        <v>76</v>
      </c>
      <c r="AB15" s="171" t="s">
        <v>18</v>
      </c>
      <c r="AC15" s="171">
        <v>3.8</v>
      </c>
      <c r="AD15" s="178"/>
      <c r="AG15" s="179"/>
      <c r="AL15" s="178"/>
      <c r="AO15" s="179"/>
      <c r="AP15" s="178"/>
      <c r="AS15" s="179"/>
      <c r="AW15" s="179"/>
      <c r="BA15" s="180"/>
    </row>
    <row r="16" spans="1:53" s="171" customFormat="1" x14ac:dyDescent="0.15">
      <c r="A16" s="216">
        <v>1962.6</v>
      </c>
      <c r="B16" s="283"/>
      <c r="C16" s="402" t="s">
        <v>376</v>
      </c>
      <c r="D16" s="402"/>
      <c r="E16" s="171">
        <v>0</v>
      </c>
      <c r="G16" s="233">
        <v>16</v>
      </c>
      <c r="J16" s="241">
        <v>22</v>
      </c>
      <c r="K16" s="214">
        <f t="shared" si="0"/>
        <v>72.727272727272734</v>
      </c>
      <c r="L16" s="214">
        <f t="shared" si="1"/>
        <v>0</v>
      </c>
      <c r="M16" s="214">
        <f t="shared" si="2"/>
        <v>0</v>
      </c>
      <c r="N16" s="235">
        <f t="shared" si="3"/>
        <v>72.727272727272734</v>
      </c>
      <c r="O16" s="213">
        <v>49.5</v>
      </c>
      <c r="P16" s="214">
        <v>3.8</v>
      </c>
      <c r="Q16" s="214"/>
      <c r="R16" s="215">
        <f t="shared" si="4"/>
        <v>53.3</v>
      </c>
      <c r="S16" s="171">
        <v>2</v>
      </c>
      <c r="T16" s="285"/>
      <c r="U16" s="283"/>
      <c r="V16" s="178" t="s">
        <v>371</v>
      </c>
      <c r="W16" s="171" t="s">
        <v>75</v>
      </c>
      <c r="X16" s="171" t="s">
        <v>11</v>
      </c>
      <c r="Y16" s="179">
        <v>49.5</v>
      </c>
      <c r="Z16" s="178" t="s">
        <v>122</v>
      </c>
      <c r="AA16" s="171" t="s">
        <v>76</v>
      </c>
      <c r="AB16" s="171" t="s">
        <v>18</v>
      </c>
      <c r="AC16" s="171">
        <v>3.8</v>
      </c>
      <c r="AD16" s="178"/>
      <c r="AG16" s="179"/>
      <c r="AL16" s="178"/>
      <c r="AO16" s="179"/>
      <c r="AP16" s="178"/>
      <c r="AS16" s="179"/>
      <c r="AW16" s="179"/>
      <c r="BA16" s="180"/>
    </row>
    <row r="17" spans="1:53" s="171" customFormat="1" x14ac:dyDescent="0.15">
      <c r="A17" s="216">
        <v>1963.05714285714</v>
      </c>
      <c r="B17" s="283"/>
      <c r="C17" s="402" t="s">
        <v>376</v>
      </c>
      <c r="D17" s="402"/>
      <c r="E17" s="171">
        <v>365</v>
      </c>
      <c r="G17" s="233">
        <v>16</v>
      </c>
      <c r="J17" s="241">
        <v>22</v>
      </c>
      <c r="K17" s="214">
        <f t="shared" si="0"/>
        <v>72.727272727272734</v>
      </c>
      <c r="L17" s="214">
        <f t="shared" si="1"/>
        <v>0</v>
      </c>
      <c r="M17" s="214">
        <f t="shared" si="2"/>
        <v>0</v>
      </c>
      <c r="N17" s="235">
        <f t="shared" si="3"/>
        <v>72.727272727272734</v>
      </c>
      <c r="O17" s="213">
        <v>49.5</v>
      </c>
      <c r="P17" s="214">
        <v>3.8</v>
      </c>
      <c r="Q17" s="214"/>
      <c r="R17" s="215">
        <f t="shared" si="4"/>
        <v>53.3</v>
      </c>
      <c r="S17" s="171">
        <v>2</v>
      </c>
      <c r="T17" s="285"/>
      <c r="U17" s="283"/>
      <c r="V17" s="178" t="s">
        <v>371</v>
      </c>
      <c r="W17" s="171" t="s">
        <v>75</v>
      </c>
      <c r="X17" s="171" t="s">
        <v>11</v>
      </c>
      <c r="Y17" s="179">
        <v>49.5</v>
      </c>
      <c r="Z17" s="178" t="s">
        <v>122</v>
      </c>
      <c r="AA17" s="171" t="s">
        <v>76</v>
      </c>
      <c r="AB17" s="171" t="s">
        <v>18</v>
      </c>
      <c r="AC17" s="171">
        <v>3.8</v>
      </c>
      <c r="AD17" s="178"/>
      <c r="AG17" s="179"/>
      <c r="AL17" s="178"/>
      <c r="AO17" s="179"/>
      <c r="AP17" s="178"/>
      <c r="AS17" s="179"/>
      <c r="AW17" s="179"/>
      <c r="BA17" s="180"/>
    </row>
    <row r="18" spans="1:53" s="171" customFormat="1" x14ac:dyDescent="0.15">
      <c r="A18" s="216">
        <v>1963.5142857142901</v>
      </c>
      <c r="B18" s="283"/>
      <c r="C18" s="402" t="s">
        <v>376</v>
      </c>
      <c r="D18" s="402"/>
      <c r="E18" s="171">
        <v>0</v>
      </c>
      <c r="G18" s="233">
        <v>16</v>
      </c>
      <c r="J18" s="241">
        <v>22</v>
      </c>
      <c r="K18" s="214">
        <f t="shared" si="0"/>
        <v>72.727272727272734</v>
      </c>
      <c r="L18" s="214">
        <f t="shared" si="1"/>
        <v>0</v>
      </c>
      <c r="M18" s="214">
        <f t="shared" si="2"/>
        <v>0</v>
      </c>
      <c r="N18" s="235">
        <f t="shared" si="3"/>
        <v>72.727272727272734</v>
      </c>
      <c r="O18" s="213">
        <v>49.5</v>
      </c>
      <c r="P18" s="214">
        <v>3.8</v>
      </c>
      <c r="Q18" s="214"/>
      <c r="R18" s="215">
        <f t="shared" si="4"/>
        <v>53.3</v>
      </c>
      <c r="S18" s="171">
        <v>2</v>
      </c>
      <c r="T18" s="285"/>
      <c r="U18" s="283"/>
      <c r="V18" s="178" t="s">
        <v>371</v>
      </c>
      <c r="W18" s="171" t="s">
        <v>75</v>
      </c>
      <c r="X18" s="171" t="s">
        <v>11</v>
      </c>
      <c r="Y18" s="179">
        <v>49.5</v>
      </c>
      <c r="Z18" s="178" t="s">
        <v>122</v>
      </c>
      <c r="AA18" s="171" t="s">
        <v>76</v>
      </c>
      <c r="AB18" s="171" t="s">
        <v>18</v>
      </c>
      <c r="AC18" s="171">
        <v>3.8</v>
      </c>
      <c r="AD18" s="178"/>
      <c r="AG18" s="179"/>
      <c r="AL18" s="178"/>
      <c r="AO18" s="179"/>
      <c r="AP18" s="178"/>
      <c r="AS18" s="179"/>
      <c r="AW18" s="179"/>
      <c r="BA18" s="180"/>
    </row>
    <row r="19" spans="1:53" s="171" customFormat="1" x14ac:dyDescent="0.15">
      <c r="A19" s="216">
        <v>1963.9714285714299</v>
      </c>
      <c r="B19" s="283"/>
      <c r="C19" s="402" t="s">
        <v>376</v>
      </c>
      <c r="D19" s="402"/>
      <c r="E19" s="171">
        <v>366</v>
      </c>
      <c r="G19" s="233">
        <v>16</v>
      </c>
      <c r="J19" s="241">
        <v>22</v>
      </c>
      <c r="K19" s="214">
        <f t="shared" si="0"/>
        <v>72.727272727272734</v>
      </c>
      <c r="L19" s="214">
        <f t="shared" si="1"/>
        <v>0</v>
      </c>
      <c r="M19" s="214">
        <f t="shared" si="2"/>
        <v>0</v>
      </c>
      <c r="N19" s="235">
        <f t="shared" si="3"/>
        <v>72.727272727272734</v>
      </c>
      <c r="O19" s="213">
        <v>49.5</v>
      </c>
      <c r="P19" s="214">
        <v>3.8</v>
      </c>
      <c r="Q19" s="214"/>
      <c r="R19" s="215">
        <f t="shared" si="4"/>
        <v>53.3</v>
      </c>
      <c r="S19" s="171">
        <v>2</v>
      </c>
      <c r="T19" s="285"/>
      <c r="U19" s="283"/>
      <c r="V19" s="178" t="s">
        <v>371</v>
      </c>
      <c r="W19" s="171" t="s">
        <v>75</v>
      </c>
      <c r="X19" s="171" t="s">
        <v>11</v>
      </c>
      <c r="Y19" s="179">
        <v>49.5</v>
      </c>
      <c r="Z19" s="178" t="s">
        <v>122</v>
      </c>
      <c r="AA19" s="171" t="s">
        <v>76</v>
      </c>
      <c r="AB19" s="171" t="s">
        <v>18</v>
      </c>
      <c r="AC19" s="171">
        <v>3.8</v>
      </c>
      <c r="AD19" s="178"/>
      <c r="AG19" s="179"/>
      <c r="AL19" s="178"/>
      <c r="AO19" s="179"/>
      <c r="AP19" s="178"/>
      <c r="AS19" s="179"/>
      <c r="AW19" s="179"/>
      <c r="BA19" s="180"/>
    </row>
    <row r="20" spans="1:53" s="171" customFormat="1" x14ac:dyDescent="0.15">
      <c r="A20" s="216">
        <v>1965</v>
      </c>
      <c r="B20" s="283"/>
      <c r="C20" s="402" t="s">
        <v>376</v>
      </c>
      <c r="D20" s="402"/>
      <c r="E20" s="171">
        <v>0</v>
      </c>
      <c r="G20" s="233">
        <v>16</v>
      </c>
      <c r="J20" s="241">
        <v>22</v>
      </c>
      <c r="K20" s="214">
        <f t="shared" si="0"/>
        <v>72.727272727272734</v>
      </c>
      <c r="L20" s="214">
        <f t="shared" si="1"/>
        <v>0</v>
      </c>
      <c r="M20" s="214">
        <f t="shared" si="2"/>
        <v>0</v>
      </c>
      <c r="N20" s="235">
        <f t="shared" si="3"/>
        <v>72.727272727272734</v>
      </c>
      <c r="O20" s="213">
        <v>49.5</v>
      </c>
      <c r="P20" s="214">
        <v>3.8</v>
      </c>
      <c r="Q20" s="214"/>
      <c r="R20" s="215">
        <f t="shared" si="4"/>
        <v>53.3</v>
      </c>
      <c r="S20" s="171">
        <v>2</v>
      </c>
      <c r="T20" s="285"/>
      <c r="U20" s="283"/>
      <c r="V20" s="178" t="s">
        <v>371</v>
      </c>
      <c r="W20" s="171" t="s">
        <v>75</v>
      </c>
      <c r="X20" s="171" t="s">
        <v>11</v>
      </c>
      <c r="Y20" s="179">
        <v>49.5</v>
      </c>
      <c r="Z20" s="178" t="s">
        <v>122</v>
      </c>
      <c r="AA20" s="171" t="s">
        <v>76</v>
      </c>
      <c r="AB20" s="171" t="s">
        <v>18</v>
      </c>
      <c r="AC20" s="171">
        <v>3.8</v>
      </c>
      <c r="AD20" s="178"/>
      <c r="AG20" s="179"/>
      <c r="AL20" s="178"/>
      <c r="AO20" s="179"/>
      <c r="AP20" s="178"/>
      <c r="AS20" s="179"/>
      <c r="AW20" s="179"/>
      <c r="BA20" s="180"/>
    </row>
    <row r="21" spans="1:53" s="171" customFormat="1" x14ac:dyDescent="0.15">
      <c r="A21" s="216">
        <v>1964.88571428572</v>
      </c>
      <c r="B21" s="283"/>
      <c r="C21" s="402" t="s">
        <v>376</v>
      </c>
      <c r="D21" s="402"/>
      <c r="E21" s="171">
        <v>365</v>
      </c>
      <c r="G21" s="233">
        <v>16</v>
      </c>
      <c r="J21" s="241">
        <v>22</v>
      </c>
      <c r="K21" s="214">
        <f t="shared" si="0"/>
        <v>72.727272727272734</v>
      </c>
      <c r="L21" s="214">
        <f t="shared" si="1"/>
        <v>0</v>
      </c>
      <c r="M21" s="214">
        <f t="shared" si="2"/>
        <v>0</v>
      </c>
      <c r="N21" s="235">
        <f t="shared" si="3"/>
        <v>72.727272727272734</v>
      </c>
      <c r="O21" s="213">
        <v>49.5</v>
      </c>
      <c r="P21" s="214">
        <v>3.8</v>
      </c>
      <c r="Q21" s="214"/>
      <c r="R21" s="215">
        <f t="shared" si="4"/>
        <v>53.3</v>
      </c>
      <c r="S21" s="171">
        <v>2</v>
      </c>
      <c r="T21" s="285"/>
      <c r="U21" s="283"/>
      <c r="V21" s="178" t="s">
        <v>371</v>
      </c>
      <c r="W21" s="171" t="s">
        <v>75</v>
      </c>
      <c r="X21" s="171" t="s">
        <v>11</v>
      </c>
      <c r="Y21" s="179">
        <v>49.5</v>
      </c>
      <c r="Z21" s="178" t="s">
        <v>122</v>
      </c>
      <c r="AA21" s="171" t="s">
        <v>76</v>
      </c>
      <c r="AB21" s="171" t="s">
        <v>18</v>
      </c>
      <c r="AC21" s="171">
        <v>3.8</v>
      </c>
      <c r="AD21" s="178"/>
      <c r="AG21" s="179"/>
      <c r="AL21" s="178"/>
      <c r="AO21" s="179"/>
      <c r="AP21" s="178"/>
      <c r="AS21" s="179"/>
      <c r="AW21" s="179"/>
      <c r="BA21" s="180"/>
    </row>
    <row r="22" spans="1:53" s="171" customFormat="1" x14ac:dyDescent="0.15">
      <c r="A22" s="216">
        <v>1966</v>
      </c>
      <c r="B22" s="283"/>
      <c r="C22" s="402" t="s">
        <v>376</v>
      </c>
      <c r="D22" s="402"/>
      <c r="E22" s="171">
        <v>8</v>
      </c>
      <c r="G22" s="233">
        <v>16</v>
      </c>
      <c r="J22" s="241">
        <v>22</v>
      </c>
      <c r="K22" s="214">
        <f t="shared" si="0"/>
        <v>72.727272727272734</v>
      </c>
      <c r="L22" s="214">
        <f t="shared" si="1"/>
        <v>0</v>
      </c>
      <c r="M22" s="214">
        <f t="shared" si="2"/>
        <v>0</v>
      </c>
      <c r="N22" s="235">
        <f t="shared" si="3"/>
        <v>72.727272727272734</v>
      </c>
      <c r="O22" s="213">
        <v>49.5</v>
      </c>
      <c r="P22" s="214">
        <v>3.8</v>
      </c>
      <c r="Q22" s="214"/>
      <c r="R22" s="215">
        <f t="shared" si="4"/>
        <v>53.3</v>
      </c>
      <c r="S22" s="171">
        <v>2</v>
      </c>
      <c r="T22" s="285"/>
      <c r="U22" s="283"/>
      <c r="V22" s="178" t="s">
        <v>371</v>
      </c>
      <c r="W22" s="171" t="s">
        <v>75</v>
      </c>
      <c r="X22" s="171" t="s">
        <v>11</v>
      </c>
      <c r="Y22" s="179">
        <v>49.5</v>
      </c>
      <c r="Z22" s="178" t="s">
        <v>122</v>
      </c>
      <c r="AA22" s="171" t="s">
        <v>76</v>
      </c>
      <c r="AB22" s="171" t="s">
        <v>18</v>
      </c>
      <c r="AC22" s="171">
        <v>3.8</v>
      </c>
      <c r="AD22" s="178"/>
      <c r="AG22" s="179"/>
      <c r="AL22" s="178"/>
      <c r="AO22" s="179"/>
      <c r="AP22" s="178"/>
      <c r="AS22" s="179"/>
      <c r="AW22" s="179"/>
      <c r="BA22" s="180"/>
    </row>
    <row r="23" spans="1:53" s="29" customFormat="1" x14ac:dyDescent="0.15">
      <c r="A23" s="52">
        <v>1965.8</v>
      </c>
      <c r="B23" s="295">
        <v>24116</v>
      </c>
      <c r="C23" s="394" t="s">
        <v>377</v>
      </c>
      <c r="D23" s="394"/>
      <c r="E23" s="29">
        <v>357</v>
      </c>
      <c r="F23" s="29">
        <v>1</v>
      </c>
      <c r="G23" s="66">
        <v>12</v>
      </c>
      <c r="J23" s="73">
        <v>18</v>
      </c>
      <c r="K23" s="47">
        <f t="shared" si="0"/>
        <v>66.666666666666657</v>
      </c>
      <c r="L23" s="47">
        <f t="shared" si="1"/>
        <v>0</v>
      </c>
      <c r="M23" s="47">
        <f t="shared" si="2"/>
        <v>0</v>
      </c>
      <c r="N23" s="68">
        <f t="shared" si="3"/>
        <v>66.666666666666657</v>
      </c>
      <c r="O23" s="46">
        <v>49.5</v>
      </c>
      <c r="P23" s="47">
        <v>3.8</v>
      </c>
      <c r="Q23" s="47"/>
      <c r="R23" s="48">
        <f t="shared" si="4"/>
        <v>53.3</v>
      </c>
      <c r="S23" s="29">
        <v>2</v>
      </c>
      <c r="T23" s="286"/>
      <c r="U23" s="295">
        <v>24116</v>
      </c>
      <c r="V23" s="38" t="s">
        <v>371</v>
      </c>
      <c r="W23" s="29" t="s">
        <v>75</v>
      </c>
      <c r="X23" s="29" t="s">
        <v>11</v>
      </c>
      <c r="Y23" s="39">
        <v>49.5</v>
      </c>
      <c r="Z23" s="38" t="s">
        <v>122</v>
      </c>
      <c r="AA23" s="29" t="s">
        <v>76</v>
      </c>
      <c r="AB23" s="29" t="s">
        <v>18</v>
      </c>
      <c r="AC23" s="29">
        <v>3.8</v>
      </c>
      <c r="AD23" s="38"/>
      <c r="AG23" s="39"/>
      <c r="AL23" s="38"/>
      <c r="AO23" s="39"/>
      <c r="AP23" s="38"/>
      <c r="AS23" s="39"/>
      <c r="AW23" s="39"/>
      <c r="BA23" s="40"/>
    </row>
    <row r="24" spans="1:53" s="29" customFormat="1" x14ac:dyDescent="0.15">
      <c r="A24" s="52">
        <v>1967</v>
      </c>
      <c r="B24" s="295"/>
      <c r="C24" s="394" t="s">
        <v>377</v>
      </c>
      <c r="D24" s="394"/>
      <c r="E24" s="29">
        <v>97</v>
      </c>
      <c r="G24" s="66">
        <v>12</v>
      </c>
      <c r="J24" s="73">
        <v>18</v>
      </c>
      <c r="K24" s="47">
        <f t="shared" si="0"/>
        <v>66.666666666666657</v>
      </c>
      <c r="L24" s="47">
        <f t="shared" si="1"/>
        <v>0</v>
      </c>
      <c r="M24" s="47">
        <f t="shared" si="2"/>
        <v>0</v>
      </c>
      <c r="N24" s="68">
        <f t="shared" si="3"/>
        <v>66.666666666666657</v>
      </c>
      <c r="O24" s="46">
        <v>49.5</v>
      </c>
      <c r="P24" s="47">
        <v>3.8</v>
      </c>
      <c r="Q24" s="47"/>
      <c r="R24" s="48">
        <f t="shared" si="4"/>
        <v>53.3</v>
      </c>
      <c r="S24" s="29">
        <v>2</v>
      </c>
      <c r="T24" s="286"/>
      <c r="U24" s="295"/>
      <c r="V24" s="38" t="s">
        <v>371</v>
      </c>
      <c r="W24" s="29" t="s">
        <v>75</v>
      </c>
      <c r="X24" s="29" t="s">
        <v>11</v>
      </c>
      <c r="Y24" s="39">
        <v>49.5</v>
      </c>
      <c r="Z24" s="38" t="s">
        <v>122</v>
      </c>
      <c r="AA24" s="29" t="s">
        <v>76</v>
      </c>
      <c r="AB24" s="29" t="s">
        <v>18</v>
      </c>
      <c r="AC24" s="29">
        <v>3.8</v>
      </c>
      <c r="AD24" s="38"/>
      <c r="AG24" s="39"/>
      <c r="AL24" s="38"/>
      <c r="AO24" s="39"/>
      <c r="AP24" s="38"/>
      <c r="AS24" s="39"/>
      <c r="AW24" s="39"/>
      <c r="BA24" s="40"/>
    </row>
    <row r="25" spans="1:53" s="171" customFormat="1" x14ac:dyDescent="0.15">
      <c r="A25" s="216">
        <v>1966.7142857142901</v>
      </c>
      <c r="B25" s="283">
        <v>24570</v>
      </c>
      <c r="C25" s="402" t="s">
        <v>378</v>
      </c>
      <c r="D25" s="402"/>
      <c r="E25" s="171">
        <v>268</v>
      </c>
      <c r="F25" s="171">
        <v>2</v>
      </c>
      <c r="G25" s="233">
        <v>12</v>
      </c>
      <c r="H25" s="171">
        <v>6</v>
      </c>
      <c r="J25" s="241">
        <v>22</v>
      </c>
      <c r="K25" s="214">
        <f t="shared" si="0"/>
        <v>54.54545454545454</v>
      </c>
      <c r="L25" s="214">
        <f t="shared" si="1"/>
        <v>27.27272727272727</v>
      </c>
      <c r="M25" s="214">
        <f t="shared" si="2"/>
        <v>0</v>
      </c>
      <c r="N25" s="235">
        <f t="shared" si="3"/>
        <v>81.818181818181813</v>
      </c>
      <c r="O25" s="213">
        <v>40.6</v>
      </c>
      <c r="P25" s="214">
        <v>8.6999999999999993</v>
      </c>
      <c r="Q25" s="214"/>
      <c r="R25" s="215">
        <f t="shared" si="4"/>
        <v>49.3</v>
      </c>
      <c r="S25" s="171">
        <v>5</v>
      </c>
      <c r="T25" s="285">
        <v>24536</v>
      </c>
      <c r="U25" s="283">
        <v>24570</v>
      </c>
      <c r="V25" s="178" t="s">
        <v>371</v>
      </c>
      <c r="W25" s="171" t="s">
        <v>75</v>
      </c>
      <c r="X25" s="171" t="s">
        <v>11</v>
      </c>
      <c r="Y25" s="171">
        <v>40.6</v>
      </c>
      <c r="Z25" s="178" t="s">
        <v>122</v>
      </c>
      <c r="AA25" s="171" t="s">
        <v>76</v>
      </c>
      <c r="AB25" s="171" t="s">
        <v>18</v>
      </c>
      <c r="AC25" s="171">
        <v>8.6999999999999993</v>
      </c>
      <c r="AD25" s="178"/>
      <c r="AG25" s="179"/>
      <c r="AL25" s="178"/>
      <c r="AO25" s="179"/>
      <c r="AP25" s="178"/>
      <c r="AS25" s="179"/>
      <c r="AW25" s="179"/>
      <c r="BA25" s="180"/>
    </row>
    <row r="26" spans="1:53" s="171" customFormat="1" x14ac:dyDescent="0.15">
      <c r="A26" s="216">
        <v>1968</v>
      </c>
      <c r="B26" s="283"/>
      <c r="C26" s="402" t="s">
        <v>378</v>
      </c>
      <c r="D26" s="402"/>
      <c r="E26" s="171">
        <v>151</v>
      </c>
      <c r="G26" s="233">
        <v>12</v>
      </c>
      <c r="H26" s="171">
        <v>6</v>
      </c>
      <c r="J26" s="241">
        <v>22</v>
      </c>
      <c r="K26" s="214">
        <f t="shared" si="0"/>
        <v>54.54545454545454</v>
      </c>
      <c r="L26" s="214">
        <f t="shared" si="1"/>
        <v>27.27272727272727</v>
      </c>
      <c r="M26" s="214">
        <f t="shared" si="2"/>
        <v>0</v>
      </c>
      <c r="N26" s="235">
        <f t="shared" si="3"/>
        <v>81.818181818181813</v>
      </c>
      <c r="O26" s="213">
        <v>40.6</v>
      </c>
      <c r="P26" s="214">
        <v>8.6999999999999993</v>
      </c>
      <c r="Q26" s="214"/>
      <c r="R26" s="215">
        <f t="shared" si="4"/>
        <v>49.3</v>
      </c>
      <c r="S26" s="171">
        <v>5</v>
      </c>
      <c r="T26" s="285"/>
      <c r="U26" s="283"/>
      <c r="V26" s="178" t="s">
        <v>371</v>
      </c>
      <c r="W26" s="171" t="s">
        <v>75</v>
      </c>
      <c r="X26" s="171" t="s">
        <v>11</v>
      </c>
      <c r="Y26" s="171">
        <v>40.6</v>
      </c>
      <c r="Z26" s="178" t="s">
        <v>122</v>
      </c>
      <c r="AA26" s="171" t="s">
        <v>76</v>
      </c>
      <c r="AB26" s="171" t="s">
        <v>18</v>
      </c>
      <c r="AC26" s="171">
        <v>8.6999999999999993</v>
      </c>
      <c r="AD26" s="178"/>
      <c r="AG26" s="179"/>
      <c r="AL26" s="178"/>
      <c r="AO26" s="179"/>
      <c r="AP26" s="178"/>
      <c r="AS26" s="179"/>
      <c r="AW26" s="179"/>
      <c r="BA26" s="180"/>
    </row>
    <row r="27" spans="1:53" s="29" customFormat="1" x14ac:dyDescent="0.15">
      <c r="A27" s="52">
        <v>1967.62857142857</v>
      </c>
      <c r="B27" s="295">
        <v>24989</v>
      </c>
      <c r="C27" s="394" t="s">
        <v>379</v>
      </c>
      <c r="D27" s="394"/>
      <c r="E27" s="29">
        <v>42</v>
      </c>
      <c r="F27" s="29">
        <v>6</v>
      </c>
      <c r="G27" s="66">
        <v>14</v>
      </c>
      <c r="H27" s="29">
        <v>3</v>
      </c>
      <c r="J27" s="73">
        <v>22</v>
      </c>
      <c r="K27" s="47">
        <f t="shared" si="0"/>
        <v>63.636363636363633</v>
      </c>
      <c r="L27" s="47">
        <f t="shared" si="1"/>
        <v>13.636363636363635</v>
      </c>
      <c r="M27" s="47">
        <f t="shared" si="2"/>
        <v>0</v>
      </c>
      <c r="N27" s="68">
        <f t="shared" si="3"/>
        <v>77.272727272727266</v>
      </c>
      <c r="O27" s="46">
        <v>40.6</v>
      </c>
      <c r="P27" s="47">
        <v>8.6999999999999993</v>
      </c>
      <c r="Q27" s="47"/>
      <c r="R27" s="48">
        <f t="shared" si="4"/>
        <v>49.3</v>
      </c>
      <c r="S27" s="29">
        <v>5</v>
      </c>
      <c r="T27" s="286"/>
      <c r="U27" s="295">
        <v>24989</v>
      </c>
      <c r="V27" s="38" t="s">
        <v>371</v>
      </c>
      <c r="W27" s="29" t="s">
        <v>75</v>
      </c>
      <c r="X27" s="29" t="s">
        <v>11</v>
      </c>
      <c r="Y27" s="29">
        <v>40.6</v>
      </c>
      <c r="Z27" s="38" t="s">
        <v>122</v>
      </c>
      <c r="AA27" s="29" t="s">
        <v>76</v>
      </c>
      <c r="AB27" s="29" t="s">
        <v>18</v>
      </c>
      <c r="AC27" s="29">
        <v>8.6999999999999993</v>
      </c>
      <c r="AD27" s="38"/>
      <c r="AG27" s="39"/>
      <c r="AL27" s="38"/>
      <c r="AO27" s="39"/>
      <c r="AP27" s="38"/>
      <c r="AS27" s="39"/>
      <c r="AW27" s="39"/>
      <c r="BA27" s="40"/>
    </row>
    <row r="28" spans="1:53" s="171" customFormat="1" x14ac:dyDescent="0.15">
      <c r="A28" s="216">
        <v>1967.62857142857</v>
      </c>
      <c r="B28" s="283">
        <v>25031</v>
      </c>
      <c r="C28" s="402" t="s">
        <v>380</v>
      </c>
      <c r="D28" s="402"/>
      <c r="E28" s="171">
        <v>173</v>
      </c>
      <c r="F28" s="171">
        <v>1</v>
      </c>
      <c r="G28" s="233">
        <v>14</v>
      </c>
      <c r="H28" s="171">
        <v>2</v>
      </c>
      <c r="J28" s="241">
        <v>19</v>
      </c>
      <c r="K28" s="214">
        <f t="shared" si="0"/>
        <v>73.68421052631578</v>
      </c>
      <c r="L28" s="214">
        <f t="shared" si="1"/>
        <v>10.526315789473683</v>
      </c>
      <c r="M28" s="214">
        <f t="shared" si="2"/>
        <v>0</v>
      </c>
      <c r="N28" s="235">
        <f t="shared" si="3"/>
        <v>84.210526315789465</v>
      </c>
      <c r="O28" s="213">
        <v>60</v>
      </c>
      <c r="P28" s="214">
        <v>13.6</v>
      </c>
      <c r="Q28" s="214"/>
      <c r="R28" s="215">
        <f t="shared" si="4"/>
        <v>73.599999999999994</v>
      </c>
      <c r="S28" s="171">
        <v>3</v>
      </c>
      <c r="T28" s="285">
        <v>25012</v>
      </c>
      <c r="U28" s="283">
        <v>25031</v>
      </c>
      <c r="V28" s="178" t="s">
        <v>371</v>
      </c>
      <c r="W28" s="171" t="s">
        <v>75</v>
      </c>
      <c r="X28" s="171" t="s">
        <v>11</v>
      </c>
      <c r="Y28" s="171">
        <v>60</v>
      </c>
      <c r="Z28" s="178" t="s">
        <v>122</v>
      </c>
      <c r="AA28" s="171" t="s">
        <v>76</v>
      </c>
      <c r="AB28" s="171" t="s">
        <v>18</v>
      </c>
      <c r="AC28" s="171">
        <v>13.6</v>
      </c>
      <c r="AD28" s="178"/>
      <c r="AG28" s="179"/>
      <c r="AL28" s="178"/>
      <c r="AO28" s="179"/>
      <c r="AP28" s="178"/>
      <c r="AS28" s="179"/>
      <c r="AW28" s="179"/>
      <c r="BA28" s="180"/>
    </row>
    <row r="29" spans="1:53" s="171" customFormat="1" x14ac:dyDescent="0.15">
      <c r="A29" s="216">
        <v>1969</v>
      </c>
      <c r="B29" s="283"/>
      <c r="C29" s="402" t="s">
        <v>380</v>
      </c>
      <c r="D29" s="402"/>
      <c r="E29" s="171">
        <v>172</v>
      </c>
      <c r="G29" s="233">
        <v>14</v>
      </c>
      <c r="H29" s="171">
        <v>2</v>
      </c>
      <c r="J29" s="241">
        <v>19</v>
      </c>
      <c r="K29" s="214">
        <f t="shared" si="0"/>
        <v>73.68421052631578</v>
      </c>
      <c r="L29" s="214">
        <f t="shared" si="1"/>
        <v>10.526315789473683</v>
      </c>
      <c r="M29" s="214">
        <f t="shared" si="2"/>
        <v>0</v>
      </c>
      <c r="N29" s="235">
        <f t="shared" si="3"/>
        <v>84.210526315789465</v>
      </c>
      <c r="O29" s="213">
        <v>60</v>
      </c>
      <c r="P29" s="214">
        <v>13.6</v>
      </c>
      <c r="Q29" s="214"/>
      <c r="R29" s="215">
        <f t="shared" si="4"/>
        <v>73.599999999999994</v>
      </c>
      <c r="S29" s="171">
        <v>3</v>
      </c>
      <c r="T29" s="285"/>
      <c r="U29" s="283"/>
      <c r="V29" s="178" t="s">
        <v>371</v>
      </c>
      <c r="W29" s="171" t="s">
        <v>75</v>
      </c>
      <c r="X29" s="171" t="s">
        <v>11</v>
      </c>
      <c r="Y29" s="171">
        <v>60</v>
      </c>
      <c r="Z29" s="178" t="s">
        <v>122</v>
      </c>
      <c r="AA29" s="171" t="s">
        <v>76</v>
      </c>
      <c r="AB29" s="171" t="s">
        <v>18</v>
      </c>
      <c r="AC29" s="171">
        <v>13.6</v>
      </c>
      <c r="AD29" s="178"/>
      <c r="AG29" s="179"/>
      <c r="AL29" s="178"/>
      <c r="AO29" s="179"/>
      <c r="AP29" s="178"/>
      <c r="AS29" s="179"/>
      <c r="AW29" s="179"/>
      <c r="BA29" s="180"/>
    </row>
    <row r="30" spans="1:53" s="29" customFormat="1" x14ac:dyDescent="0.15">
      <c r="A30" s="52">
        <v>1968.5428571428599</v>
      </c>
      <c r="B30" s="295">
        <v>25376</v>
      </c>
      <c r="C30" s="394" t="s">
        <v>381</v>
      </c>
      <c r="D30" s="394"/>
      <c r="E30" s="29">
        <v>193</v>
      </c>
      <c r="F30" s="29">
        <v>2</v>
      </c>
      <c r="G30" s="66">
        <v>16</v>
      </c>
      <c r="H30" s="29">
        <v>3</v>
      </c>
      <c r="J30" s="73">
        <v>19</v>
      </c>
      <c r="K30" s="47">
        <f t="shared" si="0"/>
        <v>84.210526315789465</v>
      </c>
      <c r="L30" s="47">
        <f t="shared" si="1"/>
        <v>15.789473684210526</v>
      </c>
      <c r="M30" s="47">
        <f t="shared" si="2"/>
        <v>0</v>
      </c>
      <c r="N30" s="68">
        <f t="shared" si="3"/>
        <v>99.999999999999986</v>
      </c>
      <c r="O30" s="46">
        <v>60</v>
      </c>
      <c r="P30" s="47">
        <v>19.100000000000001</v>
      </c>
      <c r="Q30" s="47"/>
      <c r="R30" s="48">
        <f t="shared" si="4"/>
        <v>79.099999999999994</v>
      </c>
      <c r="S30" s="29">
        <v>3</v>
      </c>
      <c r="T30" s="286"/>
      <c r="U30" s="295">
        <v>25376</v>
      </c>
      <c r="V30" s="38" t="s">
        <v>371</v>
      </c>
      <c r="W30" s="29" t="s">
        <v>75</v>
      </c>
      <c r="X30" s="29" t="s">
        <v>11</v>
      </c>
      <c r="Y30" s="29">
        <v>60</v>
      </c>
      <c r="Z30" s="38" t="s">
        <v>122</v>
      </c>
      <c r="AA30" s="29" t="s">
        <v>76</v>
      </c>
      <c r="AB30" s="29" t="s">
        <v>18</v>
      </c>
      <c r="AC30" s="29">
        <v>13.6</v>
      </c>
      <c r="AD30" s="38" t="s">
        <v>123</v>
      </c>
      <c r="AE30" s="29" t="s">
        <v>81</v>
      </c>
      <c r="AF30" s="29" t="s">
        <v>18</v>
      </c>
      <c r="AG30" s="39">
        <v>5.5</v>
      </c>
      <c r="AL30" s="38"/>
      <c r="AO30" s="39"/>
      <c r="AP30" s="38"/>
      <c r="AS30" s="39"/>
      <c r="AW30" s="39"/>
      <c r="BA30" s="40"/>
    </row>
    <row r="31" spans="1:53" s="29" customFormat="1" x14ac:dyDescent="0.15">
      <c r="A31" s="52">
        <v>1970</v>
      </c>
      <c r="B31" s="295"/>
      <c r="C31" s="394" t="s">
        <v>381</v>
      </c>
      <c r="D31" s="394"/>
      <c r="E31" s="29">
        <v>0</v>
      </c>
      <c r="G31" s="66">
        <v>16</v>
      </c>
      <c r="H31" s="29">
        <v>3</v>
      </c>
      <c r="J31" s="73">
        <v>19</v>
      </c>
      <c r="K31" s="47">
        <f t="shared" si="0"/>
        <v>84.210526315789465</v>
      </c>
      <c r="L31" s="47">
        <f t="shared" si="1"/>
        <v>15.789473684210526</v>
      </c>
      <c r="M31" s="47">
        <f t="shared" si="2"/>
        <v>0</v>
      </c>
      <c r="N31" s="68">
        <f t="shared" si="3"/>
        <v>99.999999999999986</v>
      </c>
      <c r="O31" s="46">
        <v>60</v>
      </c>
      <c r="P31" s="47">
        <v>19.100000000000001</v>
      </c>
      <c r="Q31" s="47"/>
      <c r="R31" s="48">
        <f t="shared" si="4"/>
        <v>79.099999999999994</v>
      </c>
      <c r="S31" s="29">
        <v>3</v>
      </c>
      <c r="T31" s="286"/>
      <c r="U31" s="295"/>
      <c r="V31" s="38" t="s">
        <v>371</v>
      </c>
      <c r="W31" s="29" t="s">
        <v>75</v>
      </c>
      <c r="X31" s="29" t="s">
        <v>11</v>
      </c>
      <c r="Y31" s="29">
        <v>60</v>
      </c>
      <c r="Z31" s="38" t="s">
        <v>122</v>
      </c>
      <c r="AA31" s="29" t="s">
        <v>76</v>
      </c>
      <c r="AB31" s="29" t="s">
        <v>18</v>
      </c>
      <c r="AC31" s="29">
        <v>13.6</v>
      </c>
      <c r="AD31" s="38" t="s">
        <v>123</v>
      </c>
      <c r="AE31" s="29" t="s">
        <v>81</v>
      </c>
      <c r="AF31" s="29" t="s">
        <v>18</v>
      </c>
      <c r="AG31" s="39">
        <v>5.5</v>
      </c>
      <c r="AL31" s="38"/>
      <c r="AO31" s="39"/>
      <c r="AP31" s="38"/>
      <c r="AS31" s="39"/>
      <c r="AW31" s="39"/>
      <c r="BA31" s="40"/>
    </row>
    <row r="32" spans="1:53" s="29" customFormat="1" x14ac:dyDescent="0.15">
      <c r="A32" s="52">
        <v>1970</v>
      </c>
      <c r="B32" s="295"/>
      <c r="C32" s="394" t="s">
        <v>381</v>
      </c>
      <c r="D32" s="394"/>
      <c r="E32" s="29">
        <v>365</v>
      </c>
      <c r="G32" s="66">
        <v>16</v>
      </c>
      <c r="H32" s="29">
        <v>3</v>
      </c>
      <c r="J32" s="73">
        <v>19</v>
      </c>
      <c r="K32" s="47">
        <f t="shared" si="0"/>
        <v>84.210526315789465</v>
      </c>
      <c r="L32" s="47">
        <f t="shared" si="1"/>
        <v>15.789473684210526</v>
      </c>
      <c r="M32" s="47">
        <f t="shared" si="2"/>
        <v>0</v>
      </c>
      <c r="N32" s="68">
        <f t="shared" si="3"/>
        <v>99.999999999999986</v>
      </c>
      <c r="O32" s="46">
        <v>60</v>
      </c>
      <c r="P32" s="47">
        <v>19.100000000000001</v>
      </c>
      <c r="Q32" s="47"/>
      <c r="R32" s="48">
        <f t="shared" si="4"/>
        <v>79.099999999999994</v>
      </c>
      <c r="S32" s="29">
        <v>3</v>
      </c>
      <c r="T32" s="286"/>
      <c r="U32" s="295"/>
      <c r="V32" s="38" t="s">
        <v>371</v>
      </c>
      <c r="W32" s="29" t="s">
        <v>75</v>
      </c>
      <c r="X32" s="29" t="s">
        <v>11</v>
      </c>
      <c r="Y32" s="29">
        <v>60</v>
      </c>
      <c r="Z32" s="38" t="s">
        <v>122</v>
      </c>
      <c r="AA32" s="29" t="s">
        <v>76</v>
      </c>
      <c r="AB32" s="29" t="s">
        <v>18</v>
      </c>
      <c r="AC32" s="29">
        <v>13.6</v>
      </c>
      <c r="AD32" s="38" t="s">
        <v>123</v>
      </c>
      <c r="AE32" s="29" t="s">
        <v>81</v>
      </c>
      <c r="AF32" s="29" t="s">
        <v>18</v>
      </c>
      <c r="AG32" s="39">
        <v>5.5</v>
      </c>
      <c r="AL32" s="38"/>
      <c r="AO32" s="39"/>
      <c r="AP32" s="38"/>
      <c r="AS32" s="39"/>
      <c r="AW32" s="39"/>
      <c r="BA32" s="40"/>
    </row>
    <row r="33" spans="1:53" s="29" customFormat="1" x14ac:dyDescent="0.15">
      <c r="A33" s="52">
        <v>1971</v>
      </c>
      <c r="B33" s="295"/>
      <c r="C33" s="394" t="s">
        <v>381</v>
      </c>
      <c r="D33" s="394"/>
      <c r="E33" s="29">
        <v>0</v>
      </c>
      <c r="G33" s="66">
        <v>16</v>
      </c>
      <c r="H33" s="29">
        <v>3</v>
      </c>
      <c r="J33" s="73">
        <v>19</v>
      </c>
      <c r="K33" s="47">
        <f t="shared" si="0"/>
        <v>84.210526315789465</v>
      </c>
      <c r="L33" s="47">
        <f t="shared" si="1"/>
        <v>15.789473684210526</v>
      </c>
      <c r="M33" s="47">
        <f t="shared" si="2"/>
        <v>0</v>
      </c>
      <c r="N33" s="68">
        <f t="shared" si="3"/>
        <v>99.999999999999986</v>
      </c>
      <c r="O33" s="46">
        <v>60</v>
      </c>
      <c r="P33" s="47">
        <v>19.100000000000001</v>
      </c>
      <c r="Q33" s="47"/>
      <c r="R33" s="48">
        <f t="shared" si="4"/>
        <v>79.099999999999994</v>
      </c>
      <c r="S33" s="29">
        <v>3</v>
      </c>
      <c r="T33" s="286"/>
      <c r="U33" s="295"/>
      <c r="V33" s="38" t="s">
        <v>371</v>
      </c>
      <c r="W33" s="29" t="s">
        <v>75</v>
      </c>
      <c r="X33" s="29" t="s">
        <v>11</v>
      </c>
      <c r="Y33" s="29">
        <v>60</v>
      </c>
      <c r="Z33" s="38" t="s">
        <v>122</v>
      </c>
      <c r="AA33" s="29" t="s">
        <v>76</v>
      </c>
      <c r="AB33" s="29" t="s">
        <v>18</v>
      </c>
      <c r="AC33" s="29">
        <v>13.6</v>
      </c>
      <c r="AD33" s="38" t="s">
        <v>123</v>
      </c>
      <c r="AE33" s="29" t="s">
        <v>81</v>
      </c>
      <c r="AF33" s="29" t="s">
        <v>18</v>
      </c>
      <c r="AG33" s="39">
        <v>5.5</v>
      </c>
      <c r="AL33" s="38"/>
      <c r="AO33" s="39"/>
      <c r="AP33" s="38"/>
      <c r="AS33" s="39"/>
      <c r="AW33" s="39"/>
      <c r="BA33" s="40"/>
    </row>
    <row r="34" spans="1:53" s="29" customFormat="1" x14ac:dyDescent="0.15">
      <c r="A34" s="52">
        <v>1971</v>
      </c>
      <c r="B34" s="295"/>
      <c r="C34" s="394" t="s">
        <v>381</v>
      </c>
      <c r="D34" s="394"/>
      <c r="E34" s="29">
        <v>365</v>
      </c>
      <c r="G34" s="66">
        <v>16</v>
      </c>
      <c r="H34" s="29">
        <v>3</v>
      </c>
      <c r="J34" s="73">
        <v>19</v>
      </c>
      <c r="K34" s="47">
        <f t="shared" si="0"/>
        <v>84.210526315789465</v>
      </c>
      <c r="L34" s="47">
        <f t="shared" si="1"/>
        <v>15.789473684210526</v>
      </c>
      <c r="M34" s="47">
        <f t="shared" si="2"/>
        <v>0</v>
      </c>
      <c r="N34" s="68">
        <f t="shared" si="3"/>
        <v>99.999999999999986</v>
      </c>
      <c r="O34" s="46">
        <v>60</v>
      </c>
      <c r="P34" s="47">
        <v>19.100000000000001</v>
      </c>
      <c r="Q34" s="47"/>
      <c r="R34" s="48">
        <f t="shared" si="4"/>
        <v>79.099999999999994</v>
      </c>
      <c r="S34" s="29">
        <v>3</v>
      </c>
      <c r="T34" s="286"/>
      <c r="U34" s="295"/>
      <c r="V34" s="38" t="s">
        <v>371</v>
      </c>
      <c r="W34" s="29" t="s">
        <v>75</v>
      </c>
      <c r="X34" s="29" t="s">
        <v>11</v>
      </c>
      <c r="Y34" s="29">
        <v>60</v>
      </c>
      <c r="Z34" s="38" t="s">
        <v>122</v>
      </c>
      <c r="AA34" s="29" t="s">
        <v>76</v>
      </c>
      <c r="AB34" s="29" t="s">
        <v>18</v>
      </c>
      <c r="AC34" s="29">
        <v>13.6</v>
      </c>
      <c r="AD34" s="38" t="s">
        <v>123</v>
      </c>
      <c r="AE34" s="29" t="s">
        <v>81</v>
      </c>
      <c r="AF34" s="29" t="s">
        <v>18</v>
      </c>
      <c r="AG34" s="39">
        <v>5.5</v>
      </c>
      <c r="AL34" s="38"/>
      <c r="AO34" s="39"/>
      <c r="AP34" s="38"/>
      <c r="AS34" s="39"/>
      <c r="AW34" s="39"/>
      <c r="BA34" s="40"/>
    </row>
    <row r="35" spans="1:53" s="29" customFormat="1" x14ac:dyDescent="0.15">
      <c r="A35" s="52">
        <v>1972</v>
      </c>
      <c r="B35" s="295"/>
      <c r="C35" s="394" t="s">
        <v>381</v>
      </c>
      <c r="D35" s="394"/>
      <c r="E35" s="29">
        <v>188</v>
      </c>
      <c r="G35" s="66">
        <v>16</v>
      </c>
      <c r="H35" s="29">
        <v>3</v>
      </c>
      <c r="J35" s="73">
        <v>19</v>
      </c>
      <c r="K35" s="47">
        <f t="shared" si="0"/>
        <v>84.210526315789465</v>
      </c>
      <c r="L35" s="47">
        <f t="shared" si="1"/>
        <v>15.789473684210526</v>
      </c>
      <c r="M35" s="47">
        <f t="shared" si="2"/>
        <v>0</v>
      </c>
      <c r="N35" s="68">
        <f t="shared" si="3"/>
        <v>99.999999999999986</v>
      </c>
      <c r="O35" s="46">
        <v>60</v>
      </c>
      <c r="P35" s="47">
        <v>19.100000000000001</v>
      </c>
      <c r="Q35" s="47"/>
      <c r="R35" s="48">
        <f t="shared" si="4"/>
        <v>79.099999999999994</v>
      </c>
      <c r="S35" s="29">
        <v>3</v>
      </c>
      <c r="T35" s="286"/>
      <c r="U35" s="295"/>
      <c r="V35" s="38" t="s">
        <v>371</v>
      </c>
      <c r="W35" s="29" t="s">
        <v>75</v>
      </c>
      <c r="X35" s="29" t="s">
        <v>11</v>
      </c>
      <c r="Y35" s="29">
        <v>60</v>
      </c>
      <c r="Z35" s="38" t="s">
        <v>122</v>
      </c>
      <c r="AA35" s="29" t="s">
        <v>76</v>
      </c>
      <c r="AB35" s="29" t="s">
        <v>18</v>
      </c>
      <c r="AC35" s="29">
        <v>13.6</v>
      </c>
      <c r="AD35" s="38" t="s">
        <v>123</v>
      </c>
      <c r="AE35" s="29" t="s">
        <v>81</v>
      </c>
      <c r="AF35" s="29" t="s">
        <v>18</v>
      </c>
      <c r="AG35" s="39">
        <v>5.5</v>
      </c>
      <c r="AL35" s="38"/>
      <c r="AO35" s="39"/>
      <c r="AP35" s="38"/>
      <c r="AS35" s="39"/>
      <c r="AW35" s="39"/>
      <c r="BA35" s="40"/>
    </row>
    <row r="36" spans="1:53" s="171" customFormat="1" x14ac:dyDescent="0.15">
      <c r="A36" s="216">
        <v>1972</v>
      </c>
      <c r="B36" s="283">
        <v>26487</v>
      </c>
      <c r="C36" s="402" t="s">
        <v>382</v>
      </c>
      <c r="D36" s="402"/>
      <c r="E36" s="171">
        <v>178</v>
      </c>
      <c r="F36" s="171">
        <v>6</v>
      </c>
      <c r="G36" s="233">
        <v>17</v>
      </c>
      <c r="H36" s="171">
        <v>3</v>
      </c>
      <c r="J36" s="241">
        <v>20</v>
      </c>
      <c r="K36" s="214">
        <f t="shared" si="0"/>
        <v>85</v>
      </c>
      <c r="L36" s="214">
        <f t="shared" si="1"/>
        <v>15</v>
      </c>
      <c r="M36" s="214">
        <f t="shared" si="2"/>
        <v>0</v>
      </c>
      <c r="N36" s="235">
        <f t="shared" si="3"/>
        <v>100</v>
      </c>
      <c r="O36" s="213">
        <v>60</v>
      </c>
      <c r="P36" s="214">
        <v>19.100000000000001</v>
      </c>
      <c r="Q36" s="214"/>
      <c r="R36" s="215">
        <f t="shared" si="4"/>
        <v>79.099999999999994</v>
      </c>
      <c r="S36" s="171">
        <v>3</v>
      </c>
      <c r="T36" s="285"/>
      <c r="U36" s="283">
        <v>26487</v>
      </c>
      <c r="V36" s="178" t="s">
        <v>371</v>
      </c>
      <c r="W36" s="171" t="s">
        <v>75</v>
      </c>
      <c r="X36" s="171" t="s">
        <v>11</v>
      </c>
      <c r="Y36" s="171">
        <v>60</v>
      </c>
      <c r="Z36" s="178" t="s">
        <v>122</v>
      </c>
      <c r="AA36" s="171" t="s">
        <v>76</v>
      </c>
      <c r="AB36" s="171" t="s">
        <v>18</v>
      </c>
      <c r="AC36" s="171">
        <v>13.6</v>
      </c>
      <c r="AD36" s="178" t="s">
        <v>123</v>
      </c>
      <c r="AE36" s="171" t="s">
        <v>81</v>
      </c>
      <c r="AF36" s="171" t="s">
        <v>18</v>
      </c>
      <c r="AG36" s="179">
        <v>5.5</v>
      </c>
      <c r="AL36" s="178"/>
      <c r="AO36" s="179"/>
      <c r="AP36" s="178"/>
      <c r="AS36" s="179"/>
      <c r="AW36" s="179"/>
      <c r="BA36" s="180"/>
    </row>
    <row r="37" spans="1:53" s="171" customFormat="1" x14ac:dyDescent="0.15">
      <c r="A37" s="216">
        <v>1973</v>
      </c>
      <c r="B37" s="283"/>
      <c r="C37" s="402" t="s">
        <v>382</v>
      </c>
      <c r="D37" s="402"/>
      <c r="E37" s="171">
        <v>94</v>
      </c>
      <c r="G37" s="233">
        <v>17</v>
      </c>
      <c r="H37" s="171">
        <v>3</v>
      </c>
      <c r="J37" s="241">
        <v>20</v>
      </c>
      <c r="K37" s="214">
        <f t="shared" si="0"/>
        <v>85</v>
      </c>
      <c r="L37" s="214">
        <f t="shared" si="1"/>
        <v>15</v>
      </c>
      <c r="M37" s="214">
        <f t="shared" si="2"/>
        <v>0</v>
      </c>
      <c r="N37" s="235">
        <f t="shared" si="3"/>
        <v>100</v>
      </c>
      <c r="O37" s="213">
        <v>60</v>
      </c>
      <c r="P37" s="214">
        <v>19.100000000000001</v>
      </c>
      <c r="Q37" s="214"/>
      <c r="R37" s="215">
        <f t="shared" si="4"/>
        <v>79.099999999999994</v>
      </c>
      <c r="S37" s="171">
        <v>3</v>
      </c>
      <c r="T37" s="285"/>
      <c r="U37" s="283"/>
      <c r="V37" s="178" t="s">
        <v>371</v>
      </c>
      <c r="W37" s="171" t="s">
        <v>75</v>
      </c>
      <c r="X37" s="171" t="s">
        <v>11</v>
      </c>
      <c r="Y37" s="171">
        <v>60</v>
      </c>
      <c r="Z37" s="178" t="s">
        <v>122</v>
      </c>
      <c r="AA37" s="171" t="s">
        <v>76</v>
      </c>
      <c r="AB37" s="171" t="s">
        <v>18</v>
      </c>
      <c r="AC37" s="171">
        <v>13.6</v>
      </c>
      <c r="AD37" s="178" t="s">
        <v>123</v>
      </c>
      <c r="AE37" s="171" t="s">
        <v>81</v>
      </c>
      <c r="AF37" s="171" t="s">
        <v>18</v>
      </c>
      <c r="AG37" s="179">
        <v>5.5</v>
      </c>
      <c r="AL37" s="178"/>
      <c r="AO37" s="179"/>
      <c r="AP37" s="178"/>
      <c r="AS37" s="179"/>
      <c r="AW37" s="179"/>
      <c r="BA37" s="180"/>
    </row>
    <row r="38" spans="1:53" s="29" customFormat="1" x14ac:dyDescent="0.15">
      <c r="A38" s="52">
        <v>1973</v>
      </c>
      <c r="B38" s="295">
        <v>26759</v>
      </c>
      <c r="C38" s="394" t="s">
        <v>383</v>
      </c>
      <c r="D38" s="394"/>
      <c r="E38" s="29">
        <v>271</v>
      </c>
      <c r="F38" s="29">
        <v>1</v>
      </c>
      <c r="G38" s="66">
        <v>19</v>
      </c>
      <c r="J38" s="73">
        <v>22</v>
      </c>
      <c r="K38" s="47">
        <f t="shared" si="0"/>
        <v>86.36363636363636</v>
      </c>
      <c r="L38" s="47">
        <f t="shared" si="1"/>
        <v>0</v>
      </c>
      <c r="M38" s="47">
        <f t="shared" si="2"/>
        <v>0</v>
      </c>
      <c r="N38" s="68">
        <f t="shared" si="3"/>
        <v>86.36363636363636</v>
      </c>
      <c r="O38" s="46">
        <v>42</v>
      </c>
      <c r="P38" s="47">
        <v>11.4</v>
      </c>
      <c r="Q38" s="47"/>
      <c r="R38" s="48">
        <f t="shared" si="4"/>
        <v>53.4</v>
      </c>
      <c r="S38" s="29">
        <v>2</v>
      </c>
      <c r="T38" s="286">
        <v>26727</v>
      </c>
      <c r="U38" s="295">
        <v>26759</v>
      </c>
      <c r="V38" s="38" t="s">
        <v>371</v>
      </c>
      <c r="W38" s="29" t="s">
        <v>75</v>
      </c>
      <c r="X38" s="29" t="s">
        <v>11</v>
      </c>
      <c r="Y38" s="29">
        <v>37.6</v>
      </c>
      <c r="Z38" s="38" t="s">
        <v>122</v>
      </c>
      <c r="AA38" s="29" t="s">
        <v>76</v>
      </c>
      <c r="AB38" s="29" t="s">
        <v>18</v>
      </c>
      <c r="AC38" s="29">
        <v>11.4</v>
      </c>
      <c r="AD38" s="38" t="s">
        <v>124</v>
      </c>
      <c r="AE38" s="29" t="s">
        <v>79</v>
      </c>
      <c r="AF38" s="29" t="s">
        <v>11</v>
      </c>
      <c r="AG38" s="39">
        <v>4.4000000000000004</v>
      </c>
      <c r="AL38" s="38"/>
      <c r="AO38" s="39"/>
      <c r="AP38" s="38"/>
      <c r="AS38" s="39"/>
      <c r="AW38" s="39"/>
      <c r="BA38" s="40"/>
    </row>
    <row r="39" spans="1:53" s="29" customFormat="1" x14ac:dyDescent="0.15">
      <c r="A39" s="52">
        <v>1974</v>
      </c>
      <c r="B39" s="295"/>
      <c r="C39" s="394" t="s">
        <v>383</v>
      </c>
      <c r="D39" s="394"/>
      <c r="E39" s="29">
        <v>59</v>
      </c>
      <c r="G39" s="66">
        <v>19</v>
      </c>
      <c r="J39" s="73">
        <v>22</v>
      </c>
      <c r="K39" s="47">
        <f t="shared" si="0"/>
        <v>86.36363636363636</v>
      </c>
      <c r="L39" s="47">
        <f t="shared" si="1"/>
        <v>0</v>
      </c>
      <c r="M39" s="47">
        <f t="shared" si="2"/>
        <v>0</v>
      </c>
      <c r="N39" s="68">
        <f t="shared" si="3"/>
        <v>86.36363636363636</v>
      </c>
      <c r="O39" s="46">
        <v>42</v>
      </c>
      <c r="P39" s="47">
        <v>11.4</v>
      </c>
      <c r="Q39" s="47"/>
      <c r="R39" s="48">
        <f t="shared" si="4"/>
        <v>53.4</v>
      </c>
      <c r="S39" s="29">
        <v>2</v>
      </c>
      <c r="T39" s="286"/>
      <c r="U39" s="295"/>
      <c r="V39" s="38" t="s">
        <v>371</v>
      </c>
      <c r="W39" s="29" t="s">
        <v>75</v>
      </c>
      <c r="X39" s="29" t="s">
        <v>11</v>
      </c>
      <c r="Y39" s="29">
        <v>37.6</v>
      </c>
      <c r="Z39" s="38" t="s">
        <v>122</v>
      </c>
      <c r="AA39" s="29" t="s">
        <v>76</v>
      </c>
      <c r="AB39" s="29" t="s">
        <v>18</v>
      </c>
      <c r="AC39" s="29">
        <v>11.4</v>
      </c>
      <c r="AD39" s="38" t="s">
        <v>124</v>
      </c>
      <c r="AE39" s="29" t="s">
        <v>79</v>
      </c>
      <c r="AF39" s="29" t="s">
        <v>11</v>
      </c>
      <c r="AG39" s="39">
        <v>4.4000000000000004</v>
      </c>
      <c r="AL39" s="38"/>
      <c r="AO39" s="39"/>
      <c r="AP39" s="38"/>
      <c r="AS39" s="39"/>
      <c r="AW39" s="39"/>
      <c r="BA39" s="40"/>
    </row>
    <row r="40" spans="1:53" s="171" customFormat="1" x14ac:dyDescent="0.15">
      <c r="A40" s="216">
        <v>1974</v>
      </c>
      <c r="B40" s="283">
        <v>27089</v>
      </c>
      <c r="C40" s="402" t="s">
        <v>384</v>
      </c>
      <c r="D40" s="402"/>
      <c r="E40" s="171">
        <v>88</v>
      </c>
      <c r="F40" s="171">
        <v>7</v>
      </c>
      <c r="G40" s="233">
        <v>14</v>
      </c>
      <c r="J40" s="241">
        <v>16</v>
      </c>
      <c r="K40" s="214">
        <f t="shared" si="0"/>
        <v>87.5</v>
      </c>
      <c r="L40" s="214">
        <f t="shared" si="1"/>
        <v>0</v>
      </c>
      <c r="M40" s="214">
        <f t="shared" si="2"/>
        <v>0</v>
      </c>
      <c r="N40" s="235">
        <f t="shared" si="3"/>
        <v>87.5</v>
      </c>
      <c r="O40" s="213">
        <v>42</v>
      </c>
      <c r="P40" s="214">
        <v>11.4</v>
      </c>
      <c r="Q40" s="214"/>
      <c r="R40" s="215">
        <f t="shared" si="4"/>
        <v>53.4</v>
      </c>
      <c r="S40" s="171">
        <v>2</v>
      </c>
      <c r="T40" s="285"/>
      <c r="U40" s="283">
        <v>27089</v>
      </c>
      <c r="V40" s="178" t="s">
        <v>371</v>
      </c>
      <c r="W40" s="171" t="s">
        <v>75</v>
      </c>
      <c r="X40" s="171" t="s">
        <v>11</v>
      </c>
      <c r="Y40" s="171">
        <v>37.6</v>
      </c>
      <c r="Z40" s="178" t="s">
        <v>122</v>
      </c>
      <c r="AA40" s="171" t="s">
        <v>76</v>
      </c>
      <c r="AB40" s="171" t="s">
        <v>18</v>
      </c>
      <c r="AC40" s="171">
        <v>11.4</v>
      </c>
      <c r="AD40" s="178" t="s">
        <v>124</v>
      </c>
      <c r="AE40" s="171" t="s">
        <v>79</v>
      </c>
      <c r="AF40" s="171" t="s">
        <v>11</v>
      </c>
      <c r="AG40" s="179">
        <v>4.4000000000000004</v>
      </c>
      <c r="AL40" s="178"/>
      <c r="AO40" s="179"/>
      <c r="AP40" s="178"/>
      <c r="AS40" s="179"/>
      <c r="AW40" s="179"/>
      <c r="BA40" s="180"/>
    </row>
    <row r="41" spans="1:53" s="29" customFormat="1" x14ac:dyDescent="0.15">
      <c r="A41" s="52">
        <v>1974</v>
      </c>
      <c r="B41" s="295">
        <v>27177</v>
      </c>
      <c r="C41" s="394" t="s">
        <v>385</v>
      </c>
      <c r="D41" s="394"/>
      <c r="E41" s="29">
        <v>218</v>
      </c>
      <c r="F41" s="29">
        <v>1</v>
      </c>
      <c r="G41" s="66">
        <v>11</v>
      </c>
      <c r="H41" s="29">
        <v>1</v>
      </c>
      <c r="I41" s="29">
        <v>1</v>
      </c>
      <c r="J41" s="73">
        <v>16</v>
      </c>
      <c r="K41" s="47">
        <f t="shared" si="0"/>
        <v>68.75</v>
      </c>
      <c r="L41" s="47">
        <f t="shared" si="1"/>
        <v>6.25</v>
      </c>
      <c r="M41" s="47">
        <f t="shared" si="2"/>
        <v>6.25</v>
      </c>
      <c r="N41" s="68">
        <f t="shared" si="3"/>
        <v>81.25</v>
      </c>
      <c r="O41" s="46">
        <v>42</v>
      </c>
      <c r="P41" s="47">
        <v>11.4</v>
      </c>
      <c r="Q41" s="47">
        <v>2.2999999999999998</v>
      </c>
      <c r="R41" s="48">
        <f t="shared" si="4"/>
        <v>55.699999999999996</v>
      </c>
      <c r="S41" s="29">
        <v>3</v>
      </c>
      <c r="T41" s="286"/>
      <c r="U41" s="295">
        <v>27177</v>
      </c>
      <c r="V41" s="38" t="s">
        <v>371</v>
      </c>
      <c r="W41" s="29" t="s">
        <v>75</v>
      </c>
      <c r="X41" s="29" t="s">
        <v>11</v>
      </c>
      <c r="Y41" s="29">
        <v>37.6</v>
      </c>
      <c r="Z41" s="38" t="s">
        <v>122</v>
      </c>
      <c r="AA41" s="29" t="s">
        <v>76</v>
      </c>
      <c r="AB41" s="29" t="s">
        <v>18</v>
      </c>
      <c r="AC41" s="29">
        <v>11.4</v>
      </c>
      <c r="AD41" s="38" t="s">
        <v>124</v>
      </c>
      <c r="AE41" s="29" t="s">
        <v>79</v>
      </c>
      <c r="AF41" s="29" t="s">
        <v>11</v>
      </c>
      <c r="AG41" s="39">
        <v>4.4000000000000004</v>
      </c>
      <c r="AH41" s="29" t="s">
        <v>125</v>
      </c>
      <c r="AI41" s="29" t="s">
        <v>87</v>
      </c>
      <c r="AJ41" s="29" t="s">
        <v>12</v>
      </c>
      <c r="AK41" s="29">
        <v>2.2999999999999998</v>
      </c>
      <c r="AL41" s="38"/>
      <c r="AO41" s="39"/>
      <c r="AP41" s="38"/>
      <c r="AS41" s="39"/>
      <c r="AW41" s="39"/>
      <c r="BA41" s="40"/>
    </row>
    <row r="42" spans="1:53" s="29" customFormat="1" x14ac:dyDescent="0.15">
      <c r="A42" s="52">
        <v>1975</v>
      </c>
      <c r="B42" s="295"/>
      <c r="C42" s="394" t="s">
        <v>385</v>
      </c>
      <c r="D42" s="394"/>
      <c r="E42" s="29">
        <v>0</v>
      </c>
      <c r="G42" s="66">
        <v>11</v>
      </c>
      <c r="H42" s="29">
        <v>1</v>
      </c>
      <c r="I42" s="29">
        <v>1</v>
      </c>
      <c r="J42" s="73">
        <v>16</v>
      </c>
      <c r="K42" s="47">
        <f t="shared" si="0"/>
        <v>68.75</v>
      </c>
      <c r="L42" s="47">
        <f t="shared" si="1"/>
        <v>6.25</v>
      </c>
      <c r="M42" s="47">
        <f t="shared" si="2"/>
        <v>6.25</v>
      </c>
      <c r="N42" s="68">
        <f t="shared" si="3"/>
        <v>81.25</v>
      </c>
      <c r="O42" s="46">
        <v>42</v>
      </c>
      <c r="P42" s="47">
        <v>11.4</v>
      </c>
      <c r="Q42" s="47">
        <v>2.2999999999999998</v>
      </c>
      <c r="R42" s="48">
        <f t="shared" si="4"/>
        <v>55.699999999999996</v>
      </c>
      <c r="S42" s="29">
        <v>3</v>
      </c>
      <c r="T42" s="286"/>
      <c r="U42" s="295"/>
      <c r="V42" s="38" t="s">
        <v>371</v>
      </c>
      <c r="W42" s="29" t="s">
        <v>75</v>
      </c>
      <c r="X42" s="29" t="s">
        <v>11</v>
      </c>
      <c r="Y42" s="29">
        <v>37.6</v>
      </c>
      <c r="Z42" s="38" t="s">
        <v>122</v>
      </c>
      <c r="AA42" s="29" t="s">
        <v>76</v>
      </c>
      <c r="AB42" s="29" t="s">
        <v>18</v>
      </c>
      <c r="AC42" s="29">
        <v>11.4</v>
      </c>
      <c r="AD42" s="38" t="s">
        <v>124</v>
      </c>
      <c r="AE42" s="29" t="s">
        <v>79</v>
      </c>
      <c r="AF42" s="29" t="s">
        <v>11</v>
      </c>
      <c r="AG42" s="39">
        <v>4.4000000000000004</v>
      </c>
      <c r="AH42" s="29" t="s">
        <v>125</v>
      </c>
      <c r="AI42" s="29" t="s">
        <v>87</v>
      </c>
      <c r="AJ42" s="29" t="s">
        <v>12</v>
      </c>
      <c r="AK42" s="29">
        <v>2.2999999999999998</v>
      </c>
      <c r="AL42" s="38"/>
      <c r="AO42" s="39"/>
      <c r="AP42" s="38"/>
      <c r="AS42" s="39"/>
      <c r="AW42" s="39"/>
      <c r="BA42" s="40"/>
    </row>
    <row r="43" spans="1:53" s="29" customFormat="1" x14ac:dyDescent="0.15">
      <c r="A43" s="52">
        <v>1975</v>
      </c>
      <c r="B43" s="295"/>
      <c r="C43" s="394" t="s">
        <v>385</v>
      </c>
      <c r="D43" s="394"/>
      <c r="E43" s="29">
        <v>365</v>
      </c>
      <c r="G43" s="66">
        <v>11</v>
      </c>
      <c r="H43" s="29">
        <v>1</v>
      </c>
      <c r="I43" s="29">
        <v>1</v>
      </c>
      <c r="J43" s="73">
        <v>16</v>
      </c>
      <c r="K43" s="47">
        <f t="shared" si="0"/>
        <v>68.75</v>
      </c>
      <c r="L43" s="47">
        <f t="shared" si="1"/>
        <v>6.25</v>
      </c>
      <c r="M43" s="47">
        <f t="shared" si="2"/>
        <v>6.25</v>
      </c>
      <c r="N43" s="68">
        <f t="shared" si="3"/>
        <v>81.25</v>
      </c>
      <c r="O43" s="46">
        <v>42</v>
      </c>
      <c r="P43" s="47">
        <v>11.4</v>
      </c>
      <c r="Q43" s="47">
        <v>2.2999999999999998</v>
      </c>
      <c r="R43" s="48">
        <f t="shared" si="4"/>
        <v>55.699999999999996</v>
      </c>
      <c r="S43" s="29">
        <v>3</v>
      </c>
      <c r="T43" s="286"/>
      <c r="U43" s="295"/>
      <c r="V43" s="38" t="s">
        <v>371</v>
      </c>
      <c r="W43" s="29" t="s">
        <v>75</v>
      </c>
      <c r="X43" s="29" t="s">
        <v>11</v>
      </c>
      <c r="Y43" s="29">
        <v>37.6</v>
      </c>
      <c r="Z43" s="38" t="s">
        <v>122</v>
      </c>
      <c r="AA43" s="29" t="s">
        <v>76</v>
      </c>
      <c r="AB43" s="29" t="s">
        <v>18</v>
      </c>
      <c r="AC43" s="29">
        <v>11.4</v>
      </c>
      <c r="AD43" s="38" t="s">
        <v>124</v>
      </c>
      <c r="AE43" s="29" t="s">
        <v>79</v>
      </c>
      <c r="AF43" s="29" t="s">
        <v>11</v>
      </c>
      <c r="AG43" s="39">
        <v>4.4000000000000004</v>
      </c>
      <c r="AH43" s="29" t="s">
        <v>125</v>
      </c>
      <c r="AI43" s="29" t="s">
        <v>87</v>
      </c>
      <c r="AJ43" s="29" t="s">
        <v>12</v>
      </c>
      <c r="AK43" s="29">
        <v>2.2999999999999998</v>
      </c>
      <c r="AL43" s="38"/>
      <c r="AO43" s="39"/>
      <c r="AP43" s="38"/>
      <c r="AS43" s="39"/>
      <c r="AW43" s="39"/>
      <c r="BA43" s="40"/>
    </row>
    <row r="44" spans="1:53" s="29" customFormat="1" x14ac:dyDescent="0.15">
      <c r="A44" s="52">
        <v>1976</v>
      </c>
      <c r="B44" s="295"/>
      <c r="C44" s="394" t="s">
        <v>385</v>
      </c>
      <c r="D44" s="394"/>
      <c r="E44" s="29">
        <v>229</v>
      </c>
      <c r="G44" s="66">
        <v>11</v>
      </c>
      <c r="H44" s="29">
        <v>1</v>
      </c>
      <c r="I44" s="29">
        <v>1</v>
      </c>
      <c r="J44" s="73">
        <v>16</v>
      </c>
      <c r="K44" s="47">
        <f t="shared" si="0"/>
        <v>68.75</v>
      </c>
      <c r="L44" s="47">
        <f t="shared" si="1"/>
        <v>6.25</v>
      </c>
      <c r="M44" s="47">
        <f t="shared" si="2"/>
        <v>6.25</v>
      </c>
      <c r="N44" s="68">
        <f t="shared" si="3"/>
        <v>81.25</v>
      </c>
      <c r="O44" s="46">
        <v>42</v>
      </c>
      <c r="P44" s="47">
        <v>11.4</v>
      </c>
      <c r="Q44" s="47">
        <v>2.2999999999999998</v>
      </c>
      <c r="R44" s="48">
        <f t="shared" si="4"/>
        <v>55.699999999999996</v>
      </c>
      <c r="S44" s="29">
        <v>3</v>
      </c>
      <c r="T44" s="286"/>
      <c r="U44" s="295"/>
      <c r="V44" s="38" t="s">
        <v>371</v>
      </c>
      <c r="W44" s="29" t="s">
        <v>75</v>
      </c>
      <c r="X44" s="29" t="s">
        <v>11</v>
      </c>
      <c r="Y44" s="29">
        <v>37.6</v>
      </c>
      <c r="Z44" s="38" t="s">
        <v>122</v>
      </c>
      <c r="AA44" s="29" t="s">
        <v>76</v>
      </c>
      <c r="AB44" s="29" t="s">
        <v>18</v>
      </c>
      <c r="AC44" s="29">
        <v>11.4</v>
      </c>
      <c r="AD44" s="38" t="s">
        <v>124</v>
      </c>
      <c r="AE44" s="29" t="s">
        <v>79</v>
      </c>
      <c r="AF44" s="29" t="s">
        <v>11</v>
      </c>
      <c r="AG44" s="39">
        <v>4.4000000000000004</v>
      </c>
      <c r="AH44" s="29" t="s">
        <v>125</v>
      </c>
      <c r="AI44" s="29" t="s">
        <v>87</v>
      </c>
      <c r="AJ44" s="29" t="s">
        <v>12</v>
      </c>
      <c r="AK44" s="29">
        <v>2.2999999999999998</v>
      </c>
      <c r="AL44" s="38"/>
      <c r="AO44" s="39"/>
      <c r="AP44" s="38"/>
      <c r="AS44" s="39"/>
      <c r="AW44" s="39"/>
      <c r="BA44" s="40"/>
    </row>
    <row r="45" spans="1:53" s="171" customFormat="1" x14ac:dyDescent="0.15">
      <c r="A45" s="216">
        <v>1976</v>
      </c>
      <c r="B45" s="283">
        <v>27989</v>
      </c>
      <c r="C45" s="402" t="s">
        <v>386</v>
      </c>
      <c r="D45" s="402"/>
      <c r="E45" s="171">
        <v>137</v>
      </c>
      <c r="F45" s="171">
        <v>6</v>
      </c>
      <c r="G45" s="233">
        <v>9</v>
      </c>
      <c r="H45" s="171">
        <v>1</v>
      </c>
      <c r="I45" s="171">
        <v>3</v>
      </c>
      <c r="J45" s="241">
        <v>18</v>
      </c>
      <c r="K45" s="214">
        <f t="shared" si="0"/>
        <v>50</v>
      </c>
      <c r="L45" s="214">
        <f t="shared" si="1"/>
        <v>5.5555555555555554</v>
      </c>
      <c r="M45" s="214">
        <f t="shared" si="2"/>
        <v>16.666666666666664</v>
      </c>
      <c r="N45" s="235">
        <f t="shared" si="3"/>
        <v>72.222222222222229</v>
      </c>
      <c r="O45" s="213">
        <v>42</v>
      </c>
      <c r="P45" s="214">
        <v>11.4</v>
      </c>
      <c r="Q45" s="214">
        <v>2.2999999999999998</v>
      </c>
      <c r="R45" s="215">
        <f t="shared" si="4"/>
        <v>55.699999999999996</v>
      </c>
      <c r="S45" s="171">
        <v>3</v>
      </c>
      <c r="T45" s="285"/>
      <c r="U45" s="283">
        <v>27989</v>
      </c>
      <c r="V45" s="178" t="s">
        <v>371</v>
      </c>
      <c r="W45" s="171" t="s">
        <v>75</v>
      </c>
      <c r="X45" s="171" t="s">
        <v>11</v>
      </c>
      <c r="Y45" s="171">
        <v>37.6</v>
      </c>
      <c r="Z45" s="178" t="s">
        <v>122</v>
      </c>
      <c r="AA45" s="171" t="s">
        <v>76</v>
      </c>
      <c r="AB45" s="171" t="s">
        <v>18</v>
      </c>
      <c r="AC45" s="171">
        <v>11.4</v>
      </c>
      <c r="AD45" s="178" t="s">
        <v>124</v>
      </c>
      <c r="AE45" s="171" t="s">
        <v>79</v>
      </c>
      <c r="AF45" s="171" t="s">
        <v>11</v>
      </c>
      <c r="AG45" s="179">
        <v>4.4000000000000004</v>
      </c>
      <c r="AH45" s="171" t="s">
        <v>125</v>
      </c>
      <c r="AI45" s="171" t="s">
        <v>87</v>
      </c>
      <c r="AJ45" s="171" t="s">
        <v>12</v>
      </c>
      <c r="AK45" s="171">
        <v>2.2999999999999998</v>
      </c>
      <c r="AL45" s="178"/>
      <c r="AO45" s="179"/>
      <c r="AP45" s="178"/>
      <c r="AS45" s="179"/>
      <c r="AW45" s="179"/>
      <c r="BA45" s="180"/>
    </row>
    <row r="46" spans="1:53" s="171" customFormat="1" x14ac:dyDescent="0.15">
      <c r="A46" s="216">
        <v>1977</v>
      </c>
      <c r="B46" s="283"/>
      <c r="C46" s="402" t="s">
        <v>386</v>
      </c>
      <c r="D46" s="402"/>
      <c r="E46" s="171">
        <v>88</v>
      </c>
      <c r="G46" s="233">
        <v>9</v>
      </c>
      <c r="H46" s="171">
        <v>1</v>
      </c>
      <c r="I46" s="171">
        <v>3</v>
      </c>
      <c r="J46" s="241">
        <v>18</v>
      </c>
      <c r="K46" s="214">
        <f t="shared" si="0"/>
        <v>50</v>
      </c>
      <c r="L46" s="214">
        <f t="shared" si="1"/>
        <v>5.5555555555555554</v>
      </c>
      <c r="M46" s="214">
        <f t="shared" si="2"/>
        <v>16.666666666666664</v>
      </c>
      <c r="N46" s="235">
        <f t="shared" si="3"/>
        <v>72.222222222222229</v>
      </c>
      <c r="O46" s="213">
        <v>42</v>
      </c>
      <c r="P46" s="214">
        <v>11.4</v>
      </c>
      <c r="Q46" s="214">
        <v>2.2999999999999998</v>
      </c>
      <c r="R46" s="215">
        <f t="shared" si="4"/>
        <v>55.699999999999996</v>
      </c>
      <c r="S46" s="171">
        <v>3</v>
      </c>
      <c r="T46" s="285"/>
      <c r="U46" s="283"/>
      <c r="V46" s="178" t="s">
        <v>371</v>
      </c>
      <c r="W46" s="171" t="s">
        <v>75</v>
      </c>
      <c r="X46" s="171" t="s">
        <v>11</v>
      </c>
      <c r="Y46" s="171">
        <v>37.6</v>
      </c>
      <c r="Z46" s="178" t="s">
        <v>122</v>
      </c>
      <c r="AA46" s="171" t="s">
        <v>76</v>
      </c>
      <c r="AB46" s="171" t="s">
        <v>18</v>
      </c>
      <c r="AC46" s="171">
        <v>11.4</v>
      </c>
      <c r="AD46" s="178" t="s">
        <v>124</v>
      </c>
      <c r="AE46" s="171" t="s">
        <v>79</v>
      </c>
      <c r="AF46" s="171" t="s">
        <v>11</v>
      </c>
      <c r="AG46" s="179">
        <v>4.4000000000000004</v>
      </c>
      <c r="AH46" s="171" t="s">
        <v>125</v>
      </c>
      <c r="AI46" s="171" t="s">
        <v>87</v>
      </c>
      <c r="AJ46" s="171" t="s">
        <v>12</v>
      </c>
      <c r="AK46" s="171">
        <v>2.2999999999999998</v>
      </c>
      <c r="AL46" s="178"/>
      <c r="AO46" s="179"/>
      <c r="AP46" s="178"/>
      <c r="AS46" s="179"/>
      <c r="AW46" s="179"/>
      <c r="BA46" s="180"/>
    </row>
    <row r="47" spans="1:53" s="29" customFormat="1" x14ac:dyDescent="0.15">
      <c r="A47" s="52">
        <v>1977</v>
      </c>
      <c r="B47" s="295">
        <v>28214</v>
      </c>
      <c r="C47" s="394" t="s">
        <v>387</v>
      </c>
      <c r="D47" s="394"/>
      <c r="E47" s="29">
        <v>277</v>
      </c>
      <c r="F47" s="29">
        <v>4</v>
      </c>
      <c r="G47" s="66">
        <v>6</v>
      </c>
      <c r="H47" s="29">
        <v>2</v>
      </c>
      <c r="I47" s="29">
        <v>2</v>
      </c>
      <c r="J47" s="73">
        <v>15</v>
      </c>
      <c r="K47" s="47">
        <f t="shared" si="0"/>
        <v>40</v>
      </c>
      <c r="L47" s="47">
        <f t="shared" si="1"/>
        <v>13.333333333333334</v>
      </c>
      <c r="M47" s="47">
        <f t="shared" si="2"/>
        <v>13.333333333333334</v>
      </c>
      <c r="N47" s="68">
        <f t="shared" si="3"/>
        <v>66.666666666666671</v>
      </c>
      <c r="O47" s="46">
        <v>42</v>
      </c>
      <c r="P47" s="47">
        <v>11.4</v>
      </c>
      <c r="Q47" s="47">
        <v>2.2999999999999998</v>
      </c>
      <c r="R47" s="48">
        <f t="shared" si="4"/>
        <v>55.699999999999996</v>
      </c>
      <c r="S47" s="29">
        <v>3</v>
      </c>
      <c r="T47" s="286"/>
      <c r="U47" s="295">
        <v>28214</v>
      </c>
      <c r="V47" s="38" t="s">
        <v>372</v>
      </c>
      <c r="W47" s="29" t="s">
        <v>75</v>
      </c>
      <c r="X47" s="29" t="s">
        <v>11</v>
      </c>
      <c r="Y47" s="29">
        <v>37.6</v>
      </c>
      <c r="Z47" s="38" t="s">
        <v>122</v>
      </c>
      <c r="AA47" s="29" t="s">
        <v>76</v>
      </c>
      <c r="AB47" s="29" t="s">
        <v>18</v>
      </c>
      <c r="AC47" s="29">
        <v>11.4</v>
      </c>
      <c r="AD47" s="38" t="s">
        <v>124</v>
      </c>
      <c r="AE47" s="29" t="s">
        <v>79</v>
      </c>
      <c r="AF47" s="29" t="s">
        <v>11</v>
      </c>
      <c r="AG47" s="39">
        <v>4.4000000000000004</v>
      </c>
      <c r="AH47" s="29" t="s">
        <v>125</v>
      </c>
      <c r="AI47" s="29" t="s">
        <v>87</v>
      </c>
      <c r="AJ47" s="29" t="s">
        <v>12</v>
      </c>
      <c r="AK47" s="29">
        <v>2.2999999999999998</v>
      </c>
      <c r="AL47" s="38"/>
      <c r="AO47" s="39"/>
      <c r="AP47" s="38"/>
      <c r="AS47" s="39"/>
      <c r="AW47" s="39"/>
      <c r="BA47" s="40"/>
    </row>
    <row r="48" spans="1:53" s="29" customFormat="1" x14ac:dyDescent="0.15">
      <c r="A48" s="52">
        <v>1978</v>
      </c>
      <c r="B48" s="295"/>
      <c r="C48" s="394" t="s">
        <v>387</v>
      </c>
      <c r="D48" s="394"/>
      <c r="E48" s="29">
        <v>93</v>
      </c>
      <c r="G48" s="66">
        <v>6</v>
      </c>
      <c r="H48" s="29">
        <v>2</v>
      </c>
      <c r="I48" s="29">
        <v>2</v>
      </c>
      <c r="J48" s="73">
        <v>15</v>
      </c>
      <c r="K48" s="47">
        <f t="shared" si="0"/>
        <v>40</v>
      </c>
      <c r="L48" s="47">
        <f t="shared" si="1"/>
        <v>13.333333333333334</v>
      </c>
      <c r="M48" s="47">
        <f t="shared" si="2"/>
        <v>13.333333333333334</v>
      </c>
      <c r="N48" s="68">
        <f t="shared" si="3"/>
        <v>66.666666666666671</v>
      </c>
      <c r="O48" s="46">
        <v>42</v>
      </c>
      <c r="P48" s="47">
        <v>11.4</v>
      </c>
      <c r="Q48" s="47">
        <v>2.2999999999999998</v>
      </c>
      <c r="R48" s="48">
        <f t="shared" si="4"/>
        <v>55.699999999999996</v>
      </c>
      <c r="S48" s="29">
        <v>3</v>
      </c>
      <c r="T48" s="286"/>
      <c r="U48" s="295"/>
      <c r="V48" s="38" t="s">
        <v>372</v>
      </c>
      <c r="W48" s="29" t="s">
        <v>75</v>
      </c>
      <c r="X48" s="29" t="s">
        <v>11</v>
      </c>
      <c r="Y48" s="29">
        <v>37.6</v>
      </c>
      <c r="Z48" s="38" t="s">
        <v>122</v>
      </c>
      <c r="AA48" s="29" t="s">
        <v>76</v>
      </c>
      <c r="AB48" s="29" t="s">
        <v>18</v>
      </c>
      <c r="AC48" s="29">
        <v>11.4</v>
      </c>
      <c r="AD48" s="38" t="s">
        <v>124</v>
      </c>
      <c r="AE48" s="29" t="s">
        <v>79</v>
      </c>
      <c r="AF48" s="29" t="s">
        <v>11</v>
      </c>
      <c r="AG48" s="39">
        <v>4.4000000000000004</v>
      </c>
      <c r="AH48" s="29" t="s">
        <v>125</v>
      </c>
      <c r="AI48" s="29" t="s">
        <v>87</v>
      </c>
      <c r="AJ48" s="29" t="s">
        <v>12</v>
      </c>
      <c r="AK48" s="29">
        <v>2.2999999999999998</v>
      </c>
      <c r="AL48" s="38"/>
      <c r="AO48" s="39"/>
      <c r="AP48" s="38"/>
      <c r="AS48" s="39"/>
      <c r="AW48" s="39"/>
      <c r="BA48" s="40"/>
    </row>
    <row r="49" spans="1:53" s="171" customFormat="1" x14ac:dyDescent="0.15">
      <c r="A49" s="216">
        <v>1978</v>
      </c>
      <c r="B49" s="283">
        <v>28584</v>
      </c>
      <c r="C49" s="402" t="s">
        <v>388</v>
      </c>
      <c r="D49" s="402"/>
      <c r="E49" s="171">
        <v>272</v>
      </c>
      <c r="F49" s="171">
        <v>1</v>
      </c>
      <c r="G49" s="233">
        <v>6</v>
      </c>
      <c r="H49" s="171">
        <v>9</v>
      </c>
      <c r="J49" s="241">
        <v>20</v>
      </c>
      <c r="K49" s="214">
        <f t="shared" si="0"/>
        <v>30</v>
      </c>
      <c r="L49" s="214">
        <f t="shared" si="1"/>
        <v>45</v>
      </c>
      <c r="M49" s="214">
        <f t="shared" si="2"/>
        <v>0</v>
      </c>
      <c r="N49" s="235">
        <f t="shared" si="3"/>
        <v>75</v>
      </c>
      <c r="O49" s="213">
        <v>30</v>
      </c>
      <c r="P49" s="214">
        <v>26.2</v>
      </c>
      <c r="Q49" s="214"/>
      <c r="R49" s="215">
        <f t="shared" si="4"/>
        <v>56.2</v>
      </c>
      <c r="S49" s="171">
        <v>2</v>
      </c>
      <c r="T49" s="285">
        <v>28561</v>
      </c>
      <c r="U49" s="283">
        <v>28584</v>
      </c>
      <c r="V49" s="178" t="s">
        <v>372</v>
      </c>
      <c r="W49" s="171" t="s">
        <v>75</v>
      </c>
      <c r="X49" s="171" t="s">
        <v>11</v>
      </c>
      <c r="Y49" s="171">
        <v>30</v>
      </c>
      <c r="Z49" s="178" t="s">
        <v>126</v>
      </c>
      <c r="AA49" s="171" t="s">
        <v>78</v>
      </c>
      <c r="AB49" s="171" t="s">
        <v>18</v>
      </c>
      <c r="AC49" s="171">
        <v>26.2</v>
      </c>
      <c r="AD49" s="178"/>
      <c r="AG49" s="179"/>
      <c r="AL49" s="178"/>
      <c r="AO49" s="179"/>
      <c r="AP49" s="178"/>
      <c r="AS49" s="179"/>
      <c r="AW49" s="179"/>
      <c r="BA49" s="180"/>
    </row>
    <row r="50" spans="1:53" s="171" customFormat="1" x14ac:dyDescent="0.15">
      <c r="A50" s="216">
        <v>1979</v>
      </c>
      <c r="B50" s="283"/>
      <c r="C50" s="402" t="s">
        <v>388</v>
      </c>
      <c r="D50" s="402"/>
      <c r="E50" s="171">
        <v>0</v>
      </c>
      <c r="G50" s="233">
        <v>6</v>
      </c>
      <c r="H50" s="171">
        <v>9</v>
      </c>
      <c r="J50" s="241">
        <v>20</v>
      </c>
      <c r="K50" s="214">
        <f t="shared" si="0"/>
        <v>30</v>
      </c>
      <c r="L50" s="214">
        <f t="shared" si="1"/>
        <v>45</v>
      </c>
      <c r="M50" s="214">
        <f t="shared" si="2"/>
        <v>0</v>
      </c>
      <c r="N50" s="235">
        <f t="shared" si="3"/>
        <v>75</v>
      </c>
      <c r="O50" s="213">
        <v>30</v>
      </c>
      <c r="P50" s="214">
        <v>26.2</v>
      </c>
      <c r="Q50" s="214"/>
      <c r="R50" s="215">
        <f t="shared" si="4"/>
        <v>56.2</v>
      </c>
      <c r="S50" s="171">
        <v>2</v>
      </c>
      <c r="T50" s="285"/>
      <c r="U50" s="283"/>
      <c r="V50" s="178" t="s">
        <v>372</v>
      </c>
      <c r="W50" s="171" t="s">
        <v>75</v>
      </c>
      <c r="X50" s="171" t="s">
        <v>11</v>
      </c>
      <c r="Y50" s="171">
        <v>30</v>
      </c>
      <c r="Z50" s="178" t="s">
        <v>126</v>
      </c>
      <c r="AA50" s="171" t="s">
        <v>78</v>
      </c>
      <c r="AB50" s="171" t="s">
        <v>18</v>
      </c>
      <c r="AC50" s="171">
        <v>26.2</v>
      </c>
      <c r="AD50" s="178"/>
      <c r="AG50" s="179"/>
      <c r="AL50" s="178"/>
      <c r="AO50" s="179"/>
      <c r="AP50" s="178"/>
      <c r="AS50" s="179"/>
      <c r="AW50" s="179"/>
      <c r="BA50" s="180"/>
    </row>
    <row r="51" spans="1:53" s="171" customFormat="1" x14ac:dyDescent="0.15">
      <c r="A51" s="216">
        <v>1979</v>
      </c>
      <c r="B51" s="283"/>
      <c r="C51" s="402" t="s">
        <v>388</v>
      </c>
      <c r="D51" s="402"/>
      <c r="E51" s="171">
        <v>365</v>
      </c>
      <c r="G51" s="233">
        <v>6</v>
      </c>
      <c r="H51" s="171">
        <v>9</v>
      </c>
      <c r="J51" s="241">
        <v>20</v>
      </c>
      <c r="K51" s="214">
        <f t="shared" si="0"/>
        <v>30</v>
      </c>
      <c r="L51" s="214">
        <f t="shared" si="1"/>
        <v>45</v>
      </c>
      <c r="M51" s="214">
        <f t="shared" si="2"/>
        <v>0</v>
      </c>
      <c r="N51" s="235">
        <f t="shared" si="3"/>
        <v>75</v>
      </c>
      <c r="O51" s="213">
        <v>30</v>
      </c>
      <c r="P51" s="214">
        <v>26.2</v>
      </c>
      <c r="Q51" s="214"/>
      <c r="R51" s="215">
        <f t="shared" si="4"/>
        <v>56.2</v>
      </c>
      <c r="S51" s="171">
        <v>2</v>
      </c>
      <c r="T51" s="285"/>
      <c r="U51" s="283"/>
      <c r="V51" s="178" t="s">
        <v>372</v>
      </c>
      <c r="W51" s="171" t="s">
        <v>75</v>
      </c>
      <c r="X51" s="171" t="s">
        <v>11</v>
      </c>
      <c r="Y51" s="171">
        <v>30</v>
      </c>
      <c r="Z51" s="178" t="s">
        <v>126</v>
      </c>
      <c r="AA51" s="171" t="s">
        <v>78</v>
      </c>
      <c r="AB51" s="171" t="s">
        <v>18</v>
      </c>
      <c r="AC51" s="171">
        <v>26.2</v>
      </c>
      <c r="AD51" s="178"/>
      <c r="AG51" s="179"/>
      <c r="AL51" s="178"/>
      <c r="AO51" s="179"/>
      <c r="AP51" s="178"/>
      <c r="AS51" s="179"/>
      <c r="AW51" s="179"/>
      <c r="BA51" s="180"/>
    </row>
    <row r="52" spans="1:53" s="171" customFormat="1" x14ac:dyDescent="0.15">
      <c r="A52" s="216">
        <v>1980</v>
      </c>
      <c r="B52" s="283"/>
      <c r="C52" s="402" t="s">
        <v>388</v>
      </c>
      <c r="D52" s="402"/>
      <c r="E52" s="171">
        <v>0</v>
      </c>
      <c r="G52" s="233">
        <v>6</v>
      </c>
      <c r="H52" s="171">
        <v>9</v>
      </c>
      <c r="J52" s="241">
        <v>20</v>
      </c>
      <c r="K52" s="214">
        <f t="shared" si="0"/>
        <v>30</v>
      </c>
      <c r="L52" s="214">
        <f t="shared" si="1"/>
        <v>45</v>
      </c>
      <c r="M52" s="214">
        <f t="shared" si="2"/>
        <v>0</v>
      </c>
      <c r="N52" s="235">
        <f t="shared" si="3"/>
        <v>75</v>
      </c>
      <c r="O52" s="213">
        <v>30</v>
      </c>
      <c r="P52" s="214">
        <v>26.2</v>
      </c>
      <c r="Q52" s="214"/>
      <c r="R52" s="215">
        <f t="shared" si="4"/>
        <v>56.2</v>
      </c>
      <c r="S52" s="171">
        <v>2</v>
      </c>
      <c r="T52" s="285"/>
      <c r="U52" s="283"/>
      <c r="V52" s="178" t="s">
        <v>372</v>
      </c>
      <c r="W52" s="171" t="s">
        <v>75</v>
      </c>
      <c r="X52" s="171" t="s">
        <v>11</v>
      </c>
      <c r="Y52" s="171">
        <v>30</v>
      </c>
      <c r="Z52" s="178" t="s">
        <v>126</v>
      </c>
      <c r="AA52" s="171" t="s">
        <v>78</v>
      </c>
      <c r="AB52" s="171" t="s">
        <v>18</v>
      </c>
      <c r="AC52" s="171">
        <v>26.2</v>
      </c>
      <c r="AD52" s="178"/>
      <c r="AG52" s="179"/>
      <c r="AL52" s="178"/>
      <c r="AO52" s="179"/>
      <c r="AP52" s="178"/>
      <c r="AS52" s="179"/>
      <c r="AW52" s="179"/>
      <c r="BA52" s="180"/>
    </row>
    <row r="53" spans="1:53" s="171" customFormat="1" x14ac:dyDescent="0.15">
      <c r="A53" s="216">
        <v>1980</v>
      </c>
      <c r="B53" s="283"/>
      <c r="C53" s="402" t="s">
        <v>388</v>
      </c>
      <c r="D53" s="402"/>
      <c r="E53" s="171">
        <v>366</v>
      </c>
      <c r="G53" s="233">
        <v>6</v>
      </c>
      <c r="H53" s="171">
        <v>9</v>
      </c>
      <c r="J53" s="241">
        <v>20</v>
      </c>
      <c r="K53" s="214">
        <f t="shared" si="0"/>
        <v>30</v>
      </c>
      <c r="L53" s="214">
        <f t="shared" si="1"/>
        <v>45</v>
      </c>
      <c r="M53" s="214">
        <f t="shared" si="2"/>
        <v>0</v>
      </c>
      <c r="N53" s="235">
        <f t="shared" si="3"/>
        <v>75</v>
      </c>
      <c r="O53" s="213">
        <v>30</v>
      </c>
      <c r="P53" s="214">
        <v>26.2</v>
      </c>
      <c r="Q53" s="214"/>
      <c r="R53" s="215">
        <f t="shared" si="4"/>
        <v>56.2</v>
      </c>
      <c r="S53" s="171">
        <v>2</v>
      </c>
      <c r="T53" s="285"/>
      <c r="U53" s="283"/>
      <c r="V53" s="178" t="s">
        <v>372</v>
      </c>
      <c r="W53" s="171" t="s">
        <v>75</v>
      </c>
      <c r="X53" s="171" t="s">
        <v>11</v>
      </c>
      <c r="Y53" s="171">
        <v>30</v>
      </c>
      <c r="Z53" s="178" t="s">
        <v>126</v>
      </c>
      <c r="AA53" s="171" t="s">
        <v>78</v>
      </c>
      <c r="AB53" s="171" t="s">
        <v>18</v>
      </c>
      <c r="AC53" s="171">
        <v>26.2</v>
      </c>
      <c r="AD53" s="178"/>
      <c r="AG53" s="179"/>
      <c r="AL53" s="178"/>
      <c r="AO53" s="179"/>
      <c r="AP53" s="178"/>
      <c r="AS53" s="179"/>
      <c r="AW53" s="179"/>
      <c r="BA53" s="180"/>
    </row>
    <row r="54" spans="1:53" s="171" customFormat="1" x14ac:dyDescent="0.15">
      <c r="A54" s="216">
        <v>1981</v>
      </c>
      <c r="B54" s="283"/>
      <c r="C54" s="402" t="s">
        <v>388</v>
      </c>
      <c r="D54" s="402"/>
      <c r="E54" s="171">
        <v>141</v>
      </c>
      <c r="G54" s="233">
        <v>6</v>
      </c>
      <c r="H54" s="171">
        <v>9</v>
      </c>
      <c r="J54" s="241">
        <v>20</v>
      </c>
      <c r="K54" s="214">
        <f t="shared" si="0"/>
        <v>30</v>
      </c>
      <c r="L54" s="214">
        <f t="shared" si="1"/>
        <v>45</v>
      </c>
      <c r="M54" s="214">
        <f t="shared" si="2"/>
        <v>0</v>
      </c>
      <c r="N54" s="235">
        <f t="shared" si="3"/>
        <v>75</v>
      </c>
      <c r="O54" s="213">
        <v>30</v>
      </c>
      <c r="P54" s="214">
        <v>26.2</v>
      </c>
      <c r="Q54" s="214"/>
      <c r="R54" s="215">
        <f t="shared" si="4"/>
        <v>56.2</v>
      </c>
      <c r="S54" s="171">
        <v>2</v>
      </c>
      <c r="T54" s="285"/>
      <c r="U54" s="283"/>
      <c r="V54" s="178" t="s">
        <v>372</v>
      </c>
      <c r="W54" s="171" t="s">
        <v>75</v>
      </c>
      <c r="X54" s="171" t="s">
        <v>11</v>
      </c>
      <c r="Y54" s="171">
        <v>30</v>
      </c>
      <c r="Z54" s="178" t="s">
        <v>126</v>
      </c>
      <c r="AA54" s="171" t="s">
        <v>78</v>
      </c>
      <c r="AB54" s="171" t="s">
        <v>18</v>
      </c>
      <c r="AC54" s="171">
        <v>26.2</v>
      </c>
      <c r="AD54" s="178"/>
      <c r="AG54" s="179"/>
      <c r="AL54" s="178"/>
      <c r="AO54" s="179"/>
      <c r="AP54" s="178"/>
      <c r="AS54" s="179"/>
      <c r="AW54" s="179"/>
      <c r="BA54" s="180"/>
    </row>
    <row r="55" spans="1:53" s="29" customFormat="1" x14ac:dyDescent="0.15">
      <c r="A55" s="52">
        <v>1981</v>
      </c>
      <c r="B55" s="295">
        <v>29728</v>
      </c>
      <c r="C55" s="394" t="s">
        <v>389</v>
      </c>
      <c r="D55" s="394"/>
      <c r="E55" s="29">
        <v>32</v>
      </c>
      <c r="F55" s="29">
        <v>1</v>
      </c>
      <c r="G55" s="66"/>
      <c r="I55" s="29">
        <v>31</v>
      </c>
      <c r="J55" s="73">
        <v>31</v>
      </c>
      <c r="K55" s="47">
        <f t="shared" si="0"/>
        <v>0</v>
      </c>
      <c r="L55" s="47">
        <f t="shared" si="1"/>
        <v>0</v>
      </c>
      <c r="M55" s="47">
        <f t="shared" si="2"/>
        <v>100</v>
      </c>
      <c r="N55" s="68">
        <f t="shared" si="3"/>
        <v>100</v>
      </c>
      <c r="O55" s="46"/>
      <c r="P55" s="47"/>
      <c r="Q55" s="47">
        <v>21.5</v>
      </c>
      <c r="R55" s="48">
        <f t="shared" si="4"/>
        <v>21.5</v>
      </c>
      <c r="S55" s="29">
        <v>6</v>
      </c>
      <c r="T55" s="286"/>
      <c r="U55" s="295">
        <v>29728</v>
      </c>
      <c r="V55" s="38" t="s">
        <v>95</v>
      </c>
      <c r="W55" s="29" t="s">
        <v>20</v>
      </c>
      <c r="X55" s="29" t="s">
        <v>12</v>
      </c>
      <c r="Y55" s="29">
        <v>21.5</v>
      </c>
      <c r="Z55" s="38"/>
      <c r="AD55" s="38"/>
      <c r="AG55" s="39"/>
      <c r="AL55" s="38"/>
      <c r="AO55" s="39"/>
      <c r="AP55" s="38"/>
      <c r="AS55" s="39"/>
      <c r="AW55" s="39"/>
      <c r="BA55" s="40"/>
    </row>
    <row r="56" spans="1:53" s="171" customFormat="1" x14ac:dyDescent="0.15">
      <c r="A56" s="216">
        <v>1981</v>
      </c>
      <c r="B56" s="283">
        <v>29760</v>
      </c>
      <c r="C56" s="402" t="s">
        <v>390</v>
      </c>
      <c r="D56" s="402"/>
      <c r="E56" s="171">
        <v>192</v>
      </c>
      <c r="F56" s="171">
        <v>1</v>
      </c>
      <c r="G56" s="233"/>
      <c r="I56" s="171">
        <v>36</v>
      </c>
      <c r="J56" s="241">
        <v>36</v>
      </c>
      <c r="K56" s="214">
        <f t="shared" si="0"/>
        <v>0</v>
      </c>
      <c r="L56" s="214">
        <f t="shared" si="1"/>
        <v>0</v>
      </c>
      <c r="M56" s="214">
        <f t="shared" si="2"/>
        <v>100</v>
      </c>
      <c r="N56" s="235">
        <f t="shared" si="3"/>
        <v>100</v>
      </c>
      <c r="O56" s="213"/>
      <c r="P56" s="214"/>
      <c r="Q56" s="214">
        <v>65.7</v>
      </c>
      <c r="R56" s="215">
        <f t="shared" si="4"/>
        <v>65.7</v>
      </c>
      <c r="S56" s="171">
        <v>3</v>
      </c>
      <c r="T56" s="285">
        <v>29751</v>
      </c>
      <c r="U56" s="283">
        <v>29760</v>
      </c>
      <c r="V56" s="178" t="s">
        <v>95</v>
      </c>
      <c r="W56" s="171" t="s">
        <v>20</v>
      </c>
      <c r="X56" s="171" t="s">
        <v>12</v>
      </c>
      <c r="Y56" s="171">
        <v>56.5</v>
      </c>
      <c r="Z56" s="178" t="s">
        <v>127</v>
      </c>
      <c r="AA56" s="171" t="s">
        <v>113</v>
      </c>
      <c r="AB56" s="171" t="s">
        <v>12</v>
      </c>
      <c r="AC56" s="171">
        <v>9.1999999999999993</v>
      </c>
      <c r="AD56" s="178"/>
      <c r="AG56" s="179"/>
      <c r="AL56" s="178"/>
      <c r="AO56" s="179"/>
      <c r="AP56" s="178"/>
      <c r="AS56" s="179"/>
      <c r="AW56" s="179"/>
      <c r="BA56" s="180"/>
    </row>
    <row r="57" spans="1:53" s="171" customFormat="1" x14ac:dyDescent="0.15">
      <c r="A57" s="216">
        <v>1982</v>
      </c>
      <c r="B57" s="283"/>
      <c r="C57" s="402" t="s">
        <v>390</v>
      </c>
      <c r="D57" s="402"/>
      <c r="E57" s="171">
        <v>0</v>
      </c>
      <c r="G57" s="233"/>
      <c r="I57" s="171">
        <v>36</v>
      </c>
      <c r="J57" s="241">
        <v>36</v>
      </c>
      <c r="K57" s="214">
        <f t="shared" si="0"/>
        <v>0</v>
      </c>
      <c r="L57" s="214">
        <f t="shared" si="1"/>
        <v>0</v>
      </c>
      <c r="M57" s="214">
        <f t="shared" si="2"/>
        <v>100</v>
      </c>
      <c r="N57" s="235">
        <f t="shared" si="3"/>
        <v>100</v>
      </c>
      <c r="O57" s="213"/>
      <c r="P57" s="214"/>
      <c r="Q57" s="214">
        <v>65.7</v>
      </c>
      <c r="R57" s="215">
        <f t="shared" si="4"/>
        <v>65.7</v>
      </c>
      <c r="S57" s="171">
        <v>3</v>
      </c>
      <c r="T57" s="285"/>
      <c r="U57" s="283"/>
      <c r="V57" s="178" t="s">
        <v>95</v>
      </c>
      <c r="W57" s="171" t="s">
        <v>20</v>
      </c>
      <c r="X57" s="171" t="s">
        <v>12</v>
      </c>
      <c r="Y57" s="171">
        <v>56.5</v>
      </c>
      <c r="Z57" s="178" t="s">
        <v>127</v>
      </c>
      <c r="AA57" s="171" t="s">
        <v>113</v>
      </c>
      <c r="AB57" s="171" t="s">
        <v>12</v>
      </c>
      <c r="AC57" s="171">
        <v>9.1999999999999993</v>
      </c>
      <c r="AD57" s="178"/>
      <c r="AG57" s="179"/>
      <c r="AL57" s="178"/>
      <c r="AO57" s="179"/>
      <c r="AP57" s="178"/>
      <c r="AS57" s="179"/>
      <c r="AW57" s="179"/>
      <c r="BA57" s="180"/>
    </row>
    <row r="58" spans="1:53" s="171" customFormat="1" x14ac:dyDescent="0.15">
      <c r="A58" s="216">
        <v>1982</v>
      </c>
      <c r="B58" s="283"/>
      <c r="C58" s="402" t="s">
        <v>390</v>
      </c>
      <c r="D58" s="402"/>
      <c r="E58" s="171">
        <v>365</v>
      </c>
      <c r="G58" s="233"/>
      <c r="I58" s="171">
        <v>36</v>
      </c>
      <c r="J58" s="241">
        <v>36</v>
      </c>
      <c r="K58" s="214">
        <f t="shared" si="0"/>
        <v>0</v>
      </c>
      <c r="L58" s="214">
        <f t="shared" si="1"/>
        <v>0</v>
      </c>
      <c r="M58" s="214">
        <f t="shared" si="2"/>
        <v>100</v>
      </c>
      <c r="N58" s="235">
        <f t="shared" si="3"/>
        <v>100</v>
      </c>
      <c r="O58" s="213"/>
      <c r="P58" s="214"/>
      <c r="Q58" s="214">
        <v>65.7</v>
      </c>
      <c r="R58" s="215">
        <f t="shared" si="4"/>
        <v>65.7</v>
      </c>
      <c r="S58" s="171">
        <v>3</v>
      </c>
      <c r="T58" s="285"/>
      <c r="U58" s="283"/>
      <c r="V58" s="178" t="s">
        <v>95</v>
      </c>
      <c r="W58" s="171" t="s">
        <v>20</v>
      </c>
      <c r="X58" s="171" t="s">
        <v>12</v>
      </c>
      <c r="Y58" s="171">
        <v>56.5</v>
      </c>
      <c r="Z58" s="178" t="s">
        <v>127</v>
      </c>
      <c r="AA58" s="171" t="s">
        <v>113</v>
      </c>
      <c r="AB58" s="171" t="s">
        <v>12</v>
      </c>
      <c r="AC58" s="171">
        <v>9.1999999999999993</v>
      </c>
      <c r="AD58" s="178"/>
      <c r="AG58" s="179"/>
      <c r="AL58" s="178"/>
      <c r="AO58" s="179"/>
      <c r="AP58" s="178"/>
      <c r="AS58" s="179"/>
      <c r="AW58" s="179"/>
      <c r="BA58" s="180"/>
    </row>
    <row r="59" spans="1:53" s="171" customFormat="1" x14ac:dyDescent="0.15">
      <c r="A59" s="216">
        <v>1983</v>
      </c>
      <c r="B59" s="283"/>
      <c r="C59" s="402" t="s">
        <v>390</v>
      </c>
      <c r="D59" s="402"/>
      <c r="E59" s="171">
        <v>80</v>
      </c>
      <c r="G59" s="233"/>
      <c r="I59" s="171">
        <v>36</v>
      </c>
      <c r="J59" s="241">
        <v>36</v>
      </c>
      <c r="K59" s="214">
        <f t="shared" si="0"/>
        <v>0</v>
      </c>
      <c r="L59" s="214">
        <f t="shared" si="1"/>
        <v>0</v>
      </c>
      <c r="M59" s="214">
        <f t="shared" si="2"/>
        <v>100</v>
      </c>
      <c r="N59" s="235">
        <f t="shared" si="3"/>
        <v>100</v>
      </c>
      <c r="O59" s="213"/>
      <c r="P59" s="214"/>
      <c r="Q59" s="214">
        <v>65.7</v>
      </c>
      <c r="R59" s="215">
        <f t="shared" si="4"/>
        <v>65.7</v>
      </c>
      <c r="S59" s="171">
        <v>3</v>
      </c>
      <c r="T59" s="285"/>
      <c r="U59" s="283"/>
      <c r="V59" s="178" t="s">
        <v>95</v>
      </c>
      <c r="W59" s="171" t="s">
        <v>20</v>
      </c>
      <c r="X59" s="171" t="s">
        <v>12</v>
      </c>
      <c r="Y59" s="171">
        <v>56.5</v>
      </c>
      <c r="Z59" s="178" t="s">
        <v>127</v>
      </c>
      <c r="AA59" s="171" t="s">
        <v>113</v>
      </c>
      <c r="AB59" s="171" t="s">
        <v>12</v>
      </c>
      <c r="AC59" s="171">
        <v>9.1999999999999993</v>
      </c>
      <c r="AD59" s="178"/>
      <c r="AG59" s="179"/>
      <c r="AL59" s="178"/>
      <c r="AO59" s="179"/>
      <c r="AP59" s="178"/>
      <c r="AS59" s="179"/>
      <c r="AW59" s="179"/>
      <c r="BA59" s="180"/>
    </row>
    <row r="60" spans="1:53" s="29" customFormat="1" x14ac:dyDescent="0.15">
      <c r="A60" s="52">
        <v>1983</v>
      </c>
      <c r="B60" s="295">
        <v>30397</v>
      </c>
      <c r="C60" s="394" t="s">
        <v>391</v>
      </c>
      <c r="D60" s="394"/>
      <c r="E60" s="29">
        <v>285</v>
      </c>
      <c r="F60" s="29">
        <v>6</v>
      </c>
      <c r="G60" s="66"/>
      <c r="I60" s="29">
        <v>23</v>
      </c>
      <c r="J60" s="73">
        <v>23</v>
      </c>
      <c r="K60" s="47">
        <f t="shared" si="0"/>
        <v>0</v>
      </c>
      <c r="L60" s="47">
        <f t="shared" si="1"/>
        <v>0</v>
      </c>
      <c r="M60" s="47">
        <f t="shared" si="2"/>
        <v>100</v>
      </c>
      <c r="N60" s="68">
        <f t="shared" si="3"/>
        <v>100</v>
      </c>
      <c r="O60" s="46"/>
      <c r="P60" s="47"/>
      <c r="Q60" s="47">
        <v>65.7</v>
      </c>
      <c r="R60" s="48">
        <f t="shared" si="4"/>
        <v>65.7</v>
      </c>
      <c r="S60" s="29">
        <v>3</v>
      </c>
      <c r="T60" s="286"/>
      <c r="U60" s="295">
        <v>30397</v>
      </c>
      <c r="V60" s="38" t="s">
        <v>95</v>
      </c>
      <c r="W60" s="29" t="s">
        <v>20</v>
      </c>
      <c r="X60" s="29" t="s">
        <v>12</v>
      </c>
      <c r="Y60" s="29">
        <v>56.5</v>
      </c>
      <c r="Z60" s="38" t="s">
        <v>127</v>
      </c>
      <c r="AA60" s="29" t="s">
        <v>113</v>
      </c>
      <c r="AB60" s="29" t="s">
        <v>12</v>
      </c>
      <c r="AC60" s="29">
        <v>9.1999999999999993</v>
      </c>
      <c r="AD60" s="38"/>
      <c r="AG60" s="39"/>
      <c r="AL60" s="38"/>
      <c r="AO60" s="39"/>
      <c r="AP60" s="38"/>
      <c r="AS60" s="39"/>
      <c r="AW60" s="39"/>
      <c r="BA60" s="40"/>
    </row>
    <row r="61" spans="1:53" s="29" customFormat="1" x14ac:dyDescent="0.15">
      <c r="A61" s="52">
        <v>1984</v>
      </c>
      <c r="B61" s="295"/>
      <c r="C61" s="394" t="s">
        <v>391</v>
      </c>
      <c r="D61" s="394"/>
      <c r="E61" s="29">
        <v>204</v>
      </c>
      <c r="G61" s="66"/>
      <c r="I61" s="29">
        <v>23</v>
      </c>
      <c r="J61" s="73">
        <v>23</v>
      </c>
      <c r="K61" s="47">
        <f t="shared" si="0"/>
        <v>0</v>
      </c>
      <c r="L61" s="47">
        <f t="shared" si="1"/>
        <v>0</v>
      </c>
      <c r="M61" s="47">
        <f t="shared" si="2"/>
        <v>100</v>
      </c>
      <c r="N61" s="68">
        <f t="shared" si="3"/>
        <v>100</v>
      </c>
      <c r="O61" s="46"/>
      <c r="P61" s="47"/>
      <c r="Q61" s="47">
        <v>65.7</v>
      </c>
      <c r="R61" s="48">
        <f t="shared" si="4"/>
        <v>65.7</v>
      </c>
      <c r="S61" s="29">
        <v>3</v>
      </c>
      <c r="T61" s="286"/>
      <c r="U61" s="295"/>
      <c r="V61" s="38" t="s">
        <v>95</v>
      </c>
      <c r="W61" s="29" t="s">
        <v>20</v>
      </c>
      <c r="X61" s="29" t="s">
        <v>12</v>
      </c>
      <c r="Y61" s="29">
        <v>56.5</v>
      </c>
      <c r="Z61" s="38" t="s">
        <v>127</v>
      </c>
      <c r="AA61" s="29" t="s">
        <v>113</v>
      </c>
      <c r="AB61" s="29" t="s">
        <v>12</v>
      </c>
      <c r="AC61" s="29">
        <v>9.1999999999999993</v>
      </c>
      <c r="AD61" s="38"/>
      <c r="AG61" s="39"/>
      <c r="AL61" s="38"/>
      <c r="AO61" s="39"/>
      <c r="AP61" s="38"/>
      <c r="AS61" s="39"/>
      <c r="AW61" s="39"/>
      <c r="BA61" s="40"/>
    </row>
    <row r="62" spans="1:53" s="171" customFormat="1" x14ac:dyDescent="0.15">
      <c r="A62" s="216">
        <v>1984</v>
      </c>
      <c r="B62" s="283">
        <v>30886</v>
      </c>
      <c r="C62" s="402" t="s">
        <v>392</v>
      </c>
      <c r="D62" s="402"/>
      <c r="E62" s="171">
        <v>162</v>
      </c>
      <c r="F62" s="171">
        <v>6</v>
      </c>
      <c r="G62" s="233"/>
      <c r="I62" s="171">
        <v>23</v>
      </c>
      <c r="J62" s="241">
        <v>23</v>
      </c>
      <c r="K62" s="214">
        <f t="shared" si="0"/>
        <v>0</v>
      </c>
      <c r="L62" s="214">
        <f t="shared" si="1"/>
        <v>0</v>
      </c>
      <c r="M62" s="214">
        <f t="shared" si="2"/>
        <v>100</v>
      </c>
      <c r="N62" s="235">
        <f t="shared" si="3"/>
        <v>100</v>
      </c>
      <c r="O62" s="213"/>
      <c r="P62" s="214"/>
      <c r="Q62" s="214">
        <v>56.5</v>
      </c>
      <c r="R62" s="215">
        <f t="shared" si="4"/>
        <v>56.5</v>
      </c>
      <c r="S62" s="171">
        <v>1</v>
      </c>
      <c r="T62" s="285"/>
      <c r="U62" s="283">
        <v>30886</v>
      </c>
      <c r="V62" s="178" t="s">
        <v>95</v>
      </c>
      <c r="W62" s="171" t="s">
        <v>20</v>
      </c>
      <c r="X62" s="171" t="s">
        <v>12</v>
      </c>
      <c r="Y62" s="171">
        <v>56.5</v>
      </c>
      <c r="Z62" s="178"/>
      <c r="AD62" s="178"/>
      <c r="AG62" s="179"/>
      <c r="AL62" s="178"/>
      <c r="AO62" s="179"/>
      <c r="AP62" s="178"/>
      <c r="AS62" s="179"/>
      <c r="AW62" s="179"/>
      <c r="BA62" s="180"/>
    </row>
    <row r="63" spans="1:53" s="171" customFormat="1" x14ac:dyDescent="0.15">
      <c r="A63" s="216">
        <v>1985</v>
      </c>
      <c r="B63" s="283"/>
      <c r="C63" s="402" t="s">
        <v>392</v>
      </c>
      <c r="D63" s="402"/>
      <c r="E63" s="171">
        <v>0</v>
      </c>
      <c r="G63" s="233"/>
      <c r="I63" s="171">
        <v>23</v>
      </c>
      <c r="J63" s="241">
        <v>23</v>
      </c>
      <c r="K63" s="214">
        <f t="shared" si="0"/>
        <v>0</v>
      </c>
      <c r="L63" s="214">
        <f t="shared" si="1"/>
        <v>0</v>
      </c>
      <c r="M63" s="214">
        <f t="shared" si="2"/>
        <v>100</v>
      </c>
      <c r="N63" s="235">
        <f t="shared" si="3"/>
        <v>100</v>
      </c>
      <c r="O63" s="213"/>
      <c r="P63" s="214"/>
      <c r="Q63" s="214">
        <v>56.5</v>
      </c>
      <c r="R63" s="215">
        <f t="shared" si="4"/>
        <v>56.5</v>
      </c>
      <c r="S63" s="171">
        <v>1</v>
      </c>
      <c r="T63" s="285"/>
      <c r="U63" s="283"/>
      <c r="V63" s="178" t="s">
        <v>95</v>
      </c>
      <c r="W63" s="171" t="s">
        <v>20</v>
      </c>
      <c r="X63" s="171" t="s">
        <v>12</v>
      </c>
      <c r="Y63" s="171">
        <v>56.5</v>
      </c>
      <c r="Z63" s="178"/>
      <c r="AD63" s="178"/>
      <c r="AG63" s="179"/>
      <c r="AL63" s="178"/>
      <c r="AO63" s="179"/>
      <c r="AP63" s="178"/>
      <c r="AS63" s="179"/>
      <c r="AW63" s="179"/>
      <c r="BA63" s="180"/>
    </row>
    <row r="64" spans="1:53" s="171" customFormat="1" x14ac:dyDescent="0.15">
      <c r="A64" s="216">
        <v>1985</v>
      </c>
      <c r="B64" s="283"/>
      <c r="C64" s="402" t="s">
        <v>392</v>
      </c>
      <c r="D64" s="402"/>
      <c r="E64" s="171">
        <v>365</v>
      </c>
      <c r="G64" s="233"/>
      <c r="I64" s="171">
        <v>23</v>
      </c>
      <c r="J64" s="241">
        <v>23</v>
      </c>
      <c r="K64" s="214">
        <f t="shared" si="0"/>
        <v>0</v>
      </c>
      <c r="L64" s="214">
        <f t="shared" si="1"/>
        <v>0</v>
      </c>
      <c r="M64" s="214">
        <f t="shared" si="2"/>
        <v>100</v>
      </c>
      <c r="N64" s="235">
        <f t="shared" si="3"/>
        <v>100</v>
      </c>
      <c r="O64" s="213"/>
      <c r="P64" s="214"/>
      <c r="Q64" s="214">
        <v>56.5</v>
      </c>
      <c r="R64" s="215">
        <f t="shared" si="4"/>
        <v>56.5</v>
      </c>
      <c r="S64" s="171">
        <v>1</v>
      </c>
      <c r="T64" s="285"/>
      <c r="U64" s="283"/>
      <c r="V64" s="178" t="s">
        <v>95</v>
      </c>
      <c r="W64" s="171" t="s">
        <v>20</v>
      </c>
      <c r="X64" s="171" t="s">
        <v>12</v>
      </c>
      <c r="Y64" s="171">
        <v>56.5</v>
      </c>
      <c r="Z64" s="178"/>
      <c r="AD64" s="178"/>
      <c r="AG64" s="179"/>
      <c r="AL64" s="178"/>
      <c r="AO64" s="179"/>
      <c r="AP64" s="178"/>
      <c r="AS64" s="179"/>
      <c r="AW64" s="179"/>
      <c r="BA64" s="180"/>
    </row>
    <row r="65" spans="1:53" s="171" customFormat="1" x14ac:dyDescent="0.15">
      <c r="A65" s="171">
        <v>1986</v>
      </c>
      <c r="B65" s="283"/>
      <c r="C65" s="402" t="s">
        <v>392</v>
      </c>
      <c r="D65" s="402"/>
      <c r="E65" s="171">
        <v>78</v>
      </c>
      <c r="G65" s="233"/>
      <c r="I65" s="171">
        <v>23</v>
      </c>
      <c r="J65" s="241">
        <v>23</v>
      </c>
      <c r="K65" s="214">
        <f>G65/J65*100</f>
        <v>0</v>
      </c>
      <c r="L65" s="214">
        <f>H65/J65*100</f>
        <v>0</v>
      </c>
      <c r="M65" s="214">
        <f>I65/J65*100</f>
        <v>100</v>
      </c>
      <c r="N65" s="235">
        <f t="shared" si="3"/>
        <v>100</v>
      </c>
      <c r="O65" s="213"/>
      <c r="P65" s="214"/>
      <c r="Q65" s="214">
        <v>56.5</v>
      </c>
      <c r="R65" s="215">
        <f t="shared" si="4"/>
        <v>56.5</v>
      </c>
      <c r="S65" s="171">
        <v>1</v>
      </c>
      <c r="T65" s="285"/>
      <c r="U65" s="283"/>
      <c r="V65" s="178" t="s">
        <v>95</v>
      </c>
      <c r="W65" s="171" t="s">
        <v>20</v>
      </c>
      <c r="X65" s="171" t="s">
        <v>12</v>
      </c>
      <c r="Y65" s="171">
        <v>56.5</v>
      </c>
      <c r="Z65" s="178"/>
      <c r="AD65" s="178"/>
      <c r="AG65" s="179"/>
      <c r="AL65" s="178"/>
      <c r="AO65" s="179"/>
      <c r="AP65" s="178"/>
      <c r="AS65" s="179"/>
      <c r="AW65" s="179"/>
      <c r="BA65" s="180"/>
    </row>
    <row r="66" spans="1:53" s="29" customFormat="1" x14ac:dyDescent="0.15">
      <c r="A66" s="29">
        <v>1986</v>
      </c>
      <c r="B66" s="295">
        <v>31491</v>
      </c>
      <c r="C66" s="394" t="s">
        <v>399</v>
      </c>
      <c r="D66" s="394"/>
      <c r="E66" s="29">
        <v>287</v>
      </c>
      <c r="F66" s="29">
        <v>1</v>
      </c>
      <c r="G66" s="66">
        <v>14</v>
      </c>
      <c r="H66" s="29">
        <v>8</v>
      </c>
      <c r="J66" s="73">
        <v>25</v>
      </c>
      <c r="K66" s="47">
        <f t="shared" ref="K66:K73" si="5">G66/J66*100</f>
        <v>56.000000000000007</v>
      </c>
      <c r="L66" s="47">
        <f t="shared" ref="L66:L73" si="6">H66/J66*100</f>
        <v>32</v>
      </c>
      <c r="M66" s="47">
        <f t="shared" ref="M66:M73" si="7">I66/J66*100</f>
        <v>0</v>
      </c>
      <c r="N66" s="68">
        <f t="shared" si="3"/>
        <v>88</v>
      </c>
      <c r="O66" s="46">
        <v>26.3</v>
      </c>
      <c r="P66" s="47">
        <v>23</v>
      </c>
      <c r="Q66" s="47"/>
      <c r="R66" s="48">
        <f t="shared" si="4"/>
        <v>49.3</v>
      </c>
      <c r="S66" s="29">
        <v>5</v>
      </c>
      <c r="T66" s="286">
        <v>31487</v>
      </c>
      <c r="U66" s="295">
        <v>31491</v>
      </c>
      <c r="V66" s="38" t="s">
        <v>372</v>
      </c>
      <c r="W66" s="29" t="s">
        <v>75</v>
      </c>
      <c r="X66" s="29" t="s">
        <v>11</v>
      </c>
      <c r="Y66" s="29">
        <v>26.3</v>
      </c>
      <c r="Z66" s="38" t="s">
        <v>126</v>
      </c>
      <c r="AA66" s="29" t="s">
        <v>78</v>
      </c>
      <c r="AB66" s="29" t="s">
        <v>18</v>
      </c>
      <c r="AC66" s="29">
        <v>23</v>
      </c>
      <c r="AD66" s="38"/>
      <c r="AG66" s="39"/>
      <c r="AL66" s="38"/>
      <c r="AO66" s="39"/>
      <c r="AP66" s="38"/>
      <c r="AS66" s="39"/>
      <c r="AW66" s="39"/>
      <c r="BA66" s="40"/>
    </row>
    <row r="67" spans="1:53" s="29" customFormat="1" x14ac:dyDescent="0.15">
      <c r="A67" s="29">
        <v>1987</v>
      </c>
      <c r="B67" s="295"/>
      <c r="C67" s="394" t="s">
        <v>399</v>
      </c>
      <c r="D67" s="394"/>
      <c r="E67" s="29">
        <v>0</v>
      </c>
      <c r="G67" s="66">
        <v>14</v>
      </c>
      <c r="H67" s="29">
        <v>8</v>
      </c>
      <c r="J67" s="73">
        <v>25</v>
      </c>
      <c r="K67" s="47">
        <f t="shared" si="5"/>
        <v>56.000000000000007</v>
      </c>
      <c r="L67" s="47">
        <f t="shared" si="6"/>
        <v>32</v>
      </c>
      <c r="M67" s="47">
        <f t="shared" si="7"/>
        <v>0</v>
      </c>
      <c r="N67" s="68">
        <f t="shared" si="3"/>
        <v>88</v>
      </c>
      <c r="O67" s="46">
        <v>26.3</v>
      </c>
      <c r="P67" s="47">
        <v>23</v>
      </c>
      <c r="Q67" s="47"/>
      <c r="R67" s="48">
        <f t="shared" si="4"/>
        <v>49.3</v>
      </c>
      <c r="S67" s="29">
        <v>5</v>
      </c>
      <c r="T67" s="286"/>
      <c r="U67" s="295"/>
      <c r="V67" s="38" t="s">
        <v>372</v>
      </c>
      <c r="W67" s="29" t="s">
        <v>75</v>
      </c>
      <c r="X67" s="29" t="s">
        <v>11</v>
      </c>
      <c r="Y67" s="29">
        <v>26.3</v>
      </c>
      <c r="Z67" s="38" t="s">
        <v>126</v>
      </c>
      <c r="AA67" s="29" t="s">
        <v>78</v>
      </c>
      <c r="AB67" s="29" t="s">
        <v>18</v>
      </c>
      <c r="AC67" s="29">
        <v>23</v>
      </c>
      <c r="AD67" s="38"/>
      <c r="AG67" s="39"/>
      <c r="AL67" s="38"/>
      <c r="AO67" s="39"/>
      <c r="AP67" s="38"/>
      <c r="AS67" s="39"/>
      <c r="AW67" s="39"/>
      <c r="BA67" s="40"/>
    </row>
    <row r="68" spans="1:53" s="29" customFormat="1" x14ac:dyDescent="0.15">
      <c r="A68" s="29">
        <v>1987</v>
      </c>
      <c r="B68" s="295"/>
      <c r="C68" s="394" t="s">
        <v>399</v>
      </c>
      <c r="D68" s="394"/>
      <c r="E68" s="29">
        <v>365</v>
      </c>
      <c r="G68" s="66">
        <v>14</v>
      </c>
      <c r="H68" s="29">
        <v>8</v>
      </c>
      <c r="J68" s="73">
        <v>25</v>
      </c>
      <c r="K68" s="47">
        <f t="shared" si="5"/>
        <v>56.000000000000007</v>
      </c>
      <c r="L68" s="47">
        <f t="shared" si="6"/>
        <v>32</v>
      </c>
      <c r="M68" s="47">
        <f t="shared" si="7"/>
        <v>0</v>
      </c>
      <c r="N68" s="68">
        <f t="shared" si="3"/>
        <v>88</v>
      </c>
      <c r="O68" s="46">
        <v>26.3</v>
      </c>
      <c r="P68" s="47">
        <v>23</v>
      </c>
      <c r="Q68" s="47"/>
      <c r="R68" s="48">
        <f t="shared" si="4"/>
        <v>49.3</v>
      </c>
      <c r="S68" s="29">
        <v>5</v>
      </c>
      <c r="T68" s="286"/>
      <c r="U68" s="295"/>
      <c r="V68" s="38" t="s">
        <v>372</v>
      </c>
      <c r="W68" s="29" t="s">
        <v>75</v>
      </c>
      <c r="X68" s="29" t="s">
        <v>11</v>
      </c>
      <c r="Y68" s="29">
        <v>26.3</v>
      </c>
      <c r="Z68" s="38" t="s">
        <v>126</v>
      </c>
      <c r="AA68" s="29" t="s">
        <v>78</v>
      </c>
      <c r="AB68" s="29" t="s">
        <v>18</v>
      </c>
      <c r="AC68" s="29">
        <v>23</v>
      </c>
      <c r="AD68" s="38"/>
      <c r="AG68" s="39"/>
      <c r="AL68" s="38"/>
      <c r="AO68" s="39"/>
      <c r="AP68" s="38"/>
      <c r="AS68" s="39"/>
      <c r="AW68" s="39"/>
      <c r="BA68" s="40"/>
    </row>
    <row r="69" spans="1:53" s="29" customFormat="1" x14ac:dyDescent="0.15">
      <c r="A69" s="29">
        <v>1988</v>
      </c>
      <c r="B69" s="295"/>
      <c r="C69" s="394" t="s">
        <v>399</v>
      </c>
      <c r="D69" s="394"/>
      <c r="E69" s="29">
        <v>133</v>
      </c>
      <c r="G69" s="66">
        <v>14</v>
      </c>
      <c r="H69" s="29">
        <v>8</v>
      </c>
      <c r="J69" s="73">
        <v>25</v>
      </c>
      <c r="K69" s="47">
        <f t="shared" si="5"/>
        <v>56.000000000000007</v>
      </c>
      <c r="L69" s="47">
        <f t="shared" si="6"/>
        <v>32</v>
      </c>
      <c r="M69" s="47">
        <f t="shared" si="7"/>
        <v>0</v>
      </c>
      <c r="N69" s="68">
        <f t="shared" si="3"/>
        <v>88</v>
      </c>
      <c r="O69" s="46">
        <v>26.3</v>
      </c>
      <c r="P69" s="47">
        <v>23</v>
      </c>
      <c r="Q69" s="47"/>
      <c r="R69" s="48">
        <f t="shared" si="4"/>
        <v>49.3</v>
      </c>
      <c r="S69" s="29">
        <v>5</v>
      </c>
      <c r="T69" s="286"/>
      <c r="U69" s="295"/>
      <c r="V69" s="38" t="s">
        <v>372</v>
      </c>
      <c r="W69" s="29" t="s">
        <v>75</v>
      </c>
      <c r="X69" s="29" t="s">
        <v>11</v>
      </c>
      <c r="Y69" s="29">
        <v>26.3</v>
      </c>
      <c r="Z69" s="38" t="s">
        <v>126</v>
      </c>
      <c r="AA69" s="29" t="s">
        <v>78</v>
      </c>
      <c r="AB69" s="29" t="s">
        <v>18</v>
      </c>
      <c r="AC69" s="29">
        <v>23</v>
      </c>
      <c r="AD69" s="38"/>
      <c r="AG69" s="39"/>
      <c r="AL69" s="38"/>
      <c r="AO69" s="39"/>
      <c r="AP69" s="38"/>
      <c r="AS69" s="39"/>
      <c r="AW69" s="39"/>
      <c r="BA69" s="40"/>
    </row>
    <row r="70" spans="1:53" s="171" customFormat="1" x14ac:dyDescent="0.15">
      <c r="A70" s="171">
        <v>1988</v>
      </c>
      <c r="B70" s="283">
        <v>32276</v>
      </c>
      <c r="C70" s="402" t="s">
        <v>393</v>
      </c>
      <c r="D70" s="402"/>
      <c r="E70" s="171">
        <v>46</v>
      </c>
      <c r="F70" s="171">
        <v>1</v>
      </c>
      <c r="G70" s="233"/>
      <c r="H70" s="171">
        <v>2</v>
      </c>
      <c r="I70" s="171">
        <v>14</v>
      </c>
      <c r="J70" s="241">
        <v>19</v>
      </c>
      <c r="K70" s="214">
        <f>G70/J70*100</f>
        <v>0</v>
      </c>
      <c r="L70" s="214">
        <f>H70/J70*100</f>
        <v>10.526315789473683</v>
      </c>
      <c r="M70" s="214">
        <f>I70/J70*100</f>
        <v>73.68421052631578</v>
      </c>
      <c r="N70" s="235">
        <f t="shared" si="3"/>
        <v>84.210526315789465</v>
      </c>
      <c r="O70" s="213"/>
      <c r="P70" s="214">
        <v>23</v>
      </c>
      <c r="Q70" s="214">
        <v>35.6</v>
      </c>
      <c r="R70" s="215">
        <f t="shared" si="4"/>
        <v>58.6</v>
      </c>
      <c r="S70" s="171">
        <v>2</v>
      </c>
      <c r="T70" s="285"/>
      <c r="U70" s="283">
        <v>32276</v>
      </c>
      <c r="V70" s="178" t="s">
        <v>95</v>
      </c>
      <c r="W70" s="171" t="s">
        <v>20</v>
      </c>
      <c r="X70" s="171" t="s">
        <v>12</v>
      </c>
      <c r="Y70" s="171">
        <v>35.6</v>
      </c>
      <c r="Z70" s="178" t="s">
        <v>126</v>
      </c>
      <c r="AA70" s="171" t="s">
        <v>78</v>
      </c>
      <c r="AB70" s="171" t="s">
        <v>18</v>
      </c>
      <c r="AC70" s="171">
        <v>23</v>
      </c>
      <c r="AD70" s="178"/>
      <c r="AG70" s="179"/>
      <c r="AL70" s="178"/>
      <c r="AO70" s="179"/>
      <c r="AP70" s="178"/>
      <c r="AS70" s="179"/>
      <c r="AW70" s="179"/>
      <c r="BA70" s="180"/>
    </row>
    <row r="71" spans="1:53" s="29" customFormat="1" x14ac:dyDescent="0.15">
      <c r="A71" s="29">
        <v>1988</v>
      </c>
      <c r="B71" s="295">
        <v>32322</v>
      </c>
      <c r="C71" s="394" t="s">
        <v>394</v>
      </c>
      <c r="D71" s="394"/>
      <c r="E71" s="29">
        <v>187</v>
      </c>
      <c r="F71" s="29">
        <v>6</v>
      </c>
      <c r="G71" s="66"/>
      <c r="I71" s="29">
        <v>14</v>
      </c>
      <c r="J71" s="73">
        <v>20</v>
      </c>
      <c r="K71" s="47">
        <f t="shared" si="5"/>
        <v>0</v>
      </c>
      <c r="L71" s="47">
        <f t="shared" si="6"/>
        <v>0</v>
      </c>
      <c r="M71" s="47">
        <f t="shared" si="7"/>
        <v>70</v>
      </c>
      <c r="N71" s="68">
        <f t="shared" si="3"/>
        <v>70</v>
      </c>
      <c r="O71" s="46"/>
      <c r="P71" s="47"/>
      <c r="Q71" s="47">
        <v>48.4</v>
      </c>
      <c r="R71" s="48">
        <f t="shared" si="4"/>
        <v>48.4</v>
      </c>
      <c r="S71" s="29">
        <v>5</v>
      </c>
      <c r="T71" s="286">
        <v>32299</v>
      </c>
      <c r="U71" s="295">
        <v>32322</v>
      </c>
      <c r="V71" s="38" t="s">
        <v>95</v>
      </c>
      <c r="W71" s="29" t="s">
        <v>20</v>
      </c>
      <c r="X71" s="29" t="s">
        <v>12</v>
      </c>
      <c r="Y71" s="39">
        <v>46.8</v>
      </c>
      <c r="Z71" s="29" t="s">
        <v>125</v>
      </c>
      <c r="AA71" s="29" t="s">
        <v>87</v>
      </c>
      <c r="AB71" s="29" t="s">
        <v>12</v>
      </c>
      <c r="AC71" s="29">
        <v>1.6</v>
      </c>
      <c r="AD71" s="38" t="s">
        <v>396</v>
      </c>
      <c r="AE71" s="29" t="s">
        <v>217</v>
      </c>
      <c r="AF71" s="29" t="s">
        <v>12</v>
      </c>
      <c r="AG71" s="39">
        <v>0</v>
      </c>
      <c r="AL71" s="38"/>
      <c r="AO71" s="39"/>
      <c r="AP71" s="38"/>
      <c r="AS71" s="39"/>
      <c r="AW71" s="39"/>
      <c r="BA71" s="40"/>
    </row>
    <row r="72" spans="1:53" s="29" customFormat="1" x14ac:dyDescent="0.15">
      <c r="A72" s="29">
        <v>1989</v>
      </c>
      <c r="B72" s="295"/>
      <c r="C72" s="394" t="s">
        <v>394</v>
      </c>
      <c r="D72" s="394"/>
      <c r="E72" s="29">
        <v>0</v>
      </c>
      <c r="G72" s="66"/>
      <c r="I72" s="29">
        <v>14</v>
      </c>
      <c r="J72" s="73">
        <v>20</v>
      </c>
      <c r="K72" s="47">
        <f t="shared" si="5"/>
        <v>0</v>
      </c>
      <c r="L72" s="47">
        <f t="shared" si="6"/>
        <v>0</v>
      </c>
      <c r="M72" s="47">
        <f t="shared" si="7"/>
        <v>70</v>
      </c>
      <c r="N72" s="68">
        <f t="shared" si="3"/>
        <v>70</v>
      </c>
      <c r="O72" s="46"/>
      <c r="P72" s="47"/>
      <c r="Q72" s="47">
        <v>48.4</v>
      </c>
      <c r="R72" s="48">
        <f t="shared" si="4"/>
        <v>48.4</v>
      </c>
      <c r="S72" s="29">
        <v>5</v>
      </c>
      <c r="T72" s="286"/>
      <c r="U72" s="295"/>
      <c r="V72" s="38" t="s">
        <v>95</v>
      </c>
      <c r="W72" s="29" t="s">
        <v>20</v>
      </c>
      <c r="X72" s="29" t="s">
        <v>12</v>
      </c>
      <c r="Y72" s="39">
        <v>46.8</v>
      </c>
      <c r="Z72" s="29" t="s">
        <v>125</v>
      </c>
      <c r="AA72" s="29" t="s">
        <v>87</v>
      </c>
      <c r="AB72" s="29" t="s">
        <v>12</v>
      </c>
      <c r="AC72" s="29">
        <v>1.6</v>
      </c>
      <c r="AD72" s="38" t="s">
        <v>396</v>
      </c>
      <c r="AE72" s="29" t="s">
        <v>217</v>
      </c>
      <c r="AF72" s="29" t="s">
        <v>12</v>
      </c>
      <c r="AG72" s="39">
        <v>0</v>
      </c>
      <c r="AL72" s="38"/>
      <c r="AO72" s="39"/>
      <c r="AP72" s="38"/>
      <c r="AS72" s="39"/>
      <c r="AW72" s="39"/>
      <c r="BA72" s="40"/>
    </row>
    <row r="73" spans="1:53" s="74" customFormat="1" x14ac:dyDescent="0.15">
      <c r="A73" s="74">
        <v>1989</v>
      </c>
      <c r="B73" s="302"/>
      <c r="C73" s="418" t="s">
        <v>394</v>
      </c>
      <c r="D73" s="418"/>
      <c r="E73" s="74">
        <f>365-E72</f>
        <v>365</v>
      </c>
      <c r="G73" s="75"/>
      <c r="I73" s="74">
        <v>14</v>
      </c>
      <c r="J73" s="76">
        <v>20</v>
      </c>
      <c r="K73" s="77">
        <f t="shared" si="5"/>
        <v>0</v>
      </c>
      <c r="L73" s="77">
        <f t="shared" si="6"/>
        <v>0</v>
      </c>
      <c r="M73" s="77">
        <f t="shared" si="7"/>
        <v>70</v>
      </c>
      <c r="N73" s="78">
        <f t="shared" ref="N73:N129" si="8">SUM(K73:M73)</f>
        <v>70</v>
      </c>
      <c r="O73" s="79"/>
      <c r="P73" s="77"/>
      <c r="Q73" s="77">
        <v>48.4</v>
      </c>
      <c r="R73" s="80">
        <f t="shared" ref="R73:R126" si="9">SUM(O73:Q73)</f>
        <v>48.4</v>
      </c>
      <c r="S73" s="74">
        <v>5</v>
      </c>
      <c r="T73" s="304"/>
      <c r="U73" s="302"/>
      <c r="V73" s="81" t="s">
        <v>95</v>
      </c>
      <c r="W73" s="74" t="s">
        <v>20</v>
      </c>
      <c r="X73" s="74" t="s">
        <v>12</v>
      </c>
      <c r="Y73" s="82">
        <v>46.8</v>
      </c>
      <c r="Z73" s="74" t="s">
        <v>125</v>
      </c>
      <c r="AA73" s="74" t="s">
        <v>87</v>
      </c>
      <c r="AB73" s="74" t="s">
        <v>12</v>
      </c>
      <c r="AC73" s="74">
        <v>1.6</v>
      </c>
      <c r="AD73" s="81" t="s">
        <v>396</v>
      </c>
      <c r="AE73" s="74" t="s">
        <v>217</v>
      </c>
      <c r="AF73" s="74" t="s">
        <v>12</v>
      </c>
      <c r="AG73" s="82">
        <v>0</v>
      </c>
      <c r="AL73" s="81"/>
      <c r="AO73" s="82"/>
      <c r="AP73" s="81"/>
      <c r="AS73" s="82"/>
      <c r="AW73" s="82"/>
      <c r="BA73" s="83"/>
    </row>
    <row r="74" spans="1:53" s="29" customFormat="1" x14ac:dyDescent="0.15">
      <c r="A74" s="29">
        <v>1990</v>
      </c>
      <c r="B74" s="295"/>
      <c r="C74" s="394" t="s">
        <v>394</v>
      </c>
      <c r="D74" s="394"/>
      <c r="E74" s="29">
        <v>0</v>
      </c>
      <c r="G74" s="66"/>
      <c r="I74" s="29">
        <v>14</v>
      </c>
      <c r="J74" s="73">
        <v>20</v>
      </c>
      <c r="K74" s="47">
        <v>0</v>
      </c>
      <c r="L74" s="47">
        <v>0</v>
      </c>
      <c r="M74" s="47">
        <v>70</v>
      </c>
      <c r="N74" s="68">
        <f t="shared" si="8"/>
        <v>70</v>
      </c>
      <c r="O74" s="46"/>
      <c r="P74" s="47"/>
      <c r="Q74" s="47">
        <v>48.4</v>
      </c>
      <c r="R74" s="48">
        <f t="shared" si="9"/>
        <v>48.4</v>
      </c>
      <c r="S74" s="29">
        <v>5</v>
      </c>
      <c r="T74" s="286"/>
      <c r="U74" s="295"/>
      <c r="V74" s="38" t="s">
        <v>95</v>
      </c>
      <c r="W74" s="29" t="s">
        <v>20</v>
      </c>
      <c r="X74" s="29" t="s">
        <v>12</v>
      </c>
      <c r="Y74" s="39">
        <v>46.8</v>
      </c>
      <c r="Z74" s="29" t="s">
        <v>125</v>
      </c>
      <c r="AA74" s="29" t="s">
        <v>87</v>
      </c>
      <c r="AB74" s="29" t="s">
        <v>12</v>
      </c>
      <c r="AC74" s="29">
        <v>1.6</v>
      </c>
      <c r="AD74" s="38" t="s">
        <v>396</v>
      </c>
      <c r="AE74" s="29" t="s">
        <v>217</v>
      </c>
      <c r="AF74" s="29" t="s">
        <v>12</v>
      </c>
      <c r="AG74" s="39">
        <v>0</v>
      </c>
      <c r="AL74" s="38"/>
      <c r="AO74" s="39"/>
      <c r="AP74" s="38"/>
      <c r="AS74" s="39"/>
      <c r="AW74" s="39"/>
      <c r="BA74" s="40"/>
    </row>
    <row r="75" spans="1:53" s="29" customFormat="1" x14ac:dyDescent="0.15">
      <c r="A75" s="29">
        <v>1990</v>
      </c>
      <c r="B75" s="295"/>
      <c r="C75" s="394" t="s">
        <v>394</v>
      </c>
      <c r="D75" s="394"/>
      <c r="E75" s="29">
        <f>365-E74</f>
        <v>365</v>
      </c>
      <c r="G75" s="66"/>
      <c r="I75" s="29">
        <v>14</v>
      </c>
      <c r="J75" s="73">
        <v>20</v>
      </c>
      <c r="K75" s="47">
        <f>G75/J75*100</f>
        <v>0</v>
      </c>
      <c r="L75" s="47">
        <f>H75/J75*100</f>
        <v>0</v>
      </c>
      <c r="M75" s="47">
        <f>I75/J75*100</f>
        <v>70</v>
      </c>
      <c r="N75" s="68">
        <f t="shared" si="8"/>
        <v>70</v>
      </c>
      <c r="O75" s="46"/>
      <c r="P75" s="47"/>
      <c r="Q75" s="47">
        <v>48.4</v>
      </c>
      <c r="R75" s="48">
        <f t="shared" si="9"/>
        <v>48.4</v>
      </c>
      <c r="S75" s="29">
        <v>5</v>
      </c>
      <c r="T75" s="286"/>
      <c r="U75" s="295"/>
      <c r="V75" s="38" t="s">
        <v>95</v>
      </c>
      <c r="W75" s="29" t="s">
        <v>20</v>
      </c>
      <c r="X75" s="29" t="s">
        <v>12</v>
      </c>
      <c r="Y75" s="39">
        <v>46.8</v>
      </c>
      <c r="Z75" s="29" t="s">
        <v>125</v>
      </c>
      <c r="AA75" s="29" t="s">
        <v>87</v>
      </c>
      <c r="AB75" s="29" t="s">
        <v>12</v>
      </c>
      <c r="AC75" s="29">
        <v>1.6</v>
      </c>
      <c r="AD75" s="38" t="s">
        <v>396</v>
      </c>
      <c r="AE75" s="29" t="s">
        <v>217</v>
      </c>
      <c r="AF75" s="29" t="s">
        <v>12</v>
      </c>
      <c r="AG75" s="39">
        <v>0</v>
      </c>
      <c r="AL75" s="38"/>
      <c r="AO75" s="39"/>
      <c r="AP75" s="38"/>
      <c r="AS75" s="39"/>
      <c r="AW75" s="39"/>
      <c r="BA75" s="40"/>
    </row>
    <row r="76" spans="1:53" s="29" customFormat="1" x14ac:dyDescent="0.15">
      <c r="A76" s="29">
        <v>1991</v>
      </c>
      <c r="B76" s="295"/>
      <c r="C76" s="394" t="s">
        <v>394</v>
      </c>
      <c r="D76" s="394"/>
      <c r="E76" s="29">
        <v>134</v>
      </c>
      <c r="G76" s="66"/>
      <c r="I76" s="29">
        <v>14</v>
      </c>
      <c r="J76" s="73">
        <v>20</v>
      </c>
      <c r="K76" s="47">
        <f>G76/J76*100</f>
        <v>0</v>
      </c>
      <c r="L76" s="47">
        <f>H76/J76*100</f>
        <v>0</v>
      </c>
      <c r="M76" s="47">
        <f>I76/J76*100</f>
        <v>70</v>
      </c>
      <c r="N76" s="68">
        <f t="shared" si="8"/>
        <v>70</v>
      </c>
      <c r="O76" s="46"/>
      <c r="P76" s="47"/>
      <c r="Q76" s="47">
        <v>48.4</v>
      </c>
      <c r="R76" s="48">
        <f t="shared" si="9"/>
        <v>48.4</v>
      </c>
      <c r="S76" s="29">
        <v>5</v>
      </c>
      <c r="T76" s="286"/>
      <c r="U76" s="295"/>
      <c r="V76" s="38" t="s">
        <v>95</v>
      </c>
      <c r="W76" s="29" t="s">
        <v>20</v>
      </c>
      <c r="X76" s="29" t="s">
        <v>12</v>
      </c>
      <c r="Y76" s="39">
        <v>46.8</v>
      </c>
      <c r="Z76" s="29" t="s">
        <v>125</v>
      </c>
      <c r="AA76" s="29" t="s">
        <v>87</v>
      </c>
      <c r="AB76" s="29" t="s">
        <v>12</v>
      </c>
      <c r="AC76" s="29">
        <v>1.6</v>
      </c>
      <c r="AD76" s="38" t="s">
        <v>396</v>
      </c>
      <c r="AE76" s="29" t="s">
        <v>217</v>
      </c>
      <c r="AF76" s="29" t="s">
        <v>12</v>
      </c>
      <c r="AG76" s="39">
        <v>0</v>
      </c>
      <c r="AL76" s="38"/>
      <c r="AO76" s="39"/>
      <c r="AP76" s="38"/>
      <c r="AS76" s="39"/>
      <c r="AW76" s="39"/>
      <c r="BA76" s="40"/>
    </row>
    <row r="77" spans="1:53" s="171" customFormat="1" x14ac:dyDescent="0.15">
      <c r="A77" s="171">
        <v>1991</v>
      </c>
      <c r="B77" s="283">
        <v>33373</v>
      </c>
      <c r="C77" s="410" t="s">
        <v>395</v>
      </c>
      <c r="D77" s="410"/>
      <c r="E77" s="171">
        <f>365-E76</f>
        <v>231</v>
      </c>
      <c r="F77" s="171">
        <v>6</v>
      </c>
      <c r="G77" s="233"/>
      <c r="I77" s="171">
        <v>17</v>
      </c>
      <c r="J77" s="241">
        <v>20</v>
      </c>
      <c r="K77" s="214">
        <f>G77/J77*100</f>
        <v>0</v>
      </c>
      <c r="L77" s="214">
        <f>H77/J77*100</f>
        <v>0</v>
      </c>
      <c r="M77" s="214">
        <f>I77/J77*100</f>
        <v>85</v>
      </c>
      <c r="N77" s="235">
        <f t="shared" si="8"/>
        <v>85</v>
      </c>
      <c r="O77" s="213"/>
      <c r="P77" s="214"/>
      <c r="Q77" s="214">
        <v>48.4</v>
      </c>
      <c r="R77" s="215">
        <f t="shared" si="9"/>
        <v>48.4</v>
      </c>
      <c r="S77" s="171">
        <v>5</v>
      </c>
      <c r="T77" s="285"/>
      <c r="U77" s="283">
        <v>33373</v>
      </c>
      <c r="V77" s="178" t="s">
        <v>95</v>
      </c>
      <c r="W77" s="171" t="s">
        <v>20</v>
      </c>
      <c r="X77" s="171" t="s">
        <v>12</v>
      </c>
      <c r="Y77" s="179">
        <v>46.8</v>
      </c>
      <c r="Z77" s="171" t="s">
        <v>125</v>
      </c>
      <c r="AA77" s="171" t="s">
        <v>87</v>
      </c>
      <c r="AB77" s="171" t="s">
        <v>12</v>
      </c>
      <c r="AC77" s="171">
        <v>1.6</v>
      </c>
      <c r="AD77" s="178" t="s">
        <v>396</v>
      </c>
      <c r="AE77" s="171" t="s">
        <v>217</v>
      </c>
      <c r="AF77" s="171" t="s">
        <v>12</v>
      </c>
      <c r="AG77" s="179">
        <v>0</v>
      </c>
      <c r="AL77" s="178"/>
      <c r="AO77" s="179"/>
      <c r="AP77" s="178"/>
      <c r="AS77" s="179"/>
      <c r="AW77" s="179"/>
      <c r="BA77" s="180"/>
    </row>
    <row r="78" spans="1:53" s="171" customFormat="1" x14ac:dyDescent="0.15">
      <c r="A78" s="171">
        <v>1992</v>
      </c>
      <c r="B78" s="283"/>
      <c r="C78" s="410" t="s">
        <v>395</v>
      </c>
      <c r="D78" s="410"/>
      <c r="E78" s="171">
        <v>92</v>
      </c>
      <c r="G78" s="233"/>
      <c r="I78" s="171">
        <v>17</v>
      </c>
      <c r="J78" s="241">
        <v>20</v>
      </c>
      <c r="K78" s="214">
        <f>G78/J78*100</f>
        <v>0</v>
      </c>
      <c r="L78" s="214">
        <f>H78/J78*100</f>
        <v>0</v>
      </c>
      <c r="M78" s="214">
        <f>I78/J78*100</f>
        <v>85</v>
      </c>
      <c r="N78" s="235">
        <f t="shared" si="8"/>
        <v>85</v>
      </c>
      <c r="O78" s="213"/>
      <c r="P78" s="214"/>
      <c r="Q78" s="214">
        <v>48.4</v>
      </c>
      <c r="R78" s="215">
        <f t="shared" si="9"/>
        <v>48.4</v>
      </c>
      <c r="S78" s="171">
        <v>5</v>
      </c>
      <c r="T78" s="285"/>
      <c r="U78" s="283"/>
      <c r="V78" s="178" t="s">
        <v>95</v>
      </c>
      <c r="W78" s="171" t="s">
        <v>20</v>
      </c>
      <c r="X78" s="171" t="s">
        <v>12</v>
      </c>
      <c r="Y78" s="179">
        <v>46.8</v>
      </c>
      <c r="Z78" s="171" t="s">
        <v>125</v>
      </c>
      <c r="AA78" s="171" t="s">
        <v>87</v>
      </c>
      <c r="AB78" s="171" t="s">
        <v>12</v>
      </c>
      <c r="AC78" s="171">
        <v>1.6</v>
      </c>
      <c r="AD78" s="178" t="s">
        <v>396</v>
      </c>
      <c r="AE78" s="171" t="s">
        <v>217</v>
      </c>
      <c r="AF78" s="171" t="s">
        <v>12</v>
      </c>
      <c r="AG78" s="179">
        <v>0</v>
      </c>
      <c r="AL78" s="178"/>
      <c r="AO78" s="179"/>
      <c r="AP78" s="178"/>
      <c r="AS78" s="179"/>
      <c r="AW78" s="179"/>
      <c r="BA78" s="180"/>
    </row>
    <row r="79" spans="1:53" s="29" customFormat="1" x14ac:dyDescent="0.15">
      <c r="A79" s="29">
        <v>1992</v>
      </c>
      <c r="B79" s="295">
        <v>33696</v>
      </c>
      <c r="C79" s="411" t="s">
        <v>397</v>
      </c>
      <c r="D79" s="411"/>
      <c r="E79" s="29">
        <v>274</v>
      </c>
      <c r="F79" s="29">
        <v>6</v>
      </c>
      <c r="G79" s="66"/>
      <c r="I79" s="29">
        <v>20</v>
      </c>
      <c r="J79" s="73">
        <v>27</v>
      </c>
      <c r="K79" s="47">
        <f>G79/J79*100</f>
        <v>0</v>
      </c>
      <c r="L79" s="47">
        <f>H79/J79*100</f>
        <v>0</v>
      </c>
      <c r="M79" s="47">
        <f>I79/J79*100</f>
        <v>74.074074074074076</v>
      </c>
      <c r="N79" s="68">
        <f t="shared" si="8"/>
        <v>74.074074074074076</v>
      </c>
      <c r="O79" s="46"/>
      <c r="P79" s="47"/>
      <c r="Q79" s="47">
        <v>48.4</v>
      </c>
      <c r="R79" s="48">
        <f t="shared" si="9"/>
        <v>48.4</v>
      </c>
      <c r="S79" s="29">
        <v>5</v>
      </c>
      <c r="T79" s="286"/>
      <c r="U79" s="295">
        <v>33696</v>
      </c>
      <c r="V79" s="38" t="s">
        <v>95</v>
      </c>
      <c r="W79" s="29" t="s">
        <v>20</v>
      </c>
      <c r="X79" s="29" t="s">
        <v>12</v>
      </c>
      <c r="Y79" s="39">
        <v>46.8</v>
      </c>
      <c r="Z79" s="29" t="s">
        <v>125</v>
      </c>
      <c r="AA79" s="29" t="s">
        <v>87</v>
      </c>
      <c r="AB79" s="29" t="s">
        <v>12</v>
      </c>
      <c r="AC79" s="29">
        <v>1.6</v>
      </c>
      <c r="AD79" s="38"/>
      <c r="AG79" s="39"/>
      <c r="AL79" s="38"/>
      <c r="AO79" s="39"/>
      <c r="AP79" s="38"/>
      <c r="AS79" s="39"/>
      <c r="AW79" s="39"/>
      <c r="BA79" s="40"/>
    </row>
    <row r="80" spans="1:53" s="29" customFormat="1" x14ac:dyDescent="0.15">
      <c r="A80" s="29">
        <v>1993</v>
      </c>
      <c r="B80" s="295"/>
      <c r="C80" s="411" t="s">
        <v>397</v>
      </c>
      <c r="D80" s="411"/>
      <c r="E80" s="29">
        <v>87</v>
      </c>
      <c r="G80" s="66"/>
      <c r="I80" s="29">
        <v>20</v>
      </c>
      <c r="J80" s="73">
        <v>27</v>
      </c>
      <c r="K80" s="47">
        <f t="shared" ref="K80:K107" si="10">G80/J80*100</f>
        <v>0</v>
      </c>
      <c r="L80" s="47">
        <f t="shared" ref="L80:L107" si="11">H80/J80*100</f>
        <v>0</v>
      </c>
      <c r="M80" s="47">
        <f t="shared" ref="M80:M107" si="12">I80/J80*100</f>
        <v>74.074074074074076</v>
      </c>
      <c r="N80" s="68">
        <f t="shared" si="8"/>
        <v>74.074074074074076</v>
      </c>
      <c r="O80" s="46"/>
      <c r="P80" s="47"/>
      <c r="Q80" s="47">
        <v>48.4</v>
      </c>
      <c r="R80" s="48">
        <f t="shared" si="9"/>
        <v>48.4</v>
      </c>
      <c r="S80" s="29">
        <v>5</v>
      </c>
      <c r="T80" s="286"/>
      <c r="U80" s="295"/>
      <c r="V80" s="38" t="s">
        <v>95</v>
      </c>
      <c r="W80" s="29" t="s">
        <v>20</v>
      </c>
      <c r="X80" s="29" t="s">
        <v>12</v>
      </c>
      <c r="Y80" s="39">
        <v>46.8</v>
      </c>
      <c r="Z80" s="29" t="s">
        <v>125</v>
      </c>
      <c r="AA80" s="29" t="s">
        <v>87</v>
      </c>
      <c r="AB80" s="29" t="s">
        <v>12</v>
      </c>
      <c r="AC80" s="29">
        <v>1.6</v>
      </c>
      <c r="AD80" s="38"/>
      <c r="AG80" s="39"/>
      <c r="AL80" s="38"/>
      <c r="AO80" s="39"/>
      <c r="AP80" s="38"/>
      <c r="AS80" s="39"/>
      <c r="AW80" s="39"/>
      <c r="BA80" s="40"/>
    </row>
    <row r="81" spans="1:53" s="171" customFormat="1" x14ac:dyDescent="0.15">
      <c r="A81" s="171">
        <v>1993</v>
      </c>
      <c r="B81" s="283">
        <v>34057</v>
      </c>
      <c r="C81" s="410" t="s">
        <v>398</v>
      </c>
      <c r="D81" s="410"/>
      <c r="E81" s="171">
        <f>365-E80</f>
        <v>278</v>
      </c>
      <c r="F81" s="171">
        <v>1</v>
      </c>
      <c r="G81" s="233">
        <v>15</v>
      </c>
      <c r="H81" s="171">
        <v>14</v>
      </c>
      <c r="J81" s="241">
        <v>30</v>
      </c>
      <c r="K81" s="214">
        <f t="shared" si="10"/>
        <v>50</v>
      </c>
      <c r="L81" s="214">
        <f t="shared" si="11"/>
        <v>46.666666666666664</v>
      </c>
      <c r="M81" s="214">
        <f t="shared" si="12"/>
        <v>0</v>
      </c>
      <c r="N81" s="235">
        <f t="shared" si="8"/>
        <v>96.666666666666657</v>
      </c>
      <c r="O81" s="213">
        <v>44.5</v>
      </c>
      <c r="P81" s="214">
        <v>37.299999999999997</v>
      </c>
      <c r="Q81" s="214"/>
      <c r="R81" s="215">
        <f t="shared" si="9"/>
        <v>81.8</v>
      </c>
      <c r="S81" s="171">
        <v>2</v>
      </c>
      <c r="T81" s="285">
        <v>34056</v>
      </c>
      <c r="U81" s="283">
        <v>34057</v>
      </c>
      <c r="V81" s="178" t="s">
        <v>372</v>
      </c>
      <c r="W81" s="171" t="s">
        <v>75</v>
      </c>
      <c r="X81" s="171" t="s">
        <v>11</v>
      </c>
      <c r="Y81" s="179">
        <v>44.5</v>
      </c>
      <c r="Z81" s="178" t="s">
        <v>126</v>
      </c>
      <c r="AA81" s="171" t="s">
        <v>78</v>
      </c>
      <c r="AB81" s="171" t="s">
        <v>18</v>
      </c>
      <c r="AC81" s="171">
        <v>37.299999999999997</v>
      </c>
      <c r="AD81" s="178"/>
      <c r="AG81" s="179"/>
      <c r="AL81" s="178"/>
      <c r="AO81" s="179"/>
      <c r="AP81" s="178"/>
      <c r="AS81" s="179"/>
      <c r="AW81" s="179"/>
      <c r="BA81" s="180"/>
    </row>
    <row r="82" spans="1:53" s="171" customFormat="1" x14ac:dyDescent="0.15">
      <c r="A82" s="171">
        <v>1994</v>
      </c>
      <c r="B82" s="283"/>
      <c r="C82" s="410" t="s">
        <v>398</v>
      </c>
      <c r="D82" s="410"/>
      <c r="E82" s="171">
        <v>0</v>
      </c>
      <c r="G82" s="233">
        <v>14</v>
      </c>
      <c r="H82" s="171">
        <v>14</v>
      </c>
      <c r="J82" s="241">
        <v>29</v>
      </c>
      <c r="K82" s="214">
        <f t="shared" si="10"/>
        <v>48.275862068965516</v>
      </c>
      <c r="L82" s="214">
        <f t="shared" si="11"/>
        <v>48.275862068965516</v>
      </c>
      <c r="M82" s="214">
        <f t="shared" si="12"/>
        <v>0</v>
      </c>
      <c r="N82" s="235">
        <f t="shared" si="8"/>
        <v>96.551724137931032</v>
      </c>
      <c r="O82" s="213">
        <v>44.5</v>
      </c>
      <c r="P82" s="214">
        <v>37.299999999999997</v>
      </c>
      <c r="Q82" s="214"/>
      <c r="R82" s="215">
        <f t="shared" si="9"/>
        <v>81.8</v>
      </c>
      <c r="S82" s="171">
        <v>2</v>
      </c>
      <c r="T82" s="285"/>
      <c r="U82" s="283"/>
      <c r="V82" s="178" t="s">
        <v>372</v>
      </c>
      <c r="W82" s="171" t="s">
        <v>75</v>
      </c>
      <c r="X82" s="171" t="s">
        <v>11</v>
      </c>
      <c r="Y82" s="179">
        <v>44.5</v>
      </c>
      <c r="Z82" s="178" t="s">
        <v>126</v>
      </c>
      <c r="AA82" s="171" t="s">
        <v>78</v>
      </c>
      <c r="AB82" s="171" t="s">
        <v>18</v>
      </c>
      <c r="AC82" s="171">
        <v>37.299999999999997</v>
      </c>
      <c r="AD82" s="178"/>
      <c r="AG82" s="179"/>
      <c r="AL82" s="178"/>
      <c r="AO82" s="179"/>
      <c r="AP82" s="178"/>
      <c r="AS82" s="179"/>
      <c r="AW82" s="179"/>
      <c r="BA82" s="180"/>
    </row>
    <row r="83" spans="1:53" s="171" customFormat="1" x14ac:dyDescent="0.15">
      <c r="A83" s="171">
        <v>1994</v>
      </c>
      <c r="B83" s="283"/>
      <c r="C83" s="410" t="s">
        <v>398</v>
      </c>
      <c r="D83" s="410"/>
      <c r="E83" s="171">
        <f>365-E82</f>
        <v>365</v>
      </c>
      <c r="G83" s="233">
        <v>14</v>
      </c>
      <c r="H83" s="171">
        <v>14</v>
      </c>
      <c r="J83" s="241">
        <v>29</v>
      </c>
      <c r="K83" s="214">
        <f t="shared" si="10"/>
        <v>48.275862068965516</v>
      </c>
      <c r="L83" s="214">
        <f t="shared" si="11"/>
        <v>48.275862068965516</v>
      </c>
      <c r="M83" s="214">
        <f t="shared" si="12"/>
        <v>0</v>
      </c>
      <c r="N83" s="235">
        <f t="shared" si="8"/>
        <v>96.551724137931032</v>
      </c>
      <c r="O83" s="213">
        <v>44.5</v>
      </c>
      <c r="P83" s="214">
        <v>37.299999999999997</v>
      </c>
      <c r="Q83" s="214"/>
      <c r="R83" s="215">
        <f t="shared" si="9"/>
        <v>81.8</v>
      </c>
      <c r="S83" s="171">
        <v>2</v>
      </c>
      <c r="T83" s="285"/>
      <c r="U83" s="283"/>
      <c r="V83" s="178" t="s">
        <v>372</v>
      </c>
      <c r="W83" s="171" t="s">
        <v>75</v>
      </c>
      <c r="X83" s="171" t="s">
        <v>11</v>
      </c>
      <c r="Y83" s="179">
        <v>44.5</v>
      </c>
      <c r="Z83" s="178" t="s">
        <v>126</v>
      </c>
      <c r="AA83" s="171" t="s">
        <v>78</v>
      </c>
      <c r="AB83" s="171" t="s">
        <v>18</v>
      </c>
      <c r="AC83" s="171">
        <v>37.299999999999997</v>
      </c>
      <c r="AD83" s="178"/>
      <c r="AG83" s="179"/>
      <c r="AL83" s="178"/>
      <c r="AO83" s="179"/>
      <c r="AP83" s="178"/>
      <c r="AS83" s="179"/>
      <c r="AW83" s="179"/>
      <c r="BA83" s="180"/>
    </row>
    <row r="84" spans="1:53" s="171" customFormat="1" x14ac:dyDescent="0.15">
      <c r="A84" s="171">
        <v>1995</v>
      </c>
      <c r="B84" s="283"/>
      <c r="C84" s="410" t="s">
        <v>398</v>
      </c>
      <c r="D84" s="410"/>
      <c r="E84" s="171">
        <v>137</v>
      </c>
      <c r="G84" s="233">
        <v>14</v>
      </c>
      <c r="H84" s="171">
        <v>14</v>
      </c>
      <c r="J84" s="241">
        <v>29</v>
      </c>
      <c r="K84" s="214">
        <f t="shared" si="10"/>
        <v>48.275862068965516</v>
      </c>
      <c r="L84" s="214">
        <f t="shared" si="11"/>
        <v>48.275862068965516</v>
      </c>
      <c r="M84" s="214">
        <f t="shared" si="12"/>
        <v>0</v>
      </c>
      <c r="N84" s="235">
        <f t="shared" si="8"/>
        <v>96.551724137931032</v>
      </c>
      <c r="O84" s="213">
        <v>44.5</v>
      </c>
      <c r="P84" s="214">
        <v>37.299999999999997</v>
      </c>
      <c r="Q84" s="214"/>
      <c r="R84" s="215">
        <f t="shared" si="9"/>
        <v>81.8</v>
      </c>
      <c r="S84" s="171">
        <v>2</v>
      </c>
      <c r="T84" s="285"/>
      <c r="U84" s="283"/>
      <c r="V84" s="178" t="s">
        <v>372</v>
      </c>
      <c r="W84" s="171" t="s">
        <v>75</v>
      </c>
      <c r="X84" s="171" t="s">
        <v>11</v>
      </c>
      <c r="Y84" s="179">
        <v>44.5</v>
      </c>
      <c r="Z84" s="178" t="s">
        <v>126</v>
      </c>
      <c r="AA84" s="171" t="s">
        <v>78</v>
      </c>
      <c r="AB84" s="171" t="s">
        <v>18</v>
      </c>
      <c r="AC84" s="171">
        <v>37.299999999999997</v>
      </c>
      <c r="AD84" s="178"/>
      <c r="AG84" s="179"/>
      <c r="AL84" s="178"/>
      <c r="AO84" s="179"/>
      <c r="AP84" s="178"/>
      <c r="AS84" s="179"/>
      <c r="AW84" s="179"/>
      <c r="BA84" s="180"/>
    </row>
    <row r="85" spans="1:53" s="29" customFormat="1" x14ac:dyDescent="0.15">
      <c r="A85" s="29">
        <v>1995</v>
      </c>
      <c r="B85" s="295">
        <v>34837</v>
      </c>
      <c r="C85" s="411" t="s">
        <v>400</v>
      </c>
      <c r="D85" s="411"/>
      <c r="E85" s="29">
        <v>173</v>
      </c>
      <c r="F85" s="29">
        <v>2</v>
      </c>
      <c r="G85" s="66">
        <v>17</v>
      </c>
      <c r="H85" s="29">
        <v>11</v>
      </c>
      <c r="J85" s="73">
        <v>29</v>
      </c>
      <c r="K85" s="47">
        <f>G85/J85*100</f>
        <v>58.620689655172406</v>
      </c>
      <c r="L85" s="47">
        <f>H85/J85*100</f>
        <v>37.931034482758619</v>
      </c>
      <c r="M85" s="47">
        <f>I85/J85*100</f>
        <v>0</v>
      </c>
      <c r="N85" s="68">
        <f>SUM(K85:M85)</f>
        <v>96.551724137931018</v>
      </c>
      <c r="O85" s="46">
        <v>44.5</v>
      </c>
      <c r="P85" s="47">
        <v>37.299999999999997</v>
      </c>
      <c r="Q85" s="47"/>
      <c r="R85" s="48">
        <f>SUM(O85:Q85)</f>
        <v>81.8</v>
      </c>
      <c r="S85" s="29">
        <v>2</v>
      </c>
      <c r="T85" s="286"/>
      <c r="U85" s="295">
        <v>34837</v>
      </c>
      <c r="V85" s="38" t="s">
        <v>372</v>
      </c>
      <c r="W85" s="29" t="s">
        <v>75</v>
      </c>
      <c r="X85" s="29" t="s">
        <v>11</v>
      </c>
      <c r="Y85" s="39">
        <v>44.5</v>
      </c>
      <c r="Z85" s="38" t="s">
        <v>126</v>
      </c>
      <c r="AA85" s="29" t="s">
        <v>78</v>
      </c>
      <c r="AB85" s="29" t="s">
        <v>18</v>
      </c>
      <c r="AC85" s="29">
        <v>37.299999999999997</v>
      </c>
      <c r="AD85" s="38"/>
      <c r="AG85" s="39"/>
      <c r="AL85" s="38"/>
      <c r="AO85" s="39"/>
      <c r="AP85" s="38"/>
      <c r="AS85" s="39"/>
      <c r="AW85" s="39"/>
      <c r="BA85" s="40"/>
    </row>
    <row r="86" spans="1:53" s="171" customFormat="1" x14ac:dyDescent="0.15">
      <c r="A86" s="171">
        <v>1995</v>
      </c>
      <c r="B86" s="283">
        <v>35010</v>
      </c>
      <c r="C86" s="410" t="s">
        <v>401</v>
      </c>
      <c r="D86" s="410"/>
      <c r="E86" s="171">
        <v>55</v>
      </c>
      <c r="F86" s="171">
        <v>2</v>
      </c>
      <c r="G86" s="233">
        <v>17</v>
      </c>
      <c r="H86" s="171">
        <v>10</v>
      </c>
      <c r="J86" s="241">
        <v>29</v>
      </c>
      <c r="K86" s="214">
        <f t="shared" si="10"/>
        <v>58.620689655172406</v>
      </c>
      <c r="L86" s="214">
        <f t="shared" si="11"/>
        <v>34.482758620689658</v>
      </c>
      <c r="M86" s="214">
        <f t="shared" si="12"/>
        <v>0</v>
      </c>
      <c r="N86" s="235">
        <f t="shared" si="8"/>
        <v>93.103448275862064</v>
      </c>
      <c r="O86" s="213">
        <v>44.5</v>
      </c>
      <c r="P86" s="214">
        <v>37.299999999999997</v>
      </c>
      <c r="Q86" s="214"/>
      <c r="R86" s="215">
        <f t="shared" si="9"/>
        <v>81.8</v>
      </c>
      <c r="S86" s="171">
        <v>2</v>
      </c>
      <c r="T86" s="285"/>
      <c r="U86" s="283">
        <v>35010</v>
      </c>
      <c r="V86" s="178" t="s">
        <v>372</v>
      </c>
      <c r="W86" s="171" t="s">
        <v>75</v>
      </c>
      <c r="X86" s="171" t="s">
        <v>11</v>
      </c>
      <c r="Y86" s="179">
        <v>44.5</v>
      </c>
      <c r="Z86" s="178" t="s">
        <v>126</v>
      </c>
      <c r="AA86" s="171" t="s">
        <v>78</v>
      </c>
      <c r="AB86" s="171" t="s">
        <v>18</v>
      </c>
      <c r="AC86" s="171">
        <v>37.299999999999997</v>
      </c>
      <c r="AD86" s="178"/>
      <c r="AG86" s="179"/>
      <c r="AL86" s="178"/>
      <c r="AO86" s="179"/>
      <c r="AP86" s="178"/>
      <c r="AS86" s="179"/>
      <c r="AW86" s="179"/>
      <c r="BA86" s="180"/>
    </row>
    <row r="87" spans="1:53" s="171" customFormat="1" x14ac:dyDescent="0.15">
      <c r="A87" s="171">
        <v>1996</v>
      </c>
      <c r="B87" s="283"/>
      <c r="C87" s="410" t="s">
        <v>401</v>
      </c>
      <c r="D87" s="410"/>
      <c r="E87" s="171">
        <v>0</v>
      </c>
      <c r="G87" s="233">
        <v>17</v>
      </c>
      <c r="H87" s="171">
        <v>10</v>
      </c>
      <c r="J87" s="241">
        <v>29</v>
      </c>
      <c r="K87" s="214">
        <f t="shared" si="10"/>
        <v>58.620689655172406</v>
      </c>
      <c r="L87" s="214">
        <f t="shared" si="11"/>
        <v>34.482758620689658</v>
      </c>
      <c r="M87" s="214">
        <f t="shared" si="12"/>
        <v>0</v>
      </c>
      <c r="N87" s="235">
        <f t="shared" si="8"/>
        <v>93.103448275862064</v>
      </c>
      <c r="O87" s="213">
        <v>44.5</v>
      </c>
      <c r="P87" s="214">
        <v>37.299999999999997</v>
      </c>
      <c r="Q87" s="214"/>
      <c r="R87" s="215">
        <f t="shared" si="9"/>
        <v>81.8</v>
      </c>
      <c r="S87" s="171">
        <v>2</v>
      </c>
      <c r="T87" s="285"/>
      <c r="U87" s="283"/>
      <c r="V87" s="178" t="s">
        <v>372</v>
      </c>
      <c r="W87" s="171" t="s">
        <v>75</v>
      </c>
      <c r="X87" s="171" t="s">
        <v>11</v>
      </c>
      <c r="Y87" s="179">
        <v>44.5</v>
      </c>
      <c r="Z87" s="178" t="s">
        <v>126</v>
      </c>
      <c r="AA87" s="171" t="s">
        <v>78</v>
      </c>
      <c r="AB87" s="171" t="s">
        <v>18</v>
      </c>
      <c r="AC87" s="171">
        <v>37.299999999999997</v>
      </c>
      <c r="AD87" s="178"/>
      <c r="AG87" s="179"/>
      <c r="AL87" s="178"/>
      <c r="AO87" s="179"/>
      <c r="AP87" s="178"/>
      <c r="AS87" s="179"/>
      <c r="AW87" s="179"/>
      <c r="BA87" s="180"/>
    </row>
    <row r="88" spans="1:53" s="171" customFormat="1" x14ac:dyDescent="0.15">
      <c r="A88" s="171">
        <v>1996</v>
      </c>
      <c r="B88" s="283"/>
      <c r="C88" s="410" t="s">
        <v>401</v>
      </c>
      <c r="D88" s="410"/>
      <c r="E88" s="171">
        <v>366</v>
      </c>
      <c r="G88" s="233">
        <v>17</v>
      </c>
      <c r="H88" s="171">
        <v>10</v>
      </c>
      <c r="J88" s="241">
        <v>29</v>
      </c>
      <c r="K88" s="214">
        <f t="shared" si="10"/>
        <v>58.620689655172406</v>
      </c>
      <c r="L88" s="214">
        <f t="shared" si="11"/>
        <v>34.482758620689658</v>
      </c>
      <c r="M88" s="214">
        <f t="shared" si="12"/>
        <v>0</v>
      </c>
      <c r="N88" s="235">
        <f t="shared" si="8"/>
        <v>93.103448275862064</v>
      </c>
      <c r="O88" s="213">
        <v>44.5</v>
      </c>
      <c r="P88" s="214">
        <v>37.299999999999997</v>
      </c>
      <c r="Q88" s="214"/>
      <c r="R88" s="215">
        <f t="shared" si="9"/>
        <v>81.8</v>
      </c>
      <c r="S88" s="171">
        <v>2</v>
      </c>
      <c r="T88" s="285"/>
      <c r="U88" s="283"/>
      <c r="V88" s="178" t="s">
        <v>372</v>
      </c>
      <c r="W88" s="171" t="s">
        <v>75</v>
      </c>
      <c r="X88" s="171" t="s">
        <v>11</v>
      </c>
      <c r="Y88" s="179">
        <v>44.5</v>
      </c>
      <c r="Z88" s="178" t="s">
        <v>126</v>
      </c>
      <c r="AA88" s="171" t="s">
        <v>78</v>
      </c>
      <c r="AB88" s="171" t="s">
        <v>18</v>
      </c>
      <c r="AC88" s="171">
        <v>37.299999999999997</v>
      </c>
      <c r="AD88" s="178"/>
      <c r="AG88" s="179"/>
      <c r="AL88" s="178"/>
      <c r="AO88" s="179"/>
      <c r="AP88" s="178"/>
      <c r="AS88" s="179"/>
      <c r="AW88" s="179"/>
      <c r="BA88" s="180"/>
    </row>
    <row r="89" spans="1:53" s="171" customFormat="1" x14ac:dyDescent="0.15">
      <c r="A89" s="171">
        <v>1997</v>
      </c>
      <c r="B89" s="283"/>
      <c r="C89" s="410" t="s">
        <v>401</v>
      </c>
      <c r="D89" s="410"/>
      <c r="E89" s="171">
        <v>154</v>
      </c>
      <c r="G89" s="233">
        <v>17</v>
      </c>
      <c r="H89" s="171">
        <v>10</v>
      </c>
      <c r="J89" s="241">
        <v>29</v>
      </c>
      <c r="K89" s="214">
        <f t="shared" si="10"/>
        <v>58.620689655172406</v>
      </c>
      <c r="L89" s="214">
        <f t="shared" si="11"/>
        <v>34.482758620689658</v>
      </c>
      <c r="M89" s="214">
        <f t="shared" si="12"/>
        <v>0</v>
      </c>
      <c r="N89" s="235">
        <f t="shared" si="8"/>
        <v>93.103448275862064</v>
      </c>
      <c r="O89" s="213">
        <v>44.5</v>
      </c>
      <c r="P89" s="214">
        <v>37.299999999999997</v>
      </c>
      <c r="Q89" s="214"/>
      <c r="R89" s="215">
        <f t="shared" si="9"/>
        <v>81.8</v>
      </c>
      <c r="S89" s="171">
        <v>2</v>
      </c>
      <c r="T89" s="285"/>
      <c r="U89" s="283"/>
      <c r="V89" s="178" t="s">
        <v>372</v>
      </c>
      <c r="W89" s="171" t="s">
        <v>75</v>
      </c>
      <c r="X89" s="171" t="s">
        <v>11</v>
      </c>
      <c r="Y89" s="179">
        <v>44.5</v>
      </c>
      <c r="Z89" s="178" t="s">
        <v>126</v>
      </c>
      <c r="AA89" s="171" t="s">
        <v>78</v>
      </c>
      <c r="AB89" s="171" t="s">
        <v>18</v>
      </c>
      <c r="AC89" s="171">
        <v>37.299999999999997</v>
      </c>
      <c r="AD89" s="178"/>
      <c r="AG89" s="179"/>
      <c r="AL89" s="178"/>
      <c r="AO89" s="179"/>
      <c r="AP89" s="178"/>
      <c r="AS89" s="179"/>
      <c r="AW89" s="179"/>
      <c r="BA89" s="180"/>
    </row>
    <row r="90" spans="1:53" s="29" customFormat="1" x14ac:dyDescent="0.15">
      <c r="A90" s="29">
        <v>1997</v>
      </c>
      <c r="B90" s="295">
        <v>35585</v>
      </c>
      <c r="C90" s="411" t="s">
        <v>402</v>
      </c>
      <c r="D90" s="411"/>
      <c r="E90" s="29">
        <f>365-E89</f>
        <v>211</v>
      </c>
      <c r="F90" s="29">
        <v>1</v>
      </c>
      <c r="G90" s="66"/>
      <c r="I90" s="29">
        <v>17</v>
      </c>
      <c r="J90" s="73">
        <v>17</v>
      </c>
      <c r="K90" s="47">
        <f t="shared" si="10"/>
        <v>0</v>
      </c>
      <c r="L90" s="47">
        <f t="shared" si="11"/>
        <v>0</v>
      </c>
      <c r="M90" s="47">
        <f t="shared" si="12"/>
        <v>100</v>
      </c>
      <c r="N90" s="68">
        <f t="shared" si="8"/>
        <v>100</v>
      </c>
      <c r="O90" s="46"/>
      <c r="P90" s="47"/>
      <c r="Q90" s="47">
        <v>53.8</v>
      </c>
      <c r="R90" s="48">
        <f t="shared" si="9"/>
        <v>53.8</v>
      </c>
      <c r="S90" s="29">
        <v>3</v>
      </c>
      <c r="T90" s="286">
        <v>35582</v>
      </c>
      <c r="U90" s="295">
        <v>35585</v>
      </c>
      <c r="V90" s="38" t="s">
        <v>95</v>
      </c>
      <c r="W90" s="29" t="s">
        <v>20</v>
      </c>
      <c r="X90" s="29" t="s">
        <v>12</v>
      </c>
      <c r="Y90" s="39">
        <v>42.6</v>
      </c>
      <c r="Z90" s="38" t="s">
        <v>127</v>
      </c>
      <c r="AA90" s="29" t="s">
        <v>113</v>
      </c>
      <c r="AB90" s="29" t="s">
        <v>12</v>
      </c>
      <c r="AC90" s="29">
        <v>6.4</v>
      </c>
      <c r="AD90" s="38" t="s">
        <v>404</v>
      </c>
      <c r="AE90" s="29" t="s">
        <v>216</v>
      </c>
      <c r="AF90" s="29" t="s">
        <v>12</v>
      </c>
      <c r="AG90" s="39">
        <v>1.4</v>
      </c>
      <c r="AH90" s="29" t="s">
        <v>125</v>
      </c>
      <c r="AI90" s="29" t="s">
        <v>87</v>
      </c>
      <c r="AJ90" s="29" t="s">
        <v>12</v>
      </c>
      <c r="AK90" s="29">
        <v>2.2000000000000002</v>
      </c>
      <c r="AL90" s="38" t="s">
        <v>403</v>
      </c>
      <c r="AM90" s="29" t="s">
        <v>327</v>
      </c>
      <c r="AN90" s="29" t="s">
        <v>12</v>
      </c>
      <c r="AO90" s="39">
        <v>1.2</v>
      </c>
      <c r="AP90" s="38"/>
      <c r="AS90" s="39"/>
      <c r="AW90" s="39"/>
      <c r="BA90" s="40"/>
    </row>
    <row r="91" spans="1:53" s="29" customFormat="1" x14ac:dyDescent="0.15">
      <c r="A91" s="29">
        <v>1998</v>
      </c>
      <c r="B91" s="295"/>
      <c r="C91" s="411" t="s">
        <v>402</v>
      </c>
      <c r="D91" s="411"/>
      <c r="E91" s="29">
        <v>88</v>
      </c>
      <c r="G91" s="66"/>
      <c r="I91" s="29">
        <v>17</v>
      </c>
      <c r="J91" s="73">
        <v>17</v>
      </c>
      <c r="K91" s="47">
        <f t="shared" si="10"/>
        <v>0</v>
      </c>
      <c r="L91" s="47">
        <f t="shared" si="11"/>
        <v>0</v>
      </c>
      <c r="M91" s="47">
        <f t="shared" si="12"/>
        <v>100</v>
      </c>
      <c r="N91" s="68">
        <f t="shared" si="8"/>
        <v>100</v>
      </c>
      <c r="O91" s="46"/>
      <c r="P91" s="47"/>
      <c r="Q91" s="47">
        <v>53.8</v>
      </c>
      <c r="R91" s="48">
        <f t="shared" si="9"/>
        <v>53.8</v>
      </c>
      <c r="S91" s="29">
        <v>3</v>
      </c>
      <c r="T91" s="286"/>
      <c r="U91" s="295"/>
      <c r="V91" s="38" t="s">
        <v>95</v>
      </c>
      <c r="W91" s="29" t="s">
        <v>20</v>
      </c>
      <c r="X91" s="29" t="s">
        <v>12</v>
      </c>
      <c r="Y91" s="39">
        <v>42.6</v>
      </c>
      <c r="Z91" s="38" t="s">
        <v>127</v>
      </c>
      <c r="AA91" s="29" t="s">
        <v>113</v>
      </c>
      <c r="AB91" s="29" t="s">
        <v>12</v>
      </c>
      <c r="AC91" s="29">
        <v>6.4</v>
      </c>
      <c r="AD91" s="38" t="s">
        <v>404</v>
      </c>
      <c r="AE91" s="29" t="s">
        <v>216</v>
      </c>
      <c r="AF91" s="29" t="s">
        <v>12</v>
      </c>
      <c r="AG91" s="39">
        <v>1.4</v>
      </c>
      <c r="AH91" s="29" t="s">
        <v>1318</v>
      </c>
      <c r="AI91" s="29" t="s">
        <v>87</v>
      </c>
      <c r="AJ91" s="29" t="s">
        <v>12</v>
      </c>
      <c r="AK91" s="29">
        <v>2.2000000000000002</v>
      </c>
      <c r="AL91" s="38" t="s">
        <v>403</v>
      </c>
      <c r="AM91" s="29" t="s">
        <v>327</v>
      </c>
      <c r="AN91" s="29" t="s">
        <v>12</v>
      </c>
      <c r="AO91" s="39">
        <v>1.2</v>
      </c>
      <c r="AP91" s="38"/>
      <c r="AS91" s="39"/>
      <c r="AW91" s="39"/>
      <c r="BA91" s="40"/>
    </row>
    <row r="92" spans="1:53" s="29" customFormat="1" x14ac:dyDescent="0.15">
      <c r="A92" s="29">
        <v>1998</v>
      </c>
      <c r="B92" s="303">
        <v>35884</v>
      </c>
      <c r="C92" s="411" t="s">
        <v>402</v>
      </c>
      <c r="D92" s="411"/>
      <c r="E92" s="29">
        <f>365-E91</f>
        <v>277</v>
      </c>
      <c r="F92" s="84">
        <v>0</v>
      </c>
      <c r="G92" s="66"/>
      <c r="I92" s="29">
        <v>18</v>
      </c>
      <c r="J92" s="73">
        <v>18</v>
      </c>
      <c r="K92" s="47">
        <f t="shared" si="10"/>
        <v>0</v>
      </c>
      <c r="L92" s="47">
        <f t="shared" si="11"/>
        <v>0</v>
      </c>
      <c r="M92" s="47">
        <f t="shared" si="12"/>
        <v>100</v>
      </c>
      <c r="N92" s="68">
        <f t="shared" si="8"/>
        <v>100</v>
      </c>
      <c r="O92" s="46"/>
      <c r="P92" s="47"/>
      <c r="Q92" s="47">
        <v>53.8</v>
      </c>
      <c r="R92" s="48">
        <f t="shared" si="9"/>
        <v>53.8</v>
      </c>
      <c r="S92" s="29">
        <v>3</v>
      </c>
      <c r="T92" s="286"/>
      <c r="U92" s="303"/>
      <c r="V92" s="38" t="s">
        <v>95</v>
      </c>
      <c r="W92" s="29" t="s">
        <v>20</v>
      </c>
      <c r="X92" s="29" t="s">
        <v>12</v>
      </c>
      <c r="Y92" s="39">
        <v>42.6</v>
      </c>
      <c r="Z92" s="38" t="s">
        <v>127</v>
      </c>
      <c r="AA92" s="29" t="s">
        <v>113</v>
      </c>
      <c r="AB92" s="29" t="s">
        <v>12</v>
      </c>
      <c r="AC92" s="29">
        <v>6.4</v>
      </c>
      <c r="AD92" s="38" t="s">
        <v>404</v>
      </c>
      <c r="AE92" s="29" t="s">
        <v>216</v>
      </c>
      <c r="AF92" s="29" t="s">
        <v>12</v>
      </c>
      <c r="AG92" s="39">
        <v>1.4</v>
      </c>
      <c r="AH92" s="29" t="s">
        <v>1318</v>
      </c>
      <c r="AI92" s="29" t="s">
        <v>87</v>
      </c>
      <c r="AJ92" s="29" t="s">
        <v>12</v>
      </c>
      <c r="AK92" s="29">
        <v>2.2000000000000002</v>
      </c>
      <c r="AL92" s="38" t="s">
        <v>403</v>
      </c>
      <c r="AM92" s="29" t="s">
        <v>327</v>
      </c>
      <c r="AN92" s="29" t="s">
        <v>12</v>
      </c>
      <c r="AO92" s="39">
        <v>1.2</v>
      </c>
      <c r="AP92" s="38"/>
      <c r="AS92" s="39"/>
      <c r="AW92" s="39"/>
      <c r="BA92" s="40"/>
    </row>
    <row r="93" spans="1:53" s="29" customFormat="1" x14ac:dyDescent="0.15">
      <c r="A93" s="29">
        <v>1999</v>
      </c>
      <c r="B93" s="295"/>
      <c r="C93" s="411" t="s">
        <v>402</v>
      </c>
      <c r="D93" s="411"/>
      <c r="E93" s="29">
        <v>0</v>
      </c>
      <c r="G93" s="66"/>
      <c r="I93" s="29">
        <v>18</v>
      </c>
      <c r="J93" s="73">
        <v>18</v>
      </c>
      <c r="K93" s="47">
        <f t="shared" si="10"/>
        <v>0</v>
      </c>
      <c r="L93" s="47">
        <f t="shared" si="11"/>
        <v>0</v>
      </c>
      <c r="M93" s="47">
        <f t="shared" si="12"/>
        <v>100</v>
      </c>
      <c r="N93" s="68">
        <f t="shared" si="8"/>
        <v>100</v>
      </c>
      <c r="O93" s="46"/>
      <c r="P93" s="47"/>
      <c r="Q93" s="47">
        <v>53.8</v>
      </c>
      <c r="R93" s="48">
        <f t="shared" si="9"/>
        <v>53.8</v>
      </c>
      <c r="S93" s="29">
        <v>3</v>
      </c>
      <c r="T93" s="286"/>
      <c r="U93" s="295"/>
      <c r="V93" s="38" t="s">
        <v>95</v>
      </c>
      <c r="W93" s="29" t="s">
        <v>20</v>
      </c>
      <c r="X93" s="29" t="s">
        <v>12</v>
      </c>
      <c r="Y93" s="39">
        <v>42.6</v>
      </c>
      <c r="Z93" s="38" t="s">
        <v>127</v>
      </c>
      <c r="AA93" s="29" t="s">
        <v>113</v>
      </c>
      <c r="AB93" s="29" t="s">
        <v>12</v>
      </c>
      <c r="AC93" s="29">
        <v>6.4</v>
      </c>
      <c r="AD93" s="38" t="s">
        <v>404</v>
      </c>
      <c r="AE93" s="29" t="s">
        <v>216</v>
      </c>
      <c r="AF93" s="29" t="s">
        <v>12</v>
      </c>
      <c r="AG93" s="39">
        <v>1.4</v>
      </c>
      <c r="AH93" s="29" t="s">
        <v>1318</v>
      </c>
      <c r="AI93" s="29" t="s">
        <v>87</v>
      </c>
      <c r="AJ93" s="29" t="s">
        <v>12</v>
      </c>
      <c r="AK93" s="29">
        <v>2.2000000000000002</v>
      </c>
      <c r="AL93" s="38" t="s">
        <v>403</v>
      </c>
      <c r="AM93" s="29" t="s">
        <v>327</v>
      </c>
      <c r="AN93" s="29" t="s">
        <v>12</v>
      </c>
      <c r="AO93" s="39">
        <v>1.2</v>
      </c>
      <c r="AP93" s="38"/>
      <c r="AS93" s="39"/>
      <c r="AW93" s="39"/>
      <c r="BA93" s="40"/>
    </row>
    <row r="94" spans="1:53" s="29" customFormat="1" x14ac:dyDescent="0.15">
      <c r="A94" s="29">
        <v>1999</v>
      </c>
      <c r="B94" s="295"/>
      <c r="C94" s="411" t="s">
        <v>402</v>
      </c>
      <c r="D94" s="411"/>
      <c r="E94" s="29">
        <f>365-E93</f>
        <v>365</v>
      </c>
      <c r="G94" s="66"/>
      <c r="I94" s="29">
        <v>18</v>
      </c>
      <c r="J94" s="73">
        <v>18</v>
      </c>
      <c r="K94" s="47">
        <f t="shared" si="10"/>
        <v>0</v>
      </c>
      <c r="L94" s="47">
        <f t="shared" si="11"/>
        <v>0</v>
      </c>
      <c r="M94" s="47">
        <f t="shared" si="12"/>
        <v>100</v>
      </c>
      <c r="N94" s="68">
        <f t="shared" si="8"/>
        <v>100</v>
      </c>
      <c r="O94" s="46"/>
      <c r="P94" s="47"/>
      <c r="Q94" s="47">
        <v>53.8</v>
      </c>
      <c r="R94" s="48">
        <f t="shared" si="9"/>
        <v>53.8</v>
      </c>
      <c r="S94" s="29">
        <v>3</v>
      </c>
      <c r="T94" s="286"/>
      <c r="U94" s="295"/>
      <c r="V94" s="38" t="s">
        <v>95</v>
      </c>
      <c r="W94" s="29" t="s">
        <v>20</v>
      </c>
      <c r="X94" s="29" t="s">
        <v>12</v>
      </c>
      <c r="Y94" s="39">
        <v>42.6</v>
      </c>
      <c r="Z94" s="38" t="s">
        <v>127</v>
      </c>
      <c r="AA94" s="29" t="s">
        <v>113</v>
      </c>
      <c r="AB94" s="29" t="s">
        <v>12</v>
      </c>
      <c r="AC94" s="29">
        <v>6.4</v>
      </c>
      <c r="AD94" s="38" t="s">
        <v>404</v>
      </c>
      <c r="AE94" s="29" t="s">
        <v>216</v>
      </c>
      <c r="AF94" s="29" t="s">
        <v>12</v>
      </c>
      <c r="AG94" s="39">
        <v>1.4</v>
      </c>
      <c r="AH94" s="29" t="s">
        <v>1318</v>
      </c>
      <c r="AI94" s="29" t="s">
        <v>87</v>
      </c>
      <c r="AJ94" s="29" t="s">
        <v>12</v>
      </c>
      <c r="AK94" s="29">
        <v>2.2000000000000002</v>
      </c>
      <c r="AL94" s="38" t="s">
        <v>403</v>
      </c>
      <c r="AM94" s="29" t="s">
        <v>327</v>
      </c>
      <c r="AN94" s="29" t="s">
        <v>12</v>
      </c>
      <c r="AO94" s="39">
        <v>1.2</v>
      </c>
      <c r="AP94" s="38"/>
      <c r="AS94" s="39"/>
      <c r="AW94" s="39"/>
      <c r="BA94" s="40"/>
    </row>
    <row r="95" spans="1:53" s="29" customFormat="1" x14ac:dyDescent="0.15">
      <c r="A95" s="29">
        <v>2000</v>
      </c>
      <c r="B95" s="295"/>
      <c r="C95" s="411" t="s">
        <v>402</v>
      </c>
      <c r="D95" s="411"/>
      <c r="E95" s="29">
        <v>86</v>
      </c>
      <c r="G95" s="66"/>
      <c r="I95" s="29">
        <v>18</v>
      </c>
      <c r="J95" s="73">
        <v>18</v>
      </c>
      <c r="K95" s="47">
        <f t="shared" si="10"/>
        <v>0</v>
      </c>
      <c r="L95" s="47">
        <f t="shared" si="11"/>
        <v>0</v>
      </c>
      <c r="M95" s="47">
        <f t="shared" si="12"/>
        <v>100</v>
      </c>
      <c r="N95" s="68">
        <f t="shared" si="8"/>
        <v>100</v>
      </c>
      <c r="O95" s="46"/>
      <c r="P95" s="47"/>
      <c r="Q95" s="47">
        <v>53.8</v>
      </c>
      <c r="R95" s="48">
        <f t="shared" si="9"/>
        <v>53.8</v>
      </c>
      <c r="S95" s="29">
        <v>3</v>
      </c>
      <c r="T95" s="286"/>
      <c r="U95" s="295"/>
      <c r="V95" s="38" t="s">
        <v>95</v>
      </c>
      <c r="W95" s="29" t="s">
        <v>20</v>
      </c>
      <c r="X95" s="29" t="s">
        <v>12</v>
      </c>
      <c r="Y95" s="39">
        <v>42.6</v>
      </c>
      <c r="Z95" s="38" t="s">
        <v>127</v>
      </c>
      <c r="AA95" s="29" t="s">
        <v>113</v>
      </c>
      <c r="AB95" s="29" t="s">
        <v>12</v>
      </c>
      <c r="AC95" s="29">
        <v>6.4</v>
      </c>
      <c r="AD95" s="38" t="s">
        <v>404</v>
      </c>
      <c r="AE95" s="29" t="s">
        <v>216</v>
      </c>
      <c r="AF95" s="29" t="s">
        <v>12</v>
      </c>
      <c r="AG95" s="39">
        <v>1.4</v>
      </c>
      <c r="AH95" s="29" t="s">
        <v>1318</v>
      </c>
      <c r="AI95" s="29" t="s">
        <v>87</v>
      </c>
      <c r="AJ95" s="29" t="s">
        <v>12</v>
      </c>
      <c r="AK95" s="29">
        <v>2.2000000000000002</v>
      </c>
      <c r="AL95" s="38" t="s">
        <v>403</v>
      </c>
      <c r="AM95" s="29" t="s">
        <v>327</v>
      </c>
      <c r="AN95" s="29" t="s">
        <v>12</v>
      </c>
      <c r="AO95" s="39">
        <v>1.2</v>
      </c>
      <c r="AP95" s="38"/>
      <c r="AS95" s="39"/>
      <c r="AW95" s="39"/>
      <c r="BA95" s="40"/>
    </row>
    <row r="96" spans="1:53" s="29" customFormat="1" x14ac:dyDescent="0.15">
      <c r="A96" s="29">
        <v>2000</v>
      </c>
      <c r="B96" s="303">
        <v>36612</v>
      </c>
      <c r="C96" s="411" t="s">
        <v>402</v>
      </c>
      <c r="D96" s="411"/>
      <c r="E96" s="29">
        <v>280</v>
      </c>
      <c r="F96" s="84">
        <v>0</v>
      </c>
      <c r="G96" s="66"/>
      <c r="I96" s="29">
        <v>21</v>
      </c>
      <c r="J96" s="73">
        <v>21</v>
      </c>
      <c r="K96" s="47">
        <f t="shared" si="10"/>
        <v>0</v>
      </c>
      <c r="L96" s="47">
        <f t="shared" si="11"/>
        <v>0</v>
      </c>
      <c r="M96" s="47">
        <f t="shared" si="12"/>
        <v>100</v>
      </c>
      <c r="N96" s="68">
        <f t="shared" si="8"/>
        <v>100</v>
      </c>
      <c r="O96" s="46"/>
      <c r="P96" s="47"/>
      <c r="Q96" s="47">
        <v>53.8</v>
      </c>
      <c r="R96" s="48">
        <f t="shared" si="9"/>
        <v>53.8</v>
      </c>
      <c r="S96" s="29">
        <v>3</v>
      </c>
      <c r="T96" s="286"/>
      <c r="U96" s="303"/>
      <c r="V96" s="38" t="s">
        <v>95</v>
      </c>
      <c r="W96" s="29" t="s">
        <v>20</v>
      </c>
      <c r="X96" s="29" t="s">
        <v>12</v>
      </c>
      <c r="Y96" s="39">
        <v>42.6</v>
      </c>
      <c r="Z96" s="38" t="s">
        <v>127</v>
      </c>
      <c r="AA96" s="29" t="s">
        <v>113</v>
      </c>
      <c r="AB96" s="29" t="s">
        <v>12</v>
      </c>
      <c r="AC96" s="29">
        <v>6.4</v>
      </c>
      <c r="AD96" s="38" t="s">
        <v>404</v>
      </c>
      <c r="AE96" s="29" t="s">
        <v>216</v>
      </c>
      <c r="AF96" s="29" t="s">
        <v>12</v>
      </c>
      <c r="AG96" s="39">
        <v>1.4</v>
      </c>
      <c r="AH96" s="29" t="s">
        <v>1318</v>
      </c>
      <c r="AI96" s="29" t="s">
        <v>87</v>
      </c>
      <c r="AJ96" s="29" t="s">
        <v>12</v>
      </c>
      <c r="AK96" s="29">
        <v>2.2000000000000002</v>
      </c>
      <c r="AL96" s="38" t="s">
        <v>403</v>
      </c>
      <c r="AM96" s="29" t="s">
        <v>327</v>
      </c>
      <c r="AN96" s="29" t="s">
        <v>12</v>
      </c>
      <c r="AO96" s="39">
        <v>1.2</v>
      </c>
      <c r="AP96" s="38"/>
      <c r="AS96" s="39"/>
      <c r="AW96" s="39"/>
      <c r="BA96" s="40"/>
    </row>
    <row r="97" spans="1:53" s="29" customFormat="1" x14ac:dyDescent="0.15">
      <c r="A97" s="29">
        <v>2001</v>
      </c>
      <c r="B97" s="295"/>
      <c r="C97" s="411" t="s">
        <v>402</v>
      </c>
      <c r="D97" s="411"/>
      <c r="E97" s="29">
        <v>0</v>
      </c>
      <c r="G97" s="66"/>
      <c r="I97" s="29">
        <v>21</v>
      </c>
      <c r="J97" s="73">
        <v>21</v>
      </c>
      <c r="K97" s="47">
        <f t="shared" si="10"/>
        <v>0</v>
      </c>
      <c r="L97" s="47">
        <f t="shared" si="11"/>
        <v>0</v>
      </c>
      <c r="M97" s="47">
        <f t="shared" si="12"/>
        <v>100</v>
      </c>
      <c r="N97" s="68">
        <f t="shared" si="8"/>
        <v>100</v>
      </c>
      <c r="O97" s="46"/>
      <c r="P97" s="47"/>
      <c r="Q97" s="47">
        <v>53.8</v>
      </c>
      <c r="R97" s="48">
        <f t="shared" si="9"/>
        <v>53.8</v>
      </c>
      <c r="S97" s="29">
        <v>3</v>
      </c>
      <c r="T97" s="286"/>
      <c r="U97" s="295"/>
      <c r="V97" s="38" t="s">
        <v>95</v>
      </c>
      <c r="W97" s="29" t="s">
        <v>20</v>
      </c>
      <c r="X97" s="29" t="s">
        <v>12</v>
      </c>
      <c r="Y97" s="39">
        <v>42.6</v>
      </c>
      <c r="Z97" s="38" t="s">
        <v>127</v>
      </c>
      <c r="AA97" s="29" t="s">
        <v>113</v>
      </c>
      <c r="AB97" s="29" t="s">
        <v>12</v>
      </c>
      <c r="AC97" s="29">
        <v>6.4</v>
      </c>
      <c r="AD97" s="38" t="s">
        <v>404</v>
      </c>
      <c r="AE97" s="29" t="s">
        <v>216</v>
      </c>
      <c r="AF97" s="29" t="s">
        <v>12</v>
      </c>
      <c r="AG97" s="39">
        <v>1.4</v>
      </c>
      <c r="AH97" s="29" t="s">
        <v>1318</v>
      </c>
      <c r="AI97" s="29" t="s">
        <v>87</v>
      </c>
      <c r="AJ97" s="29" t="s">
        <v>12</v>
      </c>
      <c r="AK97" s="29">
        <v>2.2000000000000002</v>
      </c>
      <c r="AL97" s="38" t="s">
        <v>403</v>
      </c>
      <c r="AM97" s="29" t="s">
        <v>327</v>
      </c>
      <c r="AN97" s="29" t="s">
        <v>12</v>
      </c>
      <c r="AO97" s="39">
        <v>1.2</v>
      </c>
      <c r="AP97" s="38"/>
      <c r="AS97" s="39"/>
      <c r="AW97" s="39"/>
      <c r="BA97" s="40"/>
    </row>
    <row r="98" spans="1:53" s="29" customFormat="1" x14ac:dyDescent="0.15">
      <c r="A98" s="29">
        <v>2001</v>
      </c>
      <c r="B98" s="295"/>
      <c r="C98" s="411" t="s">
        <v>402</v>
      </c>
      <c r="D98" s="411"/>
      <c r="E98" s="29">
        <f>365-E97</f>
        <v>365</v>
      </c>
      <c r="G98" s="66"/>
      <c r="I98" s="29">
        <v>21</v>
      </c>
      <c r="J98" s="73">
        <v>21</v>
      </c>
      <c r="K98" s="47">
        <f t="shared" si="10"/>
        <v>0</v>
      </c>
      <c r="L98" s="47">
        <f t="shared" si="11"/>
        <v>0</v>
      </c>
      <c r="M98" s="47">
        <f t="shared" si="12"/>
        <v>100</v>
      </c>
      <c r="N98" s="68">
        <f t="shared" si="8"/>
        <v>100</v>
      </c>
      <c r="O98" s="46"/>
      <c r="P98" s="47"/>
      <c r="Q98" s="47">
        <v>53.8</v>
      </c>
      <c r="R98" s="48">
        <f t="shared" si="9"/>
        <v>53.8</v>
      </c>
      <c r="S98" s="29">
        <v>3</v>
      </c>
      <c r="T98" s="286"/>
      <c r="U98" s="295"/>
      <c r="V98" s="38" t="s">
        <v>95</v>
      </c>
      <c r="W98" s="29" t="s">
        <v>20</v>
      </c>
      <c r="X98" s="29" t="s">
        <v>12</v>
      </c>
      <c r="Y98" s="39">
        <v>42.6</v>
      </c>
      <c r="Z98" s="38" t="s">
        <v>127</v>
      </c>
      <c r="AA98" s="29" t="s">
        <v>113</v>
      </c>
      <c r="AB98" s="29" t="s">
        <v>12</v>
      </c>
      <c r="AC98" s="29">
        <v>6.4</v>
      </c>
      <c r="AD98" s="38" t="s">
        <v>404</v>
      </c>
      <c r="AE98" s="29" t="s">
        <v>216</v>
      </c>
      <c r="AF98" s="29" t="s">
        <v>12</v>
      </c>
      <c r="AG98" s="39">
        <v>1.4</v>
      </c>
      <c r="AH98" s="29" t="s">
        <v>1318</v>
      </c>
      <c r="AI98" s="29" t="s">
        <v>87</v>
      </c>
      <c r="AJ98" s="29" t="s">
        <v>12</v>
      </c>
      <c r="AK98" s="29">
        <v>2.2000000000000002</v>
      </c>
      <c r="AL98" s="38" t="s">
        <v>403</v>
      </c>
      <c r="AM98" s="29" t="s">
        <v>327</v>
      </c>
      <c r="AN98" s="29" t="s">
        <v>12</v>
      </c>
      <c r="AO98" s="39">
        <v>1.2</v>
      </c>
      <c r="AP98" s="38"/>
      <c r="AS98" s="39"/>
      <c r="AW98" s="39"/>
      <c r="BA98" s="40"/>
    </row>
    <row r="99" spans="1:53" s="29" customFormat="1" x14ac:dyDescent="0.15">
      <c r="A99" s="29">
        <v>2002</v>
      </c>
      <c r="B99" s="295"/>
      <c r="C99" s="411" t="s">
        <v>402</v>
      </c>
      <c r="D99" s="411"/>
      <c r="E99" s="29">
        <v>126</v>
      </c>
      <c r="G99" s="66"/>
      <c r="I99" s="29">
        <v>21</v>
      </c>
      <c r="J99" s="73">
        <v>21</v>
      </c>
      <c r="K99" s="47">
        <f t="shared" si="10"/>
        <v>0</v>
      </c>
      <c r="L99" s="47">
        <f t="shared" si="11"/>
        <v>0</v>
      </c>
      <c r="M99" s="47">
        <f t="shared" si="12"/>
        <v>100</v>
      </c>
      <c r="N99" s="68">
        <f t="shared" si="8"/>
        <v>100</v>
      </c>
      <c r="O99" s="46"/>
      <c r="P99" s="47"/>
      <c r="Q99" s="47">
        <v>53.8</v>
      </c>
      <c r="R99" s="48">
        <f t="shared" si="9"/>
        <v>53.8</v>
      </c>
      <c r="S99" s="29">
        <v>3</v>
      </c>
      <c r="T99" s="286"/>
      <c r="U99" s="295"/>
      <c r="V99" s="38" t="s">
        <v>95</v>
      </c>
      <c r="W99" s="29" t="s">
        <v>20</v>
      </c>
      <c r="X99" s="29" t="s">
        <v>12</v>
      </c>
      <c r="Y99" s="39">
        <v>42.6</v>
      </c>
      <c r="Z99" s="38" t="s">
        <v>127</v>
      </c>
      <c r="AA99" s="29" t="s">
        <v>113</v>
      </c>
      <c r="AB99" s="29" t="s">
        <v>12</v>
      </c>
      <c r="AC99" s="29">
        <v>6.4</v>
      </c>
      <c r="AD99" s="38" t="s">
        <v>404</v>
      </c>
      <c r="AE99" s="29" t="s">
        <v>216</v>
      </c>
      <c r="AF99" s="29" t="s">
        <v>12</v>
      </c>
      <c r="AG99" s="39">
        <v>1.4</v>
      </c>
      <c r="AH99" s="29" t="s">
        <v>1318</v>
      </c>
      <c r="AI99" s="29" t="s">
        <v>87</v>
      </c>
      <c r="AJ99" s="29" t="s">
        <v>12</v>
      </c>
      <c r="AK99" s="29">
        <v>2.2000000000000002</v>
      </c>
      <c r="AL99" s="38" t="s">
        <v>403</v>
      </c>
      <c r="AM99" s="29" t="s">
        <v>327</v>
      </c>
      <c r="AN99" s="29" t="s">
        <v>12</v>
      </c>
      <c r="AO99" s="39">
        <v>1.2</v>
      </c>
      <c r="AP99" s="38"/>
      <c r="AS99" s="39"/>
      <c r="AW99" s="39"/>
      <c r="BA99" s="40"/>
    </row>
    <row r="100" spans="1:53" s="171" customFormat="1" x14ac:dyDescent="0.15">
      <c r="A100" s="171">
        <v>2002</v>
      </c>
      <c r="B100" s="283">
        <v>37383</v>
      </c>
      <c r="C100" s="410" t="s">
        <v>405</v>
      </c>
      <c r="D100" s="410"/>
      <c r="E100" s="171">
        <v>43</v>
      </c>
      <c r="F100" s="171">
        <v>1</v>
      </c>
      <c r="G100" s="233">
        <v>15</v>
      </c>
      <c r="H100" s="171">
        <v>2</v>
      </c>
      <c r="J100" s="241">
        <v>22</v>
      </c>
      <c r="K100" s="214">
        <f>G100/J100*100</f>
        <v>68.181818181818173</v>
      </c>
      <c r="L100" s="214">
        <f>H100/J100*100</f>
        <v>9.0909090909090917</v>
      </c>
      <c r="M100" s="214">
        <f>I100/J100*100</f>
        <v>0</v>
      </c>
      <c r="N100" s="235">
        <f>SUM(K100:M100)</f>
        <v>77.272727272727266</v>
      </c>
      <c r="O100" s="213">
        <v>24.1</v>
      </c>
      <c r="P100" s="214">
        <v>18.899999999999999</v>
      </c>
      <c r="Q100" s="214"/>
      <c r="R100" s="215">
        <f>SUM(O100:Q100)</f>
        <v>43</v>
      </c>
      <c r="S100" s="171">
        <v>6</v>
      </c>
      <c r="T100" s="285"/>
      <c r="U100" s="283">
        <v>37383</v>
      </c>
      <c r="V100" s="178" t="s">
        <v>118</v>
      </c>
      <c r="W100" s="171" t="s">
        <v>75</v>
      </c>
      <c r="X100" s="171" t="s">
        <v>11</v>
      </c>
      <c r="Y100" s="179">
        <v>24.1</v>
      </c>
      <c r="Z100" s="178" t="s">
        <v>126</v>
      </c>
      <c r="AA100" s="171" t="s">
        <v>78</v>
      </c>
      <c r="AB100" s="171" t="s">
        <v>18</v>
      </c>
      <c r="AC100" s="171">
        <v>18.899999999999999</v>
      </c>
      <c r="AD100" s="178"/>
      <c r="AG100" s="179"/>
      <c r="AL100" s="178"/>
      <c r="AO100" s="179"/>
      <c r="AP100" s="178"/>
      <c r="AS100" s="179"/>
      <c r="AW100" s="179"/>
      <c r="BA100" s="180"/>
    </row>
    <row r="101" spans="1:53" s="29" customFormat="1" x14ac:dyDescent="0.15">
      <c r="A101" s="29">
        <v>2002</v>
      </c>
      <c r="B101" s="295">
        <v>37426</v>
      </c>
      <c r="C101" s="411" t="s">
        <v>406</v>
      </c>
      <c r="D101" s="411"/>
      <c r="E101" s="29">
        <v>196</v>
      </c>
      <c r="F101" s="29">
        <v>1</v>
      </c>
      <c r="G101" s="66">
        <v>18</v>
      </c>
      <c r="H101" s="29">
        <v>2</v>
      </c>
      <c r="J101" s="73">
        <v>27</v>
      </c>
      <c r="K101" s="47">
        <f t="shared" si="10"/>
        <v>66.666666666666657</v>
      </c>
      <c r="L101" s="47">
        <f t="shared" si="11"/>
        <v>7.4074074074074066</v>
      </c>
      <c r="M101" s="47">
        <f t="shared" si="12"/>
        <v>0</v>
      </c>
      <c r="N101" s="68">
        <f t="shared" si="8"/>
        <v>74.074074074074062</v>
      </c>
      <c r="O101" s="46">
        <v>63.3</v>
      </c>
      <c r="P101" s="47">
        <v>5</v>
      </c>
      <c r="Q101" s="47"/>
      <c r="R101" s="48">
        <f t="shared" si="9"/>
        <v>68.3</v>
      </c>
      <c r="S101" s="29">
        <v>3</v>
      </c>
      <c r="T101" s="286">
        <v>37423</v>
      </c>
      <c r="U101" s="295">
        <v>37426</v>
      </c>
      <c r="V101" s="38" t="s">
        <v>118</v>
      </c>
      <c r="W101" s="29" t="s">
        <v>75</v>
      </c>
      <c r="X101" s="29" t="s">
        <v>11</v>
      </c>
      <c r="Y101" s="39">
        <v>63.3</v>
      </c>
      <c r="Z101" s="38" t="s">
        <v>126</v>
      </c>
      <c r="AA101" s="29" t="s">
        <v>78</v>
      </c>
      <c r="AB101" s="29" t="s">
        <v>18</v>
      </c>
      <c r="AC101" s="29">
        <v>5</v>
      </c>
      <c r="AD101" s="38"/>
      <c r="AG101" s="39"/>
      <c r="AL101" s="38"/>
      <c r="AO101" s="39"/>
      <c r="AP101" s="38"/>
      <c r="AS101" s="39"/>
      <c r="AW101" s="39"/>
      <c r="BA101" s="40"/>
    </row>
    <row r="102" spans="1:53" s="29" customFormat="1" x14ac:dyDescent="0.15">
      <c r="A102" s="29">
        <v>2003</v>
      </c>
      <c r="B102" s="295"/>
      <c r="C102" s="411" t="s">
        <v>406</v>
      </c>
      <c r="D102" s="411"/>
      <c r="E102" s="29">
        <v>0</v>
      </c>
      <c r="G102" s="66">
        <v>18</v>
      </c>
      <c r="H102" s="29">
        <v>2</v>
      </c>
      <c r="J102" s="73">
        <v>27</v>
      </c>
      <c r="K102" s="47">
        <f t="shared" si="10"/>
        <v>66.666666666666657</v>
      </c>
      <c r="L102" s="47">
        <f t="shared" si="11"/>
        <v>7.4074074074074066</v>
      </c>
      <c r="M102" s="47">
        <f t="shared" si="12"/>
        <v>0</v>
      </c>
      <c r="N102" s="68">
        <f t="shared" si="8"/>
        <v>74.074074074074062</v>
      </c>
      <c r="O102" s="46">
        <v>63.3</v>
      </c>
      <c r="P102" s="47">
        <v>5</v>
      </c>
      <c r="Q102" s="47"/>
      <c r="R102" s="48">
        <f t="shared" si="9"/>
        <v>68.3</v>
      </c>
      <c r="S102" s="29">
        <v>3</v>
      </c>
      <c r="T102" s="286"/>
      <c r="U102" s="295"/>
      <c r="V102" s="38" t="s">
        <v>118</v>
      </c>
      <c r="W102" s="29" t="s">
        <v>75</v>
      </c>
      <c r="X102" s="29" t="s">
        <v>11</v>
      </c>
      <c r="Y102" s="39">
        <v>63.3</v>
      </c>
      <c r="Z102" s="38" t="s">
        <v>126</v>
      </c>
      <c r="AA102" s="29" t="s">
        <v>78</v>
      </c>
      <c r="AB102" s="29" t="s">
        <v>18</v>
      </c>
      <c r="AC102" s="29">
        <v>5</v>
      </c>
      <c r="AD102" s="38"/>
      <c r="AG102" s="39"/>
      <c r="AL102" s="38"/>
      <c r="AO102" s="39"/>
      <c r="AP102" s="38"/>
      <c r="AS102" s="39"/>
      <c r="AW102" s="39"/>
      <c r="BA102" s="40"/>
    </row>
    <row r="103" spans="1:53" s="29" customFormat="1" x14ac:dyDescent="0.15">
      <c r="A103" s="29">
        <v>2003</v>
      </c>
      <c r="B103" s="295"/>
      <c r="C103" s="411" t="s">
        <v>406</v>
      </c>
      <c r="D103" s="411"/>
      <c r="E103" s="29">
        <f>365-E102</f>
        <v>365</v>
      </c>
      <c r="G103" s="66">
        <v>18</v>
      </c>
      <c r="H103" s="29">
        <v>2</v>
      </c>
      <c r="J103" s="73">
        <v>27</v>
      </c>
      <c r="K103" s="47">
        <f t="shared" si="10"/>
        <v>66.666666666666657</v>
      </c>
      <c r="L103" s="47">
        <f t="shared" si="11"/>
        <v>7.4074074074074066</v>
      </c>
      <c r="M103" s="47">
        <f t="shared" si="12"/>
        <v>0</v>
      </c>
      <c r="N103" s="68">
        <f t="shared" si="8"/>
        <v>74.074074074074062</v>
      </c>
      <c r="O103" s="46">
        <v>63.3</v>
      </c>
      <c r="P103" s="47">
        <v>5</v>
      </c>
      <c r="Q103" s="47"/>
      <c r="R103" s="48">
        <f t="shared" si="9"/>
        <v>68.3</v>
      </c>
      <c r="S103" s="29">
        <v>3</v>
      </c>
      <c r="T103" s="286"/>
      <c r="U103" s="295"/>
      <c r="V103" s="38" t="s">
        <v>118</v>
      </c>
      <c r="W103" s="29" t="s">
        <v>75</v>
      </c>
      <c r="X103" s="29" t="s">
        <v>11</v>
      </c>
      <c r="Y103" s="39">
        <v>63.3</v>
      </c>
      <c r="Z103" s="38" t="s">
        <v>126</v>
      </c>
      <c r="AA103" s="29" t="s">
        <v>78</v>
      </c>
      <c r="AB103" s="29" t="s">
        <v>18</v>
      </c>
      <c r="AC103" s="29">
        <v>5</v>
      </c>
      <c r="AD103" s="38"/>
      <c r="AG103" s="39"/>
      <c r="AL103" s="38"/>
      <c r="AO103" s="39"/>
      <c r="AP103" s="38"/>
      <c r="AS103" s="39"/>
      <c r="AW103" s="39"/>
      <c r="BA103" s="40"/>
    </row>
    <row r="104" spans="1:53" s="29" customFormat="1" x14ac:dyDescent="0.15">
      <c r="A104" s="29">
        <v>2004</v>
      </c>
      <c r="B104" s="295"/>
      <c r="C104" s="411" t="s">
        <v>406</v>
      </c>
      <c r="D104" s="411"/>
      <c r="E104" s="29">
        <v>90</v>
      </c>
      <c r="G104" s="66">
        <v>18</v>
      </c>
      <c r="H104" s="29">
        <v>2</v>
      </c>
      <c r="J104" s="73">
        <v>27</v>
      </c>
      <c r="K104" s="47">
        <f t="shared" si="10"/>
        <v>66.666666666666657</v>
      </c>
      <c r="L104" s="47">
        <f t="shared" si="11"/>
        <v>7.4074074074074066</v>
      </c>
      <c r="M104" s="47">
        <f t="shared" si="12"/>
        <v>0</v>
      </c>
      <c r="N104" s="68">
        <f t="shared" si="8"/>
        <v>74.074074074074062</v>
      </c>
      <c r="O104" s="46">
        <v>63.3</v>
      </c>
      <c r="P104" s="47">
        <v>5</v>
      </c>
      <c r="Q104" s="47"/>
      <c r="R104" s="48">
        <f t="shared" si="9"/>
        <v>68.3</v>
      </c>
      <c r="S104" s="29">
        <v>3</v>
      </c>
      <c r="T104" s="286"/>
      <c r="U104" s="295"/>
      <c r="V104" s="38" t="s">
        <v>118</v>
      </c>
      <c r="W104" s="29" t="s">
        <v>75</v>
      </c>
      <c r="X104" s="29" t="s">
        <v>11</v>
      </c>
      <c r="Y104" s="39">
        <v>63.3</v>
      </c>
      <c r="Z104" s="38" t="s">
        <v>126</v>
      </c>
      <c r="AA104" s="29" t="s">
        <v>78</v>
      </c>
      <c r="AB104" s="29" t="s">
        <v>18</v>
      </c>
      <c r="AC104" s="29">
        <v>5</v>
      </c>
      <c r="AD104" s="38"/>
      <c r="AG104" s="39"/>
      <c r="AL104" s="38"/>
      <c r="AO104" s="39"/>
      <c r="AP104" s="38"/>
      <c r="AS104" s="39"/>
      <c r="AW104" s="39"/>
      <c r="BA104" s="40"/>
    </row>
    <row r="105" spans="1:53" s="171" customFormat="1" x14ac:dyDescent="0.15">
      <c r="A105" s="171">
        <v>2004</v>
      </c>
      <c r="B105" s="283">
        <v>38077</v>
      </c>
      <c r="C105" s="410" t="s">
        <v>407</v>
      </c>
      <c r="D105" s="410"/>
      <c r="E105" s="171">
        <v>276</v>
      </c>
      <c r="F105" s="171">
        <v>2</v>
      </c>
      <c r="G105" s="233">
        <v>29</v>
      </c>
      <c r="H105" s="171">
        <v>1</v>
      </c>
      <c r="J105" s="241">
        <v>31</v>
      </c>
      <c r="K105" s="214">
        <f t="shared" si="10"/>
        <v>93.548387096774192</v>
      </c>
      <c r="L105" s="214">
        <f t="shared" si="11"/>
        <v>3.225806451612903</v>
      </c>
      <c r="M105" s="214">
        <f t="shared" si="12"/>
        <v>0</v>
      </c>
      <c r="N105" s="235">
        <f t="shared" si="8"/>
        <v>96.774193548387089</v>
      </c>
      <c r="O105" s="213">
        <v>63.3</v>
      </c>
      <c r="P105" s="214">
        <v>5</v>
      </c>
      <c r="Q105" s="214"/>
      <c r="R105" s="215">
        <f t="shared" si="9"/>
        <v>68.3</v>
      </c>
      <c r="S105" s="171">
        <v>3</v>
      </c>
      <c r="T105" s="285"/>
      <c r="U105" s="283">
        <v>38077</v>
      </c>
      <c r="V105" s="178" t="s">
        <v>118</v>
      </c>
      <c r="W105" s="171" t="s">
        <v>75</v>
      </c>
      <c r="X105" s="171" t="s">
        <v>11</v>
      </c>
      <c r="Y105" s="179">
        <v>63.3</v>
      </c>
      <c r="Z105" s="178" t="s">
        <v>126</v>
      </c>
      <c r="AA105" s="171" t="s">
        <v>78</v>
      </c>
      <c r="AB105" s="171" t="s">
        <v>18</v>
      </c>
      <c r="AC105" s="171">
        <v>5</v>
      </c>
      <c r="AD105" s="178"/>
      <c r="AG105" s="179"/>
      <c r="AL105" s="178"/>
      <c r="AO105" s="179"/>
      <c r="AP105" s="178"/>
      <c r="AS105" s="179"/>
      <c r="AW105" s="179"/>
      <c r="BA105" s="180"/>
    </row>
    <row r="106" spans="1:53" s="171" customFormat="1" x14ac:dyDescent="0.15">
      <c r="A106" s="171">
        <v>2005</v>
      </c>
      <c r="B106" s="283"/>
      <c r="C106" s="410" t="s">
        <v>407</v>
      </c>
      <c r="D106" s="410"/>
      <c r="E106" s="171">
        <v>150</v>
      </c>
      <c r="G106" s="233">
        <v>29</v>
      </c>
      <c r="H106" s="171">
        <v>1</v>
      </c>
      <c r="J106" s="241">
        <v>31</v>
      </c>
      <c r="K106" s="214">
        <f t="shared" si="10"/>
        <v>93.548387096774192</v>
      </c>
      <c r="L106" s="214">
        <f t="shared" si="11"/>
        <v>3.225806451612903</v>
      </c>
      <c r="M106" s="214">
        <f t="shared" si="12"/>
        <v>0</v>
      </c>
      <c r="N106" s="235">
        <f t="shared" si="8"/>
        <v>96.774193548387089</v>
      </c>
      <c r="O106" s="213">
        <v>63.3</v>
      </c>
      <c r="P106" s="214">
        <v>5</v>
      </c>
      <c r="Q106" s="214"/>
      <c r="R106" s="215">
        <f t="shared" si="9"/>
        <v>68.3</v>
      </c>
      <c r="S106" s="171">
        <v>3</v>
      </c>
      <c r="T106" s="285"/>
      <c r="U106" s="283"/>
      <c r="V106" s="178" t="s">
        <v>118</v>
      </c>
      <c r="W106" s="171" t="s">
        <v>75</v>
      </c>
      <c r="X106" s="171" t="s">
        <v>11</v>
      </c>
      <c r="Y106" s="179">
        <v>63.3</v>
      </c>
      <c r="Z106" s="178" t="s">
        <v>126</v>
      </c>
      <c r="AA106" s="171" t="s">
        <v>78</v>
      </c>
      <c r="AB106" s="171" t="s">
        <v>18</v>
      </c>
      <c r="AC106" s="171">
        <v>5</v>
      </c>
      <c r="AD106" s="178"/>
      <c r="AG106" s="179"/>
      <c r="AL106" s="178"/>
      <c r="AO106" s="179"/>
      <c r="AP106" s="178"/>
      <c r="AS106" s="179"/>
      <c r="AW106" s="179"/>
      <c r="BA106" s="180"/>
    </row>
    <row r="107" spans="1:53" s="29" customFormat="1" x14ac:dyDescent="0.15">
      <c r="A107" s="29">
        <v>2005</v>
      </c>
      <c r="B107" s="295">
        <v>38503</v>
      </c>
      <c r="C107" s="411" t="s">
        <v>408</v>
      </c>
      <c r="D107" s="411"/>
      <c r="E107" s="29">
        <f>365-E106</f>
        <v>215</v>
      </c>
      <c r="F107" s="29">
        <v>2</v>
      </c>
      <c r="G107" s="66">
        <v>27</v>
      </c>
      <c r="H107" s="29">
        <v>1</v>
      </c>
      <c r="J107" s="73">
        <v>31</v>
      </c>
      <c r="K107" s="47">
        <f t="shared" si="10"/>
        <v>87.096774193548384</v>
      </c>
      <c r="L107" s="47">
        <f t="shared" si="11"/>
        <v>3.225806451612903</v>
      </c>
      <c r="M107" s="47">
        <f t="shared" si="12"/>
        <v>0</v>
      </c>
      <c r="N107" s="68">
        <f t="shared" si="8"/>
        <v>90.322580645161281</v>
      </c>
      <c r="O107" s="46">
        <v>63.3</v>
      </c>
      <c r="P107" s="47">
        <v>5</v>
      </c>
      <c r="Q107" s="47"/>
      <c r="R107" s="48">
        <f t="shared" si="9"/>
        <v>68.3</v>
      </c>
      <c r="S107" s="29">
        <v>3</v>
      </c>
      <c r="T107" s="286"/>
      <c r="U107" s="295">
        <v>38503</v>
      </c>
      <c r="V107" s="38" t="s">
        <v>118</v>
      </c>
      <c r="W107" s="29" t="s">
        <v>75</v>
      </c>
      <c r="X107" s="29" t="s">
        <v>11</v>
      </c>
      <c r="Y107" s="39">
        <v>63.3</v>
      </c>
      <c r="Z107" s="38" t="s">
        <v>126</v>
      </c>
      <c r="AA107" s="29" t="s">
        <v>78</v>
      </c>
      <c r="AB107" s="29" t="s">
        <v>18</v>
      </c>
      <c r="AC107" s="29">
        <v>5</v>
      </c>
      <c r="AD107" s="38"/>
      <c r="AG107" s="39"/>
      <c r="AL107" s="38"/>
      <c r="AO107" s="39"/>
      <c r="AP107" s="38"/>
      <c r="AS107" s="39"/>
      <c r="AW107" s="39"/>
      <c r="BA107" s="40"/>
    </row>
    <row r="108" spans="1:53" s="29" customFormat="1" x14ac:dyDescent="0.15">
      <c r="A108" s="29">
        <v>2006</v>
      </c>
      <c r="B108" s="295"/>
      <c r="C108" s="411" t="s">
        <v>408</v>
      </c>
      <c r="D108" s="411"/>
      <c r="E108" s="29">
        <v>0</v>
      </c>
      <c r="G108" s="66">
        <v>27</v>
      </c>
      <c r="H108" s="29">
        <v>1</v>
      </c>
      <c r="J108" s="73">
        <v>31</v>
      </c>
      <c r="K108" s="47">
        <f t="shared" ref="K108:L119" si="13">G108/J108*100</f>
        <v>87.096774193548384</v>
      </c>
      <c r="L108" s="47">
        <f t="shared" ref="L108:L118" si="14">H108/J108*100</f>
        <v>3.225806451612903</v>
      </c>
      <c r="M108" s="47">
        <f t="shared" ref="M108:M119" si="15">I108/J108*100</f>
        <v>0</v>
      </c>
      <c r="N108" s="68">
        <f t="shared" si="8"/>
        <v>90.322580645161281</v>
      </c>
      <c r="O108" s="46">
        <v>63.3</v>
      </c>
      <c r="P108" s="47">
        <v>5</v>
      </c>
      <c r="Q108" s="47"/>
      <c r="R108" s="48">
        <f t="shared" si="9"/>
        <v>68.3</v>
      </c>
      <c r="S108" s="29">
        <v>3</v>
      </c>
      <c r="T108" s="286"/>
      <c r="U108" s="295"/>
      <c r="V108" s="38" t="s">
        <v>118</v>
      </c>
      <c r="W108" s="29" t="s">
        <v>75</v>
      </c>
      <c r="X108" s="29" t="s">
        <v>11</v>
      </c>
      <c r="Y108" s="39">
        <v>63.3</v>
      </c>
      <c r="Z108" s="38" t="s">
        <v>126</v>
      </c>
      <c r="AA108" s="29" t="s">
        <v>78</v>
      </c>
      <c r="AB108" s="29" t="s">
        <v>18</v>
      </c>
      <c r="AC108" s="29">
        <v>5</v>
      </c>
      <c r="AD108" s="38"/>
      <c r="AG108" s="39"/>
      <c r="AL108" s="38"/>
      <c r="AO108" s="39"/>
      <c r="AP108" s="38"/>
      <c r="AS108" s="39"/>
      <c r="AW108" s="39"/>
      <c r="BA108" s="40"/>
    </row>
    <row r="109" spans="1:53" s="29" customFormat="1" x14ac:dyDescent="0.15">
      <c r="A109" s="29">
        <v>2006</v>
      </c>
      <c r="B109" s="295"/>
      <c r="C109" s="411" t="s">
        <v>408</v>
      </c>
      <c r="D109" s="411"/>
      <c r="E109" s="29">
        <v>365</v>
      </c>
      <c r="G109" s="66">
        <v>27</v>
      </c>
      <c r="H109" s="29">
        <v>1</v>
      </c>
      <c r="J109" s="73">
        <v>31</v>
      </c>
      <c r="K109" s="47">
        <f t="shared" si="13"/>
        <v>87.096774193548384</v>
      </c>
      <c r="L109" s="47">
        <f t="shared" si="14"/>
        <v>3.225806451612903</v>
      </c>
      <c r="M109" s="47">
        <f t="shared" si="15"/>
        <v>0</v>
      </c>
      <c r="N109" s="68">
        <f t="shared" si="8"/>
        <v>90.322580645161281</v>
      </c>
      <c r="O109" s="46">
        <v>63.3</v>
      </c>
      <c r="P109" s="47">
        <v>5</v>
      </c>
      <c r="Q109" s="47"/>
      <c r="R109" s="48">
        <f t="shared" si="9"/>
        <v>68.3</v>
      </c>
      <c r="S109" s="29">
        <v>3</v>
      </c>
      <c r="T109" s="286"/>
      <c r="U109" s="295"/>
      <c r="V109" s="38" t="s">
        <v>118</v>
      </c>
      <c r="W109" s="29" t="s">
        <v>75</v>
      </c>
      <c r="X109" s="29" t="s">
        <v>11</v>
      </c>
      <c r="Y109" s="39">
        <v>63.3</v>
      </c>
      <c r="Z109" s="38" t="s">
        <v>126</v>
      </c>
      <c r="AA109" s="29" t="s">
        <v>78</v>
      </c>
      <c r="AB109" s="29" t="s">
        <v>18</v>
      </c>
      <c r="AC109" s="29">
        <v>5</v>
      </c>
      <c r="AD109" s="38"/>
      <c r="AG109" s="39"/>
      <c r="AL109" s="38"/>
      <c r="AO109" s="39"/>
      <c r="AP109" s="38"/>
      <c r="AS109" s="39"/>
      <c r="AW109" s="39"/>
      <c r="BA109" s="40"/>
    </row>
    <row r="110" spans="1:53" s="29" customFormat="1" x14ac:dyDescent="0.15">
      <c r="A110" s="29">
        <v>2007</v>
      </c>
      <c r="B110" s="295"/>
      <c r="C110" s="411" t="s">
        <v>408</v>
      </c>
      <c r="D110" s="411"/>
      <c r="E110" s="29">
        <v>137</v>
      </c>
      <c r="G110" s="66">
        <v>27</v>
      </c>
      <c r="H110" s="29">
        <v>1</v>
      </c>
      <c r="J110" s="73">
        <v>31</v>
      </c>
      <c r="K110" s="47">
        <f t="shared" si="13"/>
        <v>87.096774193548384</v>
      </c>
      <c r="L110" s="47">
        <f t="shared" si="14"/>
        <v>3.225806451612903</v>
      </c>
      <c r="M110" s="47">
        <f t="shared" si="15"/>
        <v>0</v>
      </c>
      <c r="N110" s="68">
        <f t="shared" si="8"/>
        <v>90.322580645161281</v>
      </c>
      <c r="O110" s="46">
        <v>63.3</v>
      </c>
      <c r="P110" s="47">
        <v>5</v>
      </c>
      <c r="Q110" s="47"/>
      <c r="R110" s="48">
        <f t="shared" si="9"/>
        <v>68.3</v>
      </c>
      <c r="S110" s="29">
        <v>3</v>
      </c>
      <c r="T110" s="286"/>
      <c r="U110" s="295"/>
      <c r="V110" s="38" t="s">
        <v>118</v>
      </c>
      <c r="W110" s="29" t="s">
        <v>75</v>
      </c>
      <c r="X110" s="29" t="s">
        <v>11</v>
      </c>
      <c r="Y110" s="39">
        <v>63.3</v>
      </c>
      <c r="Z110" s="38" t="s">
        <v>126</v>
      </c>
      <c r="AA110" s="29" t="s">
        <v>78</v>
      </c>
      <c r="AB110" s="29" t="s">
        <v>18</v>
      </c>
      <c r="AC110" s="29">
        <v>5</v>
      </c>
      <c r="AD110" s="38"/>
      <c r="AG110" s="39"/>
      <c r="AL110" s="38"/>
      <c r="AO110" s="39"/>
      <c r="AP110" s="38"/>
      <c r="AS110" s="39"/>
      <c r="AW110" s="39"/>
      <c r="BA110" s="40"/>
    </row>
    <row r="111" spans="1:53" s="171" customFormat="1" x14ac:dyDescent="0.15">
      <c r="A111" s="171">
        <v>2007</v>
      </c>
      <c r="B111" s="283">
        <v>39220</v>
      </c>
      <c r="C111" s="410" t="s">
        <v>409</v>
      </c>
      <c r="D111" s="410"/>
      <c r="E111" s="171">
        <v>32</v>
      </c>
      <c r="F111" s="171">
        <v>1</v>
      </c>
      <c r="G111" s="233">
        <v>12</v>
      </c>
      <c r="H111" s="171">
        <v>1</v>
      </c>
      <c r="J111" s="241">
        <v>16</v>
      </c>
      <c r="K111" s="214">
        <f>G111/J111*100</f>
        <v>75</v>
      </c>
      <c r="L111" s="214">
        <f>H111/J111*100</f>
        <v>6.25</v>
      </c>
      <c r="M111" s="214">
        <f>I111/J111*100</f>
        <v>0</v>
      </c>
      <c r="N111" s="235">
        <f>SUM(K111:M111)</f>
        <v>81.25</v>
      </c>
      <c r="O111" s="213">
        <v>63.3</v>
      </c>
      <c r="P111" s="214">
        <v>0</v>
      </c>
      <c r="Q111" s="214"/>
      <c r="R111" s="215">
        <f>SUM(O111:Q111)</f>
        <v>63.3</v>
      </c>
      <c r="S111" s="171">
        <v>3</v>
      </c>
      <c r="T111" s="285"/>
      <c r="U111" s="283">
        <v>39220</v>
      </c>
      <c r="V111" s="178" t="s">
        <v>118</v>
      </c>
      <c r="W111" s="171" t="s">
        <v>75</v>
      </c>
      <c r="X111" s="171" t="s">
        <v>11</v>
      </c>
      <c r="Y111" s="179">
        <v>63.3</v>
      </c>
      <c r="Z111" s="171" t="s">
        <v>411</v>
      </c>
      <c r="AA111" s="171" t="s">
        <v>324</v>
      </c>
      <c r="AB111" s="171" t="s">
        <v>18</v>
      </c>
      <c r="AC111" s="171">
        <v>0</v>
      </c>
      <c r="AD111" s="178"/>
      <c r="AG111" s="179"/>
      <c r="AL111" s="178"/>
      <c r="AO111" s="179"/>
      <c r="AP111" s="178"/>
      <c r="AS111" s="179"/>
      <c r="AW111" s="179"/>
      <c r="BA111" s="180"/>
    </row>
    <row r="112" spans="1:53" s="29" customFormat="1" x14ac:dyDescent="0.15">
      <c r="A112" s="29">
        <v>2007</v>
      </c>
      <c r="B112" s="295">
        <v>39252</v>
      </c>
      <c r="C112" s="411" t="s">
        <v>410</v>
      </c>
      <c r="D112" s="411"/>
      <c r="E112" s="29">
        <v>196</v>
      </c>
      <c r="F112" s="29">
        <v>1</v>
      </c>
      <c r="G112" s="66">
        <v>12</v>
      </c>
      <c r="H112" s="29">
        <v>1</v>
      </c>
      <c r="J112" s="73">
        <v>16</v>
      </c>
      <c r="K112" s="47">
        <f t="shared" si="13"/>
        <v>75</v>
      </c>
      <c r="L112" s="47">
        <f t="shared" si="14"/>
        <v>6.25</v>
      </c>
      <c r="M112" s="47">
        <f t="shared" si="15"/>
        <v>0</v>
      </c>
      <c r="N112" s="68">
        <f t="shared" si="8"/>
        <v>81.25</v>
      </c>
      <c r="O112" s="46">
        <v>54.1</v>
      </c>
      <c r="P112" s="47">
        <v>3.8</v>
      </c>
      <c r="Q112" s="47"/>
      <c r="R112" s="48">
        <f t="shared" si="9"/>
        <v>57.9</v>
      </c>
      <c r="S112" s="29">
        <v>3</v>
      </c>
      <c r="T112" s="286">
        <v>39243</v>
      </c>
      <c r="U112" s="295">
        <v>39252</v>
      </c>
      <c r="V112" s="38" t="s">
        <v>118</v>
      </c>
      <c r="W112" s="29" t="s">
        <v>75</v>
      </c>
      <c r="X112" s="29" t="s">
        <v>11</v>
      </c>
      <c r="Y112" s="39">
        <v>54.1</v>
      </c>
      <c r="Z112" s="29" t="s">
        <v>411</v>
      </c>
      <c r="AA112" s="29" t="s">
        <v>324</v>
      </c>
      <c r="AB112" s="29" t="s">
        <v>18</v>
      </c>
      <c r="AC112" s="29">
        <v>3.8</v>
      </c>
      <c r="AD112" s="38"/>
      <c r="AG112" s="39"/>
      <c r="AL112" s="38"/>
      <c r="AO112" s="39"/>
      <c r="AP112" s="38"/>
      <c r="AS112" s="39"/>
      <c r="AW112" s="39"/>
      <c r="BA112" s="40"/>
    </row>
    <row r="113" spans="1:53" s="29" customFormat="1" x14ac:dyDescent="0.15">
      <c r="A113" s="29">
        <v>2008</v>
      </c>
      <c r="B113" s="295"/>
      <c r="C113" s="411" t="s">
        <v>410</v>
      </c>
      <c r="D113" s="411"/>
      <c r="E113" s="29">
        <v>0</v>
      </c>
      <c r="G113" s="66">
        <v>12</v>
      </c>
      <c r="H113" s="29">
        <v>1</v>
      </c>
      <c r="J113" s="73">
        <v>16</v>
      </c>
      <c r="K113" s="47">
        <f t="shared" si="13"/>
        <v>75</v>
      </c>
      <c r="L113" s="47">
        <f t="shared" si="14"/>
        <v>6.25</v>
      </c>
      <c r="M113" s="47">
        <f t="shared" si="15"/>
        <v>0</v>
      </c>
      <c r="N113" s="68">
        <f t="shared" si="8"/>
        <v>81.25</v>
      </c>
      <c r="O113" s="46">
        <v>54.1</v>
      </c>
      <c r="P113" s="47">
        <v>3.8</v>
      </c>
      <c r="Q113" s="47"/>
      <c r="R113" s="48">
        <f t="shared" si="9"/>
        <v>57.9</v>
      </c>
      <c r="S113" s="29">
        <v>3</v>
      </c>
      <c r="T113" s="286"/>
      <c r="U113" s="295"/>
      <c r="V113" s="38" t="s">
        <v>118</v>
      </c>
      <c r="W113" s="29" t="s">
        <v>75</v>
      </c>
      <c r="X113" s="29" t="s">
        <v>11</v>
      </c>
      <c r="Y113" s="39">
        <v>54.1</v>
      </c>
      <c r="Z113" s="29" t="s">
        <v>411</v>
      </c>
      <c r="AA113" s="29" t="s">
        <v>324</v>
      </c>
      <c r="AB113" s="29" t="s">
        <v>18</v>
      </c>
      <c r="AC113" s="29">
        <v>3.8</v>
      </c>
      <c r="AD113" s="38"/>
      <c r="AG113" s="39"/>
      <c r="AL113" s="38"/>
      <c r="AO113" s="39"/>
      <c r="AP113" s="38"/>
      <c r="AS113" s="39"/>
      <c r="AW113" s="39"/>
      <c r="BA113" s="40"/>
    </row>
    <row r="114" spans="1:53" s="29" customFormat="1" x14ac:dyDescent="0.15">
      <c r="A114" s="29">
        <v>2008</v>
      </c>
      <c r="B114" s="295"/>
      <c r="C114" s="411" t="s">
        <v>410</v>
      </c>
      <c r="D114" s="411"/>
      <c r="E114" s="29">
        <v>366</v>
      </c>
      <c r="G114" s="66">
        <v>12</v>
      </c>
      <c r="H114" s="29">
        <v>1</v>
      </c>
      <c r="J114" s="73">
        <v>16</v>
      </c>
      <c r="K114" s="47">
        <f t="shared" si="13"/>
        <v>75</v>
      </c>
      <c r="L114" s="47">
        <f t="shared" si="14"/>
        <v>6.25</v>
      </c>
      <c r="M114" s="47">
        <f t="shared" si="15"/>
        <v>0</v>
      </c>
      <c r="N114" s="68">
        <f t="shared" si="8"/>
        <v>81.25</v>
      </c>
      <c r="O114" s="46">
        <v>54.1</v>
      </c>
      <c r="P114" s="47">
        <v>3.8</v>
      </c>
      <c r="Q114" s="47"/>
      <c r="R114" s="48">
        <f t="shared" si="9"/>
        <v>57.9</v>
      </c>
      <c r="S114" s="29">
        <v>3</v>
      </c>
      <c r="T114" s="286"/>
      <c r="U114" s="295"/>
      <c r="V114" s="38" t="s">
        <v>118</v>
      </c>
      <c r="W114" s="29" t="s">
        <v>75</v>
      </c>
      <c r="X114" s="29" t="s">
        <v>11</v>
      </c>
      <c r="Y114" s="39">
        <v>54.1</v>
      </c>
      <c r="Z114" s="29" t="s">
        <v>411</v>
      </c>
      <c r="AA114" s="29" t="s">
        <v>324</v>
      </c>
      <c r="AB114" s="29" t="s">
        <v>18</v>
      </c>
      <c r="AC114" s="29">
        <v>3.8</v>
      </c>
      <c r="AD114" s="38"/>
      <c r="AG114" s="39"/>
      <c r="AL114" s="38"/>
      <c r="AO114" s="39"/>
      <c r="AP114" s="38"/>
      <c r="AS114" s="39"/>
      <c r="AW114" s="39"/>
      <c r="BA114" s="40"/>
    </row>
    <row r="115" spans="1:53" s="29" customFormat="1" x14ac:dyDescent="0.15">
      <c r="A115" s="29">
        <v>2009</v>
      </c>
      <c r="B115" s="295"/>
      <c r="C115" s="411" t="s">
        <v>410</v>
      </c>
      <c r="D115" s="411"/>
      <c r="E115" s="29">
        <v>14</v>
      </c>
      <c r="G115" s="66">
        <v>12</v>
      </c>
      <c r="H115" s="29">
        <v>1</v>
      </c>
      <c r="J115" s="73">
        <v>16</v>
      </c>
      <c r="K115" s="47">
        <f t="shared" si="13"/>
        <v>75</v>
      </c>
      <c r="L115" s="47">
        <f t="shared" si="14"/>
        <v>6.25</v>
      </c>
      <c r="M115" s="47">
        <f t="shared" si="15"/>
        <v>0</v>
      </c>
      <c r="N115" s="68">
        <f t="shared" si="8"/>
        <v>81.25</v>
      </c>
      <c r="O115" s="46">
        <v>54.1</v>
      </c>
      <c r="P115" s="47">
        <v>3.8</v>
      </c>
      <c r="Q115" s="47"/>
      <c r="R115" s="48">
        <f t="shared" si="9"/>
        <v>57.9</v>
      </c>
      <c r="S115" s="29">
        <v>3</v>
      </c>
      <c r="T115" s="286"/>
      <c r="U115" s="295"/>
      <c r="V115" s="38" t="s">
        <v>118</v>
      </c>
      <c r="W115" s="29" t="s">
        <v>75</v>
      </c>
      <c r="X115" s="29" t="s">
        <v>11</v>
      </c>
      <c r="Y115" s="39">
        <v>54.1</v>
      </c>
      <c r="Z115" s="29" t="s">
        <v>411</v>
      </c>
      <c r="AA115" s="29" t="s">
        <v>324</v>
      </c>
      <c r="AB115" s="29" t="s">
        <v>18</v>
      </c>
      <c r="AC115" s="29">
        <v>3.8</v>
      </c>
      <c r="AD115" s="38"/>
      <c r="AG115" s="39"/>
      <c r="AL115" s="38"/>
      <c r="AO115" s="39"/>
      <c r="AP115" s="38"/>
      <c r="AS115" s="39"/>
      <c r="AW115" s="39"/>
      <c r="BA115" s="40"/>
    </row>
    <row r="116" spans="1:53" s="29" customFormat="1" x14ac:dyDescent="0.15">
      <c r="A116" s="29">
        <v>2009</v>
      </c>
      <c r="B116" s="303">
        <v>39828</v>
      </c>
      <c r="C116" s="411" t="s">
        <v>410</v>
      </c>
      <c r="D116" s="411"/>
      <c r="E116" s="29">
        <v>159</v>
      </c>
      <c r="F116" s="84">
        <v>0</v>
      </c>
      <c r="G116" s="66">
        <v>15</v>
      </c>
      <c r="H116" s="29">
        <v>1</v>
      </c>
      <c r="J116" s="73">
        <v>17</v>
      </c>
      <c r="K116" s="47">
        <f t="shared" si="13"/>
        <v>88.235294117647058</v>
      </c>
      <c r="L116" s="47">
        <f t="shared" si="14"/>
        <v>5.8823529411764701</v>
      </c>
      <c r="M116" s="47">
        <f t="shared" si="15"/>
        <v>0</v>
      </c>
      <c r="N116" s="68">
        <f t="shared" si="8"/>
        <v>94.117647058823522</v>
      </c>
      <c r="O116" s="46">
        <v>54.1</v>
      </c>
      <c r="P116" s="47">
        <v>3.8</v>
      </c>
      <c r="Q116" s="47"/>
      <c r="R116" s="48">
        <f t="shared" si="9"/>
        <v>57.9</v>
      </c>
      <c r="S116" s="29">
        <v>3</v>
      </c>
      <c r="T116" s="286"/>
      <c r="U116" s="303"/>
      <c r="V116" s="38" t="s">
        <v>118</v>
      </c>
      <c r="W116" s="29" t="s">
        <v>75</v>
      </c>
      <c r="X116" s="29" t="s">
        <v>11</v>
      </c>
      <c r="Y116" s="39">
        <v>54.1</v>
      </c>
      <c r="Z116" s="29" t="s">
        <v>411</v>
      </c>
      <c r="AA116" s="29" t="s">
        <v>324</v>
      </c>
      <c r="AB116" s="29" t="s">
        <v>18</v>
      </c>
      <c r="AC116" s="29">
        <v>3.8</v>
      </c>
      <c r="AD116" s="38"/>
      <c r="AG116" s="39"/>
      <c r="AL116" s="38"/>
      <c r="AO116" s="39"/>
      <c r="AP116" s="38"/>
      <c r="AS116" s="39"/>
      <c r="AW116" s="39"/>
      <c r="BA116" s="40"/>
    </row>
    <row r="117" spans="1:53" s="29" customFormat="1" x14ac:dyDescent="0.15">
      <c r="A117" s="29">
        <v>2009</v>
      </c>
      <c r="B117" s="303">
        <v>39987</v>
      </c>
      <c r="C117" s="411" t="s">
        <v>410</v>
      </c>
      <c r="D117" s="411"/>
      <c r="E117" s="29">
        <v>192</v>
      </c>
      <c r="F117" s="84">
        <v>0</v>
      </c>
      <c r="G117" s="66">
        <v>15</v>
      </c>
      <c r="H117" s="29">
        <v>1</v>
      </c>
      <c r="J117" s="73">
        <v>19</v>
      </c>
      <c r="K117" s="47">
        <f t="shared" si="13"/>
        <v>78.94736842105263</v>
      </c>
      <c r="L117" s="47">
        <f t="shared" si="14"/>
        <v>5.2631578947368416</v>
      </c>
      <c r="M117" s="47">
        <f t="shared" si="15"/>
        <v>0</v>
      </c>
      <c r="N117" s="68">
        <f t="shared" si="8"/>
        <v>84.210526315789465</v>
      </c>
      <c r="O117" s="46">
        <v>54.1</v>
      </c>
      <c r="P117" s="47">
        <v>3.8</v>
      </c>
      <c r="Q117" s="47"/>
      <c r="R117" s="48">
        <f t="shared" si="9"/>
        <v>57.9</v>
      </c>
      <c r="S117" s="29">
        <v>3</v>
      </c>
      <c r="T117" s="286"/>
      <c r="U117" s="303"/>
      <c r="V117" s="38" t="s">
        <v>118</v>
      </c>
      <c r="W117" s="29" t="s">
        <v>75</v>
      </c>
      <c r="X117" s="29" t="s">
        <v>11</v>
      </c>
      <c r="Y117" s="39">
        <v>54.1</v>
      </c>
      <c r="Z117" s="29" t="s">
        <v>411</v>
      </c>
      <c r="AA117" s="29" t="s">
        <v>324</v>
      </c>
      <c r="AB117" s="29" t="s">
        <v>18</v>
      </c>
      <c r="AC117" s="29">
        <v>3.8</v>
      </c>
      <c r="AD117" s="38"/>
      <c r="AG117" s="39"/>
      <c r="AL117" s="38"/>
      <c r="AO117" s="39"/>
      <c r="AP117" s="38"/>
      <c r="AS117" s="39"/>
      <c r="AW117" s="39"/>
      <c r="BA117" s="40"/>
    </row>
    <row r="118" spans="1:53" s="29" customFormat="1" x14ac:dyDescent="0.15">
      <c r="A118" s="29">
        <v>2010</v>
      </c>
      <c r="B118" s="295"/>
      <c r="C118" s="411" t="s">
        <v>410</v>
      </c>
      <c r="D118" s="411"/>
      <c r="E118" s="29">
        <v>317</v>
      </c>
      <c r="G118" s="66">
        <v>15</v>
      </c>
      <c r="H118" s="29">
        <v>1</v>
      </c>
      <c r="J118" s="73">
        <v>19</v>
      </c>
      <c r="K118" s="47">
        <f t="shared" si="13"/>
        <v>78.94736842105263</v>
      </c>
      <c r="L118" s="47">
        <f t="shared" si="14"/>
        <v>5.2631578947368416</v>
      </c>
      <c r="M118" s="47">
        <f t="shared" si="15"/>
        <v>0</v>
      </c>
      <c r="N118" s="68">
        <f t="shared" si="8"/>
        <v>84.210526315789465</v>
      </c>
      <c r="O118" s="46">
        <v>54.1</v>
      </c>
      <c r="P118" s="47">
        <v>3.8</v>
      </c>
      <c r="Q118" s="47"/>
      <c r="R118" s="48">
        <f t="shared" si="9"/>
        <v>57.9</v>
      </c>
      <c r="S118" s="29">
        <v>3</v>
      </c>
      <c r="T118" s="286"/>
      <c r="U118" s="295"/>
      <c r="V118" s="38" t="s">
        <v>118</v>
      </c>
      <c r="W118" s="29" t="s">
        <v>75</v>
      </c>
      <c r="X118" s="29" t="s">
        <v>11</v>
      </c>
      <c r="Y118" s="39">
        <v>54.1</v>
      </c>
      <c r="Z118" s="29" t="s">
        <v>411</v>
      </c>
      <c r="AA118" s="29" t="s">
        <v>324</v>
      </c>
      <c r="AB118" s="29" t="s">
        <v>18</v>
      </c>
      <c r="AC118" s="29">
        <v>3.8</v>
      </c>
      <c r="AD118" s="38"/>
      <c r="AG118" s="39"/>
      <c r="AL118" s="38"/>
      <c r="AO118" s="39"/>
      <c r="AP118" s="38"/>
      <c r="AS118" s="39"/>
      <c r="AW118" s="39"/>
      <c r="BA118" s="40"/>
    </row>
    <row r="119" spans="1:53" s="171" customFormat="1" x14ac:dyDescent="0.15">
      <c r="A119" s="171">
        <v>2010</v>
      </c>
      <c r="B119" s="283">
        <v>40496</v>
      </c>
      <c r="C119" s="410" t="s">
        <v>1136</v>
      </c>
      <c r="D119" s="410"/>
      <c r="E119" s="171">
        <f>365-E118</f>
        <v>48</v>
      </c>
      <c r="F119" s="171">
        <v>4</v>
      </c>
      <c r="G119" s="233">
        <v>22</v>
      </c>
      <c r="J119" s="241">
        <v>23</v>
      </c>
      <c r="K119" s="214">
        <f t="shared" si="13"/>
        <v>95.652173913043484</v>
      </c>
      <c r="L119" s="214">
        <f t="shared" si="13"/>
        <v>0</v>
      </c>
      <c r="M119" s="214">
        <f t="shared" si="15"/>
        <v>0</v>
      </c>
      <c r="N119" s="235">
        <f t="shared" si="8"/>
        <v>95.652173913043484</v>
      </c>
      <c r="O119" s="213">
        <v>54.1</v>
      </c>
      <c r="P119" s="214"/>
      <c r="Q119" s="214"/>
      <c r="R119" s="215">
        <f t="shared" si="9"/>
        <v>54.1</v>
      </c>
      <c r="S119" s="171">
        <v>1</v>
      </c>
      <c r="T119" s="285"/>
      <c r="U119" s="283">
        <v>40496</v>
      </c>
      <c r="V119" s="178" t="s">
        <v>118</v>
      </c>
      <c r="W119" s="171" t="s">
        <v>75</v>
      </c>
      <c r="X119" s="171" t="s">
        <v>11</v>
      </c>
      <c r="Y119" s="179">
        <v>54.1</v>
      </c>
      <c r="AD119" s="178"/>
      <c r="AG119" s="179"/>
      <c r="AL119" s="178"/>
      <c r="AO119" s="179"/>
      <c r="AP119" s="178"/>
      <c r="AS119" s="179"/>
      <c r="AW119" s="179"/>
      <c r="BA119" s="180"/>
    </row>
    <row r="120" spans="1:53" s="171" customFormat="1" x14ac:dyDescent="0.15">
      <c r="A120" s="171">
        <v>2011</v>
      </c>
      <c r="B120" s="283"/>
      <c r="C120" s="410" t="s">
        <v>1136</v>
      </c>
      <c r="D120" s="410"/>
      <c r="E120" s="171">
        <v>0</v>
      </c>
      <c r="G120" s="233">
        <v>22</v>
      </c>
      <c r="J120" s="241">
        <v>23</v>
      </c>
      <c r="K120" s="214">
        <f t="shared" ref="K120:L122" si="16">G120/J120*100</f>
        <v>95.652173913043484</v>
      </c>
      <c r="L120" s="214">
        <f t="shared" si="16"/>
        <v>0</v>
      </c>
      <c r="M120" s="214">
        <f t="shared" ref="M120:M126" si="17">I120/J120*100</f>
        <v>0</v>
      </c>
      <c r="N120" s="235">
        <f t="shared" si="8"/>
        <v>95.652173913043484</v>
      </c>
      <c r="O120" s="213">
        <v>54.1</v>
      </c>
      <c r="P120" s="214"/>
      <c r="Q120" s="214"/>
      <c r="R120" s="215">
        <f t="shared" si="9"/>
        <v>54.1</v>
      </c>
      <c r="S120" s="171">
        <v>1</v>
      </c>
      <c r="T120" s="285"/>
      <c r="U120" s="283"/>
      <c r="V120" s="178" t="s">
        <v>118</v>
      </c>
      <c r="W120" s="171" t="s">
        <v>75</v>
      </c>
      <c r="X120" s="171" t="s">
        <v>11</v>
      </c>
      <c r="Y120" s="179">
        <v>54.1</v>
      </c>
      <c r="AD120" s="178"/>
      <c r="AG120" s="179"/>
      <c r="AL120" s="178"/>
      <c r="AO120" s="179"/>
      <c r="AP120" s="178"/>
      <c r="AS120" s="179"/>
      <c r="AW120" s="179"/>
      <c r="BA120" s="180"/>
    </row>
    <row r="121" spans="1:53" s="171" customFormat="1" x14ac:dyDescent="0.15">
      <c r="A121" s="171">
        <v>2011</v>
      </c>
      <c r="B121" s="283"/>
      <c r="C121" s="410" t="s">
        <v>1136</v>
      </c>
      <c r="D121" s="410"/>
      <c r="E121" s="171">
        <v>365</v>
      </c>
      <c r="G121" s="233">
        <v>22</v>
      </c>
      <c r="J121" s="241">
        <v>23</v>
      </c>
      <c r="K121" s="214">
        <f t="shared" si="16"/>
        <v>95.652173913043484</v>
      </c>
      <c r="L121" s="214">
        <f t="shared" si="16"/>
        <v>0</v>
      </c>
      <c r="M121" s="214">
        <f t="shared" si="17"/>
        <v>0</v>
      </c>
      <c r="N121" s="235">
        <f t="shared" si="8"/>
        <v>95.652173913043484</v>
      </c>
      <c r="O121" s="213">
        <v>54.1</v>
      </c>
      <c r="P121" s="214"/>
      <c r="Q121" s="214"/>
      <c r="R121" s="215">
        <f t="shared" si="9"/>
        <v>54.1</v>
      </c>
      <c r="S121" s="171">
        <v>1</v>
      </c>
      <c r="T121" s="285"/>
      <c r="U121" s="283"/>
      <c r="V121" s="178" t="s">
        <v>118</v>
      </c>
      <c r="W121" s="171" t="s">
        <v>75</v>
      </c>
      <c r="X121" s="171" t="s">
        <v>11</v>
      </c>
      <c r="Y121" s="179">
        <v>54.1</v>
      </c>
      <c r="AD121" s="178"/>
      <c r="AG121" s="179"/>
      <c r="AL121" s="178"/>
      <c r="AO121" s="179"/>
      <c r="AP121" s="178"/>
      <c r="AS121" s="179"/>
      <c r="AW121" s="179"/>
      <c r="BA121" s="180"/>
    </row>
    <row r="122" spans="1:53" s="171" customFormat="1" x14ac:dyDescent="0.15">
      <c r="A122" s="171">
        <v>2012</v>
      </c>
      <c r="B122" s="283"/>
      <c r="C122" s="410" t="s">
        <v>1136</v>
      </c>
      <c r="D122" s="410"/>
      <c r="E122" s="171">
        <v>136</v>
      </c>
      <c r="G122" s="233">
        <v>22</v>
      </c>
      <c r="J122" s="241">
        <v>23</v>
      </c>
      <c r="K122" s="214">
        <f t="shared" si="16"/>
        <v>95.652173913043484</v>
      </c>
      <c r="L122" s="214">
        <f t="shared" si="16"/>
        <v>0</v>
      </c>
      <c r="M122" s="214">
        <f t="shared" si="17"/>
        <v>0</v>
      </c>
      <c r="N122" s="235">
        <f t="shared" si="8"/>
        <v>95.652173913043484</v>
      </c>
      <c r="O122" s="213">
        <v>54.1</v>
      </c>
      <c r="P122" s="214"/>
      <c r="Q122" s="214"/>
      <c r="R122" s="215">
        <f t="shared" si="9"/>
        <v>54.1</v>
      </c>
      <c r="S122" s="171">
        <v>1</v>
      </c>
      <c r="T122" s="285"/>
      <c r="U122" s="283"/>
      <c r="V122" s="178" t="s">
        <v>118</v>
      </c>
      <c r="W122" s="171" t="s">
        <v>75</v>
      </c>
      <c r="X122" s="171" t="s">
        <v>11</v>
      </c>
      <c r="Y122" s="179">
        <v>54.1</v>
      </c>
      <c r="AD122" s="178"/>
      <c r="AG122" s="179"/>
      <c r="AL122" s="178"/>
      <c r="AO122" s="179"/>
      <c r="AP122" s="178"/>
      <c r="AS122" s="179"/>
      <c r="AW122" s="179"/>
      <c r="BA122" s="180"/>
    </row>
    <row r="123" spans="1:53" s="29" customFormat="1" x14ac:dyDescent="0.15">
      <c r="A123" s="29">
        <v>2012</v>
      </c>
      <c r="B123" s="295">
        <v>41045</v>
      </c>
      <c r="C123" s="411" t="s">
        <v>412</v>
      </c>
      <c r="D123" s="411"/>
      <c r="E123" s="29">
        <v>33</v>
      </c>
      <c r="F123" s="29">
        <v>1</v>
      </c>
      <c r="G123" s="66"/>
      <c r="I123" s="29">
        <v>20</v>
      </c>
      <c r="J123" s="73">
        <v>20</v>
      </c>
      <c r="K123" s="47">
        <f>G123/J123*100</f>
        <v>0</v>
      </c>
      <c r="L123" s="47">
        <f>H123/J123*100</f>
        <v>0</v>
      </c>
      <c r="M123" s="47">
        <f t="shared" si="17"/>
        <v>100</v>
      </c>
      <c r="N123" s="68">
        <f>SUM(K123:M123)</f>
        <v>100</v>
      </c>
      <c r="O123" s="46"/>
      <c r="P123" s="47"/>
      <c r="Q123" s="47">
        <v>37.4</v>
      </c>
      <c r="R123" s="48">
        <f>SUM(O123:Q123)</f>
        <v>37.4</v>
      </c>
      <c r="S123" s="29">
        <v>6</v>
      </c>
      <c r="T123" s="286"/>
      <c r="U123" s="295">
        <v>41045</v>
      </c>
      <c r="V123" s="38" t="s">
        <v>95</v>
      </c>
      <c r="W123" s="29" t="s">
        <v>20</v>
      </c>
      <c r="X123" s="29" t="s">
        <v>12</v>
      </c>
      <c r="Y123" s="39">
        <v>35.5</v>
      </c>
      <c r="Z123" s="29" t="s">
        <v>1318</v>
      </c>
      <c r="AA123" s="29" t="s">
        <v>87</v>
      </c>
      <c r="AB123" s="29" t="s">
        <v>12</v>
      </c>
      <c r="AC123" s="29">
        <v>1.2</v>
      </c>
      <c r="AD123" s="38" t="s">
        <v>404</v>
      </c>
      <c r="AE123" s="29" t="s">
        <v>216</v>
      </c>
      <c r="AF123" s="29" t="s">
        <v>12</v>
      </c>
      <c r="AG123" s="39">
        <v>0.7</v>
      </c>
      <c r="AL123" s="38"/>
      <c r="AO123" s="39"/>
      <c r="AP123" s="38"/>
      <c r="AS123" s="39"/>
      <c r="AW123" s="39"/>
      <c r="BA123" s="40"/>
    </row>
    <row r="124" spans="1:53" s="171" customFormat="1" x14ac:dyDescent="0.15">
      <c r="A124" s="171">
        <v>2012</v>
      </c>
      <c r="B124" s="283">
        <v>41078</v>
      </c>
      <c r="C124" s="410" t="s">
        <v>413</v>
      </c>
      <c r="D124" s="410"/>
      <c r="E124" s="171">
        <v>197</v>
      </c>
      <c r="F124" s="171">
        <v>1</v>
      </c>
      <c r="G124" s="233"/>
      <c r="I124" s="171">
        <v>21</v>
      </c>
      <c r="J124" s="241">
        <v>21</v>
      </c>
      <c r="K124" s="214">
        <f t="shared" ref="K124:K131" si="18">G124/J124*100</f>
        <v>0</v>
      </c>
      <c r="L124" s="214">
        <f>H124/J124*100</f>
        <v>0</v>
      </c>
      <c r="M124" s="214">
        <f t="shared" si="17"/>
        <v>100</v>
      </c>
      <c r="N124" s="235">
        <f t="shared" si="8"/>
        <v>100</v>
      </c>
      <c r="O124" s="213"/>
      <c r="P124" s="214"/>
      <c r="Q124" s="214">
        <v>53.5</v>
      </c>
      <c r="R124" s="215">
        <f t="shared" si="9"/>
        <v>53.5</v>
      </c>
      <c r="S124" s="171">
        <v>3</v>
      </c>
      <c r="T124" s="285">
        <v>41077</v>
      </c>
      <c r="U124" s="283">
        <v>41078</v>
      </c>
      <c r="V124" s="178" t="s">
        <v>95</v>
      </c>
      <c r="W124" s="171" t="s">
        <v>20</v>
      </c>
      <c r="X124" s="171" t="s">
        <v>12</v>
      </c>
      <c r="Y124" s="179">
        <v>48.5</v>
      </c>
      <c r="Z124" s="171" t="s">
        <v>1318</v>
      </c>
      <c r="AA124" s="171" t="s">
        <v>87</v>
      </c>
      <c r="AB124" s="171" t="s">
        <v>12</v>
      </c>
      <c r="AC124" s="171">
        <v>2.1</v>
      </c>
      <c r="AD124" s="178" t="s">
        <v>404</v>
      </c>
      <c r="AE124" s="171" t="s">
        <v>216</v>
      </c>
      <c r="AF124" s="171" t="s">
        <v>12</v>
      </c>
      <c r="AG124" s="179">
        <v>2.9</v>
      </c>
      <c r="AL124" s="178"/>
      <c r="AO124" s="179"/>
      <c r="AP124" s="178"/>
      <c r="AS124" s="179"/>
      <c r="AW124" s="179"/>
      <c r="BA124" s="180"/>
    </row>
    <row r="125" spans="1:53" s="171" customFormat="1" x14ac:dyDescent="0.15">
      <c r="A125" s="171">
        <v>2013</v>
      </c>
      <c r="B125" s="283"/>
      <c r="C125" s="402" t="s">
        <v>413</v>
      </c>
      <c r="D125" s="402"/>
      <c r="E125" s="171">
        <v>0</v>
      </c>
      <c r="G125" s="233"/>
      <c r="I125" s="171">
        <v>21</v>
      </c>
      <c r="J125" s="241">
        <v>21</v>
      </c>
      <c r="K125" s="214">
        <f t="shared" si="18"/>
        <v>0</v>
      </c>
      <c r="L125" s="214">
        <f t="shared" ref="L125:L131" si="19">H125/J125*100</f>
        <v>0</v>
      </c>
      <c r="M125" s="214">
        <f t="shared" si="17"/>
        <v>100</v>
      </c>
      <c r="N125" s="235">
        <f t="shared" si="8"/>
        <v>100</v>
      </c>
      <c r="O125" s="213"/>
      <c r="P125" s="214"/>
      <c r="Q125" s="214">
        <v>53.5</v>
      </c>
      <c r="R125" s="215">
        <f t="shared" si="9"/>
        <v>53.5</v>
      </c>
      <c r="S125" s="171">
        <v>3</v>
      </c>
      <c r="T125" s="285"/>
      <c r="U125" s="283"/>
      <c r="V125" s="178" t="s">
        <v>95</v>
      </c>
      <c r="W125" s="171" t="s">
        <v>20</v>
      </c>
      <c r="X125" s="171" t="s">
        <v>12</v>
      </c>
      <c r="Y125" s="179">
        <v>48.5</v>
      </c>
      <c r="Z125" s="171" t="s">
        <v>1318</v>
      </c>
      <c r="AA125" s="171" t="s">
        <v>87</v>
      </c>
      <c r="AB125" s="171" t="s">
        <v>12</v>
      </c>
      <c r="AC125" s="171">
        <v>2.1</v>
      </c>
      <c r="AD125" s="178" t="s">
        <v>404</v>
      </c>
      <c r="AE125" s="171" t="s">
        <v>216</v>
      </c>
      <c r="AF125" s="171" t="s">
        <v>12</v>
      </c>
      <c r="AG125" s="179">
        <v>2.9</v>
      </c>
      <c r="AL125" s="178"/>
      <c r="AO125" s="179"/>
      <c r="AP125" s="178"/>
      <c r="AS125" s="179"/>
      <c r="AW125" s="179"/>
      <c r="BA125" s="180"/>
    </row>
    <row r="126" spans="1:53" s="171" customFormat="1" x14ac:dyDescent="0.15">
      <c r="A126" s="171">
        <v>2013</v>
      </c>
      <c r="B126" s="283"/>
      <c r="C126" s="402" t="s">
        <v>413</v>
      </c>
      <c r="D126" s="402"/>
      <c r="E126" s="171">
        <v>365</v>
      </c>
      <c r="G126" s="233"/>
      <c r="I126" s="171">
        <v>21</v>
      </c>
      <c r="J126" s="241">
        <v>21</v>
      </c>
      <c r="K126" s="214">
        <f t="shared" si="18"/>
        <v>0</v>
      </c>
      <c r="L126" s="214">
        <f t="shared" si="19"/>
        <v>0</v>
      </c>
      <c r="M126" s="214">
        <f t="shared" si="17"/>
        <v>100</v>
      </c>
      <c r="N126" s="235">
        <f t="shared" si="8"/>
        <v>100</v>
      </c>
      <c r="O126" s="213"/>
      <c r="P126" s="214"/>
      <c r="Q126" s="214">
        <v>53.5</v>
      </c>
      <c r="R126" s="215">
        <f t="shared" si="9"/>
        <v>53.5</v>
      </c>
      <c r="S126" s="171">
        <v>3</v>
      </c>
      <c r="T126" s="285"/>
      <c r="U126" s="283"/>
      <c r="V126" s="178" t="s">
        <v>95</v>
      </c>
      <c r="W126" s="171" t="s">
        <v>20</v>
      </c>
      <c r="X126" s="171" t="s">
        <v>12</v>
      </c>
      <c r="Y126" s="179">
        <v>48.5</v>
      </c>
      <c r="Z126" s="171" t="s">
        <v>1318</v>
      </c>
      <c r="AA126" s="171" t="s">
        <v>87</v>
      </c>
      <c r="AB126" s="171" t="s">
        <v>12</v>
      </c>
      <c r="AC126" s="171">
        <v>2.1</v>
      </c>
      <c r="AD126" s="178" t="s">
        <v>404</v>
      </c>
      <c r="AE126" s="171" t="s">
        <v>216</v>
      </c>
      <c r="AF126" s="171" t="s">
        <v>12</v>
      </c>
      <c r="AG126" s="179">
        <v>2.9</v>
      </c>
      <c r="AL126" s="178"/>
      <c r="AO126" s="179"/>
      <c r="AP126" s="178"/>
      <c r="AS126" s="179"/>
      <c r="AW126" s="179"/>
      <c r="BA126" s="180"/>
    </row>
    <row r="127" spans="1:53" s="171" customFormat="1" x14ac:dyDescent="0.15">
      <c r="A127" s="171">
        <v>2014</v>
      </c>
      <c r="B127" s="283"/>
      <c r="C127" s="402" t="s">
        <v>413</v>
      </c>
      <c r="D127" s="402"/>
      <c r="E127" s="171">
        <v>89</v>
      </c>
      <c r="G127" s="233"/>
      <c r="I127" s="171">
        <v>21</v>
      </c>
      <c r="J127" s="241">
        <v>21</v>
      </c>
      <c r="K127" s="214">
        <f t="shared" si="18"/>
        <v>0</v>
      </c>
      <c r="L127" s="214">
        <f t="shared" si="19"/>
        <v>0</v>
      </c>
      <c r="M127" s="214">
        <f>I127/J127*100</f>
        <v>100</v>
      </c>
      <c r="N127" s="235">
        <f t="shared" si="8"/>
        <v>100</v>
      </c>
      <c r="O127" s="213"/>
      <c r="P127" s="214"/>
      <c r="Q127" s="214">
        <v>53.5</v>
      </c>
      <c r="R127" s="215">
        <f>SUM(O127:Q127)</f>
        <v>53.5</v>
      </c>
      <c r="S127" s="171">
        <v>3</v>
      </c>
      <c r="T127" s="285"/>
      <c r="U127" s="283"/>
      <c r="V127" s="178" t="s">
        <v>95</v>
      </c>
      <c r="W127" s="171" t="s">
        <v>20</v>
      </c>
      <c r="X127" s="171" t="s">
        <v>12</v>
      </c>
      <c r="Y127" s="179">
        <v>48.5</v>
      </c>
      <c r="Z127" s="171" t="s">
        <v>1318</v>
      </c>
      <c r="AA127" s="171" t="s">
        <v>87</v>
      </c>
      <c r="AB127" s="171" t="s">
        <v>12</v>
      </c>
      <c r="AC127" s="171">
        <v>2.1</v>
      </c>
      <c r="AD127" s="178" t="s">
        <v>404</v>
      </c>
      <c r="AE127" s="171" t="s">
        <v>216</v>
      </c>
      <c r="AF127" s="171" t="s">
        <v>12</v>
      </c>
      <c r="AG127" s="179">
        <v>2.9</v>
      </c>
      <c r="AL127" s="178"/>
      <c r="AO127" s="179"/>
      <c r="AP127" s="178"/>
      <c r="AS127" s="179"/>
      <c r="AW127" s="179"/>
      <c r="BA127" s="180"/>
    </row>
    <row r="128" spans="1:53" s="29" customFormat="1" x14ac:dyDescent="0.15">
      <c r="A128" s="29">
        <v>2014</v>
      </c>
      <c r="B128" s="295">
        <v>41729</v>
      </c>
      <c r="C128" s="411" t="s">
        <v>1287</v>
      </c>
      <c r="D128" s="411"/>
      <c r="E128" s="29">
        <v>149</v>
      </c>
      <c r="F128" s="29">
        <v>2</v>
      </c>
      <c r="G128" s="66"/>
      <c r="I128" s="29">
        <v>17</v>
      </c>
      <c r="J128" s="73">
        <v>17</v>
      </c>
      <c r="K128" s="47">
        <f t="shared" si="18"/>
        <v>0</v>
      </c>
      <c r="L128" s="47">
        <f>H128/J128*100</f>
        <v>0</v>
      </c>
      <c r="M128" s="47">
        <f>I128/J128*100</f>
        <v>100</v>
      </c>
      <c r="N128" s="68">
        <f t="shared" si="8"/>
        <v>100</v>
      </c>
      <c r="O128" s="46"/>
      <c r="P128" s="47"/>
      <c r="Q128" s="47">
        <v>50.2</v>
      </c>
      <c r="R128" s="48">
        <f>SUM(O128:Q128)</f>
        <v>50.2</v>
      </c>
      <c r="S128" s="29">
        <v>2</v>
      </c>
      <c r="T128" s="286"/>
      <c r="U128" s="295">
        <v>41729</v>
      </c>
      <c r="V128" s="38" t="s">
        <v>95</v>
      </c>
      <c r="W128" s="29" t="s">
        <v>20</v>
      </c>
      <c r="X128" s="29" t="s">
        <v>12</v>
      </c>
      <c r="Y128" s="39">
        <v>48.1</v>
      </c>
      <c r="Z128" s="29" t="s">
        <v>1318</v>
      </c>
      <c r="AA128" s="29" t="s">
        <v>87</v>
      </c>
      <c r="AB128" s="29" t="s">
        <v>12</v>
      </c>
      <c r="AC128" s="29">
        <v>2.1</v>
      </c>
      <c r="AD128" s="38"/>
      <c r="AG128" s="39"/>
      <c r="AL128" s="38"/>
      <c r="AO128" s="39"/>
      <c r="AP128" s="38"/>
      <c r="AS128" s="39"/>
      <c r="AW128" s="39"/>
      <c r="BA128" s="40"/>
    </row>
    <row r="129" spans="1:53" s="29" customFormat="1" x14ac:dyDescent="0.15">
      <c r="A129" s="29">
        <v>2014</v>
      </c>
      <c r="B129" s="303">
        <v>41878</v>
      </c>
      <c r="C129" s="411" t="s">
        <v>1287</v>
      </c>
      <c r="D129" s="411"/>
      <c r="E129" s="29">
        <v>127</v>
      </c>
      <c r="F129" s="84">
        <v>0</v>
      </c>
      <c r="G129" s="66"/>
      <c r="I129" s="29">
        <v>17</v>
      </c>
      <c r="J129" s="73">
        <v>17</v>
      </c>
      <c r="K129" s="47">
        <f t="shared" si="18"/>
        <v>0</v>
      </c>
      <c r="L129" s="47">
        <f t="shared" si="19"/>
        <v>0</v>
      </c>
      <c r="M129" s="47">
        <f>I129/J129*100</f>
        <v>100</v>
      </c>
      <c r="N129" s="68">
        <f t="shared" si="8"/>
        <v>100</v>
      </c>
      <c r="O129" s="46"/>
      <c r="P129" s="47"/>
      <c r="Q129" s="47">
        <v>50.2</v>
      </c>
      <c r="R129" s="48">
        <f>SUM(O129:Q129)</f>
        <v>50.2</v>
      </c>
      <c r="S129" s="29">
        <v>2</v>
      </c>
      <c r="T129" s="286"/>
      <c r="U129" s="303"/>
      <c r="V129" s="38" t="s">
        <v>95</v>
      </c>
      <c r="W129" s="29" t="s">
        <v>20</v>
      </c>
      <c r="X129" s="29" t="s">
        <v>12</v>
      </c>
      <c r="Y129" s="39">
        <v>48.1</v>
      </c>
      <c r="Z129" s="29" t="s">
        <v>1318</v>
      </c>
      <c r="AA129" s="29" t="s">
        <v>87</v>
      </c>
      <c r="AB129" s="29" t="s">
        <v>12</v>
      </c>
      <c r="AC129" s="29">
        <v>2.1</v>
      </c>
      <c r="AD129" s="38"/>
      <c r="AG129" s="39"/>
      <c r="AL129" s="38"/>
      <c r="AO129" s="39"/>
      <c r="AP129" s="38"/>
      <c r="AS129" s="39"/>
      <c r="AW129" s="39"/>
      <c r="BA129" s="40"/>
    </row>
    <row r="130" spans="1:53" s="29" customFormat="1" x14ac:dyDescent="0.15">
      <c r="A130" s="29">
        <v>2015</v>
      </c>
      <c r="B130" s="303"/>
      <c r="C130" s="411" t="s">
        <v>1287</v>
      </c>
      <c r="D130" s="411"/>
      <c r="E130" s="29">
        <v>0</v>
      </c>
      <c r="F130" s="84"/>
      <c r="G130" s="66"/>
      <c r="I130" s="29">
        <v>17</v>
      </c>
      <c r="J130" s="73">
        <v>17</v>
      </c>
      <c r="K130" s="47">
        <f t="shared" si="18"/>
        <v>0</v>
      </c>
      <c r="L130" s="47">
        <f t="shared" si="19"/>
        <v>0</v>
      </c>
      <c r="M130" s="47">
        <f t="shared" ref="M130:M131" si="20">I130/J130*100</f>
        <v>100</v>
      </c>
      <c r="N130" s="68">
        <f t="shared" ref="N130:N131" si="21">SUM(K130:M130)</f>
        <v>100</v>
      </c>
      <c r="O130" s="46"/>
      <c r="P130" s="47"/>
      <c r="Q130" s="47">
        <v>50.2</v>
      </c>
      <c r="R130" s="48">
        <f t="shared" ref="R130:R131" si="22">SUM(O130:Q130)</f>
        <v>50.2</v>
      </c>
      <c r="S130" s="29">
        <v>2</v>
      </c>
      <c r="T130" s="286"/>
      <c r="U130" s="303"/>
      <c r="V130" s="38" t="s">
        <v>95</v>
      </c>
      <c r="W130" s="29" t="s">
        <v>20</v>
      </c>
      <c r="X130" s="29" t="s">
        <v>12</v>
      </c>
      <c r="Y130" s="39">
        <v>48.1</v>
      </c>
      <c r="Z130" s="29" t="s">
        <v>1318</v>
      </c>
      <c r="AA130" s="29" t="s">
        <v>87</v>
      </c>
      <c r="AB130" s="29" t="s">
        <v>12</v>
      </c>
      <c r="AC130" s="29">
        <v>2.1</v>
      </c>
      <c r="AD130" s="38"/>
      <c r="AG130" s="39"/>
      <c r="AL130" s="38"/>
      <c r="AO130" s="39"/>
      <c r="AP130" s="38"/>
      <c r="AS130" s="39"/>
      <c r="AW130" s="39"/>
      <c r="BA130" s="40"/>
    </row>
    <row r="131" spans="1:53" s="29" customFormat="1" x14ac:dyDescent="0.15">
      <c r="A131" s="29">
        <v>2015</v>
      </c>
      <c r="B131" s="303"/>
      <c r="C131" s="411" t="s">
        <v>1287</v>
      </c>
      <c r="D131" s="411"/>
      <c r="E131" s="29">
        <v>365</v>
      </c>
      <c r="F131" s="84"/>
      <c r="G131" s="66"/>
      <c r="I131" s="29">
        <v>17</v>
      </c>
      <c r="J131" s="73">
        <v>17</v>
      </c>
      <c r="K131" s="47">
        <f t="shared" si="18"/>
        <v>0</v>
      </c>
      <c r="L131" s="47">
        <f t="shared" si="19"/>
        <v>0</v>
      </c>
      <c r="M131" s="47">
        <f t="shared" si="20"/>
        <v>100</v>
      </c>
      <c r="N131" s="68">
        <f t="shared" si="21"/>
        <v>100</v>
      </c>
      <c r="O131" s="46"/>
      <c r="P131" s="47"/>
      <c r="Q131" s="47">
        <v>50.2</v>
      </c>
      <c r="R131" s="48">
        <f t="shared" si="22"/>
        <v>50.2</v>
      </c>
      <c r="S131" s="29">
        <v>2</v>
      </c>
      <c r="T131" s="286"/>
      <c r="U131" s="303"/>
      <c r="V131" s="38" t="s">
        <v>95</v>
      </c>
      <c r="W131" s="29" t="s">
        <v>20</v>
      </c>
      <c r="X131" s="29" t="s">
        <v>12</v>
      </c>
      <c r="Y131" s="39">
        <v>48.1</v>
      </c>
      <c r="Z131" s="29" t="s">
        <v>1318</v>
      </c>
      <c r="AA131" s="29" t="s">
        <v>87</v>
      </c>
      <c r="AB131" s="29" t="s">
        <v>12</v>
      </c>
      <c r="AC131" s="29">
        <v>2.1</v>
      </c>
      <c r="AD131" s="38"/>
      <c r="AG131" s="39"/>
      <c r="AL131" s="38"/>
      <c r="AO131" s="39"/>
      <c r="AP131" s="38"/>
      <c r="AS131" s="39"/>
      <c r="AW131" s="39"/>
      <c r="BA131" s="40"/>
    </row>
    <row r="132" spans="1:53" s="29" customFormat="1" x14ac:dyDescent="0.15">
      <c r="A132" s="29">
        <v>2016</v>
      </c>
      <c r="B132" s="303"/>
      <c r="C132" s="411" t="s">
        <v>1287</v>
      </c>
      <c r="D132" s="411"/>
      <c r="E132" s="29">
        <v>25</v>
      </c>
      <c r="F132" s="84"/>
      <c r="G132" s="66"/>
      <c r="I132" s="29">
        <v>17</v>
      </c>
      <c r="J132" s="73">
        <v>17</v>
      </c>
      <c r="K132" s="47">
        <f t="shared" ref="K132:K137" si="23">G132/J132*100</f>
        <v>0</v>
      </c>
      <c r="L132" s="47">
        <f t="shared" ref="L132:L137" si="24">H132/J132*100</f>
        <v>0</v>
      </c>
      <c r="M132" s="47">
        <f t="shared" ref="M132:M137" si="25">I132/J132*100</f>
        <v>100</v>
      </c>
      <c r="N132" s="68">
        <f t="shared" ref="N132:N137" si="26">SUM(K132:M132)</f>
        <v>100</v>
      </c>
      <c r="O132" s="46"/>
      <c r="P132" s="47"/>
      <c r="Q132" s="47">
        <v>50.2</v>
      </c>
      <c r="R132" s="48">
        <f>SUM(O132:Q132)</f>
        <v>50.2</v>
      </c>
      <c r="S132" s="29">
        <v>2</v>
      </c>
      <c r="T132" s="286"/>
      <c r="U132" s="303"/>
      <c r="V132" s="38" t="s">
        <v>95</v>
      </c>
      <c r="W132" s="29" t="s">
        <v>20</v>
      </c>
      <c r="X132" s="29" t="s">
        <v>12</v>
      </c>
      <c r="Y132" s="39">
        <v>48.1</v>
      </c>
      <c r="Z132" s="29" t="s">
        <v>1318</v>
      </c>
      <c r="AA132" s="29" t="s">
        <v>87</v>
      </c>
      <c r="AB132" s="29" t="s">
        <v>12</v>
      </c>
      <c r="AC132" s="29">
        <v>2.1</v>
      </c>
      <c r="AD132" s="38"/>
      <c r="AG132" s="39"/>
      <c r="AL132" s="38"/>
      <c r="AO132" s="39"/>
      <c r="AP132" s="38"/>
      <c r="AS132" s="39"/>
      <c r="AW132" s="39"/>
      <c r="BA132" s="40"/>
    </row>
    <row r="133" spans="1:53" s="29" customFormat="1" x14ac:dyDescent="0.15">
      <c r="A133" s="29">
        <v>2016</v>
      </c>
      <c r="B133" s="303">
        <v>42395</v>
      </c>
      <c r="C133" s="411" t="s">
        <v>1287</v>
      </c>
      <c r="D133" s="411"/>
      <c r="E133" s="29">
        <v>16</v>
      </c>
      <c r="F133" s="84">
        <v>0</v>
      </c>
      <c r="G133" s="66"/>
      <c r="I133" s="29">
        <v>17</v>
      </c>
      <c r="J133" s="73">
        <v>17</v>
      </c>
      <c r="K133" s="47">
        <f t="shared" si="23"/>
        <v>0</v>
      </c>
      <c r="L133" s="47">
        <f t="shared" si="24"/>
        <v>0</v>
      </c>
      <c r="M133" s="47">
        <f t="shared" si="25"/>
        <v>100</v>
      </c>
      <c r="N133" s="68">
        <f t="shared" si="26"/>
        <v>100</v>
      </c>
      <c r="O133" s="46"/>
      <c r="P133" s="47"/>
      <c r="Q133" s="47">
        <v>50.2</v>
      </c>
      <c r="R133" s="48">
        <f t="shared" ref="R133" si="27">SUM(O133:Q133)</f>
        <v>50.2</v>
      </c>
      <c r="S133" s="29">
        <v>2</v>
      </c>
      <c r="T133" s="286"/>
      <c r="U133" s="303"/>
      <c r="V133" s="38" t="s">
        <v>95</v>
      </c>
      <c r="W133" s="29" t="s">
        <v>20</v>
      </c>
      <c r="X133" s="29" t="s">
        <v>12</v>
      </c>
      <c r="Y133" s="39">
        <v>48.1</v>
      </c>
      <c r="Z133" s="29" t="s">
        <v>1318</v>
      </c>
      <c r="AA133" s="29" t="s">
        <v>87</v>
      </c>
      <c r="AB133" s="29" t="s">
        <v>12</v>
      </c>
      <c r="AC133" s="29">
        <v>2.1</v>
      </c>
      <c r="AD133" s="38"/>
      <c r="AG133" s="39"/>
      <c r="AL133" s="38"/>
      <c r="AO133" s="39"/>
      <c r="AP133" s="38"/>
      <c r="AS133" s="39"/>
      <c r="AW133" s="39"/>
      <c r="BA133" s="40"/>
    </row>
    <row r="134" spans="1:53" s="171" customFormat="1" x14ac:dyDescent="0.15">
      <c r="A134" s="171">
        <v>2016</v>
      </c>
      <c r="B134" s="283">
        <v>42411</v>
      </c>
      <c r="C134" s="410" t="s">
        <v>1344</v>
      </c>
      <c r="D134" s="410"/>
      <c r="E134" s="171">
        <v>201</v>
      </c>
      <c r="F134" s="171">
        <v>7</v>
      </c>
      <c r="G134" s="233"/>
      <c r="I134" s="171">
        <v>19</v>
      </c>
      <c r="J134" s="241">
        <v>19</v>
      </c>
      <c r="K134" s="214">
        <f t="shared" si="23"/>
        <v>0</v>
      </c>
      <c r="L134" s="214">
        <f t="shared" si="24"/>
        <v>0</v>
      </c>
      <c r="M134" s="214">
        <f t="shared" si="25"/>
        <v>100</v>
      </c>
      <c r="N134" s="235">
        <f t="shared" si="26"/>
        <v>100</v>
      </c>
      <c r="O134" s="213"/>
      <c r="P134" s="214"/>
      <c r="Q134" s="214">
        <v>53.5</v>
      </c>
      <c r="R134" s="215">
        <f t="shared" ref="R134:R137" si="28">SUM(O134:Q134)</f>
        <v>53.5</v>
      </c>
      <c r="S134" s="171">
        <v>2</v>
      </c>
      <c r="T134" s="285"/>
      <c r="U134" s="283"/>
      <c r="V134" s="178" t="s">
        <v>95</v>
      </c>
      <c r="W134" s="171" t="s">
        <v>20</v>
      </c>
      <c r="X134" s="171" t="s">
        <v>12</v>
      </c>
      <c r="Y134" s="179">
        <v>48.1</v>
      </c>
      <c r="Z134" s="171" t="s">
        <v>1318</v>
      </c>
      <c r="AA134" s="171" t="s">
        <v>87</v>
      </c>
      <c r="AB134" s="171" t="s">
        <v>12</v>
      </c>
      <c r="AC134" s="171">
        <v>2.1</v>
      </c>
      <c r="AD134" s="178" t="s">
        <v>404</v>
      </c>
      <c r="AE134" s="171" t="s">
        <v>216</v>
      </c>
      <c r="AF134" s="171" t="s">
        <v>12</v>
      </c>
      <c r="AG134" s="179">
        <v>2.9</v>
      </c>
      <c r="AL134" s="178"/>
      <c r="AO134" s="179"/>
      <c r="AP134" s="178"/>
      <c r="AS134" s="179"/>
      <c r="AW134" s="179"/>
      <c r="BA134" s="180"/>
    </row>
    <row r="135" spans="1:53" s="171" customFormat="1" x14ac:dyDescent="0.15">
      <c r="A135" s="171">
        <v>2016</v>
      </c>
      <c r="B135" s="305">
        <v>42612</v>
      </c>
      <c r="C135" s="410" t="s">
        <v>1344</v>
      </c>
      <c r="D135" s="410"/>
      <c r="E135" s="171">
        <v>98</v>
      </c>
      <c r="F135" s="244">
        <v>0</v>
      </c>
      <c r="G135" s="233"/>
      <c r="I135" s="171">
        <v>18</v>
      </c>
      <c r="J135" s="241">
        <v>18</v>
      </c>
      <c r="K135" s="214">
        <f t="shared" si="23"/>
        <v>0</v>
      </c>
      <c r="L135" s="214">
        <f t="shared" si="24"/>
        <v>0</v>
      </c>
      <c r="M135" s="214">
        <f t="shared" si="25"/>
        <v>100</v>
      </c>
      <c r="N135" s="235">
        <f t="shared" si="26"/>
        <v>100</v>
      </c>
      <c r="O135" s="213"/>
      <c r="P135" s="214"/>
      <c r="Q135" s="214">
        <v>53.5</v>
      </c>
      <c r="R135" s="215">
        <f t="shared" si="28"/>
        <v>53.5</v>
      </c>
      <c r="S135" s="171">
        <v>2</v>
      </c>
      <c r="T135" s="285"/>
      <c r="U135" s="305"/>
      <c r="V135" s="178" t="s">
        <v>95</v>
      </c>
      <c r="W135" s="171" t="s">
        <v>20</v>
      </c>
      <c r="X135" s="171" t="s">
        <v>12</v>
      </c>
      <c r="Y135" s="179">
        <v>48.1</v>
      </c>
      <c r="Z135" s="171" t="s">
        <v>1318</v>
      </c>
      <c r="AA135" s="171" t="s">
        <v>87</v>
      </c>
      <c r="AB135" s="171" t="s">
        <v>12</v>
      </c>
      <c r="AC135" s="171">
        <v>2.1</v>
      </c>
      <c r="AD135" s="178" t="s">
        <v>404</v>
      </c>
      <c r="AE135" s="171" t="s">
        <v>216</v>
      </c>
      <c r="AF135" s="171" t="s">
        <v>12</v>
      </c>
      <c r="AG135" s="179">
        <v>2.9</v>
      </c>
      <c r="AL135" s="178"/>
      <c r="AO135" s="179"/>
      <c r="AP135" s="178"/>
      <c r="AS135" s="179"/>
      <c r="AW135" s="179"/>
      <c r="BA135" s="180"/>
    </row>
    <row r="136" spans="1:53" s="29" customFormat="1" x14ac:dyDescent="0.15">
      <c r="A136" s="29">
        <v>2016</v>
      </c>
      <c r="B136" s="295">
        <v>42710</v>
      </c>
      <c r="C136" s="411" t="s">
        <v>1340</v>
      </c>
      <c r="D136" s="411"/>
      <c r="E136" s="29">
        <v>26</v>
      </c>
      <c r="F136" s="29">
        <v>2</v>
      </c>
      <c r="G136" s="66"/>
      <c r="I136" s="29">
        <v>18</v>
      </c>
      <c r="J136" s="73">
        <v>18</v>
      </c>
      <c r="K136" s="47">
        <f t="shared" si="23"/>
        <v>0</v>
      </c>
      <c r="L136" s="47">
        <f t="shared" si="24"/>
        <v>0</v>
      </c>
      <c r="M136" s="47">
        <f t="shared" si="25"/>
        <v>100</v>
      </c>
      <c r="N136" s="68">
        <f t="shared" si="26"/>
        <v>100</v>
      </c>
      <c r="O136" s="46"/>
      <c r="P136" s="47"/>
      <c r="Q136" s="47">
        <v>53.5</v>
      </c>
      <c r="R136" s="48">
        <f t="shared" si="28"/>
        <v>53.5</v>
      </c>
      <c r="S136" s="29">
        <v>2</v>
      </c>
      <c r="T136" s="286"/>
      <c r="U136" s="295">
        <v>42710</v>
      </c>
      <c r="V136" s="38" t="s">
        <v>95</v>
      </c>
      <c r="W136" s="29" t="s">
        <v>20</v>
      </c>
      <c r="X136" s="29" t="s">
        <v>12</v>
      </c>
      <c r="Y136" s="39">
        <v>48.9</v>
      </c>
      <c r="Z136" s="29" t="s">
        <v>1318</v>
      </c>
      <c r="AA136" s="29" t="s">
        <v>87</v>
      </c>
      <c r="AB136" s="29" t="s">
        <v>12</v>
      </c>
      <c r="AC136" s="29">
        <v>2.8</v>
      </c>
      <c r="AD136" s="38" t="s">
        <v>404</v>
      </c>
      <c r="AE136" s="29" t="s">
        <v>216</v>
      </c>
      <c r="AF136" s="29" t="s">
        <v>12</v>
      </c>
      <c r="AG136" s="39">
        <v>0.7</v>
      </c>
      <c r="AL136" s="38"/>
      <c r="AO136" s="39"/>
      <c r="AP136" s="38"/>
      <c r="AS136" s="39"/>
      <c r="AW136" s="39"/>
      <c r="BA136" s="40"/>
    </row>
    <row r="137" spans="1:53" s="29" customFormat="1" x14ac:dyDescent="0.15">
      <c r="A137" s="29">
        <v>2017</v>
      </c>
      <c r="B137" s="295"/>
      <c r="C137" s="411" t="s">
        <v>1340</v>
      </c>
      <c r="D137" s="411"/>
      <c r="E137" s="29">
        <v>129</v>
      </c>
      <c r="G137" s="66"/>
      <c r="I137" s="29">
        <v>18</v>
      </c>
      <c r="J137" s="73">
        <v>18</v>
      </c>
      <c r="K137" s="47">
        <f t="shared" si="23"/>
        <v>0</v>
      </c>
      <c r="L137" s="47">
        <f t="shared" si="24"/>
        <v>0</v>
      </c>
      <c r="M137" s="47">
        <f t="shared" si="25"/>
        <v>100</v>
      </c>
      <c r="N137" s="68">
        <f t="shared" si="26"/>
        <v>100</v>
      </c>
      <c r="O137" s="46"/>
      <c r="P137" s="47"/>
      <c r="Q137" s="47">
        <v>53.5</v>
      </c>
      <c r="R137" s="48">
        <f t="shared" si="28"/>
        <v>53.5</v>
      </c>
      <c r="S137" s="29">
        <v>2</v>
      </c>
      <c r="T137" s="286"/>
      <c r="U137" s="303"/>
      <c r="V137" s="38" t="s">
        <v>95</v>
      </c>
      <c r="W137" s="29" t="s">
        <v>20</v>
      </c>
      <c r="X137" s="29" t="s">
        <v>12</v>
      </c>
      <c r="Y137" s="39">
        <v>48.9</v>
      </c>
      <c r="Z137" s="29" t="s">
        <v>1318</v>
      </c>
      <c r="AA137" s="29" t="s">
        <v>87</v>
      </c>
      <c r="AB137" s="29" t="s">
        <v>12</v>
      </c>
      <c r="AC137" s="29">
        <v>2.8</v>
      </c>
      <c r="AD137" s="38" t="s">
        <v>404</v>
      </c>
      <c r="AE137" s="29" t="s">
        <v>216</v>
      </c>
      <c r="AF137" s="29" t="s">
        <v>12</v>
      </c>
      <c r="AG137" s="39">
        <v>0.7</v>
      </c>
      <c r="AL137" s="38"/>
      <c r="AO137" s="39"/>
      <c r="AP137" s="38"/>
      <c r="AS137" s="39"/>
      <c r="AW137" s="39"/>
      <c r="BA137" s="40"/>
    </row>
    <row r="138" spans="1:53" s="171" customFormat="1" x14ac:dyDescent="0.15">
      <c r="A138" s="171">
        <v>2017</v>
      </c>
      <c r="B138" s="283">
        <v>42865</v>
      </c>
      <c r="C138" s="410" t="s">
        <v>1368</v>
      </c>
      <c r="D138" s="410"/>
      <c r="E138" s="171">
        <v>40</v>
      </c>
      <c r="F138" s="171">
        <v>1</v>
      </c>
      <c r="G138" s="233">
        <v>4</v>
      </c>
      <c r="H138" s="171">
        <v>3</v>
      </c>
      <c r="I138" s="171">
        <v>4</v>
      </c>
      <c r="J138" s="241">
        <v>19</v>
      </c>
      <c r="K138" s="214">
        <f t="shared" ref="K138:K141" si="29">G138/J138*100</f>
        <v>21.052631578947366</v>
      </c>
      <c r="L138" s="214">
        <f t="shared" ref="L138:L141" si="30">H138/J138*100</f>
        <v>15.789473684210526</v>
      </c>
      <c r="M138" s="214">
        <f t="shared" ref="M138:M141" si="31">I138/J138*100</f>
        <v>21.052631578947366</v>
      </c>
      <c r="N138" s="235">
        <f t="shared" ref="N138:N141" si="32">SUM(K138:M138)</f>
        <v>57.89473684210526</v>
      </c>
      <c r="O138" s="213">
        <v>33.4</v>
      </c>
      <c r="P138" s="214">
        <v>0.3</v>
      </c>
      <c r="Q138" s="214">
        <v>51.7</v>
      </c>
      <c r="R138" s="215">
        <f t="shared" ref="R138:R139" si="33">SUM(O138:Q138)</f>
        <v>85.4</v>
      </c>
      <c r="S138" s="171">
        <v>6</v>
      </c>
      <c r="T138" s="285"/>
      <c r="U138" s="283">
        <v>42865</v>
      </c>
      <c r="V138" s="178" t="s">
        <v>95</v>
      </c>
      <c r="W138" s="171" t="s">
        <v>20</v>
      </c>
      <c r="X138" s="171" t="s">
        <v>12</v>
      </c>
      <c r="Y138" s="179">
        <v>48.9</v>
      </c>
      <c r="Z138" s="171" t="s">
        <v>1370</v>
      </c>
      <c r="AA138" s="171" t="s">
        <v>75</v>
      </c>
      <c r="AB138" s="171" t="s">
        <v>11</v>
      </c>
      <c r="AC138" s="171">
        <v>33.4</v>
      </c>
      <c r="AD138" s="178" t="s">
        <v>1318</v>
      </c>
      <c r="AE138" s="171" t="s">
        <v>87</v>
      </c>
      <c r="AF138" s="171" t="s">
        <v>12</v>
      </c>
      <c r="AG138" s="179">
        <v>2.8</v>
      </c>
      <c r="AH138" s="171" t="s">
        <v>1371</v>
      </c>
      <c r="AI138" s="171" t="s">
        <v>78</v>
      </c>
      <c r="AJ138" s="171" t="s">
        <v>18</v>
      </c>
      <c r="AK138" s="171">
        <v>0.3</v>
      </c>
      <c r="AL138" s="178" t="s">
        <v>1372</v>
      </c>
      <c r="AM138" s="171" t="s">
        <v>99</v>
      </c>
      <c r="AN138" s="171" t="s">
        <v>11</v>
      </c>
      <c r="AO138" s="179">
        <v>0</v>
      </c>
      <c r="AP138" s="178"/>
      <c r="AS138" s="179"/>
      <c r="AW138" s="179"/>
      <c r="BA138" s="180"/>
    </row>
    <row r="139" spans="1:53" s="29" customFormat="1" x14ac:dyDescent="0.15">
      <c r="A139" s="29">
        <v>2017</v>
      </c>
      <c r="B139" s="295">
        <v>42905</v>
      </c>
      <c r="C139" s="411" t="s">
        <v>1369</v>
      </c>
      <c r="D139" s="411"/>
      <c r="E139" s="29">
        <v>196</v>
      </c>
      <c r="F139" s="29">
        <v>1</v>
      </c>
      <c r="G139" s="66">
        <v>10</v>
      </c>
      <c r="H139" s="29">
        <v>1</v>
      </c>
      <c r="J139" s="73">
        <v>20</v>
      </c>
      <c r="K139" s="47">
        <f t="shared" si="29"/>
        <v>50</v>
      </c>
      <c r="L139" s="47">
        <f t="shared" si="30"/>
        <v>5</v>
      </c>
      <c r="M139" s="47">
        <f t="shared" si="31"/>
        <v>0</v>
      </c>
      <c r="N139" s="68">
        <f t="shared" si="32"/>
        <v>55</v>
      </c>
      <c r="O139" s="46">
        <v>53.4</v>
      </c>
      <c r="P139" s="47">
        <v>7.3</v>
      </c>
      <c r="Q139" s="47"/>
      <c r="R139" s="48">
        <f t="shared" si="33"/>
        <v>60.699999999999996</v>
      </c>
      <c r="S139" s="29">
        <v>3</v>
      </c>
      <c r="T139" s="286">
        <v>42904</v>
      </c>
      <c r="U139" s="295">
        <v>42905</v>
      </c>
      <c r="V139" s="38" t="s">
        <v>1372</v>
      </c>
      <c r="W139" s="29" t="s">
        <v>99</v>
      </c>
      <c r="X139" s="29" t="s">
        <v>11</v>
      </c>
      <c r="Y139" s="39">
        <v>53.4</v>
      </c>
      <c r="Z139" s="29" t="s">
        <v>1371</v>
      </c>
      <c r="AA139" s="29" t="s">
        <v>78</v>
      </c>
      <c r="AB139" s="29" t="s">
        <v>18</v>
      </c>
      <c r="AC139" s="29">
        <v>7.3</v>
      </c>
      <c r="AD139" s="38"/>
      <c r="AG139" s="39"/>
      <c r="AL139" s="38"/>
      <c r="AO139" s="39"/>
      <c r="AP139" s="38"/>
      <c r="AS139" s="39"/>
      <c r="AW139" s="39"/>
      <c r="BA139" s="40"/>
    </row>
    <row r="140" spans="1:53" s="29" customFormat="1" x14ac:dyDescent="0.15">
      <c r="A140" s="29">
        <v>2018</v>
      </c>
      <c r="B140" s="295"/>
      <c r="C140" s="411" t="s">
        <v>1369</v>
      </c>
      <c r="D140" s="411"/>
      <c r="E140" s="29">
        <v>288</v>
      </c>
      <c r="G140" s="66">
        <v>10</v>
      </c>
      <c r="H140" s="29">
        <v>1</v>
      </c>
      <c r="J140" s="73">
        <v>20</v>
      </c>
      <c r="K140" s="47">
        <f t="shared" si="29"/>
        <v>50</v>
      </c>
      <c r="L140" s="47">
        <f t="shared" si="30"/>
        <v>5</v>
      </c>
      <c r="M140" s="47">
        <f t="shared" si="31"/>
        <v>0</v>
      </c>
      <c r="N140" s="68">
        <f t="shared" si="32"/>
        <v>55</v>
      </c>
      <c r="O140" s="46">
        <v>53.4</v>
      </c>
      <c r="P140" s="47">
        <v>7.3</v>
      </c>
      <c r="Q140" s="47"/>
      <c r="R140" s="48">
        <f t="shared" ref="R140:R141" si="34">SUM(O140:Q140)</f>
        <v>60.699999999999996</v>
      </c>
      <c r="S140" s="29">
        <v>3</v>
      </c>
      <c r="T140" s="286"/>
      <c r="U140" s="295"/>
      <c r="V140" s="38" t="s">
        <v>1372</v>
      </c>
      <c r="W140" s="29" t="s">
        <v>99</v>
      </c>
      <c r="X140" s="29" t="s">
        <v>11</v>
      </c>
      <c r="Y140" s="39">
        <v>53.4</v>
      </c>
      <c r="Z140" s="29" t="s">
        <v>1371</v>
      </c>
      <c r="AA140" s="29" t="s">
        <v>78</v>
      </c>
      <c r="AB140" s="29" t="s">
        <v>18</v>
      </c>
      <c r="AC140" s="29">
        <v>7.3</v>
      </c>
      <c r="AD140" s="38"/>
      <c r="AG140" s="39"/>
      <c r="AL140" s="38"/>
      <c r="AO140" s="39"/>
      <c r="AP140" s="38"/>
      <c r="AS140" s="39"/>
      <c r="AW140" s="39"/>
      <c r="BA140" s="40"/>
    </row>
    <row r="141" spans="1:53" s="29" customFormat="1" x14ac:dyDescent="0.15">
      <c r="A141" s="29">
        <v>2018</v>
      </c>
      <c r="B141" s="303">
        <v>43389</v>
      </c>
      <c r="C141" s="411" t="s">
        <v>1369</v>
      </c>
      <c r="D141" s="411"/>
      <c r="E141" s="29">
        <v>77</v>
      </c>
      <c r="F141" s="84">
        <v>0</v>
      </c>
      <c r="G141" s="66">
        <v>13</v>
      </c>
      <c r="H141" s="29">
        <v>2</v>
      </c>
      <c r="J141" s="73">
        <v>22</v>
      </c>
      <c r="K141" s="47">
        <f t="shared" si="29"/>
        <v>59.090909090909093</v>
      </c>
      <c r="L141" s="47">
        <f t="shared" si="30"/>
        <v>9.0909090909090917</v>
      </c>
      <c r="M141" s="47">
        <f t="shared" si="31"/>
        <v>0</v>
      </c>
      <c r="N141" s="68">
        <f t="shared" si="32"/>
        <v>68.181818181818187</v>
      </c>
      <c r="O141" s="46">
        <v>55</v>
      </c>
      <c r="P141" s="47">
        <v>7.3</v>
      </c>
      <c r="Q141" s="47"/>
      <c r="R141" s="48">
        <f t="shared" si="34"/>
        <v>62.3</v>
      </c>
      <c r="S141" s="29">
        <v>3</v>
      </c>
      <c r="T141" s="286"/>
      <c r="U141" s="295"/>
      <c r="V141" s="38" t="s">
        <v>1372</v>
      </c>
      <c r="W141" s="29" t="s">
        <v>99</v>
      </c>
      <c r="X141" s="29" t="s">
        <v>11</v>
      </c>
      <c r="Y141" s="39">
        <v>53.4</v>
      </c>
      <c r="Z141" s="29" t="s">
        <v>1371</v>
      </c>
      <c r="AA141" s="29" t="s">
        <v>78</v>
      </c>
      <c r="AB141" s="29" t="s">
        <v>18</v>
      </c>
      <c r="AC141" s="29">
        <v>7.3</v>
      </c>
      <c r="AD141" s="38" t="s">
        <v>1415</v>
      </c>
      <c r="AE141" s="29" t="s">
        <v>106</v>
      </c>
      <c r="AF141" s="29" t="s">
        <v>11</v>
      </c>
      <c r="AG141" s="39">
        <v>1.6</v>
      </c>
      <c r="AL141" s="38"/>
      <c r="AO141" s="39"/>
      <c r="AP141" s="38"/>
      <c r="AS141" s="39"/>
      <c r="AW141" s="39"/>
      <c r="BA141" s="40"/>
    </row>
    <row r="142" spans="1:53" s="29" customFormat="1" x14ac:dyDescent="0.15">
      <c r="A142" s="29">
        <v>2019</v>
      </c>
      <c r="B142" s="303"/>
      <c r="C142" s="411" t="s">
        <v>1369</v>
      </c>
      <c r="D142" s="411"/>
      <c r="E142" s="29">
        <v>85</v>
      </c>
      <c r="F142" s="84"/>
      <c r="G142" s="66">
        <v>13</v>
      </c>
      <c r="H142" s="29">
        <v>2</v>
      </c>
      <c r="J142" s="73">
        <v>22</v>
      </c>
      <c r="K142" s="47">
        <f t="shared" ref="K142:K143" si="35">G142/J142*100</f>
        <v>59.090909090909093</v>
      </c>
      <c r="L142" s="47">
        <f t="shared" ref="L142:L146" si="36">H142/J142*100</f>
        <v>9.0909090909090917</v>
      </c>
      <c r="M142" s="47">
        <f t="shared" ref="M142:M146" si="37">I142/J142*100</f>
        <v>0</v>
      </c>
      <c r="N142" s="68">
        <f t="shared" ref="N142:N143" si="38">SUM(K142:M142)</f>
        <v>68.181818181818187</v>
      </c>
      <c r="O142" s="46">
        <v>55</v>
      </c>
      <c r="P142" s="47">
        <v>7.3</v>
      </c>
      <c r="Q142" s="47"/>
      <c r="R142" s="48">
        <f t="shared" ref="R142:R146" si="39">SUM(O142:Q142)</f>
        <v>62.3</v>
      </c>
      <c r="S142" s="29">
        <v>3</v>
      </c>
      <c r="T142" s="286"/>
      <c r="U142" s="295"/>
      <c r="V142" s="38" t="s">
        <v>1372</v>
      </c>
      <c r="W142" s="29" t="s">
        <v>99</v>
      </c>
      <c r="X142" s="29" t="s">
        <v>11</v>
      </c>
      <c r="Y142" s="39">
        <v>53.4</v>
      </c>
      <c r="Z142" s="29" t="s">
        <v>1371</v>
      </c>
      <c r="AA142" s="29" t="s">
        <v>78</v>
      </c>
      <c r="AB142" s="29" t="s">
        <v>18</v>
      </c>
      <c r="AC142" s="29">
        <v>7.3</v>
      </c>
      <c r="AD142" s="38" t="s">
        <v>1415</v>
      </c>
      <c r="AE142" s="29" t="s">
        <v>106</v>
      </c>
      <c r="AF142" s="29" t="s">
        <v>11</v>
      </c>
      <c r="AG142" s="39">
        <v>1.6</v>
      </c>
      <c r="AL142" s="38"/>
      <c r="AO142" s="39"/>
      <c r="AP142" s="38"/>
      <c r="AS142" s="39"/>
      <c r="AW142" s="39"/>
      <c r="BA142" s="40"/>
    </row>
    <row r="143" spans="1:53" s="29" customFormat="1" x14ac:dyDescent="0.15">
      <c r="A143" s="29">
        <v>2019</v>
      </c>
      <c r="B143" s="303">
        <v>43551</v>
      </c>
      <c r="C143" s="411" t="s">
        <v>1369</v>
      </c>
      <c r="D143" s="411"/>
      <c r="E143" s="29">
        <v>280</v>
      </c>
      <c r="F143" s="343">
        <v>0</v>
      </c>
      <c r="G143" s="29">
        <v>12</v>
      </c>
      <c r="H143" s="29">
        <v>2</v>
      </c>
      <c r="J143" s="73">
        <v>21</v>
      </c>
      <c r="K143" s="47">
        <f t="shared" si="35"/>
        <v>57.142857142857139</v>
      </c>
      <c r="L143" s="47">
        <f t="shared" si="36"/>
        <v>9.5238095238095237</v>
      </c>
      <c r="M143" s="47">
        <f t="shared" si="37"/>
        <v>0</v>
      </c>
      <c r="N143" s="68">
        <f t="shared" si="38"/>
        <v>66.666666666666657</v>
      </c>
      <c r="O143" s="46">
        <v>55</v>
      </c>
      <c r="P143" s="47">
        <v>7.3</v>
      </c>
      <c r="Q143" s="47"/>
      <c r="R143" s="48">
        <f t="shared" si="39"/>
        <v>62.3</v>
      </c>
      <c r="S143" s="29">
        <v>3</v>
      </c>
      <c r="T143" s="286"/>
      <c r="U143" s="295"/>
      <c r="V143" s="38" t="s">
        <v>1372</v>
      </c>
      <c r="W143" s="29" t="s">
        <v>99</v>
      </c>
      <c r="X143" s="29" t="s">
        <v>11</v>
      </c>
      <c r="Y143" s="39">
        <v>53.4</v>
      </c>
      <c r="Z143" s="29" t="s">
        <v>1371</v>
      </c>
      <c r="AA143" s="29" t="s">
        <v>78</v>
      </c>
      <c r="AB143" s="29" t="s">
        <v>18</v>
      </c>
      <c r="AC143" s="29">
        <v>7.3</v>
      </c>
      <c r="AD143" s="38" t="s">
        <v>1415</v>
      </c>
      <c r="AE143" s="29" t="s">
        <v>106</v>
      </c>
      <c r="AF143" s="29" t="s">
        <v>11</v>
      </c>
      <c r="AG143" s="39">
        <v>1.6</v>
      </c>
      <c r="AL143" s="38"/>
      <c r="AO143" s="39"/>
      <c r="AP143" s="38"/>
      <c r="AS143" s="39"/>
      <c r="AW143" s="39"/>
      <c r="BA143" s="40"/>
    </row>
    <row r="144" spans="1:53" s="29" customFormat="1" x14ac:dyDescent="0.15">
      <c r="A144" s="29">
        <v>2020</v>
      </c>
      <c r="B144" s="303"/>
      <c r="C144" s="411" t="s">
        <v>1369</v>
      </c>
      <c r="D144" s="411"/>
      <c r="E144" s="29">
        <v>46</v>
      </c>
      <c r="F144" s="343"/>
      <c r="G144" s="29">
        <v>12</v>
      </c>
      <c r="H144" s="29">
        <v>2</v>
      </c>
      <c r="J144" s="73">
        <v>21</v>
      </c>
      <c r="K144" s="47">
        <f>G144/J144*100</f>
        <v>57.142857142857139</v>
      </c>
      <c r="L144" s="47">
        <f t="shared" si="36"/>
        <v>9.5238095238095237</v>
      </c>
      <c r="M144" s="47">
        <f t="shared" si="37"/>
        <v>0</v>
      </c>
      <c r="N144" s="68">
        <f>SUM(K144:M144)</f>
        <v>66.666666666666657</v>
      </c>
      <c r="O144" s="46">
        <v>55</v>
      </c>
      <c r="P144" s="47">
        <v>7.3</v>
      </c>
      <c r="Q144" s="47"/>
      <c r="R144" s="48">
        <f t="shared" si="39"/>
        <v>62.3</v>
      </c>
      <c r="S144" s="37">
        <v>3</v>
      </c>
      <c r="T144" s="286"/>
      <c r="U144" s="295"/>
      <c r="V144" s="38" t="s">
        <v>1372</v>
      </c>
      <c r="W144" s="29" t="s">
        <v>99</v>
      </c>
      <c r="X144" s="29" t="s">
        <v>11</v>
      </c>
      <c r="Y144" s="39">
        <v>53.4</v>
      </c>
      <c r="Z144" s="29" t="s">
        <v>1371</v>
      </c>
      <c r="AA144" s="29" t="s">
        <v>78</v>
      </c>
      <c r="AB144" s="29" t="s">
        <v>18</v>
      </c>
      <c r="AC144" s="39">
        <v>7.3</v>
      </c>
      <c r="AD144" s="29" t="s">
        <v>1415</v>
      </c>
      <c r="AE144" s="29" t="s">
        <v>106</v>
      </c>
      <c r="AF144" s="29" t="s">
        <v>11</v>
      </c>
      <c r="AG144" s="39">
        <v>1.6</v>
      </c>
      <c r="AK144" s="39"/>
      <c r="AP144" s="38"/>
      <c r="AS144" s="39"/>
      <c r="AW144" s="39"/>
      <c r="BA144" s="40"/>
    </row>
    <row r="145" spans="1:53" s="29" customFormat="1" x14ac:dyDescent="0.15">
      <c r="A145" s="29">
        <v>2020</v>
      </c>
      <c r="B145" s="303">
        <v>43877</v>
      </c>
      <c r="C145" s="411" t="s">
        <v>1369</v>
      </c>
      <c r="D145" s="411"/>
      <c r="E145" s="29">
        <v>142</v>
      </c>
      <c r="F145" s="343">
        <v>0</v>
      </c>
      <c r="G145" s="29">
        <v>11</v>
      </c>
      <c r="H145" s="29">
        <v>2</v>
      </c>
      <c r="I145" s="29">
        <v>3</v>
      </c>
      <c r="J145" s="73">
        <v>21</v>
      </c>
      <c r="K145" s="47">
        <f>G145/J145*100</f>
        <v>52.380952380952387</v>
      </c>
      <c r="L145" s="47">
        <f t="shared" si="36"/>
        <v>9.5238095238095237</v>
      </c>
      <c r="M145" s="47">
        <f t="shared" si="37"/>
        <v>14.285714285714285</v>
      </c>
      <c r="N145" s="68">
        <f>SUM(K145:M145)</f>
        <v>76.190476190476204</v>
      </c>
      <c r="O145" s="46">
        <v>55</v>
      </c>
      <c r="P145" s="47">
        <v>7.3</v>
      </c>
      <c r="Q145" s="47"/>
      <c r="R145" s="48">
        <f t="shared" si="39"/>
        <v>62.3</v>
      </c>
      <c r="S145" s="37">
        <v>3</v>
      </c>
      <c r="T145" s="286"/>
      <c r="U145" s="295"/>
      <c r="V145" s="38" t="s">
        <v>1372</v>
      </c>
      <c r="W145" s="29" t="s">
        <v>99</v>
      </c>
      <c r="X145" s="29" t="s">
        <v>11</v>
      </c>
      <c r="Y145" s="39">
        <v>53.4</v>
      </c>
      <c r="Z145" s="29" t="s">
        <v>1371</v>
      </c>
      <c r="AA145" s="29" t="s">
        <v>78</v>
      </c>
      <c r="AB145" s="29" t="s">
        <v>18</v>
      </c>
      <c r="AC145" s="39">
        <v>7.3</v>
      </c>
      <c r="AD145" s="29" t="s">
        <v>1415</v>
      </c>
      <c r="AE145" s="29" t="s">
        <v>106</v>
      </c>
      <c r="AF145" s="29" t="s">
        <v>11</v>
      </c>
      <c r="AG145" s="39">
        <v>1.6</v>
      </c>
      <c r="AH145" s="29" t="s">
        <v>1465</v>
      </c>
      <c r="AI145" s="29" t="s">
        <v>304</v>
      </c>
      <c r="AJ145" s="29" t="s">
        <v>12</v>
      </c>
      <c r="AK145" s="39">
        <v>0</v>
      </c>
      <c r="AO145" s="39"/>
      <c r="AS145" s="39"/>
      <c r="AW145" s="39"/>
      <c r="BA145" s="40"/>
    </row>
    <row r="146" spans="1:53" s="171" customFormat="1" x14ac:dyDescent="0.15">
      <c r="A146" s="171">
        <v>2020</v>
      </c>
      <c r="B146" s="283">
        <v>44019</v>
      </c>
      <c r="C146" s="410" t="s">
        <v>1466</v>
      </c>
      <c r="D146" s="410"/>
      <c r="E146" s="171">
        <v>178</v>
      </c>
      <c r="F146" s="180">
        <v>6</v>
      </c>
      <c r="G146" s="171">
        <v>8</v>
      </c>
      <c r="H146" s="171">
        <v>1</v>
      </c>
      <c r="I146" s="171">
        <v>5</v>
      </c>
      <c r="J146" s="241">
        <v>17</v>
      </c>
      <c r="K146" s="214">
        <f>G146/J146*100</f>
        <v>47.058823529411761</v>
      </c>
      <c r="L146" s="214">
        <f t="shared" si="36"/>
        <v>5.8823529411764701</v>
      </c>
      <c r="M146" s="214">
        <f t="shared" si="37"/>
        <v>29.411764705882355</v>
      </c>
      <c r="N146" s="215">
        <f>SUM(K146:M146)</f>
        <v>82.35294117647058</v>
      </c>
      <c r="O146" s="214">
        <v>53.4</v>
      </c>
      <c r="P146" s="214">
        <v>7.3</v>
      </c>
      <c r="Q146" s="214"/>
      <c r="R146" s="215">
        <f t="shared" si="39"/>
        <v>60.699999999999996</v>
      </c>
      <c r="S146" s="190">
        <v>3</v>
      </c>
      <c r="T146" s="285"/>
      <c r="U146" s="298"/>
      <c r="V146" s="171" t="s">
        <v>1372</v>
      </c>
      <c r="W146" s="171" t="s">
        <v>1467</v>
      </c>
      <c r="X146" s="171" t="s">
        <v>11</v>
      </c>
      <c r="Y146" s="179">
        <v>53.4</v>
      </c>
      <c r="Z146" s="171" t="s">
        <v>1371</v>
      </c>
      <c r="AA146" s="171" t="s">
        <v>78</v>
      </c>
      <c r="AB146" s="171" t="s">
        <v>18</v>
      </c>
      <c r="AC146" s="179">
        <v>7.3</v>
      </c>
      <c r="AD146" s="171" t="s">
        <v>1465</v>
      </c>
      <c r="AE146" s="171" t="s">
        <v>304</v>
      </c>
      <c r="AF146" s="171" t="s">
        <v>12</v>
      </c>
      <c r="AG146" s="179">
        <v>0</v>
      </c>
      <c r="AH146" s="171" t="s">
        <v>1468</v>
      </c>
      <c r="AI146" s="171" t="s">
        <v>1031</v>
      </c>
      <c r="AJ146" s="171" t="s">
        <v>12</v>
      </c>
      <c r="AK146" s="179">
        <v>0</v>
      </c>
      <c r="AO146" s="179"/>
      <c r="AS146" s="179"/>
      <c r="AW146" s="179"/>
      <c r="BA146" s="180"/>
    </row>
    <row r="147" spans="1:53" x14ac:dyDescent="0.15">
      <c r="B147" s="311"/>
      <c r="F147" s="366"/>
      <c r="J147" s="26"/>
      <c r="K147" s="12"/>
      <c r="L147" s="12"/>
      <c r="M147" s="12"/>
      <c r="N147" s="20"/>
      <c r="O147" s="12"/>
      <c r="P147" s="12"/>
      <c r="Q147" s="12"/>
      <c r="R147" s="20"/>
      <c r="T147" s="340"/>
      <c r="U147" s="340"/>
    </row>
    <row r="148" spans="1:53" x14ac:dyDescent="0.15">
      <c r="B148" s="311"/>
      <c r="F148" s="366"/>
      <c r="J148" s="26"/>
      <c r="K148" s="12"/>
      <c r="L148" s="12"/>
      <c r="M148" s="12"/>
      <c r="N148" s="20"/>
      <c r="O148" s="12"/>
      <c r="P148" s="12"/>
      <c r="Q148" s="12"/>
      <c r="R148" s="20"/>
      <c r="T148" s="340"/>
      <c r="U148" s="340"/>
    </row>
    <row r="151" spans="1:53" ht="18" customHeight="1" x14ac:dyDescent="0.15">
      <c r="B151" s="16" t="s">
        <v>1264</v>
      </c>
    </row>
    <row r="152" spans="1:53" ht="9" customHeight="1" x14ac:dyDescent="0.15"/>
    <row r="153" spans="1:53" s="195" customFormat="1" ht="9" customHeight="1" x14ac:dyDescent="0.15">
      <c r="A153" s="193"/>
      <c r="B153" s="194" t="s">
        <v>1215</v>
      </c>
      <c r="C153" s="194"/>
      <c r="D153" s="194"/>
      <c r="E153" s="194"/>
      <c r="F153" s="194"/>
      <c r="G153" s="194" t="s">
        <v>1216</v>
      </c>
      <c r="H153" s="194"/>
      <c r="I153" s="194"/>
      <c r="J153" s="194"/>
      <c r="K153" s="194"/>
      <c r="L153" s="194"/>
      <c r="M153" s="194"/>
      <c r="N153" s="194"/>
      <c r="R153" s="388" t="s">
        <v>1217</v>
      </c>
      <c r="S153" s="388"/>
      <c r="T153" s="388"/>
      <c r="U153" s="388"/>
      <c r="V153" s="388"/>
      <c r="W153" s="388"/>
      <c r="X153" s="196"/>
      <c r="Y153" s="196"/>
      <c r="AA153" s="196"/>
      <c r="AB153" s="196"/>
      <c r="AC153" s="196"/>
      <c r="AD153" s="196"/>
    </row>
    <row r="154" spans="1:53" s="200" customFormat="1" ht="9" customHeight="1" x14ac:dyDescent="0.15">
      <c r="A154" s="197"/>
      <c r="B154" s="198" t="s">
        <v>1219</v>
      </c>
      <c r="C154" s="199"/>
      <c r="D154" s="199"/>
      <c r="E154" s="199"/>
      <c r="F154" s="199"/>
      <c r="G154" s="198" t="s">
        <v>1218</v>
      </c>
      <c r="H154" s="199"/>
      <c r="I154" s="199"/>
      <c r="J154" s="199"/>
      <c r="K154" s="199"/>
      <c r="L154" s="199"/>
      <c r="M154" s="199"/>
      <c r="N154" s="199"/>
      <c r="R154" s="201" t="s">
        <v>1220</v>
      </c>
      <c r="S154" s="202"/>
      <c r="T154" s="203"/>
      <c r="U154" s="203"/>
      <c r="V154" s="203"/>
      <c r="W154" s="201" t="s">
        <v>1221</v>
      </c>
      <c r="X154" s="203"/>
      <c r="Y154" s="203"/>
      <c r="AA154" s="203"/>
      <c r="AB154" s="203"/>
      <c r="AC154" s="203"/>
      <c r="AD154" s="203"/>
    </row>
    <row r="155" spans="1:53" s="186" customFormat="1" ht="12" customHeight="1" x14ac:dyDescent="0.15">
      <c r="A155" s="204" t="s">
        <v>3</v>
      </c>
      <c r="B155" s="205" t="s">
        <v>8</v>
      </c>
      <c r="C155" s="205" t="s">
        <v>9</v>
      </c>
      <c r="D155" s="205" t="s">
        <v>10</v>
      </c>
      <c r="E155" s="206" t="s">
        <v>1195</v>
      </c>
      <c r="F155" s="205"/>
      <c r="G155" s="186" t="s">
        <v>3</v>
      </c>
      <c r="H155" s="389" t="s">
        <v>0</v>
      </c>
      <c r="I155" s="389"/>
      <c r="J155" s="389" t="s">
        <v>1</v>
      </c>
      <c r="K155" s="389"/>
      <c r="L155" s="389" t="s">
        <v>2</v>
      </c>
      <c r="M155" s="389"/>
      <c r="N155" s="390" t="s">
        <v>1195</v>
      </c>
      <c r="O155" s="390"/>
      <c r="P155" s="207"/>
      <c r="Q155" s="207"/>
      <c r="R155" s="208" t="s">
        <v>3</v>
      </c>
      <c r="S155" s="209" t="s">
        <v>135</v>
      </c>
      <c r="T155" s="207" t="s">
        <v>133</v>
      </c>
      <c r="U155" s="205" t="s">
        <v>134</v>
      </c>
      <c r="V155" s="207"/>
      <c r="W155" s="210" t="s">
        <v>26</v>
      </c>
    </row>
    <row r="156" spans="1:53" s="140" customFormat="1" x14ac:dyDescent="0.15">
      <c r="A156" s="140">
        <v>1959</v>
      </c>
      <c r="B156" s="143">
        <f>(K6*($E8/365))+(K7*($E7/365))</f>
        <v>42.035225048923678</v>
      </c>
      <c r="C156" s="143">
        <f>(L6*($E8/365))+(L7*($E7/365))</f>
        <v>18.68232224396608</v>
      </c>
      <c r="D156" s="143">
        <f>(M6*($E8/365))+(M7*($E7/365))</f>
        <v>4.6705805609915201</v>
      </c>
      <c r="E156" s="144">
        <f>B156+C156+D156</f>
        <v>65.388127853881286</v>
      </c>
      <c r="G156" s="146">
        <v>1959</v>
      </c>
      <c r="H156" s="391">
        <f>(O6/$R6*100*($E6/365))+(O7/$R7*100*($E7/365))</f>
        <v>80.178942454144718</v>
      </c>
      <c r="I156" s="391"/>
      <c r="J156" s="391">
        <f>(P6/$R6*100*($E6/365))+(P7/$R7*100*($E7/365))</f>
        <v>13.988064889794336</v>
      </c>
      <c r="K156" s="391"/>
      <c r="L156" s="391">
        <f>(Q6/$R6*100*($E6/365))+(Q7/$R7*100*($E7/365))</f>
        <v>5.8329926560609433</v>
      </c>
      <c r="M156" s="391"/>
      <c r="N156" s="412">
        <f>H156+J156+K156</f>
        <v>94.167007343939048</v>
      </c>
      <c r="O156" s="412"/>
      <c r="P156" s="143"/>
      <c r="Q156" s="143"/>
      <c r="R156" s="146">
        <v>1959</v>
      </c>
      <c r="S156" s="143">
        <f>(O6*($E6/365))+(O7*($E7/365))</f>
        <v>70.651506849315069</v>
      </c>
      <c r="T156" s="143">
        <f>(P6*($E6/365))+(P7*($E7/365))</f>
        <v>12.3</v>
      </c>
      <c r="U156" s="143">
        <f>(Q6*($E6/365))+(Q7*($E7/365))</f>
        <v>5.0802739726027397</v>
      </c>
      <c r="W156" s="155">
        <f>S156+T156+U156</f>
        <v>88.031780821917806</v>
      </c>
      <c r="X156" s="145"/>
    </row>
    <row r="157" spans="1:53" x14ac:dyDescent="0.15">
      <c r="A157" s="1">
        <v>1960</v>
      </c>
      <c r="B157" s="5">
        <f>(K8*($E8/366))+(K9*($E9/366))</f>
        <v>42.857142857142854</v>
      </c>
      <c r="C157" s="5">
        <f>(L8*($E8/366))+(L9*($E9/366))</f>
        <v>19.047619047619047</v>
      </c>
      <c r="D157" s="5">
        <f>(M8*($E8/366))+(M9*($E9/366))</f>
        <v>4.7619047619047619</v>
      </c>
      <c r="E157" s="18">
        <f>SUM(B157:D157)</f>
        <v>66.666666666666657</v>
      </c>
      <c r="G157" s="14">
        <v>1960</v>
      </c>
      <c r="H157" s="380">
        <f>(O8/$R8*100*($E8/366))+(O9/$R9*100*($E9/366))</f>
        <v>80.542986425339365</v>
      </c>
      <c r="I157" s="380"/>
      <c r="J157" s="380">
        <f>(P8/$R8*100*($E8/366))+(P9/$R9*100*($E9/366))</f>
        <v>13.914027149321267</v>
      </c>
      <c r="K157" s="380"/>
      <c r="L157" s="380">
        <f>(Q8/$R8*100*($E8/366))+(Q9/$R9*100*($E9/366))</f>
        <v>5.5429864253393664</v>
      </c>
      <c r="M157" s="380"/>
      <c r="N157" s="379">
        <f>SUM(H157:M157)</f>
        <v>100</v>
      </c>
      <c r="O157" s="379"/>
      <c r="P157" s="5"/>
      <c r="Q157" s="5"/>
      <c r="R157" s="14">
        <v>1960</v>
      </c>
      <c r="S157" s="5">
        <f>(O8*($E8/366))+(O9*($E9/366))</f>
        <v>71.2</v>
      </c>
      <c r="T157" s="5">
        <f>(P8*($E8/366))+(P9*($E9/366))</f>
        <v>12.3</v>
      </c>
      <c r="U157" s="5">
        <f>(Q8*($E8/366))+(Q9*($E9/366))</f>
        <v>4.9000000000000004</v>
      </c>
      <c r="W157" s="10">
        <f t="shared" ref="W157:W188" si="40">SUM(S157:U157)</f>
        <v>88.4</v>
      </c>
      <c r="X157" s="4"/>
    </row>
    <row r="158" spans="1:53" x14ac:dyDescent="0.15">
      <c r="A158" s="1">
        <v>1961</v>
      </c>
      <c r="B158" s="5">
        <f>(K10*($E10/365))+(K11*($E11/365))</f>
        <v>42.857142857142854</v>
      </c>
      <c r="C158" s="5">
        <f>(L10*($E10/365))+(L11*($E11/365))</f>
        <v>19.047619047619047</v>
      </c>
      <c r="D158" s="5">
        <f>(M10*($E10/365))+(M11*($E11/365))</f>
        <v>4.7619047619047619</v>
      </c>
      <c r="E158" s="18">
        <f t="shared" ref="E158:E210" si="41">SUM(B158:D158)</f>
        <v>66.666666666666657</v>
      </c>
      <c r="G158" s="14">
        <v>1961</v>
      </c>
      <c r="H158" s="380">
        <f>(O10/$R10*100*($E10/365))+(O11/$R11*100*($E11/365))</f>
        <v>80.542986425339365</v>
      </c>
      <c r="I158" s="380"/>
      <c r="J158" s="380">
        <f>(P10/$R10*100*($E10/365))+(P11/$R11*100*($E11/365))</f>
        <v>13.914027149321267</v>
      </c>
      <c r="K158" s="380"/>
      <c r="L158" s="380">
        <f>(Q10/$R10*100*($E10/365))+(Q11/$R11*100*($E11/365))</f>
        <v>5.5429864253393664</v>
      </c>
      <c r="M158" s="380"/>
      <c r="N158" s="379">
        <f>SUM(H158:M158)</f>
        <v>100</v>
      </c>
      <c r="O158" s="379"/>
      <c r="P158" s="5"/>
      <c r="Q158" s="5"/>
      <c r="R158" s="14">
        <v>1961</v>
      </c>
      <c r="S158" s="5">
        <f>(O10*($E10/365))+(O11*($E11/365))</f>
        <v>71.2</v>
      </c>
      <c r="T158" s="5">
        <f>(P10*($E10/365))+(P11*($E11/365))</f>
        <v>12.3</v>
      </c>
      <c r="U158" s="5">
        <f>(Q10*($E10/365))+(Q11*($E11/365))</f>
        <v>4.9000000000000004</v>
      </c>
      <c r="W158" s="10">
        <f t="shared" si="40"/>
        <v>88.4</v>
      </c>
      <c r="X158" s="4"/>
    </row>
    <row r="159" spans="1:53" x14ac:dyDescent="0.15">
      <c r="A159" s="1">
        <v>1962</v>
      </c>
      <c r="B159" s="5">
        <f>(K12*($E12/365))+(K13*($E13/365))+(K14*($E14/365))+(K15*($E15/365))</f>
        <v>63.556306706991641</v>
      </c>
      <c r="C159" s="5">
        <f>(L12*($E12/365))+(L13*($E13/365))+(L14*($E14/365))+(L15*($E15/365))</f>
        <v>6.9714760125719026</v>
      </c>
      <c r="D159" s="5">
        <f>(M12*($E12/365))+(M13*($E13/365))+(M14*($E14/365))+(M15*($E15/365))</f>
        <v>1.3568166992824526</v>
      </c>
      <c r="E159" s="18">
        <f t="shared" si="41"/>
        <v>71.884599418845994</v>
      </c>
      <c r="G159" s="14">
        <v>1962</v>
      </c>
      <c r="H159" s="380">
        <f>(O12/$R12*100*($E12/365))+(O13/$R13*100*($E13/365))+(O14/$R14*100*($E14/365))+(O15/$R15*100*($E15/365))</f>
        <v>92.6971452821642</v>
      </c>
      <c r="I159" s="380"/>
      <c r="J159" s="380">
        <f>(P12/$R12*100*($E12/365))+(P13/$R13*100*($E13/365))+(P14/$R14*100*($E14/365))+(P15/$R15*100*($E15/365))</f>
        <v>5.7234832432185616</v>
      </c>
      <c r="K159" s="380"/>
      <c r="L159" s="380">
        <f>(Q12/$R12*100*($E12/365))+(Q13/$R13*100*($E13/365))+(Q14/$R14*100*($E14/365))+(Q15/$R15*100*($E15/365))</f>
        <v>1.579371474617244</v>
      </c>
      <c r="M159" s="380"/>
      <c r="N159" s="379">
        <f t="shared" ref="N159:N208" si="42">SUM(H159:M159)</f>
        <v>100.00000000000001</v>
      </c>
      <c r="O159" s="379"/>
      <c r="P159" s="5"/>
      <c r="Q159" s="5"/>
      <c r="R159" s="14">
        <v>1962</v>
      </c>
      <c r="S159" s="5">
        <f>(O12*($E12/365))+(O13*($E13/365))+(O14*($E14/365))+(O15*($E15/365))</f>
        <v>69.654246575342469</v>
      </c>
      <c r="T159" s="5">
        <f>(P12*($E12/365))+(P13*($E13/365))+(P14*($E14/365))+(P15*($E15/365))</f>
        <v>4.82</v>
      </c>
      <c r="U159" s="5">
        <f>(Q12*($E12/365))+(Q13*($E13/365))+(Q14*($E14/365))+(Q15*($E15/365))</f>
        <v>1.396164383561644</v>
      </c>
      <c r="W159" s="10">
        <f t="shared" si="40"/>
        <v>75.870410958904117</v>
      </c>
      <c r="X159" s="4"/>
      <c r="Y159" s="23"/>
    </row>
    <row r="160" spans="1:53" x14ac:dyDescent="0.15">
      <c r="A160" s="1">
        <v>1963</v>
      </c>
      <c r="B160" s="5">
        <f>(K16*($E16/365))+(K17*($E17/365))</f>
        <v>72.727272727272734</v>
      </c>
      <c r="C160" s="5">
        <f>(L16*($E16/365))+(L17*($E17/365))</f>
        <v>0</v>
      </c>
      <c r="D160" s="5">
        <f>(M16*($E16/365))+(M17*($E17/365))</f>
        <v>0</v>
      </c>
      <c r="E160" s="18">
        <f t="shared" si="41"/>
        <v>72.727272727272734</v>
      </c>
      <c r="G160" s="14">
        <v>1963</v>
      </c>
      <c r="H160" s="380">
        <f>(O16/$R16*100*($E16/365))+(O17/$R17*100*($E17/365))</f>
        <v>92.870544090056299</v>
      </c>
      <c r="I160" s="380"/>
      <c r="J160" s="380">
        <f>(P16/$R16*100*($E16/365))+(P17/$R17*100*($E17/365))</f>
        <v>7.1294559099437143</v>
      </c>
      <c r="K160" s="380"/>
      <c r="L160" s="380">
        <f>(Q16/$R16*100*($E16/365))+(Q17/$R17*100*($E17/365))</f>
        <v>0</v>
      </c>
      <c r="M160" s="380"/>
      <c r="N160" s="379">
        <f t="shared" si="42"/>
        <v>100.00000000000001</v>
      </c>
      <c r="O160" s="379"/>
      <c r="P160" s="5"/>
      <c r="Q160" s="5"/>
      <c r="R160" s="14">
        <v>1963</v>
      </c>
      <c r="S160" s="5">
        <f>(O16*($E16/365))+(O17*($E17/365))</f>
        <v>49.5</v>
      </c>
      <c r="T160" s="5">
        <f>(P16*($E16/365))+(P17*($E17/365))</f>
        <v>3.8</v>
      </c>
      <c r="U160" s="5">
        <f>(Q16*($E16/365))+(Q17*($E17/365))</f>
        <v>0</v>
      </c>
      <c r="W160" s="10">
        <f t="shared" si="40"/>
        <v>53.3</v>
      </c>
      <c r="X160" s="4"/>
      <c r="Y160" s="23"/>
    </row>
    <row r="161" spans="1:25" x14ac:dyDescent="0.15">
      <c r="A161" s="1">
        <v>1964</v>
      </c>
      <c r="B161" s="5">
        <f>(K18*($E18/366))+(K19*($E19/366))</f>
        <v>72.727272727272734</v>
      </c>
      <c r="C161" s="5">
        <f>(L18*($E18/366))+(L19*($E19/366))</f>
        <v>0</v>
      </c>
      <c r="D161" s="5">
        <f>(M18*($E18/366))+(M19*($E19/366))</f>
        <v>0</v>
      </c>
      <c r="E161" s="18">
        <f t="shared" si="41"/>
        <v>72.727272727272734</v>
      </c>
      <c r="G161" s="14">
        <v>1964</v>
      </c>
      <c r="H161" s="380">
        <f>(O18/$R18*100*($E18/366))+(O19/$R19*100*($E19/366))</f>
        <v>92.870544090056299</v>
      </c>
      <c r="I161" s="380"/>
      <c r="J161" s="380">
        <f>(P18/$R18*100*($E18/366))+(P19/$R19*100*($E19/366))</f>
        <v>7.1294559099437143</v>
      </c>
      <c r="K161" s="380"/>
      <c r="L161" s="380">
        <f>(Q18/$R18*100*($E18/366))+(Q19/$R19*100*($E19/366))</f>
        <v>0</v>
      </c>
      <c r="M161" s="380"/>
      <c r="N161" s="379">
        <f t="shared" si="42"/>
        <v>100.00000000000001</v>
      </c>
      <c r="O161" s="379"/>
      <c r="P161" s="5"/>
      <c r="Q161" s="5"/>
      <c r="R161" s="14">
        <v>1964</v>
      </c>
      <c r="S161" s="5">
        <f>(O18*($E18/366))+(O19*($E19/366))</f>
        <v>49.5</v>
      </c>
      <c r="T161" s="5">
        <f>(P18*($E18/366))+(P19*($E19/366))</f>
        <v>3.8</v>
      </c>
      <c r="U161" s="5">
        <f>(Q18*($E18/366))+(Q19*($E19/366))</f>
        <v>0</v>
      </c>
      <c r="W161" s="10">
        <f t="shared" si="40"/>
        <v>53.3</v>
      </c>
      <c r="X161" s="4"/>
      <c r="Y161" s="23"/>
    </row>
    <row r="162" spans="1:25" x14ac:dyDescent="0.15">
      <c r="A162" s="1">
        <v>1965</v>
      </c>
      <c r="B162" s="5">
        <f>(K20*($E20/365))+(K21*($E21/365))</f>
        <v>72.727272727272734</v>
      </c>
      <c r="C162" s="5">
        <f>(L20*($E20/365))+(L21*($E21/365))</f>
        <v>0</v>
      </c>
      <c r="D162" s="5">
        <f>(M20*($E20/365))+(M21*($E21/365))</f>
        <v>0</v>
      </c>
      <c r="E162" s="18">
        <f t="shared" si="41"/>
        <v>72.727272727272734</v>
      </c>
      <c r="G162" s="14">
        <v>1965</v>
      </c>
      <c r="H162" s="380">
        <f>(O20/$R20*100*($E20/365))+(O21/$R21*100*($E21/365))</f>
        <v>92.870544090056299</v>
      </c>
      <c r="I162" s="380"/>
      <c r="J162" s="380">
        <f>(P20/$R20*100*($E20/365))+(P21/$R21*100*($E21/365))</f>
        <v>7.1294559099437143</v>
      </c>
      <c r="K162" s="380"/>
      <c r="L162" s="380">
        <f>(Q20/$R20*100*($E20/365))+(Q21/$R21*100*($E21/365))</f>
        <v>0</v>
      </c>
      <c r="M162" s="380"/>
      <c r="N162" s="379">
        <f t="shared" si="42"/>
        <v>100.00000000000001</v>
      </c>
      <c r="O162" s="379"/>
      <c r="P162" s="5"/>
      <c r="Q162" s="5"/>
      <c r="R162" s="14">
        <v>1965</v>
      </c>
      <c r="S162" s="5">
        <f>(O20*($E20/365))+(O21*($E21/365))</f>
        <v>49.5</v>
      </c>
      <c r="T162" s="5">
        <f>(P20*($E20/365))+(P21*($E21/365))</f>
        <v>3.8</v>
      </c>
      <c r="U162" s="5">
        <f>(Q20*($E20/365))+(Q21*($E21/365))</f>
        <v>0</v>
      </c>
      <c r="W162" s="10">
        <f t="shared" si="40"/>
        <v>53.3</v>
      </c>
      <c r="X162" s="4"/>
      <c r="Y162" s="23"/>
    </row>
    <row r="163" spans="1:25" x14ac:dyDescent="0.15">
      <c r="A163" s="1">
        <v>1966</v>
      </c>
      <c r="B163" s="5">
        <f>(K22*($E22/365))+(K23*($E23/365))</f>
        <v>66.799501867995019</v>
      </c>
      <c r="C163" s="5">
        <f>(L22*($E22/365))+(L23*($E23/365))</f>
        <v>0</v>
      </c>
      <c r="D163" s="5">
        <f>(M22*($E22/365))+(M23*($E23/365))</f>
        <v>0</v>
      </c>
      <c r="E163" s="18">
        <f t="shared" si="41"/>
        <v>66.799501867995019</v>
      </c>
      <c r="G163" s="14">
        <v>1966</v>
      </c>
      <c r="H163" s="380">
        <f>(O22/$R22*100*($E22/365))+(O23/$R23*100*($E23/365))</f>
        <v>92.870544090056299</v>
      </c>
      <c r="I163" s="380"/>
      <c r="J163" s="380">
        <f>(P22/$R22*100*($E22/365))+(P23/$R23*100*($E23/365))</f>
        <v>7.1294559099437143</v>
      </c>
      <c r="K163" s="380"/>
      <c r="L163" s="380">
        <f>(Q22/$R22*100*($E22/365))+(Q23/$R23*100*($E23/365))</f>
        <v>0</v>
      </c>
      <c r="M163" s="380"/>
      <c r="N163" s="379">
        <f>SUM(H163:M163)</f>
        <v>100.00000000000001</v>
      </c>
      <c r="O163" s="379"/>
      <c r="P163" s="5"/>
      <c r="Q163" s="5"/>
      <c r="R163" s="14">
        <v>1966</v>
      </c>
      <c r="S163" s="5">
        <f>(O22*($E22/365))+(O23*($E23/365))</f>
        <v>49.5</v>
      </c>
      <c r="T163" s="5">
        <f>(P22*($E22/365))+(P23*($E23/365))</f>
        <v>3.8</v>
      </c>
      <c r="U163" s="5">
        <f>(Q22*($E22/365))+(Q23*($E23/365))</f>
        <v>0</v>
      </c>
      <c r="W163" s="10">
        <f t="shared" si="40"/>
        <v>53.3</v>
      </c>
      <c r="X163" s="4"/>
      <c r="Y163" s="23"/>
    </row>
    <row r="164" spans="1:25" x14ac:dyDescent="0.15">
      <c r="A164" s="1">
        <v>1967</v>
      </c>
      <c r="B164" s="5">
        <f>(K24*($E24/365))+(K25*($E25/365))</f>
        <v>57.766708177667077</v>
      </c>
      <c r="C164" s="5">
        <f>(L24*($E24/365))+(L25*($E25/365))</f>
        <v>20.024906600249064</v>
      </c>
      <c r="D164" s="5">
        <f>(M24*($E24/365))+(M25*($E25/365))</f>
        <v>0</v>
      </c>
      <c r="E164" s="18">
        <f t="shared" si="41"/>
        <v>77.791614777916138</v>
      </c>
      <c r="G164" s="14">
        <v>1967</v>
      </c>
      <c r="H164" s="380">
        <f>(O24/$R24*100*($E24/365))+(O25/$R25*100*($E25/365))</f>
        <v>85.14803016994405</v>
      </c>
      <c r="I164" s="380"/>
      <c r="J164" s="380">
        <f>(P24/$R24*100*($E24/365))+(P25/$R25*100*($E25/365))</f>
        <v>14.851969830055952</v>
      </c>
      <c r="K164" s="380"/>
      <c r="L164" s="380">
        <f>(Q24/$R24*100*($E24/365))+(Q25/$R25*100*($E25/365))</f>
        <v>0</v>
      </c>
      <c r="M164" s="380"/>
      <c r="N164" s="379">
        <f t="shared" si="42"/>
        <v>100</v>
      </c>
      <c r="O164" s="379"/>
      <c r="P164" s="5"/>
      <c r="Q164" s="5"/>
      <c r="R164" s="14">
        <v>1967</v>
      </c>
      <c r="S164" s="5">
        <f>(O24*($E24/365))+(O25*($E25/365))</f>
        <v>42.965205479452059</v>
      </c>
      <c r="T164" s="5">
        <f>(P24*($E24/365))+(P25*($E25/365))</f>
        <v>7.3978082191780814</v>
      </c>
      <c r="U164" s="5">
        <f>(Q24*($E24/365))+(Q25*($E25/365))</f>
        <v>0</v>
      </c>
      <c r="W164" s="10">
        <f t="shared" si="40"/>
        <v>50.363013698630141</v>
      </c>
      <c r="X164" s="4"/>
      <c r="Y164" s="23"/>
    </row>
    <row r="165" spans="1:25" x14ac:dyDescent="0.15">
      <c r="A165" s="1">
        <v>1968</v>
      </c>
      <c r="B165" s="5">
        <f>(K26*($E26/366))+(K27*($E27/366))+(K28*($E28/366))</f>
        <v>64.635134781812951</v>
      </c>
      <c r="C165" s="5">
        <f>(L26*($E26/366))+(L27*($E27/366))+(L28*($E28/366))</f>
        <v>17.792245143409939</v>
      </c>
      <c r="D165" s="5">
        <f>(M26*($E26/366))+(M27*($E27/366))+(M28*($E28/366))</f>
        <v>0</v>
      </c>
      <c r="E165" s="18">
        <f t="shared" si="41"/>
        <v>82.427379925222894</v>
      </c>
      <c r="G165" s="14">
        <v>1968</v>
      </c>
      <c r="H165" s="380">
        <f>(O26/$R26*100*($E26/366))+(O27/$R27*100*($E27/366))+(O28/$R28*100*($E28/366))</f>
        <v>81.960050591868963</v>
      </c>
      <c r="I165" s="380"/>
      <c r="J165" s="380">
        <f>(P26/$R26*100*($E26/366))+(P27/$R27*100*($E27/366))+(P28/$R28*100*($E28/366))</f>
        <v>18.039949408131037</v>
      </c>
      <c r="K165" s="380"/>
      <c r="L165" s="380">
        <f>(Q26/$R26*100*($E26/366))+(Q27/$R27*100*($E27/366))+(Q28/$R28*100*($E28/366))</f>
        <v>0</v>
      </c>
      <c r="M165" s="380"/>
      <c r="N165" s="379">
        <f t="shared" si="42"/>
        <v>100</v>
      </c>
      <c r="O165" s="379"/>
      <c r="P165" s="5"/>
      <c r="Q165" s="5"/>
      <c r="R165" s="14">
        <v>1968</v>
      </c>
      <c r="S165" s="5">
        <f>(O26*($E26/366))+(O27*($E27/366))+(O28*($E28/366))</f>
        <v>49.769945355191261</v>
      </c>
      <c r="T165" s="5">
        <f>(P26*($E26/366))+(P27*($E27/366))+(P28*($E28/366))</f>
        <v>11.016120218579236</v>
      </c>
      <c r="U165" s="5">
        <f>(Q26*($E26/366))+(Q27*($E27/366))+(Q28*($E28/366))</f>
        <v>0</v>
      </c>
      <c r="W165" s="10">
        <f t="shared" si="40"/>
        <v>60.7860655737705</v>
      </c>
      <c r="X165" s="4"/>
      <c r="Y165" s="23"/>
    </row>
    <row r="166" spans="1:25" x14ac:dyDescent="0.15">
      <c r="A166" s="1">
        <v>1969</v>
      </c>
      <c r="B166" s="5">
        <f>(K29*($E29/365))+(K30*($E30/365))</f>
        <v>79.250180245133379</v>
      </c>
      <c r="C166" s="5">
        <f>(L29*($E29/365))+(L30*($E30/365))</f>
        <v>13.309300648882481</v>
      </c>
      <c r="D166" s="5">
        <f>(M29*($E29/365))+(M30*($E30/365))</f>
        <v>0</v>
      </c>
      <c r="E166" s="18">
        <f t="shared" si="41"/>
        <v>92.559480894015863</v>
      </c>
      <c r="G166" s="14">
        <v>1969</v>
      </c>
      <c r="H166" s="380">
        <f>(O29/$R29*100*($E29/365))+(O30/$R30*100*($E30/365))</f>
        <v>78.524481416531586</v>
      </c>
      <c r="I166" s="380"/>
      <c r="J166" s="380">
        <f>(P29/$R29*100*($E29/365))+(P30/$R30*100*($E30/365))</f>
        <v>21.475518583468428</v>
      </c>
      <c r="K166" s="380"/>
      <c r="L166" s="380">
        <f>(Q29/$R29*100*($E29/365))+(Q30/$R30*100*($E30/365))</f>
        <v>0</v>
      </c>
      <c r="M166" s="380"/>
      <c r="N166" s="379">
        <f t="shared" si="42"/>
        <v>100.00000000000001</v>
      </c>
      <c r="O166" s="379"/>
      <c r="P166" s="5"/>
      <c r="Q166" s="5"/>
      <c r="R166" s="14">
        <v>1969</v>
      </c>
      <c r="S166" s="5">
        <f>(O29*($E29/365))+(O30*($E30/365))</f>
        <v>60</v>
      </c>
      <c r="T166" s="5">
        <f>(P29*($E29/365))+(P30*($E30/365))</f>
        <v>16.508219178082193</v>
      </c>
      <c r="U166" s="5">
        <f>(Q29*($E29/365))+(Q30*($E30/365))</f>
        <v>0</v>
      </c>
      <c r="W166" s="10">
        <f t="shared" si="40"/>
        <v>76.508219178082186</v>
      </c>
      <c r="X166" s="4"/>
      <c r="Y166" s="23"/>
    </row>
    <row r="167" spans="1:25" x14ac:dyDescent="0.15">
      <c r="A167" s="1">
        <v>1970</v>
      </c>
      <c r="B167" s="5">
        <f>(K31*($E31/365))+(K32*($E32/365))</f>
        <v>84.210526315789465</v>
      </c>
      <c r="C167" s="5">
        <f>(L31*($E31/365))+(L32*($E32/365))</f>
        <v>15.789473684210526</v>
      </c>
      <c r="D167" s="5">
        <f>(M31*($E31/365))+(M32*($E32/365))</f>
        <v>0</v>
      </c>
      <c r="E167" s="18">
        <f t="shared" si="41"/>
        <v>99.999999999999986</v>
      </c>
      <c r="G167" s="14">
        <v>1970</v>
      </c>
      <c r="H167" s="380">
        <f>(O31/$R31*100*($E31/365))+(O32/$R32*100*($E32/365))</f>
        <v>75.853350189633389</v>
      </c>
      <c r="I167" s="380"/>
      <c r="J167" s="380">
        <f>(P31/$R31*100*($E31/365))+(P32/$R32*100*($E32/365))</f>
        <v>24.146649810366625</v>
      </c>
      <c r="K167" s="380"/>
      <c r="L167" s="380">
        <f>(Q31/$R31*100*($E31/365))+(Q32/$R32*100*($E32/365))</f>
        <v>0</v>
      </c>
      <c r="M167" s="380"/>
      <c r="N167" s="379">
        <f t="shared" si="42"/>
        <v>100.00000000000001</v>
      </c>
      <c r="O167" s="379"/>
      <c r="P167" s="5"/>
      <c r="Q167" s="5"/>
      <c r="R167" s="14">
        <v>1970</v>
      </c>
      <c r="S167" s="5">
        <f>(O31*($E31/365))+(O32*($E32/365))</f>
        <v>60</v>
      </c>
      <c r="T167" s="5">
        <f>(P31*($E31/365))+(P32*($E32/365))</f>
        <v>19.100000000000001</v>
      </c>
      <c r="U167" s="5">
        <f>(Q31*($E31/365))+(Q32*($E32/365))</f>
        <v>0</v>
      </c>
      <c r="W167" s="10">
        <f t="shared" si="40"/>
        <v>79.099999999999994</v>
      </c>
      <c r="X167" s="4"/>
      <c r="Y167" s="23"/>
    </row>
    <row r="168" spans="1:25" x14ac:dyDescent="0.15">
      <c r="A168" s="1">
        <v>1971</v>
      </c>
      <c r="B168" s="5">
        <f>(K33*($E33/365))+(K34*($E34/365))</f>
        <v>84.210526315789465</v>
      </c>
      <c r="C168" s="5">
        <f>(L33*($E33/365))+(L34*($E34/365))</f>
        <v>15.789473684210526</v>
      </c>
      <c r="D168" s="5">
        <f>(M33*($E33/365))+(M34*($E34/365))</f>
        <v>0</v>
      </c>
      <c r="E168" s="18">
        <f t="shared" si="41"/>
        <v>99.999999999999986</v>
      </c>
      <c r="G168" s="14">
        <v>1971</v>
      </c>
      <c r="H168" s="380">
        <f>(O33/$R33*100*($E33/365))+(O34/$R34*100*($E34/365))</f>
        <v>75.853350189633389</v>
      </c>
      <c r="I168" s="380"/>
      <c r="J168" s="380">
        <f>(P33/$R33*100*($E33/365))+(P34/$R34*100*($E34/365))</f>
        <v>24.146649810366625</v>
      </c>
      <c r="K168" s="380"/>
      <c r="L168" s="380">
        <f>(Q33/$R33*100*($E33/365))+(Q34/$R34*100*($E34/365))</f>
        <v>0</v>
      </c>
      <c r="M168" s="380"/>
      <c r="N168" s="379">
        <f t="shared" si="42"/>
        <v>100.00000000000001</v>
      </c>
      <c r="O168" s="379"/>
      <c r="P168" s="5"/>
      <c r="Q168" s="5"/>
      <c r="R168" s="14">
        <v>1971</v>
      </c>
      <c r="S168" s="5">
        <f>(O33*($E33/365))+(O34*($E34/365))</f>
        <v>60</v>
      </c>
      <c r="T168" s="5">
        <f>(P33*($E33/365))+(P34*($E34/365))</f>
        <v>19.100000000000001</v>
      </c>
      <c r="U168" s="5">
        <f>(Q33*($E33/365))+(Q34*($E34/365))</f>
        <v>0</v>
      </c>
      <c r="W168" s="10">
        <f t="shared" si="40"/>
        <v>79.099999999999994</v>
      </c>
      <c r="X168" s="4"/>
      <c r="Y168" s="23"/>
    </row>
    <row r="169" spans="1:25" x14ac:dyDescent="0.15">
      <c r="A169" s="1">
        <v>1972</v>
      </c>
      <c r="B169" s="5">
        <f>(K35*($E35/366))+(K36*($E36/366))</f>
        <v>84.594477998274371</v>
      </c>
      <c r="C169" s="5">
        <f>(L35*($E35/366))+(L36*($E36/366))</f>
        <v>15.405522001725625</v>
      </c>
      <c r="D169" s="5">
        <f>(M35*($E35/366))+(M36*($E36/366))</f>
        <v>0</v>
      </c>
      <c r="E169" s="18">
        <f t="shared" si="41"/>
        <v>100</v>
      </c>
      <c r="G169" s="14">
        <v>1972</v>
      </c>
      <c r="H169" s="380">
        <f>(O35/$R35*100*($E35/366))+(O36/$R36*100*($E36/366))</f>
        <v>75.853350189633389</v>
      </c>
      <c r="I169" s="380"/>
      <c r="J169" s="380">
        <f>(P35/$R35*100*($E35/366))+(P36/$R36*100*($E36/366))</f>
        <v>24.146649810366625</v>
      </c>
      <c r="K169" s="380"/>
      <c r="L169" s="380">
        <f>(Q35/$R35*100*($E35/366))+(Q36/$R36*100*($E36/366))</f>
        <v>0</v>
      </c>
      <c r="M169" s="380"/>
      <c r="N169" s="379">
        <f t="shared" si="42"/>
        <v>100.00000000000001</v>
      </c>
      <c r="O169" s="379"/>
      <c r="P169" s="5"/>
      <c r="Q169" s="5"/>
      <c r="R169" s="14">
        <v>1972</v>
      </c>
      <c r="S169" s="5">
        <f>(O35*($E35/366))+(O36*($E36/366))</f>
        <v>60</v>
      </c>
      <c r="T169" s="5">
        <f>(P35*($E35/366))+(P36*($E36/366))</f>
        <v>19.100000000000001</v>
      </c>
      <c r="U169" s="5">
        <f>(Q35*($E35/366))+(Q36*($E36/366))</f>
        <v>0</v>
      </c>
      <c r="W169" s="10">
        <f t="shared" si="40"/>
        <v>79.099999999999994</v>
      </c>
      <c r="X169" s="4"/>
      <c r="Y169" s="23"/>
    </row>
    <row r="170" spans="1:25" x14ac:dyDescent="0.15">
      <c r="A170" s="1">
        <v>1973</v>
      </c>
      <c r="B170" s="5">
        <f>(K37*($E37/365))+(K38*($E38/365))</f>
        <v>86.012453300124534</v>
      </c>
      <c r="C170" s="5">
        <f>(L37*($E37/365))+(L38*($E38/365))</f>
        <v>3.8630136986301369</v>
      </c>
      <c r="D170" s="5">
        <f>(M37*($E37/365))+(M38*($E38/365))</f>
        <v>0</v>
      </c>
      <c r="E170" s="18">
        <f t="shared" si="41"/>
        <v>89.875466998754675</v>
      </c>
      <c r="G170" s="14">
        <v>1973</v>
      </c>
      <c r="H170" s="380">
        <f>(O37/$R37*100*($E37/365))+(O38/$R38*100*($E38/365))</f>
        <v>77.9310182449276</v>
      </c>
      <c r="I170" s="380"/>
      <c r="J170" s="380">
        <f>(P37/$R37*100*($E37/365))+(P38/$R38*100*($E38/365))</f>
        <v>22.068981755072407</v>
      </c>
      <c r="K170" s="380"/>
      <c r="L170" s="380">
        <f>(Q37/$R37*100*($E37/365))+(Q38/$R38*100*($E38/365))</f>
        <v>0</v>
      </c>
      <c r="M170" s="380"/>
      <c r="N170" s="379">
        <f t="shared" si="42"/>
        <v>100</v>
      </c>
      <c r="O170" s="379"/>
      <c r="P170" s="5"/>
      <c r="Q170" s="5"/>
      <c r="R170" s="14">
        <v>1973</v>
      </c>
      <c r="S170" s="5">
        <f>(O37*($E37/365))+(O38*($E38/365))</f>
        <v>46.635616438356159</v>
      </c>
      <c r="T170" s="5">
        <f>(P37*($E37/365))+(P38*($E38/365))</f>
        <v>13.383013698630137</v>
      </c>
      <c r="U170" s="5">
        <f>(Q37*($E37/365))+(Q38*($E38/365))</f>
        <v>0</v>
      </c>
      <c r="W170" s="10">
        <f t="shared" si="40"/>
        <v>60.018630136986296</v>
      </c>
      <c r="X170" s="4"/>
      <c r="Y170" s="23"/>
    </row>
    <row r="171" spans="1:25" x14ac:dyDescent="0.15">
      <c r="A171" s="1">
        <v>1974</v>
      </c>
      <c r="B171" s="5">
        <f>(K39*($E39/365))+(K40*($E40/365))+(K41*($E41/365))</f>
        <v>76.117683686176832</v>
      </c>
      <c r="C171" s="5">
        <f>(L39*($E39/365))+(L40*($E40/365))+(L41*($E41/365))</f>
        <v>3.7328767123287672</v>
      </c>
      <c r="D171" s="5">
        <f>(M39*($E39/365))+(M40*($E40/365))+(M41*($E41/365))</f>
        <v>3.7328767123287672</v>
      </c>
      <c r="E171" s="18">
        <f t="shared" si="41"/>
        <v>83.583437110834353</v>
      </c>
      <c r="G171" s="14">
        <v>1974</v>
      </c>
      <c r="H171" s="380">
        <f>(O39/$R39*100*($E39/365))+(O40/$R40*100*($E40/365))+(O41/$R41*100*($E41/365))</f>
        <v>76.711941901648288</v>
      </c>
      <c r="I171" s="380"/>
      <c r="J171" s="380">
        <f>(P39/$R39*100*($E39/365))+(P40/$R40*100*($E40/365))+(P41/$R41*100*($E41/365))</f>
        <v>20.821812801875968</v>
      </c>
      <c r="K171" s="380"/>
      <c r="L171" s="380">
        <f>(Q39/$R39*100*($E39/365))+(Q40/$R40*100*($E40/365))+(Q41/$R41*100*($E41/365))</f>
        <v>2.4662452964757389</v>
      </c>
      <c r="M171" s="380"/>
      <c r="N171" s="379">
        <f t="shared" si="42"/>
        <v>99.999999999999986</v>
      </c>
      <c r="O171" s="379"/>
      <c r="P171" s="5"/>
      <c r="Q171" s="5"/>
      <c r="R171" s="14">
        <v>1974</v>
      </c>
      <c r="S171" s="5">
        <f>(O39*($E39/365))+(O40*($E40/365))+(O41*($E41/365))</f>
        <v>42</v>
      </c>
      <c r="T171" s="5">
        <f>(P39*($E39/365))+(P40*($E40/365))+(P41*($E41/365))</f>
        <v>11.4</v>
      </c>
      <c r="U171" s="5">
        <f>(Q39*($E39/365))+(Q40*($E40/365))+(Q41*($E41/365))</f>
        <v>1.3736986301369862</v>
      </c>
      <c r="W171" s="10">
        <f t="shared" si="40"/>
        <v>54.773698630136984</v>
      </c>
      <c r="X171" s="4"/>
      <c r="Y171" s="23"/>
    </row>
    <row r="172" spans="1:25" x14ac:dyDescent="0.15">
      <c r="A172" s="1">
        <v>1975</v>
      </c>
      <c r="B172" s="5">
        <f>(K42*($E42/365))+(K43*($E43/365))</f>
        <v>68.75</v>
      </c>
      <c r="C172" s="5">
        <f>(L42*($E42/365))+(L43*($E43/365))</f>
        <v>6.25</v>
      </c>
      <c r="D172" s="5">
        <f>(M42*($E42/365))+(M43*($E43/365))</f>
        <v>6.25</v>
      </c>
      <c r="E172" s="18">
        <f t="shared" si="41"/>
        <v>81.25</v>
      </c>
      <c r="G172" s="14">
        <v>1975</v>
      </c>
      <c r="H172" s="380">
        <f>(O42/$R42*100*($E42/365))+(O43/$R43*100*($E43/365))</f>
        <v>75.403949730700177</v>
      </c>
      <c r="I172" s="380"/>
      <c r="J172" s="380">
        <f>(P42/$R42*100*($E42/365))+(P43/$R43*100*($E43/365))</f>
        <v>20.466786355475765</v>
      </c>
      <c r="K172" s="380"/>
      <c r="L172" s="380">
        <f>(Q42/$R42*100*($E42/365))+(Q43/$R43*100*($E43/365))</f>
        <v>4.1292639138240581</v>
      </c>
      <c r="M172" s="380"/>
      <c r="N172" s="379">
        <f t="shared" si="42"/>
        <v>100</v>
      </c>
      <c r="O172" s="379"/>
      <c r="P172" s="5"/>
      <c r="Q172" s="5"/>
      <c r="R172" s="14">
        <v>1975</v>
      </c>
      <c r="S172" s="5">
        <f>(O42*($E42/365))+(O43*($E43/365))</f>
        <v>42</v>
      </c>
      <c r="T172" s="5">
        <f>(P42*($E42/365))+(P43*($E43/365))</f>
        <v>11.4</v>
      </c>
      <c r="U172" s="5">
        <f>(Q42*($E42/365))+(Q43*($E43/365))</f>
        <v>2.2999999999999998</v>
      </c>
      <c r="W172" s="10">
        <f t="shared" si="40"/>
        <v>55.699999999999996</v>
      </c>
      <c r="X172" s="4"/>
      <c r="Y172" s="23"/>
    </row>
    <row r="173" spans="1:25" x14ac:dyDescent="0.15">
      <c r="A173" s="1">
        <v>1976</v>
      </c>
      <c r="B173" s="5">
        <f>(K44*($E44/366))+(K45*($E45/366))</f>
        <v>61.731557377049185</v>
      </c>
      <c r="C173" s="5">
        <f>(L44*($E44/366))+(L45*($E45/366))</f>
        <v>5.9900576806314518</v>
      </c>
      <c r="D173" s="5">
        <f>(M44*($E44/366))+(M45*($E45/366))</f>
        <v>10.149134790528233</v>
      </c>
      <c r="E173" s="18">
        <f t="shared" si="41"/>
        <v>77.870749848208874</v>
      </c>
      <c r="G173" s="14">
        <v>1976</v>
      </c>
      <c r="H173" s="380">
        <f>(O44/$R44*100*($E44/366))+(O45/$R45*100*($E45/366))</f>
        <v>75.403949730700191</v>
      </c>
      <c r="I173" s="380"/>
      <c r="J173" s="380">
        <f>(P44/$R44*100*($E44/366))+(P45/$R45*100*($E45/366))</f>
        <v>20.466786355475765</v>
      </c>
      <c r="K173" s="380"/>
      <c r="L173" s="380">
        <f>(Q44/$R44*100*($E44/366))+(Q45/$R45*100*($E45/366))</f>
        <v>4.1292639138240581</v>
      </c>
      <c r="M173" s="380"/>
      <c r="N173" s="379">
        <f t="shared" si="42"/>
        <v>100.00000000000001</v>
      </c>
      <c r="O173" s="379"/>
      <c r="P173" s="5"/>
      <c r="Q173" s="5"/>
      <c r="R173" s="14">
        <v>1976</v>
      </c>
      <c r="S173" s="5">
        <f>(O44*($E44/366))+(O45*($E45/366))</f>
        <v>42</v>
      </c>
      <c r="T173" s="5">
        <f>(P44*($E44/366))+(P45*($E45/366))</f>
        <v>11.4</v>
      </c>
      <c r="U173" s="5">
        <f>(Q44*($E44/366))+(Q45*($E45/366))</f>
        <v>2.2999999999999998</v>
      </c>
      <c r="W173" s="10">
        <f t="shared" si="40"/>
        <v>55.699999999999996</v>
      </c>
      <c r="X173" s="4"/>
      <c r="Y173" s="23"/>
    </row>
    <row r="174" spans="1:25" s="9" customFormat="1" x14ac:dyDescent="0.15">
      <c r="A174" s="1">
        <v>1977</v>
      </c>
      <c r="B174" s="5">
        <f>(K46*($E46/365))+(K47*($E47/365))</f>
        <v>42.410958904109592</v>
      </c>
      <c r="C174" s="5">
        <f>(L46*($E46/365))+(L47*($E47/365))</f>
        <v>11.458143074581432</v>
      </c>
      <c r="D174" s="5">
        <f>(M46*($E46/365))+(M47*($E47/365))</f>
        <v>14.136986301369863</v>
      </c>
      <c r="E174" s="18">
        <f t="shared" si="41"/>
        <v>68.006088280060879</v>
      </c>
      <c r="G174" s="14">
        <v>1977</v>
      </c>
      <c r="H174" s="380">
        <f>(O46/$R46*100*($E46/365))+(O47/$R47*100*($E47/365))</f>
        <v>75.403949730700177</v>
      </c>
      <c r="I174" s="380"/>
      <c r="J174" s="380">
        <f>(P46/$R46*100*($E46/365))+(P47/$R47*100*($E47/365))</f>
        <v>20.466786355475765</v>
      </c>
      <c r="K174" s="380"/>
      <c r="L174" s="380">
        <f>(Q46/$R46*100*($E46/365))+(Q47/$R47*100*($E47/365))</f>
        <v>4.1292639138240581</v>
      </c>
      <c r="M174" s="380"/>
      <c r="N174" s="379">
        <f t="shared" si="42"/>
        <v>100</v>
      </c>
      <c r="O174" s="379"/>
      <c r="P174" s="5"/>
      <c r="Q174" s="5"/>
      <c r="R174" s="14">
        <v>1977</v>
      </c>
      <c r="S174" s="5">
        <f>(O46*($E46/365))+(O47*($E47/365))</f>
        <v>42</v>
      </c>
      <c r="T174" s="5">
        <f>(P46*($E46/365))+(P47*($E47/365))</f>
        <v>11.4</v>
      </c>
      <c r="U174" s="5">
        <f>(Q46*($E46/365))+(Q47*($E47/365))</f>
        <v>2.2999999999999998</v>
      </c>
      <c r="W174" s="10">
        <f t="shared" si="40"/>
        <v>55.699999999999996</v>
      </c>
      <c r="X174" s="4"/>
      <c r="Y174" s="23"/>
    </row>
    <row r="175" spans="1:25" x14ac:dyDescent="0.15">
      <c r="A175" s="1">
        <v>1978</v>
      </c>
      <c r="B175" s="5">
        <f>(K48*($E48/365))+(K49*($E49/365))</f>
        <v>32.547945205479451</v>
      </c>
      <c r="C175" s="5">
        <f>(L48*($E48/365))+(L49*($E49/365))</f>
        <v>36.93150684931507</v>
      </c>
      <c r="D175" s="5">
        <f>(M48*($E48/365))+(M49*($E49/365))</f>
        <v>3.397260273972603</v>
      </c>
      <c r="E175" s="18">
        <f t="shared" si="41"/>
        <v>72.876712328767127</v>
      </c>
      <c r="G175" s="14">
        <v>1978</v>
      </c>
      <c r="H175" s="380">
        <f>(O48/$R48*100*($E48/365))+(O49/$R49*100*($E49/365))</f>
        <v>58.992165147100749</v>
      </c>
      <c r="I175" s="380"/>
      <c r="J175" s="380">
        <f>(P48/$R48*100*($E48/365))+(P49/$R49*100*($E49/365))</f>
        <v>39.955721033760526</v>
      </c>
      <c r="K175" s="380"/>
      <c r="L175" s="380">
        <f>(Q48/$R48*100*($E48/365))+(Q49/$R49*100*($E49/365))</f>
        <v>1.0521138191387327</v>
      </c>
      <c r="M175" s="380"/>
      <c r="N175" s="379">
        <f t="shared" si="42"/>
        <v>100.00000000000001</v>
      </c>
      <c r="O175" s="379"/>
      <c r="P175" s="5"/>
      <c r="Q175" s="5"/>
      <c r="R175" s="14">
        <v>1978</v>
      </c>
      <c r="S175" s="5">
        <f>(O48*($E48/365))+(O49*($E49/365))</f>
        <v>33.057534246575344</v>
      </c>
      <c r="T175" s="5">
        <f>(P48*($E48/365))+(P49*($E49/365))</f>
        <v>22.429041095890412</v>
      </c>
      <c r="U175" s="5">
        <f>(Q48*($E48/365))+(Q49*($E49/365))</f>
        <v>0.58602739726027397</v>
      </c>
      <c r="W175" s="10">
        <f t="shared" si="40"/>
        <v>56.07260273972603</v>
      </c>
      <c r="X175" s="4"/>
      <c r="Y175" s="23"/>
    </row>
    <row r="176" spans="1:25" x14ac:dyDescent="0.15">
      <c r="A176" s="1">
        <v>1979</v>
      </c>
      <c r="B176" s="5">
        <f>(K50*($E50/365))+(K51*($E51/365))</f>
        <v>30</v>
      </c>
      <c r="C176" s="5">
        <f>(L50*($E50/365))+(L51*($E51/365))</f>
        <v>45</v>
      </c>
      <c r="D176" s="5">
        <f>(M50*($E50/365))+(M51*($E51/365))</f>
        <v>0</v>
      </c>
      <c r="E176" s="18">
        <f t="shared" si="41"/>
        <v>75</v>
      </c>
      <c r="G176" s="14">
        <v>1979</v>
      </c>
      <c r="H176" s="380">
        <f>(O50/$R50*100*($E50/365))+(O51/$R51*100*($E51/365))</f>
        <v>53.380782918149464</v>
      </c>
      <c r="I176" s="380"/>
      <c r="J176" s="380">
        <f>(P50/$R50*100*($E50/365))+(P51/$R51*100*($E51/365))</f>
        <v>46.619217081850529</v>
      </c>
      <c r="K176" s="380"/>
      <c r="L176" s="380">
        <f>(Q50/$R50*100*($E50/365))+(Q51/$R51*100*($E51/365))</f>
        <v>0</v>
      </c>
      <c r="M176" s="380"/>
      <c r="N176" s="379">
        <f t="shared" si="42"/>
        <v>100</v>
      </c>
      <c r="O176" s="379"/>
      <c r="P176" s="5"/>
      <c r="Q176" s="5"/>
      <c r="R176" s="14">
        <v>1979</v>
      </c>
      <c r="S176" s="5">
        <f>(O50*($E50/365))+(O51*($E51/365))</f>
        <v>30</v>
      </c>
      <c r="T176" s="5">
        <f>(P50*($E50/365))+(P51*($E51/365))</f>
        <v>26.2</v>
      </c>
      <c r="U176" s="5">
        <f>(Q50*($E50/365))+(Q51*($E51/365))</f>
        <v>0</v>
      </c>
      <c r="W176" s="10">
        <f t="shared" si="40"/>
        <v>56.2</v>
      </c>
      <c r="X176" s="4"/>
    </row>
    <row r="177" spans="1:24" x14ac:dyDescent="0.15">
      <c r="A177" s="1">
        <v>1980</v>
      </c>
      <c r="B177" s="5">
        <f>(K52*($E52/366))+(K53*($E53/366))</f>
        <v>30</v>
      </c>
      <c r="C177" s="5">
        <f>(L52*($E52/366))+(L53*($E53/366))</f>
        <v>45</v>
      </c>
      <c r="D177" s="5">
        <f>(M52*($E52/366))+(M53*($E53/366))</f>
        <v>0</v>
      </c>
      <c r="E177" s="18">
        <f t="shared" si="41"/>
        <v>75</v>
      </c>
      <c r="G177" s="14">
        <v>1980</v>
      </c>
      <c r="H177" s="380">
        <f>(O52/$R52*100*($E52/366))+(O53/$R53*100*($E53/366))</f>
        <v>53.380782918149464</v>
      </c>
      <c r="I177" s="380"/>
      <c r="J177" s="380">
        <f>(P52/$R52*100*($E52/366))+(P53/$R53*100*($E53/366))</f>
        <v>46.619217081850529</v>
      </c>
      <c r="K177" s="380"/>
      <c r="L177" s="380">
        <f>(Q52/$R52*100*($E52/366))+(Q53/$R53*100*($E53/366))</f>
        <v>0</v>
      </c>
      <c r="M177" s="380"/>
      <c r="N177" s="379">
        <f t="shared" si="42"/>
        <v>100</v>
      </c>
      <c r="O177" s="379"/>
      <c r="P177" s="5"/>
      <c r="Q177" s="5"/>
      <c r="R177" s="14">
        <v>1980</v>
      </c>
      <c r="S177" s="5">
        <f>(O52*($E52/366))+(O53*($E53/366))</f>
        <v>30</v>
      </c>
      <c r="T177" s="5">
        <f>(P52*($E52/366))+(P53*($E53/366))</f>
        <v>26.2</v>
      </c>
      <c r="U177" s="5">
        <f>(Q52*($E52/366))+(Q53*($E53/366))</f>
        <v>0</v>
      </c>
      <c r="W177" s="10">
        <f t="shared" si="40"/>
        <v>56.2</v>
      </c>
      <c r="X177" s="4"/>
    </row>
    <row r="178" spans="1:24" x14ac:dyDescent="0.15">
      <c r="A178" s="1">
        <v>1981</v>
      </c>
      <c r="B178" s="5">
        <f>(K54*($E54/365))+(K55*($E55/365))+(K56*($E56/365))</f>
        <v>11.589041095890412</v>
      </c>
      <c r="C178" s="5">
        <f>(L54*($E54/365))+(L55*($E55/365))+(L56*($E56/365))</f>
        <v>17.383561643835616</v>
      </c>
      <c r="D178" s="5">
        <f>(M54*($E54/365))+(M55*($E55/365))+(M56*($E56/365))</f>
        <v>61.369863013698627</v>
      </c>
      <c r="E178" s="18">
        <f t="shared" si="41"/>
        <v>90.342465753424648</v>
      </c>
      <c r="G178" s="14">
        <v>1981</v>
      </c>
      <c r="H178" s="380">
        <f>(O54/$R54*100*($E54/365))+(O55/$R55*100*($E55/365))+(O56/$R56*100*($E56/365))</f>
        <v>20.621069565641299</v>
      </c>
      <c r="I178" s="380"/>
      <c r="J178" s="380">
        <f>(P54/$R54*100*($E54/365))+(P55/$R55*100*($E55/365))+(P56/$R56*100*($E56/365))</f>
        <v>18.009067420660067</v>
      </c>
      <c r="K178" s="380"/>
      <c r="L178" s="380">
        <f>(Q54/$R54*100*($E54/365))+(Q55/$R55*100*($E55/365))+(Q56/$R56*100*($E56/365))</f>
        <v>61.369863013698627</v>
      </c>
      <c r="M178" s="380"/>
      <c r="N178" s="379">
        <f t="shared" si="42"/>
        <v>100</v>
      </c>
      <c r="O178" s="379"/>
      <c r="P178" s="5"/>
      <c r="Q178" s="5"/>
      <c r="R178" s="14">
        <v>1981</v>
      </c>
      <c r="S178" s="5">
        <f>(O54*($E54/365))+(O55*($E55/365))+(O56*($E56/365))</f>
        <v>11.589041095890412</v>
      </c>
      <c r="T178" s="5">
        <f>(P54*($E54/365))+(P55*($E55/365))+(P56*($E56/365))</f>
        <v>10.12109589041096</v>
      </c>
      <c r="U178" s="5">
        <f>(Q54*($E54/365))+(Q55*($E55/365))+(Q56*($E56/365))</f>
        <v>36.444931506849308</v>
      </c>
      <c r="W178" s="10">
        <f t="shared" si="40"/>
        <v>58.155068493150679</v>
      </c>
      <c r="X178" s="4"/>
    </row>
    <row r="179" spans="1:24" x14ac:dyDescent="0.15">
      <c r="A179" s="1">
        <v>1982</v>
      </c>
      <c r="B179" s="5">
        <f>(K57*($E57/365))+(K58*($E58/365))</f>
        <v>0</v>
      </c>
      <c r="C179" s="5">
        <f>(L57*($E57/365))+(L58*($E58/365))</f>
        <v>0</v>
      </c>
      <c r="D179" s="5">
        <f>(M57*($E57/365))+(M58*($E58/365))</f>
        <v>100</v>
      </c>
      <c r="E179" s="18">
        <f t="shared" si="41"/>
        <v>100</v>
      </c>
      <c r="G179" s="14">
        <v>1982</v>
      </c>
      <c r="H179" s="380">
        <f>(O57/$R57*100*($E57/365))+(O58/$R58*100*($E58/365))</f>
        <v>0</v>
      </c>
      <c r="I179" s="380"/>
      <c r="J179" s="380">
        <f>(P57/$R57*100*($E57/365))+(P58/$R58*100*($E58/365))</f>
        <v>0</v>
      </c>
      <c r="K179" s="380"/>
      <c r="L179" s="380">
        <f>(Q57/$R57*100*($E57/365))+(Q58/$R58*100*($E58/365))</f>
        <v>100</v>
      </c>
      <c r="M179" s="380"/>
      <c r="N179" s="379">
        <f t="shared" si="42"/>
        <v>100</v>
      </c>
      <c r="O179" s="379"/>
      <c r="P179" s="5"/>
      <c r="Q179" s="5"/>
      <c r="R179" s="14">
        <v>1982</v>
      </c>
      <c r="S179" s="5">
        <f>(O57*($E57/365))+(O58*($E58/365))</f>
        <v>0</v>
      </c>
      <c r="T179" s="5">
        <f>(P57*($E57/365))+(P58*($E58/365))</f>
        <v>0</v>
      </c>
      <c r="U179" s="5">
        <f>(Q57*($E57/365))+(Q58*($E58/365))</f>
        <v>65.7</v>
      </c>
      <c r="W179" s="10">
        <f t="shared" si="40"/>
        <v>65.7</v>
      </c>
      <c r="X179" s="4"/>
    </row>
    <row r="180" spans="1:24" x14ac:dyDescent="0.15">
      <c r="A180" s="1">
        <v>1983</v>
      </c>
      <c r="B180" s="5">
        <f>(K59*($E59/365))+(K60*($E60/365))</f>
        <v>0</v>
      </c>
      <c r="C180" s="5">
        <f>(L59*($E59/365))+(L60*($E60/365))</f>
        <v>0</v>
      </c>
      <c r="D180" s="5">
        <f>(M59*($E59/365))+(M60*($E60/365))</f>
        <v>100</v>
      </c>
      <c r="E180" s="18">
        <f t="shared" si="41"/>
        <v>100</v>
      </c>
      <c r="G180" s="14">
        <v>1983</v>
      </c>
      <c r="H180" s="380">
        <f>(O59/$R59*100*($E59/365))+(O60/$R60*100*($E60/365))</f>
        <v>0</v>
      </c>
      <c r="I180" s="380"/>
      <c r="J180" s="380">
        <f>(P59/$R59*100*($E59/365))+(P60/$R60*100*($E60/365))</f>
        <v>0</v>
      </c>
      <c r="K180" s="380"/>
      <c r="L180" s="380">
        <f>(Q59/$R59*100*($E59/365))+(Q60/$R60*100*($E60/365))</f>
        <v>100</v>
      </c>
      <c r="M180" s="380"/>
      <c r="N180" s="379">
        <f t="shared" si="42"/>
        <v>100</v>
      </c>
      <c r="O180" s="379"/>
      <c r="P180" s="5"/>
      <c r="Q180" s="5"/>
      <c r="R180" s="14">
        <v>1983</v>
      </c>
      <c r="S180" s="5">
        <f>(O59*($E59/365))+(O60*($E60/365))</f>
        <v>0</v>
      </c>
      <c r="T180" s="5">
        <f>(P59*($E59/365))+(P60*($E60/365))</f>
        <v>0</v>
      </c>
      <c r="U180" s="5">
        <f>(Q59*($E59/365))+(Q60*($E60/365))</f>
        <v>65.7</v>
      </c>
      <c r="W180" s="10">
        <f t="shared" si="40"/>
        <v>65.7</v>
      </c>
      <c r="X180" s="4"/>
    </row>
    <row r="181" spans="1:24" x14ac:dyDescent="0.15">
      <c r="A181" s="1">
        <v>1984</v>
      </c>
      <c r="B181" s="5">
        <f>(K61*($E61/366))+(K62*($E62/366))</f>
        <v>0</v>
      </c>
      <c r="C181" s="5">
        <f>(L61*($E61/366))+(L62*($E62/366))</f>
        <v>0</v>
      </c>
      <c r="D181" s="5">
        <f>(M61*($E61/366))+(M62*($E62/366))</f>
        <v>100</v>
      </c>
      <c r="E181" s="18">
        <f t="shared" si="41"/>
        <v>100</v>
      </c>
      <c r="G181" s="14">
        <v>1984</v>
      </c>
      <c r="H181" s="380">
        <f>(O61/$R61*100*($E61/366))+(O62/$R62*100*($E62/366))</f>
        <v>0</v>
      </c>
      <c r="I181" s="380"/>
      <c r="J181" s="380">
        <f>(P61/$R61*100*($E61/366))+(P62/$R62*100*($E62/366))</f>
        <v>0</v>
      </c>
      <c r="K181" s="380"/>
      <c r="L181" s="380">
        <f>(Q61/$R61*100*($E61/366))+(Q62/$R62*100*($E62/366))</f>
        <v>100</v>
      </c>
      <c r="M181" s="380"/>
      <c r="N181" s="379">
        <f t="shared" si="42"/>
        <v>100</v>
      </c>
      <c r="O181" s="379"/>
      <c r="P181" s="5"/>
      <c r="Q181" s="5"/>
      <c r="R181" s="14">
        <v>1984</v>
      </c>
      <c r="S181" s="5">
        <f>(O61*($E61/366))+(O62*($E62/366))</f>
        <v>0</v>
      </c>
      <c r="T181" s="5">
        <f>(P61*($E61/366))+(P62*($E62/366))</f>
        <v>0</v>
      </c>
      <c r="U181" s="5">
        <f>(Q61*($E61/366))+(Q62*($E62/366))</f>
        <v>61.627868852459017</v>
      </c>
      <c r="W181" s="10">
        <f t="shared" si="40"/>
        <v>61.627868852459017</v>
      </c>
      <c r="X181" s="4"/>
    </row>
    <row r="182" spans="1:24" x14ac:dyDescent="0.15">
      <c r="A182" s="1">
        <v>1985</v>
      </c>
      <c r="B182" s="5">
        <f>(K63*($E63/365))+(K64*($E64/365))</f>
        <v>0</v>
      </c>
      <c r="C182" s="5">
        <f>(L63*($E63/365))+(L64*($E64/365))</f>
        <v>0</v>
      </c>
      <c r="D182" s="5">
        <f>(M63*($E63/365))+(M64*($E64/365))</f>
        <v>100</v>
      </c>
      <c r="E182" s="18">
        <f t="shared" si="41"/>
        <v>100</v>
      </c>
      <c r="G182" s="14">
        <v>1985</v>
      </c>
      <c r="H182" s="380">
        <f>(O63/$R63*100*($E63/365))+(O64/$R64*100*($E64/365))</f>
        <v>0</v>
      </c>
      <c r="I182" s="380"/>
      <c r="J182" s="380">
        <f>(P63/$R63*100*($E63/365))+(P64/$R64*100*($E64/365))</f>
        <v>0</v>
      </c>
      <c r="K182" s="380"/>
      <c r="L182" s="380">
        <f>(Q63/$R63*100*($E63/365))+(Q64/$R64*100*($E64/365))</f>
        <v>100</v>
      </c>
      <c r="M182" s="380"/>
      <c r="N182" s="379">
        <f t="shared" si="42"/>
        <v>100</v>
      </c>
      <c r="O182" s="379"/>
      <c r="P182" s="5"/>
      <c r="Q182" s="5"/>
      <c r="R182" s="14">
        <v>1985</v>
      </c>
      <c r="S182" s="5">
        <f>(O63*($E63/365))+(O64*($E64/365))</f>
        <v>0</v>
      </c>
      <c r="T182" s="5">
        <f>(P63*($E63/365))+(P64*($E64/365))</f>
        <v>0</v>
      </c>
      <c r="U182" s="5">
        <f>(Q63*($E63/365))+(Q64*($E64/365))</f>
        <v>56.5</v>
      </c>
      <c r="W182" s="10">
        <f t="shared" si="40"/>
        <v>56.5</v>
      </c>
      <c r="X182" s="4"/>
    </row>
    <row r="183" spans="1:24" x14ac:dyDescent="0.15">
      <c r="A183" s="1">
        <v>1986</v>
      </c>
      <c r="B183" s="5">
        <f>(K65*($E65/365))+(K66*($E66/365))</f>
        <v>44.032876712328772</v>
      </c>
      <c r="C183" s="5">
        <f>(L65*($E65/365))+(L66*($E66/365))</f>
        <v>25.161643835616438</v>
      </c>
      <c r="D183" s="5">
        <f>(M65*($E65/365))+(M66*($E66/365))</f>
        <v>21.36986301369863</v>
      </c>
      <c r="E183" s="18">
        <f t="shared" si="41"/>
        <v>90.564383561643851</v>
      </c>
      <c r="G183" s="14">
        <v>1986</v>
      </c>
      <c r="H183" s="380">
        <f>(O65/$R65*100*($E65/365))+(O66/$R66*100*($E66/365))</f>
        <v>41.946705937925479</v>
      </c>
      <c r="I183" s="380"/>
      <c r="J183" s="380">
        <f>(P65/$R65*100*($E65/365))+(P66/$R66*100*($E66/365))</f>
        <v>36.683431048375894</v>
      </c>
      <c r="K183" s="380"/>
      <c r="L183" s="380">
        <f>(Q65/$R65*100*($E65/365))+(Q66/$R66*100*($E66/365))</f>
        <v>21.36986301369863</v>
      </c>
      <c r="M183" s="380"/>
      <c r="N183" s="379">
        <f t="shared" si="42"/>
        <v>100.00000000000001</v>
      </c>
      <c r="O183" s="379"/>
      <c r="P183" s="5"/>
      <c r="Q183" s="5"/>
      <c r="R183" s="14">
        <v>1986</v>
      </c>
      <c r="S183" s="5">
        <f>(O65*($E65/365))+(O66*($E66/365))</f>
        <v>20.679726027397262</v>
      </c>
      <c r="T183" s="5">
        <f>(P65*($E65/365))+(P66*($E66/365))</f>
        <v>18.084931506849315</v>
      </c>
      <c r="U183" s="5">
        <f>(Q65*($E65/365))+(Q66*($E66/365))</f>
        <v>12.073972602739726</v>
      </c>
      <c r="W183" s="10">
        <f t="shared" si="40"/>
        <v>50.838630136986311</v>
      </c>
      <c r="X183" s="4"/>
    </row>
    <row r="184" spans="1:24" x14ac:dyDescent="0.15">
      <c r="A184" s="1">
        <v>1987</v>
      </c>
      <c r="B184" s="5">
        <f>(K67*($E67/365))+(K68*($E68/365))</f>
        <v>56.000000000000007</v>
      </c>
      <c r="C184" s="5">
        <f>(L67*($E67/365))+(L68*($E68/365))</f>
        <v>32</v>
      </c>
      <c r="D184" s="5">
        <f>(M67*($E67/365))+(M68*($E68/365))</f>
        <v>0</v>
      </c>
      <c r="E184" s="18">
        <f t="shared" si="41"/>
        <v>88</v>
      </c>
      <c r="G184" s="14">
        <v>1987</v>
      </c>
      <c r="H184" s="380">
        <f>(O67/$R67*100*($E67/365))+(O68/$R68*100*($E68/365))</f>
        <v>53.346855983772826</v>
      </c>
      <c r="I184" s="380"/>
      <c r="J184" s="380">
        <f>(P67/$R67*100*($E67/365))+(P68/$R68*100*($E68/365))</f>
        <v>46.653144016227181</v>
      </c>
      <c r="K184" s="380"/>
      <c r="L184" s="380">
        <f>(Q67/$R67*100*($E67/365))+(Q68/$R68*100*($E68/365))</f>
        <v>0</v>
      </c>
      <c r="M184" s="380"/>
      <c r="N184" s="379">
        <f t="shared" si="42"/>
        <v>100</v>
      </c>
      <c r="O184" s="379"/>
      <c r="P184" s="5"/>
      <c r="Q184" s="5"/>
      <c r="R184" s="14">
        <v>1987</v>
      </c>
      <c r="S184" s="5">
        <f>(O67*($E67/365))+(O68*($E68/365))</f>
        <v>26.3</v>
      </c>
      <c r="T184" s="5">
        <f>(P67*($E67/365))+(P68*($E68/365))</f>
        <v>23</v>
      </c>
      <c r="U184" s="5">
        <f>(Q67*($E67/365))+(Q68*($E68/365))</f>
        <v>0</v>
      </c>
      <c r="W184" s="10">
        <f t="shared" si="40"/>
        <v>49.3</v>
      </c>
      <c r="X184" s="4"/>
    </row>
    <row r="185" spans="1:24" x14ac:dyDescent="0.15">
      <c r="A185" s="1">
        <v>1988</v>
      </c>
      <c r="B185" s="5">
        <f>(K69*($E69/366))+(K70*($E70/366))+(K71*($E71/366))</f>
        <v>20.349726775956288</v>
      </c>
      <c r="C185" s="5">
        <f>(L69*($E69/366))+(L70*($E70/366))+(L71*($E71/366))</f>
        <v>12.951394880644234</v>
      </c>
      <c r="D185" s="5">
        <f>(M69*($E69/366))+(M70*($E70/366))+(M71*($E71/366))</f>
        <v>45.025884383088865</v>
      </c>
      <c r="E185" s="18">
        <f t="shared" si="41"/>
        <v>78.327006039689394</v>
      </c>
      <c r="G185" s="14">
        <v>1988</v>
      </c>
      <c r="H185" s="380">
        <f>(O69/$R69*100*($E69/366))+(O70/$R70*100*($E70/366))+(O71/$R71*100*($E71/366))</f>
        <v>19.385606136179742</v>
      </c>
      <c r="I185" s="380"/>
      <c r="J185" s="380">
        <f>(P69/$R69*100*($E69/366))+(P70/$R70*100*($E70/366))+(P71/$R71*100*($E71/366))</f>
        <v>21.886144549211632</v>
      </c>
      <c r="K185" s="380"/>
      <c r="L185" s="380">
        <f>(Q69/$R69*100*($E69/366))+(Q70/$R70*100*($E70/366))+(Q71/$R71*100*($E71/366))</f>
        <v>58.728249314608632</v>
      </c>
      <c r="M185" s="380"/>
      <c r="N185" s="379">
        <f t="shared" si="42"/>
        <v>100</v>
      </c>
      <c r="O185" s="379"/>
      <c r="P185" s="5"/>
      <c r="Q185" s="5"/>
      <c r="R185" s="14">
        <v>1988</v>
      </c>
      <c r="S185" s="5">
        <f>(O69*($E69/366))+(O70*($E70/366))+(O71*($E71/366))</f>
        <v>9.5571038251366129</v>
      </c>
      <c r="T185" s="5">
        <f>(P69*($E69/366))+(P70*($E70/366))+(P71*($E71/366))</f>
        <v>11.248633879781423</v>
      </c>
      <c r="U185" s="5">
        <f>(Q69*($E69/366))+(Q70*($E70/366))+(Q71*($E71/366))</f>
        <v>29.203278688524591</v>
      </c>
      <c r="W185" s="10">
        <f t="shared" si="40"/>
        <v>50.009016393442629</v>
      </c>
      <c r="X185" s="4"/>
    </row>
    <row r="186" spans="1:24" s="3" customFormat="1" x14ac:dyDescent="0.15">
      <c r="A186" s="3">
        <v>1989</v>
      </c>
      <c r="B186" s="8">
        <f>(K72*($E72/365))+(K73*($E73/365))</f>
        <v>0</v>
      </c>
      <c r="C186" s="8">
        <f>(L72*($E72/365))+(L73*($E73/365))</f>
        <v>0</v>
      </c>
      <c r="D186" s="8">
        <f>(M72*($E72/365))+(M73*($E73/365))</f>
        <v>70</v>
      </c>
      <c r="E186" s="19">
        <f t="shared" si="41"/>
        <v>70</v>
      </c>
      <c r="G186" s="15">
        <v>1989</v>
      </c>
      <c r="H186" s="385">
        <f>(O72/$R72*100*($E72/365))+(O73/$R73*100*($E73/365))</f>
        <v>0</v>
      </c>
      <c r="I186" s="385"/>
      <c r="J186" s="385">
        <f>(P72/$R72*100*($E72/365))+(P73/$R73*100*($E73/365))</f>
        <v>0</v>
      </c>
      <c r="K186" s="385"/>
      <c r="L186" s="385">
        <f>(Q72/$R72*100*($E72/365))+(Q73/$R73*100*($E73/365))</f>
        <v>100</v>
      </c>
      <c r="M186" s="385"/>
      <c r="N186" s="386">
        <f t="shared" si="42"/>
        <v>100</v>
      </c>
      <c r="O186" s="386"/>
      <c r="P186" s="8"/>
      <c r="Q186" s="8"/>
      <c r="R186" s="15">
        <v>1989</v>
      </c>
      <c r="S186" s="8">
        <f>(O72*($E72/365))+(O73*($E73/365))</f>
        <v>0</v>
      </c>
      <c r="T186" s="8">
        <f>(P72*($E72/365))+(P73*($E73/365))</f>
        <v>0</v>
      </c>
      <c r="U186" s="8">
        <f>(Q72*($E72/365))+(Q73*($E73/365))</f>
        <v>48.4</v>
      </c>
      <c r="W186" s="22">
        <f t="shared" si="40"/>
        <v>48.4</v>
      </c>
      <c r="X186" s="13"/>
    </row>
    <row r="187" spans="1:24" x14ac:dyDescent="0.15">
      <c r="A187" s="1">
        <v>1990</v>
      </c>
      <c r="B187" s="5">
        <f>(K74*($E74/365))+(K75*($E75/365))</f>
        <v>0</v>
      </c>
      <c r="C187" s="5">
        <f>(L74*($E74/365))+(L75*($E75/365))</f>
        <v>0</v>
      </c>
      <c r="D187" s="5">
        <f>(M74*($E74/365))+(M75*($E75/365))</f>
        <v>70</v>
      </c>
      <c r="E187" s="18">
        <f t="shared" si="41"/>
        <v>70</v>
      </c>
      <c r="G187" s="1">
        <v>1990</v>
      </c>
      <c r="H187" s="380">
        <f>(O74/$R74*100*($E74/365))+(O75/$R75*100*($E75/365))</f>
        <v>0</v>
      </c>
      <c r="I187" s="380"/>
      <c r="J187" s="380">
        <f>(P74/$R74*100*($E74/365))+(P75/$R75*100*($E75/365))</f>
        <v>0</v>
      </c>
      <c r="K187" s="380"/>
      <c r="L187" s="380">
        <f>(Q74/$R74*100*($E74/365))+(Q75/$R75*100*($E75/365))</f>
        <v>100</v>
      </c>
      <c r="M187" s="380"/>
      <c r="N187" s="379">
        <f t="shared" si="42"/>
        <v>100</v>
      </c>
      <c r="O187" s="379"/>
      <c r="R187" s="1">
        <v>1990</v>
      </c>
      <c r="S187" s="5">
        <f>(O74*($E74/365))+(O75*($E75/365))</f>
        <v>0</v>
      </c>
      <c r="T187" s="5">
        <f>(P74*($E74/365))+(P75*($E75/365))</f>
        <v>0</v>
      </c>
      <c r="U187" s="5">
        <f>(Q74*($E74/365))+(Q75*($E75/365))</f>
        <v>48.4</v>
      </c>
      <c r="W187" s="10">
        <f t="shared" si="40"/>
        <v>48.4</v>
      </c>
      <c r="X187" s="4"/>
    </row>
    <row r="188" spans="1:24" x14ac:dyDescent="0.15">
      <c r="A188" s="1">
        <v>1991</v>
      </c>
      <c r="B188" s="5">
        <f>(K76*($E76/365))+(K77*($E77/365))</f>
        <v>0</v>
      </c>
      <c r="C188" s="5">
        <f>(L76*($E76/365))+(L77*($E77/365))</f>
        <v>0</v>
      </c>
      <c r="D188" s="5">
        <f>(M76*($E76/365))+(M77*($E77/365))</f>
        <v>79.493150684931507</v>
      </c>
      <c r="E188" s="18">
        <f t="shared" si="41"/>
        <v>79.493150684931507</v>
      </c>
      <c r="G188" s="1">
        <v>1991</v>
      </c>
      <c r="H188" s="380">
        <f>(O76/$R76*100*($E76/365))+(O77/$R77*100*($E77/365))</f>
        <v>0</v>
      </c>
      <c r="I188" s="380"/>
      <c r="J188" s="380">
        <f>(P76/$R76*100*($E76/365))+(P77/$R77*100*($E77/365))</f>
        <v>0</v>
      </c>
      <c r="K188" s="380"/>
      <c r="L188" s="380">
        <f>(Q76/$R76*100*($E76/365))+(Q77/$R77*100*($E77/365))</f>
        <v>100</v>
      </c>
      <c r="M188" s="380"/>
      <c r="N188" s="379">
        <f t="shared" si="42"/>
        <v>100</v>
      </c>
      <c r="O188" s="379"/>
      <c r="R188" s="1">
        <v>1991</v>
      </c>
      <c r="S188" s="5">
        <f>(O76*($E76/365))+(O77*($E77/365))</f>
        <v>0</v>
      </c>
      <c r="T188" s="5">
        <f>(P76*($E76/365))+(P77*($E77/365))</f>
        <v>0</v>
      </c>
      <c r="U188" s="5">
        <f>(Q76*($E76/365))+(Q77*($E77/365))</f>
        <v>48.399999999999991</v>
      </c>
      <c r="W188" s="10">
        <f t="shared" si="40"/>
        <v>48.399999999999991</v>
      </c>
      <c r="X188" s="4"/>
    </row>
    <row r="189" spans="1:24" x14ac:dyDescent="0.15">
      <c r="A189" s="1">
        <v>1992</v>
      </c>
      <c r="B189" s="5">
        <f>(K78*($E78/366))+(K79*($E79/366))</f>
        <v>0</v>
      </c>
      <c r="C189" s="5">
        <f>(L78*($E78/366))+(L79*($E79/366))</f>
        <v>0</v>
      </c>
      <c r="D189" s="5">
        <f>(M78*($E78/366))+(M79*($E79/366))</f>
        <v>76.820481683869673</v>
      </c>
      <c r="E189" s="18">
        <f t="shared" si="41"/>
        <v>76.820481683869673</v>
      </c>
      <c r="G189" s="1">
        <v>1992</v>
      </c>
      <c r="H189" s="380">
        <f>(O78/$R78*100*($E78/366))+(O79/$R79*100*($E79/366))</f>
        <v>0</v>
      </c>
      <c r="I189" s="380"/>
      <c r="J189" s="380">
        <f>(P78/$R78*100*($E78/366))+(P79/$R79*100*($E79/366))</f>
        <v>0</v>
      </c>
      <c r="K189" s="380"/>
      <c r="L189" s="380">
        <f>(Q78/$R78*100*($E78/366))+(Q79/$R79*100*($E79/366))</f>
        <v>100.00000000000001</v>
      </c>
      <c r="M189" s="380"/>
      <c r="N189" s="379">
        <f t="shared" si="42"/>
        <v>100.00000000000001</v>
      </c>
      <c r="O189" s="379"/>
      <c r="R189" s="1">
        <v>1992</v>
      </c>
      <c r="S189" s="5">
        <f>(O78*($E78/366))+(O79*($E79/366))</f>
        <v>0</v>
      </c>
      <c r="T189" s="5">
        <f>(P78*($E78/366))+(P79*($E79/366))</f>
        <v>0</v>
      </c>
      <c r="U189" s="5">
        <f>(Q78*($E78/366))+(Q79*($E79/366))</f>
        <v>48.400000000000006</v>
      </c>
      <c r="W189" s="10">
        <f t="shared" ref="W189:W209" si="43">SUM(S189:U189)</f>
        <v>48.400000000000006</v>
      </c>
      <c r="X189" s="4"/>
    </row>
    <row r="190" spans="1:24" x14ac:dyDescent="0.15">
      <c r="A190" s="1">
        <v>1993</v>
      </c>
      <c r="B190" s="5">
        <f>(K80*($E80/365))+(K81*($E81/365))</f>
        <v>38.082191780821915</v>
      </c>
      <c r="C190" s="5">
        <f>(L80*($E80/365))+(L81*($E81/365))</f>
        <v>35.543378995433784</v>
      </c>
      <c r="D190" s="5">
        <f>(M80*($E80/365))+(M81*($E81/365))</f>
        <v>17.656012176560122</v>
      </c>
      <c r="E190" s="18">
        <f t="shared" si="41"/>
        <v>91.281582952815825</v>
      </c>
      <c r="G190" s="1">
        <v>1993</v>
      </c>
      <c r="H190" s="380">
        <f>(O80/$R80*100*($E80/365))+(O81/$R81*100*($E81/365))</f>
        <v>41.434169541481062</v>
      </c>
      <c r="I190" s="380"/>
      <c r="J190" s="380">
        <f>(P80/$R80*100*($E80/365))+(P81/$R81*100*($E81/365))</f>
        <v>34.730214020162776</v>
      </c>
      <c r="K190" s="380"/>
      <c r="L190" s="380">
        <f>(Q80/$R80*100*($E80/365))+(Q81/$R81*100*($E81/365))</f>
        <v>23.835616438356162</v>
      </c>
      <c r="M190" s="380"/>
      <c r="N190" s="379">
        <f t="shared" si="42"/>
        <v>100</v>
      </c>
      <c r="O190" s="379"/>
      <c r="R190" s="1">
        <v>1993</v>
      </c>
      <c r="S190" s="5">
        <f>(O80*($E80/365))+(O81*($E81/365))</f>
        <v>33.893150684931506</v>
      </c>
      <c r="T190" s="5">
        <f>(P80*($E80/365))+(P81*($E81/365))</f>
        <v>28.409315068493147</v>
      </c>
      <c r="U190" s="5">
        <f>(Q80*($E80/365))+(Q81*($E81/365))</f>
        <v>11.536438356164384</v>
      </c>
      <c r="W190" s="10">
        <f t="shared" si="43"/>
        <v>73.838904109589038</v>
      </c>
      <c r="X190" s="4"/>
    </row>
    <row r="191" spans="1:24" x14ac:dyDescent="0.15">
      <c r="A191" s="1">
        <v>1994</v>
      </c>
      <c r="B191" s="5">
        <f>(K82*($E82/365))+(K83*($E83/365))</f>
        <v>48.275862068965516</v>
      </c>
      <c r="C191" s="5">
        <f>(L82*($E82/365))+(L83*($E83/365))</f>
        <v>48.275862068965516</v>
      </c>
      <c r="D191" s="5">
        <f>(M82*($E82/365))+(M83*($E83/365))</f>
        <v>0</v>
      </c>
      <c r="E191" s="18">
        <f t="shared" si="41"/>
        <v>96.551724137931032</v>
      </c>
      <c r="G191" s="1">
        <v>1994</v>
      </c>
      <c r="H191" s="380">
        <f>(O82/$R82*100*($E82/365))+(O83/$R83*100*($E83/365))</f>
        <v>54.400977995110026</v>
      </c>
      <c r="I191" s="380"/>
      <c r="J191" s="380">
        <f>(P82/$R82*100*($E82/365))+(P83/$R83*100*($E83/365))</f>
        <v>45.599022004889974</v>
      </c>
      <c r="K191" s="380"/>
      <c r="L191" s="380">
        <f>(Q82/$R82*100*($E82/365))+(Q83/$R83*100*($E83/365))</f>
        <v>0</v>
      </c>
      <c r="M191" s="380"/>
      <c r="N191" s="379">
        <f t="shared" si="42"/>
        <v>100</v>
      </c>
      <c r="O191" s="379"/>
      <c r="R191" s="1">
        <v>1994</v>
      </c>
      <c r="S191" s="5">
        <f>(O82*($E82/365))+(O83*($E83/365))</f>
        <v>44.5</v>
      </c>
      <c r="T191" s="5">
        <f>(P82*($E82/365))+(P83*($E83/365))</f>
        <v>37.299999999999997</v>
      </c>
      <c r="U191" s="5">
        <f>(Q82*($E82/365))+(Q83*($E83/365))</f>
        <v>0</v>
      </c>
      <c r="W191" s="10">
        <f t="shared" si="43"/>
        <v>81.8</v>
      </c>
      <c r="X191" s="4"/>
    </row>
    <row r="192" spans="1:24" x14ac:dyDescent="0.15">
      <c r="A192" s="1">
        <v>1995</v>
      </c>
      <c r="B192" s="5">
        <f>(K84*($E84/365))+(K85*($E85/365))+(K86*($E86/365))</f>
        <v>54.737836561171463</v>
      </c>
      <c r="C192" s="5">
        <f>(L84*($E84/365))+(L85*($E85/365))+(L86*($E86/365))</f>
        <v>41.294284364666979</v>
      </c>
      <c r="D192" s="5">
        <f>(M84*($E84/365))+(M85*($E85/365))+(M86*($E86/365))</f>
        <v>0</v>
      </c>
      <c r="E192" s="18">
        <f t="shared" si="41"/>
        <v>96.032120925838441</v>
      </c>
      <c r="G192" s="1">
        <v>1995</v>
      </c>
      <c r="H192" s="380">
        <f>(O84/$R84*100*($E84/365))+(O85/$R85*100*($E85/365))+(O86/$R86*100*($E86/365))</f>
        <v>54.400977995110026</v>
      </c>
      <c r="I192" s="380"/>
      <c r="J192" s="380">
        <f>(P84/$R84*100*($E84/365))+(P85/$R85*100*($E85/365))+(P86/$R86*100*($E86/365))</f>
        <v>45.599022004889974</v>
      </c>
      <c r="K192" s="380"/>
      <c r="L192" s="380">
        <f>(Q84/$R84*100*($E84/365))+(Q85/$R85*100*($E85/365))+(Q86/$R86*100*($E86/365))</f>
        <v>0</v>
      </c>
      <c r="M192" s="380"/>
      <c r="N192" s="379">
        <f t="shared" si="42"/>
        <v>100</v>
      </c>
      <c r="O192" s="379"/>
      <c r="R192" s="1">
        <v>1995</v>
      </c>
      <c r="S192" s="5">
        <f>(O84*($E84/365))+(O85*($E85/365))+(O86*($E86/365))</f>
        <v>44.500000000000007</v>
      </c>
      <c r="T192" s="5">
        <f>(P84*($E84/365))+(P85*($E85/365))+(P86*($E86/365))</f>
        <v>37.299999999999997</v>
      </c>
      <c r="U192" s="5">
        <f>(Q84*($E84/365))+(Q85*($E85/365))+(Q86*($E86/365))</f>
        <v>0</v>
      </c>
      <c r="W192" s="10">
        <f t="shared" si="43"/>
        <v>81.800000000000011</v>
      </c>
      <c r="X192" s="4"/>
    </row>
    <row r="193" spans="1:24" x14ac:dyDescent="0.15">
      <c r="A193" s="1">
        <v>1996</v>
      </c>
      <c r="B193" s="5">
        <f>(K87*($E87/366))+(K88*($E88/366))</f>
        <v>58.620689655172406</v>
      </c>
      <c r="C193" s="5">
        <f>(L87*($E87/366))+(L88*($E88/366))</f>
        <v>34.482758620689658</v>
      </c>
      <c r="D193" s="5">
        <f>(M87*($E87/366))+(M88*($E88/366))</f>
        <v>0</v>
      </c>
      <c r="E193" s="18">
        <f t="shared" si="41"/>
        <v>93.103448275862064</v>
      </c>
      <c r="G193" s="1">
        <v>1996</v>
      </c>
      <c r="H193" s="380">
        <f>(O87/$R87*100*($E87/366))+(O88/$R88*100*($E88/366))</f>
        <v>54.400977995110026</v>
      </c>
      <c r="I193" s="380"/>
      <c r="J193" s="380">
        <f>(P87/$R87*100*($E87/366))+(P88/$R88*100*($E88/366))</f>
        <v>45.599022004889974</v>
      </c>
      <c r="K193" s="380"/>
      <c r="L193" s="380">
        <f>(Q87/$R87*100*($E87/366))+(Q88/$R88*100*($E88/366))</f>
        <v>0</v>
      </c>
      <c r="M193" s="380"/>
      <c r="N193" s="379">
        <f t="shared" si="42"/>
        <v>100</v>
      </c>
      <c r="O193" s="379"/>
      <c r="R193" s="1">
        <v>1996</v>
      </c>
      <c r="S193" s="5">
        <f>(O87*($E87/366))+(O88*($E88/366))</f>
        <v>44.5</v>
      </c>
      <c r="T193" s="5">
        <f>(P87*($E87/366))+(P88*($E88/366))</f>
        <v>37.299999999999997</v>
      </c>
      <c r="U193" s="5">
        <f>(Q87*($E87/366))+(Q88*($E88/366))</f>
        <v>0</v>
      </c>
      <c r="W193" s="10">
        <f t="shared" si="43"/>
        <v>81.8</v>
      </c>
      <c r="X193" s="4"/>
    </row>
    <row r="194" spans="1:24" x14ac:dyDescent="0.15">
      <c r="A194" s="1">
        <v>1997</v>
      </c>
      <c r="B194" s="5">
        <f>(K89*($E89/365))+(K90*($E90/365))</f>
        <v>24.733112895606986</v>
      </c>
      <c r="C194" s="5">
        <f>(L89*($E89/365))+(L90*($E90/365))</f>
        <v>14.548889938592348</v>
      </c>
      <c r="D194" s="5">
        <f>(M89*($E89/365))+(M90*($E90/365))</f>
        <v>57.80821917808219</v>
      </c>
      <c r="E194" s="18">
        <f t="shared" si="41"/>
        <v>97.090222012281515</v>
      </c>
      <c r="G194" s="1">
        <v>1997</v>
      </c>
      <c r="H194" s="380">
        <f>(O89/$R89*100*($E89/365))+(O90/$R90*100*($E90/365))</f>
        <v>22.952741400676558</v>
      </c>
      <c r="I194" s="380"/>
      <c r="J194" s="380">
        <f>(P89/$R89*100*($E89/365))+(P90/$R90*100*($E90/365))</f>
        <v>19.239039421241248</v>
      </c>
      <c r="K194" s="380"/>
      <c r="L194" s="380">
        <f>(Q89/$R89*100*($E89/365))+(Q90/$R90*100*($E90/365))</f>
        <v>57.80821917808219</v>
      </c>
      <c r="M194" s="380"/>
      <c r="N194" s="379">
        <f t="shared" si="42"/>
        <v>100</v>
      </c>
      <c r="O194" s="379"/>
      <c r="R194" s="1">
        <v>1997</v>
      </c>
      <c r="S194" s="5">
        <f>(O89*($E89/365))+(O90*($E90/365))</f>
        <v>18.775342465753425</v>
      </c>
      <c r="T194" s="5">
        <f>(P89*($E89/365))+(P90*($E90/365))</f>
        <v>15.737534246575342</v>
      </c>
      <c r="U194" s="5">
        <f>(Q89*($E89/365))+(Q90*($E90/365))</f>
        <v>31.100821917808215</v>
      </c>
      <c r="W194" s="10">
        <f t="shared" si="43"/>
        <v>65.61369863013698</v>
      </c>
      <c r="X194" s="4"/>
    </row>
    <row r="195" spans="1:24" x14ac:dyDescent="0.15">
      <c r="A195" s="1">
        <v>1998</v>
      </c>
      <c r="B195" s="5">
        <f>(K91*($E91/365))+(K92*($E92/365))</f>
        <v>0</v>
      </c>
      <c r="C195" s="5">
        <f>(L91*($E91/365))+(L92*($E92/365))</f>
        <v>0</v>
      </c>
      <c r="D195" s="5">
        <f>(M91*($E91/365))+(M92*($E92/365))</f>
        <v>100</v>
      </c>
      <c r="E195" s="18">
        <f t="shared" si="41"/>
        <v>100</v>
      </c>
      <c r="G195" s="1">
        <v>1998</v>
      </c>
      <c r="H195" s="380">
        <f>(O91/$R91*100*($E91/365))+(O92/$R92*100*($E92/365))</f>
        <v>0</v>
      </c>
      <c r="I195" s="380"/>
      <c r="J195" s="380">
        <f>(P91/$R91*100*($E91/365))+(P92/$R92*100*($E92/365))</f>
        <v>0</v>
      </c>
      <c r="K195" s="380"/>
      <c r="L195" s="380">
        <f>(Q91/$R91*100*($E91/365))+(Q92/$R92*100*($E92/365))</f>
        <v>100</v>
      </c>
      <c r="M195" s="380"/>
      <c r="N195" s="379">
        <f t="shared" si="42"/>
        <v>100</v>
      </c>
      <c r="O195" s="379"/>
      <c r="R195" s="1">
        <v>1998</v>
      </c>
      <c r="S195" s="5">
        <f>(O91*($E91/365))+(O92*($E92/365))</f>
        <v>0</v>
      </c>
      <c r="T195" s="5">
        <f>(P91*($E91/365))+(P92*($E92/365))</f>
        <v>0</v>
      </c>
      <c r="U195" s="5">
        <f>(Q91*($E91/365))+(Q92*($E92/365))</f>
        <v>53.8</v>
      </c>
      <c r="W195" s="10">
        <f t="shared" si="43"/>
        <v>53.8</v>
      </c>
      <c r="X195" s="4"/>
    </row>
    <row r="196" spans="1:24" x14ac:dyDescent="0.15">
      <c r="A196" s="1">
        <v>1999</v>
      </c>
      <c r="B196" s="5">
        <f>(K93*($E93/365))+(K94*($E94/365))</f>
        <v>0</v>
      </c>
      <c r="C196" s="5">
        <f>(L93*($E93/365))+(L94*($E94/365))</f>
        <v>0</v>
      </c>
      <c r="D196" s="5">
        <f>(M93*($E93/365))+(M94*($E94/365))</f>
        <v>100</v>
      </c>
      <c r="E196" s="18">
        <f t="shared" si="41"/>
        <v>100</v>
      </c>
      <c r="G196" s="1">
        <v>1999</v>
      </c>
      <c r="H196" s="380">
        <f>(O93/$R93*100*($E93/365))+(O94/$R94*100*($E94/365))</f>
        <v>0</v>
      </c>
      <c r="I196" s="380"/>
      <c r="J196" s="380">
        <f>(P93/$R93*100*($E93/365))+(P94/$R94*100*($E94/365))</f>
        <v>0</v>
      </c>
      <c r="K196" s="380"/>
      <c r="L196" s="380">
        <f>(Q93/$R93*100*($E93/365))+(Q94/$R94*100*($E94/365))</f>
        <v>100</v>
      </c>
      <c r="M196" s="380"/>
      <c r="N196" s="379">
        <f t="shared" si="42"/>
        <v>100</v>
      </c>
      <c r="O196" s="379"/>
      <c r="R196" s="1">
        <v>1999</v>
      </c>
      <c r="S196" s="5">
        <f>(O93*($E93/365))+(O94*($E94/365))</f>
        <v>0</v>
      </c>
      <c r="T196" s="5">
        <f>(P93*($E93/365))+(P94*($E94/365))</f>
        <v>0</v>
      </c>
      <c r="U196" s="5">
        <f>(Q93*($E93/365))+(Q94*($E94/365))</f>
        <v>53.8</v>
      </c>
      <c r="W196" s="10">
        <f t="shared" si="43"/>
        <v>53.8</v>
      </c>
      <c r="X196" s="4"/>
    </row>
    <row r="197" spans="1:24" x14ac:dyDescent="0.15">
      <c r="A197" s="1">
        <v>2000</v>
      </c>
      <c r="B197" s="5">
        <f>(K95*($E95/366))+(K96*($E96/366))</f>
        <v>0</v>
      </c>
      <c r="C197" s="5">
        <f>(L95*($E95/366))+(L96*($E96/366))</f>
        <v>0</v>
      </c>
      <c r="D197" s="5">
        <f>(M95*($E95/366))+(M96*($E96/366))</f>
        <v>100</v>
      </c>
      <c r="E197" s="18">
        <f t="shared" si="41"/>
        <v>100</v>
      </c>
      <c r="G197" s="1">
        <v>2000</v>
      </c>
      <c r="H197" s="380">
        <f>(O95/$R95*100*($E95/366))+(O96/$R96*100*($E96/366))</f>
        <v>0</v>
      </c>
      <c r="I197" s="380"/>
      <c r="J197" s="380">
        <f>(P95/$R95*100*($E95/366))+(P96/$R96*100*($E96/366))</f>
        <v>0</v>
      </c>
      <c r="K197" s="380"/>
      <c r="L197" s="380">
        <f>(Q95/$R95*100*($E95/366))+(Q96/$R96*100*($E96/366))</f>
        <v>100</v>
      </c>
      <c r="M197" s="380"/>
      <c r="N197" s="379">
        <f t="shared" si="42"/>
        <v>100</v>
      </c>
      <c r="O197" s="379"/>
      <c r="R197" s="1">
        <v>2000</v>
      </c>
      <c r="S197" s="5">
        <f>(O95*($E95/366))+(O96*($E96/366))</f>
        <v>0</v>
      </c>
      <c r="T197" s="5">
        <f>(P95*($E95/366))+(P96*($E96/366))</f>
        <v>0</v>
      </c>
      <c r="U197" s="5">
        <f>(Q95*($E95/366))+(Q96*($E96/366))</f>
        <v>53.8</v>
      </c>
      <c r="W197" s="10">
        <f t="shared" si="43"/>
        <v>53.8</v>
      </c>
      <c r="X197" s="4"/>
    </row>
    <row r="198" spans="1:24" x14ac:dyDescent="0.15">
      <c r="A198" s="1">
        <v>2001</v>
      </c>
      <c r="B198" s="5">
        <f>(K97*($E97/365))+(K98*($E98/365))</f>
        <v>0</v>
      </c>
      <c r="C198" s="5">
        <f>(L97*($E97/365))+(L98*($E98/365))</f>
        <v>0</v>
      </c>
      <c r="D198" s="5">
        <f>(M97*($E97/365))+(M98*($E98/365))</f>
        <v>100</v>
      </c>
      <c r="E198" s="18">
        <f t="shared" si="41"/>
        <v>100</v>
      </c>
      <c r="G198" s="1">
        <v>2001</v>
      </c>
      <c r="H198" s="380">
        <f>(O97/$R97*100*($E97/365))+(O98/$R98*100*($E98/365))</f>
        <v>0</v>
      </c>
      <c r="I198" s="380"/>
      <c r="J198" s="380">
        <f>(P97/$R97*100*($E97/365))+(P98/$R98*100*($E98/365))</f>
        <v>0</v>
      </c>
      <c r="K198" s="380"/>
      <c r="L198" s="380">
        <f>(Q97/$R97*100*($E97/365))+(Q98/$R98*100*($E98/365))</f>
        <v>100</v>
      </c>
      <c r="M198" s="380"/>
      <c r="N198" s="379">
        <f t="shared" si="42"/>
        <v>100</v>
      </c>
      <c r="O198" s="379"/>
      <c r="R198" s="1">
        <v>2001</v>
      </c>
      <c r="S198" s="5">
        <f>(O97*($E97/365))+(O98*($E98/365))</f>
        <v>0</v>
      </c>
      <c r="T198" s="5">
        <f>(P97*($E97/365))+(P98*($E98/365))</f>
        <v>0</v>
      </c>
      <c r="U198" s="5">
        <f>(Q97*($E97/365))+(Q98*($E98/365))</f>
        <v>53.8</v>
      </c>
      <c r="W198" s="10">
        <f t="shared" si="43"/>
        <v>53.8</v>
      </c>
      <c r="X198" s="4"/>
    </row>
    <row r="199" spans="1:24" x14ac:dyDescent="0.15">
      <c r="A199" s="1">
        <v>2002</v>
      </c>
      <c r="B199" s="5">
        <f>(K99*($E99/365))+(K100*($E100/365))+(K101*($E101/365))</f>
        <v>43.831465338314651</v>
      </c>
      <c r="C199" s="5">
        <f>(L99*($E99/365))+(L100*($E100/365))+(L101*($E101/365))</f>
        <v>5.0486601171532675</v>
      </c>
      <c r="D199" s="5">
        <f>(M99*($E99/365))+(M100*($E100/365))+(M101*($E101/365))</f>
        <v>34.520547945205479</v>
      </c>
      <c r="E199" s="18">
        <f t="shared" si="41"/>
        <v>83.400673400673398</v>
      </c>
      <c r="G199" s="1">
        <v>2002</v>
      </c>
      <c r="H199" s="380">
        <f>(O99/$R99*100*($E99/365))+(O100/$R100*100*($E100/365))+(O101/$R101*100*($E101/365))</f>
        <v>56.370284201448086</v>
      </c>
      <c r="I199" s="380"/>
      <c r="J199" s="380">
        <f>(P99/$R99*100*($E99/365))+(P100/$R100*100*($E100/365))+(P101/$R101*100*($E101/365))</f>
        <v>9.1091678533464364</v>
      </c>
      <c r="K199" s="380"/>
      <c r="L199" s="380">
        <f>(Q99/$R99*100*($E99/365))+(Q100/$R100*100*($E100/365))+(Q101/$R101*100*($E101/365))</f>
        <v>34.520547945205479</v>
      </c>
      <c r="M199" s="380"/>
      <c r="N199" s="379">
        <f t="shared" si="42"/>
        <v>100</v>
      </c>
      <c r="O199" s="379"/>
      <c r="R199" s="1">
        <v>2002</v>
      </c>
      <c r="S199" s="5">
        <f>(O99*($E99/365))+(O100*($E100/365))+(O101*($E101/365))</f>
        <v>36.83041095890411</v>
      </c>
      <c r="T199" s="5">
        <f>(P99*($E99/365))+(P100*($E100/365))+(P101*($E101/365))</f>
        <v>4.9115068493150691</v>
      </c>
      <c r="U199" s="5">
        <f>(Q99*($E99/365))+(Q100*($E100/365))+(Q101*($E101/365))</f>
        <v>18.572054794520547</v>
      </c>
      <c r="W199" s="10">
        <f t="shared" si="43"/>
        <v>60.313972602739724</v>
      </c>
      <c r="X199" s="4"/>
    </row>
    <row r="200" spans="1:24" x14ac:dyDescent="0.15">
      <c r="A200" s="1">
        <v>2003</v>
      </c>
      <c r="B200" s="5">
        <f>(K102*($E102/365))+(K103*($E103/365))</f>
        <v>66.666666666666657</v>
      </c>
      <c r="C200" s="5">
        <f>(L102*($E102/365))+(L103*($E103/365))</f>
        <v>7.4074074074074066</v>
      </c>
      <c r="D200" s="5">
        <f>(M102*($E102/365))+(M103*($E103/365))</f>
        <v>0</v>
      </c>
      <c r="E200" s="18">
        <f t="shared" si="41"/>
        <v>74.074074074074062</v>
      </c>
      <c r="G200" s="1">
        <v>2003</v>
      </c>
      <c r="H200" s="380">
        <f>(O102/$R102*100*($E102/365))+(O103/$R103*100*($E103/365))</f>
        <v>92.679355783308921</v>
      </c>
      <c r="I200" s="380"/>
      <c r="J200" s="380">
        <f>(P102/$R102*100*($E102/365))+(P103/$R103*100*($E103/365))</f>
        <v>7.3206442166910692</v>
      </c>
      <c r="K200" s="380"/>
      <c r="L200" s="380">
        <f>(Q102/$R102*100*($E102/365))+(Q103/$R103*100*($E103/365))</f>
        <v>0</v>
      </c>
      <c r="M200" s="380"/>
      <c r="N200" s="379">
        <f t="shared" si="42"/>
        <v>99.999999999999986</v>
      </c>
      <c r="O200" s="379"/>
      <c r="R200" s="1">
        <v>2003</v>
      </c>
      <c r="S200" s="5">
        <f>(O102*($E102/365))+(O103*($E103/365))</f>
        <v>63.3</v>
      </c>
      <c r="T200" s="5">
        <f>(P102*($E102/365))+(P103*($E103/365))</f>
        <v>5</v>
      </c>
      <c r="U200" s="5">
        <f>(Q102*($E102/365))+(Q103*($E103/365))</f>
        <v>0</v>
      </c>
      <c r="W200" s="10">
        <f t="shared" si="43"/>
        <v>68.3</v>
      </c>
      <c r="X200" s="4"/>
    </row>
    <row r="201" spans="1:24" x14ac:dyDescent="0.15">
      <c r="A201" s="1">
        <v>2004</v>
      </c>
      <c r="B201" s="5">
        <f>(K104*($E104/366))+(K105*($E105/366))</f>
        <v>86.938127974616592</v>
      </c>
      <c r="C201" s="5">
        <f>(L104*($E104/366))+(L105*($E105/366))</f>
        <v>4.2540689817263049</v>
      </c>
      <c r="D201" s="5">
        <f>(M104*($E104/366))+(M105*($E105/366))</f>
        <v>0</v>
      </c>
      <c r="E201" s="18">
        <f t="shared" si="41"/>
        <v>91.192196956342897</v>
      </c>
      <c r="G201" s="1">
        <v>2004</v>
      </c>
      <c r="H201" s="380">
        <f>(O104/$R104*100*($E104/366))+(O105/$R105*100*($E105/366))</f>
        <v>92.679355783308921</v>
      </c>
      <c r="I201" s="380"/>
      <c r="J201" s="380">
        <f>(P104/$R104*100*($E104/366))+(P105/$R105*100*($E105/366))</f>
        <v>7.3206442166910684</v>
      </c>
      <c r="K201" s="380"/>
      <c r="L201" s="380">
        <f>(Q104/$R104*100*($E104/366))+(Q105/$R105*100*($E105/366))</f>
        <v>0</v>
      </c>
      <c r="M201" s="380"/>
      <c r="N201" s="379">
        <f t="shared" si="42"/>
        <v>99.999999999999986</v>
      </c>
      <c r="O201" s="379"/>
      <c r="R201" s="1">
        <v>2004</v>
      </c>
      <c r="S201" s="5">
        <f>(O104*($E104/366))+(O105*($E105/366))</f>
        <v>63.3</v>
      </c>
      <c r="T201" s="5">
        <f>(P104*($E104/366))+(P105*($E105/366))</f>
        <v>5</v>
      </c>
      <c r="U201" s="5">
        <f>(Q104*($E104/366))+(Q105*($E105/366))</f>
        <v>0</v>
      </c>
      <c r="W201" s="10">
        <f t="shared" si="43"/>
        <v>68.3</v>
      </c>
      <c r="X201" s="4"/>
    </row>
    <row r="202" spans="1:24" x14ac:dyDescent="0.15">
      <c r="A202" s="1">
        <v>2005</v>
      </c>
      <c r="B202" s="5">
        <f>(K106*($E106/365))+(K107*($E107/365))</f>
        <v>89.748121961997342</v>
      </c>
      <c r="C202" s="5">
        <f>(L106*($E106/365))+(L107*($E107/365))</f>
        <v>3.225806451612903</v>
      </c>
      <c r="D202" s="5">
        <f>(M106*($E106/365))+(M107*($E107/365))</f>
        <v>0</v>
      </c>
      <c r="E202" s="18">
        <f t="shared" si="41"/>
        <v>92.973928413610238</v>
      </c>
      <c r="G202" s="1">
        <v>2005</v>
      </c>
      <c r="H202" s="380">
        <f>(O106/$R106*100*($E106/365))+(O107/$R107*100*($E107/365))</f>
        <v>92.679355783308921</v>
      </c>
      <c r="I202" s="380"/>
      <c r="J202" s="380">
        <f>(P106/$R106*100*($E106/365))+(P107/$R107*100*($E107/365))</f>
        <v>7.3206442166910701</v>
      </c>
      <c r="K202" s="380"/>
      <c r="L202" s="380">
        <f>(Q106/$R106*100*($E106/365))+(Q107/$R107*100*($E107/365))</f>
        <v>0</v>
      </c>
      <c r="M202" s="380"/>
      <c r="N202" s="379">
        <f t="shared" si="42"/>
        <v>99.999999999999986</v>
      </c>
      <c r="O202" s="379"/>
      <c r="R202" s="1">
        <v>2005</v>
      </c>
      <c r="S202" s="5">
        <f>(O106*($E106/365))+(O107*($E107/365))</f>
        <v>63.3</v>
      </c>
      <c r="T202" s="5">
        <f>(P106*($E106/365))+(P107*($E107/365))</f>
        <v>5</v>
      </c>
      <c r="U202" s="5">
        <f>(Q106*($E106/365))+(Q107*($E107/365))</f>
        <v>0</v>
      </c>
      <c r="W202" s="10">
        <f t="shared" si="43"/>
        <v>68.3</v>
      </c>
      <c r="X202" s="4"/>
    </row>
    <row r="203" spans="1:24" x14ac:dyDescent="0.15">
      <c r="A203" s="1">
        <v>2006</v>
      </c>
      <c r="B203" s="5">
        <f>(K108*($E108/365))+(K109*($E109/365))</f>
        <v>87.096774193548384</v>
      </c>
      <c r="C203" s="5">
        <f>(L108*($E108/365))+(L109*($E109/365))</f>
        <v>3.225806451612903</v>
      </c>
      <c r="D203" s="5">
        <f>(M108*($E108/365))+(M109*($E109/365))</f>
        <v>0</v>
      </c>
      <c r="E203" s="18">
        <f t="shared" si="41"/>
        <v>90.322580645161281</v>
      </c>
      <c r="G203" s="1">
        <v>2006</v>
      </c>
      <c r="H203" s="380">
        <f>(O108/$R108*100*($E108/365))+(O109/$R109*100*($E109/365))</f>
        <v>92.679355783308921</v>
      </c>
      <c r="I203" s="380"/>
      <c r="J203" s="380">
        <f>(P108/$R108*100*($E108/365))+(P109/$R109*100*($E109/365))</f>
        <v>7.3206442166910692</v>
      </c>
      <c r="K203" s="380"/>
      <c r="L203" s="380">
        <f>(Q108/$R108*100*($E108/365))+(Q109/$R109*100*($E109/365))</f>
        <v>0</v>
      </c>
      <c r="M203" s="380"/>
      <c r="N203" s="379">
        <f t="shared" si="42"/>
        <v>99.999999999999986</v>
      </c>
      <c r="O203" s="379"/>
      <c r="R203" s="1">
        <v>2006</v>
      </c>
      <c r="S203" s="5">
        <f>(O108*($E108/365))+(O109*($E109/365))</f>
        <v>63.3</v>
      </c>
      <c r="T203" s="5">
        <f>(P108*($E108/365))+(P109*($E109/365))</f>
        <v>5</v>
      </c>
      <c r="U203" s="5">
        <f>(Q108*($E108/365))+(Q109*($E109/365))</f>
        <v>0</v>
      </c>
      <c r="W203" s="10">
        <f t="shared" si="43"/>
        <v>68.3</v>
      </c>
      <c r="X203" s="4"/>
    </row>
    <row r="204" spans="1:24" x14ac:dyDescent="0.15">
      <c r="A204" s="1">
        <v>2007</v>
      </c>
      <c r="B204" s="5">
        <f>(K110*($E110/365))+(K111*($E111/365))+(K112*($E112/365))</f>
        <v>79.540433053468846</v>
      </c>
      <c r="C204" s="5">
        <f>(L110*($E110/365))+(L111*($E111/365))+(L112*($E112/365))</f>
        <v>5.1148917366327886</v>
      </c>
      <c r="D204" s="5">
        <f>(M110*($E110/365))+(M111*($E111/365))+(M112*($E112/365))</f>
        <v>0</v>
      </c>
      <c r="E204" s="18">
        <f t="shared" si="41"/>
        <v>84.655324790101631</v>
      </c>
      <c r="G204" s="1">
        <v>2007</v>
      </c>
      <c r="H204" s="380">
        <f>(O110/$R110*100*($E110/365))+(O111/$R111*100*($E111/365))+(O112/$R112*100*($E112/365))</f>
        <v>93.727988921851164</v>
      </c>
      <c r="I204" s="380"/>
      <c r="J204" s="380">
        <f>(P110/$R110*100*($E110/365))+(P111/$R111*100*($E111/365))+(P112/$R112*100*($E112/365))</f>
        <v>6.272011078148843</v>
      </c>
      <c r="K204" s="380"/>
      <c r="L204" s="380">
        <f>(Q110/$R110*100*($E110/365))+(Q111/$R111*100*($E111/365))+(Q112/$R112*100*($E112/365))</f>
        <v>0</v>
      </c>
      <c r="M204" s="380"/>
      <c r="N204" s="379">
        <f t="shared" si="42"/>
        <v>100</v>
      </c>
      <c r="O204" s="379"/>
      <c r="R204" s="1">
        <v>2007</v>
      </c>
      <c r="S204" s="5">
        <f>(O110*($E110/365))+(O111*($E111/365))+(O112*($E112/365))</f>
        <v>58.359726027397265</v>
      </c>
      <c r="T204" s="5">
        <f>(P110*($E110/365))+(P111*($E111/365))+(P112*($E112/365))</f>
        <v>3.9172602739726026</v>
      </c>
      <c r="U204" s="5">
        <f>(Q110*($E110/365))+(Q111*($E111/365))+(Q112*($E112/365))</f>
        <v>0</v>
      </c>
      <c r="W204" s="10">
        <f t="shared" si="43"/>
        <v>62.276986301369867</v>
      </c>
      <c r="X204" s="4"/>
    </row>
    <row r="205" spans="1:24" x14ac:dyDescent="0.15">
      <c r="A205" s="1">
        <v>2008</v>
      </c>
      <c r="B205" s="5">
        <f>(K113*($E113/366))+(K114*($E114/366))</f>
        <v>75</v>
      </c>
      <c r="C205" s="5">
        <f>(L113*($E113/366))+(L114*($E114/366))</f>
        <v>6.25</v>
      </c>
      <c r="D205" s="5">
        <f>(M113*($E113/366))+(M114*($E114/366))</f>
        <v>0</v>
      </c>
      <c r="E205" s="18">
        <f t="shared" si="41"/>
        <v>81.25</v>
      </c>
      <c r="G205" s="1">
        <v>2008</v>
      </c>
      <c r="H205" s="380">
        <f>(O113/$R113*100*($E113/366))+(O114/$R114*100*($E114/366))</f>
        <v>93.436960276338525</v>
      </c>
      <c r="I205" s="380"/>
      <c r="J205" s="380">
        <f>(P113/$R113*100*($E113/366))+(P114/$R114*100*($E114/366))</f>
        <v>6.5630397236614844</v>
      </c>
      <c r="K205" s="380"/>
      <c r="L205" s="380">
        <f>(Q113/$R113*100*($E113/366))+(Q114/$R114*100*($E114/366))</f>
        <v>0</v>
      </c>
      <c r="M205" s="380"/>
      <c r="N205" s="379">
        <f t="shared" si="42"/>
        <v>100.00000000000001</v>
      </c>
      <c r="O205" s="379"/>
      <c r="R205" s="1">
        <v>2008</v>
      </c>
      <c r="S205" s="5">
        <f>(O113*($E113/366))+(O114*($E114/366))</f>
        <v>54.1</v>
      </c>
      <c r="T205" s="5">
        <f>(P113*($E113/366))+(P114*($E114/366))</f>
        <v>3.8</v>
      </c>
      <c r="U205" s="5">
        <f>(Q113*($E113/366))+(Q114*($E114/366))</f>
        <v>0</v>
      </c>
      <c r="W205" s="10">
        <f t="shared" si="43"/>
        <v>57.9</v>
      </c>
      <c r="X205" s="4"/>
    </row>
    <row r="206" spans="1:24" x14ac:dyDescent="0.15">
      <c r="A206" s="1">
        <v>2009</v>
      </c>
      <c r="B206" s="5">
        <f>(K115*($E115/365))+(K116*($E116/365))+(K117*($E117/365))</f>
        <v>82.841935620679408</v>
      </c>
      <c r="C206" s="5">
        <f>(L115*($E115/365))+(L116*($E116/365))+(L117*($E117/365))</f>
        <v>5.5707409135247454</v>
      </c>
      <c r="D206" s="5">
        <f>(M115*($E115/365))+(M116*($E116/365))+(M117*($E117/365))</f>
        <v>0</v>
      </c>
      <c r="E206" s="18">
        <f t="shared" si="41"/>
        <v>88.412676534204152</v>
      </c>
      <c r="G206" s="1">
        <v>2009</v>
      </c>
      <c r="H206" s="380">
        <f>(O115/$R115*100*($E115/365))+(O116/$R116*100*($E116/365))+(O117/$R117*100*($E117/365))</f>
        <v>93.43696027633851</v>
      </c>
      <c r="I206" s="380"/>
      <c r="J206" s="380">
        <f>(P115/$R115*100*($E115/365))+(P116/$R116*100*($E116/365))+(P117/$R117*100*($E117/365))</f>
        <v>6.5630397236614844</v>
      </c>
      <c r="K206" s="380"/>
      <c r="L206" s="380">
        <f>(Q115/$R115*100*($E115/365))+(Q116/$R116*100*($E116/365))+(Q117/$R117*100*($E117/365))</f>
        <v>0</v>
      </c>
      <c r="M206" s="380"/>
      <c r="N206" s="379">
        <f t="shared" si="42"/>
        <v>100</v>
      </c>
      <c r="O206" s="379"/>
      <c r="R206" s="1">
        <v>2009</v>
      </c>
      <c r="S206" s="5">
        <f>(O115*($E115/365))+(O116*($E116/365))+(O117*($E117/365))</f>
        <v>54.099999999999994</v>
      </c>
      <c r="T206" s="5">
        <f>(P115*($E115/365))+(P116*($E116/365))+(P117*($E117/365))</f>
        <v>3.8</v>
      </c>
      <c r="U206" s="5">
        <f>(Q115*($E115/365))+(Q116*($E116/365))+(Q117*($E117/365))</f>
        <v>0</v>
      </c>
      <c r="W206" s="10">
        <f t="shared" si="43"/>
        <v>57.899999999999991</v>
      </c>
      <c r="X206" s="4"/>
    </row>
    <row r="207" spans="1:24" x14ac:dyDescent="0.15">
      <c r="A207" s="1">
        <v>2010</v>
      </c>
      <c r="B207" s="5">
        <f>(K118*($E118/365))+(K119*($E119/365))</f>
        <v>81.144164759725399</v>
      </c>
      <c r="C207" s="5">
        <f>(L118*($E118/365))+(L119*($E119/365))</f>
        <v>4.5710165825522706</v>
      </c>
      <c r="D207" s="5">
        <f>(M118*($E118/365))+(M119*($E119/365))</f>
        <v>0</v>
      </c>
      <c r="E207" s="18">
        <f t="shared" si="41"/>
        <v>85.715181342277674</v>
      </c>
      <c r="G207" s="1">
        <v>2010</v>
      </c>
      <c r="H207" s="380">
        <f>(O118/$R118*100*($E118/365))+(O119/$R119*100*($E119/365))</f>
        <v>94.300044952326871</v>
      </c>
      <c r="I207" s="380"/>
      <c r="J207" s="380">
        <f>(P118/$R118*100*($E118/365))+(P119/$R119*100*($E119/365))</f>
        <v>5.6999550476731251</v>
      </c>
      <c r="K207" s="380"/>
      <c r="L207" s="380">
        <f>(Q118/$R118*100*($E118/365))+(Q119/$R119*100*($E119/365))</f>
        <v>0</v>
      </c>
      <c r="M207" s="380"/>
      <c r="N207" s="379">
        <f t="shared" si="42"/>
        <v>100</v>
      </c>
      <c r="O207" s="379"/>
      <c r="R207" s="1">
        <v>2010</v>
      </c>
      <c r="S207" s="5">
        <f>(O118*($E118/365))+(O119*($E119/365))</f>
        <v>54.1</v>
      </c>
      <c r="T207" s="5">
        <f>(P118*($E118/365))+(P119*($E119/365))</f>
        <v>3.3002739726027395</v>
      </c>
      <c r="U207" s="5">
        <f>(Q118*($E118/365))+(Q119*($E119/365))</f>
        <v>0</v>
      </c>
      <c r="W207" s="10">
        <f t="shared" si="43"/>
        <v>57.40027397260274</v>
      </c>
      <c r="X207" s="4"/>
    </row>
    <row r="208" spans="1:24" x14ac:dyDescent="0.15">
      <c r="A208" s="1">
        <v>2011</v>
      </c>
      <c r="B208" s="5">
        <f>(K120*($E120/365))+(K121*($E121/365))</f>
        <v>95.652173913043484</v>
      </c>
      <c r="C208" s="5">
        <f>(L120*($E120/365))+(L121*($E121/365))</f>
        <v>0</v>
      </c>
      <c r="D208" s="5">
        <f>(M120*($E120/365))+(M121*($E121/365))</f>
        <v>0</v>
      </c>
      <c r="E208" s="18">
        <f t="shared" si="41"/>
        <v>95.652173913043484</v>
      </c>
      <c r="G208" s="1">
        <v>2011</v>
      </c>
      <c r="H208" s="380">
        <f>(O120/$R120*100*($E120/365))+(O121/$R121*100*($E121/365))</f>
        <v>100</v>
      </c>
      <c r="I208" s="380"/>
      <c r="J208" s="380">
        <f>(P120/$R120*100*($E120/365))+(P121/$R121*100*($E121/365))</f>
        <v>0</v>
      </c>
      <c r="K208" s="380"/>
      <c r="L208" s="380">
        <f>(Q120/$R120*100*($E120/365))+(Q121/$R121*100*($E121/365))</f>
        <v>0</v>
      </c>
      <c r="M208" s="380"/>
      <c r="N208" s="379">
        <f t="shared" si="42"/>
        <v>100</v>
      </c>
      <c r="O208" s="379"/>
      <c r="R208" s="1">
        <v>2011</v>
      </c>
      <c r="S208" s="5">
        <f>(O120*($E120/365))+(O121*($E121/365))</f>
        <v>54.1</v>
      </c>
      <c r="T208" s="5">
        <f>(P120*($E120/365))+(P121*($E121/365))</f>
        <v>0</v>
      </c>
      <c r="U208" s="5">
        <f>(Q120*($E120/365))+(Q121*($E121/365))</f>
        <v>0</v>
      </c>
      <c r="W208" s="10">
        <f t="shared" si="43"/>
        <v>54.1</v>
      </c>
      <c r="X208" s="4"/>
    </row>
    <row r="209" spans="1:24" x14ac:dyDescent="0.15">
      <c r="A209" s="1">
        <v>2012</v>
      </c>
      <c r="B209" s="5">
        <f>(K122*($E122/366))+(K123*($E123/366))+(K124*($E124/366))</f>
        <v>35.542884295557144</v>
      </c>
      <c r="C209" s="5">
        <f>(L122*($E122/366))+(L123*($E123/366))+(L124*($E124/366))</f>
        <v>0</v>
      </c>
      <c r="D209" s="5">
        <f>(M122*($E122/366))+(M123*($E123/366))+(M124*($E124/366))</f>
        <v>62.841530054644814</v>
      </c>
      <c r="E209" s="18">
        <f t="shared" si="41"/>
        <v>98.384414350201951</v>
      </c>
      <c r="G209" s="1">
        <v>2012</v>
      </c>
      <c r="H209" s="380">
        <f>(O122/$R122*100*($E122/366))+(O123/$R123*100*($E123/366))+(O124/$R124*100*($E124/366))</f>
        <v>37.158469945355193</v>
      </c>
      <c r="I209" s="380"/>
      <c r="J209" s="380">
        <f>(P122/$R122*100*($E122/366))+(P123/$R123*100*($E123/366))+(P124/$R124*100*($E124/366))</f>
        <v>0</v>
      </c>
      <c r="K209" s="380"/>
      <c r="L209" s="380">
        <f>(Q122/$R122*100*($E122/366))+(Q123/$R123*100*($E123/366))+(Q124/$R124*100*($E124/366))</f>
        <v>62.841530054644814</v>
      </c>
      <c r="M209" s="380"/>
      <c r="N209" s="379">
        <f t="shared" ref="N209:N214" si="44">SUM(H209:M209)</f>
        <v>100</v>
      </c>
      <c r="O209" s="379"/>
      <c r="R209" s="1">
        <v>2012</v>
      </c>
      <c r="S209" s="5">
        <f>(O122*($E122/366))+(O123*($E123/366))+(O124*($E124/366))</f>
        <v>20.10273224043716</v>
      </c>
      <c r="T209" s="5">
        <f>(P122*($E122/366))+(P123*($E123/366))+(P124*($E124/366))</f>
        <v>0</v>
      </c>
      <c r="U209" s="5">
        <f>(Q122*($E122/366))+(Q123*($E123/366))+(Q124*($E124/366))</f>
        <v>32.168579234972682</v>
      </c>
      <c r="W209" s="10">
        <f t="shared" si="43"/>
        <v>52.271311475409846</v>
      </c>
      <c r="X209" s="4"/>
    </row>
    <row r="210" spans="1:24" x14ac:dyDescent="0.15">
      <c r="A210" s="1">
        <v>2013</v>
      </c>
      <c r="B210" s="5">
        <f>(K125*($E125/365))+(K126*($E126/365))</f>
        <v>0</v>
      </c>
      <c r="C210" s="5">
        <f>(L125*($E125/365))+(L126*($E126/365))</f>
        <v>0</v>
      </c>
      <c r="D210" s="5">
        <f>(M125*($E125/365))+(M126*($E126/365))</f>
        <v>100</v>
      </c>
      <c r="E210" s="18">
        <f t="shared" si="41"/>
        <v>100</v>
      </c>
      <c r="G210" s="1">
        <v>2013</v>
      </c>
      <c r="H210" s="380">
        <f>(O125/$R125*100*($E125/365))+(O126/$R126*100*($E126/365))</f>
        <v>0</v>
      </c>
      <c r="I210" s="380"/>
      <c r="J210" s="380">
        <f>(P125/$R125*100*($E125/365))+(P126/$R126*100*($E126/365))</f>
        <v>0</v>
      </c>
      <c r="K210" s="380"/>
      <c r="L210" s="380">
        <f>(Q125/$R125*100*($E125/365))+(Q126/$R126*100*($E126/365))</f>
        <v>100</v>
      </c>
      <c r="M210" s="380"/>
      <c r="N210" s="379">
        <f t="shared" si="44"/>
        <v>100</v>
      </c>
      <c r="O210" s="379"/>
      <c r="R210" s="1">
        <v>2013</v>
      </c>
      <c r="S210" s="5">
        <f>(O125*($E125/365))+(O126*($E126/365))</f>
        <v>0</v>
      </c>
      <c r="T210" s="5">
        <f>(P125*($E125/365))+(P126*($E126/365))</f>
        <v>0</v>
      </c>
      <c r="U210" s="5">
        <f>(Q125*($E125/365))+(Q126*($E126/365))</f>
        <v>53.5</v>
      </c>
      <c r="W210" s="10">
        <f>SUM(S210:U210)</f>
        <v>53.5</v>
      </c>
    </row>
    <row r="211" spans="1:24" x14ac:dyDescent="0.15">
      <c r="A211" s="1">
        <v>2014</v>
      </c>
      <c r="B211" s="5">
        <f>(K127*($E127/365))+(K128*($E128/365))+(K129*($E129/365))</f>
        <v>0</v>
      </c>
      <c r="C211" s="5">
        <f>(L127*($E127/365))+(L128*($E128/365))+(L129*($E129/365))</f>
        <v>0</v>
      </c>
      <c r="D211" s="5">
        <f>(M127*($E127/365))+(M128*($E128/365))+(M129*($E129/365))</f>
        <v>100</v>
      </c>
      <c r="E211" s="18">
        <f>SUM(B211:D211)</f>
        <v>100</v>
      </c>
      <c r="G211" s="1">
        <v>2014</v>
      </c>
      <c r="H211" s="380">
        <f>(O127/$R127*100*($E127/365))+(O128/$R128*100*($E128/365))+(O129/$R129*100*($E129/365))</f>
        <v>0</v>
      </c>
      <c r="I211" s="380"/>
      <c r="J211" s="380">
        <f>(P127/$R127*100*($E127/365))+(P128/$R128*100*($E128/365))+(P129/$R129*100*($E129/365))</f>
        <v>0</v>
      </c>
      <c r="K211" s="380"/>
      <c r="L211" s="380">
        <f>(Q127/$R127*100*($E127/365))+(Q128/$R128*100*($E128/365))+(Q129/$R129*100*($E129/365))</f>
        <v>100</v>
      </c>
      <c r="M211" s="380"/>
      <c r="N211" s="379">
        <f t="shared" si="44"/>
        <v>100</v>
      </c>
      <c r="O211" s="379"/>
      <c r="R211" s="1">
        <v>2014</v>
      </c>
      <c r="S211" s="5">
        <f>(O127*($E127/365))+(O128*($E128/365))+(O129*($E129/365))</f>
        <v>0</v>
      </c>
      <c r="T211" s="5">
        <f>(P127*($E127/365))+(P128*($E128/365))+(P129*($E129/365))</f>
        <v>0</v>
      </c>
      <c r="U211" s="5">
        <f>(Q127*($E127/365))+(Q128*($E128/365))+(Q129*($E129/365))</f>
        <v>51.004657534246576</v>
      </c>
      <c r="W211" s="10">
        <f>SUM(S211:U211)</f>
        <v>51.004657534246576</v>
      </c>
    </row>
    <row r="212" spans="1:24" x14ac:dyDescent="0.15">
      <c r="A212" s="1">
        <v>2015</v>
      </c>
      <c r="B212" s="5">
        <f>(K130*($E130/365))+(K131*($E131/365))</f>
        <v>0</v>
      </c>
      <c r="C212" s="5">
        <f>(L130*($E130/365))+(L131*($E131/365))</f>
        <v>0</v>
      </c>
      <c r="D212" s="5">
        <f>(M130*($E130/365))+(M131*($E131/365))</f>
        <v>100</v>
      </c>
      <c r="E212" s="18">
        <f>SUM(B212:D212)</f>
        <v>100</v>
      </c>
      <c r="G212" s="1">
        <v>2015</v>
      </c>
      <c r="H212" s="380">
        <f>(O130/$R130*100*($E130/365))+(O131/$R131*100*($E131/365))</f>
        <v>0</v>
      </c>
      <c r="I212" s="380"/>
      <c r="J212" s="380">
        <f>(P130/$R130*100*($E130/365))+(P131/$R131*100*($E131/365))</f>
        <v>0</v>
      </c>
      <c r="K212" s="380"/>
      <c r="L212" s="380">
        <f>(Q130/$R130*100*($E130/365))+(Q131/$R131*100*($E131/365))</f>
        <v>100</v>
      </c>
      <c r="M212" s="380"/>
      <c r="N212" s="379">
        <f t="shared" si="44"/>
        <v>100</v>
      </c>
      <c r="O212" s="379"/>
      <c r="R212" s="1">
        <v>2015</v>
      </c>
      <c r="S212" s="5">
        <f>(O130*($E130/365))+(O131*($E131/365))</f>
        <v>0</v>
      </c>
      <c r="T212" s="5">
        <f>(P130*($E130/365))+(P131*($E131/365))</f>
        <v>0</v>
      </c>
      <c r="U212" s="5">
        <f>(Q130*($E130/365))+(Q131*($E131/365))</f>
        <v>50.2</v>
      </c>
      <c r="W212" s="10">
        <f>SUM(S212:U212)</f>
        <v>50.2</v>
      </c>
    </row>
    <row r="213" spans="1:24" x14ac:dyDescent="0.15">
      <c r="A213" s="1">
        <v>2016</v>
      </c>
      <c r="B213" s="5">
        <f>(K132*($E132/366))+(K133*($E133/366))+(K134*($E134/366))+(K135*($E135/366))+(K136*($E136/366))</f>
        <v>0</v>
      </c>
      <c r="C213" s="5">
        <f t="shared" ref="C213:D213" si="45">(L132*($E132/366))+(L133*($E133/366))+(L134*($E134/366))+(L135*($E135/366))+(L136*($E136/366))</f>
        <v>0</v>
      </c>
      <c r="D213" s="5">
        <f t="shared" si="45"/>
        <v>100</v>
      </c>
      <c r="E213" s="18">
        <f>SUM(B213:D213)</f>
        <v>100</v>
      </c>
      <c r="G213" s="1">
        <v>2016</v>
      </c>
      <c r="H213" s="380">
        <f>(O132/$R132*100*($E132/366))+(O133/$R133*100*($E133/366))+(O134/$R134*100*($E134/366))+(O135/$R135*100*($E135/366))+(O136/$R136*100*($E136/366))</f>
        <v>0</v>
      </c>
      <c r="I213" s="380"/>
      <c r="J213" s="380">
        <f>(P132/$R132*100*($E132/366))+(P133/$R133*100*($E133/366))+(P134/$R134*100*($E134/366))+(P135/$R135*100*($E135/366))+(P136/$R136*100*($E136/366))</f>
        <v>0</v>
      </c>
      <c r="K213" s="380"/>
      <c r="L213" s="380">
        <f>(Q132/$R132*100*($E132/366))+(Q133/$R133*100*($E133/366))+(Q134/$R134*100*($E134/366))+(Q135/$R135*100*($E135/366))+(Q136/$R136*100*($E136/366))</f>
        <v>100</v>
      </c>
      <c r="M213" s="380"/>
      <c r="N213" s="379">
        <f t="shared" si="44"/>
        <v>100</v>
      </c>
      <c r="O213" s="379"/>
      <c r="R213" s="1">
        <v>2016</v>
      </c>
      <c r="S213" s="5">
        <f>(O132*($E132/366))+(O133*($E133/366))+(O134*($E134/366))+(O135*($E135/366))+(O136*($E136/366))</f>
        <v>0</v>
      </c>
      <c r="T213" s="5">
        <f t="shared" ref="T213:U213" si="46">(P132*($E132/366))+(P133*($E133/366))+(P134*($E134/366))+(P135*($E135/366))+(P136*($E136/366))</f>
        <v>0</v>
      </c>
      <c r="U213" s="5">
        <f t="shared" si="46"/>
        <v>53.130327868852461</v>
      </c>
      <c r="W213" s="10">
        <f>SUM(S213:U213)</f>
        <v>53.130327868852461</v>
      </c>
    </row>
    <row r="214" spans="1:24" x14ac:dyDescent="0.15">
      <c r="A214" s="1">
        <v>2017</v>
      </c>
      <c r="B214" s="5">
        <f>(K137*($E137/365))+(K138*($E138/365))+(K139*($E139/365))</f>
        <v>29.156452775775055</v>
      </c>
      <c r="C214" s="5">
        <f>(L137*($E137/365))+(L138*($E138/365))+(L139*($E139/365))</f>
        <v>4.4152847873107426</v>
      </c>
      <c r="D214" s="5">
        <f t="shared" ref="D214" si="47">(M137*($E137/365))+(M138*($E138/365))+(M139*($E139/365))</f>
        <v>37.649603460706558</v>
      </c>
      <c r="E214" s="18">
        <f>SUM(B214:D214)</f>
        <v>71.221341023792348</v>
      </c>
      <c r="G214" s="1">
        <v>2017</v>
      </c>
      <c r="H214" s="380">
        <f>(O137/$R137*100*($E137/365))+(O138/$R138*100*($E138/365))+(O139/$R139*100*($E139/365))</f>
        <v>51.526675118389569</v>
      </c>
      <c r="I214" s="380"/>
      <c r="J214" s="380">
        <f>(P137/$R137*100*($E137/365))+(P138/$R138*100*($E138/365))+(P139/$R139*100*($E139/365))</f>
        <v>6.4964874365493168</v>
      </c>
      <c r="K214" s="380"/>
      <c r="L214" s="380">
        <f>(Q137/$R137*100*($E137/365))+(Q138/$R138*100*($E138/365))+(Q139/$R139*100*($E139/365))</f>
        <v>41.976837445061115</v>
      </c>
      <c r="M214" s="380"/>
      <c r="N214" s="379">
        <f t="shared" si="44"/>
        <v>100</v>
      </c>
      <c r="O214" s="379"/>
      <c r="R214" s="1">
        <v>2017</v>
      </c>
      <c r="S214" s="5">
        <f>(O137*($E137/365))+(O138*($E138/365))+(O139*($E139/365))</f>
        <v>32.335342465753428</v>
      </c>
      <c r="T214" s="5">
        <f t="shared" ref="T214" si="48">(P137*($E137/365))+(P138*($E138/365))+(P139*($E139/365))</f>
        <v>3.9528767123287669</v>
      </c>
      <c r="U214" s="5">
        <f>(Q137*($E137/365))+(Q138*($E138/365))+(Q139*($E139/365))</f>
        <v>24.573972602739726</v>
      </c>
      <c r="W214" s="10">
        <f>SUM(S214:U214)</f>
        <v>60.862191780821917</v>
      </c>
    </row>
    <row r="215" spans="1:24" x14ac:dyDescent="0.15">
      <c r="A215" s="1">
        <v>2018</v>
      </c>
      <c r="B215" s="5">
        <f>(K140*($E140/365))+(K141*($E141/365))</f>
        <v>51.917808219178085</v>
      </c>
      <c r="C215" s="5">
        <f>(L140*($E140/365))+(L141*($E141/365))</f>
        <v>5.8630136986301373</v>
      </c>
      <c r="D215" s="5">
        <f>(M140*($E140/365))+(M141*($E141/365))</f>
        <v>0</v>
      </c>
      <c r="E215" s="18">
        <f t="shared" ref="E215" si="49">SUM(B215:D215)</f>
        <v>57.780821917808225</v>
      </c>
      <c r="G215" s="1">
        <v>2018</v>
      </c>
      <c r="H215" s="380">
        <f>(O140/$R140*100*($E140/365))+(O141/$R141*100*($E141/365))</f>
        <v>88.038798289617375</v>
      </c>
      <c r="I215" s="380"/>
      <c r="J215" s="380">
        <f>(P140/$R140*100*($E140/365))+(P141/$R141*100*($E141/365))</f>
        <v>11.961201710382616</v>
      </c>
      <c r="K215" s="380"/>
      <c r="L215" s="380">
        <f>(Q140/$R140*100*($E140/365))+(Q141/$R141*100*($E141/365))</f>
        <v>0</v>
      </c>
      <c r="M215" s="380"/>
      <c r="N215" s="379">
        <f t="shared" ref="N215" si="50">SUM(H215:M215)</f>
        <v>99.999999999999986</v>
      </c>
      <c r="O215" s="379"/>
      <c r="R215" s="1">
        <v>2018</v>
      </c>
      <c r="S215" s="5">
        <f>(O140*($E140/365))+(O141*($E141/365))</f>
        <v>53.737534246575336</v>
      </c>
      <c r="T215" s="5">
        <f>(P140*($E140/365))+(P141*($E141/365))</f>
        <v>7.3</v>
      </c>
      <c r="U215" s="5">
        <f>(Q140*($E140/365))+(Q141*($E141/365))</f>
        <v>0</v>
      </c>
      <c r="W215" s="10">
        <f t="shared" ref="W215" si="51">SUM(S215:U215)</f>
        <v>61.037534246575333</v>
      </c>
    </row>
    <row r="216" spans="1:24" x14ac:dyDescent="0.15">
      <c r="A216" s="1">
        <v>2019</v>
      </c>
      <c r="B216" s="5">
        <f>(K142*($E142/365))+(K143*($E143/365))</f>
        <v>57.596513075965127</v>
      </c>
      <c r="C216" s="5">
        <f>(L142*($E142/365))+(L143*($E143/365))</f>
        <v>9.4229970942299701</v>
      </c>
      <c r="D216" s="5">
        <f>(M142*($E142/365))+(M143*($E143/365))</f>
        <v>0</v>
      </c>
      <c r="E216" s="18">
        <f t="shared" ref="E216:E217" si="52">SUM(B216:D216)</f>
        <v>67.019510170195105</v>
      </c>
      <c r="G216" s="1">
        <v>2019</v>
      </c>
      <c r="H216" s="380">
        <f>(O142/$R142*100*($E142/365))+(O143/$R143*100*($E143/365))</f>
        <v>88.282504012841102</v>
      </c>
      <c r="I216" s="380"/>
      <c r="J216" s="380">
        <f>(P142/$R142*100*($E142/365))+(P143/$R143*100*($E143/365))</f>
        <v>11.717495987158907</v>
      </c>
      <c r="K216" s="380"/>
      <c r="L216" s="380">
        <f>(Q142/$R142*100*($E142/365))+(Q143/$R143*100*($E143/365))</f>
        <v>0</v>
      </c>
      <c r="M216" s="380"/>
      <c r="N216" s="379">
        <f t="shared" ref="N216" si="53">SUM(H216:M216)</f>
        <v>100.00000000000001</v>
      </c>
      <c r="O216" s="379"/>
      <c r="R216" s="1">
        <v>2019</v>
      </c>
      <c r="S216" s="5">
        <f>(O142*($E142/365))+(O143*($E143/365))</f>
        <v>54.999999999999993</v>
      </c>
      <c r="T216" s="5">
        <f>(P142*($E142/365))+(P143*($E143/365))</f>
        <v>7.3</v>
      </c>
      <c r="U216" s="5">
        <f>(Q142*($E142/365))+(Q143*($E143/365))</f>
        <v>0</v>
      </c>
      <c r="W216" s="10">
        <f t="shared" ref="W216:W217" si="54">SUM(S216:U216)</f>
        <v>62.29999999999999</v>
      </c>
    </row>
    <row r="217" spans="1:24" x14ac:dyDescent="0.15">
      <c r="A217" s="1">
        <v>2020</v>
      </c>
      <c r="B217" s="5">
        <f>(K144*($E144/366))+(K145*($E145/366))+(K146*($E146/366))</f>
        <v>50.391085395906991</v>
      </c>
      <c r="C217" s="5">
        <f>(L144*($E144/366))+(L145*($E145/366))+(L146*($E146/366))</f>
        <v>7.7528279071191308</v>
      </c>
      <c r="D217" s="5">
        <f>(M144*($E144/366))+(M145*($E145/366))+(M146*($E146/366))</f>
        <v>19.846627175460348</v>
      </c>
      <c r="E217" s="18">
        <f t="shared" si="52"/>
        <v>77.99054047848648</v>
      </c>
      <c r="G217" s="1">
        <v>2020</v>
      </c>
      <c r="H217" s="380">
        <f>(O144/$R144*100*($E144/366))+(O145/$R145*100*($E145/366))+(O146/$R146*100*($E146/366))</f>
        <v>88.132291876780798</v>
      </c>
      <c r="I217" s="380"/>
      <c r="J217" s="409">
        <f>(P144/$R144*100*($E144/366))+(P145/$R145*100*($E145/366))+(P146/$R146*100*($E146/366))</f>
        <v>11.867708123219209</v>
      </c>
      <c r="K217" s="409"/>
      <c r="L217" s="409">
        <f>(Q144/$R144*100*($E144/366))+(Q145/$R145*100*($E145/366))+(Q146/$R146*100*($E146/366))</f>
        <v>0</v>
      </c>
      <c r="M217" s="409"/>
      <c r="N217" s="379">
        <f t="shared" ref="N217" si="55">SUM(H217:M217)</f>
        <v>100</v>
      </c>
      <c r="O217" s="379"/>
      <c r="R217" s="1">
        <v>2020</v>
      </c>
      <c r="S217" s="5">
        <f>(O144*($E144/366))+(O145*($E145/366))+(O146*($E146/366))</f>
        <v>54.221857923497268</v>
      </c>
      <c r="T217" s="5">
        <f>(P144*($E144/366))+(P145*($E145/366))+(P146*($E146/366))</f>
        <v>7.3</v>
      </c>
      <c r="U217" s="5">
        <f>(Q144*($E144/366))+(Q145*($E145/366))+(Q146*($E146/366))</f>
        <v>0</v>
      </c>
      <c r="W217" s="10">
        <f t="shared" si="54"/>
        <v>61.521857923497265</v>
      </c>
    </row>
  </sheetData>
  <mergeCells count="415">
    <mergeCell ref="C144:D144"/>
    <mergeCell ref="C145:D145"/>
    <mergeCell ref="N158:O158"/>
    <mergeCell ref="N159:O159"/>
    <mergeCell ref="N160:O160"/>
    <mergeCell ref="N161:O161"/>
    <mergeCell ref="N162:O162"/>
    <mergeCell ref="N163:O163"/>
    <mergeCell ref="H206:I206"/>
    <mergeCell ref="H188:I188"/>
    <mergeCell ref="H172:I172"/>
    <mergeCell ref="H173:I173"/>
    <mergeCell ref="H174:I174"/>
    <mergeCell ref="J192:K192"/>
    <mergeCell ref="J181:K181"/>
    <mergeCell ref="J182:K182"/>
    <mergeCell ref="J183:K183"/>
    <mergeCell ref="J184:K184"/>
    <mergeCell ref="J205:K205"/>
    <mergeCell ref="J206:K206"/>
    <mergeCell ref="J188:K188"/>
    <mergeCell ref="L172:M172"/>
    <mergeCell ref="L173:M173"/>
    <mergeCell ref="L162:M162"/>
    <mergeCell ref="H215:I215"/>
    <mergeCell ref="J215:K215"/>
    <mergeCell ref="L215:M215"/>
    <mergeCell ref="N215:O215"/>
    <mergeCell ref="N214:O214"/>
    <mergeCell ref="L214:M214"/>
    <mergeCell ref="J214:K214"/>
    <mergeCell ref="J169:K169"/>
    <mergeCell ref="L212:M212"/>
    <mergeCell ref="N212:O212"/>
    <mergeCell ref="N211:O211"/>
    <mergeCell ref="N210:O210"/>
    <mergeCell ref="H211:I211"/>
    <mergeCell ref="J211:K211"/>
    <mergeCell ref="L211:M211"/>
    <mergeCell ref="H207:I207"/>
    <mergeCell ref="H193:I193"/>
    <mergeCell ref="H182:I182"/>
    <mergeCell ref="H183:I183"/>
    <mergeCell ref="H184:I184"/>
    <mergeCell ref="H185:I185"/>
    <mergeCell ref="H186:I186"/>
    <mergeCell ref="H187:I187"/>
    <mergeCell ref="H199:I199"/>
    <mergeCell ref="C137:D137"/>
    <mergeCell ref="C138:D138"/>
    <mergeCell ref="C139:D139"/>
    <mergeCell ref="C132:D132"/>
    <mergeCell ref="C135:D135"/>
    <mergeCell ref="C136:D136"/>
    <mergeCell ref="C133:D133"/>
    <mergeCell ref="C134:D134"/>
    <mergeCell ref="H198:I198"/>
    <mergeCell ref="H164:I164"/>
    <mergeCell ref="H165:I165"/>
    <mergeCell ref="H166:I166"/>
    <mergeCell ref="C140:D140"/>
    <mergeCell ref="C141:D141"/>
    <mergeCell ref="H179:I179"/>
    <mergeCell ref="H180:I180"/>
    <mergeCell ref="H181:I181"/>
    <mergeCell ref="H170:I170"/>
    <mergeCell ref="H171:I171"/>
    <mergeCell ref="H175:I175"/>
    <mergeCell ref="H169:I169"/>
    <mergeCell ref="H176:I176"/>
    <mergeCell ref="H177:I177"/>
    <mergeCell ref="H178:I178"/>
    <mergeCell ref="C130:D130"/>
    <mergeCell ref="C131:D131"/>
    <mergeCell ref="H212:I212"/>
    <mergeCell ref="J212:K212"/>
    <mergeCell ref="J167:K167"/>
    <mergeCell ref="J168:K168"/>
    <mergeCell ref="H167:I167"/>
    <mergeCell ref="H168:I168"/>
    <mergeCell ref="H209:I209"/>
    <mergeCell ref="H200:I200"/>
    <mergeCell ref="H201:I201"/>
    <mergeCell ref="H202:I202"/>
    <mergeCell ref="H203:I203"/>
    <mergeCell ref="H204:I204"/>
    <mergeCell ref="H205:I205"/>
    <mergeCell ref="H194:I194"/>
    <mergeCell ref="H195:I195"/>
    <mergeCell ref="H196:I196"/>
    <mergeCell ref="H197:I197"/>
    <mergeCell ref="H208:I208"/>
    <mergeCell ref="H189:I189"/>
    <mergeCell ref="H190:I190"/>
    <mergeCell ref="H191:I191"/>
    <mergeCell ref="H192:I192"/>
    <mergeCell ref="C125:D125"/>
    <mergeCell ref="C126:D126"/>
    <mergeCell ref="L210:M210"/>
    <mergeCell ref="H210:I210"/>
    <mergeCell ref="J210:K210"/>
    <mergeCell ref="N156:O156"/>
    <mergeCell ref="H158:I158"/>
    <mergeCell ref="H159:I159"/>
    <mergeCell ref="C128:D128"/>
    <mergeCell ref="C127:D127"/>
    <mergeCell ref="C129:D129"/>
    <mergeCell ref="H160:I160"/>
    <mergeCell ref="H161:I161"/>
    <mergeCell ref="J163:K163"/>
    <mergeCell ref="J164:K164"/>
    <mergeCell ref="J165:K165"/>
    <mergeCell ref="J166:K166"/>
    <mergeCell ref="H162:I162"/>
    <mergeCell ref="H163:I163"/>
    <mergeCell ref="J158:K158"/>
    <mergeCell ref="J159:K159"/>
    <mergeCell ref="J160:K160"/>
    <mergeCell ref="J161:K161"/>
    <mergeCell ref="J162:K162"/>
    <mergeCell ref="C122:D122"/>
    <mergeCell ref="C124:D124"/>
    <mergeCell ref="C114:D114"/>
    <mergeCell ref="C115:D115"/>
    <mergeCell ref="C116:D116"/>
    <mergeCell ref="C117:D117"/>
    <mergeCell ref="C118:D118"/>
    <mergeCell ref="C119:D119"/>
    <mergeCell ref="C123:D123"/>
    <mergeCell ref="C107:D107"/>
    <mergeCell ref="C108:D108"/>
    <mergeCell ref="C105:D105"/>
    <mergeCell ref="C106:D106"/>
    <mergeCell ref="C109:D109"/>
    <mergeCell ref="C110:D110"/>
    <mergeCell ref="C120:D120"/>
    <mergeCell ref="C121:D121"/>
    <mergeCell ref="C112:D112"/>
    <mergeCell ref="C113:D113"/>
    <mergeCell ref="C111:D111"/>
    <mergeCell ref="C96:D96"/>
    <mergeCell ref="C97:D97"/>
    <mergeCell ref="C101:D101"/>
    <mergeCell ref="C102:D102"/>
    <mergeCell ref="C98:D98"/>
    <mergeCell ref="C99:D99"/>
    <mergeCell ref="C100:D100"/>
    <mergeCell ref="C103:D103"/>
    <mergeCell ref="C104:D104"/>
    <mergeCell ref="C89:D89"/>
    <mergeCell ref="C86:D86"/>
    <mergeCell ref="C87:D87"/>
    <mergeCell ref="C85:D85"/>
    <mergeCell ref="C90:D90"/>
    <mergeCell ref="C91:D91"/>
    <mergeCell ref="C94:D94"/>
    <mergeCell ref="C95:D95"/>
    <mergeCell ref="C92:D92"/>
    <mergeCell ref="C93:D93"/>
    <mergeCell ref="C77:D77"/>
    <mergeCell ref="C78:D78"/>
    <mergeCell ref="C81:D81"/>
    <mergeCell ref="C82:D82"/>
    <mergeCell ref="C79:D79"/>
    <mergeCell ref="C80:D80"/>
    <mergeCell ref="C83:D83"/>
    <mergeCell ref="C84:D84"/>
    <mergeCell ref="C88:D88"/>
    <mergeCell ref="C70:D70"/>
    <mergeCell ref="C67:D67"/>
    <mergeCell ref="C68:D68"/>
    <mergeCell ref="C71:D71"/>
    <mergeCell ref="C72:D72"/>
    <mergeCell ref="C75:D75"/>
    <mergeCell ref="C76:D76"/>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0:D30"/>
    <mergeCell ref="C33:D33"/>
    <mergeCell ref="C34:D34"/>
    <mergeCell ref="C31:D31"/>
    <mergeCell ref="C32:D32"/>
    <mergeCell ref="C35:D35"/>
    <mergeCell ref="C36:D36"/>
    <mergeCell ref="C39:D39"/>
    <mergeCell ref="C40:D40"/>
    <mergeCell ref="C37:D37"/>
    <mergeCell ref="C38:D38"/>
    <mergeCell ref="C21:D21"/>
    <mergeCell ref="C22:D22"/>
    <mergeCell ref="C23:D23"/>
    <mergeCell ref="C24:D24"/>
    <mergeCell ref="C27:D27"/>
    <mergeCell ref="C28:D28"/>
    <mergeCell ref="C25:D25"/>
    <mergeCell ref="C26:D26"/>
    <mergeCell ref="C29:D29"/>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O3:Q3"/>
    <mergeCell ref="C9:D9"/>
    <mergeCell ref="C10:D10"/>
    <mergeCell ref="A4:A5"/>
    <mergeCell ref="B4:B5"/>
    <mergeCell ref="C4:D5"/>
    <mergeCell ref="E4:E5"/>
    <mergeCell ref="F4:F5"/>
    <mergeCell ref="G4:J4"/>
    <mergeCell ref="G3:M3"/>
    <mergeCell ref="R153:W153"/>
    <mergeCell ref="H155:I155"/>
    <mergeCell ref="J155:K155"/>
    <mergeCell ref="L155:M155"/>
    <mergeCell ref="N155:O155"/>
    <mergeCell ref="H157:I157"/>
    <mergeCell ref="N157:O157"/>
    <mergeCell ref="H156:I156"/>
    <mergeCell ref="J156:K156"/>
    <mergeCell ref="L156:M156"/>
    <mergeCell ref="J157:K157"/>
    <mergeCell ref="J207:K207"/>
    <mergeCell ref="J208:K208"/>
    <mergeCell ref="J189:K189"/>
    <mergeCell ref="J190:K190"/>
    <mergeCell ref="J191:K191"/>
    <mergeCell ref="J209:K209"/>
    <mergeCell ref="L157:M157"/>
    <mergeCell ref="L158:M158"/>
    <mergeCell ref="L159:M159"/>
    <mergeCell ref="L160:M160"/>
    <mergeCell ref="L161:M161"/>
    <mergeCell ref="J199:K199"/>
    <mergeCell ref="J200:K200"/>
    <mergeCell ref="J201:K201"/>
    <mergeCell ref="J202:K202"/>
    <mergeCell ref="J203:K203"/>
    <mergeCell ref="J204:K204"/>
    <mergeCell ref="J193:K193"/>
    <mergeCell ref="J194:K194"/>
    <mergeCell ref="J195:K195"/>
    <mergeCell ref="J196:K196"/>
    <mergeCell ref="J197:K197"/>
    <mergeCell ref="J198:K198"/>
    <mergeCell ref="J187:K187"/>
    <mergeCell ref="J186:K186"/>
    <mergeCell ref="J170:K170"/>
    <mergeCell ref="J171:K171"/>
    <mergeCell ref="J172:K172"/>
    <mergeCell ref="J173:K173"/>
    <mergeCell ref="J174:K174"/>
    <mergeCell ref="J176:K176"/>
    <mergeCell ref="J177:K177"/>
    <mergeCell ref="J178:K178"/>
    <mergeCell ref="J175:K175"/>
    <mergeCell ref="J179:K179"/>
    <mergeCell ref="J180:K180"/>
    <mergeCell ref="L170:M170"/>
    <mergeCell ref="L171:M171"/>
    <mergeCell ref="L183:M183"/>
    <mergeCell ref="L184:M184"/>
    <mergeCell ref="L179:M179"/>
    <mergeCell ref="L180:M180"/>
    <mergeCell ref="L181:M181"/>
    <mergeCell ref="L182:M182"/>
    <mergeCell ref="J185:K185"/>
    <mergeCell ref="L207:M207"/>
    <mergeCell ref="L208:M208"/>
    <mergeCell ref="L209:M209"/>
    <mergeCell ref="L198:M198"/>
    <mergeCell ref="L199:M199"/>
    <mergeCell ref="L200:M200"/>
    <mergeCell ref="L201:M201"/>
    <mergeCell ref="L202:M202"/>
    <mergeCell ref="L203:M203"/>
    <mergeCell ref="L204:M204"/>
    <mergeCell ref="L205:M205"/>
    <mergeCell ref="L206:M206"/>
    <mergeCell ref="L194:M194"/>
    <mergeCell ref="L195:M195"/>
    <mergeCell ref="L196:M196"/>
    <mergeCell ref="L197:M197"/>
    <mergeCell ref="L186:M186"/>
    <mergeCell ref="L187:M187"/>
    <mergeCell ref="L188:M188"/>
    <mergeCell ref="L189:M189"/>
    <mergeCell ref="N166:O166"/>
    <mergeCell ref="N167:O167"/>
    <mergeCell ref="N168:O168"/>
    <mergeCell ref="N169:O169"/>
    <mergeCell ref="L174:M174"/>
    <mergeCell ref="L175:M175"/>
    <mergeCell ref="L176:M176"/>
    <mergeCell ref="L177:M177"/>
    <mergeCell ref="L178:M178"/>
    <mergeCell ref="N181:O181"/>
    <mergeCell ref="L185:M185"/>
    <mergeCell ref="L190:M190"/>
    <mergeCell ref="L191:M191"/>
    <mergeCell ref="L192:M192"/>
    <mergeCell ref="L193:M193"/>
    <mergeCell ref="L166:M166"/>
    <mergeCell ref="N207:O207"/>
    <mergeCell ref="N194:O194"/>
    <mergeCell ref="N195:O195"/>
    <mergeCell ref="N196:O196"/>
    <mergeCell ref="N197:O197"/>
    <mergeCell ref="N182:O182"/>
    <mergeCell ref="N183:O183"/>
    <mergeCell ref="N184:O184"/>
    <mergeCell ref="N185:O185"/>
    <mergeCell ref="N186:O186"/>
    <mergeCell ref="N187:O187"/>
    <mergeCell ref="N191:O191"/>
    <mergeCell ref="N192:O192"/>
    <mergeCell ref="N193:O193"/>
    <mergeCell ref="N188:O188"/>
    <mergeCell ref="N198:O198"/>
    <mergeCell ref="N199:O199"/>
    <mergeCell ref="N189:O189"/>
    <mergeCell ref="N190:O190"/>
    <mergeCell ref="AT4:AW4"/>
    <mergeCell ref="AX4:BA4"/>
    <mergeCell ref="C7:D7"/>
    <mergeCell ref="C6:D6"/>
    <mergeCell ref="N176:O176"/>
    <mergeCell ref="N177:O177"/>
    <mergeCell ref="N178:O178"/>
    <mergeCell ref="N179:O179"/>
    <mergeCell ref="N180:O180"/>
    <mergeCell ref="N170:O170"/>
    <mergeCell ref="N171:O171"/>
    <mergeCell ref="N172:O172"/>
    <mergeCell ref="N173:O173"/>
    <mergeCell ref="N174:O174"/>
    <mergeCell ref="N175:O175"/>
    <mergeCell ref="N164:O164"/>
    <mergeCell ref="N165:O165"/>
    <mergeCell ref="C146:D146"/>
    <mergeCell ref="L163:M163"/>
    <mergeCell ref="L164:M164"/>
    <mergeCell ref="L165:M165"/>
    <mergeCell ref="L167:M167"/>
    <mergeCell ref="L168:M168"/>
    <mergeCell ref="L169:M169"/>
    <mergeCell ref="H217:I217"/>
    <mergeCell ref="J217:K217"/>
    <mergeCell ref="L217:M217"/>
    <mergeCell ref="N217:O217"/>
    <mergeCell ref="C142:D142"/>
    <mergeCell ref="C143:D143"/>
    <mergeCell ref="H216:I216"/>
    <mergeCell ref="J216:K216"/>
    <mergeCell ref="L216:M216"/>
    <mergeCell ref="N216:O216"/>
    <mergeCell ref="H213:I213"/>
    <mergeCell ref="J213:K213"/>
    <mergeCell ref="L213:M213"/>
    <mergeCell ref="N213:O213"/>
    <mergeCell ref="H214:I214"/>
    <mergeCell ref="N208:O208"/>
    <mergeCell ref="N209:O209"/>
    <mergeCell ref="N200:O200"/>
    <mergeCell ref="N201:O201"/>
    <mergeCell ref="N202:O202"/>
    <mergeCell ref="N203:O203"/>
    <mergeCell ref="N205:O205"/>
    <mergeCell ref="N204:O204"/>
    <mergeCell ref="N206:O206"/>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A202"/>
  <sheetViews>
    <sheetView zoomScale="142" zoomScaleNormal="120" workbookViewId="0">
      <pane xSplit="1" ySplit="5" topLeftCell="B69" activePane="bottomRight" state="frozen"/>
      <selection pane="topRight" activeCell="B1" sqref="B1"/>
      <selection pane="bottomLeft" activeCell="A6" sqref="A6"/>
      <selection pane="bottomRight" activeCell="F135" sqref="F13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55</v>
      </c>
    </row>
    <row r="3" spans="1:53" x14ac:dyDescent="0.15">
      <c r="G3" s="415"/>
      <c r="H3" s="415"/>
      <c r="I3" s="415"/>
      <c r="J3" s="415"/>
      <c r="K3" s="415"/>
      <c r="L3" s="415"/>
      <c r="M3" s="415"/>
      <c r="O3" s="415"/>
      <c r="P3" s="415"/>
      <c r="Q3" s="415"/>
      <c r="R3" s="4"/>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05" t="s">
        <v>521</v>
      </c>
      <c r="D6" s="405"/>
      <c r="E6" s="140">
        <v>0</v>
      </c>
      <c r="G6" s="148">
        <v>2</v>
      </c>
      <c r="H6" s="140">
        <v>15</v>
      </c>
      <c r="J6" s="154">
        <v>17</v>
      </c>
      <c r="K6" s="134">
        <f>G6/J6*100</f>
        <v>11.76470588235294</v>
      </c>
      <c r="L6" s="134">
        <f>H6/J6*100</f>
        <v>88.235294117647058</v>
      </c>
      <c r="M6" s="134">
        <f>I6/J6*100</f>
        <v>0</v>
      </c>
      <c r="N6" s="150">
        <f>SUM(K6:M6)</f>
        <v>100</v>
      </c>
      <c r="O6" s="133">
        <v>3.4</v>
      </c>
      <c r="P6" s="134">
        <v>54.4</v>
      </c>
      <c r="Q6" s="134"/>
      <c r="R6" s="135">
        <f>SUM(O6:Q6)</f>
        <v>57.8</v>
      </c>
      <c r="S6" s="140">
        <v>3</v>
      </c>
      <c r="T6" s="308"/>
      <c r="U6" s="296"/>
      <c r="V6" s="139" t="s">
        <v>128</v>
      </c>
      <c r="W6" s="140" t="s">
        <v>17</v>
      </c>
      <c r="X6" s="140" t="s">
        <v>18</v>
      </c>
      <c r="Y6" s="140">
        <v>43.7</v>
      </c>
      <c r="Z6" s="139" t="s">
        <v>129</v>
      </c>
      <c r="AA6" s="140" t="s">
        <v>81</v>
      </c>
      <c r="AB6" s="140" t="s">
        <v>18</v>
      </c>
      <c r="AC6" s="140">
        <v>10.7</v>
      </c>
      <c r="AD6" s="139" t="s">
        <v>130</v>
      </c>
      <c r="AE6" s="140" t="s">
        <v>75</v>
      </c>
      <c r="AF6" s="140" t="s">
        <v>11</v>
      </c>
      <c r="AG6" s="141">
        <v>3.4</v>
      </c>
      <c r="AL6" s="139"/>
      <c r="AO6" s="141"/>
      <c r="AP6" s="139"/>
      <c r="AS6" s="141"/>
      <c r="AW6" s="141"/>
      <c r="BA6" s="142"/>
    </row>
    <row r="7" spans="1:53" s="140" customFormat="1" x14ac:dyDescent="0.15">
      <c r="A7" s="146">
        <v>1959</v>
      </c>
      <c r="B7" s="296"/>
      <c r="C7" s="405" t="s">
        <v>521</v>
      </c>
      <c r="D7" s="405"/>
      <c r="E7" s="140">
        <v>365</v>
      </c>
      <c r="G7" s="148">
        <v>2</v>
      </c>
      <c r="H7" s="140">
        <v>15</v>
      </c>
      <c r="J7" s="154">
        <v>17</v>
      </c>
      <c r="K7" s="134">
        <f>G7/J7*100</f>
        <v>11.76470588235294</v>
      </c>
      <c r="L7" s="134">
        <f>H7/J7*100</f>
        <v>88.235294117647058</v>
      </c>
      <c r="M7" s="134">
        <f>I7/J7*100</f>
        <v>0</v>
      </c>
      <c r="N7" s="150">
        <f>SUM(K7:M7)</f>
        <v>100</v>
      </c>
      <c r="O7" s="133">
        <v>3.4</v>
      </c>
      <c r="P7" s="134">
        <v>54.4</v>
      </c>
      <c r="Q7" s="134"/>
      <c r="R7" s="135">
        <f>SUM(O7:Q7)</f>
        <v>57.8</v>
      </c>
      <c r="S7" s="140">
        <v>3</v>
      </c>
      <c r="T7" s="308"/>
      <c r="U7" s="296"/>
      <c r="V7" s="139" t="s">
        <v>128</v>
      </c>
      <c r="W7" s="140" t="s">
        <v>17</v>
      </c>
      <c r="X7" s="140" t="s">
        <v>18</v>
      </c>
      <c r="Y7" s="140">
        <v>43.7</v>
      </c>
      <c r="Z7" s="139" t="s">
        <v>129</v>
      </c>
      <c r="AA7" s="140" t="s">
        <v>81</v>
      </c>
      <c r="AB7" s="140" t="s">
        <v>18</v>
      </c>
      <c r="AC7" s="140">
        <v>10.7</v>
      </c>
      <c r="AD7" s="139" t="s">
        <v>130</v>
      </c>
      <c r="AE7" s="140" t="s">
        <v>75</v>
      </c>
      <c r="AF7" s="140" t="s">
        <v>11</v>
      </c>
      <c r="AG7" s="141">
        <v>3.4</v>
      </c>
      <c r="AL7" s="139"/>
      <c r="AO7" s="141"/>
      <c r="AP7" s="139"/>
      <c r="AS7" s="141"/>
      <c r="AW7" s="141"/>
      <c r="BA7" s="142"/>
    </row>
    <row r="8" spans="1:53" s="29" customFormat="1" x14ac:dyDescent="0.15">
      <c r="A8" s="52">
        <v>1960</v>
      </c>
      <c r="B8" s="295"/>
      <c r="C8" s="394" t="s">
        <v>521</v>
      </c>
      <c r="D8" s="394"/>
      <c r="E8" s="29">
        <v>182</v>
      </c>
      <c r="G8" s="66">
        <v>2</v>
      </c>
      <c r="H8" s="29">
        <v>15</v>
      </c>
      <c r="J8" s="73">
        <v>17</v>
      </c>
      <c r="K8" s="47">
        <f>G8/J8*100</f>
        <v>11.76470588235294</v>
      </c>
      <c r="L8" s="47">
        <f t="shared" ref="L8:L69" si="0">H8/J8*100</f>
        <v>88.235294117647058</v>
      </c>
      <c r="M8" s="47">
        <f t="shared" ref="M8:M69" si="1">I8/J8*100</f>
        <v>0</v>
      </c>
      <c r="N8" s="68">
        <f>SUM(K8:M8)</f>
        <v>100</v>
      </c>
      <c r="O8" s="46">
        <v>3.4</v>
      </c>
      <c r="P8" s="47">
        <v>54.4</v>
      </c>
      <c r="Q8" s="47"/>
      <c r="R8" s="48">
        <f>SUM(O8:Q8)</f>
        <v>57.8</v>
      </c>
      <c r="S8" s="29">
        <v>3</v>
      </c>
      <c r="T8" s="286"/>
      <c r="U8" s="295"/>
      <c r="V8" s="38" t="s">
        <v>128</v>
      </c>
      <c r="W8" s="29" t="s">
        <v>17</v>
      </c>
      <c r="X8" s="29" t="s">
        <v>18</v>
      </c>
      <c r="Y8" s="29">
        <v>43.7</v>
      </c>
      <c r="Z8" s="38" t="s">
        <v>129</v>
      </c>
      <c r="AA8" s="29" t="s">
        <v>81</v>
      </c>
      <c r="AB8" s="29" t="s">
        <v>18</v>
      </c>
      <c r="AC8" s="29">
        <v>10.7</v>
      </c>
      <c r="AD8" s="38" t="s">
        <v>130</v>
      </c>
      <c r="AE8" s="29" t="s">
        <v>75</v>
      </c>
      <c r="AF8" s="29" t="s">
        <v>11</v>
      </c>
      <c r="AG8" s="39">
        <v>3.4</v>
      </c>
      <c r="AL8" s="38"/>
      <c r="AO8" s="39"/>
      <c r="AP8" s="38"/>
      <c r="AS8" s="39"/>
      <c r="AW8" s="39"/>
      <c r="BA8" s="40"/>
    </row>
    <row r="9" spans="1:53" s="171" customFormat="1" x14ac:dyDescent="0.15">
      <c r="A9" s="216">
        <v>1960</v>
      </c>
      <c r="B9" s="283">
        <v>22098</v>
      </c>
      <c r="C9" s="402" t="s">
        <v>522</v>
      </c>
      <c r="D9" s="402"/>
      <c r="E9" s="171">
        <v>184</v>
      </c>
      <c r="F9" s="171">
        <v>4</v>
      </c>
      <c r="G9" s="233"/>
      <c r="H9" s="171">
        <v>18</v>
      </c>
      <c r="J9" s="241">
        <v>18</v>
      </c>
      <c r="K9" s="214">
        <f t="shared" ref="K9:K69" si="2">G9/J9*100</f>
        <v>0</v>
      </c>
      <c r="L9" s="214">
        <f t="shared" si="0"/>
        <v>100</v>
      </c>
      <c r="M9" s="214">
        <f t="shared" si="1"/>
        <v>0</v>
      </c>
      <c r="N9" s="235">
        <f t="shared" ref="N9:N72" si="3">SUM(K9:M9)</f>
        <v>100</v>
      </c>
      <c r="O9" s="213"/>
      <c r="P9" s="214">
        <v>54.4</v>
      </c>
      <c r="Q9" s="214"/>
      <c r="R9" s="215">
        <f t="shared" ref="R9:R72" si="4">SUM(O9:Q9)</f>
        <v>54.4</v>
      </c>
      <c r="S9" s="171">
        <v>1</v>
      </c>
      <c r="T9" s="285"/>
      <c r="U9" s="283">
        <v>22098</v>
      </c>
      <c r="V9" s="178" t="s">
        <v>128</v>
      </c>
      <c r="W9" s="171" t="s">
        <v>17</v>
      </c>
      <c r="X9" s="171" t="s">
        <v>18</v>
      </c>
      <c r="Y9" s="171">
        <v>43.7</v>
      </c>
      <c r="Z9" s="178" t="s">
        <v>129</v>
      </c>
      <c r="AA9" s="171" t="s">
        <v>81</v>
      </c>
      <c r="AB9" s="171" t="s">
        <v>18</v>
      </c>
      <c r="AC9" s="171">
        <v>10.7</v>
      </c>
      <c r="AD9" s="178"/>
      <c r="AG9" s="179"/>
      <c r="AL9" s="178"/>
      <c r="AO9" s="179"/>
      <c r="AP9" s="178"/>
      <c r="AS9" s="179"/>
      <c r="AW9" s="179"/>
      <c r="BA9" s="180"/>
    </row>
    <row r="10" spans="1:53" s="171" customFormat="1" x14ac:dyDescent="0.15">
      <c r="A10" s="216">
        <v>1961</v>
      </c>
      <c r="B10" s="283"/>
      <c r="C10" s="402" t="s">
        <v>522</v>
      </c>
      <c r="D10" s="402"/>
      <c r="E10" s="171">
        <v>317</v>
      </c>
      <c r="G10" s="233"/>
      <c r="H10" s="171">
        <v>18</v>
      </c>
      <c r="J10" s="241">
        <v>18</v>
      </c>
      <c r="K10" s="214">
        <f t="shared" si="2"/>
        <v>0</v>
      </c>
      <c r="L10" s="214">
        <f t="shared" si="0"/>
        <v>100</v>
      </c>
      <c r="M10" s="214">
        <f t="shared" si="1"/>
        <v>0</v>
      </c>
      <c r="N10" s="235">
        <f t="shared" si="3"/>
        <v>100</v>
      </c>
      <c r="O10" s="213"/>
      <c r="P10" s="214">
        <v>54.4</v>
      </c>
      <c r="Q10" s="214"/>
      <c r="R10" s="215">
        <f t="shared" si="4"/>
        <v>54.4</v>
      </c>
      <c r="S10" s="171">
        <v>1</v>
      </c>
      <c r="T10" s="285"/>
      <c r="U10" s="283"/>
      <c r="V10" s="178" t="s">
        <v>128</v>
      </c>
      <c r="W10" s="171" t="s">
        <v>17</v>
      </c>
      <c r="X10" s="171" t="s">
        <v>18</v>
      </c>
      <c r="Y10" s="171">
        <v>43.7</v>
      </c>
      <c r="Z10" s="178" t="s">
        <v>129</v>
      </c>
      <c r="AA10" s="171" t="s">
        <v>81</v>
      </c>
      <c r="AB10" s="171" t="s">
        <v>18</v>
      </c>
      <c r="AC10" s="171">
        <v>10.7</v>
      </c>
      <c r="AD10" s="178"/>
      <c r="AG10" s="179"/>
      <c r="AL10" s="178"/>
      <c r="AO10" s="179"/>
      <c r="AP10" s="178"/>
      <c r="AS10" s="179"/>
      <c r="AW10" s="179"/>
      <c r="BA10" s="180"/>
    </row>
    <row r="11" spans="1:53" s="29" customFormat="1" x14ac:dyDescent="0.15">
      <c r="A11" s="52">
        <v>1961</v>
      </c>
      <c r="B11" s="295">
        <v>22599</v>
      </c>
      <c r="C11" s="394" t="s">
        <v>523</v>
      </c>
      <c r="D11" s="394"/>
      <c r="E11" s="29">
        <v>48</v>
      </c>
      <c r="F11" s="29">
        <v>1</v>
      </c>
      <c r="G11" s="66">
        <v>5</v>
      </c>
      <c r="H11" s="29">
        <v>16</v>
      </c>
      <c r="J11" s="73">
        <v>21</v>
      </c>
      <c r="K11" s="47">
        <f t="shared" si="2"/>
        <v>23.809523809523807</v>
      </c>
      <c r="L11" s="47">
        <f t="shared" si="0"/>
        <v>76.19047619047619</v>
      </c>
      <c r="M11" s="47">
        <f t="shared" si="1"/>
        <v>0</v>
      </c>
      <c r="N11" s="68">
        <f t="shared" si="3"/>
        <v>100</v>
      </c>
      <c r="O11" s="46">
        <v>13.4</v>
      </c>
      <c r="P11" s="47">
        <v>48.5</v>
      </c>
      <c r="Q11" s="47"/>
      <c r="R11" s="48">
        <f t="shared" si="4"/>
        <v>61.9</v>
      </c>
      <c r="S11" s="29">
        <v>2</v>
      </c>
      <c r="T11" s="286">
        <v>22541</v>
      </c>
      <c r="U11" s="295">
        <v>22599</v>
      </c>
      <c r="V11" s="38" t="s">
        <v>128</v>
      </c>
      <c r="W11" s="29" t="s">
        <v>17</v>
      </c>
      <c r="X11" s="29" t="s">
        <v>18</v>
      </c>
      <c r="Y11" s="29">
        <v>38.5</v>
      </c>
      <c r="Z11" s="38" t="s">
        <v>129</v>
      </c>
      <c r="AA11" s="29" t="s">
        <v>81</v>
      </c>
      <c r="AB11" s="29" t="s">
        <v>18</v>
      </c>
      <c r="AC11" s="29">
        <v>10</v>
      </c>
      <c r="AD11" s="38" t="s">
        <v>131</v>
      </c>
      <c r="AE11" s="29" t="s">
        <v>22</v>
      </c>
      <c r="AF11" s="29" t="s">
        <v>11</v>
      </c>
      <c r="AG11" s="39">
        <v>13.4</v>
      </c>
      <c r="AL11" s="38"/>
      <c r="AO11" s="39"/>
      <c r="AP11" s="38"/>
      <c r="AS11" s="39"/>
      <c r="AW11" s="39"/>
      <c r="BA11" s="40"/>
    </row>
    <row r="12" spans="1:53" s="29" customFormat="1" x14ac:dyDescent="0.15">
      <c r="A12" s="52">
        <v>1962</v>
      </c>
      <c r="B12" s="295"/>
      <c r="C12" s="394" t="s">
        <v>523</v>
      </c>
      <c r="D12" s="394"/>
      <c r="E12" s="29">
        <v>322</v>
      </c>
      <c r="G12" s="66">
        <v>5</v>
      </c>
      <c r="H12" s="29">
        <v>16</v>
      </c>
      <c r="J12" s="73">
        <v>21</v>
      </c>
      <c r="K12" s="47">
        <f t="shared" si="2"/>
        <v>23.809523809523807</v>
      </c>
      <c r="L12" s="47">
        <f t="shared" si="0"/>
        <v>76.19047619047619</v>
      </c>
      <c r="M12" s="47">
        <f t="shared" si="1"/>
        <v>0</v>
      </c>
      <c r="N12" s="68">
        <f t="shared" si="3"/>
        <v>100</v>
      </c>
      <c r="O12" s="46">
        <v>13.4</v>
      </c>
      <c r="P12" s="47">
        <v>48.5</v>
      </c>
      <c r="Q12" s="47"/>
      <c r="R12" s="48">
        <f t="shared" si="4"/>
        <v>61.9</v>
      </c>
      <c r="S12" s="29">
        <v>2</v>
      </c>
      <c r="T12" s="286"/>
      <c r="U12" s="295"/>
      <c r="V12" s="38" t="s">
        <v>128</v>
      </c>
      <c r="W12" s="29" t="s">
        <v>17</v>
      </c>
      <c r="X12" s="29" t="s">
        <v>18</v>
      </c>
      <c r="Y12" s="29">
        <v>38.5</v>
      </c>
      <c r="Z12" s="38" t="s">
        <v>129</v>
      </c>
      <c r="AA12" s="29" t="s">
        <v>81</v>
      </c>
      <c r="AB12" s="29" t="s">
        <v>18</v>
      </c>
      <c r="AC12" s="29">
        <v>10</v>
      </c>
      <c r="AD12" s="38" t="s">
        <v>131</v>
      </c>
      <c r="AE12" s="29" t="s">
        <v>22</v>
      </c>
      <c r="AF12" s="29" t="s">
        <v>11</v>
      </c>
      <c r="AG12" s="39">
        <v>13.4</v>
      </c>
      <c r="AL12" s="38"/>
      <c r="AO12" s="39"/>
      <c r="AP12" s="38"/>
      <c r="AS12" s="39"/>
      <c r="AW12" s="39"/>
      <c r="BA12" s="40"/>
    </row>
    <row r="13" spans="1:53" s="171" customFormat="1" x14ac:dyDescent="0.15">
      <c r="A13" s="216">
        <v>1962</v>
      </c>
      <c r="B13" s="283">
        <v>22969</v>
      </c>
      <c r="C13" s="402" t="s">
        <v>524</v>
      </c>
      <c r="D13" s="402"/>
      <c r="E13" s="171">
        <v>25</v>
      </c>
      <c r="F13" s="171">
        <v>4</v>
      </c>
      <c r="G13" s="233"/>
      <c r="H13" s="171">
        <v>16</v>
      </c>
      <c r="J13" s="241">
        <v>16</v>
      </c>
      <c r="K13" s="214">
        <f t="shared" si="2"/>
        <v>0</v>
      </c>
      <c r="L13" s="214">
        <f t="shared" si="0"/>
        <v>100</v>
      </c>
      <c r="M13" s="214">
        <f t="shared" si="1"/>
        <v>0</v>
      </c>
      <c r="N13" s="235">
        <f t="shared" si="3"/>
        <v>100</v>
      </c>
      <c r="O13" s="213"/>
      <c r="P13" s="214">
        <v>48.5</v>
      </c>
      <c r="Q13" s="214"/>
      <c r="R13" s="215">
        <f t="shared" si="4"/>
        <v>48.5</v>
      </c>
      <c r="S13" s="171">
        <v>6</v>
      </c>
      <c r="T13" s="285"/>
      <c r="U13" s="283">
        <v>22969</v>
      </c>
      <c r="V13" s="178" t="s">
        <v>128</v>
      </c>
      <c r="W13" s="171" t="s">
        <v>17</v>
      </c>
      <c r="X13" s="171" t="s">
        <v>18</v>
      </c>
      <c r="Y13" s="171">
        <v>38.5</v>
      </c>
      <c r="Z13" s="178" t="s">
        <v>129</v>
      </c>
      <c r="AA13" s="171" t="s">
        <v>81</v>
      </c>
      <c r="AB13" s="171" t="s">
        <v>18</v>
      </c>
      <c r="AC13" s="171">
        <v>10</v>
      </c>
      <c r="AD13" s="178"/>
      <c r="AG13" s="179"/>
      <c r="AL13" s="178"/>
      <c r="AO13" s="179"/>
      <c r="AP13" s="178"/>
      <c r="AS13" s="179"/>
      <c r="AW13" s="179"/>
      <c r="BA13" s="180"/>
    </row>
    <row r="14" spans="1:53" s="29" customFormat="1" x14ac:dyDescent="0.15">
      <c r="A14" s="52">
        <v>1962</v>
      </c>
      <c r="B14" s="295">
        <v>22994</v>
      </c>
      <c r="C14" s="394" t="s">
        <v>525</v>
      </c>
      <c r="D14" s="394"/>
      <c r="E14" s="29">
        <v>18</v>
      </c>
      <c r="F14" s="29">
        <v>7</v>
      </c>
      <c r="G14" s="66">
        <v>5</v>
      </c>
      <c r="H14" s="29">
        <v>16</v>
      </c>
      <c r="J14" s="73">
        <v>21</v>
      </c>
      <c r="K14" s="47">
        <f t="shared" si="2"/>
        <v>23.809523809523807</v>
      </c>
      <c r="L14" s="47">
        <f t="shared" si="0"/>
        <v>76.19047619047619</v>
      </c>
      <c r="M14" s="47">
        <f t="shared" si="1"/>
        <v>0</v>
      </c>
      <c r="N14" s="68">
        <f t="shared" si="3"/>
        <v>100</v>
      </c>
      <c r="O14" s="46">
        <v>13.4</v>
      </c>
      <c r="P14" s="47">
        <v>48.5</v>
      </c>
      <c r="Q14" s="47"/>
      <c r="R14" s="48">
        <f t="shared" si="4"/>
        <v>61.9</v>
      </c>
      <c r="S14" s="29">
        <v>2</v>
      </c>
      <c r="T14" s="286"/>
      <c r="U14" s="295">
        <v>22994</v>
      </c>
      <c r="V14" s="38" t="s">
        <v>128</v>
      </c>
      <c r="W14" s="29" t="s">
        <v>17</v>
      </c>
      <c r="X14" s="29" t="s">
        <v>18</v>
      </c>
      <c r="Y14" s="29">
        <v>38.5</v>
      </c>
      <c r="Z14" s="38" t="s">
        <v>129</v>
      </c>
      <c r="AA14" s="29" t="s">
        <v>81</v>
      </c>
      <c r="AB14" s="29" t="s">
        <v>18</v>
      </c>
      <c r="AC14" s="29">
        <v>10</v>
      </c>
      <c r="AD14" s="38" t="s">
        <v>131</v>
      </c>
      <c r="AE14" s="29" t="s">
        <v>22</v>
      </c>
      <c r="AF14" s="29" t="s">
        <v>11</v>
      </c>
      <c r="AG14" s="39">
        <v>13.4</v>
      </c>
      <c r="AL14" s="38"/>
      <c r="AO14" s="39"/>
      <c r="AP14" s="38"/>
      <c r="AS14" s="39"/>
      <c r="AW14" s="39"/>
      <c r="BA14" s="40"/>
    </row>
    <row r="15" spans="1:53" s="29" customFormat="1" x14ac:dyDescent="0.15">
      <c r="A15" s="52">
        <v>1962.6</v>
      </c>
      <c r="B15" s="295"/>
      <c r="C15" s="394" t="s">
        <v>525</v>
      </c>
      <c r="D15" s="394"/>
      <c r="E15" s="29">
        <v>288</v>
      </c>
      <c r="G15" s="66">
        <v>5</v>
      </c>
      <c r="H15" s="29">
        <v>16</v>
      </c>
      <c r="J15" s="73">
        <v>21</v>
      </c>
      <c r="K15" s="47">
        <f t="shared" si="2"/>
        <v>23.809523809523807</v>
      </c>
      <c r="L15" s="47">
        <f t="shared" si="0"/>
        <v>76.19047619047619</v>
      </c>
      <c r="M15" s="47">
        <f t="shared" si="1"/>
        <v>0</v>
      </c>
      <c r="N15" s="68">
        <f t="shared" si="3"/>
        <v>100</v>
      </c>
      <c r="O15" s="46">
        <v>13.4</v>
      </c>
      <c r="P15" s="47">
        <v>48.5</v>
      </c>
      <c r="Q15" s="47"/>
      <c r="R15" s="48">
        <f t="shared" si="4"/>
        <v>61.9</v>
      </c>
      <c r="S15" s="29">
        <v>2</v>
      </c>
      <c r="T15" s="286"/>
      <c r="U15" s="295"/>
      <c r="V15" s="38" t="s">
        <v>128</v>
      </c>
      <c r="W15" s="29" t="s">
        <v>17</v>
      </c>
      <c r="X15" s="29" t="s">
        <v>18</v>
      </c>
      <c r="Y15" s="29">
        <v>38.5</v>
      </c>
      <c r="Z15" s="38" t="s">
        <v>129</v>
      </c>
      <c r="AA15" s="29" t="s">
        <v>81</v>
      </c>
      <c r="AB15" s="29" t="s">
        <v>18</v>
      </c>
      <c r="AC15" s="29">
        <v>10</v>
      </c>
      <c r="AD15" s="38" t="s">
        <v>131</v>
      </c>
      <c r="AE15" s="29" t="s">
        <v>22</v>
      </c>
      <c r="AF15" s="29" t="s">
        <v>11</v>
      </c>
      <c r="AG15" s="39">
        <v>13.4</v>
      </c>
      <c r="AL15" s="38"/>
      <c r="AO15" s="39"/>
      <c r="AP15" s="38"/>
      <c r="AS15" s="39"/>
      <c r="AW15" s="39"/>
      <c r="BA15" s="40"/>
    </row>
    <row r="16" spans="1:53" s="171" customFormat="1" x14ac:dyDescent="0.15">
      <c r="A16" s="216">
        <v>1963.05714285714</v>
      </c>
      <c r="B16" s="283">
        <v>23300</v>
      </c>
      <c r="C16" s="402" t="s">
        <v>526</v>
      </c>
      <c r="D16" s="402"/>
      <c r="E16" s="171">
        <v>77</v>
      </c>
      <c r="F16" s="171">
        <v>2</v>
      </c>
      <c r="G16" s="233">
        <v>5</v>
      </c>
      <c r="H16" s="171">
        <v>15</v>
      </c>
      <c r="J16" s="241">
        <v>20</v>
      </c>
      <c r="K16" s="214">
        <f t="shared" si="2"/>
        <v>25</v>
      </c>
      <c r="L16" s="214">
        <f t="shared" si="0"/>
        <v>75</v>
      </c>
      <c r="M16" s="214">
        <f t="shared" si="1"/>
        <v>0</v>
      </c>
      <c r="N16" s="235">
        <f t="shared" si="3"/>
        <v>100</v>
      </c>
      <c r="O16" s="213">
        <v>13.4</v>
      </c>
      <c r="P16" s="214">
        <v>48.5</v>
      </c>
      <c r="Q16" s="214"/>
      <c r="R16" s="215">
        <f t="shared" si="4"/>
        <v>61.9</v>
      </c>
      <c r="S16" s="171">
        <v>2</v>
      </c>
      <c r="T16" s="285"/>
      <c r="U16" s="283">
        <v>23300</v>
      </c>
      <c r="V16" s="178" t="s">
        <v>128</v>
      </c>
      <c r="W16" s="171" t="s">
        <v>17</v>
      </c>
      <c r="X16" s="171" t="s">
        <v>18</v>
      </c>
      <c r="Y16" s="171">
        <v>38.5</v>
      </c>
      <c r="Z16" s="178" t="s">
        <v>129</v>
      </c>
      <c r="AA16" s="171" t="s">
        <v>81</v>
      </c>
      <c r="AB16" s="171" t="s">
        <v>18</v>
      </c>
      <c r="AC16" s="171">
        <v>10</v>
      </c>
      <c r="AD16" s="178" t="s">
        <v>131</v>
      </c>
      <c r="AE16" s="171" t="s">
        <v>22</v>
      </c>
      <c r="AF16" s="171" t="s">
        <v>11</v>
      </c>
      <c r="AG16" s="179">
        <v>13.4</v>
      </c>
      <c r="AL16" s="178"/>
      <c r="AO16" s="179"/>
      <c r="AP16" s="178"/>
      <c r="AS16" s="179"/>
      <c r="AW16" s="179"/>
      <c r="BA16" s="180"/>
    </row>
    <row r="17" spans="1:53" s="171" customFormat="1" x14ac:dyDescent="0.15">
      <c r="A17" s="216">
        <v>1963.5142857142901</v>
      </c>
      <c r="B17" s="283"/>
      <c r="C17" s="402" t="s">
        <v>526</v>
      </c>
      <c r="D17" s="402"/>
      <c r="E17" s="171">
        <v>0</v>
      </c>
      <c r="G17" s="233">
        <v>5</v>
      </c>
      <c r="H17" s="171">
        <v>15</v>
      </c>
      <c r="J17" s="241">
        <v>20</v>
      </c>
      <c r="K17" s="214">
        <f t="shared" si="2"/>
        <v>25</v>
      </c>
      <c r="L17" s="214">
        <f t="shared" si="0"/>
        <v>75</v>
      </c>
      <c r="M17" s="214">
        <f t="shared" si="1"/>
        <v>0</v>
      </c>
      <c r="N17" s="235">
        <f t="shared" si="3"/>
        <v>100</v>
      </c>
      <c r="O17" s="213">
        <v>13.4</v>
      </c>
      <c r="P17" s="214">
        <v>48.5</v>
      </c>
      <c r="Q17" s="214"/>
      <c r="R17" s="215">
        <f t="shared" si="4"/>
        <v>61.9</v>
      </c>
      <c r="S17" s="171">
        <v>2</v>
      </c>
      <c r="T17" s="285"/>
      <c r="U17" s="283"/>
      <c r="V17" s="178" t="s">
        <v>128</v>
      </c>
      <c r="W17" s="171" t="s">
        <v>17</v>
      </c>
      <c r="X17" s="171" t="s">
        <v>18</v>
      </c>
      <c r="Y17" s="171">
        <v>38.5</v>
      </c>
      <c r="Z17" s="178" t="s">
        <v>129</v>
      </c>
      <c r="AA17" s="171" t="s">
        <v>81</v>
      </c>
      <c r="AB17" s="171" t="s">
        <v>18</v>
      </c>
      <c r="AC17" s="171">
        <v>10</v>
      </c>
      <c r="AD17" s="178" t="s">
        <v>131</v>
      </c>
      <c r="AE17" s="171" t="s">
        <v>22</v>
      </c>
      <c r="AF17" s="171" t="s">
        <v>11</v>
      </c>
      <c r="AG17" s="179">
        <v>13.4</v>
      </c>
      <c r="AL17" s="178"/>
      <c r="AO17" s="179"/>
      <c r="AP17" s="178"/>
      <c r="AS17" s="179"/>
      <c r="AW17" s="179"/>
      <c r="BA17" s="180"/>
    </row>
    <row r="18" spans="1:53" s="171" customFormat="1" x14ac:dyDescent="0.15">
      <c r="A18" s="216">
        <v>1963.9714285714299</v>
      </c>
      <c r="B18" s="283"/>
      <c r="C18" s="402" t="s">
        <v>526</v>
      </c>
      <c r="D18" s="402"/>
      <c r="E18" s="171">
        <v>366</v>
      </c>
      <c r="G18" s="233">
        <v>5</v>
      </c>
      <c r="H18" s="171">
        <v>15</v>
      </c>
      <c r="J18" s="241">
        <v>20</v>
      </c>
      <c r="K18" s="214">
        <f t="shared" si="2"/>
        <v>25</v>
      </c>
      <c r="L18" s="214">
        <f t="shared" si="0"/>
        <v>75</v>
      </c>
      <c r="M18" s="214">
        <f t="shared" si="1"/>
        <v>0</v>
      </c>
      <c r="N18" s="235">
        <f t="shared" si="3"/>
        <v>100</v>
      </c>
      <c r="O18" s="213">
        <v>13.4</v>
      </c>
      <c r="P18" s="214">
        <v>48.5</v>
      </c>
      <c r="Q18" s="214"/>
      <c r="R18" s="215">
        <f t="shared" si="4"/>
        <v>61.9</v>
      </c>
      <c r="S18" s="171">
        <v>2</v>
      </c>
      <c r="T18" s="285"/>
      <c r="U18" s="283"/>
      <c r="V18" s="178" t="s">
        <v>128</v>
      </c>
      <c r="W18" s="171" t="s">
        <v>17</v>
      </c>
      <c r="X18" s="171" t="s">
        <v>18</v>
      </c>
      <c r="Y18" s="171">
        <v>38.5</v>
      </c>
      <c r="Z18" s="178" t="s">
        <v>129</v>
      </c>
      <c r="AA18" s="171" t="s">
        <v>81</v>
      </c>
      <c r="AB18" s="171" t="s">
        <v>18</v>
      </c>
      <c r="AC18" s="171">
        <v>10</v>
      </c>
      <c r="AD18" s="178" t="s">
        <v>131</v>
      </c>
      <c r="AE18" s="171" t="s">
        <v>22</v>
      </c>
      <c r="AF18" s="171" t="s">
        <v>11</v>
      </c>
      <c r="AG18" s="179">
        <v>13.4</v>
      </c>
      <c r="AL18" s="178"/>
      <c r="AO18" s="179"/>
      <c r="AP18" s="178"/>
      <c r="AS18" s="179"/>
      <c r="AW18" s="179"/>
      <c r="BA18" s="180"/>
    </row>
    <row r="19" spans="1:53" s="171" customFormat="1" x14ac:dyDescent="0.15">
      <c r="A19" s="216">
        <v>1965</v>
      </c>
      <c r="B19" s="283"/>
      <c r="C19" s="402" t="s">
        <v>526</v>
      </c>
      <c r="D19" s="402"/>
      <c r="E19" s="171">
        <v>298</v>
      </c>
      <c r="G19" s="233">
        <v>5</v>
      </c>
      <c r="H19" s="171">
        <v>15</v>
      </c>
      <c r="J19" s="241">
        <v>20</v>
      </c>
      <c r="K19" s="214">
        <f t="shared" si="2"/>
        <v>25</v>
      </c>
      <c r="L19" s="214">
        <f t="shared" si="0"/>
        <v>75</v>
      </c>
      <c r="M19" s="214">
        <f t="shared" si="1"/>
        <v>0</v>
      </c>
      <c r="N19" s="235">
        <f t="shared" si="3"/>
        <v>100</v>
      </c>
      <c r="O19" s="213">
        <v>13.4</v>
      </c>
      <c r="P19" s="214">
        <v>48.5</v>
      </c>
      <c r="Q19" s="214"/>
      <c r="R19" s="215">
        <f t="shared" si="4"/>
        <v>61.9</v>
      </c>
      <c r="S19" s="171">
        <v>2</v>
      </c>
      <c r="T19" s="285"/>
      <c r="U19" s="283"/>
      <c r="V19" s="178" t="s">
        <v>128</v>
      </c>
      <c r="W19" s="171" t="s">
        <v>17</v>
      </c>
      <c r="X19" s="171" t="s">
        <v>18</v>
      </c>
      <c r="Y19" s="171">
        <v>38.5</v>
      </c>
      <c r="Z19" s="178" t="s">
        <v>129</v>
      </c>
      <c r="AA19" s="171" t="s">
        <v>81</v>
      </c>
      <c r="AB19" s="171" t="s">
        <v>18</v>
      </c>
      <c r="AC19" s="171">
        <v>10</v>
      </c>
      <c r="AD19" s="178" t="s">
        <v>131</v>
      </c>
      <c r="AE19" s="171" t="s">
        <v>22</v>
      </c>
      <c r="AF19" s="171" t="s">
        <v>11</v>
      </c>
      <c r="AG19" s="179">
        <v>13.4</v>
      </c>
      <c r="AL19" s="178"/>
      <c r="AO19" s="179"/>
      <c r="AP19" s="178"/>
      <c r="AS19" s="179"/>
      <c r="AW19" s="179"/>
      <c r="BA19" s="180"/>
    </row>
    <row r="20" spans="1:53" s="29" customFormat="1" x14ac:dyDescent="0.15">
      <c r="A20" s="52">
        <v>1964.88571428572</v>
      </c>
      <c r="B20" s="295">
        <v>24041</v>
      </c>
      <c r="C20" s="394" t="s">
        <v>527</v>
      </c>
      <c r="D20" s="394"/>
      <c r="E20" s="29">
        <v>67</v>
      </c>
      <c r="F20" s="29">
        <v>1</v>
      </c>
      <c r="G20" s="66">
        <v>4</v>
      </c>
      <c r="H20" s="29">
        <v>17</v>
      </c>
      <c r="J20" s="73">
        <v>21</v>
      </c>
      <c r="K20" s="47">
        <f t="shared" si="2"/>
        <v>19.047619047619047</v>
      </c>
      <c r="L20" s="47">
        <f t="shared" si="0"/>
        <v>80.952380952380949</v>
      </c>
      <c r="M20" s="47">
        <f t="shared" si="1"/>
        <v>0</v>
      </c>
      <c r="N20" s="68">
        <f t="shared" si="3"/>
        <v>100</v>
      </c>
      <c r="O20" s="46">
        <v>9.9</v>
      </c>
      <c r="P20" s="47">
        <v>49.4</v>
      </c>
      <c r="Q20" s="47"/>
      <c r="R20" s="48">
        <f t="shared" si="4"/>
        <v>59.3</v>
      </c>
      <c r="S20" s="29">
        <v>2</v>
      </c>
      <c r="T20" s="286">
        <v>24004</v>
      </c>
      <c r="U20" s="295">
        <v>24041</v>
      </c>
      <c r="V20" s="38" t="s">
        <v>128</v>
      </c>
      <c r="W20" s="29" t="s">
        <v>17</v>
      </c>
      <c r="X20" s="29" t="s">
        <v>18</v>
      </c>
      <c r="Y20" s="29">
        <v>39.5</v>
      </c>
      <c r="Z20" s="38" t="s">
        <v>129</v>
      </c>
      <c r="AA20" s="29" t="s">
        <v>81</v>
      </c>
      <c r="AB20" s="29" t="s">
        <v>18</v>
      </c>
      <c r="AC20" s="29">
        <v>9.9</v>
      </c>
      <c r="AD20" s="38" t="s">
        <v>131</v>
      </c>
      <c r="AE20" s="29" t="s">
        <v>22</v>
      </c>
      <c r="AF20" s="29" t="s">
        <v>11</v>
      </c>
      <c r="AG20" s="39">
        <v>9.9</v>
      </c>
      <c r="AL20" s="38"/>
      <c r="AO20" s="39"/>
      <c r="AP20" s="38"/>
      <c r="AS20" s="39"/>
      <c r="AW20" s="39"/>
      <c r="BA20" s="40"/>
    </row>
    <row r="21" spans="1:53" s="29" customFormat="1" x14ac:dyDescent="0.15">
      <c r="A21" s="52">
        <v>1966</v>
      </c>
      <c r="B21" s="295"/>
      <c r="C21" s="394" t="s">
        <v>527</v>
      </c>
      <c r="D21" s="394"/>
      <c r="E21" s="29">
        <v>300</v>
      </c>
      <c r="G21" s="66">
        <v>4</v>
      </c>
      <c r="H21" s="29">
        <v>17</v>
      </c>
      <c r="J21" s="73">
        <v>21</v>
      </c>
      <c r="K21" s="47">
        <f t="shared" si="2"/>
        <v>19.047619047619047</v>
      </c>
      <c r="L21" s="47">
        <f t="shared" si="0"/>
        <v>80.952380952380949</v>
      </c>
      <c r="M21" s="47">
        <f t="shared" si="1"/>
        <v>0</v>
      </c>
      <c r="N21" s="68">
        <f t="shared" si="3"/>
        <v>100</v>
      </c>
      <c r="O21" s="46">
        <v>9.9</v>
      </c>
      <c r="P21" s="47">
        <v>49.4</v>
      </c>
      <c r="Q21" s="47"/>
      <c r="R21" s="48">
        <f t="shared" si="4"/>
        <v>59.3</v>
      </c>
      <c r="S21" s="29">
        <v>2</v>
      </c>
      <c r="T21" s="286"/>
      <c r="U21" s="295"/>
      <c r="V21" s="38" t="s">
        <v>128</v>
      </c>
      <c r="W21" s="29" t="s">
        <v>17</v>
      </c>
      <c r="X21" s="29" t="s">
        <v>18</v>
      </c>
      <c r="Y21" s="29">
        <v>39.5</v>
      </c>
      <c r="Z21" s="38" t="s">
        <v>129</v>
      </c>
      <c r="AA21" s="29" t="s">
        <v>81</v>
      </c>
      <c r="AB21" s="29" t="s">
        <v>18</v>
      </c>
      <c r="AC21" s="29">
        <v>9.9</v>
      </c>
      <c r="AD21" s="38" t="s">
        <v>131</v>
      </c>
      <c r="AE21" s="29" t="s">
        <v>22</v>
      </c>
      <c r="AF21" s="29" t="s">
        <v>11</v>
      </c>
      <c r="AG21" s="39">
        <v>9.9</v>
      </c>
      <c r="AL21" s="38"/>
      <c r="AO21" s="39"/>
      <c r="AP21" s="38"/>
      <c r="AS21" s="39"/>
      <c r="AW21" s="39"/>
      <c r="BA21" s="40"/>
    </row>
    <row r="22" spans="1:53" s="171" customFormat="1" x14ac:dyDescent="0.15">
      <c r="A22" s="216">
        <v>1965.8</v>
      </c>
      <c r="B22" s="283">
        <v>24408</v>
      </c>
      <c r="C22" s="402" t="s">
        <v>528</v>
      </c>
      <c r="D22" s="402"/>
      <c r="E22" s="171">
        <v>34</v>
      </c>
      <c r="F22" s="171">
        <v>4</v>
      </c>
      <c r="G22" s="233"/>
      <c r="H22" s="171">
        <v>18</v>
      </c>
      <c r="J22" s="241">
        <v>18</v>
      </c>
      <c r="K22" s="214">
        <f t="shared" si="2"/>
        <v>0</v>
      </c>
      <c r="L22" s="214">
        <f t="shared" si="0"/>
        <v>100</v>
      </c>
      <c r="M22" s="214">
        <f t="shared" si="1"/>
        <v>0</v>
      </c>
      <c r="N22" s="235">
        <f t="shared" si="3"/>
        <v>100</v>
      </c>
      <c r="O22" s="213"/>
      <c r="P22" s="214">
        <v>49.4</v>
      </c>
      <c r="Q22" s="214"/>
      <c r="R22" s="215">
        <f t="shared" si="4"/>
        <v>49.4</v>
      </c>
      <c r="S22" s="171">
        <v>6</v>
      </c>
      <c r="T22" s="285"/>
      <c r="U22" s="283">
        <v>24408</v>
      </c>
      <c r="V22" s="178" t="s">
        <v>128</v>
      </c>
      <c r="W22" s="171" t="s">
        <v>17</v>
      </c>
      <c r="X22" s="171" t="s">
        <v>18</v>
      </c>
      <c r="Y22" s="171">
        <v>39.5</v>
      </c>
      <c r="Z22" s="178" t="s">
        <v>129</v>
      </c>
      <c r="AA22" s="171" t="s">
        <v>81</v>
      </c>
      <c r="AB22" s="171" t="s">
        <v>18</v>
      </c>
      <c r="AC22" s="171">
        <v>9.9</v>
      </c>
      <c r="AD22" s="178"/>
      <c r="AG22" s="179"/>
      <c r="AL22" s="178"/>
      <c r="AO22" s="179"/>
      <c r="AP22" s="178"/>
      <c r="AS22" s="179"/>
      <c r="AW22" s="179"/>
      <c r="BA22" s="180"/>
    </row>
    <row r="23" spans="1:53" s="29" customFormat="1" x14ac:dyDescent="0.15">
      <c r="A23" s="52">
        <v>1965.8</v>
      </c>
      <c r="B23" s="295">
        <v>24442</v>
      </c>
      <c r="C23" s="394" t="s">
        <v>529</v>
      </c>
      <c r="D23" s="394"/>
      <c r="E23" s="29">
        <v>31</v>
      </c>
      <c r="F23" s="29">
        <v>2</v>
      </c>
      <c r="G23" s="66"/>
      <c r="H23" s="29">
        <v>11</v>
      </c>
      <c r="I23" s="29">
        <v>9</v>
      </c>
      <c r="J23" s="73">
        <v>20</v>
      </c>
      <c r="K23" s="47">
        <f t="shared" si="2"/>
        <v>0</v>
      </c>
      <c r="L23" s="47">
        <f t="shared" si="0"/>
        <v>55.000000000000007</v>
      </c>
      <c r="M23" s="47">
        <f t="shared" si="1"/>
        <v>45</v>
      </c>
      <c r="N23" s="68">
        <f t="shared" si="3"/>
        <v>100</v>
      </c>
      <c r="O23" s="46"/>
      <c r="P23" s="47">
        <v>49.4</v>
      </c>
      <c r="Q23" s="47">
        <v>40.700000000000003</v>
      </c>
      <c r="R23" s="48">
        <f t="shared" si="4"/>
        <v>90.1</v>
      </c>
      <c r="S23" s="29">
        <v>2</v>
      </c>
      <c r="T23" s="286"/>
      <c r="U23" s="295">
        <v>24442</v>
      </c>
      <c r="V23" s="38" t="s">
        <v>128</v>
      </c>
      <c r="W23" s="29" t="s">
        <v>17</v>
      </c>
      <c r="X23" s="29" t="s">
        <v>18</v>
      </c>
      <c r="Y23" s="29">
        <v>39.5</v>
      </c>
      <c r="Z23" s="38" t="s">
        <v>129</v>
      </c>
      <c r="AA23" s="29" t="s">
        <v>81</v>
      </c>
      <c r="AB23" s="29" t="s">
        <v>18</v>
      </c>
      <c r="AC23" s="29">
        <v>9.9</v>
      </c>
      <c r="AD23" s="38" t="s">
        <v>132</v>
      </c>
      <c r="AE23" s="29" t="s">
        <v>20</v>
      </c>
      <c r="AF23" s="29" t="s">
        <v>12</v>
      </c>
      <c r="AG23" s="39">
        <v>40.700000000000003</v>
      </c>
      <c r="AL23" s="38"/>
      <c r="AO23" s="39"/>
      <c r="AP23" s="38"/>
      <c r="AS23" s="39"/>
      <c r="AW23" s="39"/>
      <c r="BA23" s="40"/>
    </row>
    <row r="24" spans="1:53" s="29" customFormat="1" x14ac:dyDescent="0.15">
      <c r="A24" s="52">
        <v>1967</v>
      </c>
      <c r="B24" s="295"/>
      <c r="C24" s="394" t="s">
        <v>529</v>
      </c>
      <c r="D24" s="394"/>
      <c r="E24" s="29">
        <v>0</v>
      </c>
      <c r="G24" s="66"/>
      <c r="H24" s="29">
        <v>11</v>
      </c>
      <c r="I24" s="29">
        <v>9</v>
      </c>
      <c r="J24" s="73">
        <v>20</v>
      </c>
      <c r="K24" s="47">
        <f t="shared" si="2"/>
        <v>0</v>
      </c>
      <c r="L24" s="47">
        <f t="shared" si="0"/>
        <v>55.000000000000007</v>
      </c>
      <c r="M24" s="47">
        <f t="shared" si="1"/>
        <v>45</v>
      </c>
      <c r="N24" s="68">
        <f t="shared" si="3"/>
        <v>100</v>
      </c>
      <c r="O24" s="46"/>
      <c r="P24" s="47">
        <v>49.4</v>
      </c>
      <c r="Q24" s="47">
        <v>40.700000000000003</v>
      </c>
      <c r="R24" s="48">
        <f t="shared" si="4"/>
        <v>90.1</v>
      </c>
      <c r="S24" s="29">
        <v>2</v>
      </c>
      <c r="T24" s="286"/>
      <c r="U24" s="295"/>
      <c r="V24" s="38" t="s">
        <v>128</v>
      </c>
      <c r="W24" s="29" t="s">
        <v>17</v>
      </c>
      <c r="X24" s="29" t="s">
        <v>18</v>
      </c>
      <c r="Y24" s="29">
        <v>39.5</v>
      </c>
      <c r="Z24" s="38" t="s">
        <v>129</v>
      </c>
      <c r="AA24" s="29" t="s">
        <v>81</v>
      </c>
      <c r="AB24" s="29" t="s">
        <v>18</v>
      </c>
      <c r="AC24" s="29">
        <v>9.9</v>
      </c>
      <c r="AD24" s="38" t="s">
        <v>132</v>
      </c>
      <c r="AE24" s="29" t="s">
        <v>20</v>
      </c>
      <c r="AF24" s="29" t="s">
        <v>12</v>
      </c>
      <c r="AG24" s="39">
        <v>40.700000000000003</v>
      </c>
      <c r="AL24" s="38"/>
      <c r="AO24" s="39"/>
      <c r="AP24" s="38"/>
      <c r="AS24" s="39"/>
      <c r="AW24" s="39"/>
      <c r="BA24" s="40"/>
    </row>
    <row r="25" spans="1:53" s="29" customFormat="1" x14ac:dyDescent="0.15">
      <c r="A25" s="52">
        <v>1966.7142857142901</v>
      </c>
      <c r="B25" s="295"/>
      <c r="C25" s="394" t="s">
        <v>529</v>
      </c>
      <c r="D25" s="394"/>
      <c r="E25" s="29">
        <v>365</v>
      </c>
      <c r="G25" s="66"/>
      <c r="H25" s="29">
        <v>11</v>
      </c>
      <c r="I25" s="29">
        <v>9</v>
      </c>
      <c r="J25" s="73">
        <v>20</v>
      </c>
      <c r="K25" s="47">
        <f t="shared" si="2"/>
        <v>0</v>
      </c>
      <c r="L25" s="47">
        <f t="shared" si="0"/>
        <v>55.000000000000007</v>
      </c>
      <c r="M25" s="47">
        <f t="shared" si="1"/>
        <v>45</v>
      </c>
      <c r="N25" s="68">
        <f t="shared" si="3"/>
        <v>100</v>
      </c>
      <c r="O25" s="46"/>
      <c r="P25" s="47">
        <v>49.4</v>
      </c>
      <c r="Q25" s="47">
        <v>40.700000000000003</v>
      </c>
      <c r="R25" s="48">
        <f t="shared" si="4"/>
        <v>90.1</v>
      </c>
      <c r="S25" s="29">
        <v>2</v>
      </c>
      <c r="T25" s="286"/>
      <c r="U25" s="295"/>
      <c r="V25" s="38" t="s">
        <v>128</v>
      </c>
      <c r="W25" s="29" t="s">
        <v>17</v>
      </c>
      <c r="X25" s="29" t="s">
        <v>18</v>
      </c>
      <c r="Y25" s="29">
        <v>39.5</v>
      </c>
      <c r="Z25" s="38" t="s">
        <v>129</v>
      </c>
      <c r="AA25" s="29" t="s">
        <v>81</v>
      </c>
      <c r="AB25" s="29" t="s">
        <v>18</v>
      </c>
      <c r="AC25" s="29">
        <v>9.9</v>
      </c>
      <c r="AD25" s="38" t="s">
        <v>132</v>
      </c>
      <c r="AE25" s="29" t="s">
        <v>20</v>
      </c>
      <c r="AF25" s="29" t="s">
        <v>12</v>
      </c>
      <c r="AG25" s="39">
        <v>40.700000000000003</v>
      </c>
      <c r="AL25" s="38"/>
      <c r="AO25" s="39"/>
      <c r="AP25" s="38"/>
      <c r="AS25" s="39"/>
      <c r="AW25" s="39"/>
      <c r="BA25" s="40"/>
    </row>
    <row r="26" spans="1:53" s="29" customFormat="1" x14ac:dyDescent="0.15">
      <c r="A26" s="52">
        <v>1968</v>
      </c>
      <c r="B26" s="295"/>
      <c r="C26" s="394" t="s">
        <v>529</v>
      </c>
      <c r="D26" s="394"/>
      <c r="E26" s="29">
        <v>0</v>
      </c>
      <c r="G26" s="66"/>
      <c r="H26" s="29">
        <v>11</v>
      </c>
      <c r="I26" s="29">
        <v>9</v>
      </c>
      <c r="J26" s="73">
        <v>20</v>
      </c>
      <c r="K26" s="47">
        <f t="shared" si="2"/>
        <v>0</v>
      </c>
      <c r="L26" s="47">
        <f t="shared" si="0"/>
        <v>55.000000000000007</v>
      </c>
      <c r="M26" s="47">
        <f t="shared" si="1"/>
        <v>45</v>
      </c>
      <c r="N26" s="68">
        <f t="shared" si="3"/>
        <v>100</v>
      </c>
      <c r="O26" s="46"/>
      <c r="P26" s="47">
        <v>49.4</v>
      </c>
      <c r="Q26" s="47">
        <v>40.700000000000003</v>
      </c>
      <c r="R26" s="48">
        <f t="shared" si="4"/>
        <v>90.1</v>
      </c>
      <c r="S26" s="29">
        <v>2</v>
      </c>
      <c r="T26" s="286"/>
      <c r="U26" s="295"/>
      <c r="V26" s="38" t="s">
        <v>128</v>
      </c>
      <c r="W26" s="29" t="s">
        <v>17</v>
      </c>
      <c r="X26" s="29" t="s">
        <v>18</v>
      </c>
      <c r="Y26" s="29">
        <v>39.5</v>
      </c>
      <c r="Z26" s="38" t="s">
        <v>129</v>
      </c>
      <c r="AA26" s="29" t="s">
        <v>81</v>
      </c>
      <c r="AB26" s="29" t="s">
        <v>18</v>
      </c>
      <c r="AC26" s="29">
        <v>9.9</v>
      </c>
      <c r="AD26" s="38" t="s">
        <v>132</v>
      </c>
      <c r="AE26" s="29" t="s">
        <v>20</v>
      </c>
      <c r="AF26" s="29" t="s">
        <v>12</v>
      </c>
      <c r="AG26" s="39">
        <v>40.700000000000003</v>
      </c>
      <c r="AL26" s="38"/>
      <c r="AO26" s="39"/>
      <c r="AP26" s="38"/>
      <c r="AS26" s="39"/>
      <c r="AW26" s="39"/>
      <c r="BA26" s="40"/>
    </row>
    <row r="27" spans="1:53" s="29" customFormat="1" x14ac:dyDescent="0.15">
      <c r="A27" s="52">
        <v>1967.62857142857</v>
      </c>
      <c r="B27" s="295"/>
      <c r="C27" s="394" t="s">
        <v>529</v>
      </c>
      <c r="D27" s="394"/>
      <c r="E27" s="29">
        <v>366</v>
      </c>
      <c r="G27" s="66"/>
      <c r="H27" s="29">
        <v>11</v>
      </c>
      <c r="I27" s="29">
        <v>9</v>
      </c>
      <c r="J27" s="73">
        <v>20</v>
      </c>
      <c r="K27" s="47">
        <f t="shared" si="2"/>
        <v>0</v>
      </c>
      <c r="L27" s="47">
        <f t="shared" si="0"/>
        <v>55.000000000000007</v>
      </c>
      <c r="M27" s="47">
        <f t="shared" si="1"/>
        <v>45</v>
      </c>
      <c r="N27" s="68">
        <f t="shared" si="3"/>
        <v>100</v>
      </c>
      <c r="O27" s="46"/>
      <c r="P27" s="47">
        <v>49.4</v>
      </c>
      <c r="Q27" s="47">
        <v>40.700000000000003</v>
      </c>
      <c r="R27" s="48">
        <f t="shared" si="4"/>
        <v>90.1</v>
      </c>
      <c r="S27" s="29">
        <v>2</v>
      </c>
      <c r="T27" s="286"/>
      <c r="U27" s="295"/>
      <c r="V27" s="38" t="s">
        <v>128</v>
      </c>
      <c r="W27" s="29" t="s">
        <v>17</v>
      </c>
      <c r="X27" s="29" t="s">
        <v>18</v>
      </c>
      <c r="Y27" s="29">
        <v>39.5</v>
      </c>
      <c r="Z27" s="38" t="s">
        <v>129</v>
      </c>
      <c r="AA27" s="29" t="s">
        <v>81</v>
      </c>
      <c r="AB27" s="29" t="s">
        <v>18</v>
      </c>
      <c r="AC27" s="29">
        <v>9.9</v>
      </c>
      <c r="AD27" s="38" t="s">
        <v>132</v>
      </c>
      <c r="AE27" s="29" t="s">
        <v>20</v>
      </c>
      <c r="AF27" s="29" t="s">
        <v>12</v>
      </c>
      <c r="AG27" s="39">
        <v>40.700000000000003</v>
      </c>
      <c r="AL27" s="38"/>
      <c r="AO27" s="39"/>
      <c r="AP27" s="38"/>
      <c r="AS27" s="39"/>
      <c r="AW27" s="39"/>
      <c r="BA27" s="40"/>
    </row>
    <row r="28" spans="1:53" s="29" customFormat="1" x14ac:dyDescent="0.15">
      <c r="A28" s="52">
        <v>1969</v>
      </c>
      <c r="B28" s="295"/>
      <c r="C28" s="394" t="s">
        <v>529</v>
      </c>
      <c r="D28" s="394"/>
      <c r="E28" s="29">
        <v>294</v>
      </c>
      <c r="G28" s="66"/>
      <c r="H28" s="29">
        <v>11</v>
      </c>
      <c r="I28" s="29">
        <v>9</v>
      </c>
      <c r="J28" s="73">
        <v>20</v>
      </c>
      <c r="K28" s="47">
        <f t="shared" si="2"/>
        <v>0</v>
      </c>
      <c r="L28" s="47">
        <f t="shared" si="0"/>
        <v>55.000000000000007</v>
      </c>
      <c r="M28" s="47">
        <f t="shared" si="1"/>
        <v>45</v>
      </c>
      <c r="N28" s="68">
        <f t="shared" si="3"/>
        <v>100</v>
      </c>
      <c r="O28" s="46"/>
      <c r="P28" s="47">
        <v>49.4</v>
      </c>
      <c r="Q28" s="47">
        <v>40.700000000000003</v>
      </c>
      <c r="R28" s="48">
        <f t="shared" si="4"/>
        <v>90.1</v>
      </c>
      <c r="S28" s="29">
        <v>2</v>
      </c>
      <c r="T28" s="286"/>
      <c r="U28" s="295"/>
      <c r="V28" s="38" t="s">
        <v>128</v>
      </c>
      <c r="W28" s="29" t="s">
        <v>17</v>
      </c>
      <c r="X28" s="29" t="s">
        <v>18</v>
      </c>
      <c r="Y28" s="29">
        <v>39.5</v>
      </c>
      <c r="Z28" s="38" t="s">
        <v>129</v>
      </c>
      <c r="AA28" s="29" t="s">
        <v>81</v>
      </c>
      <c r="AB28" s="29" t="s">
        <v>18</v>
      </c>
      <c r="AC28" s="29">
        <v>9.9</v>
      </c>
      <c r="AD28" s="38" t="s">
        <v>132</v>
      </c>
      <c r="AE28" s="29" t="s">
        <v>20</v>
      </c>
      <c r="AF28" s="29" t="s">
        <v>12</v>
      </c>
      <c r="AG28" s="39">
        <v>40.700000000000003</v>
      </c>
      <c r="AL28" s="38"/>
      <c r="AO28" s="39"/>
      <c r="AP28" s="38"/>
      <c r="AS28" s="39"/>
      <c r="AW28" s="39"/>
      <c r="BA28" s="40"/>
    </row>
    <row r="29" spans="1:53" s="171" customFormat="1" x14ac:dyDescent="0.15">
      <c r="A29" s="216">
        <v>1968.5428571428599</v>
      </c>
      <c r="B29" s="283">
        <v>25498</v>
      </c>
      <c r="C29" s="402" t="s">
        <v>530</v>
      </c>
      <c r="D29" s="402"/>
      <c r="E29" s="171">
        <v>71</v>
      </c>
      <c r="F29" s="171">
        <v>1</v>
      </c>
      <c r="G29" s="233">
        <v>3</v>
      </c>
      <c r="I29" s="171">
        <v>12</v>
      </c>
      <c r="J29" s="241">
        <v>16</v>
      </c>
      <c r="K29" s="214">
        <f t="shared" si="2"/>
        <v>18.75</v>
      </c>
      <c r="L29" s="214">
        <f t="shared" si="0"/>
        <v>0</v>
      </c>
      <c r="M29" s="214">
        <f t="shared" si="1"/>
        <v>75</v>
      </c>
      <c r="N29" s="235">
        <f t="shared" si="3"/>
        <v>93.75</v>
      </c>
      <c r="O29" s="213">
        <v>6</v>
      </c>
      <c r="P29" s="214"/>
      <c r="Q29" s="214">
        <v>45.2</v>
      </c>
      <c r="R29" s="215">
        <f t="shared" si="4"/>
        <v>51.2</v>
      </c>
      <c r="S29" s="171">
        <v>2</v>
      </c>
      <c r="T29" s="285">
        <v>25474</v>
      </c>
      <c r="U29" s="283">
        <v>25498</v>
      </c>
      <c r="V29" s="178" t="s">
        <v>132</v>
      </c>
      <c r="W29" s="171" t="s">
        <v>20</v>
      </c>
      <c r="X29" s="171" t="s">
        <v>12</v>
      </c>
      <c r="Y29" s="179">
        <v>45.2</v>
      </c>
      <c r="Z29" s="178" t="s">
        <v>131</v>
      </c>
      <c r="AA29" s="171" t="s">
        <v>22</v>
      </c>
      <c r="AB29" s="171" t="s">
        <v>11</v>
      </c>
      <c r="AC29" s="179">
        <v>6</v>
      </c>
      <c r="AD29" s="178"/>
      <c r="AG29" s="179"/>
      <c r="AL29" s="178"/>
      <c r="AO29" s="179"/>
      <c r="AP29" s="178"/>
      <c r="AS29" s="179"/>
      <c r="AW29" s="179"/>
      <c r="BA29" s="180"/>
    </row>
    <row r="30" spans="1:53" s="171" customFormat="1" x14ac:dyDescent="0.15">
      <c r="A30" s="216">
        <v>1970</v>
      </c>
      <c r="B30" s="283"/>
      <c r="C30" s="402" t="s">
        <v>530</v>
      </c>
      <c r="D30" s="402"/>
      <c r="E30" s="171">
        <v>0</v>
      </c>
      <c r="G30" s="233">
        <v>3</v>
      </c>
      <c r="I30" s="171">
        <v>12</v>
      </c>
      <c r="J30" s="241">
        <v>16</v>
      </c>
      <c r="K30" s="214">
        <f t="shared" si="2"/>
        <v>18.75</v>
      </c>
      <c r="L30" s="214">
        <f t="shared" si="0"/>
        <v>0</v>
      </c>
      <c r="M30" s="214">
        <f t="shared" si="1"/>
        <v>75</v>
      </c>
      <c r="N30" s="235">
        <f t="shared" si="3"/>
        <v>93.75</v>
      </c>
      <c r="O30" s="213">
        <v>6</v>
      </c>
      <c r="P30" s="214"/>
      <c r="Q30" s="214">
        <v>45.2</v>
      </c>
      <c r="R30" s="215">
        <f t="shared" si="4"/>
        <v>51.2</v>
      </c>
      <c r="S30" s="171">
        <v>2</v>
      </c>
      <c r="T30" s="285"/>
      <c r="U30" s="283"/>
      <c r="V30" s="178" t="s">
        <v>132</v>
      </c>
      <c r="W30" s="171" t="s">
        <v>20</v>
      </c>
      <c r="X30" s="171" t="s">
        <v>12</v>
      </c>
      <c r="Y30" s="179">
        <v>45.2</v>
      </c>
      <c r="Z30" s="178" t="s">
        <v>131</v>
      </c>
      <c r="AA30" s="171" t="s">
        <v>22</v>
      </c>
      <c r="AB30" s="171" t="s">
        <v>11</v>
      </c>
      <c r="AC30" s="179">
        <v>6</v>
      </c>
      <c r="AD30" s="178"/>
      <c r="AG30" s="179"/>
      <c r="AL30" s="178"/>
      <c r="AO30" s="179"/>
      <c r="AP30" s="178"/>
      <c r="AS30" s="179"/>
      <c r="AW30" s="179"/>
      <c r="BA30" s="180"/>
    </row>
    <row r="31" spans="1:53" s="171" customFormat="1" x14ac:dyDescent="0.15">
      <c r="A31" s="216">
        <v>1970</v>
      </c>
      <c r="B31" s="283"/>
      <c r="C31" s="402" t="s">
        <v>530</v>
      </c>
      <c r="D31" s="402"/>
      <c r="E31" s="171">
        <v>365</v>
      </c>
      <c r="G31" s="233">
        <v>3</v>
      </c>
      <c r="I31" s="171">
        <v>12</v>
      </c>
      <c r="J31" s="241">
        <v>16</v>
      </c>
      <c r="K31" s="214">
        <f t="shared" si="2"/>
        <v>18.75</v>
      </c>
      <c r="L31" s="214">
        <f t="shared" si="0"/>
        <v>0</v>
      </c>
      <c r="M31" s="214">
        <f t="shared" si="1"/>
        <v>75</v>
      </c>
      <c r="N31" s="235">
        <f t="shared" si="3"/>
        <v>93.75</v>
      </c>
      <c r="O31" s="213">
        <v>6</v>
      </c>
      <c r="P31" s="214"/>
      <c r="Q31" s="214">
        <v>45.2</v>
      </c>
      <c r="R31" s="215">
        <f t="shared" si="4"/>
        <v>51.2</v>
      </c>
      <c r="S31" s="171">
        <v>2</v>
      </c>
      <c r="T31" s="285"/>
      <c r="U31" s="283"/>
      <c r="V31" s="178" t="s">
        <v>132</v>
      </c>
      <c r="W31" s="171" t="s">
        <v>20</v>
      </c>
      <c r="X31" s="171" t="s">
        <v>12</v>
      </c>
      <c r="Y31" s="179">
        <v>45.2</v>
      </c>
      <c r="Z31" s="178" t="s">
        <v>131</v>
      </c>
      <c r="AA31" s="171" t="s">
        <v>22</v>
      </c>
      <c r="AB31" s="171" t="s">
        <v>11</v>
      </c>
      <c r="AC31" s="179">
        <v>6</v>
      </c>
      <c r="AD31" s="178"/>
      <c r="AG31" s="179"/>
      <c r="AL31" s="178"/>
      <c r="AO31" s="179"/>
      <c r="AP31" s="178"/>
      <c r="AS31" s="179"/>
      <c r="AW31" s="179"/>
      <c r="BA31" s="180"/>
    </row>
    <row r="32" spans="1:53" s="171" customFormat="1" x14ac:dyDescent="0.15">
      <c r="A32" s="216">
        <v>1971</v>
      </c>
      <c r="B32" s="283"/>
      <c r="C32" s="402" t="s">
        <v>530</v>
      </c>
      <c r="D32" s="402"/>
      <c r="E32" s="171">
        <v>0</v>
      </c>
      <c r="G32" s="233">
        <v>3</v>
      </c>
      <c r="I32" s="171">
        <v>12</v>
      </c>
      <c r="J32" s="241">
        <v>16</v>
      </c>
      <c r="K32" s="214">
        <f t="shared" si="2"/>
        <v>18.75</v>
      </c>
      <c r="L32" s="214">
        <f t="shared" si="0"/>
        <v>0</v>
      </c>
      <c r="M32" s="214">
        <f t="shared" si="1"/>
        <v>75</v>
      </c>
      <c r="N32" s="235">
        <f t="shared" si="3"/>
        <v>93.75</v>
      </c>
      <c r="O32" s="213">
        <v>6</v>
      </c>
      <c r="P32" s="214"/>
      <c r="Q32" s="214">
        <v>45.2</v>
      </c>
      <c r="R32" s="215">
        <f t="shared" si="4"/>
        <v>51.2</v>
      </c>
      <c r="S32" s="171">
        <v>2</v>
      </c>
      <c r="T32" s="285"/>
      <c r="U32" s="283"/>
      <c r="V32" s="178" t="s">
        <v>132</v>
      </c>
      <c r="W32" s="171" t="s">
        <v>20</v>
      </c>
      <c r="X32" s="171" t="s">
        <v>12</v>
      </c>
      <c r="Y32" s="179">
        <v>45.2</v>
      </c>
      <c r="Z32" s="178" t="s">
        <v>131</v>
      </c>
      <c r="AA32" s="171" t="s">
        <v>22</v>
      </c>
      <c r="AB32" s="171" t="s">
        <v>11</v>
      </c>
      <c r="AC32" s="179">
        <v>6</v>
      </c>
      <c r="AD32" s="178"/>
      <c r="AG32" s="179"/>
      <c r="AL32" s="178"/>
      <c r="AO32" s="179"/>
      <c r="AP32" s="178"/>
      <c r="AS32" s="179"/>
      <c r="AW32" s="179"/>
      <c r="BA32" s="180"/>
    </row>
    <row r="33" spans="1:53" s="171" customFormat="1" x14ac:dyDescent="0.15">
      <c r="A33" s="216">
        <v>1971</v>
      </c>
      <c r="B33" s="283"/>
      <c r="C33" s="402" t="s">
        <v>530</v>
      </c>
      <c r="D33" s="402"/>
      <c r="E33" s="171">
        <v>365</v>
      </c>
      <c r="G33" s="233">
        <v>3</v>
      </c>
      <c r="I33" s="171">
        <v>12</v>
      </c>
      <c r="J33" s="241">
        <v>16</v>
      </c>
      <c r="K33" s="214">
        <f t="shared" si="2"/>
        <v>18.75</v>
      </c>
      <c r="L33" s="214">
        <f t="shared" si="0"/>
        <v>0</v>
      </c>
      <c r="M33" s="214">
        <f t="shared" si="1"/>
        <v>75</v>
      </c>
      <c r="N33" s="235">
        <f t="shared" si="3"/>
        <v>93.75</v>
      </c>
      <c r="O33" s="213">
        <v>6</v>
      </c>
      <c r="P33" s="214"/>
      <c r="Q33" s="214">
        <v>45.2</v>
      </c>
      <c r="R33" s="215">
        <f t="shared" si="4"/>
        <v>51.2</v>
      </c>
      <c r="S33" s="171">
        <v>2</v>
      </c>
      <c r="T33" s="285"/>
      <c r="U33" s="283"/>
      <c r="V33" s="178" t="s">
        <v>132</v>
      </c>
      <c r="W33" s="171" t="s">
        <v>20</v>
      </c>
      <c r="X33" s="171" t="s">
        <v>12</v>
      </c>
      <c r="Y33" s="179">
        <v>45.2</v>
      </c>
      <c r="Z33" s="178" t="s">
        <v>131</v>
      </c>
      <c r="AA33" s="171" t="s">
        <v>22</v>
      </c>
      <c r="AB33" s="171" t="s">
        <v>11</v>
      </c>
      <c r="AC33" s="179">
        <v>6</v>
      </c>
      <c r="AD33" s="178"/>
      <c r="AG33" s="179"/>
      <c r="AL33" s="178"/>
      <c r="AO33" s="179"/>
      <c r="AP33" s="178"/>
      <c r="AS33" s="179"/>
      <c r="AW33" s="179"/>
      <c r="BA33" s="180"/>
    </row>
    <row r="34" spans="1:53" s="171" customFormat="1" x14ac:dyDescent="0.15">
      <c r="A34" s="216">
        <v>1972</v>
      </c>
      <c r="B34" s="283"/>
      <c r="C34" s="402" t="s">
        <v>530</v>
      </c>
      <c r="D34" s="402"/>
      <c r="E34" s="171">
        <v>137</v>
      </c>
      <c r="G34" s="233">
        <v>3</v>
      </c>
      <c r="I34" s="171">
        <v>12</v>
      </c>
      <c r="J34" s="241">
        <v>16</v>
      </c>
      <c r="K34" s="214">
        <f t="shared" si="2"/>
        <v>18.75</v>
      </c>
      <c r="L34" s="214">
        <f t="shared" si="0"/>
        <v>0</v>
      </c>
      <c r="M34" s="214">
        <f t="shared" si="1"/>
        <v>75</v>
      </c>
      <c r="N34" s="235">
        <f t="shared" si="3"/>
        <v>93.75</v>
      </c>
      <c r="O34" s="213">
        <v>6</v>
      </c>
      <c r="P34" s="214"/>
      <c r="Q34" s="214">
        <v>45.2</v>
      </c>
      <c r="R34" s="215">
        <f t="shared" si="4"/>
        <v>51.2</v>
      </c>
      <c r="S34" s="171">
        <v>2</v>
      </c>
      <c r="T34" s="285"/>
      <c r="U34" s="283"/>
      <c r="V34" s="178" t="s">
        <v>132</v>
      </c>
      <c r="W34" s="171" t="s">
        <v>20</v>
      </c>
      <c r="X34" s="171" t="s">
        <v>12</v>
      </c>
      <c r="Y34" s="179">
        <v>45.2</v>
      </c>
      <c r="Z34" s="178" t="s">
        <v>131</v>
      </c>
      <c r="AA34" s="171" t="s">
        <v>22</v>
      </c>
      <c r="AB34" s="171" t="s">
        <v>11</v>
      </c>
      <c r="AC34" s="179">
        <v>6</v>
      </c>
      <c r="AD34" s="178"/>
      <c r="AG34" s="179"/>
      <c r="AL34" s="178"/>
      <c r="AO34" s="179"/>
      <c r="AP34" s="178"/>
      <c r="AS34" s="179"/>
      <c r="AW34" s="179"/>
      <c r="BA34" s="180"/>
    </row>
    <row r="35" spans="1:53" s="29" customFormat="1" x14ac:dyDescent="0.15">
      <c r="A35" s="52">
        <v>1972</v>
      </c>
      <c r="B35" s="295">
        <v>26436</v>
      </c>
      <c r="C35" s="394" t="s">
        <v>531</v>
      </c>
      <c r="D35" s="394"/>
      <c r="E35" s="29">
        <v>212</v>
      </c>
      <c r="F35" s="29">
        <v>5</v>
      </c>
      <c r="G35" s="66">
        <v>3</v>
      </c>
      <c r="I35" s="29">
        <v>13</v>
      </c>
      <c r="J35" s="73">
        <v>16</v>
      </c>
      <c r="K35" s="47">
        <f>G35/J35*100</f>
        <v>18.75</v>
      </c>
      <c r="L35" s="47">
        <f>H35/J35*100</f>
        <v>0</v>
      </c>
      <c r="M35" s="47">
        <f>I35/J35*100</f>
        <v>81.25</v>
      </c>
      <c r="N35" s="68">
        <f t="shared" si="3"/>
        <v>100</v>
      </c>
      <c r="O35" s="46">
        <v>6</v>
      </c>
      <c r="P35" s="47"/>
      <c r="Q35" s="47">
        <v>45.2</v>
      </c>
      <c r="R35" s="48">
        <f t="shared" si="4"/>
        <v>51.2</v>
      </c>
      <c r="S35" s="29">
        <v>2</v>
      </c>
      <c r="T35" s="286"/>
      <c r="U35" s="295">
        <v>26436</v>
      </c>
      <c r="V35" s="38" t="s">
        <v>132</v>
      </c>
      <c r="W35" s="29" t="s">
        <v>20</v>
      </c>
      <c r="X35" s="29" t="s">
        <v>12</v>
      </c>
      <c r="Y35" s="39">
        <v>45.2</v>
      </c>
      <c r="Z35" s="38" t="s">
        <v>131</v>
      </c>
      <c r="AA35" s="29" t="s">
        <v>22</v>
      </c>
      <c r="AB35" s="29" t="s">
        <v>11</v>
      </c>
      <c r="AC35" s="39">
        <v>6</v>
      </c>
      <c r="AD35" s="38"/>
      <c r="AG35" s="39"/>
      <c r="AL35" s="38"/>
      <c r="AO35" s="39"/>
      <c r="AP35" s="38"/>
      <c r="AS35" s="39"/>
      <c r="AW35" s="39"/>
      <c r="BA35" s="40"/>
    </row>
    <row r="36" spans="1:53" s="171" customFormat="1" x14ac:dyDescent="0.15">
      <c r="A36" s="216">
        <v>1972</v>
      </c>
      <c r="B36" s="283">
        <v>26648</v>
      </c>
      <c r="C36" s="402" t="s">
        <v>532</v>
      </c>
      <c r="D36" s="402"/>
      <c r="E36" s="171">
        <v>17</v>
      </c>
      <c r="F36" s="171">
        <v>1</v>
      </c>
      <c r="G36" s="233">
        <v>5</v>
      </c>
      <c r="I36" s="171">
        <v>13</v>
      </c>
      <c r="J36" s="241">
        <v>18</v>
      </c>
      <c r="K36" s="214">
        <f t="shared" si="2"/>
        <v>27.777777777777779</v>
      </c>
      <c r="L36" s="214">
        <f t="shared" si="0"/>
        <v>0</v>
      </c>
      <c r="M36" s="214">
        <f t="shared" si="1"/>
        <v>72.222222222222214</v>
      </c>
      <c r="N36" s="235">
        <f t="shared" si="3"/>
        <v>100</v>
      </c>
      <c r="O36" s="213">
        <v>8.3000000000000007</v>
      </c>
      <c r="P36" s="214"/>
      <c r="Q36" s="214">
        <v>46.4</v>
      </c>
      <c r="R36" s="215">
        <f t="shared" si="4"/>
        <v>54.7</v>
      </c>
      <c r="S36" s="171">
        <v>2</v>
      </c>
      <c r="T36" s="285">
        <v>26622</v>
      </c>
      <c r="U36" s="283">
        <v>26648</v>
      </c>
      <c r="V36" s="178" t="s">
        <v>132</v>
      </c>
      <c r="W36" s="171" t="s">
        <v>20</v>
      </c>
      <c r="X36" s="171" t="s">
        <v>12</v>
      </c>
      <c r="Y36" s="171">
        <v>46.4</v>
      </c>
      <c r="Z36" s="178" t="s">
        <v>131</v>
      </c>
      <c r="AA36" s="171" t="s">
        <v>22</v>
      </c>
      <c r="AB36" s="171" t="s">
        <v>11</v>
      </c>
      <c r="AC36" s="171">
        <v>8.3000000000000007</v>
      </c>
      <c r="AD36" s="178"/>
      <c r="AG36" s="179"/>
      <c r="AL36" s="178"/>
      <c r="AO36" s="179"/>
      <c r="AP36" s="178"/>
      <c r="AS36" s="179"/>
      <c r="AW36" s="179"/>
      <c r="BA36" s="180"/>
    </row>
    <row r="37" spans="1:53" s="171" customFormat="1" x14ac:dyDescent="0.15">
      <c r="A37" s="216">
        <v>1973</v>
      </c>
      <c r="B37" s="283"/>
      <c r="C37" s="402" t="s">
        <v>532</v>
      </c>
      <c r="D37" s="402"/>
      <c r="E37" s="171">
        <v>0</v>
      </c>
      <c r="G37" s="233">
        <v>5</v>
      </c>
      <c r="I37" s="171">
        <v>13</v>
      </c>
      <c r="J37" s="241">
        <v>18</v>
      </c>
      <c r="K37" s="214">
        <f t="shared" si="2"/>
        <v>27.777777777777779</v>
      </c>
      <c r="L37" s="214">
        <f t="shared" si="0"/>
        <v>0</v>
      </c>
      <c r="M37" s="214">
        <f t="shared" si="1"/>
        <v>72.222222222222214</v>
      </c>
      <c r="N37" s="235">
        <f t="shared" si="3"/>
        <v>100</v>
      </c>
      <c r="O37" s="213">
        <v>8.3000000000000007</v>
      </c>
      <c r="P37" s="214"/>
      <c r="Q37" s="214">
        <v>46.4</v>
      </c>
      <c r="R37" s="215">
        <f t="shared" si="4"/>
        <v>54.7</v>
      </c>
      <c r="S37" s="171">
        <v>2</v>
      </c>
      <c r="T37" s="285"/>
      <c r="U37" s="283"/>
      <c r="V37" s="178" t="s">
        <v>132</v>
      </c>
      <c r="W37" s="171" t="s">
        <v>20</v>
      </c>
      <c r="X37" s="171" t="s">
        <v>12</v>
      </c>
      <c r="Y37" s="171">
        <v>46.4</v>
      </c>
      <c r="Z37" s="178" t="s">
        <v>131</v>
      </c>
      <c r="AA37" s="171" t="s">
        <v>22</v>
      </c>
      <c r="AB37" s="171" t="s">
        <v>11</v>
      </c>
      <c r="AC37" s="171">
        <v>8.3000000000000007</v>
      </c>
      <c r="AD37" s="178"/>
      <c r="AG37" s="179"/>
      <c r="AL37" s="178"/>
      <c r="AO37" s="179"/>
      <c r="AP37" s="178"/>
      <c r="AS37" s="179"/>
      <c r="AW37" s="179"/>
      <c r="BA37" s="180"/>
    </row>
    <row r="38" spans="1:53" s="171" customFormat="1" x14ac:dyDescent="0.15">
      <c r="A38" s="216">
        <v>1973</v>
      </c>
      <c r="B38" s="283"/>
      <c r="C38" s="402" t="s">
        <v>532</v>
      </c>
      <c r="D38" s="402"/>
      <c r="E38" s="171">
        <v>365</v>
      </c>
      <c r="G38" s="233">
        <v>5</v>
      </c>
      <c r="I38" s="171">
        <v>13</v>
      </c>
      <c r="J38" s="241">
        <v>18</v>
      </c>
      <c r="K38" s="214">
        <f t="shared" si="2"/>
        <v>27.777777777777779</v>
      </c>
      <c r="L38" s="214">
        <f t="shared" si="0"/>
        <v>0</v>
      </c>
      <c r="M38" s="214">
        <f t="shared" si="1"/>
        <v>72.222222222222214</v>
      </c>
      <c r="N38" s="235">
        <f t="shared" si="3"/>
        <v>100</v>
      </c>
      <c r="O38" s="213">
        <v>8.3000000000000007</v>
      </c>
      <c r="P38" s="214"/>
      <c r="Q38" s="214">
        <v>46.4</v>
      </c>
      <c r="R38" s="215">
        <f t="shared" si="4"/>
        <v>54.7</v>
      </c>
      <c r="S38" s="171">
        <v>2</v>
      </c>
      <c r="T38" s="285"/>
      <c r="U38" s="283"/>
      <c r="V38" s="178" t="s">
        <v>132</v>
      </c>
      <c r="W38" s="171" t="s">
        <v>20</v>
      </c>
      <c r="X38" s="171" t="s">
        <v>12</v>
      </c>
      <c r="Y38" s="171">
        <v>46.4</v>
      </c>
      <c r="Z38" s="178" t="s">
        <v>131</v>
      </c>
      <c r="AA38" s="171" t="s">
        <v>22</v>
      </c>
      <c r="AB38" s="171" t="s">
        <v>11</v>
      </c>
      <c r="AC38" s="171">
        <v>8.3000000000000007</v>
      </c>
      <c r="AD38" s="178"/>
      <c r="AG38" s="179"/>
      <c r="AL38" s="178"/>
      <c r="AO38" s="179"/>
      <c r="AP38" s="178"/>
      <c r="AS38" s="179"/>
      <c r="AW38" s="179"/>
      <c r="BA38" s="180"/>
    </row>
    <row r="39" spans="1:53" s="171" customFormat="1" x14ac:dyDescent="0.15">
      <c r="A39" s="216">
        <v>1974</v>
      </c>
      <c r="B39" s="283"/>
      <c r="C39" s="402" t="s">
        <v>532</v>
      </c>
      <c r="D39" s="402"/>
      <c r="E39" s="171">
        <v>135</v>
      </c>
      <c r="G39" s="233">
        <v>5</v>
      </c>
      <c r="I39" s="171">
        <v>13</v>
      </c>
      <c r="J39" s="241">
        <v>18</v>
      </c>
      <c r="K39" s="214">
        <f t="shared" si="2"/>
        <v>27.777777777777779</v>
      </c>
      <c r="L39" s="214">
        <f t="shared" si="0"/>
        <v>0</v>
      </c>
      <c r="M39" s="214">
        <f t="shared" si="1"/>
        <v>72.222222222222214</v>
      </c>
      <c r="N39" s="235">
        <f t="shared" si="3"/>
        <v>100</v>
      </c>
      <c r="O39" s="213">
        <v>8.3000000000000007</v>
      </c>
      <c r="P39" s="214"/>
      <c r="Q39" s="214">
        <v>46.4</v>
      </c>
      <c r="R39" s="215">
        <f t="shared" si="4"/>
        <v>54.7</v>
      </c>
      <c r="S39" s="171">
        <v>2</v>
      </c>
      <c r="T39" s="285"/>
      <c r="U39" s="283"/>
      <c r="V39" s="178" t="s">
        <v>132</v>
      </c>
      <c r="W39" s="171" t="s">
        <v>20</v>
      </c>
      <c r="X39" s="171" t="s">
        <v>12</v>
      </c>
      <c r="Y39" s="171">
        <v>46.4</v>
      </c>
      <c r="Z39" s="178" t="s">
        <v>131</v>
      </c>
      <c r="AA39" s="171" t="s">
        <v>22</v>
      </c>
      <c r="AB39" s="171" t="s">
        <v>11</v>
      </c>
      <c r="AC39" s="171">
        <v>8.3000000000000007</v>
      </c>
      <c r="AD39" s="178"/>
      <c r="AG39" s="179"/>
      <c r="AL39" s="178"/>
      <c r="AO39" s="179"/>
      <c r="AP39" s="178"/>
      <c r="AS39" s="179"/>
      <c r="AW39" s="179"/>
      <c r="BA39" s="180"/>
    </row>
    <row r="40" spans="1:53" s="29" customFormat="1" x14ac:dyDescent="0.15">
      <c r="A40" s="52">
        <v>1974</v>
      </c>
      <c r="B40" s="295">
        <v>27165</v>
      </c>
      <c r="C40" s="394" t="s">
        <v>533</v>
      </c>
      <c r="D40" s="394"/>
      <c r="E40" s="29">
        <v>230</v>
      </c>
      <c r="F40" s="29">
        <v>2</v>
      </c>
      <c r="G40" s="66">
        <v>4</v>
      </c>
      <c r="I40" s="29">
        <v>12</v>
      </c>
      <c r="J40" s="73">
        <v>16</v>
      </c>
      <c r="K40" s="47">
        <f t="shared" si="2"/>
        <v>25</v>
      </c>
      <c r="L40" s="47">
        <f t="shared" si="0"/>
        <v>0</v>
      </c>
      <c r="M40" s="47">
        <f t="shared" si="1"/>
        <v>75</v>
      </c>
      <c r="N40" s="68">
        <f t="shared" si="3"/>
        <v>100</v>
      </c>
      <c r="O40" s="46">
        <v>8.3000000000000007</v>
      </c>
      <c r="P40" s="47"/>
      <c r="Q40" s="47">
        <v>46.4</v>
      </c>
      <c r="R40" s="48">
        <f t="shared" si="4"/>
        <v>54.7</v>
      </c>
      <c r="S40" s="29">
        <v>2</v>
      </c>
      <c r="T40" s="286"/>
      <c r="U40" s="295">
        <v>27165</v>
      </c>
      <c r="V40" s="38" t="s">
        <v>132</v>
      </c>
      <c r="W40" s="29" t="s">
        <v>20</v>
      </c>
      <c r="X40" s="29" t="s">
        <v>12</v>
      </c>
      <c r="Y40" s="29">
        <v>46.4</v>
      </c>
      <c r="Z40" s="38" t="s">
        <v>131</v>
      </c>
      <c r="AA40" s="29" t="s">
        <v>22</v>
      </c>
      <c r="AB40" s="29" t="s">
        <v>11</v>
      </c>
      <c r="AC40" s="29">
        <v>8.3000000000000007</v>
      </c>
      <c r="AD40" s="38"/>
      <c r="AG40" s="39"/>
      <c r="AL40" s="38"/>
      <c r="AO40" s="39"/>
      <c r="AP40" s="38"/>
      <c r="AS40" s="39"/>
      <c r="AW40" s="39"/>
      <c r="BA40" s="40"/>
    </row>
    <row r="41" spans="1:53" s="29" customFormat="1" x14ac:dyDescent="0.15">
      <c r="A41" s="52">
        <v>1975</v>
      </c>
      <c r="B41" s="295"/>
      <c r="C41" s="394" t="s">
        <v>533</v>
      </c>
      <c r="D41" s="394"/>
      <c r="E41" s="29">
        <v>0</v>
      </c>
      <c r="G41" s="66">
        <v>4</v>
      </c>
      <c r="I41" s="29">
        <v>12</v>
      </c>
      <c r="J41" s="73">
        <v>16</v>
      </c>
      <c r="K41" s="47">
        <f t="shared" si="2"/>
        <v>25</v>
      </c>
      <c r="L41" s="47">
        <f t="shared" si="0"/>
        <v>0</v>
      </c>
      <c r="M41" s="47">
        <f t="shared" si="1"/>
        <v>75</v>
      </c>
      <c r="N41" s="68">
        <f t="shared" si="3"/>
        <v>100</v>
      </c>
      <c r="O41" s="46">
        <v>8.3000000000000007</v>
      </c>
      <c r="P41" s="47"/>
      <c r="Q41" s="47">
        <v>46.4</v>
      </c>
      <c r="R41" s="48">
        <f t="shared" si="4"/>
        <v>54.7</v>
      </c>
      <c r="S41" s="29">
        <v>2</v>
      </c>
      <c r="T41" s="286"/>
      <c r="U41" s="295"/>
      <c r="V41" s="38" t="s">
        <v>132</v>
      </c>
      <c r="W41" s="29" t="s">
        <v>20</v>
      </c>
      <c r="X41" s="29" t="s">
        <v>12</v>
      </c>
      <c r="Y41" s="29">
        <v>46.4</v>
      </c>
      <c r="Z41" s="38" t="s">
        <v>131</v>
      </c>
      <c r="AA41" s="29" t="s">
        <v>22</v>
      </c>
      <c r="AB41" s="29" t="s">
        <v>11</v>
      </c>
      <c r="AC41" s="29">
        <v>8.3000000000000007</v>
      </c>
      <c r="AD41" s="38"/>
      <c r="AG41" s="39"/>
      <c r="AL41" s="38"/>
      <c r="AO41" s="39"/>
      <c r="AP41" s="38"/>
      <c r="AS41" s="39"/>
      <c r="AW41" s="39"/>
      <c r="BA41" s="40"/>
    </row>
    <row r="42" spans="1:53" s="29" customFormat="1" x14ac:dyDescent="0.15">
      <c r="A42" s="52">
        <v>1975</v>
      </c>
      <c r="B42" s="295"/>
      <c r="C42" s="394" t="s">
        <v>533</v>
      </c>
      <c r="D42" s="394"/>
      <c r="E42" s="29">
        <v>365</v>
      </c>
      <c r="G42" s="66">
        <v>4</v>
      </c>
      <c r="I42" s="29">
        <v>12</v>
      </c>
      <c r="J42" s="73">
        <v>16</v>
      </c>
      <c r="K42" s="47">
        <f t="shared" si="2"/>
        <v>25</v>
      </c>
      <c r="L42" s="47">
        <f t="shared" si="0"/>
        <v>0</v>
      </c>
      <c r="M42" s="47">
        <f t="shared" si="1"/>
        <v>75</v>
      </c>
      <c r="N42" s="68">
        <f t="shared" si="3"/>
        <v>100</v>
      </c>
      <c r="O42" s="46">
        <v>8.3000000000000007</v>
      </c>
      <c r="P42" s="47"/>
      <c r="Q42" s="47">
        <v>46.4</v>
      </c>
      <c r="R42" s="48">
        <f t="shared" si="4"/>
        <v>54.7</v>
      </c>
      <c r="S42" s="29">
        <v>2</v>
      </c>
      <c r="T42" s="286"/>
      <c r="U42" s="295"/>
      <c r="V42" s="38" t="s">
        <v>132</v>
      </c>
      <c r="W42" s="29" t="s">
        <v>20</v>
      </c>
      <c r="X42" s="29" t="s">
        <v>12</v>
      </c>
      <c r="Y42" s="29">
        <v>46.4</v>
      </c>
      <c r="Z42" s="38" t="s">
        <v>131</v>
      </c>
      <c r="AA42" s="29" t="s">
        <v>22</v>
      </c>
      <c r="AB42" s="29" t="s">
        <v>11</v>
      </c>
      <c r="AC42" s="29">
        <v>8.3000000000000007</v>
      </c>
      <c r="AD42" s="38"/>
      <c r="AG42" s="39"/>
      <c r="AL42" s="38"/>
      <c r="AO42" s="39"/>
      <c r="AP42" s="38"/>
      <c r="AS42" s="39"/>
      <c r="AW42" s="39"/>
      <c r="BA42" s="40"/>
    </row>
    <row r="43" spans="1:53" s="29" customFormat="1" x14ac:dyDescent="0.15">
      <c r="A43" s="52">
        <v>1976</v>
      </c>
      <c r="B43" s="295"/>
      <c r="C43" s="394" t="s">
        <v>533</v>
      </c>
      <c r="D43" s="394"/>
      <c r="E43" s="29">
        <v>349</v>
      </c>
      <c r="G43" s="66">
        <v>4</v>
      </c>
      <c r="I43" s="29">
        <v>12</v>
      </c>
      <c r="J43" s="73">
        <v>16</v>
      </c>
      <c r="K43" s="47">
        <f t="shared" si="2"/>
        <v>25</v>
      </c>
      <c r="L43" s="47">
        <f t="shared" si="0"/>
        <v>0</v>
      </c>
      <c r="M43" s="47">
        <f t="shared" si="1"/>
        <v>75</v>
      </c>
      <c r="N43" s="68">
        <f t="shared" si="3"/>
        <v>100</v>
      </c>
      <c r="O43" s="46">
        <v>8.3000000000000007</v>
      </c>
      <c r="P43" s="47"/>
      <c r="Q43" s="47">
        <v>46.4</v>
      </c>
      <c r="R43" s="48">
        <f t="shared" si="4"/>
        <v>54.7</v>
      </c>
      <c r="S43" s="29">
        <v>2</v>
      </c>
      <c r="T43" s="286"/>
      <c r="U43" s="295"/>
      <c r="V43" s="38" t="s">
        <v>132</v>
      </c>
      <c r="W43" s="29" t="s">
        <v>20</v>
      </c>
      <c r="X43" s="29" t="s">
        <v>12</v>
      </c>
      <c r="Y43" s="29">
        <v>46.4</v>
      </c>
      <c r="Z43" s="38" t="s">
        <v>131</v>
      </c>
      <c r="AA43" s="29" t="s">
        <v>22</v>
      </c>
      <c r="AB43" s="29" t="s">
        <v>11</v>
      </c>
      <c r="AC43" s="29">
        <v>8.3000000000000007</v>
      </c>
      <c r="AD43" s="38"/>
      <c r="AG43" s="39"/>
      <c r="AL43" s="38"/>
      <c r="AO43" s="39"/>
      <c r="AP43" s="38"/>
      <c r="AS43" s="39"/>
      <c r="AW43" s="39"/>
      <c r="BA43" s="40"/>
    </row>
    <row r="44" spans="1:53" s="171" customFormat="1" x14ac:dyDescent="0.15">
      <c r="A44" s="216">
        <v>1976</v>
      </c>
      <c r="B44" s="283">
        <v>28109</v>
      </c>
      <c r="C44" s="402" t="s">
        <v>534</v>
      </c>
      <c r="D44" s="402"/>
      <c r="E44" s="171">
        <v>17</v>
      </c>
      <c r="F44" s="171">
        <v>1</v>
      </c>
      <c r="G44" s="233">
        <v>4</v>
      </c>
      <c r="I44" s="171">
        <v>12</v>
      </c>
      <c r="J44" s="241">
        <v>16</v>
      </c>
      <c r="K44" s="214">
        <f t="shared" si="2"/>
        <v>25</v>
      </c>
      <c r="L44" s="214">
        <f t="shared" si="0"/>
        <v>0</v>
      </c>
      <c r="M44" s="214">
        <f t="shared" si="1"/>
        <v>75</v>
      </c>
      <c r="N44" s="235">
        <f t="shared" si="3"/>
        <v>100</v>
      </c>
      <c r="O44" s="213">
        <v>7.9</v>
      </c>
      <c r="P44" s="214"/>
      <c r="Q44" s="214">
        <v>43.1</v>
      </c>
      <c r="R44" s="215">
        <f t="shared" si="4"/>
        <v>51</v>
      </c>
      <c r="S44" s="171">
        <v>2</v>
      </c>
      <c r="T44" s="285">
        <v>28036</v>
      </c>
      <c r="U44" s="283">
        <v>28109</v>
      </c>
      <c r="V44" s="178" t="s">
        <v>132</v>
      </c>
      <c r="W44" s="171" t="s">
        <v>20</v>
      </c>
      <c r="X44" s="171" t="s">
        <v>12</v>
      </c>
      <c r="Y44" s="171">
        <v>43.1</v>
      </c>
      <c r="Z44" s="178" t="s">
        <v>131</v>
      </c>
      <c r="AA44" s="171" t="s">
        <v>22</v>
      </c>
      <c r="AB44" s="171" t="s">
        <v>11</v>
      </c>
      <c r="AC44" s="171">
        <v>7.9</v>
      </c>
      <c r="AD44" s="178"/>
      <c r="AG44" s="179"/>
      <c r="AL44" s="178"/>
      <c r="AO44" s="179"/>
      <c r="AP44" s="178"/>
      <c r="AS44" s="179"/>
      <c r="AW44" s="179"/>
      <c r="BA44" s="180"/>
    </row>
    <row r="45" spans="1:53" s="171" customFormat="1" x14ac:dyDescent="0.15">
      <c r="A45" s="216">
        <v>1977</v>
      </c>
      <c r="B45" s="283"/>
      <c r="C45" s="402" t="s">
        <v>534</v>
      </c>
      <c r="D45" s="402"/>
      <c r="E45" s="171">
        <v>0</v>
      </c>
      <c r="G45" s="233">
        <v>4</v>
      </c>
      <c r="I45" s="171">
        <v>12</v>
      </c>
      <c r="J45" s="241">
        <v>16</v>
      </c>
      <c r="K45" s="214">
        <f t="shared" si="2"/>
        <v>25</v>
      </c>
      <c r="L45" s="214">
        <f t="shared" si="0"/>
        <v>0</v>
      </c>
      <c r="M45" s="214">
        <f t="shared" si="1"/>
        <v>75</v>
      </c>
      <c r="N45" s="235">
        <f t="shared" si="3"/>
        <v>100</v>
      </c>
      <c r="O45" s="213">
        <v>7.9</v>
      </c>
      <c r="P45" s="214"/>
      <c r="Q45" s="214">
        <v>43.1</v>
      </c>
      <c r="R45" s="215">
        <f t="shared" si="4"/>
        <v>51</v>
      </c>
      <c r="S45" s="171">
        <v>2</v>
      </c>
      <c r="T45" s="285"/>
      <c r="U45" s="283"/>
      <c r="V45" s="178" t="s">
        <v>132</v>
      </c>
      <c r="W45" s="171" t="s">
        <v>20</v>
      </c>
      <c r="X45" s="171" t="s">
        <v>12</v>
      </c>
      <c r="Y45" s="171">
        <v>43.1</v>
      </c>
      <c r="Z45" s="178" t="s">
        <v>131</v>
      </c>
      <c r="AA45" s="171" t="s">
        <v>22</v>
      </c>
      <c r="AB45" s="171" t="s">
        <v>11</v>
      </c>
      <c r="AC45" s="171">
        <v>7.9</v>
      </c>
      <c r="AD45" s="178"/>
      <c r="AG45" s="179"/>
      <c r="AL45" s="178"/>
      <c r="AO45" s="179"/>
      <c r="AP45" s="178"/>
      <c r="AS45" s="179"/>
      <c r="AW45" s="179"/>
      <c r="BA45" s="180"/>
    </row>
    <row r="46" spans="1:53" s="171" customFormat="1" x14ac:dyDescent="0.15">
      <c r="A46" s="216">
        <v>1977</v>
      </c>
      <c r="B46" s="283"/>
      <c r="C46" s="402" t="s">
        <v>534</v>
      </c>
      <c r="D46" s="402"/>
      <c r="E46" s="171">
        <v>365</v>
      </c>
      <c r="G46" s="233">
        <v>4</v>
      </c>
      <c r="I46" s="171">
        <v>12</v>
      </c>
      <c r="J46" s="241">
        <v>16</v>
      </c>
      <c r="K46" s="214">
        <f t="shared" si="2"/>
        <v>25</v>
      </c>
      <c r="L46" s="214">
        <f t="shared" si="0"/>
        <v>0</v>
      </c>
      <c r="M46" s="214">
        <f t="shared" si="1"/>
        <v>75</v>
      </c>
      <c r="N46" s="235">
        <f t="shared" si="3"/>
        <v>100</v>
      </c>
      <c r="O46" s="213">
        <v>7.9</v>
      </c>
      <c r="P46" s="214"/>
      <c r="Q46" s="214">
        <v>43.1</v>
      </c>
      <c r="R46" s="215">
        <f t="shared" si="4"/>
        <v>51</v>
      </c>
      <c r="S46" s="171">
        <v>2</v>
      </c>
      <c r="T46" s="285"/>
      <c r="U46" s="283"/>
      <c r="V46" s="178" t="s">
        <v>132</v>
      </c>
      <c r="W46" s="171" t="s">
        <v>20</v>
      </c>
      <c r="X46" s="171" t="s">
        <v>12</v>
      </c>
      <c r="Y46" s="171">
        <v>43.1</v>
      </c>
      <c r="Z46" s="178" t="s">
        <v>131</v>
      </c>
      <c r="AA46" s="171" t="s">
        <v>22</v>
      </c>
      <c r="AB46" s="171" t="s">
        <v>11</v>
      </c>
      <c r="AC46" s="171">
        <v>7.9</v>
      </c>
      <c r="AD46" s="178"/>
      <c r="AG46" s="179"/>
      <c r="AL46" s="178"/>
      <c r="AO46" s="179"/>
      <c r="AP46" s="178"/>
      <c r="AS46" s="179"/>
      <c r="AW46" s="179"/>
      <c r="BA46" s="180"/>
    </row>
    <row r="47" spans="1:53" s="171" customFormat="1" x14ac:dyDescent="0.15">
      <c r="A47" s="216">
        <v>1978</v>
      </c>
      <c r="B47" s="283"/>
      <c r="C47" s="402" t="s">
        <v>534</v>
      </c>
      <c r="D47" s="402"/>
      <c r="E47" s="171">
        <v>0</v>
      </c>
      <c r="G47" s="233">
        <v>4</v>
      </c>
      <c r="I47" s="171">
        <v>12</v>
      </c>
      <c r="J47" s="241">
        <v>16</v>
      </c>
      <c r="K47" s="214">
        <f t="shared" si="2"/>
        <v>25</v>
      </c>
      <c r="L47" s="214">
        <f t="shared" si="0"/>
        <v>0</v>
      </c>
      <c r="M47" s="214">
        <f t="shared" si="1"/>
        <v>75</v>
      </c>
      <c r="N47" s="235">
        <f t="shared" si="3"/>
        <v>100</v>
      </c>
      <c r="O47" s="213">
        <v>7.9</v>
      </c>
      <c r="P47" s="214"/>
      <c r="Q47" s="214">
        <v>43.1</v>
      </c>
      <c r="R47" s="215">
        <f t="shared" si="4"/>
        <v>51</v>
      </c>
      <c r="S47" s="171">
        <v>2</v>
      </c>
      <c r="T47" s="285"/>
      <c r="U47" s="283"/>
      <c r="V47" s="178" t="s">
        <v>132</v>
      </c>
      <c r="W47" s="171" t="s">
        <v>20</v>
      </c>
      <c r="X47" s="171" t="s">
        <v>12</v>
      </c>
      <c r="Y47" s="171">
        <v>43.1</v>
      </c>
      <c r="Z47" s="178" t="s">
        <v>131</v>
      </c>
      <c r="AA47" s="171" t="s">
        <v>22</v>
      </c>
      <c r="AB47" s="171" t="s">
        <v>11</v>
      </c>
      <c r="AC47" s="171">
        <v>7.9</v>
      </c>
      <c r="AD47" s="178"/>
      <c r="AG47" s="179"/>
      <c r="AL47" s="178"/>
      <c r="AO47" s="179"/>
      <c r="AP47" s="178"/>
      <c r="AS47" s="179"/>
      <c r="AW47" s="179"/>
      <c r="BA47" s="180"/>
    </row>
    <row r="48" spans="1:53" s="171" customFormat="1" x14ac:dyDescent="0.15">
      <c r="A48" s="216">
        <v>1978</v>
      </c>
      <c r="B48" s="283"/>
      <c r="C48" s="402" t="s">
        <v>534</v>
      </c>
      <c r="D48" s="402"/>
      <c r="E48" s="171">
        <v>365</v>
      </c>
      <c r="G48" s="233">
        <v>4</v>
      </c>
      <c r="I48" s="171">
        <v>12</v>
      </c>
      <c r="J48" s="241">
        <v>16</v>
      </c>
      <c r="K48" s="214">
        <f t="shared" si="2"/>
        <v>25</v>
      </c>
      <c r="L48" s="214">
        <f t="shared" si="0"/>
        <v>0</v>
      </c>
      <c r="M48" s="214">
        <f t="shared" si="1"/>
        <v>75</v>
      </c>
      <c r="N48" s="235">
        <f t="shared" si="3"/>
        <v>100</v>
      </c>
      <c r="O48" s="213">
        <v>7.9</v>
      </c>
      <c r="P48" s="214"/>
      <c r="Q48" s="214">
        <v>43.1</v>
      </c>
      <c r="R48" s="215">
        <f t="shared" si="4"/>
        <v>51</v>
      </c>
      <c r="S48" s="171">
        <v>2</v>
      </c>
      <c r="T48" s="285"/>
      <c r="U48" s="283"/>
      <c r="V48" s="178" t="s">
        <v>132</v>
      </c>
      <c r="W48" s="171" t="s">
        <v>20</v>
      </c>
      <c r="X48" s="171" t="s">
        <v>12</v>
      </c>
      <c r="Y48" s="171">
        <v>43.1</v>
      </c>
      <c r="Z48" s="178" t="s">
        <v>131</v>
      </c>
      <c r="AA48" s="171" t="s">
        <v>22</v>
      </c>
      <c r="AB48" s="171" t="s">
        <v>11</v>
      </c>
      <c r="AC48" s="171">
        <v>7.9</v>
      </c>
      <c r="AD48" s="178"/>
      <c r="AG48" s="179"/>
      <c r="AL48" s="178"/>
      <c r="AO48" s="179"/>
      <c r="AP48" s="178"/>
      <c r="AS48" s="179"/>
      <c r="AW48" s="179"/>
      <c r="BA48" s="180"/>
    </row>
    <row r="49" spans="1:53" s="171" customFormat="1" x14ac:dyDescent="0.15">
      <c r="A49" s="216">
        <v>1979</v>
      </c>
      <c r="B49" s="283"/>
      <c r="C49" s="402" t="s">
        <v>534</v>
      </c>
      <c r="D49" s="402"/>
      <c r="E49" s="171">
        <v>0</v>
      </c>
      <c r="G49" s="233">
        <v>4</v>
      </c>
      <c r="I49" s="171">
        <v>12</v>
      </c>
      <c r="J49" s="241">
        <v>16</v>
      </c>
      <c r="K49" s="214">
        <f t="shared" si="2"/>
        <v>25</v>
      </c>
      <c r="L49" s="214">
        <f t="shared" si="0"/>
        <v>0</v>
      </c>
      <c r="M49" s="214">
        <f t="shared" si="1"/>
        <v>75</v>
      </c>
      <c r="N49" s="235">
        <f t="shared" si="3"/>
        <v>100</v>
      </c>
      <c r="O49" s="213">
        <v>7.9</v>
      </c>
      <c r="P49" s="214"/>
      <c r="Q49" s="214">
        <v>43.1</v>
      </c>
      <c r="R49" s="215">
        <f t="shared" si="4"/>
        <v>51</v>
      </c>
      <c r="S49" s="171">
        <v>2</v>
      </c>
      <c r="T49" s="285"/>
      <c r="U49" s="283"/>
      <c r="V49" s="178" t="s">
        <v>132</v>
      </c>
      <c r="W49" s="171" t="s">
        <v>20</v>
      </c>
      <c r="X49" s="171" t="s">
        <v>12</v>
      </c>
      <c r="Y49" s="171">
        <v>43.1</v>
      </c>
      <c r="Z49" s="178" t="s">
        <v>131</v>
      </c>
      <c r="AA49" s="171" t="s">
        <v>22</v>
      </c>
      <c r="AB49" s="171" t="s">
        <v>11</v>
      </c>
      <c r="AC49" s="171">
        <v>7.9</v>
      </c>
      <c r="AD49" s="178"/>
      <c r="AG49" s="179"/>
      <c r="AL49" s="178"/>
      <c r="AO49" s="179"/>
      <c r="AP49" s="178"/>
      <c r="AS49" s="179"/>
      <c r="AW49" s="179"/>
      <c r="BA49" s="180"/>
    </row>
    <row r="50" spans="1:53" s="171" customFormat="1" x14ac:dyDescent="0.15">
      <c r="A50" s="216">
        <v>1979</v>
      </c>
      <c r="B50" s="283"/>
      <c r="C50" s="402" t="s">
        <v>534</v>
      </c>
      <c r="D50" s="402"/>
      <c r="E50" s="171">
        <v>365</v>
      </c>
      <c r="G50" s="233">
        <v>4</v>
      </c>
      <c r="I50" s="171">
        <v>12</v>
      </c>
      <c r="J50" s="241">
        <v>16</v>
      </c>
      <c r="K50" s="214">
        <f t="shared" si="2"/>
        <v>25</v>
      </c>
      <c r="L50" s="214">
        <f t="shared" si="0"/>
        <v>0</v>
      </c>
      <c r="M50" s="214">
        <f t="shared" si="1"/>
        <v>75</v>
      </c>
      <c r="N50" s="235">
        <f t="shared" si="3"/>
        <v>100</v>
      </c>
      <c r="O50" s="213">
        <v>7.9</v>
      </c>
      <c r="P50" s="214"/>
      <c r="Q50" s="214">
        <v>43.1</v>
      </c>
      <c r="R50" s="215">
        <f t="shared" si="4"/>
        <v>51</v>
      </c>
      <c r="S50" s="171">
        <v>2</v>
      </c>
      <c r="T50" s="285"/>
      <c r="U50" s="283"/>
      <c r="V50" s="178" t="s">
        <v>132</v>
      </c>
      <c r="W50" s="171" t="s">
        <v>20</v>
      </c>
      <c r="X50" s="171" t="s">
        <v>12</v>
      </c>
      <c r="Y50" s="171">
        <v>43.1</v>
      </c>
      <c r="Z50" s="178" t="s">
        <v>131</v>
      </c>
      <c r="AA50" s="171" t="s">
        <v>22</v>
      </c>
      <c r="AB50" s="171" t="s">
        <v>11</v>
      </c>
      <c r="AC50" s="171">
        <v>7.9</v>
      </c>
      <c r="AD50" s="178"/>
      <c r="AG50" s="179"/>
      <c r="AL50" s="178"/>
      <c r="AO50" s="179"/>
      <c r="AP50" s="178"/>
      <c r="AS50" s="179"/>
      <c r="AW50" s="179"/>
      <c r="BA50" s="180"/>
    </row>
    <row r="51" spans="1:53" s="171" customFormat="1" x14ac:dyDescent="0.15">
      <c r="A51" s="216">
        <v>1980</v>
      </c>
      <c r="B51" s="283"/>
      <c r="C51" s="402" t="s">
        <v>534</v>
      </c>
      <c r="D51" s="402"/>
      <c r="E51" s="171">
        <v>308</v>
      </c>
      <c r="G51" s="233">
        <v>4</v>
      </c>
      <c r="I51" s="171">
        <v>12</v>
      </c>
      <c r="J51" s="241">
        <v>16</v>
      </c>
      <c r="K51" s="214">
        <f t="shared" si="2"/>
        <v>25</v>
      </c>
      <c r="L51" s="214">
        <f t="shared" si="0"/>
        <v>0</v>
      </c>
      <c r="M51" s="214">
        <f t="shared" si="1"/>
        <v>75</v>
      </c>
      <c r="N51" s="235">
        <f t="shared" si="3"/>
        <v>100</v>
      </c>
      <c r="O51" s="213">
        <v>7.9</v>
      </c>
      <c r="P51" s="214"/>
      <c r="Q51" s="214">
        <v>43.1</v>
      </c>
      <c r="R51" s="215">
        <f t="shared" si="4"/>
        <v>51</v>
      </c>
      <c r="S51" s="171">
        <v>2</v>
      </c>
      <c r="T51" s="285"/>
      <c r="U51" s="283"/>
      <c r="V51" s="178" t="s">
        <v>132</v>
      </c>
      <c r="W51" s="171" t="s">
        <v>20</v>
      </c>
      <c r="X51" s="171" t="s">
        <v>12</v>
      </c>
      <c r="Y51" s="171">
        <v>43.1</v>
      </c>
      <c r="Z51" s="178" t="s">
        <v>131</v>
      </c>
      <c r="AA51" s="171" t="s">
        <v>22</v>
      </c>
      <c r="AB51" s="171" t="s">
        <v>11</v>
      </c>
      <c r="AC51" s="171">
        <v>7.9</v>
      </c>
      <c r="AD51" s="178"/>
      <c r="AG51" s="179"/>
      <c r="AL51" s="178"/>
      <c r="AO51" s="179"/>
      <c r="AP51" s="178"/>
      <c r="AS51" s="179"/>
      <c r="AW51" s="179"/>
      <c r="BA51" s="180"/>
    </row>
    <row r="52" spans="1:53" s="29" customFormat="1" x14ac:dyDescent="0.15">
      <c r="A52" s="52">
        <v>1980</v>
      </c>
      <c r="B52" s="295">
        <v>29529</v>
      </c>
      <c r="C52" s="394" t="s">
        <v>535</v>
      </c>
      <c r="D52" s="394"/>
      <c r="E52" s="29">
        <v>58</v>
      </c>
      <c r="F52" s="29">
        <v>1</v>
      </c>
      <c r="G52" s="66">
        <v>4</v>
      </c>
      <c r="I52" s="29">
        <v>13</v>
      </c>
      <c r="J52" s="73">
        <v>17</v>
      </c>
      <c r="K52" s="47">
        <f t="shared" si="2"/>
        <v>23.52941176470588</v>
      </c>
      <c r="L52" s="47">
        <f t="shared" si="0"/>
        <v>0</v>
      </c>
      <c r="M52" s="47">
        <f t="shared" si="1"/>
        <v>76.470588235294116</v>
      </c>
      <c r="N52" s="68">
        <f t="shared" si="3"/>
        <v>100</v>
      </c>
      <c r="O52" s="46">
        <v>10.7</v>
      </c>
      <c r="P52" s="47"/>
      <c r="Q52" s="47">
        <v>43.9</v>
      </c>
      <c r="R52" s="48">
        <f t="shared" si="4"/>
        <v>54.599999999999994</v>
      </c>
      <c r="S52" s="29">
        <v>2</v>
      </c>
      <c r="T52" s="286">
        <v>29499</v>
      </c>
      <c r="U52" s="295">
        <v>29529</v>
      </c>
      <c r="V52" s="38" t="s">
        <v>132</v>
      </c>
      <c r="W52" s="29" t="s">
        <v>20</v>
      </c>
      <c r="X52" s="29" t="s">
        <v>12</v>
      </c>
      <c r="Y52" s="29">
        <v>43.9</v>
      </c>
      <c r="Z52" s="38" t="s">
        <v>131</v>
      </c>
      <c r="AA52" s="29" t="s">
        <v>22</v>
      </c>
      <c r="AB52" s="29" t="s">
        <v>11</v>
      </c>
      <c r="AC52" s="29">
        <v>10.7</v>
      </c>
      <c r="AD52" s="38"/>
      <c r="AG52" s="39"/>
      <c r="AL52" s="38"/>
      <c r="AO52" s="39"/>
      <c r="AP52" s="38"/>
      <c r="AS52" s="39"/>
      <c r="AW52" s="39"/>
      <c r="BA52" s="40"/>
    </row>
    <row r="53" spans="1:53" s="29" customFormat="1" x14ac:dyDescent="0.15">
      <c r="A53" s="52">
        <v>1981</v>
      </c>
      <c r="B53" s="295"/>
      <c r="C53" s="394" t="s">
        <v>535</v>
      </c>
      <c r="D53" s="394"/>
      <c r="E53" s="29">
        <v>0</v>
      </c>
      <c r="G53" s="66">
        <v>4</v>
      </c>
      <c r="I53" s="29">
        <v>13</v>
      </c>
      <c r="J53" s="73">
        <v>17</v>
      </c>
      <c r="K53" s="47">
        <f t="shared" si="2"/>
        <v>23.52941176470588</v>
      </c>
      <c r="L53" s="47">
        <f t="shared" si="0"/>
        <v>0</v>
      </c>
      <c r="M53" s="47">
        <f t="shared" si="1"/>
        <v>76.470588235294116</v>
      </c>
      <c r="N53" s="68">
        <f t="shared" si="3"/>
        <v>100</v>
      </c>
      <c r="O53" s="46">
        <v>10.7</v>
      </c>
      <c r="P53" s="47"/>
      <c r="Q53" s="47">
        <v>43.9</v>
      </c>
      <c r="R53" s="48">
        <f t="shared" si="4"/>
        <v>54.599999999999994</v>
      </c>
      <c r="S53" s="29">
        <v>2</v>
      </c>
      <c r="T53" s="286"/>
      <c r="U53" s="295"/>
      <c r="V53" s="38" t="s">
        <v>132</v>
      </c>
      <c r="W53" s="29" t="s">
        <v>20</v>
      </c>
      <c r="X53" s="29" t="s">
        <v>12</v>
      </c>
      <c r="Y53" s="29">
        <v>43.9</v>
      </c>
      <c r="Z53" s="38" t="s">
        <v>131</v>
      </c>
      <c r="AA53" s="29" t="s">
        <v>22</v>
      </c>
      <c r="AB53" s="29" t="s">
        <v>11</v>
      </c>
      <c r="AC53" s="29">
        <v>10.7</v>
      </c>
      <c r="AD53" s="38"/>
      <c r="AG53" s="39"/>
      <c r="AL53" s="38"/>
      <c r="AO53" s="39"/>
      <c r="AP53" s="38"/>
      <c r="AS53" s="39"/>
      <c r="AW53" s="39"/>
      <c r="BA53" s="40"/>
    </row>
    <row r="54" spans="1:53" s="29" customFormat="1" x14ac:dyDescent="0.15">
      <c r="A54" s="52">
        <v>1981</v>
      </c>
      <c r="B54" s="295"/>
      <c r="C54" s="394" t="s">
        <v>535</v>
      </c>
      <c r="D54" s="394"/>
      <c r="E54" s="29">
        <v>365</v>
      </c>
      <c r="G54" s="66">
        <v>4</v>
      </c>
      <c r="I54" s="29">
        <v>13</v>
      </c>
      <c r="J54" s="73">
        <v>17</v>
      </c>
      <c r="K54" s="47">
        <f t="shared" si="2"/>
        <v>23.52941176470588</v>
      </c>
      <c r="L54" s="47">
        <f t="shared" si="0"/>
        <v>0</v>
      </c>
      <c r="M54" s="47">
        <f t="shared" si="1"/>
        <v>76.470588235294116</v>
      </c>
      <c r="N54" s="68">
        <f t="shared" si="3"/>
        <v>100</v>
      </c>
      <c r="O54" s="46">
        <v>10.7</v>
      </c>
      <c r="P54" s="47"/>
      <c r="Q54" s="47">
        <v>43.9</v>
      </c>
      <c r="R54" s="48">
        <f t="shared" si="4"/>
        <v>54.599999999999994</v>
      </c>
      <c r="S54" s="29">
        <v>2</v>
      </c>
      <c r="T54" s="286"/>
      <c r="U54" s="295"/>
      <c r="V54" s="38" t="s">
        <v>132</v>
      </c>
      <c r="W54" s="29" t="s">
        <v>20</v>
      </c>
      <c r="X54" s="29" t="s">
        <v>12</v>
      </c>
      <c r="Y54" s="29">
        <v>43.9</v>
      </c>
      <c r="Z54" s="38" t="s">
        <v>131</v>
      </c>
      <c r="AA54" s="29" t="s">
        <v>22</v>
      </c>
      <c r="AB54" s="29" t="s">
        <v>11</v>
      </c>
      <c r="AC54" s="29">
        <v>10.7</v>
      </c>
      <c r="AD54" s="38"/>
      <c r="AG54" s="39"/>
      <c r="AL54" s="38"/>
      <c r="AO54" s="39"/>
      <c r="AP54" s="38"/>
      <c r="AS54" s="39"/>
      <c r="AW54" s="39"/>
      <c r="BA54" s="40"/>
    </row>
    <row r="55" spans="1:53" s="29" customFormat="1" x14ac:dyDescent="0.15">
      <c r="A55" s="52">
        <v>1982</v>
      </c>
      <c r="B55" s="295"/>
      <c r="C55" s="394" t="s">
        <v>535</v>
      </c>
      <c r="D55" s="394"/>
      <c r="E55" s="29">
        <v>259</v>
      </c>
      <c r="G55" s="66">
        <v>4</v>
      </c>
      <c r="I55" s="29">
        <v>13</v>
      </c>
      <c r="J55" s="73">
        <v>17</v>
      </c>
      <c r="K55" s="47">
        <f t="shared" si="2"/>
        <v>23.52941176470588</v>
      </c>
      <c r="L55" s="47">
        <f t="shared" si="0"/>
        <v>0</v>
      </c>
      <c r="M55" s="47">
        <f t="shared" si="1"/>
        <v>76.470588235294116</v>
      </c>
      <c r="N55" s="68">
        <f t="shared" si="3"/>
        <v>100</v>
      </c>
      <c r="O55" s="46">
        <v>10.7</v>
      </c>
      <c r="P55" s="47"/>
      <c r="Q55" s="47">
        <v>43.9</v>
      </c>
      <c r="R55" s="48">
        <f t="shared" si="4"/>
        <v>54.599999999999994</v>
      </c>
      <c r="S55" s="29">
        <v>2</v>
      </c>
      <c r="T55" s="286"/>
      <c r="U55" s="295"/>
      <c r="V55" s="38" t="s">
        <v>132</v>
      </c>
      <c r="W55" s="29" t="s">
        <v>20</v>
      </c>
      <c r="X55" s="29" t="s">
        <v>12</v>
      </c>
      <c r="Y55" s="29">
        <v>43.9</v>
      </c>
      <c r="Z55" s="38" t="s">
        <v>131</v>
      </c>
      <c r="AA55" s="29" t="s">
        <v>22</v>
      </c>
      <c r="AB55" s="29" t="s">
        <v>11</v>
      </c>
      <c r="AC55" s="29">
        <v>10.7</v>
      </c>
      <c r="AD55" s="38"/>
      <c r="AG55" s="39"/>
      <c r="AL55" s="38"/>
      <c r="AO55" s="39"/>
      <c r="AP55" s="38"/>
      <c r="AS55" s="39"/>
      <c r="AW55" s="39"/>
      <c r="BA55" s="40"/>
    </row>
    <row r="56" spans="1:53" s="171" customFormat="1" x14ac:dyDescent="0.15">
      <c r="A56" s="216">
        <v>1982</v>
      </c>
      <c r="B56" s="283">
        <v>30211</v>
      </c>
      <c r="C56" s="402" t="s">
        <v>536</v>
      </c>
      <c r="D56" s="402"/>
      <c r="E56" s="171">
        <v>17</v>
      </c>
      <c r="F56" s="171">
        <v>4</v>
      </c>
      <c r="G56" s="233"/>
      <c r="I56" s="171">
        <v>13</v>
      </c>
      <c r="J56" s="241">
        <v>13</v>
      </c>
      <c r="K56" s="214">
        <f t="shared" si="2"/>
        <v>0</v>
      </c>
      <c r="L56" s="214">
        <f t="shared" si="0"/>
        <v>0</v>
      </c>
      <c r="M56" s="214">
        <f t="shared" si="1"/>
        <v>100</v>
      </c>
      <c r="N56" s="235">
        <f t="shared" si="3"/>
        <v>100</v>
      </c>
      <c r="O56" s="213"/>
      <c r="P56" s="214"/>
      <c r="Q56" s="214">
        <v>43.9</v>
      </c>
      <c r="R56" s="215">
        <f t="shared" si="4"/>
        <v>43.9</v>
      </c>
      <c r="S56" s="171">
        <v>6</v>
      </c>
      <c r="T56" s="285"/>
      <c r="U56" s="283">
        <v>30211</v>
      </c>
      <c r="V56" s="178" t="s">
        <v>132</v>
      </c>
      <c r="W56" s="171" t="s">
        <v>20</v>
      </c>
      <c r="X56" s="171" t="s">
        <v>12</v>
      </c>
      <c r="Y56" s="171">
        <v>43.9</v>
      </c>
      <c r="Z56" s="178"/>
      <c r="AD56" s="178"/>
      <c r="AG56" s="179"/>
      <c r="AL56" s="178"/>
      <c r="AO56" s="179"/>
      <c r="AP56" s="178"/>
      <c r="AS56" s="179"/>
      <c r="AW56" s="179"/>
      <c r="BA56" s="180"/>
    </row>
    <row r="57" spans="1:53" s="29" customFormat="1" x14ac:dyDescent="0.15">
      <c r="A57" s="52">
        <v>1982</v>
      </c>
      <c r="B57" s="295">
        <v>30228</v>
      </c>
      <c r="C57" s="394" t="s">
        <v>537</v>
      </c>
      <c r="D57" s="394"/>
      <c r="E57" s="29">
        <v>89</v>
      </c>
      <c r="F57" s="29">
        <v>5</v>
      </c>
      <c r="G57" s="66">
        <v>4</v>
      </c>
      <c r="H57" s="29">
        <v>13</v>
      </c>
      <c r="J57" s="73">
        <v>17</v>
      </c>
      <c r="K57" s="47">
        <f t="shared" si="2"/>
        <v>23.52941176470588</v>
      </c>
      <c r="L57" s="47">
        <f t="shared" si="0"/>
        <v>76.470588235294116</v>
      </c>
      <c r="M57" s="47">
        <f t="shared" si="1"/>
        <v>0</v>
      </c>
      <c r="N57" s="68">
        <f t="shared" si="3"/>
        <v>100</v>
      </c>
      <c r="O57" s="46">
        <v>10.7</v>
      </c>
      <c r="P57" s="47">
        <v>45.5</v>
      </c>
      <c r="Q57" s="47"/>
      <c r="R57" s="48">
        <f t="shared" si="4"/>
        <v>56.2</v>
      </c>
      <c r="S57" s="29">
        <v>6</v>
      </c>
      <c r="T57" s="286"/>
      <c r="U57" s="295">
        <v>30228</v>
      </c>
      <c r="V57" s="38" t="s">
        <v>128</v>
      </c>
      <c r="W57" s="29" t="s">
        <v>17</v>
      </c>
      <c r="X57" s="29" t="s">
        <v>18</v>
      </c>
      <c r="Y57" s="29">
        <v>35</v>
      </c>
      <c r="Z57" s="38" t="s">
        <v>129</v>
      </c>
      <c r="AA57" s="29" t="s">
        <v>81</v>
      </c>
      <c r="AB57" s="29" t="s">
        <v>18</v>
      </c>
      <c r="AC57" s="29">
        <v>10.5</v>
      </c>
      <c r="AD57" s="38" t="s">
        <v>131</v>
      </c>
      <c r="AE57" s="29" t="s">
        <v>22</v>
      </c>
      <c r="AF57" s="29" t="s">
        <v>11</v>
      </c>
      <c r="AG57" s="39">
        <v>10.7</v>
      </c>
      <c r="AL57" s="38"/>
      <c r="AO57" s="39"/>
      <c r="AP57" s="38"/>
      <c r="AS57" s="39"/>
      <c r="AW57" s="39"/>
      <c r="BA57" s="40"/>
    </row>
    <row r="58" spans="1:53" s="29" customFormat="1" x14ac:dyDescent="0.15">
      <c r="A58" s="52">
        <v>1983</v>
      </c>
      <c r="B58" s="295"/>
      <c r="C58" s="394" t="s">
        <v>537</v>
      </c>
      <c r="D58" s="394"/>
      <c r="E58" s="29">
        <v>88</v>
      </c>
      <c r="G58" s="66">
        <v>4</v>
      </c>
      <c r="H58" s="29">
        <v>13</v>
      </c>
      <c r="J58" s="73">
        <v>17</v>
      </c>
      <c r="K58" s="47">
        <f t="shared" si="2"/>
        <v>23.52941176470588</v>
      </c>
      <c r="L58" s="47">
        <f t="shared" si="0"/>
        <v>76.470588235294116</v>
      </c>
      <c r="M58" s="47">
        <f t="shared" si="1"/>
        <v>0</v>
      </c>
      <c r="N58" s="68">
        <f t="shared" si="3"/>
        <v>100</v>
      </c>
      <c r="O58" s="46">
        <v>10.7</v>
      </c>
      <c r="P58" s="47">
        <v>45.5</v>
      </c>
      <c r="Q58" s="47"/>
      <c r="R58" s="48">
        <f t="shared" si="4"/>
        <v>56.2</v>
      </c>
      <c r="S58" s="29">
        <v>6</v>
      </c>
      <c r="T58" s="286"/>
      <c r="U58" s="295"/>
      <c r="V58" s="38" t="s">
        <v>128</v>
      </c>
      <c r="W58" s="29" t="s">
        <v>17</v>
      </c>
      <c r="X58" s="29" t="s">
        <v>18</v>
      </c>
      <c r="Y58" s="29">
        <v>35</v>
      </c>
      <c r="Z58" s="38" t="s">
        <v>129</v>
      </c>
      <c r="AA58" s="29" t="s">
        <v>81</v>
      </c>
      <c r="AB58" s="29" t="s">
        <v>18</v>
      </c>
      <c r="AC58" s="29">
        <v>10.5</v>
      </c>
      <c r="AD58" s="38" t="s">
        <v>131</v>
      </c>
      <c r="AE58" s="29" t="s">
        <v>22</v>
      </c>
      <c r="AF58" s="29" t="s">
        <v>11</v>
      </c>
      <c r="AG58" s="39">
        <v>10.7</v>
      </c>
      <c r="AL58" s="38"/>
      <c r="AO58" s="39"/>
      <c r="AP58" s="38"/>
      <c r="AS58" s="39"/>
      <c r="AW58" s="39"/>
      <c r="BA58" s="40"/>
    </row>
    <row r="59" spans="1:53" s="171" customFormat="1" x14ac:dyDescent="0.15">
      <c r="A59" s="216">
        <v>1983</v>
      </c>
      <c r="B59" s="283">
        <v>30405</v>
      </c>
      <c r="C59" s="402" t="s">
        <v>538</v>
      </c>
      <c r="D59" s="402"/>
      <c r="E59" s="171">
        <v>277</v>
      </c>
      <c r="F59" s="171">
        <v>1</v>
      </c>
      <c r="G59" s="233">
        <v>3</v>
      </c>
      <c r="H59" s="171">
        <v>14</v>
      </c>
      <c r="J59" s="241">
        <v>17</v>
      </c>
      <c r="K59" s="214">
        <f t="shared" si="2"/>
        <v>17.647058823529413</v>
      </c>
      <c r="L59" s="214">
        <f t="shared" si="0"/>
        <v>82.35294117647058</v>
      </c>
      <c r="M59" s="214">
        <f t="shared" si="1"/>
        <v>0</v>
      </c>
      <c r="N59" s="235">
        <f t="shared" si="3"/>
        <v>100</v>
      </c>
      <c r="O59" s="213">
        <v>6.8</v>
      </c>
      <c r="P59" s="214">
        <v>49</v>
      </c>
      <c r="Q59" s="214"/>
      <c r="R59" s="215">
        <f t="shared" si="4"/>
        <v>55.8</v>
      </c>
      <c r="S59" s="171">
        <v>2</v>
      </c>
      <c r="T59" s="285">
        <v>30381</v>
      </c>
      <c r="U59" s="283">
        <v>30405</v>
      </c>
      <c r="V59" s="178" t="s">
        <v>128</v>
      </c>
      <c r="W59" s="171" t="s">
        <v>17</v>
      </c>
      <c r="X59" s="171" t="s">
        <v>18</v>
      </c>
      <c r="Y59" s="171">
        <v>38.4</v>
      </c>
      <c r="Z59" s="178" t="s">
        <v>129</v>
      </c>
      <c r="AA59" s="171" t="s">
        <v>81</v>
      </c>
      <c r="AB59" s="171" t="s">
        <v>18</v>
      </c>
      <c r="AC59" s="171">
        <v>10.6</v>
      </c>
      <c r="AD59" s="178" t="s">
        <v>131</v>
      </c>
      <c r="AE59" s="171" t="s">
        <v>22</v>
      </c>
      <c r="AF59" s="171" t="s">
        <v>11</v>
      </c>
      <c r="AG59" s="179">
        <v>6.8</v>
      </c>
      <c r="AL59" s="178"/>
      <c r="AO59" s="179"/>
      <c r="AP59" s="178"/>
      <c r="AS59" s="179"/>
      <c r="AW59" s="179"/>
      <c r="BA59" s="180"/>
    </row>
    <row r="60" spans="1:53" s="171" customFormat="1" x14ac:dyDescent="0.15">
      <c r="A60" s="216">
        <v>1984</v>
      </c>
      <c r="B60" s="283"/>
      <c r="C60" s="402" t="s">
        <v>538</v>
      </c>
      <c r="D60" s="402"/>
      <c r="E60" s="171">
        <v>0</v>
      </c>
      <c r="G60" s="233">
        <v>3</v>
      </c>
      <c r="H60" s="171">
        <v>14</v>
      </c>
      <c r="J60" s="241">
        <v>17</v>
      </c>
      <c r="K60" s="214">
        <f t="shared" si="2"/>
        <v>17.647058823529413</v>
      </c>
      <c r="L60" s="214">
        <f t="shared" si="0"/>
        <v>82.35294117647058</v>
      </c>
      <c r="M60" s="214">
        <f t="shared" si="1"/>
        <v>0</v>
      </c>
      <c r="N60" s="235">
        <f t="shared" si="3"/>
        <v>100</v>
      </c>
      <c r="O60" s="213">
        <v>6.8</v>
      </c>
      <c r="P60" s="214">
        <v>49</v>
      </c>
      <c r="Q60" s="214"/>
      <c r="R60" s="215">
        <f t="shared" si="4"/>
        <v>55.8</v>
      </c>
      <c r="S60" s="171">
        <v>2</v>
      </c>
      <c r="T60" s="285"/>
      <c r="U60" s="283"/>
      <c r="V60" s="178" t="s">
        <v>128</v>
      </c>
      <c r="W60" s="171" t="s">
        <v>17</v>
      </c>
      <c r="X60" s="171" t="s">
        <v>18</v>
      </c>
      <c r="Y60" s="171">
        <v>38.4</v>
      </c>
      <c r="Z60" s="178" t="s">
        <v>129</v>
      </c>
      <c r="AA60" s="171" t="s">
        <v>81</v>
      </c>
      <c r="AB60" s="171" t="s">
        <v>18</v>
      </c>
      <c r="AC60" s="171">
        <v>10.6</v>
      </c>
      <c r="AD60" s="178" t="s">
        <v>131</v>
      </c>
      <c r="AE60" s="171" t="s">
        <v>22</v>
      </c>
      <c r="AF60" s="171" t="s">
        <v>11</v>
      </c>
      <c r="AG60" s="179">
        <v>6.8</v>
      </c>
      <c r="AL60" s="178"/>
      <c r="AO60" s="179"/>
      <c r="AP60" s="178"/>
      <c r="AS60" s="179"/>
      <c r="AW60" s="179"/>
      <c r="BA60" s="180"/>
    </row>
    <row r="61" spans="1:53" s="171" customFormat="1" x14ac:dyDescent="0.15">
      <c r="A61" s="216">
        <v>1984</v>
      </c>
      <c r="B61" s="283"/>
      <c r="C61" s="402" t="s">
        <v>538</v>
      </c>
      <c r="D61" s="402"/>
      <c r="E61" s="171">
        <v>366</v>
      </c>
      <c r="G61" s="233">
        <v>3</v>
      </c>
      <c r="H61" s="171">
        <v>14</v>
      </c>
      <c r="J61" s="241">
        <v>17</v>
      </c>
      <c r="K61" s="214">
        <f t="shared" si="2"/>
        <v>17.647058823529413</v>
      </c>
      <c r="L61" s="214">
        <f t="shared" si="0"/>
        <v>82.35294117647058</v>
      </c>
      <c r="M61" s="214">
        <f t="shared" si="1"/>
        <v>0</v>
      </c>
      <c r="N61" s="235">
        <f t="shared" si="3"/>
        <v>100</v>
      </c>
      <c r="O61" s="213">
        <v>6.8</v>
      </c>
      <c r="P61" s="214">
        <v>49</v>
      </c>
      <c r="Q61" s="214"/>
      <c r="R61" s="215">
        <f t="shared" si="4"/>
        <v>55.8</v>
      </c>
      <c r="S61" s="171">
        <v>2</v>
      </c>
      <c r="T61" s="285"/>
      <c r="U61" s="283"/>
      <c r="V61" s="178" t="s">
        <v>128</v>
      </c>
      <c r="W61" s="171" t="s">
        <v>17</v>
      </c>
      <c r="X61" s="171" t="s">
        <v>18</v>
      </c>
      <c r="Y61" s="171">
        <v>38.4</v>
      </c>
      <c r="Z61" s="178" t="s">
        <v>129</v>
      </c>
      <c r="AA61" s="171" t="s">
        <v>81</v>
      </c>
      <c r="AB61" s="171" t="s">
        <v>18</v>
      </c>
      <c r="AC61" s="171">
        <v>10.6</v>
      </c>
      <c r="AD61" s="178" t="s">
        <v>131</v>
      </c>
      <c r="AE61" s="171" t="s">
        <v>22</v>
      </c>
      <c r="AF61" s="171" t="s">
        <v>11</v>
      </c>
      <c r="AG61" s="179">
        <v>6.8</v>
      </c>
      <c r="AL61" s="178"/>
      <c r="AO61" s="179"/>
      <c r="AP61" s="178"/>
      <c r="AS61" s="179"/>
      <c r="AW61" s="179"/>
      <c r="BA61" s="180"/>
    </row>
    <row r="62" spans="1:53" s="171" customFormat="1" x14ac:dyDescent="0.15">
      <c r="A62" s="216">
        <v>1985</v>
      </c>
      <c r="B62" s="283"/>
      <c r="C62" s="402" t="s">
        <v>538</v>
      </c>
      <c r="D62" s="402"/>
      <c r="E62" s="171">
        <v>0</v>
      </c>
      <c r="G62" s="233">
        <v>3</v>
      </c>
      <c r="H62" s="171">
        <v>14</v>
      </c>
      <c r="J62" s="241">
        <v>17</v>
      </c>
      <c r="K62" s="214">
        <f t="shared" si="2"/>
        <v>17.647058823529413</v>
      </c>
      <c r="L62" s="214">
        <f t="shared" si="0"/>
        <v>82.35294117647058</v>
      </c>
      <c r="M62" s="214">
        <f t="shared" si="1"/>
        <v>0</v>
      </c>
      <c r="N62" s="235">
        <f t="shared" si="3"/>
        <v>100</v>
      </c>
      <c r="O62" s="213">
        <v>6.8</v>
      </c>
      <c r="P62" s="214">
        <v>49</v>
      </c>
      <c r="Q62" s="214"/>
      <c r="R62" s="215">
        <f t="shared" si="4"/>
        <v>55.8</v>
      </c>
      <c r="S62" s="171">
        <v>2</v>
      </c>
      <c r="T62" s="285"/>
      <c r="U62" s="283"/>
      <c r="V62" s="178" t="s">
        <v>128</v>
      </c>
      <c r="W62" s="171" t="s">
        <v>17</v>
      </c>
      <c r="X62" s="171" t="s">
        <v>18</v>
      </c>
      <c r="Y62" s="171">
        <v>38.4</v>
      </c>
      <c r="Z62" s="178" t="s">
        <v>129</v>
      </c>
      <c r="AA62" s="171" t="s">
        <v>81</v>
      </c>
      <c r="AB62" s="171" t="s">
        <v>18</v>
      </c>
      <c r="AC62" s="171">
        <v>10.6</v>
      </c>
      <c r="AD62" s="178" t="s">
        <v>131</v>
      </c>
      <c r="AE62" s="171" t="s">
        <v>22</v>
      </c>
      <c r="AF62" s="171" t="s">
        <v>11</v>
      </c>
      <c r="AG62" s="179">
        <v>6.8</v>
      </c>
      <c r="AL62" s="178"/>
      <c r="AO62" s="179"/>
      <c r="AP62" s="178"/>
      <c r="AS62" s="179"/>
      <c r="AW62" s="179"/>
      <c r="BA62" s="180"/>
    </row>
    <row r="63" spans="1:53" s="171" customFormat="1" x14ac:dyDescent="0.15">
      <c r="A63" s="216">
        <v>1985</v>
      </c>
      <c r="B63" s="283"/>
      <c r="C63" s="402" t="s">
        <v>538</v>
      </c>
      <c r="D63" s="402"/>
      <c r="E63" s="171">
        <v>365</v>
      </c>
      <c r="G63" s="233">
        <v>3</v>
      </c>
      <c r="H63" s="171">
        <v>14</v>
      </c>
      <c r="J63" s="241">
        <v>17</v>
      </c>
      <c r="K63" s="214">
        <f t="shared" si="2"/>
        <v>17.647058823529413</v>
      </c>
      <c r="L63" s="214">
        <f t="shared" si="0"/>
        <v>82.35294117647058</v>
      </c>
      <c r="M63" s="214">
        <f t="shared" si="1"/>
        <v>0</v>
      </c>
      <c r="N63" s="235">
        <f t="shared" si="3"/>
        <v>100</v>
      </c>
      <c r="O63" s="213">
        <v>6.8</v>
      </c>
      <c r="P63" s="214">
        <v>49</v>
      </c>
      <c r="Q63" s="214"/>
      <c r="R63" s="215">
        <f t="shared" si="4"/>
        <v>55.8</v>
      </c>
      <c r="S63" s="171">
        <v>2</v>
      </c>
      <c r="T63" s="285"/>
      <c r="U63" s="283"/>
      <c r="V63" s="178" t="s">
        <v>128</v>
      </c>
      <c r="W63" s="171" t="s">
        <v>17</v>
      </c>
      <c r="X63" s="171" t="s">
        <v>18</v>
      </c>
      <c r="Y63" s="171">
        <v>38.4</v>
      </c>
      <c r="Z63" s="178" t="s">
        <v>129</v>
      </c>
      <c r="AA63" s="171" t="s">
        <v>81</v>
      </c>
      <c r="AB63" s="171" t="s">
        <v>18</v>
      </c>
      <c r="AC63" s="171">
        <v>10.6</v>
      </c>
      <c r="AD63" s="178" t="s">
        <v>131</v>
      </c>
      <c r="AE63" s="171" t="s">
        <v>22</v>
      </c>
      <c r="AF63" s="171" t="s">
        <v>11</v>
      </c>
      <c r="AG63" s="179">
        <v>6.8</v>
      </c>
      <c r="AL63" s="178"/>
      <c r="AO63" s="179"/>
      <c r="AP63" s="178"/>
      <c r="AS63" s="179"/>
      <c r="AW63" s="179"/>
      <c r="BA63" s="180"/>
    </row>
    <row r="64" spans="1:53" s="171" customFormat="1" x14ac:dyDescent="0.15">
      <c r="A64" s="216">
        <v>1986</v>
      </c>
      <c r="B64" s="283"/>
      <c r="C64" s="402" t="s">
        <v>538</v>
      </c>
      <c r="D64" s="402"/>
      <c r="E64" s="171">
        <v>0</v>
      </c>
      <c r="G64" s="233">
        <v>3</v>
      </c>
      <c r="H64" s="171">
        <v>14</v>
      </c>
      <c r="J64" s="241">
        <v>17</v>
      </c>
      <c r="K64" s="214">
        <f t="shared" si="2"/>
        <v>17.647058823529413</v>
      </c>
      <c r="L64" s="214">
        <f t="shared" si="0"/>
        <v>82.35294117647058</v>
      </c>
      <c r="M64" s="214">
        <f t="shared" si="1"/>
        <v>0</v>
      </c>
      <c r="N64" s="235">
        <f t="shared" si="3"/>
        <v>100</v>
      </c>
      <c r="O64" s="213">
        <v>6.8</v>
      </c>
      <c r="P64" s="214">
        <v>49</v>
      </c>
      <c r="Q64" s="214"/>
      <c r="R64" s="215">
        <f t="shared" si="4"/>
        <v>55.8</v>
      </c>
      <c r="S64" s="171">
        <v>2</v>
      </c>
      <c r="T64" s="285"/>
      <c r="U64" s="283"/>
      <c r="V64" s="178" t="s">
        <v>128</v>
      </c>
      <c r="W64" s="171" t="s">
        <v>17</v>
      </c>
      <c r="X64" s="171" t="s">
        <v>18</v>
      </c>
      <c r="Y64" s="171">
        <v>38.4</v>
      </c>
      <c r="Z64" s="178" t="s">
        <v>129</v>
      </c>
      <c r="AA64" s="171" t="s">
        <v>81</v>
      </c>
      <c r="AB64" s="171" t="s">
        <v>18</v>
      </c>
      <c r="AC64" s="171">
        <v>10.6</v>
      </c>
      <c r="AD64" s="178" t="s">
        <v>131</v>
      </c>
      <c r="AE64" s="171" t="s">
        <v>22</v>
      </c>
      <c r="AF64" s="171" t="s">
        <v>11</v>
      </c>
      <c r="AG64" s="179">
        <v>6.8</v>
      </c>
      <c r="AL64" s="178"/>
      <c r="AO64" s="179"/>
      <c r="AP64" s="178"/>
      <c r="AS64" s="179"/>
      <c r="AW64" s="179"/>
      <c r="BA64" s="180"/>
    </row>
    <row r="65" spans="1:53" s="171" customFormat="1" x14ac:dyDescent="0.15">
      <c r="A65" s="216">
        <v>1986</v>
      </c>
      <c r="B65" s="283"/>
      <c r="C65" s="402" t="s">
        <v>538</v>
      </c>
      <c r="D65" s="402"/>
      <c r="E65" s="171">
        <v>365</v>
      </c>
      <c r="G65" s="233">
        <v>3</v>
      </c>
      <c r="H65" s="171">
        <v>14</v>
      </c>
      <c r="J65" s="241">
        <v>17</v>
      </c>
      <c r="K65" s="214">
        <f t="shared" si="2"/>
        <v>17.647058823529413</v>
      </c>
      <c r="L65" s="214">
        <f t="shared" si="0"/>
        <v>82.35294117647058</v>
      </c>
      <c r="M65" s="214">
        <f t="shared" si="1"/>
        <v>0</v>
      </c>
      <c r="N65" s="235">
        <f t="shared" si="3"/>
        <v>100</v>
      </c>
      <c r="O65" s="213">
        <v>6.8</v>
      </c>
      <c r="P65" s="214">
        <v>49</v>
      </c>
      <c r="Q65" s="214"/>
      <c r="R65" s="215">
        <f t="shared" si="4"/>
        <v>55.8</v>
      </c>
      <c r="S65" s="171">
        <v>2</v>
      </c>
      <c r="T65" s="285"/>
      <c r="U65" s="283"/>
      <c r="V65" s="178" t="s">
        <v>128</v>
      </c>
      <c r="W65" s="171" t="s">
        <v>17</v>
      </c>
      <c r="X65" s="171" t="s">
        <v>18</v>
      </c>
      <c r="Y65" s="171">
        <v>38.4</v>
      </c>
      <c r="Z65" s="178" t="s">
        <v>129</v>
      </c>
      <c r="AA65" s="171" t="s">
        <v>81</v>
      </c>
      <c r="AB65" s="171" t="s">
        <v>18</v>
      </c>
      <c r="AC65" s="171">
        <v>10.6</v>
      </c>
      <c r="AD65" s="178" t="s">
        <v>131</v>
      </c>
      <c r="AE65" s="171" t="s">
        <v>22</v>
      </c>
      <c r="AF65" s="171" t="s">
        <v>11</v>
      </c>
      <c r="AG65" s="179">
        <v>6.8</v>
      </c>
      <c r="AL65" s="178"/>
      <c r="AO65" s="179"/>
      <c r="AP65" s="178"/>
      <c r="AS65" s="179"/>
      <c r="AW65" s="179"/>
      <c r="BA65" s="180"/>
    </row>
    <row r="66" spans="1:53" s="171" customFormat="1" x14ac:dyDescent="0.15">
      <c r="A66" s="216">
        <v>1987</v>
      </c>
      <c r="B66" s="283"/>
      <c r="C66" s="402" t="s">
        <v>538</v>
      </c>
      <c r="D66" s="402"/>
      <c r="E66" s="171">
        <v>69</v>
      </c>
      <c r="G66" s="233">
        <v>3</v>
      </c>
      <c r="H66" s="171">
        <v>14</v>
      </c>
      <c r="J66" s="241">
        <v>17</v>
      </c>
      <c r="K66" s="214">
        <f t="shared" si="2"/>
        <v>17.647058823529413</v>
      </c>
      <c r="L66" s="214">
        <f t="shared" si="0"/>
        <v>82.35294117647058</v>
      </c>
      <c r="M66" s="214">
        <f t="shared" si="1"/>
        <v>0</v>
      </c>
      <c r="N66" s="235">
        <f t="shared" si="3"/>
        <v>100</v>
      </c>
      <c r="O66" s="213">
        <v>6.8</v>
      </c>
      <c r="P66" s="214">
        <v>49</v>
      </c>
      <c r="Q66" s="214"/>
      <c r="R66" s="215">
        <f t="shared" si="4"/>
        <v>55.8</v>
      </c>
      <c r="S66" s="171">
        <v>2</v>
      </c>
      <c r="T66" s="285"/>
      <c r="U66" s="283"/>
      <c r="V66" s="178" t="s">
        <v>128</v>
      </c>
      <c r="W66" s="171" t="s">
        <v>17</v>
      </c>
      <c r="X66" s="171" t="s">
        <v>18</v>
      </c>
      <c r="Y66" s="171">
        <v>38.4</v>
      </c>
      <c r="Z66" s="178" t="s">
        <v>129</v>
      </c>
      <c r="AA66" s="171" t="s">
        <v>81</v>
      </c>
      <c r="AB66" s="171" t="s">
        <v>18</v>
      </c>
      <c r="AC66" s="171">
        <v>10.6</v>
      </c>
      <c r="AD66" s="178" t="s">
        <v>131</v>
      </c>
      <c r="AE66" s="171" t="s">
        <v>22</v>
      </c>
      <c r="AF66" s="171" t="s">
        <v>11</v>
      </c>
      <c r="AG66" s="179">
        <v>6.8</v>
      </c>
      <c r="AL66" s="178"/>
      <c r="AO66" s="179"/>
      <c r="AP66" s="178"/>
      <c r="AS66" s="179"/>
      <c r="AW66" s="179"/>
      <c r="BA66" s="180"/>
    </row>
    <row r="67" spans="1:53" s="29" customFormat="1" x14ac:dyDescent="0.15">
      <c r="A67" s="52">
        <v>1987</v>
      </c>
      <c r="B67" s="295">
        <v>31847</v>
      </c>
      <c r="C67" s="394" t="s">
        <v>539</v>
      </c>
      <c r="D67" s="394"/>
      <c r="E67" s="29">
        <v>296</v>
      </c>
      <c r="F67" s="29">
        <v>1</v>
      </c>
      <c r="G67" s="66">
        <v>4</v>
      </c>
      <c r="H67" s="29">
        <v>15</v>
      </c>
      <c r="J67" s="73">
        <v>19</v>
      </c>
      <c r="K67" s="47">
        <f t="shared" si="2"/>
        <v>21.052631578947366</v>
      </c>
      <c r="L67" s="47">
        <f t="shared" si="0"/>
        <v>78.94736842105263</v>
      </c>
      <c r="M67" s="47">
        <f t="shared" si="1"/>
        <v>0</v>
      </c>
      <c r="N67" s="68">
        <f t="shared" si="3"/>
        <v>100</v>
      </c>
      <c r="O67" s="46">
        <v>9.3000000000000007</v>
      </c>
      <c r="P67" s="47">
        <v>44.9</v>
      </c>
      <c r="Q67" s="47"/>
      <c r="R67" s="48">
        <f t="shared" si="4"/>
        <v>54.2</v>
      </c>
      <c r="S67" s="29">
        <v>2</v>
      </c>
      <c r="T67" s="286">
        <v>31802</v>
      </c>
      <c r="U67" s="295">
        <v>31847</v>
      </c>
      <c r="V67" s="38" t="s">
        <v>128</v>
      </c>
      <c r="W67" s="29" t="s">
        <v>17</v>
      </c>
      <c r="X67" s="29" t="s">
        <v>18</v>
      </c>
      <c r="Y67" s="29">
        <v>35</v>
      </c>
      <c r="Z67" s="38" t="s">
        <v>129</v>
      </c>
      <c r="AA67" s="29" t="s">
        <v>81</v>
      </c>
      <c r="AB67" s="29" t="s">
        <v>18</v>
      </c>
      <c r="AC67" s="29">
        <v>9.9</v>
      </c>
      <c r="AD67" s="38" t="s">
        <v>131</v>
      </c>
      <c r="AE67" s="29" t="s">
        <v>22</v>
      </c>
      <c r="AF67" s="29" t="s">
        <v>11</v>
      </c>
      <c r="AG67" s="39">
        <v>9.3000000000000007</v>
      </c>
      <c r="AL67" s="38"/>
      <c r="AO67" s="39"/>
      <c r="AP67" s="38"/>
      <c r="AS67" s="39"/>
      <c r="AW67" s="39"/>
      <c r="BA67" s="40"/>
    </row>
    <row r="68" spans="1:53" s="29" customFormat="1" x14ac:dyDescent="0.15">
      <c r="A68" s="52">
        <v>1988</v>
      </c>
      <c r="B68" s="295"/>
      <c r="C68" s="394" t="s">
        <v>539</v>
      </c>
      <c r="D68" s="394"/>
      <c r="E68" s="29">
        <v>0</v>
      </c>
      <c r="G68" s="66">
        <v>4</v>
      </c>
      <c r="H68" s="29">
        <v>15</v>
      </c>
      <c r="J68" s="73">
        <v>19</v>
      </c>
      <c r="K68" s="47">
        <f t="shared" si="2"/>
        <v>21.052631578947366</v>
      </c>
      <c r="L68" s="47">
        <f t="shared" si="0"/>
        <v>78.94736842105263</v>
      </c>
      <c r="M68" s="47">
        <f t="shared" si="1"/>
        <v>0</v>
      </c>
      <c r="N68" s="68">
        <f t="shared" si="3"/>
        <v>100</v>
      </c>
      <c r="O68" s="46">
        <v>9.3000000000000007</v>
      </c>
      <c r="P68" s="47">
        <v>44.9</v>
      </c>
      <c r="Q68" s="47"/>
      <c r="R68" s="48">
        <f t="shared" si="4"/>
        <v>54.2</v>
      </c>
      <c r="S68" s="29">
        <v>2</v>
      </c>
      <c r="T68" s="286"/>
      <c r="U68" s="295"/>
      <c r="V68" s="38" t="s">
        <v>128</v>
      </c>
      <c r="W68" s="29" t="s">
        <v>17</v>
      </c>
      <c r="X68" s="29" t="s">
        <v>18</v>
      </c>
      <c r="Y68" s="29">
        <v>35</v>
      </c>
      <c r="Z68" s="38" t="s">
        <v>129</v>
      </c>
      <c r="AA68" s="29" t="s">
        <v>81</v>
      </c>
      <c r="AB68" s="29" t="s">
        <v>18</v>
      </c>
      <c r="AC68" s="29">
        <v>9.9</v>
      </c>
      <c r="AD68" s="38" t="s">
        <v>131</v>
      </c>
      <c r="AE68" s="29" t="s">
        <v>22</v>
      </c>
      <c r="AF68" s="29" t="s">
        <v>11</v>
      </c>
      <c r="AG68" s="39">
        <v>9.3000000000000007</v>
      </c>
      <c r="AL68" s="38"/>
      <c r="AO68" s="39"/>
      <c r="AP68" s="38"/>
      <c r="AS68" s="39"/>
      <c r="AW68" s="39"/>
      <c r="BA68" s="40"/>
    </row>
    <row r="69" spans="1:53" s="29" customFormat="1" x14ac:dyDescent="0.15">
      <c r="A69" s="52">
        <v>1988</v>
      </c>
      <c r="B69" s="295"/>
      <c r="C69" s="394" t="s">
        <v>539</v>
      </c>
      <c r="D69" s="394"/>
      <c r="E69" s="29">
        <v>366</v>
      </c>
      <c r="G69" s="66">
        <v>4</v>
      </c>
      <c r="H69" s="29">
        <v>15</v>
      </c>
      <c r="J69" s="73">
        <v>19</v>
      </c>
      <c r="K69" s="47">
        <f t="shared" si="2"/>
        <v>21.052631578947366</v>
      </c>
      <c r="L69" s="47">
        <f t="shared" si="0"/>
        <v>78.94736842105263</v>
      </c>
      <c r="M69" s="47">
        <f t="shared" si="1"/>
        <v>0</v>
      </c>
      <c r="N69" s="68">
        <f t="shared" si="3"/>
        <v>100</v>
      </c>
      <c r="O69" s="46">
        <v>9.3000000000000007</v>
      </c>
      <c r="P69" s="47">
        <v>44.9</v>
      </c>
      <c r="Q69" s="47"/>
      <c r="R69" s="48">
        <f t="shared" si="4"/>
        <v>54.2</v>
      </c>
      <c r="S69" s="29">
        <v>2</v>
      </c>
      <c r="T69" s="286"/>
      <c r="U69" s="295"/>
      <c r="V69" s="38" t="s">
        <v>128</v>
      </c>
      <c r="W69" s="29" t="s">
        <v>17</v>
      </c>
      <c r="X69" s="29" t="s">
        <v>18</v>
      </c>
      <c r="Y69" s="29">
        <v>35</v>
      </c>
      <c r="Z69" s="38" t="s">
        <v>129</v>
      </c>
      <c r="AA69" s="29" t="s">
        <v>81</v>
      </c>
      <c r="AB69" s="29" t="s">
        <v>18</v>
      </c>
      <c r="AC69" s="29">
        <v>9.9</v>
      </c>
      <c r="AD69" s="38" t="s">
        <v>131</v>
      </c>
      <c r="AE69" s="29" t="s">
        <v>22</v>
      </c>
      <c r="AF69" s="29" t="s">
        <v>11</v>
      </c>
      <c r="AG69" s="39">
        <v>9.3000000000000007</v>
      </c>
      <c r="AL69" s="38"/>
      <c r="AO69" s="39"/>
      <c r="AP69" s="38"/>
      <c r="AS69" s="39"/>
      <c r="AW69" s="39"/>
      <c r="BA69" s="40"/>
    </row>
    <row r="70" spans="1:53" s="29" customFormat="1" x14ac:dyDescent="0.15">
      <c r="A70" s="29">
        <v>1989</v>
      </c>
      <c r="B70" s="295"/>
      <c r="C70" s="394" t="s">
        <v>539</v>
      </c>
      <c r="D70" s="394"/>
      <c r="E70" s="29">
        <v>181</v>
      </c>
      <c r="G70" s="66">
        <v>4</v>
      </c>
      <c r="H70" s="29">
        <v>15</v>
      </c>
      <c r="J70" s="73">
        <v>19</v>
      </c>
      <c r="K70" s="47">
        <f t="shared" ref="K70:K77" si="5">G70/J70*100</f>
        <v>21.052631578947366</v>
      </c>
      <c r="L70" s="47">
        <f t="shared" ref="L70:L77" si="6">H70/J70*100</f>
        <v>78.94736842105263</v>
      </c>
      <c r="M70" s="47">
        <f t="shared" ref="M70:M77" si="7">I70/J70*100</f>
        <v>0</v>
      </c>
      <c r="N70" s="68">
        <f t="shared" si="3"/>
        <v>100</v>
      </c>
      <c r="O70" s="46">
        <v>9.3000000000000007</v>
      </c>
      <c r="P70" s="47">
        <v>44.9</v>
      </c>
      <c r="Q70" s="47"/>
      <c r="R70" s="48">
        <f t="shared" si="4"/>
        <v>54.2</v>
      </c>
      <c r="S70" s="29">
        <v>2</v>
      </c>
      <c r="T70" s="286"/>
      <c r="U70" s="295"/>
      <c r="V70" s="38" t="s">
        <v>128</v>
      </c>
      <c r="W70" s="29" t="s">
        <v>17</v>
      </c>
      <c r="X70" s="29" t="s">
        <v>18</v>
      </c>
      <c r="Y70" s="29">
        <v>35</v>
      </c>
      <c r="Z70" s="38" t="s">
        <v>129</v>
      </c>
      <c r="AA70" s="29" t="s">
        <v>81</v>
      </c>
      <c r="AB70" s="29" t="s">
        <v>18</v>
      </c>
      <c r="AC70" s="29">
        <v>9.9</v>
      </c>
      <c r="AD70" s="38" t="s">
        <v>131</v>
      </c>
      <c r="AE70" s="29" t="s">
        <v>22</v>
      </c>
      <c r="AF70" s="29" t="s">
        <v>11</v>
      </c>
      <c r="AG70" s="39">
        <v>9.3000000000000007</v>
      </c>
      <c r="AL70" s="38"/>
      <c r="AO70" s="39"/>
      <c r="AP70" s="38"/>
      <c r="AS70" s="39"/>
      <c r="AW70" s="39"/>
      <c r="BA70" s="40"/>
    </row>
    <row r="71" spans="1:53" s="74" customFormat="1" x14ac:dyDescent="0.15">
      <c r="A71" s="74">
        <v>1989</v>
      </c>
      <c r="B71" s="309">
        <v>32690</v>
      </c>
      <c r="C71" s="418" t="s">
        <v>539</v>
      </c>
      <c r="D71" s="418"/>
      <c r="E71" s="74">
        <v>184</v>
      </c>
      <c r="F71" s="90">
        <v>0</v>
      </c>
      <c r="G71" s="75">
        <v>4</v>
      </c>
      <c r="H71" s="74">
        <v>16</v>
      </c>
      <c r="J71" s="76">
        <v>20</v>
      </c>
      <c r="K71" s="77">
        <f t="shared" si="5"/>
        <v>20</v>
      </c>
      <c r="L71" s="77">
        <f t="shared" si="6"/>
        <v>80</v>
      </c>
      <c r="M71" s="77">
        <f t="shared" si="7"/>
        <v>0</v>
      </c>
      <c r="N71" s="78">
        <f t="shared" si="3"/>
        <v>100</v>
      </c>
      <c r="O71" s="79">
        <v>9.3000000000000007</v>
      </c>
      <c r="P71" s="77">
        <v>44.9</v>
      </c>
      <c r="Q71" s="77"/>
      <c r="R71" s="80">
        <f t="shared" si="4"/>
        <v>54.2</v>
      </c>
      <c r="S71" s="74">
        <v>2</v>
      </c>
      <c r="T71" s="304"/>
      <c r="U71" s="302"/>
      <c r="V71" s="81" t="s">
        <v>128</v>
      </c>
      <c r="W71" s="74" t="s">
        <v>17</v>
      </c>
      <c r="X71" s="74" t="s">
        <v>18</v>
      </c>
      <c r="Y71" s="74">
        <v>35</v>
      </c>
      <c r="Z71" s="81" t="s">
        <v>129</v>
      </c>
      <c r="AA71" s="74" t="s">
        <v>81</v>
      </c>
      <c r="AB71" s="74" t="s">
        <v>18</v>
      </c>
      <c r="AC71" s="74">
        <v>9.9</v>
      </c>
      <c r="AD71" s="81" t="s">
        <v>131</v>
      </c>
      <c r="AE71" s="74" t="s">
        <v>22</v>
      </c>
      <c r="AF71" s="74" t="s">
        <v>11</v>
      </c>
      <c r="AG71" s="82">
        <v>9.3000000000000007</v>
      </c>
      <c r="AL71" s="81"/>
      <c r="AO71" s="82"/>
      <c r="AP71" s="81"/>
      <c r="AS71" s="82"/>
      <c r="AW71" s="82"/>
      <c r="BA71" s="83"/>
    </row>
    <row r="72" spans="1:53" s="29" customFormat="1" x14ac:dyDescent="0.15">
      <c r="A72" s="29">
        <v>1990</v>
      </c>
      <c r="B72" s="295"/>
      <c r="C72" s="394" t="s">
        <v>539</v>
      </c>
      <c r="D72" s="394"/>
      <c r="E72" s="29">
        <v>275</v>
      </c>
      <c r="G72" s="66">
        <v>4</v>
      </c>
      <c r="H72" s="29">
        <v>16</v>
      </c>
      <c r="J72" s="73">
        <v>20</v>
      </c>
      <c r="K72" s="47">
        <f t="shared" si="5"/>
        <v>20</v>
      </c>
      <c r="L72" s="47">
        <f t="shared" si="6"/>
        <v>80</v>
      </c>
      <c r="M72" s="47">
        <f t="shared" si="7"/>
        <v>0</v>
      </c>
      <c r="N72" s="68">
        <f t="shared" si="3"/>
        <v>100</v>
      </c>
      <c r="O72" s="46">
        <v>9.3000000000000007</v>
      </c>
      <c r="P72" s="47">
        <v>44.9</v>
      </c>
      <c r="Q72" s="47"/>
      <c r="R72" s="48">
        <f t="shared" si="4"/>
        <v>54.2</v>
      </c>
      <c r="S72" s="29">
        <v>2</v>
      </c>
      <c r="T72" s="286"/>
      <c r="U72" s="295"/>
      <c r="V72" s="38" t="s">
        <v>128</v>
      </c>
      <c r="W72" s="29" t="s">
        <v>17</v>
      </c>
      <c r="X72" s="29" t="s">
        <v>18</v>
      </c>
      <c r="Y72" s="39">
        <v>35</v>
      </c>
      <c r="Z72" s="29" t="s">
        <v>129</v>
      </c>
      <c r="AA72" s="29" t="s">
        <v>81</v>
      </c>
      <c r="AB72" s="29" t="s">
        <v>18</v>
      </c>
      <c r="AC72" s="29">
        <v>9.9</v>
      </c>
      <c r="AD72" s="38" t="s">
        <v>131</v>
      </c>
      <c r="AE72" s="29" t="s">
        <v>22</v>
      </c>
      <c r="AF72" s="29" t="s">
        <v>11</v>
      </c>
      <c r="AG72" s="39">
        <v>9.3000000000000007</v>
      </c>
      <c r="AL72" s="38"/>
      <c r="AO72" s="39"/>
      <c r="AP72" s="38"/>
      <c r="AS72" s="39"/>
      <c r="AW72" s="39"/>
      <c r="BA72" s="40"/>
    </row>
    <row r="73" spans="1:53" s="171" customFormat="1" x14ac:dyDescent="0.15">
      <c r="A73" s="171">
        <v>1990</v>
      </c>
      <c r="B73" s="283">
        <v>33149</v>
      </c>
      <c r="C73" s="410" t="s">
        <v>540</v>
      </c>
      <c r="D73" s="410"/>
      <c r="E73" s="171">
        <f>365-E72</f>
        <v>90</v>
      </c>
      <c r="F73" s="171" t="s">
        <v>335</v>
      </c>
      <c r="G73" s="233">
        <v>5</v>
      </c>
      <c r="H73" s="171">
        <v>20</v>
      </c>
      <c r="J73" s="241">
        <v>25</v>
      </c>
      <c r="K73" s="214">
        <f t="shared" si="5"/>
        <v>20</v>
      </c>
      <c r="L73" s="214">
        <f t="shared" si="6"/>
        <v>80</v>
      </c>
      <c r="M73" s="214">
        <f t="shared" si="7"/>
        <v>0</v>
      </c>
      <c r="N73" s="235">
        <f t="shared" ref="N73:N118" si="8">SUM(K73:M73)</f>
        <v>100</v>
      </c>
      <c r="O73" s="213">
        <v>9.3000000000000007</v>
      </c>
      <c r="P73" s="214">
        <v>44.9</v>
      </c>
      <c r="Q73" s="214"/>
      <c r="R73" s="215">
        <f t="shared" ref="R73:R119" si="9">SUM(O73:Q73)</f>
        <v>54.2</v>
      </c>
      <c r="S73" s="171">
        <v>2</v>
      </c>
      <c r="T73" s="285"/>
      <c r="U73" s="283">
        <v>33149</v>
      </c>
      <c r="V73" s="178" t="s">
        <v>128</v>
      </c>
      <c r="W73" s="171" t="s">
        <v>17</v>
      </c>
      <c r="X73" s="171" t="s">
        <v>18</v>
      </c>
      <c r="Y73" s="179">
        <v>35</v>
      </c>
      <c r="Z73" s="171" t="s">
        <v>129</v>
      </c>
      <c r="AA73" s="171" t="s">
        <v>81</v>
      </c>
      <c r="AB73" s="171" t="s">
        <v>18</v>
      </c>
      <c r="AC73" s="171">
        <v>9.9</v>
      </c>
      <c r="AD73" s="178" t="s">
        <v>131</v>
      </c>
      <c r="AE73" s="171" t="s">
        <v>22</v>
      </c>
      <c r="AF73" s="171" t="s">
        <v>11</v>
      </c>
      <c r="AG73" s="179">
        <v>9.3000000000000007</v>
      </c>
      <c r="AL73" s="178"/>
      <c r="AO73" s="179"/>
      <c r="AP73" s="178"/>
      <c r="AS73" s="179"/>
      <c r="AW73" s="179"/>
      <c r="BA73" s="180"/>
    </row>
    <row r="74" spans="1:53" s="171" customFormat="1" x14ac:dyDescent="0.15">
      <c r="A74" s="171">
        <v>1991</v>
      </c>
      <c r="B74" s="283"/>
      <c r="C74" s="410" t="s">
        <v>540</v>
      </c>
      <c r="D74" s="410"/>
      <c r="E74" s="171">
        <v>17</v>
      </c>
      <c r="G74" s="233">
        <v>5</v>
      </c>
      <c r="H74" s="171">
        <v>20</v>
      </c>
      <c r="J74" s="241">
        <v>25</v>
      </c>
      <c r="K74" s="214">
        <f t="shared" si="5"/>
        <v>20</v>
      </c>
      <c r="L74" s="214">
        <f t="shared" si="6"/>
        <v>80</v>
      </c>
      <c r="M74" s="214">
        <f t="shared" si="7"/>
        <v>0</v>
      </c>
      <c r="N74" s="235">
        <f t="shared" si="8"/>
        <v>100</v>
      </c>
      <c r="O74" s="213">
        <v>9.3000000000000007</v>
      </c>
      <c r="P74" s="214">
        <v>44.9</v>
      </c>
      <c r="Q74" s="214"/>
      <c r="R74" s="215">
        <f t="shared" si="9"/>
        <v>54.2</v>
      </c>
      <c r="S74" s="171">
        <v>2</v>
      </c>
      <c r="T74" s="285">
        <v>33209</v>
      </c>
      <c r="U74" s="283"/>
      <c r="V74" s="178" t="s">
        <v>128</v>
      </c>
      <c r="W74" s="171" t="s">
        <v>17</v>
      </c>
      <c r="X74" s="171" t="s">
        <v>18</v>
      </c>
      <c r="Y74" s="179">
        <v>35</v>
      </c>
      <c r="Z74" s="171" t="s">
        <v>129</v>
      </c>
      <c r="AA74" s="171" t="s">
        <v>81</v>
      </c>
      <c r="AB74" s="171" t="s">
        <v>18</v>
      </c>
      <c r="AC74" s="171">
        <v>9.9</v>
      </c>
      <c r="AD74" s="178" t="s">
        <v>131</v>
      </c>
      <c r="AE74" s="171" t="s">
        <v>22</v>
      </c>
      <c r="AF74" s="171" t="s">
        <v>11</v>
      </c>
      <c r="AG74" s="179">
        <v>9.3000000000000007</v>
      </c>
      <c r="AL74" s="178"/>
      <c r="AO74" s="179"/>
      <c r="AP74" s="178"/>
      <c r="AS74" s="179"/>
      <c r="AW74" s="179"/>
      <c r="BA74" s="180"/>
    </row>
    <row r="75" spans="1:53" s="29" customFormat="1" x14ac:dyDescent="0.15">
      <c r="A75" s="29">
        <v>1991</v>
      </c>
      <c r="B75" s="295">
        <v>33256</v>
      </c>
      <c r="C75" s="411" t="s">
        <v>541</v>
      </c>
      <c r="D75" s="411"/>
      <c r="E75" s="29">
        <f>365-E74</f>
        <v>348</v>
      </c>
      <c r="F75" s="29">
        <v>1</v>
      </c>
      <c r="G75" s="66">
        <v>5</v>
      </c>
      <c r="H75" s="29">
        <v>15</v>
      </c>
      <c r="J75" s="73">
        <v>20</v>
      </c>
      <c r="K75" s="47">
        <f t="shared" si="5"/>
        <v>25</v>
      </c>
      <c r="L75" s="47">
        <f t="shared" si="6"/>
        <v>75</v>
      </c>
      <c r="M75" s="47">
        <f t="shared" si="7"/>
        <v>0</v>
      </c>
      <c r="N75" s="68">
        <f t="shared" si="8"/>
        <v>100</v>
      </c>
      <c r="O75" s="46">
        <v>11.9</v>
      </c>
      <c r="P75" s="47">
        <v>48.2</v>
      </c>
      <c r="Q75" s="47"/>
      <c r="R75" s="48">
        <f t="shared" si="9"/>
        <v>60.1</v>
      </c>
      <c r="S75" s="29">
        <v>2</v>
      </c>
      <c r="T75" s="286"/>
      <c r="U75" s="295">
        <v>33256</v>
      </c>
      <c r="V75" s="38" t="s">
        <v>128</v>
      </c>
      <c r="W75" s="29" t="s">
        <v>17</v>
      </c>
      <c r="X75" s="29" t="s">
        <v>18</v>
      </c>
      <c r="Y75" s="39">
        <v>40.5</v>
      </c>
      <c r="Z75" s="29" t="s">
        <v>129</v>
      </c>
      <c r="AA75" s="29" t="s">
        <v>81</v>
      </c>
      <c r="AB75" s="29" t="s">
        <v>18</v>
      </c>
      <c r="AC75" s="29">
        <v>7.7</v>
      </c>
      <c r="AD75" s="38" t="s">
        <v>131</v>
      </c>
      <c r="AE75" s="29" t="s">
        <v>22</v>
      </c>
      <c r="AF75" s="29" t="s">
        <v>11</v>
      </c>
      <c r="AG75" s="39">
        <v>11.9</v>
      </c>
      <c r="AL75" s="38"/>
      <c r="AO75" s="39"/>
      <c r="AP75" s="38"/>
      <c r="AS75" s="39"/>
      <c r="AW75" s="39"/>
      <c r="BA75" s="40"/>
    </row>
    <row r="76" spans="1:53" s="29" customFormat="1" x14ac:dyDescent="0.15">
      <c r="A76" s="29">
        <v>1992</v>
      </c>
      <c r="B76" s="295"/>
      <c r="C76" s="411" t="s">
        <v>541</v>
      </c>
      <c r="D76" s="411"/>
      <c r="E76" s="29">
        <v>0</v>
      </c>
      <c r="G76" s="66">
        <v>5</v>
      </c>
      <c r="H76" s="29">
        <v>15</v>
      </c>
      <c r="J76" s="73">
        <v>20</v>
      </c>
      <c r="K76" s="47">
        <f t="shared" si="5"/>
        <v>25</v>
      </c>
      <c r="L76" s="47">
        <f t="shared" si="6"/>
        <v>75</v>
      </c>
      <c r="M76" s="47">
        <f t="shared" si="7"/>
        <v>0</v>
      </c>
      <c r="N76" s="68">
        <f t="shared" si="8"/>
        <v>100</v>
      </c>
      <c r="O76" s="46">
        <v>11.9</v>
      </c>
      <c r="P76" s="47">
        <v>48.2</v>
      </c>
      <c r="Q76" s="47"/>
      <c r="R76" s="48">
        <f t="shared" si="9"/>
        <v>60.1</v>
      </c>
      <c r="S76" s="29">
        <v>2</v>
      </c>
      <c r="T76" s="286"/>
      <c r="U76" s="295"/>
      <c r="V76" s="38" t="s">
        <v>128</v>
      </c>
      <c r="W76" s="29" t="s">
        <v>17</v>
      </c>
      <c r="X76" s="29" t="s">
        <v>18</v>
      </c>
      <c r="Y76" s="39">
        <v>40.5</v>
      </c>
      <c r="Z76" s="29" t="s">
        <v>129</v>
      </c>
      <c r="AA76" s="29" t="s">
        <v>81</v>
      </c>
      <c r="AB76" s="29" t="s">
        <v>18</v>
      </c>
      <c r="AC76" s="29">
        <v>7.7</v>
      </c>
      <c r="AD76" s="38" t="s">
        <v>131</v>
      </c>
      <c r="AE76" s="29" t="s">
        <v>22</v>
      </c>
      <c r="AF76" s="29" t="s">
        <v>11</v>
      </c>
      <c r="AG76" s="39">
        <v>11.9</v>
      </c>
      <c r="AL76" s="38"/>
      <c r="AO76" s="39"/>
      <c r="AP76" s="38"/>
      <c r="AS76" s="39"/>
      <c r="AW76" s="39"/>
      <c r="BA76" s="40"/>
    </row>
    <row r="77" spans="1:53" s="29" customFormat="1" x14ac:dyDescent="0.15">
      <c r="A77" s="29">
        <v>1992</v>
      </c>
      <c r="B77" s="295"/>
      <c r="C77" s="411" t="s">
        <v>541</v>
      </c>
      <c r="D77" s="411"/>
      <c r="E77" s="29">
        <v>366</v>
      </c>
      <c r="G77" s="66">
        <v>5</v>
      </c>
      <c r="H77" s="29">
        <v>15</v>
      </c>
      <c r="J77" s="73">
        <v>20</v>
      </c>
      <c r="K77" s="47">
        <f t="shared" si="5"/>
        <v>25</v>
      </c>
      <c r="L77" s="47">
        <f t="shared" si="6"/>
        <v>75</v>
      </c>
      <c r="M77" s="47">
        <f t="shared" si="7"/>
        <v>0</v>
      </c>
      <c r="N77" s="68">
        <f t="shared" si="8"/>
        <v>100</v>
      </c>
      <c r="O77" s="46">
        <v>11.9</v>
      </c>
      <c r="P77" s="47">
        <v>48.2</v>
      </c>
      <c r="Q77" s="47"/>
      <c r="R77" s="48">
        <f t="shared" si="9"/>
        <v>60.1</v>
      </c>
      <c r="S77" s="29">
        <v>2</v>
      </c>
      <c r="T77" s="286"/>
      <c r="U77" s="295"/>
      <c r="V77" s="38" t="s">
        <v>128</v>
      </c>
      <c r="W77" s="29" t="s">
        <v>17</v>
      </c>
      <c r="X77" s="29" t="s">
        <v>18</v>
      </c>
      <c r="Y77" s="39">
        <v>40.5</v>
      </c>
      <c r="Z77" s="29" t="s">
        <v>129</v>
      </c>
      <c r="AA77" s="29" t="s">
        <v>81</v>
      </c>
      <c r="AB77" s="29" t="s">
        <v>18</v>
      </c>
      <c r="AC77" s="29">
        <v>7.7</v>
      </c>
      <c r="AD77" s="38" t="s">
        <v>131</v>
      </c>
      <c r="AE77" s="29" t="s">
        <v>22</v>
      </c>
      <c r="AF77" s="29" t="s">
        <v>11</v>
      </c>
      <c r="AG77" s="39">
        <v>11.9</v>
      </c>
      <c r="AL77" s="38"/>
      <c r="AO77" s="39"/>
      <c r="AP77" s="38"/>
      <c r="AS77" s="39"/>
      <c r="AW77" s="39"/>
      <c r="BA77" s="40"/>
    </row>
    <row r="78" spans="1:53" s="29" customFormat="1" x14ac:dyDescent="0.15">
      <c r="A78" s="29">
        <v>1993</v>
      </c>
      <c r="B78" s="295"/>
      <c r="C78" s="411" t="s">
        <v>541</v>
      </c>
      <c r="D78" s="411"/>
      <c r="E78" s="29">
        <v>0</v>
      </c>
      <c r="G78" s="66">
        <v>5</v>
      </c>
      <c r="H78" s="29">
        <v>15</v>
      </c>
      <c r="J78" s="73">
        <v>20</v>
      </c>
      <c r="K78" s="47">
        <f t="shared" ref="K78:K101" si="10">G78/J78*100</f>
        <v>25</v>
      </c>
      <c r="L78" s="47">
        <f t="shared" ref="L78:L101" si="11">H78/J78*100</f>
        <v>75</v>
      </c>
      <c r="M78" s="47">
        <f t="shared" ref="M78:M101" si="12">I78/J78*100</f>
        <v>0</v>
      </c>
      <c r="N78" s="68">
        <f t="shared" si="8"/>
        <v>100</v>
      </c>
      <c r="O78" s="46">
        <v>11.9</v>
      </c>
      <c r="P78" s="47">
        <v>48.2</v>
      </c>
      <c r="Q78" s="47"/>
      <c r="R78" s="48">
        <f t="shared" si="9"/>
        <v>60.1</v>
      </c>
      <c r="S78" s="29">
        <v>2</v>
      </c>
      <c r="T78" s="286"/>
      <c r="U78" s="295"/>
      <c r="V78" s="38" t="s">
        <v>128</v>
      </c>
      <c r="W78" s="29" t="s">
        <v>17</v>
      </c>
      <c r="X78" s="29" t="s">
        <v>18</v>
      </c>
      <c r="Y78" s="39">
        <v>40.5</v>
      </c>
      <c r="Z78" s="29" t="s">
        <v>129</v>
      </c>
      <c r="AA78" s="29" t="s">
        <v>81</v>
      </c>
      <c r="AB78" s="29" t="s">
        <v>18</v>
      </c>
      <c r="AC78" s="29">
        <v>7.7</v>
      </c>
      <c r="AD78" s="38" t="s">
        <v>131</v>
      </c>
      <c r="AE78" s="29" t="s">
        <v>22</v>
      </c>
      <c r="AF78" s="29" t="s">
        <v>11</v>
      </c>
      <c r="AG78" s="39">
        <v>11.9</v>
      </c>
      <c r="AL78" s="38"/>
      <c r="AO78" s="39"/>
      <c r="AP78" s="38"/>
      <c r="AS78" s="39"/>
      <c r="AW78" s="39"/>
      <c r="BA78" s="40"/>
    </row>
    <row r="79" spans="1:53" s="29" customFormat="1" x14ac:dyDescent="0.15">
      <c r="A79" s="29">
        <v>1993</v>
      </c>
      <c r="B79" s="295"/>
      <c r="C79" s="411" t="s">
        <v>541</v>
      </c>
      <c r="D79" s="411"/>
      <c r="E79" s="29">
        <f>365-E78</f>
        <v>365</v>
      </c>
      <c r="G79" s="66">
        <v>5</v>
      </c>
      <c r="H79" s="29">
        <v>15</v>
      </c>
      <c r="J79" s="73">
        <v>20</v>
      </c>
      <c r="K79" s="47">
        <f t="shared" si="10"/>
        <v>25</v>
      </c>
      <c r="L79" s="47">
        <f t="shared" si="11"/>
        <v>75</v>
      </c>
      <c r="M79" s="47">
        <f t="shared" si="12"/>
        <v>0</v>
      </c>
      <c r="N79" s="68">
        <f t="shared" si="8"/>
        <v>100</v>
      </c>
      <c r="O79" s="46">
        <v>11.9</v>
      </c>
      <c r="P79" s="47">
        <v>48.2</v>
      </c>
      <c r="Q79" s="47"/>
      <c r="R79" s="48">
        <f t="shared" si="9"/>
        <v>60.1</v>
      </c>
      <c r="S79" s="29">
        <v>2</v>
      </c>
      <c r="T79" s="286"/>
      <c r="U79" s="295"/>
      <c r="V79" s="38" t="s">
        <v>128</v>
      </c>
      <c r="W79" s="29" t="s">
        <v>17</v>
      </c>
      <c r="X79" s="29" t="s">
        <v>18</v>
      </c>
      <c r="Y79" s="39">
        <v>40.5</v>
      </c>
      <c r="Z79" s="29" t="s">
        <v>129</v>
      </c>
      <c r="AA79" s="29" t="s">
        <v>81</v>
      </c>
      <c r="AB79" s="29" t="s">
        <v>18</v>
      </c>
      <c r="AC79" s="29">
        <v>7.7</v>
      </c>
      <c r="AD79" s="38" t="s">
        <v>131</v>
      </c>
      <c r="AE79" s="29" t="s">
        <v>22</v>
      </c>
      <c r="AF79" s="29" t="s">
        <v>11</v>
      </c>
      <c r="AG79" s="39">
        <v>11.9</v>
      </c>
      <c r="AL79" s="38"/>
      <c r="AO79" s="39"/>
      <c r="AP79" s="38"/>
      <c r="AS79" s="39"/>
      <c r="AW79" s="39"/>
      <c r="BA79" s="40"/>
    </row>
    <row r="80" spans="1:53" s="29" customFormat="1" x14ac:dyDescent="0.15">
      <c r="A80" s="29">
        <v>1994</v>
      </c>
      <c r="B80" s="295"/>
      <c r="C80" s="411" t="s">
        <v>541</v>
      </c>
      <c r="D80" s="411"/>
      <c r="E80" s="29">
        <v>320</v>
      </c>
      <c r="G80" s="66">
        <v>5</v>
      </c>
      <c r="H80" s="29">
        <v>15</v>
      </c>
      <c r="J80" s="73">
        <v>20</v>
      </c>
      <c r="K80" s="47">
        <f t="shared" si="10"/>
        <v>25</v>
      </c>
      <c r="L80" s="47">
        <f t="shared" si="11"/>
        <v>75</v>
      </c>
      <c r="M80" s="47">
        <f t="shared" si="12"/>
        <v>0</v>
      </c>
      <c r="N80" s="68">
        <f t="shared" si="8"/>
        <v>100</v>
      </c>
      <c r="O80" s="46">
        <v>11.9</v>
      </c>
      <c r="P80" s="47">
        <v>48.2</v>
      </c>
      <c r="Q80" s="47"/>
      <c r="R80" s="48">
        <f t="shared" si="9"/>
        <v>60.1</v>
      </c>
      <c r="S80" s="29">
        <v>2</v>
      </c>
      <c r="T80" s="286"/>
      <c r="U80" s="295"/>
      <c r="V80" s="38" t="s">
        <v>128</v>
      </c>
      <c r="W80" s="29" t="s">
        <v>17</v>
      </c>
      <c r="X80" s="29" t="s">
        <v>18</v>
      </c>
      <c r="Y80" s="39">
        <v>40.5</v>
      </c>
      <c r="Z80" s="29" t="s">
        <v>129</v>
      </c>
      <c r="AA80" s="29" t="s">
        <v>81</v>
      </c>
      <c r="AB80" s="29" t="s">
        <v>18</v>
      </c>
      <c r="AC80" s="29">
        <v>7.7</v>
      </c>
      <c r="AD80" s="38" t="s">
        <v>131</v>
      </c>
      <c r="AE80" s="29" t="s">
        <v>22</v>
      </c>
      <c r="AF80" s="29" t="s">
        <v>11</v>
      </c>
      <c r="AG80" s="39">
        <v>11.9</v>
      </c>
      <c r="AL80" s="38"/>
      <c r="AO80" s="39"/>
      <c r="AP80" s="38"/>
      <c r="AS80" s="39"/>
      <c r="AW80" s="39"/>
      <c r="BA80" s="40"/>
    </row>
    <row r="81" spans="1:53" s="171" customFormat="1" x14ac:dyDescent="0.15">
      <c r="A81" s="171">
        <v>1994</v>
      </c>
      <c r="B81" s="283">
        <v>34655</v>
      </c>
      <c r="C81" s="410" t="s">
        <v>542</v>
      </c>
      <c r="D81" s="410"/>
      <c r="E81" s="171">
        <f>365-E80</f>
        <v>45</v>
      </c>
      <c r="F81" s="171">
        <v>1</v>
      </c>
      <c r="G81" s="233">
        <v>3</v>
      </c>
      <c r="H81" s="171">
        <v>15</v>
      </c>
      <c r="J81" s="241">
        <v>18</v>
      </c>
      <c r="K81" s="214">
        <f t="shared" si="10"/>
        <v>16.666666666666664</v>
      </c>
      <c r="L81" s="214">
        <f t="shared" si="11"/>
        <v>83.333333333333343</v>
      </c>
      <c r="M81" s="214">
        <f t="shared" si="12"/>
        <v>0</v>
      </c>
      <c r="N81" s="235">
        <f t="shared" si="8"/>
        <v>100</v>
      </c>
      <c r="O81" s="213">
        <v>7</v>
      </c>
      <c r="P81" s="214">
        <v>43.7</v>
      </c>
      <c r="Q81" s="214"/>
      <c r="R81" s="215">
        <f t="shared" si="9"/>
        <v>50.7</v>
      </c>
      <c r="S81" s="171">
        <v>2</v>
      </c>
      <c r="T81" s="285">
        <v>34623</v>
      </c>
      <c r="U81" s="283">
        <v>34655</v>
      </c>
      <c r="V81" s="178" t="s">
        <v>128</v>
      </c>
      <c r="W81" s="171" t="s">
        <v>17</v>
      </c>
      <c r="X81" s="171" t="s">
        <v>18</v>
      </c>
      <c r="Y81" s="179">
        <v>36.299999999999997</v>
      </c>
      <c r="Z81" s="171" t="s">
        <v>129</v>
      </c>
      <c r="AA81" s="171" t="s">
        <v>81</v>
      </c>
      <c r="AB81" s="171" t="s">
        <v>18</v>
      </c>
      <c r="AC81" s="171">
        <v>7.4</v>
      </c>
      <c r="AD81" s="178" t="s">
        <v>131</v>
      </c>
      <c r="AE81" s="171" t="s">
        <v>22</v>
      </c>
      <c r="AF81" s="171" t="s">
        <v>11</v>
      </c>
      <c r="AG81" s="179">
        <v>7</v>
      </c>
      <c r="AL81" s="178"/>
      <c r="AO81" s="179"/>
      <c r="AP81" s="178"/>
      <c r="AS81" s="179"/>
      <c r="AW81" s="179"/>
      <c r="BA81" s="180"/>
    </row>
    <row r="82" spans="1:53" s="171" customFormat="1" x14ac:dyDescent="0.15">
      <c r="A82" s="171">
        <v>1995</v>
      </c>
      <c r="B82" s="283"/>
      <c r="C82" s="410" t="s">
        <v>542</v>
      </c>
      <c r="D82" s="410"/>
      <c r="E82" s="171">
        <v>0</v>
      </c>
      <c r="G82" s="233">
        <v>3</v>
      </c>
      <c r="H82" s="171">
        <v>15</v>
      </c>
      <c r="J82" s="241">
        <v>18</v>
      </c>
      <c r="K82" s="214">
        <f t="shared" si="10"/>
        <v>16.666666666666664</v>
      </c>
      <c r="L82" s="214">
        <f t="shared" si="11"/>
        <v>83.333333333333343</v>
      </c>
      <c r="M82" s="214">
        <f t="shared" si="12"/>
        <v>0</v>
      </c>
      <c r="N82" s="235">
        <f t="shared" si="8"/>
        <v>100</v>
      </c>
      <c r="O82" s="213">
        <v>7</v>
      </c>
      <c r="P82" s="214">
        <v>43.7</v>
      </c>
      <c r="Q82" s="214"/>
      <c r="R82" s="215">
        <f t="shared" si="9"/>
        <v>50.7</v>
      </c>
      <c r="S82" s="171">
        <v>2</v>
      </c>
      <c r="T82" s="285"/>
      <c r="U82" s="283"/>
      <c r="V82" s="178" t="s">
        <v>128</v>
      </c>
      <c r="W82" s="171" t="s">
        <v>17</v>
      </c>
      <c r="X82" s="171" t="s">
        <v>18</v>
      </c>
      <c r="Y82" s="179">
        <v>36.299999999999997</v>
      </c>
      <c r="Z82" s="171" t="s">
        <v>129</v>
      </c>
      <c r="AA82" s="171" t="s">
        <v>81</v>
      </c>
      <c r="AB82" s="171" t="s">
        <v>18</v>
      </c>
      <c r="AC82" s="171">
        <v>7.4</v>
      </c>
      <c r="AD82" s="178" t="s">
        <v>131</v>
      </c>
      <c r="AE82" s="171" t="s">
        <v>22</v>
      </c>
      <c r="AF82" s="171" t="s">
        <v>11</v>
      </c>
      <c r="AG82" s="179">
        <v>7</v>
      </c>
      <c r="AL82" s="178"/>
      <c r="AO82" s="179"/>
      <c r="AP82" s="178"/>
      <c r="AS82" s="179"/>
      <c r="AW82" s="179"/>
      <c r="BA82" s="180"/>
    </row>
    <row r="83" spans="1:53" s="171" customFormat="1" x14ac:dyDescent="0.15">
      <c r="A83" s="171">
        <v>1995</v>
      </c>
      <c r="B83" s="283"/>
      <c r="C83" s="410" t="s">
        <v>542</v>
      </c>
      <c r="D83" s="410"/>
      <c r="E83" s="171">
        <f>365-E82</f>
        <v>365</v>
      </c>
      <c r="G83" s="233">
        <v>3</v>
      </c>
      <c r="H83" s="171">
        <v>15</v>
      </c>
      <c r="J83" s="241">
        <v>18</v>
      </c>
      <c r="K83" s="214">
        <f t="shared" si="10"/>
        <v>16.666666666666664</v>
      </c>
      <c r="L83" s="214">
        <f t="shared" si="11"/>
        <v>83.333333333333343</v>
      </c>
      <c r="M83" s="214">
        <f t="shared" si="12"/>
        <v>0</v>
      </c>
      <c r="N83" s="235">
        <f t="shared" si="8"/>
        <v>100</v>
      </c>
      <c r="O83" s="213">
        <v>7</v>
      </c>
      <c r="P83" s="214">
        <v>43.7</v>
      </c>
      <c r="Q83" s="214"/>
      <c r="R83" s="215">
        <f t="shared" si="9"/>
        <v>50.7</v>
      </c>
      <c r="S83" s="171">
        <v>2</v>
      </c>
      <c r="T83" s="285"/>
      <c r="U83" s="283"/>
      <c r="V83" s="178" t="s">
        <v>128</v>
      </c>
      <c r="W83" s="171" t="s">
        <v>17</v>
      </c>
      <c r="X83" s="171" t="s">
        <v>18</v>
      </c>
      <c r="Y83" s="179">
        <v>36.299999999999997</v>
      </c>
      <c r="Z83" s="171" t="s">
        <v>129</v>
      </c>
      <c r="AA83" s="171" t="s">
        <v>81</v>
      </c>
      <c r="AB83" s="171" t="s">
        <v>18</v>
      </c>
      <c r="AC83" s="171">
        <v>7.4</v>
      </c>
      <c r="AD83" s="178" t="s">
        <v>131</v>
      </c>
      <c r="AE83" s="171" t="s">
        <v>22</v>
      </c>
      <c r="AF83" s="171" t="s">
        <v>11</v>
      </c>
      <c r="AG83" s="179">
        <v>7</v>
      </c>
      <c r="AL83" s="178"/>
      <c r="AO83" s="179"/>
      <c r="AP83" s="178"/>
      <c r="AS83" s="179"/>
      <c r="AW83" s="179"/>
      <c r="BA83" s="180"/>
    </row>
    <row r="84" spans="1:53" s="171" customFormat="1" x14ac:dyDescent="0.15">
      <c r="A84" s="171">
        <v>1996</v>
      </c>
      <c r="B84" s="283"/>
      <c r="C84" s="410" t="s">
        <v>542</v>
      </c>
      <c r="D84" s="410"/>
      <c r="E84" s="171">
        <v>0</v>
      </c>
      <c r="G84" s="233">
        <v>3</v>
      </c>
      <c r="H84" s="171">
        <v>15</v>
      </c>
      <c r="J84" s="241">
        <v>18</v>
      </c>
      <c r="K84" s="214">
        <f t="shared" si="10"/>
        <v>16.666666666666664</v>
      </c>
      <c r="L84" s="214">
        <f t="shared" si="11"/>
        <v>83.333333333333343</v>
      </c>
      <c r="M84" s="214">
        <f t="shared" si="12"/>
        <v>0</v>
      </c>
      <c r="N84" s="235">
        <f t="shared" si="8"/>
        <v>100</v>
      </c>
      <c r="O84" s="213">
        <v>7</v>
      </c>
      <c r="P84" s="214">
        <v>43.7</v>
      </c>
      <c r="Q84" s="214"/>
      <c r="R84" s="215">
        <f t="shared" si="9"/>
        <v>50.7</v>
      </c>
      <c r="S84" s="171">
        <v>2</v>
      </c>
      <c r="T84" s="285"/>
      <c r="U84" s="283"/>
      <c r="V84" s="178" t="s">
        <v>128</v>
      </c>
      <c r="W84" s="171" t="s">
        <v>17</v>
      </c>
      <c r="X84" s="171" t="s">
        <v>18</v>
      </c>
      <c r="Y84" s="179">
        <v>36.299999999999997</v>
      </c>
      <c r="Z84" s="171" t="s">
        <v>129</v>
      </c>
      <c r="AA84" s="171" t="s">
        <v>81</v>
      </c>
      <c r="AB84" s="171" t="s">
        <v>18</v>
      </c>
      <c r="AC84" s="171">
        <v>7.4</v>
      </c>
      <c r="AD84" s="178" t="s">
        <v>131</v>
      </c>
      <c r="AE84" s="171" t="s">
        <v>22</v>
      </c>
      <c r="AF84" s="171" t="s">
        <v>11</v>
      </c>
      <c r="AG84" s="179">
        <v>7</v>
      </c>
      <c r="AL84" s="178"/>
      <c r="AO84" s="179"/>
      <c r="AP84" s="178"/>
      <c r="AS84" s="179"/>
      <c r="AW84" s="179"/>
      <c r="BA84" s="180"/>
    </row>
    <row r="85" spans="1:53" s="171" customFormat="1" x14ac:dyDescent="0.15">
      <c r="A85" s="171">
        <v>1996</v>
      </c>
      <c r="B85" s="283"/>
      <c r="C85" s="410" t="s">
        <v>542</v>
      </c>
      <c r="D85" s="410"/>
      <c r="E85" s="171">
        <v>366</v>
      </c>
      <c r="G85" s="233">
        <v>3</v>
      </c>
      <c r="H85" s="171">
        <v>15</v>
      </c>
      <c r="J85" s="241">
        <v>18</v>
      </c>
      <c r="K85" s="214">
        <f t="shared" si="10"/>
        <v>16.666666666666664</v>
      </c>
      <c r="L85" s="214">
        <f t="shared" si="11"/>
        <v>83.333333333333343</v>
      </c>
      <c r="M85" s="214">
        <f t="shared" si="12"/>
        <v>0</v>
      </c>
      <c r="N85" s="235">
        <f t="shared" si="8"/>
        <v>100</v>
      </c>
      <c r="O85" s="213">
        <v>7</v>
      </c>
      <c r="P85" s="214">
        <v>43.7</v>
      </c>
      <c r="Q85" s="214"/>
      <c r="R85" s="215">
        <f t="shared" si="9"/>
        <v>50.7</v>
      </c>
      <c r="S85" s="171">
        <v>2</v>
      </c>
      <c r="T85" s="285"/>
      <c r="U85" s="283"/>
      <c r="V85" s="178" t="s">
        <v>128</v>
      </c>
      <c r="W85" s="171" t="s">
        <v>17</v>
      </c>
      <c r="X85" s="171" t="s">
        <v>18</v>
      </c>
      <c r="Y85" s="179">
        <v>36.299999999999997</v>
      </c>
      <c r="Z85" s="171" t="s">
        <v>129</v>
      </c>
      <c r="AA85" s="171" t="s">
        <v>81</v>
      </c>
      <c r="AB85" s="171" t="s">
        <v>18</v>
      </c>
      <c r="AC85" s="171">
        <v>7.4</v>
      </c>
      <c r="AD85" s="178" t="s">
        <v>131</v>
      </c>
      <c r="AE85" s="171" t="s">
        <v>22</v>
      </c>
      <c r="AF85" s="171" t="s">
        <v>11</v>
      </c>
      <c r="AG85" s="179">
        <v>7</v>
      </c>
      <c r="AL85" s="178"/>
      <c r="AO85" s="179"/>
      <c r="AP85" s="178"/>
      <c r="AS85" s="179"/>
      <c r="AW85" s="179"/>
      <c r="BA85" s="180"/>
    </row>
    <row r="86" spans="1:53" s="171" customFormat="1" x14ac:dyDescent="0.15">
      <c r="A86" s="171">
        <v>1997</v>
      </c>
      <c r="B86" s="283"/>
      <c r="C86" s="410" t="s">
        <v>542</v>
      </c>
      <c r="D86" s="410"/>
      <c r="E86" s="171">
        <v>364</v>
      </c>
      <c r="G86" s="233">
        <v>3</v>
      </c>
      <c r="H86" s="171">
        <v>15</v>
      </c>
      <c r="J86" s="241">
        <v>18</v>
      </c>
      <c r="K86" s="214">
        <f t="shared" si="10"/>
        <v>16.666666666666664</v>
      </c>
      <c r="L86" s="214">
        <f t="shared" si="11"/>
        <v>83.333333333333343</v>
      </c>
      <c r="M86" s="214">
        <f t="shared" si="12"/>
        <v>0</v>
      </c>
      <c r="N86" s="235">
        <f t="shared" si="8"/>
        <v>100</v>
      </c>
      <c r="O86" s="213">
        <v>7</v>
      </c>
      <c r="P86" s="214">
        <v>43.7</v>
      </c>
      <c r="Q86" s="214"/>
      <c r="R86" s="215">
        <f t="shared" si="9"/>
        <v>50.7</v>
      </c>
      <c r="S86" s="171">
        <v>2</v>
      </c>
      <c r="T86" s="285"/>
      <c r="U86" s="283"/>
      <c r="V86" s="178" t="s">
        <v>128</v>
      </c>
      <c r="W86" s="171" t="s">
        <v>17</v>
      </c>
      <c r="X86" s="171" t="s">
        <v>18</v>
      </c>
      <c r="Y86" s="179">
        <v>36.299999999999997</v>
      </c>
      <c r="Z86" s="171" t="s">
        <v>129</v>
      </c>
      <c r="AA86" s="171" t="s">
        <v>81</v>
      </c>
      <c r="AB86" s="171" t="s">
        <v>18</v>
      </c>
      <c r="AC86" s="171">
        <v>7.4</v>
      </c>
      <c r="AD86" s="178" t="s">
        <v>131</v>
      </c>
      <c r="AE86" s="171" t="s">
        <v>22</v>
      </c>
      <c r="AF86" s="171" t="s">
        <v>11</v>
      </c>
      <c r="AG86" s="179">
        <v>7</v>
      </c>
      <c r="AL86" s="178"/>
      <c r="AO86" s="179"/>
      <c r="AP86" s="178"/>
      <c r="AS86" s="179"/>
      <c r="AW86" s="179"/>
      <c r="BA86" s="180"/>
    </row>
    <row r="87" spans="1:53" s="171" customFormat="1" x14ac:dyDescent="0.15">
      <c r="A87" s="171">
        <v>1997</v>
      </c>
      <c r="B87" s="305">
        <v>35795</v>
      </c>
      <c r="C87" s="410" t="s">
        <v>542</v>
      </c>
      <c r="D87" s="410"/>
      <c r="E87" s="171">
        <f>365-E86</f>
        <v>1</v>
      </c>
      <c r="F87" s="244">
        <v>0</v>
      </c>
      <c r="G87" s="233">
        <v>3</v>
      </c>
      <c r="H87" s="171">
        <v>14</v>
      </c>
      <c r="J87" s="241">
        <v>17</v>
      </c>
      <c r="K87" s="214">
        <f t="shared" si="10"/>
        <v>17.647058823529413</v>
      </c>
      <c r="L87" s="214">
        <f t="shared" si="11"/>
        <v>82.35294117647058</v>
      </c>
      <c r="M87" s="214">
        <f t="shared" si="12"/>
        <v>0</v>
      </c>
      <c r="N87" s="235">
        <f t="shared" si="8"/>
        <v>100</v>
      </c>
      <c r="O87" s="213">
        <v>7</v>
      </c>
      <c r="P87" s="214">
        <v>43.7</v>
      </c>
      <c r="Q87" s="214"/>
      <c r="R87" s="215">
        <f t="shared" si="9"/>
        <v>50.7</v>
      </c>
      <c r="S87" s="171">
        <v>2</v>
      </c>
      <c r="T87" s="285"/>
      <c r="U87" s="283"/>
      <c r="V87" s="178" t="s">
        <v>128</v>
      </c>
      <c r="W87" s="171" t="s">
        <v>17</v>
      </c>
      <c r="X87" s="171" t="s">
        <v>18</v>
      </c>
      <c r="Y87" s="179">
        <v>36.299999999999997</v>
      </c>
      <c r="Z87" s="171" t="s">
        <v>129</v>
      </c>
      <c r="AA87" s="171" t="s">
        <v>81</v>
      </c>
      <c r="AB87" s="171" t="s">
        <v>18</v>
      </c>
      <c r="AC87" s="171">
        <v>7.4</v>
      </c>
      <c r="AD87" s="178" t="s">
        <v>131</v>
      </c>
      <c r="AE87" s="171" t="s">
        <v>22</v>
      </c>
      <c r="AF87" s="171" t="s">
        <v>11</v>
      </c>
      <c r="AG87" s="179">
        <v>7</v>
      </c>
      <c r="AL87" s="178"/>
      <c r="AO87" s="179"/>
      <c r="AP87" s="178"/>
      <c r="AS87" s="179"/>
      <c r="AW87" s="179"/>
      <c r="BA87" s="180"/>
    </row>
    <row r="88" spans="1:53" s="171" customFormat="1" x14ac:dyDescent="0.15">
      <c r="A88" s="171">
        <v>1998</v>
      </c>
      <c r="B88" s="283"/>
      <c r="C88" s="410" t="s">
        <v>542</v>
      </c>
      <c r="D88" s="410"/>
      <c r="E88" s="171">
        <v>299</v>
      </c>
      <c r="G88" s="233">
        <v>3</v>
      </c>
      <c r="H88" s="171">
        <v>14</v>
      </c>
      <c r="J88" s="241">
        <v>17</v>
      </c>
      <c r="K88" s="214">
        <f t="shared" si="10"/>
        <v>17.647058823529413</v>
      </c>
      <c r="L88" s="214">
        <f t="shared" si="11"/>
        <v>82.35294117647058</v>
      </c>
      <c r="M88" s="214">
        <f t="shared" si="12"/>
        <v>0</v>
      </c>
      <c r="N88" s="235">
        <f t="shared" si="8"/>
        <v>100</v>
      </c>
      <c r="O88" s="213">
        <v>7</v>
      </c>
      <c r="P88" s="214">
        <v>43.7</v>
      </c>
      <c r="Q88" s="214"/>
      <c r="R88" s="215">
        <f t="shared" si="9"/>
        <v>50.7</v>
      </c>
      <c r="S88" s="171">
        <v>2</v>
      </c>
      <c r="T88" s="285"/>
      <c r="U88" s="283"/>
      <c r="V88" s="178" t="s">
        <v>128</v>
      </c>
      <c r="W88" s="171" t="s">
        <v>17</v>
      </c>
      <c r="X88" s="171" t="s">
        <v>18</v>
      </c>
      <c r="Y88" s="179">
        <v>36.299999999999997</v>
      </c>
      <c r="Z88" s="171" t="s">
        <v>129</v>
      </c>
      <c r="AA88" s="171" t="s">
        <v>81</v>
      </c>
      <c r="AB88" s="171" t="s">
        <v>18</v>
      </c>
      <c r="AC88" s="171">
        <v>7.4</v>
      </c>
      <c r="AD88" s="178" t="s">
        <v>131</v>
      </c>
      <c r="AE88" s="171" t="s">
        <v>22</v>
      </c>
      <c r="AF88" s="171" t="s">
        <v>11</v>
      </c>
      <c r="AG88" s="179">
        <v>7</v>
      </c>
      <c r="AL88" s="178"/>
      <c r="AO88" s="179"/>
      <c r="AP88" s="178"/>
      <c r="AS88" s="179"/>
      <c r="AW88" s="179"/>
      <c r="BA88" s="180"/>
    </row>
    <row r="89" spans="1:53" s="29" customFormat="1" x14ac:dyDescent="0.15">
      <c r="A89" s="29">
        <v>1998</v>
      </c>
      <c r="B89" s="295">
        <v>36095</v>
      </c>
      <c r="C89" s="411" t="s">
        <v>543</v>
      </c>
      <c r="D89" s="411"/>
      <c r="E89" s="29">
        <f>365-E88</f>
        <v>66</v>
      </c>
      <c r="F89" s="29">
        <v>1</v>
      </c>
      <c r="G89" s="66"/>
      <c r="I89" s="29">
        <v>16</v>
      </c>
      <c r="J89" s="73">
        <v>16</v>
      </c>
      <c r="K89" s="47">
        <f t="shared" si="10"/>
        <v>0</v>
      </c>
      <c r="L89" s="47">
        <f t="shared" si="11"/>
        <v>0</v>
      </c>
      <c r="M89" s="47">
        <f t="shared" si="12"/>
        <v>100</v>
      </c>
      <c r="N89" s="68">
        <f t="shared" si="8"/>
        <v>100</v>
      </c>
      <c r="O89" s="46"/>
      <c r="P89" s="47"/>
      <c r="Q89" s="47">
        <v>51.5</v>
      </c>
      <c r="R89" s="48">
        <f t="shared" si="9"/>
        <v>51.5</v>
      </c>
      <c r="S89" s="29">
        <v>2</v>
      </c>
      <c r="T89" s="286">
        <v>36065</v>
      </c>
      <c r="U89" s="295">
        <v>36095</v>
      </c>
      <c r="V89" s="38" t="s">
        <v>132</v>
      </c>
      <c r="W89" s="29" t="s">
        <v>20</v>
      </c>
      <c r="X89" s="29" t="s">
        <v>12</v>
      </c>
      <c r="Y89" s="39">
        <v>44.5</v>
      </c>
      <c r="Z89" s="29" t="s">
        <v>544</v>
      </c>
      <c r="AA89" s="29" t="s">
        <v>216</v>
      </c>
      <c r="AB89" s="29" t="s">
        <v>12</v>
      </c>
      <c r="AC89" s="29">
        <v>7</v>
      </c>
      <c r="AD89" s="38"/>
      <c r="AG89" s="39"/>
      <c r="AL89" s="38"/>
      <c r="AO89" s="39"/>
      <c r="AP89" s="38"/>
      <c r="AS89" s="39"/>
      <c r="AW89" s="39"/>
      <c r="BA89" s="40"/>
    </row>
    <row r="90" spans="1:53" s="29" customFormat="1" x14ac:dyDescent="0.15">
      <c r="A90" s="29">
        <v>1999</v>
      </c>
      <c r="B90" s="295"/>
      <c r="C90" s="411" t="s">
        <v>543</v>
      </c>
      <c r="D90" s="411"/>
      <c r="E90" s="29">
        <v>211</v>
      </c>
      <c r="G90" s="66"/>
      <c r="I90" s="29">
        <v>16</v>
      </c>
      <c r="J90" s="73">
        <v>16</v>
      </c>
      <c r="K90" s="47">
        <f t="shared" si="10"/>
        <v>0</v>
      </c>
      <c r="L90" s="47">
        <f t="shared" si="11"/>
        <v>0</v>
      </c>
      <c r="M90" s="47">
        <f t="shared" si="12"/>
        <v>100</v>
      </c>
      <c r="N90" s="68">
        <f t="shared" si="8"/>
        <v>100</v>
      </c>
      <c r="O90" s="46"/>
      <c r="P90" s="47"/>
      <c r="Q90" s="47">
        <v>51.5</v>
      </c>
      <c r="R90" s="48">
        <f t="shared" si="9"/>
        <v>51.5</v>
      </c>
      <c r="S90" s="29">
        <v>2</v>
      </c>
      <c r="T90" s="286"/>
      <c r="U90" s="295"/>
      <c r="V90" s="38" t="s">
        <v>132</v>
      </c>
      <c r="W90" s="29" t="s">
        <v>20</v>
      </c>
      <c r="X90" s="29" t="s">
        <v>12</v>
      </c>
      <c r="Y90" s="39">
        <v>44.5</v>
      </c>
      <c r="Z90" s="29" t="s">
        <v>544</v>
      </c>
      <c r="AA90" s="29" t="s">
        <v>216</v>
      </c>
      <c r="AB90" s="29" t="s">
        <v>12</v>
      </c>
      <c r="AC90" s="29">
        <v>7</v>
      </c>
      <c r="AD90" s="38"/>
      <c r="AG90" s="39"/>
      <c r="AL90" s="38"/>
      <c r="AO90" s="39"/>
      <c r="AP90" s="38"/>
      <c r="AS90" s="39"/>
      <c r="AW90" s="39"/>
      <c r="BA90" s="40"/>
    </row>
    <row r="91" spans="1:53" s="29" customFormat="1" x14ac:dyDescent="0.15">
      <c r="A91" s="29">
        <v>1999</v>
      </c>
      <c r="B91" s="303">
        <v>36372</v>
      </c>
      <c r="C91" s="411" t="s">
        <v>543</v>
      </c>
      <c r="D91" s="411"/>
      <c r="E91" s="29">
        <f>365-E90</f>
        <v>154</v>
      </c>
      <c r="F91" s="84">
        <v>0</v>
      </c>
      <c r="G91" s="66"/>
      <c r="I91" s="29">
        <v>15</v>
      </c>
      <c r="J91" s="73">
        <v>15</v>
      </c>
      <c r="K91" s="47">
        <f t="shared" si="10"/>
        <v>0</v>
      </c>
      <c r="L91" s="47">
        <f t="shared" si="11"/>
        <v>0</v>
      </c>
      <c r="M91" s="47">
        <f t="shared" si="12"/>
        <v>100</v>
      </c>
      <c r="N91" s="68">
        <f t="shared" si="8"/>
        <v>100</v>
      </c>
      <c r="O91" s="46"/>
      <c r="P91" s="47"/>
      <c r="Q91" s="47">
        <v>51.5</v>
      </c>
      <c r="R91" s="48">
        <f t="shared" si="9"/>
        <v>51.5</v>
      </c>
      <c r="S91" s="29">
        <v>2</v>
      </c>
      <c r="T91" s="286"/>
      <c r="U91" s="295"/>
      <c r="V91" s="38" t="s">
        <v>132</v>
      </c>
      <c r="W91" s="29" t="s">
        <v>20</v>
      </c>
      <c r="X91" s="29" t="s">
        <v>12</v>
      </c>
      <c r="Y91" s="39">
        <v>44.5</v>
      </c>
      <c r="Z91" s="29" t="s">
        <v>544</v>
      </c>
      <c r="AA91" s="29" t="s">
        <v>216</v>
      </c>
      <c r="AB91" s="29" t="s">
        <v>12</v>
      </c>
      <c r="AC91" s="29">
        <v>7</v>
      </c>
      <c r="AD91" s="38"/>
      <c r="AG91" s="39"/>
      <c r="AL91" s="38"/>
      <c r="AO91" s="39"/>
      <c r="AP91" s="38"/>
      <c r="AS91" s="39"/>
      <c r="AW91" s="39"/>
      <c r="BA91" s="40"/>
    </row>
    <row r="92" spans="1:53" s="29" customFormat="1" x14ac:dyDescent="0.15">
      <c r="A92" s="29">
        <v>2000</v>
      </c>
      <c r="B92" s="295"/>
      <c r="C92" s="411" t="s">
        <v>543</v>
      </c>
      <c r="D92" s="411"/>
      <c r="E92" s="29">
        <v>0</v>
      </c>
      <c r="G92" s="66"/>
      <c r="I92" s="29">
        <v>15</v>
      </c>
      <c r="J92" s="73">
        <v>15</v>
      </c>
      <c r="K92" s="47">
        <f t="shared" si="10"/>
        <v>0</v>
      </c>
      <c r="L92" s="47">
        <f t="shared" si="11"/>
        <v>0</v>
      </c>
      <c r="M92" s="47">
        <f t="shared" si="12"/>
        <v>100</v>
      </c>
      <c r="N92" s="68">
        <f t="shared" si="8"/>
        <v>100</v>
      </c>
      <c r="O92" s="46"/>
      <c r="P92" s="47"/>
      <c r="Q92" s="47">
        <v>51.5</v>
      </c>
      <c r="R92" s="48">
        <f t="shared" si="9"/>
        <v>51.5</v>
      </c>
      <c r="S92" s="29">
        <v>2</v>
      </c>
      <c r="T92" s="286"/>
      <c r="U92" s="295"/>
      <c r="V92" s="38" t="s">
        <v>132</v>
      </c>
      <c r="W92" s="29" t="s">
        <v>20</v>
      </c>
      <c r="X92" s="29" t="s">
        <v>12</v>
      </c>
      <c r="Y92" s="39">
        <v>44.5</v>
      </c>
      <c r="Z92" s="29" t="s">
        <v>544</v>
      </c>
      <c r="AA92" s="29" t="s">
        <v>216</v>
      </c>
      <c r="AB92" s="29" t="s">
        <v>12</v>
      </c>
      <c r="AC92" s="29">
        <v>7</v>
      </c>
      <c r="AD92" s="38"/>
      <c r="AG92" s="39"/>
      <c r="AL92" s="38"/>
      <c r="AO92" s="39"/>
      <c r="AP92" s="38"/>
      <c r="AS92" s="39"/>
      <c r="AW92" s="39"/>
      <c r="BA92" s="40"/>
    </row>
    <row r="93" spans="1:53" s="29" customFormat="1" x14ac:dyDescent="0.15">
      <c r="A93" s="29">
        <v>2000</v>
      </c>
      <c r="B93" s="295"/>
      <c r="C93" s="411" t="s">
        <v>543</v>
      </c>
      <c r="D93" s="411"/>
      <c r="E93" s="29">
        <v>366</v>
      </c>
      <c r="G93" s="66"/>
      <c r="I93" s="29">
        <v>15</v>
      </c>
      <c r="J93" s="73">
        <v>15</v>
      </c>
      <c r="K93" s="47">
        <f t="shared" si="10"/>
        <v>0</v>
      </c>
      <c r="L93" s="47">
        <f t="shared" si="11"/>
        <v>0</v>
      </c>
      <c r="M93" s="47">
        <f t="shared" si="12"/>
        <v>100</v>
      </c>
      <c r="N93" s="68">
        <f t="shared" si="8"/>
        <v>100</v>
      </c>
      <c r="O93" s="46"/>
      <c r="P93" s="47"/>
      <c r="Q93" s="47">
        <v>51.5</v>
      </c>
      <c r="R93" s="48">
        <f t="shared" si="9"/>
        <v>51.5</v>
      </c>
      <c r="S93" s="29">
        <v>2</v>
      </c>
      <c r="T93" s="286"/>
      <c r="U93" s="295"/>
      <c r="V93" s="38" t="s">
        <v>132</v>
      </c>
      <c r="W93" s="29" t="s">
        <v>20</v>
      </c>
      <c r="X93" s="29" t="s">
        <v>12</v>
      </c>
      <c r="Y93" s="39">
        <v>44.5</v>
      </c>
      <c r="Z93" s="29" t="s">
        <v>544</v>
      </c>
      <c r="AA93" s="29" t="s">
        <v>216</v>
      </c>
      <c r="AB93" s="29" t="s">
        <v>12</v>
      </c>
      <c r="AC93" s="29">
        <v>7</v>
      </c>
      <c r="AD93" s="38"/>
      <c r="AG93" s="39"/>
      <c r="AL93" s="38"/>
      <c r="AO93" s="39"/>
      <c r="AP93" s="38"/>
      <c r="AS93" s="39"/>
      <c r="AW93" s="39"/>
      <c r="BA93" s="40"/>
    </row>
    <row r="94" spans="1:53" s="29" customFormat="1" x14ac:dyDescent="0.15">
      <c r="A94" s="29">
        <v>2001</v>
      </c>
      <c r="B94" s="295"/>
      <c r="C94" s="411" t="s">
        <v>543</v>
      </c>
      <c r="D94" s="411"/>
      <c r="E94" s="29">
        <v>0</v>
      </c>
      <c r="G94" s="66"/>
      <c r="I94" s="29">
        <v>15</v>
      </c>
      <c r="J94" s="73">
        <v>15</v>
      </c>
      <c r="K94" s="47">
        <f t="shared" si="10"/>
        <v>0</v>
      </c>
      <c r="L94" s="47">
        <f t="shared" si="11"/>
        <v>0</v>
      </c>
      <c r="M94" s="47">
        <f t="shared" si="12"/>
        <v>100</v>
      </c>
      <c r="N94" s="68">
        <f t="shared" si="8"/>
        <v>100</v>
      </c>
      <c r="O94" s="46"/>
      <c r="P94" s="47"/>
      <c r="Q94" s="47">
        <v>51.5</v>
      </c>
      <c r="R94" s="48">
        <f t="shared" si="9"/>
        <v>51.5</v>
      </c>
      <c r="S94" s="29">
        <v>2</v>
      </c>
      <c r="T94" s="286"/>
      <c r="U94" s="295"/>
      <c r="V94" s="38" t="s">
        <v>132</v>
      </c>
      <c r="W94" s="29" t="s">
        <v>20</v>
      </c>
      <c r="X94" s="29" t="s">
        <v>12</v>
      </c>
      <c r="Y94" s="39">
        <v>44.5</v>
      </c>
      <c r="Z94" s="29" t="s">
        <v>544</v>
      </c>
      <c r="AA94" s="29" t="s">
        <v>216</v>
      </c>
      <c r="AB94" s="29" t="s">
        <v>12</v>
      </c>
      <c r="AC94" s="29">
        <v>7</v>
      </c>
      <c r="AD94" s="38"/>
      <c r="AG94" s="39"/>
      <c r="AL94" s="38"/>
      <c r="AO94" s="39"/>
      <c r="AP94" s="38"/>
      <c r="AS94" s="39"/>
      <c r="AW94" s="39"/>
      <c r="BA94" s="40"/>
    </row>
    <row r="95" spans="1:53" s="29" customFormat="1" x14ac:dyDescent="0.15">
      <c r="A95" s="29">
        <v>2001</v>
      </c>
      <c r="B95" s="295"/>
      <c r="C95" s="411" t="s">
        <v>543</v>
      </c>
      <c r="D95" s="411"/>
      <c r="E95" s="29">
        <f>365-E94</f>
        <v>365</v>
      </c>
      <c r="G95" s="66"/>
      <c r="I95" s="29">
        <v>15</v>
      </c>
      <c r="J95" s="73">
        <v>15</v>
      </c>
      <c r="K95" s="47">
        <f t="shared" si="10"/>
        <v>0</v>
      </c>
      <c r="L95" s="47">
        <f t="shared" si="11"/>
        <v>0</v>
      </c>
      <c r="M95" s="47">
        <f t="shared" si="12"/>
        <v>100</v>
      </c>
      <c r="N95" s="68">
        <f t="shared" si="8"/>
        <v>100</v>
      </c>
      <c r="O95" s="46"/>
      <c r="P95" s="47"/>
      <c r="Q95" s="47">
        <v>51.5</v>
      </c>
      <c r="R95" s="48">
        <f t="shared" si="9"/>
        <v>51.5</v>
      </c>
      <c r="S95" s="29">
        <v>2</v>
      </c>
      <c r="T95" s="286"/>
      <c r="U95" s="295"/>
      <c r="V95" s="38" t="s">
        <v>132</v>
      </c>
      <c r="W95" s="29" t="s">
        <v>20</v>
      </c>
      <c r="X95" s="29" t="s">
        <v>12</v>
      </c>
      <c r="Y95" s="39">
        <v>44.5</v>
      </c>
      <c r="Z95" s="29" t="s">
        <v>544</v>
      </c>
      <c r="AA95" s="29" t="s">
        <v>216</v>
      </c>
      <c r="AB95" s="29" t="s">
        <v>12</v>
      </c>
      <c r="AC95" s="29">
        <v>7</v>
      </c>
      <c r="AD95" s="38"/>
      <c r="AG95" s="39"/>
      <c r="AL95" s="38"/>
      <c r="AO95" s="39"/>
      <c r="AP95" s="38"/>
      <c r="AS95" s="39"/>
      <c r="AW95" s="39"/>
      <c r="BA95" s="40"/>
    </row>
    <row r="96" spans="1:53" s="29" customFormat="1" x14ac:dyDescent="0.15">
      <c r="A96" s="29">
        <v>2002</v>
      </c>
      <c r="B96" s="295"/>
      <c r="C96" s="411" t="s">
        <v>543</v>
      </c>
      <c r="D96" s="411"/>
      <c r="E96" s="29">
        <v>294</v>
      </c>
      <c r="G96" s="66"/>
      <c r="I96" s="29">
        <v>15</v>
      </c>
      <c r="J96" s="73">
        <v>15</v>
      </c>
      <c r="K96" s="47">
        <f t="shared" si="10"/>
        <v>0</v>
      </c>
      <c r="L96" s="47">
        <f t="shared" si="11"/>
        <v>0</v>
      </c>
      <c r="M96" s="47">
        <f t="shared" si="12"/>
        <v>100</v>
      </c>
      <c r="N96" s="68">
        <f t="shared" si="8"/>
        <v>100</v>
      </c>
      <c r="O96" s="46"/>
      <c r="P96" s="47"/>
      <c r="Q96" s="47">
        <v>51.5</v>
      </c>
      <c r="R96" s="48">
        <f t="shared" si="9"/>
        <v>51.5</v>
      </c>
      <c r="S96" s="29">
        <v>2</v>
      </c>
      <c r="T96" s="286"/>
      <c r="U96" s="295"/>
      <c r="V96" s="38" t="s">
        <v>132</v>
      </c>
      <c r="W96" s="29" t="s">
        <v>20</v>
      </c>
      <c r="X96" s="29" t="s">
        <v>12</v>
      </c>
      <c r="Y96" s="39">
        <v>44.5</v>
      </c>
      <c r="Z96" s="29" t="s">
        <v>544</v>
      </c>
      <c r="AA96" s="29" t="s">
        <v>216</v>
      </c>
      <c r="AB96" s="29" t="s">
        <v>12</v>
      </c>
      <c r="AC96" s="29">
        <v>7</v>
      </c>
      <c r="AD96" s="38"/>
      <c r="AG96" s="39"/>
      <c r="AL96" s="38"/>
      <c r="AO96" s="39"/>
      <c r="AP96" s="38"/>
      <c r="AS96" s="39"/>
      <c r="AW96" s="39"/>
      <c r="BA96" s="40"/>
    </row>
    <row r="97" spans="1:53" s="171" customFormat="1" x14ac:dyDescent="0.15">
      <c r="A97" s="171">
        <v>2002</v>
      </c>
      <c r="B97" s="283">
        <v>37551</v>
      </c>
      <c r="C97" s="410" t="s">
        <v>545</v>
      </c>
      <c r="D97" s="410"/>
      <c r="E97" s="171">
        <f>365-E96</f>
        <v>71</v>
      </c>
      <c r="F97" s="171">
        <v>1</v>
      </c>
      <c r="G97" s="233"/>
      <c r="I97" s="171">
        <v>14</v>
      </c>
      <c r="J97" s="241">
        <v>14</v>
      </c>
      <c r="K97" s="214">
        <f t="shared" si="10"/>
        <v>0</v>
      </c>
      <c r="L97" s="214">
        <f t="shared" si="11"/>
        <v>0</v>
      </c>
      <c r="M97" s="214">
        <f t="shared" si="12"/>
        <v>100</v>
      </c>
      <c r="N97" s="235">
        <f t="shared" si="8"/>
        <v>100</v>
      </c>
      <c r="O97" s="213"/>
      <c r="P97" s="214"/>
      <c r="Q97" s="214">
        <v>50.7</v>
      </c>
      <c r="R97" s="215">
        <f t="shared" si="9"/>
        <v>50.7</v>
      </c>
      <c r="S97" s="171">
        <v>2</v>
      </c>
      <c r="T97" s="285">
        <v>37521</v>
      </c>
      <c r="U97" s="283">
        <v>37551</v>
      </c>
      <c r="V97" s="178" t="s">
        <v>132</v>
      </c>
      <c r="W97" s="171" t="s">
        <v>20</v>
      </c>
      <c r="X97" s="171" t="s">
        <v>12</v>
      </c>
      <c r="Y97" s="179">
        <v>41.6</v>
      </c>
      <c r="Z97" s="171" t="s">
        <v>544</v>
      </c>
      <c r="AA97" s="171" t="s">
        <v>216</v>
      </c>
      <c r="AB97" s="171" t="s">
        <v>12</v>
      </c>
      <c r="AC97" s="171">
        <v>9.1</v>
      </c>
      <c r="AD97" s="178"/>
      <c r="AG97" s="179"/>
      <c r="AL97" s="178"/>
      <c r="AO97" s="179"/>
      <c r="AP97" s="178"/>
      <c r="AS97" s="179"/>
      <c r="AW97" s="179"/>
      <c r="BA97" s="180"/>
    </row>
    <row r="98" spans="1:53" s="171" customFormat="1" x14ac:dyDescent="0.15">
      <c r="A98" s="171">
        <v>2003</v>
      </c>
      <c r="B98" s="283"/>
      <c r="C98" s="410" t="s">
        <v>545</v>
      </c>
      <c r="D98" s="410"/>
      <c r="E98" s="171">
        <v>0</v>
      </c>
      <c r="G98" s="233"/>
      <c r="I98" s="171">
        <v>14</v>
      </c>
      <c r="J98" s="241">
        <v>14</v>
      </c>
      <c r="K98" s="214">
        <f t="shared" si="10"/>
        <v>0</v>
      </c>
      <c r="L98" s="214">
        <f t="shared" si="11"/>
        <v>0</v>
      </c>
      <c r="M98" s="214">
        <f t="shared" si="12"/>
        <v>100</v>
      </c>
      <c r="N98" s="235">
        <f t="shared" si="8"/>
        <v>100</v>
      </c>
      <c r="O98" s="213"/>
      <c r="P98" s="214"/>
      <c r="Q98" s="214">
        <v>50.7</v>
      </c>
      <c r="R98" s="215">
        <f t="shared" si="9"/>
        <v>50.7</v>
      </c>
      <c r="S98" s="171">
        <v>2</v>
      </c>
      <c r="T98" s="285"/>
      <c r="U98" s="283"/>
      <c r="V98" s="178" t="s">
        <v>132</v>
      </c>
      <c r="W98" s="171" t="s">
        <v>20</v>
      </c>
      <c r="X98" s="171" t="s">
        <v>12</v>
      </c>
      <c r="Y98" s="179">
        <v>41.6</v>
      </c>
      <c r="Z98" s="171" t="s">
        <v>544</v>
      </c>
      <c r="AA98" s="171" t="s">
        <v>216</v>
      </c>
      <c r="AB98" s="171" t="s">
        <v>12</v>
      </c>
      <c r="AC98" s="171">
        <v>9.1</v>
      </c>
      <c r="AD98" s="178"/>
      <c r="AG98" s="179"/>
      <c r="AL98" s="178"/>
      <c r="AO98" s="179"/>
      <c r="AP98" s="178"/>
      <c r="AS98" s="179"/>
      <c r="AW98" s="179"/>
      <c r="BA98" s="180"/>
    </row>
    <row r="99" spans="1:53" s="171" customFormat="1" x14ac:dyDescent="0.15">
      <c r="A99" s="171">
        <v>2003</v>
      </c>
      <c r="B99" s="283"/>
      <c r="C99" s="410" t="s">
        <v>545</v>
      </c>
      <c r="D99" s="410"/>
      <c r="E99" s="171">
        <f>365-E98</f>
        <v>365</v>
      </c>
      <c r="G99" s="233"/>
      <c r="I99" s="171">
        <v>14</v>
      </c>
      <c r="J99" s="241">
        <v>14</v>
      </c>
      <c r="K99" s="214">
        <f t="shared" si="10"/>
        <v>0</v>
      </c>
      <c r="L99" s="214">
        <f t="shared" si="11"/>
        <v>0</v>
      </c>
      <c r="M99" s="214">
        <f t="shared" si="12"/>
        <v>100</v>
      </c>
      <c r="N99" s="235">
        <f t="shared" si="8"/>
        <v>100</v>
      </c>
      <c r="O99" s="213"/>
      <c r="P99" s="214"/>
      <c r="Q99" s="214">
        <v>50.7</v>
      </c>
      <c r="R99" s="215">
        <f t="shared" si="9"/>
        <v>50.7</v>
      </c>
      <c r="S99" s="171">
        <v>2</v>
      </c>
      <c r="T99" s="285"/>
      <c r="U99" s="283"/>
      <c r="V99" s="178" t="s">
        <v>132</v>
      </c>
      <c r="W99" s="171" t="s">
        <v>20</v>
      </c>
      <c r="X99" s="171" t="s">
        <v>12</v>
      </c>
      <c r="Y99" s="179">
        <v>41.6</v>
      </c>
      <c r="Z99" s="171" t="s">
        <v>544</v>
      </c>
      <c r="AA99" s="171" t="s">
        <v>216</v>
      </c>
      <c r="AB99" s="171" t="s">
        <v>12</v>
      </c>
      <c r="AC99" s="171">
        <v>9.1</v>
      </c>
      <c r="AD99" s="178"/>
      <c r="AG99" s="179"/>
      <c r="AL99" s="178"/>
      <c r="AO99" s="179"/>
      <c r="AP99" s="178"/>
      <c r="AS99" s="179"/>
      <c r="AW99" s="179"/>
      <c r="BA99" s="180"/>
    </row>
    <row r="100" spans="1:53" s="171" customFormat="1" x14ac:dyDescent="0.15">
      <c r="A100" s="171">
        <v>2004</v>
      </c>
      <c r="B100" s="283"/>
      <c r="C100" s="410" t="s">
        <v>545</v>
      </c>
      <c r="D100" s="410"/>
      <c r="E100" s="171">
        <v>0</v>
      </c>
      <c r="G100" s="233"/>
      <c r="I100" s="171">
        <v>14</v>
      </c>
      <c r="J100" s="241">
        <v>14</v>
      </c>
      <c r="K100" s="214">
        <f t="shared" si="10"/>
        <v>0</v>
      </c>
      <c r="L100" s="214">
        <f t="shared" si="11"/>
        <v>0</v>
      </c>
      <c r="M100" s="214">
        <f t="shared" si="12"/>
        <v>100</v>
      </c>
      <c r="N100" s="235">
        <f t="shared" si="8"/>
        <v>100</v>
      </c>
      <c r="O100" s="213"/>
      <c r="P100" s="214"/>
      <c r="Q100" s="214">
        <v>50.7</v>
      </c>
      <c r="R100" s="215">
        <f t="shared" si="9"/>
        <v>50.7</v>
      </c>
      <c r="S100" s="171">
        <v>2</v>
      </c>
      <c r="T100" s="285"/>
      <c r="U100" s="283"/>
      <c r="V100" s="178" t="s">
        <v>132</v>
      </c>
      <c r="W100" s="171" t="s">
        <v>20</v>
      </c>
      <c r="X100" s="171" t="s">
        <v>12</v>
      </c>
      <c r="Y100" s="179">
        <v>41.6</v>
      </c>
      <c r="Z100" s="171" t="s">
        <v>544</v>
      </c>
      <c r="AA100" s="171" t="s">
        <v>216</v>
      </c>
      <c r="AB100" s="171" t="s">
        <v>12</v>
      </c>
      <c r="AC100" s="171">
        <v>9.1</v>
      </c>
      <c r="AD100" s="178"/>
      <c r="AG100" s="179"/>
      <c r="AL100" s="178"/>
      <c r="AO100" s="179"/>
      <c r="AP100" s="178"/>
      <c r="AS100" s="179"/>
      <c r="AW100" s="179"/>
      <c r="BA100" s="180"/>
    </row>
    <row r="101" spans="1:53" s="171" customFormat="1" x14ac:dyDescent="0.15">
      <c r="A101" s="171">
        <v>2004</v>
      </c>
      <c r="B101" s="283"/>
      <c r="C101" s="410" t="s">
        <v>545</v>
      </c>
      <c r="D101" s="410"/>
      <c r="E101" s="171">
        <v>366</v>
      </c>
      <c r="G101" s="233"/>
      <c r="I101" s="171">
        <v>14</v>
      </c>
      <c r="J101" s="241">
        <v>14</v>
      </c>
      <c r="K101" s="214">
        <f t="shared" si="10"/>
        <v>0</v>
      </c>
      <c r="L101" s="214">
        <f t="shared" si="11"/>
        <v>0</v>
      </c>
      <c r="M101" s="214">
        <f t="shared" si="12"/>
        <v>100</v>
      </c>
      <c r="N101" s="235">
        <f t="shared" si="8"/>
        <v>100</v>
      </c>
      <c r="O101" s="213"/>
      <c r="P101" s="214"/>
      <c r="Q101" s="214">
        <v>50.7</v>
      </c>
      <c r="R101" s="215">
        <f t="shared" si="9"/>
        <v>50.7</v>
      </c>
      <c r="S101" s="171">
        <v>2</v>
      </c>
      <c r="T101" s="285"/>
      <c r="U101" s="283"/>
      <c r="V101" s="178" t="s">
        <v>132</v>
      </c>
      <c r="W101" s="171" t="s">
        <v>20</v>
      </c>
      <c r="X101" s="171" t="s">
        <v>12</v>
      </c>
      <c r="Y101" s="179">
        <v>41.6</v>
      </c>
      <c r="Z101" s="171" t="s">
        <v>544</v>
      </c>
      <c r="AA101" s="171" t="s">
        <v>216</v>
      </c>
      <c r="AB101" s="171" t="s">
        <v>12</v>
      </c>
      <c r="AC101" s="171">
        <v>9.1</v>
      </c>
      <c r="AD101" s="178"/>
      <c r="AG101" s="179"/>
      <c r="AL101" s="178"/>
      <c r="AO101" s="179"/>
      <c r="AP101" s="178"/>
      <c r="AS101" s="179"/>
      <c r="AW101" s="179"/>
      <c r="BA101" s="180"/>
    </row>
    <row r="102" spans="1:53" s="171" customFormat="1" x14ac:dyDescent="0.15">
      <c r="A102" s="171">
        <v>2005</v>
      </c>
      <c r="B102" s="283"/>
      <c r="C102" s="410" t="s">
        <v>545</v>
      </c>
      <c r="D102" s="410"/>
      <c r="E102" s="171">
        <v>325</v>
      </c>
      <c r="G102" s="233"/>
      <c r="I102" s="171">
        <v>14</v>
      </c>
      <c r="J102" s="241">
        <v>14</v>
      </c>
      <c r="K102" s="214">
        <f t="shared" ref="K102:K110" si="13">G102/J102*100</f>
        <v>0</v>
      </c>
      <c r="L102" s="214">
        <f t="shared" ref="L102:L110" si="14">H102/J102*100</f>
        <v>0</v>
      </c>
      <c r="M102" s="214">
        <f t="shared" ref="M102:M110" si="15">I102/J102*100</f>
        <v>100</v>
      </c>
      <c r="N102" s="235">
        <f t="shared" si="8"/>
        <v>100</v>
      </c>
      <c r="O102" s="213"/>
      <c r="P102" s="214"/>
      <c r="Q102" s="214">
        <v>50.7</v>
      </c>
      <c r="R102" s="215">
        <f t="shared" si="9"/>
        <v>50.7</v>
      </c>
      <c r="S102" s="171">
        <v>2</v>
      </c>
      <c r="T102" s="285"/>
      <c r="U102" s="283"/>
      <c r="V102" s="178" t="s">
        <v>132</v>
      </c>
      <c r="W102" s="171" t="s">
        <v>20</v>
      </c>
      <c r="X102" s="171" t="s">
        <v>12</v>
      </c>
      <c r="Y102" s="179">
        <v>41.6</v>
      </c>
      <c r="Z102" s="171" t="s">
        <v>544</v>
      </c>
      <c r="AA102" s="171" t="s">
        <v>216</v>
      </c>
      <c r="AB102" s="171" t="s">
        <v>12</v>
      </c>
      <c r="AC102" s="171">
        <v>9.1</v>
      </c>
      <c r="AD102" s="178"/>
      <c r="AG102" s="179"/>
      <c r="AL102" s="178"/>
      <c r="AO102" s="179"/>
      <c r="AP102" s="178"/>
      <c r="AS102" s="179"/>
      <c r="AW102" s="179"/>
      <c r="BA102" s="180"/>
    </row>
    <row r="103" spans="1:53" s="29" customFormat="1" x14ac:dyDescent="0.15">
      <c r="A103" s="29">
        <v>2005</v>
      </c>
      <c r="B103" s="295">
        <v>38678</v>
      </c>
      <c r="C103" s="411" t="s">
        <v>546</v>
      </c>
      <c r="D103" s="411"/>
      <c r="E103" s="29">
        <v>40</v>
      </c>
      <c r="F103" s="29">
        <v>1</v>
      </c>
      <c r="G103" s="66"/>
      <c r="H103" s="29">
        <v>8</v>
      </c>
      <c r="I103" s="29">
        <v>8</v>
      </c>
      <c r="J103" s="73">
        <v>16</v>
      </c>
      <c r="K103" s="47">
        <f t="shared" si="13"/>
        <v>0</v>
      </c>
      <c r="L103" s="47">
        <f t="shared" si="14"/>
        <v>50</v>
      </c>
      <c r="M103" s="47">
        <f t="shared" si="15"/>
        <v>50</v>
      </c>
      <c r="N103" s="68">
        <f t="shared" si="8"/>
        <v>100</v>
      </c>
      <c r="O103" s="46"/>
      <c r="P103" s="47">
        <v>36.799999999999997</v>
      </c>
      <c r="Q103" s="47">
        <v>36.200000000000003</v>
      </c>
      <c r="R103" s="48">
        <f t="shared" si="9"/>
        <v>73</v>
      </c>
      <c r="S103" s="29">
        <v>2</v>
      </c>
      <c r="T103" s="286">
        <v>38613</v>
      </c>
      <c r="U103" s="295">
        <v>38678</v>
      </c>
      <c r="V103" s="38" t="s">
        <v>128</v>
      </c>
      <c r="W103" s="29" t="s">
        <v>17</v>
      </c>
      <c r="X103" s="29" t="s">
        <v>18</v>
      </c>
      <c r="Y103" s="39">
        <v>29.3</v>
      </c>
      <c r="Z103" s="29" t="s">
        <v>129</v>
      </c>
      <c r="AA103" s="29" t="s">
        <v>81</v>
      </c>
      <c r="AB103" s="29" t="s">
        <v>18</v>
      </c>
      <c r="AC103" s="29">
        <v>7.5</v>
      </c>
      <c r="AD103" s="38" t="s">
        <v>132</v>
      </c>
      <c r="AE103" s="29" t="s">
        <v>20</v>
      </c>
      <c r="AF103" s="29" t="s">
        <v>12</v>
      </c>
      <c r="AG103" s="39">
        <v>36.200000000000003</v>
      </c>
      <c r="AL103" s="38"/>
      <c r="AO103" s="39"/>
      <c r="AP103" s="38"/>
      <c r="AS103" s="39"/>
      <c r="AW103" s="39"/>
      <c r="BA103" s="40"/>
    </row>
    <row r="104" spans="1:53" s="29" customFormat="1" x14ac:dyDescent="0.15">
      <c r="A104" s="29">
        <v>2006</v>
      </c>
      <c r="B104" s="295"/>
      <c r="C104" s="411" t="s">
        <v>546</v>
      </c>
      <c r="D104" s="411"/>
      <c r="E104" s="29">
        <v>0</v>
      </c>
      <c r="G104" s="66"/>
      <c r="H104" s="29">
        <v>8</v>
      </c>
      <c r="I104" s="29">
        <v>8</v>
      </c>
      <c r="J104" s="73">
        <v>16</v>
      </c>
      <c r="K104" s="47">
        <f t="shared" si="13"/>
        <v>0</v>
      </c>
      <c r="L104" s="47">
        <f t="shared" si="14"/>
        <v>50</v>
      </c>
      <c r="M104" s="47">
        <f t="shared" si="15"/>
        <v>50</v>
      </c>
      <c r="N104" s="68">
        <f t="shared" si="8"/>
        <v>100</v>
      </c>
      <c r="O104" s="46"/>
      <c r="P104" s="47">
        <v>36.799999999999997</v>
      </c>
      <c r="Q104" s="47">
        <v>36.200000000000003</v>
      </c>
      <c r="R104" s="48">
        <f t="shared" si="9"/>
        <v>73</v>
      </c>
      <c r="S104" s="29">
        <v>2</v>
      </c>
      <c r="T104" s="286"/>
      <c r="U104" s="295"/>
      <c r="V104" s="38" t="s">
        <v>128</v>
      </c>
      <c r="W104" s="29" t="s">
        <v>17</v>
      </c>
      <c r="X104" s="29" t="s">
        <v>18</v>
      </c>
      <c r="Y104" s="39">
        <v>29.3</v>
      </c>
      <c r="Z104" s="29" t="s">
        <v>129</v>
      </c>
      <c r="AA104" s="29" t="s">
        <v>81</v>
      </c>
      <c r="AB104" s="29" t="s">
        <v>18</v>
      </c>
      <c r="AC104" s="29">
        <v>7.5</v>
      </c>
      <c r="AD104" s="38" t="s">
        <v>132</v>
      </c>
      <c r="AE104" s="29" t="s">
        <v>20</v>
      </c>
      <c r="AF104" s="29" t="s">
        <v>12</v>
      </c>
      <c r="AG104" s="39">
        <v>36.200000000000003</v>
      </c>
      <c r="AL104" s="38"/>
      <c r="AO104" s="39"/>
      <c r="AP104" s="38"/>
      <c r="AS104" s="39"/>
      <c r="AW104" s="39"/>
      <c r="BA104" s="40"/>
    </row>
    <row r="105" spans="1:53" s="29" customFormat="1" x14ac:dyDescent="0.15">
      <c r="A105" s="29">
        <v>2006</v>
      </c>
      <c r="B105" s="295"/>
      <c r="C105" s="411" t="s">
        <v>546</v>
      </c>
      <c r="D105" s="411"/>
      <c r="E105" s="29">
        <v>365</v>
      </c>
      <c r="G105" s="66"/>
      <c r="H105" s="29">
        <v>8</v>
      </c>
      <c r="I105" s="29">
        <v>8</v>
      </c>
      <c r="J105" s="73">
        <v>16</v>
      </c>
      <c r="K105" s="47">
        <f t="shared" si="13"/>
        <v>0</v>
      </c>
      <c r="L105" s="47">
        <f t="shared" si="14"/>
        <v>50</v>
      </c>
      <c r="M105" s="47">
        <f t="shared" si="15"/>
        <v>50</v>
      </c>
      <c r="N105" s="68">
        <f t="shared" si="8"/>
        <v>100</v>
      </c>
      <c r="O105" s="46"/>
      <c r="P105" s="47">
        <v>36.799999999999997</v>
      </c>
      <c r="Q105" s="47">
        <v>36.200000000000003</v>
      </c>
      <c r="R105" s="48">
        <f t="shared" si="9"/>
        <v>73</v>
      </c>
      <c r="S105" s="29">
        <v>2</v>
      </c>
      <c r="T105" s="286"/>
      <c r="U105" s="295"/>
      <c r="V105" s="38" t="s">
        <v>128</v>
      </c>
      <c r="W105" s="29" t="s">
        <v>17</v>
      </c>
      <c r="X105" s="29" t="s">
        <v>18</v>
      </c>
      <c r="Y105" s="39">
        <v>29.3</v>
      </c>
      <c r="Z105" s="29" t="s">
        <v>129</v>
      </c>
      <c r="AA105" s="29" t="s">
        <v>81</v>
      </c>
      <c r="AB105" s="29" t="s">
        <v>18</v>
      </c>
      <c r="AC105" s="29">
        <v>7.5</v>
      </c>
      <c r="AD105" s="38" t="s">
        <v>132</v>
      </c>
      <c r="AE105" s="29" t="s">
        <v>20</v>
      </c>
      <c r="AF105" s="29" t="s">
        <v>12</v>
      </c>
      <c r="AG105" s="39">
        <v>36.200000000000003</v>
      </c>
      <c r="AL105" s="38"/>
      <c r="AO105" s="39"/>
      <c r="AP105" s="38"/>
      <c r="AS105" s="39"/>
      <c r="AW105" s="39"/>
      <c r="BA105" s="40"/>
    </row>
    <row r="106" spans="1:53" s="29" customFormat="1" x14ac:dyDescent="0.15">
      <c r="A106" s="29">
        <v>2007</v>
      </c>
      <c r="B106" s="295"/>
      <c r="C106" s="411" t="s">
        <v>546</v>
      </c>
      <c r="D106" s="411"/>
      <c r="E106" s="29">
        <v>0</v>
      </c>
      <c r="G106" s="66"/>
      <c r="H106" s="29">
        <v>8</v>
      </c>
      <c r="I106" s="29">
        <v>8</v>
      </c>
      <c r="J106" s="73">
        <v>16</v>
      </c>
      <c r="K106" s="47">
        <f t="shared" si="13"/>
        <v>0</v>
      </c>
      <c r="L106" s="47">
        <f t="shared" si="14"/>
        <v>50</v>
      </c>
      <c r="M106" s="47">
        <f t="shared" si="15"/>
        <v>50</v>
      </c>
      <c r="N106" s="68">
        <f t="shared" si="8"/>
        <v>100</v>
      </c>
      <c r="O106" s="46"/>
      <c r="P106" s="47">
        <v>36.799999999999997</v>
      </c>
      <c r="Q106" s="47">
        <v>36.200000000000003</v>
      </c>
      <c r="R106" s="48">
        <f t="shared" si="9"/>
        <v>73</v>
      </c>
      <c r="S106" s="29">
        <v>2</v>
      </c>
      <c r="T106" s="286"/>
      <c r="U106" s="295"/>
      <c r="V106" s="38" t="s">
        <v>128</v>
      </c>
      <c r="W106" s="29" t="s">
        <v>17</v>
      </c>
      <c r="X106" s="29" t="s">
        <v>18</v>
      </c>
      <c r="Y106" s="39">
        <v>29.3</v>
      </c>
      <c r="Z106" s="29" t="s">
        <v>129</v>
      </c>
      <c r="AA106" s="29" t="s">
        <v>81</v>
      </c>
      <c r="AB106" s="29" t="s">
        <v>18</v>
      </c>
      <c r="AC106" s="29">
        <v>7.5</v>
      </c>
      <c r="AD106" s="38" t="s">
        <v>132</v>
      </c>
      <c r="AE106" s="29" t="s">
        <v>20</v>
      </c>
      <c r="AF106" s="29" t="s">
        <v>12</v>
      </c>
      <c r="AG106" s="39">
        <v>36.200000000000003</v>
      </c>
      <c r="AL106" s="38"/>
      <c r="AO106" s="39"/>
      <c r="AP106" s="38"/>
      <c r="AS106" s="39"/>
      <c r="AW106" s="39"/>
      <c r="BA106" s="40"/>
    </row>
    <row r="107" spans="1:53" s="29" customFormat="1" x14ac:dyDescent="0.15">
      <c r="A107" s="29">
        <v>2007</v>
      </c>
      <c r="B107" s="295"/>
      <c r="C107" s="411" t="s">
        <v>546</v>
      </c>
      <c r="D107" s="411"/>
      <c r="E107" s="29">
        <v>365</v>
      </c>
      <c r="G107" s="66"/>
      <c r="H107" s="29">
        <v>8</v>
      </c>
      <c r="I107" s="29">
        <v>8</v>
      </c>
      <c r="J107" s="73">
        <v>16</v>
      </c>
      <c r="K107" s="47">
        <f t="shared" si="13"/>
        <v>0</v>
      </c>
      <c r="L107" s="47">
        <f t="shared" si="14"/>
        <v>50</v>
      </c>
      <c r="M107" s="47">
        <f t="shared" si="15"/>
        <v>50</v>
      </c>
      <c r="N107" s="68">
        <f t="shared" si="8"/>
        <v>100</v>
      </c>
      <c r="O107" s="46"/>
      <c r="P107" s="47">
        <v>36.799999999999997</v>
      </c>
      <c r="Q107" s="47">
        <v>36.200000000000003</v>
      </c>
      <c r="R107" s="48">
        <f t="shared" si="9"/>
        <v>73</v>
      </c>
      <c r="S107" s="29">
        <v>2</v>
      </c>
      <c r="T107" s="286"/>
      <c r="U107" s="295"/>
      <c r="V107" s="38" t="s">
        <v>128</v>
      </c>
      <c r="W107" s="29" t="s">
        <v>17</v>
      </c>
      <c r="X107" s="29" t="s">
        <v>18</v>
      </c>
      <c r="Y107" s="39">
        <v>29.3</v>
      </c>
      <c r="Z107" s="29" t="s">
        <v>129</v>
      </c>
      <c r="AA107" s="29" t="s">
        <v>81</v>
      </c>
      <c r="AB107" s="29" t="s">
        <v>18</v>
      </c>
      <c r="AC107" s="29">
        <v>7.5</v>
      </c>
      <c r="AD107" s="38" t="s">
        <v>132</v>
      </c>
      <c r="AE107" s="29" t="s">
        <v>20</v>
      </c>
      <c r="AF107" s="29" t="s">
        <v>12</v>
      </c>
      <c r="AG107" s="39">
        <v>36.200000000000003</v>
      </c>
      <c r="AL107" s="38"/>
      <c r="AO107" s="39"/>
      <c r="AP107" s="38"/>
      <c r="AS107" s="39"/>
      <c r="AW107" s="39"/>
      <c r="BA107" s="40"/>
    </row>
    <row r="108" spans="1:53" s="29" customFormat="1" x14ac:dyDescent="0.15">
      <c r="A108" s="29">
        <v>2008</v>
      </c>
      <c r="B108" s="295"/>
      <c r="C108" s="411" t="s">
        <v>546</v>
      </c>
      <c r="D108" s="411"/>
      <c r="E108" s="29">
        <v>0</v>
      </c>
      <c r="G108" s="66"/>
      <c r="H108" s="29">
        <v>8</v>
      </c>
      <c r="I108" s="29">
        <v>8</v>
      </c>
      <c r="J108" s="73">
        <v>16</v>
      </c>
      <c r="K108" s="47">
        <f t="shared" si="13"/>
        <v>0</v>
      </c>
      <c r="L108" s="47">
        <f t="shared" si="14"/>
        <v>50</v>
      </c>
      <c r="M108" s="47">
        <f t="shared" si="15"/>
        <v>50</v>
      </c>
      <c r="N108" s="68">
        <f t="shared" si="8"/>
        <v>100</v>
      </c>
      <c r="O108" s="46"/>
      <c r="P108" s="47">
        <v>36.799999999999997</v>
      </c>
      <c r="Q108" s="47">
        <v>36.200000000000003</v>
      </c>
      <c r="R108" s="48">
        <f t="shared" si="9"/>
        <v>73</v>
      </c>
      <c r="S108" s="29">
        <v>2</v>
      </c>
      <c r="T108" s="286"/>
      <c r="U108" s="295"/>
      <c r="V108" s="38" t="s">
        <v>128</v>
      </c>
      <c r="W108" s="29" t="s">
        <v>17</v>
      </c>
      <c r="X108" s="29" t="s">
        <v>18</v>
      </c>
      <c r="Y108" s="39">
        <v>29.3</v>
      </c>
      <c r="Z108" s="29" t="s">
        <v>129</v>
      </c>
      <c r="AA108" s="29" t="s">
        <v>81</v>
      </c>
      <c r="AB108" s="29" t="s">
        <v>18</v>
      </c>
      <c r="AC108" s="29">
        <v>7.5</v>
      </c>
      <c r="AD108" s="38" t="s">
        <v>132</v>
      </c>
      <c r="AE108" s="29" t="s">
        <v>20</v>
      </c>
      <c r="AF108" s="29" t="s">
        <v>12</v>
      </c>
      <c r="AG108" s="39">
        <v>36.200000000000003</v>
      </c>
      <c r="AL108" s="38"/>
      <c r="AO108" s="39"/>
      <c r="AP108" s="38"/>
      <c r="AS108" s="39"/>
      <c r="AW108" s="39"/>
      <c r="BA108" s="40"/>
    </row>
    <row r="109" spans="1:53" s="29" customFormat="1" x14ac:dyDescent="0.15">
      <c r="A109" s="29">
        <v>2008</v>
      </c>
      <c r="B109" s="295"/>
      <c r="C109" s="411" t="s">
        <v>546</v>
      </c>
      <c r="D109" s="411"/>
      <c r="E109" s="29">
        <v>366</v>
      </c>
      <c r="G109" s="66"/>
      <c r="H109" s="29">
        <v>8</v>
      </c>
      <c r="I109" s="29">
        <v>8</v>
      </c>
      <c r="J109" s="73">
        <v>16</v>
      </c>
      <c r="K109" s="47">
        <f t="shared" si="13"/>
        <v>0</v>
      </c>
      <c r="L109" s="47">
        <f t="shared" si="14"/>
        <v>50</v>
      </c>
      <c r="M109" s="47">
        <f t="shared" si="15"/>
        <v>50</v>
      </c>
      <c r="N109" s="68">
        <f t="shared" si="8"/>
        <v>100</v>
      </c>
      <c r="O109" s="46"/>
      <c r="P109" s="47">
        <v>36.799999999999997</v>
      </c>
      <c r="Q109" s="47">
        <v>36.200000000000003</v>
      </c>
      <c r="R109" s="48">
        <f t="shared" si="9"/>
        <v>73</v>
      </c>
      <c r="S109" s="29">
        <v>2</v>
      </c>
      <c r="T109" s="286"/>
      <c r="U109" s="295"/>
      <c r="V109" s="38" t="s">
        <v>128</v>
      </c>
      <c r="W109" s="29" t="s">
        <v>17</v>
      </c>
      <c r="X109" s="29" t="s">
        <v>18</v>
      </c>
      <c r="Y109" s="39">
        <v>29.3</v>
      </c>
      <c r="Z109" s="29" t="s">
        <v>129</v>
      </c>
      <c r="AA109" s="29" t="s">
        <v>81</v>
      </c>
      <c r="AB109" s="29" t="s">
        <v>18</v>
      </c>
      <c r="AC109" s="29">
        <v>7.5</v>
      </c>
      <c r="AD109" s="38" t="s">
        <v>132</v>
      </c>
      <c r="AE109" s="29" t="s">
        <v>20</v>
      </c>
      <c r="AF109" s="29" t="s">
        <v>12</v>
      </c>
      <c r="AG109" s="39">
        <v>36.200000000000003</v>
      </c>
      <c r="AL109" s="38"/>
      <c r="AO109" s="39"/>
      <c r="AP109" s="38"/>
      <c r="AS109" s="39"/>
      <c r="AW109" s="39"/>
      <c r="BA109" s="40"/>
    </row>
    <row r="110" spans="1:53" s="29" customFormat="1" x14ac:dyDescent="0.15">
      <c r="A110" s="29">
        <v>2009</v>
      </c>
      <c r="B110" s="295"/>
      <c r="C110" s="411" t="s">
        <v>546</v>
      </c>
      <c r="D110" s="411"/>
      <c r="E110" s="29">
        <v>300</v>
      </c>
      <c r="G110" s="66"/>
      <c r="H110" s="29">
        <v>8</v>
      </c>
      <c r="I110" s="29">
        <v>8</v>
      </c>
      <c r="J110" s="73">
        <v>16</v>
      </c>
      <c r="K110" s="47">
        <f t="shared" si="13"/>
        <v>0</v>
      </c>
      <c r="L110" s="47">
        <f t="shared" si="14"/>
        <v>50</v>
      </c>
      <c r="M110" s="47">
        <f t="shared" si="15"/>
        <v>50</v>
      </c>
      <c r="N110" s="68">
        <f t="shared" si="8"/>
        <v>100</v>
      </c>
      <c r="O110" s="46"/>
      <c r="P110" s="47">
        <v>36.799999999999997</v>
      </c>
      <c r="Q110" s="47">
        <v>36.200000000000003</v>
      </c>
      <c r="R110" s="48">
        <f t="shared" si="9"/>
        <v>73</v>
      </c>
      <c r="S110" s="29">
        <v>2</v>
      </c>
      <c r="T110" s="286"/>
      <c r="U110" s="295"/>
      <c r="V110" s="38" t="s">
        <v>128</v>
      </c>
      <c r="W110" s="29" t="s">
        <v>17</v>
      </c>
      <c r="X110" s="29" t="s">
        <v>18</v>
      </c>
      <c r="Y110" s="39">
        <v>29.3</v>
      </c>
      <c r="Z110" s="29" t="s">
        <v>129</v>
      </c>
      <c r="AA110" s="29" t="s">
        <v>81</v>
      </c>
      <c r="AB110" s="29" t="s">
        <v>18</v>
      </c>
      <c r="AC110" s="29">
        <v>7.5</v>
      </c>
      <c r="AD110" s="38" t="s">
        <v>132</v>
      </c>
      <c r="AE110" s="29" t="s">
        <v>20</v>
      </c>
      <c r="AF110" s="29" t="s">
        <v>12</v>
      </c>
      <c r="AG110" s="39">
        <v>36.200000000000003</v>
      </c>
      <c r="AL110" s="38"/>
      <c r="AO110" s="39"/>
      <c r="AP110" s="38"/>
      <c r="AS110" s="39"/>
      <c r="AW110" s="39"/>
      <c r="BA110" s="40"/>
    </row>
    <row r="111" spans="1:53" s="171" customFormat="1" x14ac:dyDescent="0.15">
      <c r="A111" s="171">
        <v>2009</v>
      </c>
      <c r="B111" s="283">
        <v>40114</v>
      </c>
      <c r="C111" s="410" t="s">
        <v>547</v>
      </c>
      <c r="D111" s="410"/>
      <c r="E111" s="171">
        <v>65</v>
      </c>
      <c r="F111" s="171">
        <v>1</v>
      </c>
      <c r="G111" s="233">
        <v>5</v>
      </c>
      <c r="H111" s="171">
        <v>11</v>
      </c>
      <c r="J111" s="241">
        <v>16</v>
      </c>
      <c r="K111" s="214">
        <f t="shared" ref="K111:K118" si="16">G111/J111*100</f>
        <v>31.25</v>
      </c>
      <c r="L111" s="214">
        <f t="shared" ref="L111:L119" si="17">H111/J111*100</f>
        <v>68.75</v>
      </c>
      <c r="M111" s="214">
        <f t="shared" ref="M111:M119" si="18">I111/J111*100</f>
        <v>0</v>
      </c>
      <c r="N111" s="235">
        <f t="shared" si="8"/>
        <v>100</v>
      </c>
      <c r="O111" s="213">
        <v>15</v>
      </c>
      <c r="P111" s="214">
        <v>38.4</v>
      </c>
      <c r="Q111" s="214"/>
      <c r="R111" s="215">
        <f t="shared" si="9"/>
        <v>53.4</v>
      </c>
      <c r="S111" s="171">
        <v>2</v>
      </c>
      <c r="T111" s="285">
        <v>40083</v>
      </c>
      <c r="U111" s="283">
        <v>40114</v>
      </c>
      <c r="V111" s="178" t="s">
        <v>128</v>
      </c>
      <c r="W111" s="171" t="s">
        <v>17</v>
      </c>
      <c r="X111" s="171" t="s">
        <v>18</v>
      </c>
      <c r="Y111" s="179">
        <v>31.2</v>
      </c>
      <c r="Z111" s="171" t="s">
        <v>129</v>
      </c>
      <c r="AA111" s="171" t="s">
        <v>81</v>
      </c>
      <c r="AB111" s="171" t="s">
        <v>18</v>
      </c>
      <c r="AC111" s="171">
        <v>7.2</v>
      </c>
      <c r="AD111" s="178" t="s">
        <v>131</v>
      </c>
      <c r="AE111" s="171" t="s">
        <v>22</v>
      </c>
      <c r="AF111" s="171" t="s">
        <v>11</v>
      </c>
      <c r="AG111" s="179">
        <v>15</v>
      </c>
      <c r="AL111" s="178"/>
      <c r="AO111" s="179"/>
      <c r="AP111" s="178"/>
      <c r="AS111" s="179"/>
      <c r="AW111" s="179"/>
      <c r="BA111" s="180"/>
    </row>
    <row r="112" spans="1:53" s="171" customFormat="1" x14ac:dyDescent="0.15">
      <c r="A112" s="171">
        <v>2010</v>
      </c>
      <c r="B112" s="283"/>
      <c r="C112" s="410" t="s">
        <v>547</v>
      </c>
      <c r="D112" s="410"/>
      <c r="E112" s="171">
        <v>0</v>
      </c>
      <c r="G112" s="233">
        <v>5</v>
      </c>
      <c r="H112" s="171">
        <v>11</v>
      </c>
      <c r="J112" s="241">
        <v>16</v>
      </c>
      <c r="K112" s="214">
        <f t="shared" si="16"/>
        <v>31.25</v>
      </c>
      <c r="L112" s="214">
        <f t="shared" si="17"/>
        <v>68.75</v>
      </c>
      <c r="M112" s="214">
        <f t="shared" si="18"/>
        <v>0</v>
      </c>
      <c r="N112" s="235">
        <f t="shared" si="8"/>
        <v>100</v>
      </c>
      <c r="O112" s="213">
        <v>15</v>
      </c>
      <c r="P112" s="214">
        <v>38.4</v>
      </c>
      <c r="Q112" s="214"/>
      <c r="R112" s="215">
        <f t="shared" si="9"/>
        <v>53.4</v>
      </c>
      <c r="S112" s="171">
        <v>2</v>
      </c>
      <c r="T112" s="285"/>
      <c r="U112" s="283"/>
      <c r="V112" s="178" t="s">
        <v>128</v>
      </c>
      <c r="W112" s="171" t="s">
        <v>17</v>
      </c>
      <c r="X112" s="171" t="s">
        <v>18</v>
      </c>
      <c r="Y112" s="179">
        <v>31.2</v>
      </c>
      <c r="Z112" s="171" t="s">
        <v>129</v>
      </c>
      <c r="AA112" s="171" t="s">
        <v>81</v>
      </c>
      <c r="AB112" s="171" t="s">
        <v>18</v>
      </c>
      <c r="AC112" s="171">
        <v>7.2</v>
      </c>
      <c r="AD112" s="178" t="s">
        <v>131</v>
      </c>
      <c r="AE112" s="171" t="s">
        <v>22</v>
      </c>
      <c r="AF112" s="171" t="s">
        <v>11</v>
      </c>
      <c r="AG112" s="179">
        <v>15</v>
      </c>
      <c r="AL112" s="178"/>
      <c r="AO112" s="179"/>
      <c r="AP112" s="178"/>
      <c r="AS112" s="179"/>
      <c r="AW112" s="179"/>
      <c r="BA112" s="180"/>
    </row>
    <row r="113" spans="1:53" s="171" customFormat="1" x14ac:dyDescent="0.15">
      <c r="A113" s="171">
        <v>2010</v>
      </c>
      <c r="B113" s="283"/>
      <c r="C113" s="410" t="s">
        <v>547</v>
      </c>
      <c r="D113" s="410"/>
      <c r="E113" s="171">
        <v>365</v>
      </c>
      <c r="G113" s="233">
        <v>5</v>
      </c>
      <c r="H113" s="171">
        <v>11</v>
      </c>
      <c r="J113" s="241">
        <v>16</v>
      </c>
      <c r="K113" s="214">
        <f t="shared" si="16"/>
        <v>31.25</v>
      </c>
      <c r="L113" s="214">
        <f t="shared" si="17"/>
        <v>68.75</v>
      </c>
      <c r="M113" s="214">
        <f t="shared" si="18"/>
        <v>0</v>
      </c>
      <c r="N113" s="235">
        <f t="shared" si="8"/>
        <v>100</v>
      </c>
      <c r="O113" s="213">
        <v>15</v>
      </c>
      <c r="P113" s="214">
        <v>38.4</v>
      </c>
      <c r="Q113" s="214"/>
      <c r="R113" s="215">
        <f t="shared" si="9"/>
        <v>53.4</v>
      </c>
      <c r="S113" s="171">
        <v>2</v>
      </c>
      <c r="T113" s="285"/>
      <c r="U113" s="283"/>
      <c r="V113" s="178" t="s">
        <v>128</v>
      </c>
      <c r="W113" s="171" t="s">
        <v>17</v>
      </c>
      <c r="X113" s="171" t="s">
        <v>18</v>
      </c>
      <c r="Y113" s="179">
        <v>31.2</v>
      </c>
      <c r="Z113" s="171" t="s">
        <v>129</v>
      </c>
      <c r="AA113" s="171" t="s">
        <v>81</v>
      </c>
      <c r="AB113" s="171" t="s">
        <v>18</v>
      </c>
      <c r="AC113" s="171">
        <v>7.2</v>
      </c>
      <c r="AD113" s="178" t="s">
        <v>131</v>
      </c>
      <c r="AE113" s="171" t="s">
        <v>22</v>
      </c>
      <c r="AF113" s="171" t="s">
        <v>11</v>
      </c>
      <c r="AG113" s="179">
        <v>15</v>
      </c>
      <c r="AL113" s="178"/>
      <c r="AO113" s="179"/>
      <c r="AP113" s="178"/>
      <c r="AS113" s="179"/>
      <c r="AW113" s="179"/>
      <c r="BA113" s="180"/>
    </row>
    <row r="114" spans="1:53" s="171" customFormat="1" x14ac:dyDescent="0.15">
      <c r="A114" s="171">
        <v>2011</v>
      </c>
      <c r="B114" s="283"/>
      <c r="C114" s="410" t="s">
        <v>547</v>
      </c>
      <c r="D114" s="410"/>
      <c r="E114" s="171">
        <v>0</v>
      </c>
      <c r="G114" s="233">
        <v>5</v>
      </c>
      <c r="H114" s="171">
        <v>11</v>
      </c>
      <c r="J114" s="241">
        <v>16</v>
      </c>
      <c r="K114" s="214">
        <f t="shared" si="16"/>
        <v>31.25</v>
      </c>
      <c r="L114" s="214">
        <f t="shared" si="17"/>
        <v>68.75</v>
      </c>
      <c r="M114" s="214">
        <f t="shared" si="18"/>
        <v>0</v>
      </c>
      <c r="N114" s="235">
        <f t="shared" si="8"/>
        <v>100</v>
      </c>
      <c r="O114" s="213">
        <v>15</v>
      </c>
      <c r="P114" s="214">
        <v>38.4</v>
      </c>
      <c r="Q114" s="214"/>
      <c r="R114" s="215">
        <f t="shared" si="9"/>
        <v>53.4</v>
      </c>
      <c r="S114" s="171">
        <v>2</v>
      </c>
      <c r="T114" s="285"/>
      <c r="U114" s="283"/>
      <c r="V114" s="178" t="s">
        <v>128</v>
      </c>
      <c r="W114" s="171" t="s">
        <v>17</v>
      </c>
      <c r="X114" s="171" t="s">
        <v>18</v>
      </c>
      <c r="Y114" s="179">
        <v>31.2</v>
      </c>
      <c r="Z114" s="171" t="s">
        <v>129</v>
      </c>
      <c r="AA114" s="171" t="s">
        <v>81</v>
      </c>
      <c r="AB114" s="171" t="s">
        <v>18</v>
      </c>
      <c r="AC114" s="171">
        <v>7.2</v>
      </c>
      <c r="AD114" s="178" t="s">
        <v>131</v>
      </c>
      <c r="AE114" s="171" t="s">
        <v>22</v>
      </c>
      <c r="AF114" s="171" t="s">
        <v>11</v>
      </c>
      <c r="AG114" s="179">
        <v>15</v>
      </c>
      <c r="AL114" s="178"/>
      <c r="AO114" s="179"/>
      <c r="AP114" s="178"/>
      <c r="AS114" s="179"/>
      <c r="AW114" s="179"/>
      <c r="BA114" s="180"/>
    </row>
    <row r="115" spans="1:53" s="171" customFormat="1" x14ac:dyDescent="0.15">
      <c r="A115" s="171">
        <v>2011</v>
      </c>
      <c r="B115" s="283"/>
      <c r="C115" s="410" t="s">
        <v>547</v>
      </c>
      <c r="D115" s="410"/>
      <c r="E115" s="171">
        <v>365</v>
      </c>
      <c r="G115" s="233">
        <v>5</v>
      </c>
      <c r="H115" s="171">
        <v>11</v>
      </c>
      <c r="J115" s="241">
        <v>16</v>
      </c>
      <c r="K115" s="214">
        <f t="shared" si="16"/>
        <v>31.25</v>
      </c>
      <c r="L115" s="214">
        <f t="shared" si="17"/>
        <v>68.75</v>
      </c>
      <c r="M115" s="214">
        <f t="shared" si="18"/>
        <v>0</v>
      </c>
      <c r="N115" s="235">
        <f t="shared" si="8"/>
        <v>100</v>
      </c>
      <c r="O115" s="213">
        <v>15</v>
      </c>
      <c r="P115" s="214">
        <v>38.4</v>
      </c>
      <c r="Q115" s="214"/>
      <c r="R115" s="215">
        <f t="shared" si="9"/>
        <v>53.4</v>
      </c>
      <c r="S115" s="171">
        <v>2</v>
      </c>
      <c r="T115" s="285"/>
      <c r="U115" s="283"/>
      <c r="V115" s="178" t="s">
        <v>128</v>
      </c>
      <c r="W115" s="171" t="s">
        <v>17</v>
      </c>
      <c r="X115" s="171" t="s">
        <v>18</v>
      </c>
      <c r="Y115" s="179">
        <v>31.2</v>
      </c>
      <c r="Z115" s="171" t="s">
        <v>129</v>
      </c>
      <c r="AA115" s="171" t="s">
        <v>81</v>
      </c>
      <c r="AB115" s="171" t="s">
        <v>18</v>
      </c>
      <c r="AC115" s="171">
        <v>7.2</v>
      </c>
      <c r="AD115" s="178" t="s">
        <v>131</v>
      </c>
      <c r="AE115" s="171" t="s">
        <v>22</v>
      </c>
      <c r="AF115" s="171" t="s">
        <v>11</v>
      </c>
      <c r="AG115" s="179">
        <v>15</v>
      </c>
      <c r="AL115" s="178"/>
      <c r="AO115" s="179"/>
      <c r="AP115" s="178"/>
      <c r="AS115" s="179"/>
      <c r="AW115" s="179"/>
      <c r="BA115" s="180"/>
    </row>
    <row r="116" spans="1:53" s="171" customFormat="1" x14ac:dyDescent="0.15">
      <c r="A116" s="171">
        <v>2012</v>
      </c>
      <c r="B116" s="283"/>
      <c r="C116" s="410" t="s">
        <v>547</v>
      </c>
      <c r="D116" s="410"/>
      <c r="E116" s="171">
        <v>0</v>
      </c>
      <c r="G116" s="233">
        <v>5</v>
      </c>
      <c r="H116" s="171">
        <v>11</v>
      </c>
      <c r="J116" s="241">
        <v>16</v>
      </c>
      <c r="K116" s="214">
        <f t="shared" si="16"/>
        <v>31.25</v>
      </c>
      <c r="L116" s="214">
        <f t="shared" si="17"/>
        <v>68.75</v>
      </c>
      <c r="M116" s="214">
        <f t="shared" si="18"/>
        <v>0</v>
      </c>
      <c r="N116" s="235">
        <f t="shared" si="8"/>
        <v>100</v>
      </c>
      <c r="O116" s="213">
        <v>15</v>
      </c>
      <c r="P116" s="214">
        <v>38.4</v>
      </c>
      <c r="Q116" s="214"/>
      <c r="R116" s="215">
        <f t="shared" si="9"/>
        <v>53.4</v>
      </c>
      <c r="S116" s="171">
        <v>2</v>
      </c>
      <c r="T116" s="285"/>
      <c r="U116" s="283"/>
      <c r="V116" s="178" t="s">
        <v>128</v>
      </c>
      <c r="W116" s="171" t="s">
        <v>17</v>
      </c>
      <c r="X116" s="171" t="s">
        <v>18</v>
      </c>
      <c r="Y116" s="179">
        <v>31.2</v>
      </c>
      <c r="Z116" s="171" t="s">
        <v>129</v>
      </c>
      <c r="AA116" s="171" t="s">
        <v>81</v>
      </c>
      <c r="AB116" s="171" t="s">
        <v>18</v>
      </c>
      <c r="AC116" s="171">
        <v>7.2</v>
      </c>
      <c r="AD116" s="178" t="s">
        <v>131</v>
      </c>
      <c r="AE116" s="171" t="s">
        <v>22</v>
      </c>
      <c r="AF116" s="171" t="s">
        <v>11</v>
      </c>
      <c r="AG116" s="179">
        <v>15</v>
      </c>
      <c r="AL116" s="178"/>
      <c r="AO116" s="179"/>
      <c r="AP116" s="178"/>
      <c r="AS116" s="179"/>
      <c r="AW116" s="179"/>
      <c r="BA116" s="180"/>
    </row>
    <row r="117" spans="1:53" s="171" customFormat="1" x14ac:dyDescent="0.15">
      <c r="A117" s="171">
        <v>2012</v>
      </c>
      <c r="B117" s="283"/>
      <c r="C117" s="410" t="s">
        <v>547</v>
      </c>
      <c r="D117" s="410"/>
      <c r="E117" s="171">
        <v>366</v>
      </c>
      <c r="G117" s="233">
        <v>5</v>
      </c>
      <c r="H117" s="171">
        <v>11</v>
      </c>
      <c r="J117" s="241">
        <v>16</v>
      </c>
      <c r="K117" s="214">
        <f t="shared" si="16"/>
        <v>31.25</v>
      </c>
      <c r="L117" s="214">
        <f t="shared" si="17"/>
        <v>68.75</v>
      </c>
      <c r="M117" s="214">
        <f t="shared" si="18"/>
        <v>0</v>
      </c>
      <c r="N117" s="235">
        <f t="shared" si="8"/>
        <v>100</v>
      </c>
      <c r="O117" s="213">
        <v>15</v>
      </c>
      <c r="P117" s="214">
        <v>38.4</v>
      </c>
      <c r="Q117" s="214"/>
      <c r="R117" s="215">
        <f t="shared" si="9"/>
        <v>53.4</v>
      </c>
      <c r="S117" s="171">
        <v>2</v>
      </c>
      <c r="T117" s="285"/>
      <c r="U117" s="283"/>
      <c r="V117" s="178" t="s">
        <v>128</v>
      </c>
      <c r="W117" s="171" t="s">
        <v>17</v>
      </c>
      <c r="X117" s="171" t="s">
        <v>18</v>
      </c>
      <c r="Y117" s="179">
        <v>31.2</v>
      </c>
      <c r="Z117" s="171" t="s">
        <v>129</v>
      </c>
      <c r="AA117" s="171" t="s">
        <v>81</v>
      </c>
      <c r="AB117" s="171" t="s">
        <v>18</v>
      </c>
      <c r="AC117" s="171">
        <v>7.2</v>
      </c>
      <c r="AD117" s="178" t="s">
        <v>131</v>
      </c>
      <c r="AE117" s="171" t="s">
        <v>22</v>
      </c>
      <c r="AF117" s="171" t="s">
        <v>11</v>
      </c>
      <c r="AG117" s="179">
        <v>15</v>
      </c>
      <c r="AL117" s="178"/>
      <c r="AO117" s="179"/>
      <c r="AP117" s="178"/>
      <c r="AS117" s="179"/>
      <c r="AW117" s="179"/>
      <c r="BA117" s="180"/>
    </row>
    <row r="118" spans="1:53" s="171" customFormat="1" x14ac:dyDescent="0.15">
      <c r="A118" s="171">
        <v>2013</v>
      </c>
      <c r="B118" s="283"/>
      <c r="C118" s="410" t="s">
        <v>547</v>
      </c>
      <c r="D118" s="410"/>
      <c r="E118" s="171">
        <v>350</v>
      </c>
      <c r="G118" s="233">
        <v>5</v>
      </c>
      <c r="H118" s="171">
        <v>11</v>
      </c>
      <c r="J118" s="241">
        <v>16</v>
      </c>
      <c r="K118" s="214">
        <f t="shared" si="16"/>
        <v>31.25</v>
      </c>
      <c r="L118" s="214">
        <f t="shared" si="17"/>
        <v>68.75</v>
      </c>
      <c r="M118" s="214">
        <f t="shared" si="18"/>
        <v>0</v>
      </c>
      <c r="N118" s="235">
        <f t="shared" si="8"/>
        <v>100</v>
      </c>
      <c r="O118" s="213">
        <v>15</v>
      </c>
      <c r="P118" s="214">
        <v>38.4</v>
      </c>
      <c r="Q118" s="214"/>
      <c r="R118" s="215">
        <f t="shared" si="9"/>
        <v>53.4</v>
      </c>
      <c r="S118" s="171">
        <v>2</v>
      </c>
      <c r="T118" s="285"/>
      <c r="U118" s="283"/>
      <c r="V118" s="178" t="s">
        <v>128</v>
      </c>
      <c r="W118" s="171" t="s">
        <v>17</v>
      </c>
      <c r="X118" s="171" t="s">
        <v>18</v>
      </c>
      <c r="Y118" s="179">
        <v>31.2</v>
      </c>
      <c r="Z118" s="171" t="s">
        <v>129</v>
      </c>
      <c r="AA118" s="171" t="s">
        <v>81</v>
      </c>
      <c r="AB118" s="171" t="s">
        <v>18</v>
      </c>
      <c r="AC118" s="171">
        <v>7.2</v>
      </c>
      <c r="AD118" s="178" t="s">
        <v>131</v>
      </c>
      <c r="AE118" s="171" t="s">
        <v>22</v>
      </c>
      <c r="AF118" s="171" t="s">
        <v>11</v>
      </c>
      <c r="AG118" s="179">
        <v>15</v>
      </c>
      <c r="AL118" s="178"/>
      <c r="AO118" s="179"/>
      <c r="AP118" s="178"/>
      <c r="AS118" s="179"/>
      <c r="AW118" s="179"/>
      <c r="BA118" s="180"/>
    </row>
    <row r="119" spans="1:53" s="29" customFormat="1" x14ac:dyDescent="0.15">
      <c r="A119" s="29">
        <v>2013</v>
      </c>
      <c r="B119" s="295">
        <v>41625</v>
      </c>
      <c r="C119" s="411" t="s">
        <v>1241</v>
      </c>
      <c r="D119" s="411"/>
      <c r="E119" s="29">
        <f>365-E118</f>
        <v>15</v>
      </c>
      <c r="F119" s="29">
        <v>1</v>
      </c>
      <c r="G119" s="66"/>
      <c r="H119" s="29">
        <v>10</v>
      </c>
      <c r="I119" s="29">
        <v>6</v>
      </c>
      <c r="J119" s="73">
        <v>16</v>
      </c>
      <c r="K119" s="47">
        <f>G119/J119*100</f>
        <v>0</v>
      </c>
      <c r="L119" s="47">
        <f t="shared" si="17"/>
        <v>62.5</v>
      </c>
      <c r="M119" s="47">
        <f t="shared" si="18"/>
        <v>37.5</v>
      </c>
      <c r="N119" s="68">
        <f>SUM(K119:M119)</f>
        <v>100</v>
      </c>
      <c r="O119" s="46">
        <v>0</v>
      </c>
      <c r="P119" s="47">
        <v>49.3</v>
      </c>
      <c r="Q119" s="47">
        <v>30.6</v>
      </c>
      <c r="R119" s="48">
        <f t="shared" si="9"/>
        <v>79.900000000000006</v>
      </c>
      <c r="S119" s="29">
        <v>2</v>
      </c>
      <c r="T119" s="286">
        <v>41539</v>
      </c>
      <c r="U119" s="295">
        <v>41625</v>
      </c>
      <c r="V119" s="38" t="s">
        <v>128</v>
      </c>
      <c r="W119" s="29" t="s">
        <v>17</v>
      </c>
      <c r="X119" s="29" t="s">
        <v>18</v>
      </c>
      <c r="Y119" s="39">
        <v>40.4</v>
      </c>
      <c r="Z119" s="29" t="s">
        <v>129</v>
      </c>
      <c r="AA119" s="29" t="s">
        <v>81</v>
      </c>
      <c r="AB119" s="29" t="s">
        <v>18</v>
      </c>
      <c r="AC119" s="29">
        <v>8.9</v>
      </c>
      <c r="AD119" s="38" t="s">
        <v>132</v>
      </c>
      <c r="AE119" s="29" t="s">
        <v>20</v>
      </c>
      <c r="AF119" s="29" t="s">
        <v>12</v>
      </c>
      <c r="AG119" s="39">
        <v>30.6</v>
      </c>
      <c r="AL119" s="38"/>
      <c r="AO119" s="39"/>
      <c r="AP119" s="38"/>
      <c r="AS119" s="39"/>
      <c r="AW119" s="39"/>
      <c r="BA119" s="40"/>
    </row>
    <row r="120" spans="1:53" s="29" customFormat="1" x14ac:dyDescent="0.15">
      <c r="A120" s="29">
        <v>2014</v>
      </c>
      <c r="B120" s="295"/>
      <c r="C120" s="411" t="s">
        <v>1241</v>
      </c>
      <c r="D120" s="411"/>
      <c r="E120" s="29">
        <v>0</v>
      </c>
      <c r="G120" s="66"/>
      <c r="H120" s="29">
        <v>10</v>
      </c>
      <c r="I120" s="29">
        <v>6</v>
      </c>
      <c r="J120" s="73">
        <v>16</v>
      </c>
      <c r="K120" s="47">
        <f>G120/J120*100</f>
        <v>0</v>
      </c>
      <c r="L120" s="47">
        <f>H120/J120*100</f>
        <v>62.5</v>
      </c>
      <c r="M120" s="47">
        <f>I120/J120*100</f>
        <v>37.5</v>
      </c>
      <c r="N120" s="68">
        <f>SUM(K120:M120)</f>
        <v>100</v>
      </c>
      <c r="O120" s="46">
        <v>0</v>
      </c>
      <c r="P120" s="47">
        <v>49.3</v>
      </c>
      <c r="Q120" s="47">
        <v>30.6</v>
      </c>
      <c r="R120" s="48">
        <f>SUM(O120:Q120)</f>
        <v>79.900000000000006</v>
      </c>
      <c r="S120" s="29">
        <v>2</v>
      </c>
      <c r="T120" s="286"/>
      <c r="U120" s="295"/>
      <c r="V120" s="38" t="s">
        <v>128</v>
      </c>
      <c r="W120" s="29" t="s">
        <v>17</v>
      </c>
      <c r="X120" s="29" t="s">
        <v>18</v>
      </c>
      <c r="Y120" s="39">
        <v>40.4</v>
      </c>
      <c r="Z120" s="29" t="s">
        <v>129</v>
      </c>
      <c r="AA120" s="29" t="s">
        <v>81</v>
      </c>
      <c r="AB120" s="29" t="s">
        <v>18</v>
      </c>
      <c r="AC120" s="29">
        <v>8.9</v>
      </c>
      <c r="AD120" s="38" t="s">
        <v>132</v>
      </c>
      <c r="AE120" s="29" t="s">
        <v>20</v>
      </c>
      <c r="AF120" s="29" t="s">
        <v>12</v>
      </c>
      <c r="AG120" s="39">
        <v>30.6</v>
      </c>
      <c r="AL120" s="38"/>
      <c r="AO120" s="39"/>
      <c r="AP120" s="38"/>
      <c r="AS120" s="39"/>
      <c r="AW120" s="39"/>
      <c r="BA120" s="40"/>
    </row>
    <row r="121" spans="1:53" s="29" customFormat="1" x14ac:dyDescent="0.15">
      <c r="A121" s="29">
        <v>2014</v>
      </c>
      <c r="B121" s="295"/>
      <c r="C121" s="411" t="s">
        <v>1241</v>
      </c>
      <c r="D121" s="411"/>
      <c r="E121" s="29">
        <v>365</v>
      </c>
      <c r="G121" s="66"/>
      <c r="H121" s="29">
        <v>10</v>
      </c>
      <c r="I121" s="29">
        <v>6</v>
      </c>
      <c r="J121" s="73">
        <v>16</v>
      </c>
      <c r="K121" s="47">
        <f>G121/J121*100</f>
        <v>0</v>
      </c>
      <c r="L121" s="47">
        <f>H121/J121*100</f>
        <v>62.5</v>
      </c>
      <c r="M121" s="47">
        <f>I121/J121*100</f>
        <v>37.5</v>
      </c>
      <c r="N121" s="68">
        <f>SUM(K121:M121)</f>
        <v>100</v>
      </c>
      <c r="O121" s="46">
        <v>0</v>
      </c>
      <c r="P121" s="47">
        <v>49.3</v>
      </c>
      <c r="Q121" s="47">
        <v>30.6</v>
      </c>
      <c r="R121" s="48">
        <f>SUM(O121:Q121)</f>
        <v>79.900000000000006</v>
      </c>
      <c r="S121" s="29">
        <v>2</v>
      </c>
      <c r="T121" s="286"/>
      <c r="U121" s="295"/>
      <c r="V121" s="38" t="s">
        <v>128</v>
      </c>
      <c r="W121" s="29" t="s">
        <v>17</v>
      </c>
      <c r="X121" s="29" t="s">
        <v>18</v>
      </c>
      <c r="Y121" s="39">
        <v>40.4</v>
      </c>
      <c r="Z121" s="29" t="s">
        <v>129</v>
      </c>
      <c r="AA121" s="29" t="s">
        <v>81</v>
      </c>
      <c r="AB121" s="29" t="s">
        <v>18</v>
      </c>
      <c r="AC121" s="29">
        <v>8.9</v>
      </c>
      <c r="AD121" s="38" t="s">
        <v>132</v>
      </c>
      <c r="AE121" s="29" t="s">
        <v>20</v>
      </c>
      <c r="AF121" s="29" t="s">
        <v>12</v>
      </c>
      <c r="AG121" s="39">
        <v>30.6</v>
      </c>
      <c r="AL121" s="38"/>
      <c r="AO121" s="39"/>
      <c r="AP121" s="38"/>
      <c r="AS121" s="39"/>
      <c r="AW121" s="39"/>
      <c r="BA121" s="40"/>
    </row>
    <row r="122" spans="1:53" s="29" customFormat="1" x14ac:dyDescent="0.15">
      <c r="A122" s="29">
        <v>2015</v>
      </c>
      <c r="B122" s="295"/>
      <c r="C122" s="411" t="s">
        <v>1241</v>
      </c>
      <c r="D122" s="411"/>
      <c r="E122" s="29">
        <v>0</v>
      </c>
      <c r="G122" s="66"/>
      <c r="H122" s="29">
        <v>10</v>
      </c>
      <c r="I122" s="29">
        <v>6</v>
      </c>
      <c r="J122" s="73">
        <v>16</v>
      </c>
      <c r="K122" s="47">
        <f t="shared" ref="K122:K124" si="19">G122/J122*100</f>
        <v>0</v>
      </c>
      <c r="L122" s="47">
        <f t="shared" ref="L122:L124" si="20">H122/J122*100</f>
        <v>62.5</v>
      </c>
      <c r="M122" s="47">
        <f t="shared" ref="M122:M124" si="21">I122/J122*100</f>
        <v>37.5</v>
      </c>
      <c r="N122" s="68">
        <f t="shared" ref="N122:N124" si="22">SUM(K122:M122)</f>
        <v>100</v>
      </c>
      <c r="O122" s="46">
        <v>0</v>
      </c>
      <c r="P122" s="47">
        <v>49.3</v>
      </c>
      <c r="Q122" s="47">
        <v>30.6</v>
      </c>
      <c r="R122" s="48">
        <f t="shared" ref="R122:R124" si="23">SUM(O122:Q122)</f>
        <v>79.900000000000006</v>
      </c>
      <c r="S122" s="29">
        <v>2</v>
      </c>
      <c r="T122" s="286"/>
      <c r="U122" s="295"/>
      <c r="V122" s="38" t="s">
        <v>128</v>
      </c>
      <c r="W122" s="29" t="s">
        <v>17</v>
      </c>
      <c r="X122" s="29" t="s">
        <v>18</v>
      </c>
      <c r="Y122" s="39">
        <v>40.4</v>
      </c>
      <c r="Z122" s="29" t="s">
        <v>129</v>
      </c>
      <c r="AA122" s="29" t="s">
        <v>81</v>
      </c>
      <c r="AB122" s="29" t="s">
        <v>18</v>
      </c>
      <c r="AC122" s="29">
        <v>8.9</v>
      </c>
      <c r="AD122" s="38" t="s">
        <v>132</v>
      </c>
      <c r="AE122" s="29" t="s">
        <v>20</v>
      </c>
      <c r="AF122" s="29" t="s">
        <v>12</v>
      </c>
      <c r="AG122" s="39">
        <v>30.6</v>
      </c>
      <c r="AL122" s="38"/>
      <c r="AO122" s="39"/>
      <c r="AP122" s="38"/>
      <c r="AS122" s="39"/>
      <c r="AW122" s="39"/>
      <c r="BA122" s="40"/>
    </row>
    <row r="123" spans="1:53" s="29" customFormat="1" x14ac:dyDescent="0.15">
      <c r="A123" s="29">
        <v>2015</v>
      </c>
      <c r="B123" s="295"/>
      <c r="C123" s="411" t="s">
        <v>1241</v>
      </c>
      <c r="D123" s="411"/>
      <c r="E123" s="29">
        <v>365</v>
      </c>
      <c r="G123" s="66"/>
      <c r="H123" s="29">
        <v>10</v>
      </c>
      <c r="I123" s="29">
        <v>6</v>
      </c>
      <c r="J123" s="73">
        <v>16</v>
      </c>
      <c r="K123" s="47">
        <f t="shared" si="19"/>
        <v>0</v>
      </c>
      <c r="L123" s="47">
        <f t="shared" si="20"/>
        <v>62.5</v>
      </c>
      <c r="M123" s="47">
        <f t="shared" si="21"/>
        <v>37.5</v>
      </c>
      <c r="N123" s="68">
        <f t="shared" si="22"/>
        <v>100</v>
      </c>
      <c r="O123" s="46">
        <v>0</v>
      </c>
      <c r="P123" s="47">
        <v>49.3</v>
      </c>
      <c r="Q123" s="47">
        <v>30.6</v>
      </c>
      <c r="R123" s="48">
        <f t="shared" si="23"/>
        <v>79.900000000000006</v>
      </c>
      <c r="S123" s="29">
        <v>2</v>
      </c>
      <c r="T123" s="286"/>
      <c r="U123" s="295"/>
      <c r="V123" s="38" t="s">
        <v>128</v>
      </c>
      <c r="W123" s="29" t="s">
        <v>17</v>
      </c>
      <c r="X123" s="29" t="s">
        <v>18</v>
      </c>
      <c r="Y123" s="39">
        <v>40.4</v>
      </c>
      <c r="Z123" s="29" t="s">
        <v>129</v>
      </c>
      <c r="AA123" s="29" t="s">
        <v>81</v>
      </c>
      <c r="AB123" s="29" t="s">
        <v>18</v>
      </c>
      <c r="AC123" s="29">
        <v>8.9</v>
      </c>
      <c r="AD123" s="38" t="s">
        <v>132</v>
      </c>
      <c r="AE123" s="29" t="s">
        <v>20</v>
      </c>
      <c r="AF123" s="29" t="s">
        <v>12</v>
      </c>
      <c r="AG123" s="39">
        <v>30.6</v>
      </c>
      <c r="AL123" s="38"/>
      <c r="AO123" s="39"/>
      <c r="AP123" s="38"/>
      <c r="AS123" s="39"/>
      <c r="AW123" s="39"/>
      <c r="BA123" s="40"/>
    </row>
    <row r="124" spans="1:53" s="29" customFormat="1" x14ac:dyDescent="0.15">
      <c r="A124" s="29">
        <v>2016</v>
      </c>
      <c r="B124" s="295"/>
      <c r="C124" s="411" t="s">
        <v>1241</v>
      </c>
      <c r="D124" s="411"/>
      <c r="E124" s="29">
        <v>0</v>
      </c>
      <c r="G124" s="66"/>
      <c r="H124" s="29">
        <v>10</v>
      </c>
      <c r="I124" s="29">
        <v>6</v>
      </c>
      <c r="J124" s="73">
        <v>16</v>
      </c>
      <c r="K124" s="47">
        <f t="shared" si="19"/>
        <v>0</v>
      </c>
      <c r="L124" s="47">
        <f t="shared" si="20"/>
        <v>62.5</v>
      </c>
      <c r="M124" s="47">
        <f t="shared" si="21"/>
        <v>37.5</v>
      </c>
      <c r="N124" s="68">
        <f t="shared" si="22"/>
        <v>100</v>
      </c>
      <c r="O124" s="46">
        <v>0</v>
      </c>
      <c r="P124" s="47">
        <v>49.3</v>
      </c>
      <c r="Q124" s="47">
        <v>30.6</v>
      </c>
      <c r="R124" s="48">
        <f t="shared" si="23"/>
        <v>79.900000000000006</v>
      </c>
      <c r="S124" s="29">
        <v>2</v>
      </c>
      <c r="T124" s="286"/>
      <c r="U124" s="295"/>
      <c r="V124" s="38" t="s">
        <v>128</v>
      </c>
      <c r="W124" s="29" t="s">
        <v>17</v>
      </c>
      <c r="X124" s="29" t="s">
        <v>18</v>
      </c>
      <c r="Y124" s="39">
        <v>40.4</v>
      </c>
      <c r="Z124" s="29" t="s">
        <v>129</v>
      </c>
      <c r="AA124" s="29" t="s">
        <v>81</v>
      </c>
      <c r="AB124" s="29" t="s">
        <v>18</v>
      </c>
      <c r="AC124" s="29">
        <v>8.9</v>
      </c>
      <c r="AD124" s="38" t="s">
        <v>132</v>
      </c>
      <c r="AE124" s="29" t="s">
        <v>20</v>
      </c>
      <c r="AF124" s="29" t="s">
        <v>12</v>
      </c>
      <c r="AG124" s="39">
        <v>30.6</v>
      </c>
      <c r="AL124" s="38"/>
      <c r="AO124" s="39"/>
      <c r="AP124" s="38"/>
      <c r="AS124" s="39"/>
      <c r="AW124" s="39"/>
      <c r="BA124" s="40"/>
    </row>
    <row r="125" spans="1:53" s="29" customFormat="1" x14ac:dyDescent="0.15">
      <c r="A125" s="29">
        <v>2016</v>
      </c>
      <c r="B125" s="295"/>
      <c r="C125" s="411" t="s">
        <v>1241</v>
      </c>
      <c r="D125" s="411"/>
      <c r="E125" s="29">
        <v>366</v>
      </c>
      <c r="G125" s="66"/>
      <c r="H125" s="29">
        <v>10</v>
      </c>
      <c r="I125" s="29">
        <v>6</v>
      </c>
      <c r="J125" s="73">
        <v>16</v>
      </c>
      <c r="K125" s="47">
        <f t="shared" ref="K125" si="24">G125/J125*100</f>
        <v>0</v>
      </c>
      <c r="L125" s="47">
        <f t="shared" ref="L125" si="25">H125/J125*100</f>
        <v>62.5</v>
      </c>
      <c r="M125" s="47">
        <f t="shared" ref="M125" si="26">I125/J125*100</f>
        <v>37.5</v>
      </c>
      <c r="N125" s="68">
        <f t="shared" ref="N125" si="27">SUM(K125:M125)</f>
        <v>100</v>
      </c>
      <c r="O125" s="46">
        <v>0</v>
      </c>
      <c r="P125" s="47">
        <v>49.3</v>
      </c>
      <c r="Q125" s="47">
        <v>30.6</v>
      </c>
      <c r="R125" s="48">
        <f t="shared" ref="R125" si="28">SUM(O125:Q125)</f>
        <v>79.900000000000006</v>
      </c>
      <c r="S125" s="29">
        <v>2</v>
      </c>
      <c r="T125" s="286"/>
      <c r="U125" s="295"/>
      <c r="V125" s="38" t="s">
        <v>128</v>
      </c>
      <c r="W125" s="29" t="s">
        <v>17</v>
      </c>
      <c r="X125" s="29" t="s">
        <v>18</v>
      </c>
      <c r="Y125" s="39">
        <v>40.4</v>
      </c>
      <c r="Z125" s="29" t="s">
        <v>129</v>
      </c>
      <c r="AA125" s="29" t="s">
        <v>81</v>
      </c>
      <c r="AB125" s="29" t="s">
        <v>18</v>
      </c>
      <c r="AC125" s="29">
        <v>8.9</v>
      </c>
      <c r="AD125" s="38" t="s">
        <v>132</v>
      </c>
      <c r="AE125" s="29" t="s">
        <v>20</v>
      </c>
      <c r="AF125" s="29" t="s">
        <v>12</v>
      </c>
      <c r="AG125" s="39">
        <v>30.6</v>
      </c>
      <c r="AL125" s="38"/>
      <c r="AO125" s="39"/>
      <c r="AP125" s="38"/>
      <c r="AS125" s="39"/>
      <c r="AW125" s="39"/>
      <c r="BA125" s="40"/>
    </row>
    <row r="126" spans="1:53" s="29" customFormat="1" x14ac:dyDescent="0.15">
      <c r="A126" s="29">
        <v>2017</v>
      </c>
      <c r="B126" s="295"/>
      <c r="C126" s="411" t="s">
        <v>1241</v>
      </c>
      <c r="D126" s="411"/>
      <c r="E126" s="29">
        <v>147</v>
      </c>
      <c r="G126" s="66"/>
      <c r="H126" s="29">
        <v>10</v>
      </c>
      <c r="I126" s="29">
        <v>6</v>
      </c>
      <c r="J126" s="73">
        <v>16</v>
      </c>
      <c r="K126" s="47">
        <f t="shared" ref="K126:K127" si="29">G126/J126*100</f>
        <v>0</v>
      </c>
      <c r="L126" s="47">
        <f t="shared" ref="L126:L127" si="30">H126/J126*100</f>
        <v>62.5</v>
      </c>
      <c r="M126" s="47">
        <f t="shared" ref="M126:M127" si="31">I126/J126*100</f>
        <v>37.5</v>
      </c>
      <c r="N126" s="68">
        <f t="shared" ref="N126:N127" si="32">SUM(K126:M126)</f>
        <v>100</v>
      </c>
      <c r="O126" s="46">
        <v>0</v>
      </c>
      <c r="P126" s="47">
        <v>49.3</v>
      </c>
      <c r="Q126" s="47">
        <v>30.6</v>
      </c>
      <c r="R126" s="48">
        <f t="shared" ref="R126:R127" si="33">SUM(O126:Q126)</f>
        <v>79.900000000000006</v>
      </c>
      <c r="S126" s="29">
        <v>2</v>
      </c>
      <c r="T126" s="286"/>
      <c r="U126" s="295"/>
      <c r="V126" s="38" t="s">
        <v>128</v>
      </c>
      <c r="W126" s="29" t="s">
        <v>17</v>
      </c>
      <c r="X126" s="29" t="s">
        <v>18</v>
      </c>
      <c r="Y126" s="39">
        <v>40.4</v>
      </c>
      <c r="Z126" s="29" t="s">
        <v>129</v>
      </c>
      <c r="AA126" s="29" t="s">
        <v>81</v>
      </c>
      <c r="AB126" s="29" t="s">
        <v>18</v>
      </c>
      <c r="AC126" s="29">
        <v>8.9</v>
      </c>
      <c r="AD126" s="38" t="s">
        <v>132</v>
      </c>
      <c r="AE126" s="29" t="s">
        <v>20</v>
      </c>
      <c r="AF126" s="29" t="s">
        <v>12</v>
      </c>
      <c r="AG126" s="39">
        <v>30.6</v>
      </c>
      <c r="AL126" s="38"/>
      <c r="AO126" s="39"/>
      <c r="AP126" s="38"/>
      <c r="AS126" s="39"/>
      <c r="AW126" s="39"/>
      <c r="BA126" s="40"/>
    </row>
    <row r="127" spans="1:53" s="29" customFormat="1" x14ac:dyDescent="0.15">
      <c r="A127" s="29">
        <v>2017</v>
      </c>
      <c r="B127" s="307">
        <v>42883</v>
      </c>
      <c r="C127" s="411" t="s">
        <v>1241</v>
      </c>
      <c r="D127" s="411"/>
      <c r="E127" s="29">
        <v>149</v>
      </c>
      <c r="F127" s="121">
        <v>0</v>
      </c>
      <c r="G127" s="66"/>
      <c r="H127" s="29">
        <v>10</v>
      </c>
      <c r="I127" s="29">
        <v>5</v>
      </c>
      <c r="J127" s="73">
        <v>15</v>
      </c>
      <c r="K127" s="47">
        <f t="shared" si="29"/>
        <v>0</v>
      </c>
      <c r="L127" s="47">
        <f t="shared" si="30"/>
        <v>66.666666666666657</v>
      </c>
      <c r="M127" s="47">
        <f t="shared" si="31"/>
        <v>33.333333333333329</v>
      </c>
      <c r="N127" s="68">
        <f t="shared" si="32"/>
        <v>99.999999999999986</v>
      </c>
      <c r="O127" s="46">
        <v>0</v>
      </c>
      <c r="P127" s="47">
        <v>49.3</v>
      </c>
      <c r="Q127" s="47">
        <v>30.6</v>
      </c>
      <c r="R127" s="48">
        <f t="shared" si="33"/>
        <v>79.900000000000006</v>
      </c>
      <c r="S127" s="29">
        <v>2</v>
      </c>
      <c r="T127" s="286"/>
      <c r="U127" s="295"/>
      <c r="V127" s="38" t="s">
        <v>128</v>
      </c>
      <c r="W127" s="29" t="s">
        <v>17</v>
      </c>
      <c r="X127" s="29" t="s">
        <v>18</v>
      </c>
      <c r="Y127" s="39">
        <v>40.4</v>
      </c>
      <c r="Z127" s="29" t="s">
        <v>129</v>
      </c>
      <c r="AA127" s="29" t="s">
        <v>81</v>
      </c>
      <c r="AB127" s="29" t="s">
        <v>18</v>
      </c>
      <c r="AC127" s="29">
        <v>8.9</v>
      </c>
      <c r="AD127" s="38" t="s">
        <v>132</v>
      </c>
      <c r="AE127" s="29" t="s">
        <v>20</v>
      </c>
      <c r="AF127" s="29" t="s">
        <v>12</v>
      </c>
      <c r="AG127" s="39">
        <v>30.6</v>
      </c>
      <c r="AL127" s="38"/>
      <c r="AO127" s="39"/>
      <c r="AP127" s="38"/>
      <c r="AS127" s="39"/>
      <c r="AW127" s="39"/>
      <c r="BA127" s="40"/>
    </row>
    <row r="128" spans="1:53" s="29" customFormat="1" x14ac:dyDescent="0.15">
      <c r="A128" s="29">
        <v>2017</v>
      </c>
      <c r="B128" s="307">
        <v>43032</v>
      </c>
      <c r="C128" s="411" t="s">
        <v>1241</v>
      </c>
      <c r="D128" s="411"/>
      <c r="E128" s="29">
        <v>69</v>
      </c>
      <c r="F128" s="121">
        <v>0</v>
      </c>
      <c r="G128" s="66"/>
      <c r="H128" s="29">
        <v>8</v>
      </c>
      <c r="I128" s="29">
        <v>5</v>
      </c>
      <c r="J128" s="73">
        <v>13</v>
      </c>
      <c r="K128" s="47">
        <f t="shared" ref="K128" si="34">G128/J128*100</f>
        <v>0</v>
      </c>
      <c r="L128" s="47">
        <f t="shared" ref="L128" si="35">H128/J128*100</f>
        <v>61.53846153846154</v>
      </c>
      <c r="M128" s="47">
        <f t="shared" ref="M128" si="36">I128/J128*100</f>
        <v>38.461538461538467</v>
      </c>
      <c r="N128" s="68">
        <f t="shared" ref="N128" si="37">SUM(K128:M128)</f>
        <v>100</v>
      </c>
      <c r="O128" s="46">
        <v>0</v>
      </c>
      <c r="P128" s="47">
        <v>49.3</v>
      </c>
      <c r="Q128" s="47">
        <v>30.6</v>
      </c>
      <c r="R128" s="48">
        <f t="shared" ref="R128" si="38">SUM(O128:Q128)</f>
        <v>79.900000000000006</v>
      </c>
      <c r="S128" s="29">
        <v>2</v>
      </c>
      <c r="T128" s="286"/>
      <c r="U128" s="295"/>
      <c r="V128" s="38" t="s">
        <v>128</v>
      </c>
      <c r="W128" s="29" t="s">
        <v>17</v>
      </c>
      <c r="X128" s="29" t="s">
        <v>18</v>
      </c>
      <c r="Y128" s="39">
        <v>40.4</v>
      </c>
      <c r="Z128" s="29" t="s">
        <v>129</v>
      </c>
      <c r="AA128" s="29" t="s">
        <v>81</v>
      </c>
      <c r="AB128" s="29" t="s">
        <v>18</v>
      </c>
      <c r="AC128" s="29">
        <v>8.9</v>
      </c>
      <c r="AD128" s="38" t="s">
        <v>132</v>
      </c>
      <c r="AE128" s="29" t="s">
        <v>20</v>
      </c>
      <c r="AF128" s="29" t="s">
        <v>12</v>
      </c>
      <c r="AG128" s="39">
        <v>30.6</v>
      </c>
      <c r="AL128" s="38"/>
      <c r="AO128" s="39"/>
      <c r="AP128" s="38"/>
      <c r="AS128" s="39"/>
      <c r="AW128" s="39"/>
      <c r="BA128" s="40"/>
    </row>
    <row r="129" spans="1:53" s="29" customFormat="1" x14ac:dyDescent="0.15">
      <c r="A129" s="29">
        <v>2018</v>
      </c>
      <c r="B129" s="307"/>
      <c r="C129" s="411" t="s">
        <v>1241</v>
      </c>
      <c r="D129" s="411"/>
      <c r="E129" s="29">
        <v>72</v>
      </c>
      <c r="F129" s="121"/>
      <c r="G129" s="66"/>
      <c r="H129" s="29">
        <v>8</v>
      </c>
      <c r="I129" s="29">
        <v>5</v>
      </c>
      <c r="J129" s="73">
        <v>13</v>
      </c>
      <c r="K129" s="47">
        <f t="shared" ref="K129" si="39">G129/J129*100</f>
        <v>0</v>
      </c>
      <c r="L129" s="47">
        <f t="shared" ref="L129:L130" si="40">H129/J129*100</f>
        <v>61.53846153846154</v>
      </c>
      <c r="M129" s="47">
        <f t="shared" ref="M129:M130" si="41">I129/J129*100</f>
        <v>38.461538461538467</v>
      </c>
      <c r="N129" s="68">
        <f t="shared" ref="N129:N130" si="42">SUM(K129:M129)</f>
        <v>100</v>
      </c>
      <c r="O129" s="46">
        <v>0</v>
      </c>
      <c r="P129" s="47">
        <v>49.3</v>
      </c>
      <c r="Q129" s="47">
        <v>30.6</v>
      </c>
      <c r="R129" s="48">
        <f t="shared" ref="R129:R130" si="43">SUM(O129:Q129)</f>
        <v>79.900000000000006</v>
      </c>
      <c r="S129" s="29">
        <v>2</v>
      </c>
      <c r="T129" s="286"/>
      <c r="U129" s="295"/>
      <c r="V129" s="38" t="s">
        <v>128</v>
      </c>
      <c r="W129" s="29" t="s">
        <v>17</v>
      </c>
      <c r="X129" s="29" t="s">
        <v>18</v>
      </c>
      <c r="Y129" s="39">
        <v>40.4</v>
      </c>
      <c r="Z129" s="29" t="s">
        <v>129</v>
      </c>
      <c r="AA129" s="29" t="s">
        <v>81</v>
      </c>
      <c r="AB129" s="29" t="s">
        <v>18</v>
      </c>
      <c r="AC129" s="29">
        <v>8.9</v>
      </c>
      <c r="AD129" s="38" t="s">
        <v>132</v>
      </c>
      <c r="AE129" s="29" t="s">
        <v>20</v>
      </c>
      <c r="AF129" s="29" t="s">
        <v>12</v>
      </c>
      <c r="AG129" s="39">
        <v>30.6</v>
      </c>
      <c r="AL129" s="38"/>
      <c r="AO129" s="39"/>
      <c r="AP129" s="38"/>
      <c r="AS129" s="39"/>
      <c r="AW129" s="39"/>
      <c r="BA129" s="40"/>
    </row>
    <row r="130" spans="1:53" s="171" customFormat="1" x14ac:dyDescent="0.15">
      <c r="A130" s="171">
        <v>2018</v>
      </c>
      <c r="B130" s="283">
        <v>43173</v>
      </c>
      <c r="C130" s="410" t="s">
        <v>1393</v>
      </c>
      <c r="D130" s="410"/>
      <c r="E130" s="171">
        <v>293</v>
      </c>
      <c r="F130" s="171">
        <v>1</v>
      </c>
      <c r="G130" s="233"/>
      <c r="H130" s="171">
        <v>10</v>
      </c>
      <c r="I130" s="171">
        <v>6</v>
      </c>
      <c r="J130" s="241">
        <v>16</v>
      </c>
      <c r="K130" s="214"/>
      <c r="L130" s="214">
        <f t="shared" si="40"/>
        <v>62.5</v>
      </c>
      <c r="M130" s="214">
        <f t="shared" si="41"/>
        <v>37.5</v>
      </c>
      <c r="N130" s="235">
        <f t="shared" si="42"/>
        <v>100</v>
      </c>
      <c r="O130" s="213"/>
      <c r="P130" s="214">
        <v>34.700000000000003</v>
      </c>
      <c r="Q130" s="214">
        <v>21.4</v>
      </c>
      <c r="R130" s="215">
        <f t="shared" si="43"/>
        <v>56.1</v>
      </c>
      <c r="S130" s="171">
        <v>2</v>
      </c>
      <c r="T130" s="285">
        <v>43002</v>
      </c>
      <c r="U130" s="283">
        <v>43173</v>
      </c>
      <c r="V130" s="178" t="s">
        <v>128</v>
      </c>
      <c r="W130" s="171" t="s">
        <v>17</v>
      </c>
      <c r="X130" s="171" t="s">
        <v>18</v>
      </c>
      <c r="Y130" s="179">
        <v>28.2</v>
      </c>
      <c r="Z130" s="171" t="s">
        <v>129</v>
      </c>
      <c r="AA130" s="171" t="s">
        <v>81</v>
      </c>
      <c r="AB130" s="171" t="s">
        <v>18</v>
      </c>
      <c r="AC130" s="171">
        <v>6.5</v>
      </c>
      <c r="AD130" s="178" t="s">
        <v>132</v>
      </c>
      <c r="AE130" s="171" t="s">
        <v>20</v>
      </c>
      <c r="AF130" s="171" t="s">
        <v>12</v>
      </c>
      <c r="AG130" s="179">
        <v>21.4</v>
      </c>
      <c r="AL130" s="178"/>
      <c r="AO130" s="179"/>
      <c r="AP130" s="178"/>
      <c r="AS130" s="179"/>
      <c r="AW130" s="179"/>
      <c r="BA130" s="180"/>
    </row>
    <row r="131" spans="1:53" s="171" customFormat="1" x14ac:dyDescent="0.15">
      <c r="A131" s="171">
        <v>2019</v>
      </c>
      <c r="B131" s="283"/>
      <c r="C131" s="410" t="s">
        <v>1393</v>
      </c>
      <c r="D131" s="410"/>
      <c r="E131" s="171">
        <v>0</v>
      </c>
      <c r="G131" s="233"/>
      <c r="H131" s="171">
        <v>10</v>
      </c>
      <c r="I131" s="171">
        <v>6</v>
      </c>
      <c r="J131" s="241">
        <v>16</v>
      </c>
      <c r="K131" s="214"/>
      <c r="L131" s="214">
        <f t="shared" ref="L131:L133" si="44">H131/J131*100</f>
        <v>62.5</v>
      </c>
      <c r="M131" s="214">
        <f t="shared" ref="M131:M134" si="45">I131/J131*100</f>
        <v>37.5</v>
      </c>
      <c r="N131" s="235">
        <f t="shared" ref="N131:N134" si="46">SUM(K131:M131)</f>
        <v>100</v>
      </c>
      <c r="O131" s="213"/>
      <c r="P131" s="214">
        <v>34.700000000000003</v>
      </c>
      <c r="Q131" s="214">
        <v>21.4</v>
      </c>
      <c r="R131" s="215">
        <f t="shared" ref="R131:R133" si="47">SUM(O131:Q131)</f>
        <v>56.1</v>
      </c>
      <c r="S131" s="171">
        <v>2</v>
      </c>
      <c r="T131" s="285"/>
      <c r="U131" s="283"/>
      <c r="V131" s="178" t="s">
        <v>128</v>
      </c>
      <c r="W131" s="171" t="s">
        <v>17</v>
      </c>
      <c r="X131" s="171" t="s">
        <v>18</v>
      </c>
      <c r="Y131" s="179">
        <v>28.2</v>
      </c>
      <c r="Z131" s="171" t="s">
        <v>129</v>
      </c>
      <c r="AA131" s="171" t="s">
        <v>81</v>
      </c>
      <c r="AB131" s="171" t="s">
        <v>18</v>
      </c>
      <c r="AC131" s="171">
        <v>6.5</v>
      </c>
      <c r="AD131" s="178" t="s">
        <v>132</v>
      </c>
      <c r="AE131" s="171" t="s">
        <v>20</v>
      </c>
      <c r="AF131" s="171" t="s">
        <v>12</v>
      </c>
      <c r="AG131" s="179">
        <v>21.4</v>
      </c>
      <c r="AL131" s="178"/>
      <c r="AO131" s="179"/>
      <c r="AP131" s="178"/>
      <c r="AS131" s="179"/>
      <c r="AW131" s="179"/>
      <c r="BA131" s="180"/>
    </row>
    <row r="132" spans="1:53" s="171" customFormat="1" x14ac:dyDescent="0.15">
      <c r="A132" s="171">
        <v>2019</v>
      </c>
      <c r="B132" s="283"/>
      <c r="C132" s="410" t="s">
        <v>1393</v>
      </c>
      <c r="D132" s="410"/>
      <c r="E132" s="171">
        <v>365</v>
      </c>
      <c r="G132" s="233"/>
      <c r="H132" s="171">
        <v>10</v>
      </c>
      <c r="I132" s="171">
        <v>6</v>
      </c>
      <c r="J132" s="241">
        <v>16</v>
      </c>
      <c r="K132" s="214"/>
      <c r="L132" s="214">
        <f t="shared" si="44"/>
        <v>62.5</v>
      </c>
      <c r="M132" s="214">
        <f t="shared" si="45"/>
        <v>37.5</v>
      </c>
      <c r="N132" s="235">
        <f t="shared" si="46"/>
        <v>100</v>
      </c>
      <c r="O132" s="213"/>
      <c r="P132" s="214">
        <v>34.700000000000003</v>
      </c>
      <c r="Q132" s="214">
        <v>21.4</v>
      </c>
      <c r="R132" s="215">
        <f t="shared" si="47"/>
        <v>56.1</v>
      </c>
      <c r="S132" s="190">
        <v>2</v>
      </c>
      <c r="T132" s="285"/>
      <c r="U132" s="283"/>
      <c r="V132" s="178" t="s">
        <v>128</v>
      </c>
      <c r="W132" s="171" t="s">
        <v>17</v>
      </c>
      <c r="X132" s="171" t="s">
        <v>18</v>
      </c>
      <c r="Y132" s="179">
        <v>28.2</v>
      </c>
      <c r="Z132" s="171" t="s">
        <v>129</v>
      </c>
      <c r="AA132" s="171" t="s">
        <v>81</v>
      </c>
      <c r="AB132" s="171" t="s">
        <v>18</v>
      </c>
      <c r="AC132" s="171">
        <v>6.5</v>
      </c>
      <c r="AD132" s="178" t="s">
        <v>132</v>
      </c>
      <c r="AE132" s="171" t="s">
        <v>20</v>
      </c>
      <c r="AF132" s="171" t="s">
        <v>12</v>
      </c>
      <c r="AG132" s="179">
        <v>21.4</v>
      </c>
      <c r="AK132" s="179"/>
      <c r="AO132" s="179"/>
      <c r="AS132" s="179"/>
      <c r="AW132" s="179"/>
      <c r="BA132" s="180"/>
    </row>
    <row r="133" spans="1:53" s="171" customFormat="1" x14ac:dyDescent="0.15">
      <c r="A133" s="171">
        <v>2020</v>
      </c>
      <c r="B133" s="283"/>
      <c r="C133" s="410" t="s">
        <v>1393</v>
      </c>
      <c r="D133" s="410"/>
      <c r="E133" s="171">
        <v>0</v>
      </c>
      <c r="F133" s="180"/>
      <c r="H133" s="171">
        <v>10</v>
      </c>
      <c r="I133" s="171">
        <v>6</v>
      </c>
      <c r="J133" s="241">
        <v>16</v>
      </c>
      <c r="K133" s="214"/>
      <c r="L133" s="214">
        <f t="shared" si="44"/>
        <v>62.5</v>
      </c>
      <c r="M133" s="214">
        <f t="shared" si="45"/>
        <v>37.5</v>
      </c>
      <c r="N133" s="235">
        <f t="shared" si="46"/>
        <v>100</v>
      </c>
      <c r="O133" s="213"/>
      <c r="P133" s="214">
        <v>34.700000000000003</v>
      </c>
      <c r="Q133" s="214">
        <v>21.4</v>
      </c>
      <c r="R133" s="215">
        <f t="shared" si="47"/>
        <v>56.1</v>
      </c>
      <c r="S133" s="190">
        <v>2</v>
      </c>
      <c r="T133" s="285"/>
      <c r="U133" s="283"/>
      <c r="V133" s="178" t="s">
        <v>128</v>
      </c>
      <c r="W133" s="171" t="s">
        <v>17</v>
      </c>
      <c r="X133" s="171" t="s">
        <v>18</v>
      </c>
      <c r="Y133" s="179">
        <v>28.2</v>
      </c>
      <c r="Z133" s="171" t="s">
        <v>129</v>
      </c>
      <c r="AA133" s="171" t="s">
        <v>81</v>
      </c>
      <c r="AB133" s="171" t="s">
        <v>18</v>
      </c>
      <c r="AC133" s="171">
        <v>6.5</v>
      </c>
      <c r="AD133" s="178" t="s">
        <v>132</v>
      </c>
      <c r="AE133" s="171" t="s">
        <v>20</v>
      </c>
      <c r="AF133" s="171" t="s">
        <v>12</v>
      </c>
      <c r="AG133" s="179">
        <v>21.4</v>
      </c>
      <c r="AK133" s="179"/>
      <c r="AO133" s="179"/>
      <c r="AS133" s="179"/>
      <c r="AW133" s="179"/>
      <c r="BA133" s="180"/>
    </row>
    <row r="134" spans="1:53" s="171" customFormat="1" x14ac:dyDescent="0.15">
      <c r="A134" s="171">
        <v>2020</v>
      </c>
      <c r="B134" s="283"/>
      <c r="C134" s="410" t="s">
        <v>1393</v>
      </c>
      <c r="D134" s="410"/>
      <c r="E134" s="171">
        <v>366</v>
      </c>
      <c r="F134" s="180"/>
      <c r="H134" s="171">
        <v>10</v>
      </c>
      <c r="I134" s="171">
        <v>6</v>
      </c>
      <c r="J134" s="241">
        <v>16</v>
      </c>
      <c r="K134" s="214"/>
      <c r="L134" s="214">
        <f>H134/J134*100</f>
        <v>62.5</v>
      </c>
      <c r="M134" s="214">
        <f t="shared" si="45"/>
        <v>37.5</v>
      </c>
      <c r="N134" s="235">
        <f t="shared" si="46"/>
        <v>100</v>
      </c>
      <c r="O134" s="213"/>
      <c r="P134" s="214">
        <v>34.700000000000003</v>
      </c>
      <c r="Q134" s="214">
        <v>21.4</v>
      </c>
      <c r="R134" s="215">
        <f>SUM(O134:Q134)</f>
        <v>56.1</v>
      </c>
      <c r="S134" s="190">
        <v>2</v>
      </c>
      <c r="T134" s="285"/>
      <c r="U134" s="283"/>
      <c r="V134" s="178" t="s">
        <v>128</v>
      </c>
      <c r="W134" s="171" t="s">
        <v>17</v>
      </c>
      <c r="X134" s="171" t="s">
        <v>18</v>
      </c>
      <c r="Y134" s="179">
        <v>28.2</v>
      </c>
      <c r="Z134" s="171" t="s">
        <v>129</v>
      </c>
      <c r="AA134" s="171" t="s">
        <v>81</v>
      </c>
      <c r="AB134" s="171" t="s">
        <v>18</v>
      </c>
      <c r="AC134" s="171">
        <v>6.5</v>
      </c>
      <c r="AD134" s="178" t="s">
        <v>132</v>
      </c>
      <c r="AE134" s="171" t="s">
        <v>20</v>
      </c>
      <c r="AF134" s="171" t="s">
        <v>12</v>
      </c>
      <c r="AG134" s="179">
        <v>21.4</v>
      </c>
      <c r="AK134" s="179"/>
      <c r="AO134" s="179"/>
      <c r="AS134" s="179"/>
      <c r="AW134" s="179"/>
      <c r="BA134" s="180"/>
    </row>
    <row r="135" spans="1:53" x14ac:dyDescent="0.15">
      <c r="AG135" s="17"/>
      <c r="AK135" s="17"/>
      <c r="AO135" s="17"/>
      <c r="AS135" s="17"/>
      <c r="AW135" s="17"/>
    </row>
    <row r="136" spans="1:53" ht="18" customHeight="1" x14ac:dyDescent="0.15">
      <c r="B136" s="16" t="s">
        <v>1264</v>
      </c>
      <c r="AG136" s="17"/>
    </row>
    <row r="137" spans="1:53" ht="9" customHeight="1" x14ac:dyDescent="0.15"/>
    <row r="138" spans="1:53" s="195" customFormat="1" ht="9" customHeight="1" x14ac:dyDescent="0.15">
      <c r="A138" s="193"/>
      <c r="B138" s="194" t="s">
        <v>1215</v>
      </c>
      <c r="C138" s="194"/>
      <c r="D138" s="194"/>
      <c r="E138" s="194"/>
      <c r="F138" s="194"/>
      <c r="G138" s="194" t="s">
        <v>1216</v>
      </c>
      <c r="H138" s="194"/>
      <c r="I138" s="194"/>
      <c r="J138" s="194"/>
      <c r="K138" s="194"/>
      <c r="L138" s="194"/>
      <c r="M138" s="194"/>
      <c r="N138" s="194"/>
      <c r="R138" s="388" t="s">
        <v>1217</v>
      </c>
      <c r="S138" s="388"/>
      <c r="T138" s="388"/>
      <c r="U138" s="388"/>
      <c r="V138" s="388"/>
      <c r="W138" s="388"/>
      <c r="X138" s="196"/>
      <c r="Y138" s="196"/>
      <c r="AA138" s="196"/>
      <c r="AB138" s="196"/>
      <c r="AC138" s="196"/>
      <c r="AD138" s="196"/>
    </row>
    <row r="139" spans="1:53" s="200" customFormat="1" ht="9" customHeight="1" x14ac:dyDescent="0.15">
      <c r="A139" s="197"/>
      <c r="B139" s="198" t="s">
        <v>1219</v>
      </c>
      <c r="C139" s="199"/>
      <c r="D139" s="199"/>
      <c r="E139" s="199"/>
      <c r="F139" s="199"/>
      <c r="G139" s="198" t="s">
        <v>1218</v>
      </c>
      <c r="H139" s="199"/>
      <c r="I139" s="199"/>
      <c r="J139" s="199"/>
      <c r="K139" s="199"/>
      <c r="L139" s="199"/>
      <c r="M139" s="199"/>
      <c r="N139" s="199"/>
      <c r="R139" s="201" t="s">
        <v>1220</v>
      </c>
      <c r="S139" s="202"/>
      <c r="T139" s="203"/>
      <c r="U139" s="203"/>
      <c r="V139" s="203"/>
      <c r="W139" s="201" t="s">
        <v>1221</v>
      </c>
      <c r="X139" s="203"/>
      <c r="Y139" s="203"/>
      <c r="AA139" s="203"/>
      <c r="AB139" s="203"/>
      <c r="AC139" s="203"/>
      <c r="AD139" s="203"/>
    </row>
    <row r="140" spans="1:53" s="186" customFormat="1" ht="12" customHeight="1" x14ac:dyDescent="0.15">
      <c r="A140" s="204" t="s">
        <v>3</v>
      </c>
      <c r="B140" s="205" t="s">
        <v>8</v>
      </c>
      <c r="C140" s="205" t="s">
        <v>9</v>
      </c>
      <c r="D140" s="205" t="s">
        <v>10</v>
      </c>
      <c r="E140" s="206" t="s">
        <v>1195</v>
      </c>
      <c r="F140" s="205"/>
      <c r="G140" s="186" t="s">
        <v>3</v>
      </c>
      <c r="H140" s="389" t="s">
        <v>0</v>
      </c>
      <c r="I140" s="389"/>
      <c r="J140" s="389" t="s">
        <v>1</v>
      </c>
      <c r="K140" s="389"/>
      <c r="L140" s="389" t="s">
        <v>2</v>
      </c>
      <c r="M140" s="389"/>
      <c r="N140" s="390" t="s">
        <v>1195</v>
      </c>
      <c r="O140" s="390"/>
      <c r="P140" s="207"/>
      <c r="Q140" s="207"/>
      <c r="R140" s="208" t="s">
        <v>3</v>
      </c>
      <c r="S140" s="209" t="s">
        <v>135</v>
      </c>
      <c r="T140" s="207" t="s">
        <v>133</v>
      </c>
      <c r="U140" s="205" t="s">
        <v>134</v>
      </c>
      <c r="V140" s="207"/>
      <c r="W140" s="210" t="s">
        <v>26</v>
      </c>
    </row>
    <row r="141" spans="1:53" s="140" customFormat="1" x14ac:dyDescent="0.15">
      <c r="A141" s="140">
        <v>1959</v>
      </c>
      <c r="B141" s="143">
        <f xml:space="preserve"> (K6*($E6/365))+(K7*($E7/365))</f>
        <v>11.76470588235294</v>
      </c>
      <c r="C141" s="143">
        <f xml:space="preserve"> (L6*($E6/365))+(L7*($E7/365))</f>
        <v>88.235294117647058</v>
      </c>
      <c r="D141" s="143">
        <f xml:space="preserve"> (M6*($E6/365))+(M7*($E7/365))</f>
        <v>0</v>
      </c>
      <c r="E141" s="144">
        <f>B141+C141+D141</f>
        <v>100</v>
      </c>
      <c r="G141" s="140">
        <v>1959</v>
      </c>
      <c r="H141" s="391">
        <f>(O6/$R6*100*($E6/365))+(O7/$R7*100*($E7/365))</f>
        <v>5.8823529411764701</v>
      </c>
      <c r="I141" s="391"/>
      <c r="J141" s="391">
        <f>(P6/$R6*100*($E6/365))+(P7/$R7*100*($E7/365))</f>
        <v>94.117647058823522</v>
      </c>
      <c r="K141" s="391"/>
      <c r="L141" s="391">
        <f>(Q6/$R6*100*($E6/365))+(Q7/$R7*100*($E7/365))</f>
        <v>0</v>
      </c>
      <c r="M141" s="391"/>
      <c r="N141" s="412">
        <f>H141+J141+K141</f>
        <v>99.999999999999986</v>
      </c>
      <c r="O141" s="433"/>
      <c r="R141" s="140">
        <v>1959</v>
      </c>
      <c r="S141" s="143">
        <f>(O6*($E6/365))+(O7*($E7/365))</f>
        <v>3.4</v>
      </c>
      <c r="T141" s="143">
        <f>(P6*($E6/365))+(P7*($E7/365))</f>
        <v>54.4</v>
      </c>
      <c r="U141" s="143">
        <f>(Q6*($E6/365))+(Q7*($E7/365))</f>
        <v>0</v>
      </c>
      <c r="V141" s="153"/>
      <c r="W141" s="155">
        <f>S141+T141+U141</f>
        <v>57.8</v>
      </c>
      <c r="Y141" s="143"/>
    </row>
    <row r="142" spans="1:53" x14ac:dyDescent="0.15">
      <c r="A142" s="1">
        <v>1960</v>
      </c>
      <c r="B142" s="5">
        <f>(K8*($E8/366))+(K9*($E9/366))</f>
        <v>5.8502089360334288</v>
      </c>
      <c r="C142" s="5">
        <f>(L8*($E8/366))+(L9*($E9/366))</f>
        <v>94.149791063966575</v>
      </c>
      <c r="D142" s="5">
        <f>(M8*($E8/366))+(M9*($E9/366))</f>
        <v>0</v>
      </c>
      <c r="E142" s="18">
        <f>SUM(B142:D142)</f>
        <v>100</v>
      </c>
      <c r="G142" s="1">
        <v>1960</v>
      </c>
      <c r="H142" s="380">
        <f>(O8/$R8*100*($E8/366))+(O9/$R9*100*($E9/366))</f>
        <v>2.9251044680167144</v>
      </c>
      <c r="I142" s="380"/>
      <c r="J142" s="380">
        <f>(P8/$R8*100*($E8/366))+(P9/$R9*100*($E9/366))</f>
        <v>97.074895531983287</v>
      </c>
      <c r="K142" s="380"/>
      <c r="L142" s="380">
        <f>(Q8/$R8*100*($E8/366))+(Q9/$R9*100*($E9/366))</f>
        <v>0</v>
      </c>
      <c r="M142" s="380"/>
      <c r="N142" s="379">
        <f>SUM(H142:M142)</f>
        <v>100</v>
      </c>
      <c r="O142" s="431"/>
      <c r="R142" s="1">
        <v>1960</v>
      </c>
      <c r="S142" s="5">
        <f>(O8*($E8/366))+(O9*($E9/366))</f>
        <v>1.6907103825136611</v>
      </c>
      <c r="T142" s="5">
        <f>(P8*($E8/366))+(P9*($E9/366))</f>
        <v>54.4</v>
      </c>
      <c r="U142" s="5">
        <f>(Q8*($E8/366))+(Q9*($E9/366))</f>
        <v>0</v>
      </c>
      <c r="V142" s="9"/>
      <c r="W142" s="10">
        <f>SUM(S142:U142)</f>
        <v>56.090710382513663</v>
      </c>
      <c r="Y142" s="5"/>
    </row>
    <row r="143" spans="1:53" x14ac:dyDescent="0.15">
      <c r="A143" s="1">
        <v>1961</v>
      </c>
      <c r="B143" s="5">
        <f>(K10*($E10/365))+(K11*($E11/365))</f>
        <v>3.1311154598825826</v>
      </c>
      <c r="C143" s="5">
        <f>(L10*($E10/365))+(L11*($E11/365))</f>
        <v>96.868884540117421</v>
      </c>
      <c r="D143" s="5">
        <f>(M10*($E10/365))+(M11*($E11/365))</f>
        <v>0</v>
      </c>
      <c r="E143" s="18">
        <f t="shared" ref="E143:E195" si="48">SUM(B143:D143)</f>
        <v>100</v>
      </c>
      <c r="G143" s="1">
        <v>1961</v>
      </c>
      <c r="H143" s="380">
        <f>(O10/$R10*100*($E10/365))+(O11/$R11*100*($E11/365))</f>
        <v>2.8468364795184451</v>
      </c>
      <c r="I143" s="380"/>
      <c r="J143" s="380">
        <f>(P10/$R10*100*($E10/365))+(P11/$R11*100*($E11/365))</f>
        <v>97.153163520481556</v>
      </c>
      <c r="K143" s="380"/>
      <c r="L143" s="380">
        <f>(Q10/$R10*100*($E10/365))+(Q11/$R11*100*($E11/365))</f>
        <v>0</v>
      </c>
      <c r="M143" s="380"/>
      <c r="N143" s="379">
        <f>SUM(H143:M143)</f>
        <v>100</v>
      </c>
      <c r="O143" s="431"/>
      <c r="R143" s="1">
        <v>1961</v>
      </c>
      <c r="S143" s="5">
        <f>(O10*($E10/365))+(O11*($E11/365))</f>
        <v>1.7621917808219176</v>
      </c>
      <c r="T143" s="5">
        <f>(P10*($E10/365))+(P11*($E11/365))</f>
        <v>53.62410958904109</v>
      </c>
      <c r="U143" s="5">
        <f>(Q10*($E10/365))+(Q11*($E11/365))</f>
        <v>0</v>
      </c>
      <c r="V143" s="9"/>
      <c r="W143" s="10">
        <f t="shared" ref="W143:W195" si="49">SUM(S143:U143)</f>
        <v>55.386301369863006</v>
      </c>
      <c r="Y143" s="5"/>
    </row>
    <row r="144" spans="1:53" x14ac:dyDescent="0.15">
      <c r="A144" s="1">
        <v>1962</v>
      </c>
      <c r="B144" s="5">
        <f>(K12*($E12/365))+(K13*($E13/365))+(K14*($E14/365))</f>
        <v>22.178734507501627</v>
      </c>
      <c r="C144" s="5">
        <f>(L12*($E12/365))+(L13*($E13/365))+(L14*($E14/365))</f>
        <v>77.821265492498384</v>
      </c>
      <c r="D144" s="5">
        <f>(M12*($E12/365))+(M13*($E13/365))+(M14*($E14/365))</f>
        <v>0</v>
      </c>
      <c r="E144" s="18">
        <f t="shared" si="48"/>
        <v>100.00000000000001</v>
      </c>
      <c r="G144" s="1">
        <v>1962</v>
      </c>
      <c r="H144" s="380">
        <f>(O12/$R12*100*($E12/365))+(O13/$R13*100*($E13/365))+(O14/$R14*100*($E14/365))</f>
        <v>20.165091729922324</v>
      </c>
      <c r="I144" s="380"/>
      <c r="J144" s="380">
        <f>(P12/$R12*100*($E12/365))+(P13/$R13*100*($E13/365))+(P14/$R14*100*($E14/365))</f>
        <v>79.83490827007769</v>
      </c>
      <c r="K144" s="380"/>
      <c r="L144" s="380">
        <f>(Q12/$R12*100*($E12/365))+(Q13/$R13*100*($E13/365))+(Q14/$R14*100*($E14/365))</f>
        <v>0</v>
      </c>
      <c r="M144" s="380"/>
      <c r="N144" s="379">
        <f t="shared" ref="N144:N194" si="50">SUM(H144:M144)</f>
        <v>100.00000000000001</v>
      </c>
      <c r="O144" s="431"/>
      <c r="R144" s="1">
        <v>1962</v>
      </c>
      <c r="S144" s="5">
        <f>(O12*($E12/365))+(O13*($E13/365))+(O14*($E14/365))</f>
        <v>12.482191780821919</v>
      </c>
      <c r="T144" s="5">
        <f>(P12*($E12/365))+(P13*($E13/365))+(P14*($E14/365))</f>
        <v>48.5</v>
      </c>
      <c r="U144" s="5">
        <f>(Q12*($E12/365))+(Q13*($E13/365))+(Q14*($E14/365))</f>
        <v>0</v>
      </c>
      <c r="V144" s="9"/>
      <c r="W144" s="10">
        <f t="shared" si="49"/>
        <v>60.982191780821921</v>
      </c>
      <c r="Y144" s="5"/>
    </row>
    <row r="145" spans="1:25" x14ac:dyDescent="0.15">
      <c r="A145" s="1">
        <v>1963</v>
      </c>
      <c r="B145" s="5">
        <f>(K15*($E15/365))+(K16*($E16/365))</f>
        <v>24.060665362035223</v>
      </c>
      <c r="C145" s="5">
        <f>(L15*($E15/365))+(L16*($E16/365))</f>
        <v>75.939334637964777</v>
      </c>
      <c r="D145" s="5">
        <f>(M15*($E15/365))+(M16*($E16/365))</f>
        <v>0</v>
      </c>
      <c r="E145" s="18">
        <f t="shared" si="48"/>
        <v>100</v>
      </c>
      <c r="G145" s="1">
        <v>1963</v>
      </c>
      <c r="H145" s="380">
        <f>(O15/$R15*100*($E15/365))+(O16/$R16*100*($E16/365))</f>
        <v>21.647819063004846</v>
      </c>
      <c r="I145" s="380"/>
      <c r="J145" s="380">
        <f>(P15/$R15*100*($E15/365))+(P16/$R16*100*($E16/365))</f>
        <v>78.352180936995154</v>
      </c>
      <c r="K145" s="380"/>
      <c r="L145" s="380">
        <f>(Q15/$R15*100*($E15/365))+(Q16/$R16*100*($E16/365))</f>
        <v>0</v>
      </c>
      <c r="M145" s="380"/>
      <c r="N145" s="379">
        <f t="shared" si="50"/>
        <v>100</v>
      </c>
      <c r="O145" s="431"/>
      <c r="R145" s="1">
        <v>1963</v>
      </c>
      <c r="S145" s="5">
        <f>(O15*($E15/365))+(O16*($E16/365))</f>
        <v>13.4</v>
      </c>
      <c r="T145" s="5">
        <f>(P15*($E15/365))+(P16*($E16/365))</f>
        <v>48.5</v>
      </c>
      <c r="U145" s="5">
        <f>(Q15*($E15/365))+(Q16*($E16/365))</f>
        <v>0</v>
      </c>
      <c r="V145" s="9"/>
      <c r="W145" s="10">
        <f t="shared" si="49"/>
        <v>61.9</v>
      </c>
      <c r="Y145" s="5"/>
    </row>
    <row r="146" spans="1:25" x14ac:dyDescent="0.15">
      <c r="A146" s="1">
        <v>1964</v>
      </c>
      <c r="B146" s="5">
        <f>(K17*($E17/366))+(K18*($E18/366))</f>
        <v>25</v>
      </c>
      <c r="C146" s="5">
        <f>(L17*($E17/366))+(L18*($E18/366))</f>
        <v>75</v>
      </c>
      <c r="D146" s="5">
        <f>(M17*($E17/366))+(M18*($E18/366))</f>
        <v>0</v>
      </c>
      <c r="E146" s="18">
        <f t="shared" si="48"/>
        <v>100</v>
      </c>
      <c r="G146" s="1">
        <v>1964</v>
      </c>
      <c r="H146" s="380">
        <f>(O17/$R17*100*($E17/366))+(O18/$R18*100*($E18/366))</f>
        <v>21.647819063004846</v>
      </c>
      <c r="I146" s="380"/>
      <c r="J146" s="380">
        <f>(P17/$R17*100*($E17/366))+(P18/$R18*100*($E18/366))</f>
        <v>78.352180936995154</v>
      </c>
      <c r="K146" s="380"/>
      <c r="L146" s="380">
        <f>(Q17/$R17*100*($E17/366))+(Q18/$R18*100*($E18/366))</f>
        <v>0</v>
      </c>
      <c r="M146" s="380"/>
      <c r="N146" s="379">
        <f t="shared" si="50"/>
        <v>100</v>
      </c>
      <c r="O146" s="431"/>
      <c r="R146" s="1">
        <v>1964</v>
      </c>
      <c r="S146" s="5">
        <f>(O17*($E17/366))+(O18*($E18/366))</f>
        <v>13.4</v>
      </c>
      <c r="T146" s="5">
        <f>(P17*($E17/366))+(P18*($E18/366))</f>
        <v>48.5</v>
      </c>
      <c r="U146" s="5">
        <f>(Q17*($E17/366))+(Q18*($E18/366))</f>
        <v>0</v>
      </c>
      <c r="V146" s="9"/>
      <c r="W146" s="10">
        <f t="shared" si="49"/>
        <v>61.9</v>
      </c>
      <c r="Y146" s="5"/>
    </row>
    <row r="147" spans="1:25" x14ac:dyDescent="0.15">
      <c r="A147" s="1">
        <v>1965</v>
      </c>
      <c r="B147" s="5">
        <f>(K19*($E19/365))+(K20*($E20/365))</f>
        <v>23.907371167645138</v>
      </c>
      <c r="C147" s="5">
        <f>(L19*($E19/365))+(L20*($E20/365))</f>
        <v>76.092628832354862</v>
      </c>
      <c r="D147" s="5">
        <f>(M19*($E19/365))+(M20*($E20/365))</f>
        <v>0</v>
      </c>
      <c r="E147" s="18">
        <f t="shared" si="48"/>
        <v>100</v>
      </c>
      <c r="G147" s="1">
        <v>1965</v>
      </c>
      <c r="H147" s="380">
        <f>(O19/$R19*100*($E19/365))+(O20/$R20*100*($E20/365))</f>
        <v>20.738629665272189</v>
      </c>
      <c r="I147" s="380"/>
      <c r="J147" s="380">
        <f>(P19/$R19*100*($E19/365))+(P20/$R20*100*($E20/365))</f>
        <v>79.261370334727815</v>
      </c>
      <c r="K147" s="380"/>
      <c r="L147" s="380">
        <f>(Q19/$R19*100*($E19/365))+(Q20/$R20*100*($E20/365))</f>
        <v>0</v>
      </c>
      <c r="M147" s="380"/>
      <c r="N147" s="379">
        <f t="shared" si="50"/>
        <v>100</v>
      </c>
      <c r="O147" s="431"/>
      <c r="R147" s="1">
        <v>1965</v>
      </c>
      <c r="S147" s="5">
        <f>(O19*($E19/365))+(O20*($E20/365))</f>
        <v>12.757534246575341</v>
      </c>
      <c r="T147" s="5">
        <f>(P19*($E19/365))+(P20*($E20/365))</f>
        <v>48.665205479452055</v>
      </c>
      <c r="U147" s="5">
        <f>(Q19*($E19/365))+(Q20*($E20/365))</f>
        <v>0</v>
      </c>
      <c r="V147" s="9"/>
      <c r="W147" s="10">
        <f t="shared" si="49"/>
        <v>61.422739726027395</v>
      </c>
      <c r="Y147" s="5"/>
    </row>
    <row r="148" spans="1:25" x14ac:dyDescent="0.15">
      <c r="A148" s="1">
        <v>1966</v>
      </c>
      <c r="B148" s="5">
        <f>(K21*($E21/365))+(K22*($E22/365))+(K23*($E23/365))</f>
        <v>15.655577299412915</v>
      </c>
      <c r="C148" s="5">
        <f>(L21*($E21/365))+(L22*($E22/365))+(L23*($E23/365))</f>
        <v>80.522504892367905</v>
      </c>
      <c r="D148" s="5">
        <f>(M21*($E21/365))+(M22*($E22/365))+(M23*($E23/365))</f>
        <v>3.8219178082191778</v>
      </c>
      <c r="E148" s="18">
        <f t="shared" si="48"/>
        <v>100</v>
      </c>
      <c r="G148" s="1">
        <v>1966</v>
      </c>
      <c r="H148" s="380">
        <f>(O21/$R21*100*($E21/365))+(O22/$R22*100*($E22/365))+(O23/$R23*100*($E23/365))</f>
        <v>13.72173069370972</v>
      </c>
      <c r="I148" s="380"/>
      <c r="J148" s="380">
        <f>(P21/$R21*100*($E21/365))+(P22/$R22*100*($E22/365))+(P23/$R23*100*($E23/365))</f>
        <v>82.441740639512119</v>
      </c>
      <c r="K148" s="380"/>
      <c r="L148" s="380">
        <f>(Q21/$R21*100*($E21/365))+(Q22/$R22*100*($E22/365))+(Q23/$R23*100*($E23/365))</f>
        <v>3.8365286667781615</v>
      </c>
      <c r="M148" s="380"/>
      <c r="N148" s="379">
        <f t="shared" si="50"/>
        <v>100</v>
      </c>
      <c r="O148" s="431"/>
      <c r="R148" s="1">
        <v>1966</v>
      </c>
      <c r="S148" s="5">
        <f>(O21*($E21/365))+(O22*($E22/365))+(O23*($E23/365))</f>
        <v>8.1369863013698627</v>
      </c>
      <c r="T148" s="5">
        <f>(P21*($E21/365))+(P22*($E22/365))+(P23*($E23/365))</f>
        <v>49.399999999999991</v>
      </c>
      <c r="U148" s="5">
        <f>(Q21*($E21/365))+(Q22*($E22/365))+(Q23*($E23/365))</f>
        <v>3.4567123287671233</v>
      </c>
      <c r="V148" s="9"/>
      <c r="W148" s="10">
        <f t="shared" si="49"/>
        <v>60.993698630136976</v>
      </c>
      <c r="Y148" s="5"/>
    </row>
    <row r="149" spans="1:25" x14ac:dyDescent="0.15">
      <c r="A149" s="1">
        <v>1967</v>
      </c>
      <c r="B149" s="5">
        <f>(K24*($E24/365))+(K25*($E25/365))</f>
        <v>0</v>
      </c>
      <c r="C149" s="5">
        <f>(L24*($E24/365))+(L25*($E25/365))</f>
        <v>55.000000000000007</v>
      </c>
      <c r="D149" s="5">
        <f>(M24*($E24/365))+(M25*($E25/365))</f>
        <v>45</v>
      </c>
      <c r="E149" s="18">
        <f t="shared" si="48"/>
        <v>100</v>
      </c>
      <c r="G149" s="1">
        <v>1967</v>
      </c>
      <c r="H149" s="380">
        <f>(O24/$R24*100*($E24/365))+(O25/$R25*100*($E25/365))</f>
        <v>0</v>
      </c>
      <c r="I149" s="380"/>
      <c r="J149" s="380">
        <f>(P24/$R24*100*($E24/365))+(P25/$R25*100*($E25/365))</f>
        <v>54.827968923418425</v>
      </c>
      <c r="K149" s="380"/>
      <c r="L149" s="380">
        <f>(Q24/$R24*100*($E24/365))+(Q25/$R25*100*($E25/365))</f>
        <v>45.172031076581582</v>
      </c>
      <c r="M149" s="380"/>
      <c r="N149" s="379">
        <f t="shared" si="50"/>
        <v>100</v>
      </c>
      <c r="O149" s="431"/>
      <c r="R149" s="1">
        <v>1967</v>
      </c>
      <c r="S149" s="5">
        <f>(O24*($E24/365))+(O25*($E25/365))</f>
        <v>0</v>
      </c>
      <c r="T149" s="5">
        <f>(P24*($E24/365))+(P25*($E25/365))</f>
        <v>49.4</v>
      </c>
      <c r="U149" s="5">
        <f>(Q24*($E24/365))+(Q25*($E25/365))</f>
        <v>40.700000000000003</v>
      </c>
      <c r="V149" s="9"/>
      <c r="W149" s="10">
        <f t="shared" si="49"/>
        <v>90.1</v>
      </c>
      <c r="Y149" s="5"/>
    </row>
    <row r="150" spans="1:25" x14ac:dyDescent="0.15">
      <c r="A150" s="1">
        <v>1968</v>
      </c>
      <c r="B150" s="5">
        <f>(K26*($E26/366))+(K27*($E27/366))</f>
        <v>0</v>
      </c>
      <c r="C150" s="5">
        <f>(L26*($E26/366))+(L27*($E27/366))</f>
        <v>55.000000000000007</v>
      </c>
      <c r="D150" s="5">
        <f>(M26*($E26/366))+(M27*($E27/366))</f>
        <v>45</v>
      </c>
      <c r="E150" s="18">
        <f t="shared" si="48"/>
        <v>100</v>
      </c>
      <c r="G150" s="1">
        <v>1968</v>
      </c>
      <c r="H150" s="380">
        <f>(O26/$R26*100*($E26/366))+(O27/$R27*100*($E27/366))</f>
        <v>0</v>
      </c>
      <c r="I150" s="380"/>
      <c r="J150" s="380">
        <f>(P26/$R26*100*($E26/366))+(P27/$R27*100*($E27/366))</f>
        <v>54.827968923418425</v>
      </c>
      <c r="K150" s="380"/>
      <c r="L150" s="380">
        <f>(Q26/$R26*100*($E26/366))+(Q27/$R27*100*($E27/366))</f>
        <v>45.172031076581582</v>
      </c>
      <c r="M150" s="380"/>
      <c r="N150" s="379">
        <f t="shared" si="50"/>
        <v>100</v>
      </c>
      <c r="O150" s="431"/>
      <c r="R150" s="1">
        <v>1968</v>
      </c>
      <c r="S150" s="5">
        <f>(O26*($E26/366))+(O27*($E27/366))</f>
        <v>0</v>
      </c>
      <c r="T150" s="5">
        <f>(P26*($E26/366))+(P27*($E27/366))</f>
        <v>49.4</v>
      </c>
      <c r="U150" s="5">
        <f>(Q26*($E26/366))+(Q27*($E27/366))</f>
        <v>40.700000000000003</v>
      </c>
      <c r="V150" s="9"/>
      <c r="W150" s="10">
        <f t="shared" si="49"/>
        <v>90.1</v>
      </c>
      <c r="Y150" s="5"/>
    </row>
    <row r="151" spans="1:25" x14ac:dyDescent="0.15">
      <c r="A151" s="1">
        <v>1969</v>
      </c>
      <c r="B151" s="5">
        <f>(K28*($E28/365))+(K29*($E29/365))</f>
        <v>3.647260273972603</v>
      </c>
      <c r="C151" s="5">
        <f>(L28*($E28/365))+(L29*($E29/365))</f>
        <v>44.301369863013704</v>
      </c>
      <c r="D151" s="5">
        <f>(M28*($E28/365))+(M29*($E29/365))</f>
        <v>50.835616438356169</v>
      </c>
      <c r="E151" s="18">
        <f t="shared" si="48"/>
        <v>98.784246575342479</v>
      </c>
      <c r="G151" s="1">
        <v>1969</v>
      </c>
      <c r="H151" s="380">
        <f>(O28/$R28*100*($E28/365))+(O29/$R29*100*($E29/365))</f>
        <v>2.2795376712328768</v>
      </c>
      <c r="I151" s="380"/>
      <c r="J151" s="380">
        <f>(P28/$R28*100*($E28/365))+(P29/$R29*100*($E29/365))</f>
        <v>44.162802365712373</v>
      </c>
      <c r="K151" s="380"/>
      <c r="L151" s="380">
        <f>(Q28/$R28*100*($E28/365))+(Q29/$R29*100*($E29/365))</f>
        <v>53.557659963054761</v>
      </c>
      <c r="M151" s="380"/>
      <c r="N151" s="379">
        <f t="shared" si="50"/>
        <v>100.00000000000001</v>
      </c>
      <c r="O151" s="431"/>
      <c r="R151" s="1">
        <v>1969</v>
      </c>
      <c r="S151" s="5">
        <f>(O28*($E28/365))+(O29*($E29/365))</f>
        <v>1.167123287671233</v>
      </c>
      <c r="T151" s="5">
        <f>(P28*($E28/365))+(P29*($E29/365))</f>
        <v>39.790684931506853</v>
      </c>
      <c r="U151" s="5">
        <f>(Q28*($E28/365))+(Q29*($E29/365))</f>
        <v>41.57534246575343</v>
      </c>
      <c r="V151" s="9"/>
      <c r="W151" s="10">
        <f t="shared" si="49"/>
        <v>82.533150684931513</v>
      </c>
      <c r="Y151" s="5"/>
    </row>
    <row r="152" spans="1:25" x14ac:dyDescent="0.15">
      <c r="A152" s="1">
        <v>1970</v>
      </c>
      <c r="B152" s="5">
        <f>(K30*($E30/365))+(K31*($E31/365))</f>
        <v>18.75</v>
      </c>
      <c r="C152" s="5">
        <f>(L30*($E30/365))+(L31*($E31/365))</f>
        <v>0</v>
      </c>
      <c r="D152" s="5">
        <f>(M30*($E30/365))+(M31*($E31/365))</f>
        <v>75</v>
      </c>
      <c r="E152" s="18">
        <f t="shared" si="48"/>
        <v>93.75</v>
      </c>
      <c r="G152" s="1">
        <v>1970</v>
      </c>
      <c r="H152" s="380">
        <f>(O30/$R30*100*($E30/365))+(O31/$R31*100*($E31/365))</f>
        <v>11.71875</v>
      </c>
      <c r="I152" s="380"/>
      <c r="J152" s="380">
        <f>(P30/$R30*100*($E30/365))+(P31/$R31*100*($E31/365))</f>
        <v>0</v>
      </c>
      <c r="K152" s="380"/>
      <c r="L152" s="380">
        <f>(Q30/$R30*100*($E30/365))+(Q31/$R31*100*($E31/365))</f>
        <v>88.28125</v>
      </c>
      <c r="M152" s="380"/>
      <c r="N152" s="379">
        <f t="shared" si="50"/>
        <v>100</v>
      </c>
      <c r="O152" s="431"/>
      <c r="R152" s="1">
        <v>1970</v>
      </c>
      <c r="S152" s="5">
        <f>(O30*($E30/365))+(O31*($E31/365))</f>
        <v>6</v>
      </c>
      <c r="T152" s="5">
        <f>(P30*($E30/365))+(P31*($E31/365))</f>
        <v>0</v>
      </c>
      <c r="U152" s="5">
        <f>(Q30*($E30/365))+(Q31*($E31/365))</f>
        <v>45.2</v>
      </c>
      <c r="V152" s="9"/>
      <c r="W152" s="10">
        <f t="shared" si="49"/>
        <v>51.2</v>
      </c>
      <c r="Y152" s="5"/>
    </row>
    <row r="153" spans="1:25" x14ac:dyDescent="0.15">
      <c r="A153" s="1">
        <v>1971</v>
      </c>
      <c r="B153" s="5">
        <f>(K32*($E32/365))+(K33*($E33/365))</f>
        <v>18.75</v>
      </c>
      <c r="C153" s="5">
        <f>(L32*($E32/365))+(L33*($E33/365))</f>
        <v>0</v>
      </c>
      <c r="D153" s="5">
        <f>(M32*($E32/365))+(M33*($E33/365))</f>
        <v>75</v>
      </c>
      <c r="E153" s="18">
        <f t="shared" si="48"/>
        <v>93.75</v>
      </c>
      <c r="G153" s="1">
        <v>1971</v>
      </c>
      <c r="H153" s="380">
        <f>(O32/$R32*100*($E32/365))+(O33/$R33*100*($E33/365))</f>
        <v>11.71875</v>
      </c>
      <c r="I153" s="380"/>
      <c r="J153" s="380">
        <f>(P32/$R32*100*($E32/365))+(P33/$R33*100*($E33/365))</f>
        <v>0</v>
      </c>
      <c r="K153" s="380"/>
      <c r="L153" s="380">
        <f>(Q32/$R32*100*($E32/365))+(Q33/$R33*100*($E33/365))</f>
        <v>88.28125</v>
      </c>
      <c r="M153" s="380"/>
      <c r="N153" s="379">
        <f t="shared" si="50"/>
        <v>100</v>
      </c>
      <c r="O153" s="431"/>
      <c r="R153" s="1">
        <v>1971</v>
      </c>
      <c r="S153" s="5">
        <f>(O32*($E32/365))+(O33*($E33/365))</f>
        <v>6</v>
      </c>
      <c r="T153" s="5">
        <f>(P32*($E32/365))+(P33*($E33/365))</f>
        <v>0</v>
      </c>
      <c r="U153" s="5">
        <f>(Q32*($E32/365))+(Q33*($E33/365))</f>
        <v>45.2</v>
      </c>
      <c r="V153" s="9"/>
      <c r="W153" s="10">
        <f t="shared" si="49"/>
        <v>51.2</v>
      </c>
      <c r="Y153" s="5"/>
    </row>
    <row r="154" spans="1:25" x14ac:dyDescent="0.15">
      <c r="A154" s="1">
        <v>1972</v>
      </c>
      <c r="B154" s="5">
        <f>(K34*($E34/366))+(K35*($E35/366))+(K36*($E36/366))</f>
        <v>19.169323011536129</v>
      </c>
      <c r="C154" s="5">
        <f>(L34*($E34/366))+(L35*($E35/366))+(L36*($E36/366))</f>
        <v>0</v>
      </c>
      <c r="D154" s="5">
        <f>(M34*($E34/366))+(M35*($E35/366))+(M36*($E36/366))</f>
        <v>78.491196114146945</v>
      </c>
      <c r="E154" s="18">
        <f t="shared" si="48"/>
        <v>97.660519125683066</v>
      </c>
      <c r="G154" s="1">
        <v>1972</v>
      </c>
      <c r="H154" s="380">
        <f>(O34/$R34*100*($E34/366))+(O35/$R35*100*($E35/366))+(O36/$R36*100*($E36/366))</f>
        <v>11.879224639364242</v>
      </c>
      <c r="I154" s="380"/>
      <c r="J154" s="380">
        <f>(P34/$R34*100*($E34/366))+(P35/$R35*100*($E35/366))+(P36/$R36*100*($E36/366))</f>
        <v>0</v>
      </c>
      <c r="K154" s="380"/>
      <c r="L154" s="380">
        <f>(Q34/$R34*100*($E34/366))+(Q35/$R35*100*($E35/366))+(Q36/$R36*100*($E36/366))</f>
        <v>88.120775360635747</v>
      </c>
      <c r="M154" s="380"/>
      <c r="N154" s="379">
        <f t="shared" si="50"/>
        <v>99.999999999999986</v>
      </c>
      <c r="O154" s="431"/>
      <c r="R154" s="1">
        <v>1972</v>
      </c>
      <c r="S154" s="5">
        <f>(O34*($E34/366))+(O35*($E35/366))+(O36*($E36/366))</f>
        <v>6.1068306010928959</v>
      </c>
      <c r="T154" s="5">
        <f>(P34*($E34/366))+(P35*($E35/366))+(P36*($E36/366))</f>
        <v>0</v>
      </c>
      <c r="U154" s="5">
        <f>(Q34*($E34/366))+(Q35*($E35/366))+(Q36*($E36/366))</f>
        <v>45.255737704918033</v>
      </c>
      <c r="V154" s="9"/>
      <c r="W154" s="10">
        <f t="shared" si="49"/>
        <v>51.362568306010928</v>
      </c>
      <c r="Y154" s="5"/>
    </row>
    <row r="155" spans="1:25" x14ac:dyDescent="0.15">
      <c r="A155" s="1">
        <v>1973</v>
      </c>
      <c r="B155" s="5">
        <f>(K37*($E37/365))+(K38*($E38/365))</f>
        <v>27.777777777777779</v>
      </c>
      <c r="C155" s="5">
        <f>(L37*($E37/365))+(L38*($E38/365))</f>
        <v>0</v>
      </c>
      <c r="D155" s="5">
        <f>(M37*($E37/365))+(M38*($E38/365))</f>
        <v>72.222222222222214</v>
      </c>
      <c r="E155" s="18">
        <f t="shared" si="48"/>
        <v>100</v>
      </c>
      <c r="G155" s="1">
        <v>1973</v>
      </c>
      <c r="H155" s="380">
        <f>(O37/$R37*100*($E37/365))+(O38/$R38*100*($E38/365))</f>
        <v>15.173674588665447</v>
      </c>
      <c r="I155" s="380"/>
      <c r="J155" s="380">
        <f>(P37/$R37*100*($E37/365))+(P38/$R38*100*($E38/365))</f>
        <v>0</v>
      </c>
      <c r="K155" s="380"/>
      <c r="L155" s="380">
        <f>(Q37/$R37*100*($E37/365))+(Q38/$R38*100*($E38/365))</f>
        <v>84.826325411334551</v>
      </c>
      <c r="M155" s="380"/>
      <c r="N155" s="379">
        <f t="shared" si="50"/>
        <v>100</v>
      </c>
      <c r="O155" s="431"/>
      <c r="R155" s="1">
        <v>1973</v>
      </c>
      <c r="S155" s="5">
        <f>(O37*($E37/365))+(O38*($E38/365))</f>
        <v>8.3000000000000007</v>
      </c>
      <c r="T155" s="5">
        <f>(P37*($E37/365))+(P38*($E38/365))</f>
        <v>0</v>
      </c>
      <c r="U155" s="5">
        <f>(Q37*($E37/365))+(Q38*($E38/365))</f>
        <v>46.4</v>
      </c>
      <c r="V155" s="9"/>
      <c r="W155" s="10">
        <f t="shared" si="49"/>
        <v>54.7</v>
      </c>
      <c r="Y155" s="5"/>
    </row>
    <row r="156" spans="1:25" x14ac:dyDescent="0.15">
      <c r="A156" s="1">
        <v>1974</v>
      </c>
      <c r="B156" s="5">
        <f>(K39*($E39/365))+(K40*($E40/365))</f>
        <v>26.027397260273972</v>
      </c>
      <c r="C156" s="5">
        <f>(L39*($E39/365))+(L40*($E40/365))</f>
        <v>0</v>
      </c>
      <c r="D156" s="5">
        <f>(M39*($E39/365))+(M40*($E40/365))</f>
        <v>73.972602739726028</v>
      </c>
      <c r="E156" s="18">
        <f t="shared" si="48"/>
        <v>100</v>
      </c>
      <c r="G156" s="1">
        <v>1974</v>
      </c>
      <c r="H156" s="380">
        <f>(O39/$R39*100*($E39/365))+(O40/$R40*100*($E40/365))</f>
        <v>15.173674588665445</v>
      </c>
      <c r="I156" s="380"/>
      <c r="J156" s="380">
        <f>(P39/$R39*100*($E39/365))+(P40/$R40*100*($E40/365))</f>
        <v>0</v>
      </c>
      <c r="K156" s="380"/>
      <c r="L156" s="380">
        <f>(Q39/$R39*100*($E39/365))+(Q40/$R40*100*($E40/365))</f>
        <v>84.826325411334551</v>
      </c>
      <c r="M156" s="380"/>
      <c r="N156" s="379">
        <f t="shared" si="50"/>
        <v>100</v>
      </c>
      <c r="O156" s="431"/>
      <c r="R156" s="1">
        <v>1974</v>
      </c>
      <c r="S156" s="5">
        <f>(O39*($E39/365))+(O40*($E40/365))</f>
        <v>8.3000000000000007</v>
      </c>
      <c r="T156" s="5">
        <f>(P39*($E39/365))+(P40*($E40/365))</f>
        <v>0</v>
      </c>
      <c r="U156" s="5">
        <f>(Q39*($E39/365))+(Q40*($E40/365))</f>
        <v>46.4</v>
      </c>
      <c r="V156" s="9"/>
      <c r="W156" s="10">
        <f t="shared" si="49"/>
        <v>54.7</v>
      </c>
      <c r="Y156" s="5"/>
    </row>
    <row r="157" spans="1:25" x14ac:dyDescent="0.15">
      <c r="A157" s="1">
        <v>1975</v>
      </c>
      <c r="B157" s="5">
        <f>(K41*($E41/365))+(K42*($E42/365))</f>
        <v>25</v>
      </c>
      <c r="C157" s="5">
        <f>(L41*($E41/365))+(L42*($E42/365))</f>
        <v>0</v>
      </c>
      <c r="D157" s="5">
        <f>(M41*($E41/365))+(M42*($E42/365))</f>
        <v>75</v>
      </c>
      <c r="E157" s="18">
        <f t="shared" si="48"/>
        <v>100</v>
      </c>
      <c r="G157" s="1">
        <v>1975</v>
      </c>
      <c r="H157" s="380">
        <f>(O41/$R41*100*($E41/365))+(O42/$R42*100*($E42/365))</f>
        <v>15.173674588665447</v>
      </c>
      <c r="I157" s="380"/>
      <c r="J157" s="380">
        <f>(P41/$R41*100*($E41/365))+(P42/$R42*100*($E42/365))</f>
        <v>0</v>
      </c>
      <c r="K157" s="380"/>
      <c r="L157" s="380">
        <f>(Q41/$R41*100*($E41/365))+(Q42/$R42*100*($E42/365))</f>
        <v>84.826325411334551</v>
      </c>
      <c r="M157" s="380"/>
      <c r="N157" s="379">
        <f t="shared" si="50"/>
        <v>100</v>
      </c>
      <c r="O157" s="431"/>
      <c r="R157" s="1">
        <v>1975</v>
      </c>
      <c r="S157" s="5">
        <f>(O41*($E41/365))+(O42*($E42/365))</f>
        <v>8.3000000000000007</v>
      </c>
      <c r="T157" s="5">
        <f>(P41*($E41/365))+(P42*($E42/365))</f>
        <v>0</v>
      </c>
      <c r="U157" s="5">
        <f>(Q41*($E41/365))+(Q42*($E42/365))</f>
        <v>46.4</v>
      </c>
      <c r="V157" s="9"/>
      <c r="W157" s="10">
        <f t="shared" si="49"/>
        <v>54.7</v>
      </c>
      <c r="Y157" s="5"/>
    </row>
    <row r="158" spans="1:25" x14ac:dyDescent="0.15">
      <c r="A158" s="1">
        <v>1976</v>
      </c>
      <c r="B158" s="5">
        <f>(K43*($E43/366))+(K44*($E44/366))</f>
        <v>25</v>
      </c>
      <c r="C158" s="5">
        <f>(L43*($E43/366))+(L44*($E44/366))</f>
        <v>0</v>
      </c>
      <c r="D158" s="5">
        <f>(M43*($E43/366))+(M44*($E44/366))</f>
        <v>74.999999999999986</v>
      </c>
      <c r="E158" s="18">
        <f t="shared" si="48"/>
        <v>99.999999999999986</v>
      </c>
      <c r="G158" s="1">
        <v>1976</v>
      </c>
      <c r="H158" s="380">
        <f>(O43/$R43*100*($E43/366))+(O44/$R44*100*($E44/366))</f>
        <v>15.188376406496104</v>
      </c>
      <c r="I158" s="380"/>
      <c r="J158" s="380">
        <f>(P43/$R43*100*($E43/366))+(P44/$R44*100*($E44/366))</f>
        <v>0</v>
      </c>
      <c r="K158" s="380"/>
      <c r="L158" s="380">
        <f>(Q43/$R43*100*($E43/366))+(Q44/$R44*100*($E44/366))</f>
        <v>84.811623593503882</v>
      </c>
      <c r="M158" s="380"/>
      <c r="N158" s="379">
        <f t="shared" si="50"/>
        <v>99.999999999999986</v>
      </c>
      <c r="O158" s="431"/>
      <c r="R158" s="1">
        <v>1976</v>
      </c>
      <c r="S158" s="5">
        <f>(O43*($E43/366))+(O44*($E44/366))</f>
        <v>8.2814207650273222</v>
      </c>
      <c r="T158" s="5">
        <f>(P43*($E43/366))+(P44*($E44/366))</f>
        <v>0</v>
      </c>
      <c r="U158" s="5">
        <f>(Q43*($E43/366))+(Q44*($E44/366))</f>
        <v>46.246721311475405</v>
      </c>
      <c r="V158" s="9"/>
      <c r="W158" s="10">
        <f t="shared" si="49"/>
        <v>54.528142076502725</v>
      </c>
      <c r="Y158" s="5"/>
    </row>
    <row r="159" spans="1:25" x14ac:dyDescent="0.15">
      <c r="A159" s="1">
        <v>1977</v>
      </c>
      <c r="B159" s="5">
        <f>(K45*($E45/365))+(K46*($E46/365))</f>
        <v>25</v>
      </c>
      <c r="C159" s="5">
        <f>(L45*($E45/365))+(L46*($E46/365))</f>
        <v>0</v>
      </c>
      <c r="D159" s="5">
        <f>(M45*($E45/365))+(M46*($E46/365))</f>
        <v>75</v>
      </c>
      <c r="E159" s="18">
        <f t="shared" si="48"/>
        <v>100</v>
      </c>
      <c r="G159" s="1">
        <v>1977</v>
      </c>
      <c r="H159" s="380">
        <f>(O45/$R45*100*($E45/365))+(O46/$R46*100*($E46/365))</f>
        <v>15.490196078431373</v>
      </c>
      <c r="I159" s="380"/>
      <c r="J159" s="380">
        <f>(P45/$R45*100*($E45/365))+(P46/$R46*100*($E46/365))</f>
        <v>0</v>
      </c>
      <c r="K159" s="380"/>
      <c r="L159" s="380">
        <f>(Q45/$R45*100*($E45/365))+(Q46/$R46*100*($E46/365))</f>
        <v>84.509803921568633</v>
      </c>
      <c r="M159" s="380"/>
      <c r="N159" s="379">
        <f t="shared" si="50"/>
        <v>100</v>
      </c>
      <c r="O159" s="431"/>
      <c r="R159" s="1">
        <v>1977</v>
      </c>
      <c r="S159" s="5">
        <f>(O45*($E45/365))+(O46*($E46/365))</f>
        <v>7.9</v>
      </c>
      <c r="T159" s="5">
        <f>(P45*($E45/365))+(P46*($E46/365))</f>
        <v>0</v>
      </c>
      <c r="U159" s="5">
        <f>(Q45*($E45/365))+(Q46*($E46/365))</f>
        <v>43.1</v>
      </c>
      <c r="V159" s="9"/>
      <c r="W159" s="10">
        <f t="shared" si="49"/>
        <v>51</v>
      </c>
      <c r="Y159" s="5"/>
    </row>
    <row r="160" spans="1:25" x14ac:dyDescent="0.15">
      <c r="A160" s="1">
        <v>1978</v>
      </c>
      <c r="B160" s="5">
        <f>(K47*($E47/365))+(K48*($E48/365))</f>
        <v>25</v>
      </c>
      <c r="C160" s="5">
        <f>(L47*($E47/365))+(L48*($E48/365))</f>
        <v>0</v>
      </c>
      <c r="D160" s="5">
        <f>(M47*($E47/365))+(M48*($E48/365))</f>
        <v>75</v>
      </c>
      <c r="E160" s="18">
        <f t="shared" si="48"/>
        <v>100</v>
      </c>
      <c r="G160" s="1">
        <v>1978</v>
      </c>
      <c r="H160" s="380">
        <f>(O47/$R47*100*($E47/365))+(O48/$R48*100*($E48/365))</f>
        <v>15.490196078431373</v>
      </c>
      <c r="I160" s="380"/>
      <c r="J160" s="380">
        <f>(P47/$R47*100*($E47/365))+(P48/$R48*100*($E48/365))</f>
        <v>0</v>
      </c>
      <c r="K160" s="380"/>
      <c r="L160" s="380">
        <f>(Q47/$R47*100*($E47/365))+(Q48/$R48*100*($E48/365))</f>
        <v>84.509803921568633</v>
      </c>
      <c r="M160" s="380"/>
      <c r="N160" s="379">
        <f t="shared" si="50"/>
        <v>100</v>
      </c>
      <c r="O160" s="431"/>
      <c r="R160" s="1">
        <v>1978</v>
      </c>
      <c r="S160" s="5">
        <f>(O47*($E47/365))+(O48*($E48/365))</f>
        <v>7.9</v>
      </c>
      <c r="T160" s="5">
        <f>(P47*($E47/365))+(P48*($E48/365))</f>
        <v>0</v>
      </c>
      <c r="U160" s="5">
        <f>(Q47*($E47/365))+(Q48*($E48/365))</f>
        <v>43.1</v>
      </c>
      <c r="V160" s="9"/>
      <c r="W160" s="10">
        <f t="shared" si="49"/>
        <v>51</v>
      </c>
      <c r="Y160" s="5"/>
    </row>
    <row r="161" spans="1:25" x14ac:dyDescent="0.15">
      <c r="A161" s="1">
        <v>1979</v>
      </c>
      <c r="B161" s="5">
        <f>(K49*($E49/365))+(K50*($E50/365))</f>
        <v>25</v>
      </c>
      <c r="C161" s="5">
        <f>(L49*($E49/365))+(L50*($E50/365))</f>
        <v>0</v>
      </c>
      <c r="D161" s="5">
        <f>(M49*($E49/365))+(M50*($E50/365))</f>
        <v>75</v>
      </c>
      <c r="E161" s="18">
        <f t="shared" si="48"/>
        <v>100</v>
      </c>
      <c r="G161" s="1">
        <v>1979</v>
      </c>
      <c r="H161" s="380">
        <f>(O49/$R49*100*($E49/365))+(O50/$R50*100*($E50/365))</f>
        <v>15.490196078431373</v>
      </c>
      <c r="I161" s="380"/>
      <c r="J161" s="380">
        <f>(P49/$R49*100*($E49/365))+(P50/$R50*100*($E50/365))</f>
        <v>0</v>
      </c>
      <c r="K161" s="380"/>
      <c r="L161" s="380">
        <f>(Q49/$R49*100*($E49/365))+(Q50/$R50*100*($E50/365))</f>
        <v>84.509803921568633</v>
      </c>
      <c r="M161" s="380"/>
      <c r="N161" s="379">
        <f t="shared" si="50"/>
        <v>100</v>
      </c>
      <c r="O161" s="431"/>
      <c r="R161" s="1">
        <v>1979</v>
      </c>
      <c r="S161" s="5">
        <f>(O49*($E49/365))+(O50*($E50/365))</f>
        <v>7.9</v>
      </c>
      <c r="T161" s="5">
        <f>(P49*($E49/365))+(P50*($E50/365))</f>
        <v>0</v>
      </c>
      <c r="U161" s="5">
        <f>(Q49*($E49/365))+(Q50*($E50/365))</f>
        <v>43.1</v>
      </c>
      <c r="V161" s="9"/>
      <c r="W161" s="10">
        <f t="shared" si="49"/>
        <v>51</v>
      </c>
      <c r="Y161" s="5"/>
    </row>
    <row r="162" spans="1:25" x14ac:dyDescent="0.15">
      <c r="A162" s="1">
        <v>1980</v>
      </c>
      <c r="B162" s="5">
        <f>(K51*($E51/366))+(K52*($E52/366))</f>
        <v>24.766955962712956</v>
      </c>
      <c r="C162" s="5">
        <f>(L51*($E51/366))+(L52*($E52/366))</f>
        <v>0</v>
      </c>
      <c r="D162" s="5">
        <f>(M51*($E51/366))+(M52*($E52/366))</f>
        <v>75.233044037287044</v>
      </c>
      <c r="E162" s="18">
        <f t="shared" si="48"/>
        <v>100</v>
      </c>
      <c r="G162" s="1">
        <v>1980</v>
      </c>
      <c r="H162" s="380">
        <f>(O51/$R51*100*($E51/366))+(O52/$R52*100*($E52/366))</f>
        <v>16.141012100510657</v>
      </c>
      <c r="I162" s="380"/>
      <c r="J162" s="380">
        <f>(P51/$R51*100*($E51/366))+(P52/$R52*100*($E52/366))</f>
        <v>0</v>
      </c>
      <c r="K162" s="380"/>
      <c r="L162" s="380">
        <f>(Q51/$R51*100*($E51/366))+(Q52/$R52*100*($E52/366))</f>
        <v>83.858987899489364</v>
      </c>
      <c r="M162" s="380"/>
      <c r="N162" s="379">
        <f t="shared" si="50"/>
        <v>100.00000000000003</v>
      </c>
      <c r="O162" s="431"/>
      <c r="R162" s="1">
        <v>1980</v>
      </c>
      <c r="S162" s="5">
        <f>(O51*($E51/366))+(O52*($E52/366))</f>
        <v>8.3437158469945363</v>
      </c>
      <c r="T162" s="5">
        <f>(P51*($E51/366))+(P52*($E52/366))</f>
        <v>0</v>
      </c>
      <c r="U162" s="5">
        <f>(Q51*($E51/366))+(Q52*($E52/366))</f>
        <v>43.226775956284158</v>
      </c>
      <c r="V162" s="9"/>
      <c r="W162" s="10">
        <f t="shared" si="49"/>
        <v>51.570491803278692</v>
      </c>
      <c r="Y162" s="5"/>
    </row>
    <row r="163" spans="1:25" x14ac:dyDescent="0.15">
      <c r="A163" s="1">
        <v>1981</v>
      </c>
      <c r="B163" s="5">
        <f>(K53*($E53/365))+(K54*($E54/365))</f>
        <v>23.52941176470588</v>
      </c>
      <c r="C163" s="5">
        <f>(L53*($E53/365))+(L54*($E54/365))</f>
        <v>0</v>
      </c>
      <c r="D163" s="5">
        <f>(M53*($E53/365))+(M54*($E54/365))</f>
        <v>76.470588235294116</v>
      </c>
      <c r="E163" s="18">
        <f t="shared" si="48"/>
        <v>100</v>
      </c>
      <c r="G163" s="1">
        <v>1981</v>
      </c>
      <c r="H163" s="380">
        <f>(O53/$R53*100*($E53/365))+(O54/$R54*100*($E54/365))</f>
        <v>19.597069597069599</v>
      </c>
      <c r="I163" s="380"/>
      <c r="J163" s="380">
        <f>(P53/$R53*100*($E53/365))+(P54/$R54*100*($E54/365))</f>
        <v>0</v>
      </c>
      <c r="K163" s="380"/>
      <c r="L163" s="380">
        <f>(Q53/$R53*100*($E53/365))+(Q54/$R54*100*($E54/365))</f>
        <v>80.402930402930409</v>
      </c>
      <c r="M163" s="380"/>
      <c r="N163" s="379">
        <f t="shared" si="50"/>
        <v>100</v>
      </c>
      <c r="O163" s="431"/>
      <c r="R163" s="1">
        <v>1981</v>
      </c>
      <c r="S163" s="5">
        <f>(O53*($E53/365))+(O54*($E54/365))</f>
        <v>10.7</v>
      </c>
      <c r="T163" s="5">
        <f>(P53*($E53/365))+(P54*($E54/365))</f>
        <v>0</v>
      </c>
      <c r="U163" s="5">
        <f>(Q53*($E53/365))+(Q54*($E54/365))</f>
        <v>43.9</v>
      </c>
      <c r="V163" s="9"/>
      <c r="W163" s="10">
        <f t="shared" si="49"/>
        <v>54.599999999999994</v>
      </c>
      <c r="Y163" s="5"/>
    </row>
    <row r="164" spans="1:25" x14ac:dyDescent="0.15">
      <c r="A164" s="1">
        <v>1982</v>
      </c>
      <c r="B164" s="5">
        <f>(K55*($E55/365))+(K56*($E56/365))+(K57*($E57/365))</f>
        <v>22.433521353746976</v>
      </c>
      <c r="C164" s="5">
        <f>(L55*($E55/365))+(L56*($E56/365))+(L57*($E57/365))</f>
        <v>18.646253021756646</v>
      </c>
      <c r="D164" s="5">
        <f>(M55*($E55/365))+(M56*($E56/365))+(M57*($E57/365))</f>
        <v>58.920225624496375</v>
      </c>
      <c r="E164" s="18">
        <f t="shared" si="48"/>
        <v>100</v>
      </c>
      <c r="G164" s="1">
        <v>1982</v>
      </c>
      <c r="H164" s="380">
        <f>(O55/$R55*100*($E55/365))+(O56/$R56*100*($E56/365))+(O57/$R57*100*($E57/365))</f>
        <v>18.548287702482604</v>
      </c>
      <c r="I164" s="380"/>
      <c r="J164" s="380">
        <f>(P55/$R55*100*($E55/365))+(P56/$R56*100*($E56/365))+(P57/$R57*100*($E57/365))</f>
        <v>19.741139765027054</v>
      </c>
      <c r="K164" s="380"/>
      <c r="L164" s="380">
        <f>(Q55/$R55*100*($E55/365))+(Q56/$R56*100*($E56/365))+(Q57/$R57*100*($E57/365))</f>
        <v>61.710572532490346</v>
      </c>
      <c r="M164" s="380"/>
      <c r="N164" s="379">
        <f t="shared" si="50"/>
        <v>100</v>
      </c>
      <c r="O164" s="431"/>
      <c r="R164" s="1">
        <v>1982</v>
      </c>
      <c r="S164" s="5">
        <f>(O55*($E55/365))+(O56*($E56/365))+(O57*($E57/365))</f>
        <v>10.201643835616437</v>
      </c>
      <c r="T164" s="5">
        <f>(P55*($E55/365))+(P56*($E56/365))+(P57*($E57/365))</f>
        <v>11.094520547945205</v>
      </c>
      <c r="U164" s="5">
        <f>(Q55*($E55/365))+(Q56*($E56/365))+(Q57*($E57/365))</f>
        <v>33.195616438356161</v>
      </c>
      <c r="V164" s="9"/>
      <c r="W164" s="10">
        <f t="shared" si="49"/>
        <v>54.4917808219178</v>
      </c>
      <c r="Y164" s="5"/>
    </row>
    <row r="165" spans="1:25" x14ac:dyDescent="0.15">
      <c r="A165" s="1">
        <v>1983</v>
      </c>
      <c r="B165" s="5">
        <f>(K58*($E58/365))+(K59*($E59/365))</f>
        <v>19.065269943593876</v>
      </c>
      <c r="C165" s="5">
        <f>(L58*($E58/365))+(L59*($E59/365))</f>
        <v>80.93473005640611</v>
      </c>
      <c r="D165" s="5">
        <f>(M58*($E58/365))+(M59*($E59/365))</f>
        <v>0</v>
      </c>
      <c r="E165" s="18">
        <f t="shared" si="48"/>
        <v>99.999999999999986</v>
      </c>
      <c r="G165" s="1">
        <v>1983</v>
      </c>
      <c r="H165" s="380">
        <f>(O58/$R58*100*($E58/365))+(O59/$R59*100*($E59/365))</f>
        <v>13.838553643838411</v>
      </c>
      <c r="I165" s="380"/>
      <c r="J165" s="380">
        <f>(P58/$R58*100*($E58/365))+(P59/$R59*100*($E59/365))</f>
        <v>86.161446356161605</v>
      </c>
      <c r="K165" s="380"/>
      <c r="L165" s="380">
        <f>(Q58/$R58*100*($E58/365))+(Q59/$R59*100*($E59/365))</f>
        <v>0</v>
      </c>
      <c r="M165" s="380"/>
      <c r="N165" s="379">
        <f t="shared" si="50"/>
        <v>100.00000000000001</v>
      </c>
      <c r="O165" s="431"/>
      <c r="R165" s="1">
        <v>1983</v>
      </c>
      <c r="S165" s="5">
        <f>(O58*($E58/365))+(O59*($E59/365))</f>
        <v>7.7402739726027399</v>
      </c>
      <c r="T165" s="5">
        <f>(P58*($E58/365))+(P59*($E59/365))</f>
        <v>48.156164383561638</v>
      </c>
      <c r="U165" s="5">
        <f>(Q58*($E58/365))+(Q59*($E59/365))</f>
        <v>0</v>
      </c>
      <c r="V165" s="9"/>
      <c r="W165" s="10">
        <f t="shared" si="49"/>
        <v>55.896438356164381</v>
      </c>
      <c r="Y165" s="5"/>
    </row>
    <row r="166" spans="1:25" x14ac:dyDescent="0.15">
      <c r="A166" s="1">
        <v>1984</v>
      </c>
      <c r="B166" s="5">
        <f>(K60*($E60/366))+(K61*($E61/366))</f>
        <v>17.647058823529413</v>
      </c>
      <c r="C166" s="5">
        <f>(L60*($E60/366))+(L61*($E61/366))</f>
        <v>82.35294117647058</v>
      </c>
      <c r="D166" s="5">
        <f>(M60*($E60/366))+(M61*($E61/366))</f>
        <v>0</v>
      </c>
      <c r="E166" s="18">
        <f t="shared" si="48"/>
        <v>100</v>
      </c>
      <c r="G166" s="1">
        <v>1984</v>
      </c>
      <c r="H166" s="380">
        <f>(O60/$R60*100*($E60/366))+(O61/$R61*100*($E61/366))</f>
        <v>12.186379928315413</v>
      </c>
      <c r="I166" s="380"/>
      <c r="J166" s="380">
        <f>(P60/$R60*100*($E60/366))+(P61/$R61*100*($E61/366))</f>
        <v>87.813620071684596</v>
      </c>
      <c r="K166" s="380"/>
      <c r="L166" s="380">
        <f>(Q60/$R60*100*($E60/366))+(Q61/$R61*100*($E61/366))</f>
        <v>0</v>
      </c>
      <c r="M166" s="380"/>
      <c r="N166" s="379">
        <f t="shared" si="50"/>
        <v>100.00000000000001</v>
      </c>
      <c r="O166" s="431"/>
      <c r="R166" s="1">
        <v>1984</v>
      </c>
      <c r="S166" s="5">
        <f>(O60*($E60/366))+(O61*($E61/366))</f>
        <v>6.8</v>
      </c>
      <c r="T166" s="5">
        <f>(P60*($E60/366))+(P61*($E61/366))</f>
        <v>49</v>
      </c>
      <c r="U166" s="5">
        <f>(Q60*($E60/366))+(Q61*($E61/366))</f>
        <v>0</v>
      </c>
      <c r="V166" s="9"/>
      <c r="W166" s="10">
        <f t="shared" si="49"/>
        <v>55.8</v>
      </c>
      <c r="Y166" s="5"/>
    </row>
    <row r="167" spans="1:25" x14ac:dyDescent="0.15">
      <c r="A167" s="1">
        <v>1985</v>
      </c>
      <c r="B167" s="5">
        <f>(K62*($E62/365))+(K63*($E63/365))</f>
        <v>17.647058823529413</v>
      </c>
      <c r="C167" s="5">
        <f>(L62*($E62/365))+(L63*($E63/365))</f>
        <v>82.35294117647058</v>
      </c>
      <c r="D167" s="5">
        <f>(M62*($E62/365))+(M63*($E63/365))</f>
        <v>0</v>
      </c>
      <c r="E167" s="18">
        <f t="shared" si="48"/>
        <v>100</v>
      </c>
      <c r="G167" s="1">
        <v>1985</v>
      </c>
      <c r="H167" s="380">
        <f>(O62/$R62*100*($E62/365))+(O63/$R63*100*($E63/365))</f>
        <v>12.186379928315413</v>
      </c>
      <c r="I167" s="380"/>
      <c r="J167" s="380">
        <f>(P62/$R62*100*($E62/365))+(P63/$R63*100*($E63/365))</f>
        <v>87.813620071684596</v>
      </c>
      <c r="K167" s="380"/>
      <c r="L167" s="380">
        <f>(Q62/$R62*100*($E62/365))+(Q63/$R63*100*($E63/365))</f>
        <v>0</v>
      </c>
      <c r="M167" s="380"/>
      <c r="N167" s="379">
        <f t="shared" si="50"/>
        <v>100.00000000000001</v>
      </c>
      <c r="O167" s="431"/>
      <c r="R167" s="1">
        <v>1985</v>
      </c>
      <c r="S167" s="5">
        <f>(O62*($E62/365))+(O63*($E63/365))</f>
        <v>6.8</v>
      </c>
      <c r="T167" s="5">
        <f>(P62*($E62/365))+(P63*($E63/365))</f>
        <v>49</v>
      </c>
      <c r="U167" s="5">
        <f>(Q62*($E62/365))+(Q63*($E63/365))</f>
        <v>0</v>
      </c>
      <c r="V167" s="9"/>
      <c r="W167" s="10">
        <f t="shared" si="49"/>
        <v>55.8</v>
      </c>
      <c r="Y167" s="5"/>
    </row>
    <row r="168" spans="1:25" x14ac:dyDescent="0.15">
      <c r="A168" s="1">
        <v>1986</v>
      </c>
      <c r="B168" s="5">
        <f>(K64*($E64/365))+(K65*($E65/365))</f>
        <v>17.647058823529413</v>
      </c>
      <c r="C168" s="5">
        <f>(L64*($E64/365))+(L65*($E65/365))</f>
        <v>82.35294117647058</v>
      </c>
      <c r="D168" s="5">
        <f>(M64*($E64/365))+(M65*($E65/365))</f>
        <v>0</v>
      </c>
      <c r="E168" s="18">
        <f t="shared" si="48"/>
        <v>100</v>
      </c>
      <c r="G168" s="1">
        <v>1986</v>
      </c>
      <c r="H168" s="380">
        <f>(O64/$R64*100*($E64/365))+(O65/$R65*100*($E65/365))</f>
        <v>12.186379928315413</v>
      </c>
      <c r="I168" s="380"/>
      <c r="J168" s="380">
        <f>(P64/$R64*100*($E64/365))+(P65/$R65*100*($E65/365))</f>
        <v>87.813620071684596</v>
      </c>
      <c r="K168" s="380"/>
      <c r="L168" s="380">
        <f>(Q64/$R64*100*($E64/365))+(Q65/$R65*100*($E65/365))</f>
        <v>0</v>
      </c>
      <c r="M168" s="380"/>
      <c r="N168" s="379">
        <f t="shared" si="50"/>
        <v>100.00000000000001</v>
      </c>
      <c r="O168" s="431"/>
      <c r="R168" s="1">
        <v>1986</v>
      </c>
      <c r="S168" s="5">
        <f>(O64*($E64/365))+(O65*($E65/365))</f>
        <v>6.8</v>
      </c>
      <c r="T168" s="5">
        <f>(P64*($E64/365))+(P65*($E65/365))</f>
        <v>49</v>
      </c>
      <c r="U168" s="5">
        <f>(Q64*($E64/365))+(Q65*($E65/365))</f>
        <v>0</v>
      </c>
      <c r="V168" s="9"/>
      <c r="W168" s="10">
        <f t="shared" si="49"/>
        <v>55.8</v>
      </c>
      <c r="Y168" s="5"/>
    </row>
    <row r="169" spans="1:25" x14ac:dyDescent="0.15">
      <c r="A169" s="1">
        <v>1987</v>
      </c>
      <c r="B169" s="5">
        <f>(K66*($E66/365))+(K67*($E67/365))</f>
        <v>20.408838373128631</v>
      </c>
      <c r="C169" s="5">
        <f>(L66*($E66/365))+(L67*($E67/365))</f>
        <v>79.591161626871369</v>
      </c>
      <c r="D169" s="5">
        <f>(M66*($E66/365))+(M67*($E67/365))</f>
        <v>0</v>
      </c>
      <c r="E169" s="18">
        <f t="shared" si="48"/>
        <v>100</v>
      </c>
      <c r="G169" s="1">
        <v>1987</v>
      </c>
      <c r="H169" s="380">
        <f>(O66/$R66*100*($E66/365))+(O67/$R67*100*($E67/365))</f>
        <v>16.218704122525097</v>
      </c>
      <c r="I169" s="380"/>
      <c r="J169" s="380">
        <f>(P66/$R66*100*($E66/365))+(P67/$R67*100*($E67/365))</f>
        <v>83.781295877474903</v>
      </c>
      <c r="K169" s="380"/>
      <c r="L169" s="380">
        <f>(Q66/$R66*100*($E66/365))+(Q67/$R67*100*($E67/365))</f>
        <v>0</v>
      </c>
      <c r="M169" s="380"/>
      <c r="N169" s="379">
        <f t="shared" si="50"/>
        <v>100</v>
      </c>
      <c r="O169" s="431"/>
      <c r="R169" s="1">
        <v>1987</v>
      </c>
      <c r="S169" s="5">
        <f>(O66*($E66/365))+(O67*($E67/365))</f>
        <v>8.8273972602739725</v>
      </c>
      <c r="T169" s="5">
        <f>(P66*($E66/365))+(P67*($E67/365))</f>
        <v>45.67506849315069</v>
      </c>
      <c r="U169" s="5">
        <f>(Q66*($E66/365))+(Q67*($E67/365))</f>
        <v>0</v>
      </c>
      <c r="V169" s="9"/>
      <c r="W169" s="10">
        <f t="shared" si="49"/>
        <v>54.502465753424659</v>
      </c>
      <c r="Y169" s="5"/>
    </row>
    <row r="170" spans="1:25" x14ac:dyDescent="0.15">
      <c r="A170" s="1">
        <v>1988</v>
      </c>
      <c r="B170" s="5">
        <f>(K68*($E68/366))+(K69*($E69/366))</f>
        <v>21.052631578947366</v>
      </c>
      <c r="C170" s="5">
        <f>(L68*($E68/366))+(L69*($E69/366))</f>
        <v>78.94736842105263</v>
      </c>
      <c r="D170" s="5">
        <f>(M68*($E68/366))+(M69*($E69/366))</f>
        <v>0</v>
      </c>
      <c r="E170" s="18">
        <f t="shared" si="48"/>
        <v>100</v>
      </c>
      <c r="G170" s="1">
        <v>1988</v>
      </c>
      <c r="H170" s="380">
        <f>(O68/$R68*100*($E68/366))+(O69/$R69*100*($E69/366))</f>
        <v>17.158671586715869</v>
      </c>
      <c r="I170" s="380"/>
      <c r="J170" s="380">
        <f>(P68/$R68*100*($E68/366))+(P69/$R69*100*($E69/366))</f>
        <v>82.841328413284117</v>
      </c>
      <c r="K170" s="380"/>
      <c r="L170" s="380">
        <f>(Q68/$R68*100*($E68/366))+(Q69/$R69*100*($E69/366))</f>
        <v>0</v>
      </c>
      <c r="M170" s="380"/>
      <c r="N170" s="379">
        <f t="shared" si="50"/>
        <v>99.999999999999986</v>
      </c>
      <c r="O170" s="431"/>
      <c r="R170" s="1">
        <v>1988</v>
      </c>
      <c r="S170" s="5">
        <f>(O68*($E68/366))+(O69*($E69/366))</f>
        <v>9.3000000000000007</v>
      </c>
      <c r="T170" s="5">
        <f>(P68*($E68/366))+(P69*($E69/366))</f>
        <v>44.9</v>
      </c>
      <c r="U170" s="5">
        <f>(Q68*($E68/366))+(Q69*($E69/366))</f>
        <v>0</v>
      </c>
      <c r="V170" s="9"/>
      <c r="W170" s="10">
        <f t="shared" si="49"/>
        <v>54.2</v>
      </c>
      <c r="Y170" s="5"/>
    </row>
    <row r="171" spans="1:25" s="3" customFormat="1" x14ac:dyDescent="0.15">
      <c r="A171" s="3">
        <v>1989</v>
      </c>
      <c r="B171" s="8">
        <f>(K70*($E70/365))+(K71*($E71/365))</f>
        <v>20.52198990627253</v>
      </c>
      <c r="C171" s="8">
        <f>(L70*($E70/365))+(L71*($E71/365))</f>
        <v>79.478010093727477</v>
      </c>
      <c r="D171" s="8">
        <f>(M70*($E70/365))+(M71*($E71/365))</f>
        <v>0</v>
      </c>
      <c r="E171" s="19">
        <f t="shared" si="48"/>
        <v>100</v>
      </c>
      <c r="G171" s="3">
        <v>1989</v>
      </c>
      <c r="H171" s="385">
        <f>(O70/$R70*100*($E70/365))+(O71/$R71*100*($E71/365))</f>
        <v>17.158671586715869</v>
      </c>
      <c r="I171" s="385"/>
      <c r="J171" s="385">
        <f>(P70/$R70*100*($E70/365))+(P71/$R71*100*($E71/365))</f>
        <v>82.841328413284117</v>
      </c>
      <c r="K171" s="385"/>
      <c r="L171" s="385">
        <f>(Q70/$R70*100*($E70/365))+(Q71/$R71*100*($E71/365))</f>
        <v>0</v>
      </c>
      <c r="M171" s="385"/>
      <c r="N171" s="386">
        <f t="shared" si="50"/>
        <v>99.999999999999986</v>
      </c>
      <c r="O171" s="432"/>
      <c r="R171" s="3">
        <v>1989</v>
      </c>
      <c r="S171" s="8">
        <f>(O70*($E70/365))+(O71*($E71/365))</f>
        <v>9.3000000000000007</v>
      </c>
      <c r="T171" s="8">
        <f>(P70*($E70/365))+(P71*($E71/365))</f>
        <v>44.900000000000006</v>
      </c>
      <c r="U171" s="8">
        <f>(Q70*($E70/365))+(Q71*($E71/365))</f>
        <v>0</v>
      </c>
      <c r="V171" s="21"/>
      <c r="W171" s="22">
        <f t="shared" si="49"/>
        <v>54.2</v>
      </c>
      <c r="Y171" s="8"/>
    </row>
    <row r="172" spans="1:25" x14ac:dyDescent="0.15">
      <c r="A172" s="1">
        <v>1990</v>
      </c>
      <c r="B172" s="5">
        <f>(K72*($E72/365))+(K73*($E73/365))</f>
        <v>20</v>
      </c>
      <c r="C172" s="5">
        <f>(L72*($E72/365))+(L73*($E73/365))</f>
        <v>80</v>
      </c>
      <c r="D172" s="5">
        <f>(M72*($E72/365))+(M73*($E73/365))</f>
        <v>0</v>
      </c>
      <c r="E172" s="18">
        <f t="shared" si="48"/>
        <v>100</v>
      </c>
      <c r="G172" s="1">
        <v>1990</v>
      </c>
      <c r="H172" s="380">
        <f>(O72/$R72*100*($E72/365))+(O73/$R73*100*($E73/365))</f>
        <v>17.158671586715869</v>
      </c>
      <c r="I172" s="380"/>
      <c r="J172" s="380">
        <f>(P72/$R72*100*($E72/365))+(P73/$R73*100*($E73/365))</f>
        <v>82.841328413284117</v>
      </c>
      <c r="K172" s="380"/>
      <c r="L172" s="380">
        <f>(Q72/$R72*100*($E72/365))+(Q73/$R73*100*($E73/365))</f>
        <v>0</v>
      </c>
      <c r="M172" s="380"/>
      <c r="N172" s="379">
        <f t="shared" si="50"/>
        <v>99.999999999999986</v>
      </c>
      <c r="O172" s="431"/>
      <c r="R172" s="1">
        <v>1990</v>
      </c>
      <c r="S172" s="5">
        <f>(O72*($E72/365))+(O73*($E73/365))</f>
        <v>9.3000000000000007</v>
      </c>
      <c r="T172" s="5">
        <f>(P72*($E72/365))+(P73*($E73/365))</f>
        <v>44.9</v>
      </c>
      <c r="U172" s="5">
        <f>(Q72*($E72/365))+(Q73*($E73/365))</f>
        <v>0</v>
      </c>
      <c r="V172" s="9"/>
      <c r="W172" s="10">
        <f t="shared" si="49"/>
        <v>54.2</v>
      </c>
      <c r="Y172" s="5"/>
    </row>
    <row r="173" spans="1:25" x14ac:dyDescent="0.15">
      <c r="A173" s="1">
        <v>1991</v>
      </c>
      <c r="B173" s="5">
        <f>(K74*($E74/365))+(K75*($E75/365))</f>
        <v>24.767123287671229</v>
      </c>
      <c r="C173" s="5">
        <f>(L74*($E74/365))+(L75*($E75/365))</f>
        <v>75.232876712328761</v>
      </c>
      <c r="D173" s="5">
        <f>(M74*($E74/365))+(M75*($E75/365))</f>
        <v>0</v>
      </c>
      <c r="E173" s="18">
        <f t="shared" si="48"/>
        <v>99.999999999999986</v>
      </c>
      <c r="G173" s="1">
        <v>1991</v>
      </c>
      <c r="H173" s="380">
        <f>(O74/$R74*100*($E74/365))+(O75/$R75*100*($E75/365))</f>
        <v>19.677296504006911</v>
      </c>
      <c r="I173" s="380"/>
      <c r="J173" s="380">
        <f>(P74/$R74*100*($E74/365))+(P75/$R75*100*($E75/365))</f>
        <v>80.322703495993096</v>
      </c>
      <c r="K173" s="380"/>
      <c r="L173" s="380">
        <f>(Q74/$R74*100*($E74/365))+(Q75/$R75*100*($E75/365))</f>
        <v>0</v>
      </c>
      <c r="M173" s="380"/>
      <c r="N173" s="379">
        <f t="shared" si="50"/>
        <v>100</v>
      </c>
      <c r="O173" s="431"/>
      <c r="R173" s="1">
        <v>1991</v>
      </c>
      <c r="S173" s="5">
        <f>(O74*($E74/365))+(O75*($E75/365))</f>
        <v>11.778904109589041</v>
      </c>
      <c r="T173" s="5">
        <f>(P74*($E74/365))+(P75*($E75/365))</f>
        <v>48.046301369863009</v>
      </c>
      <c r="U173" s="5">
        <f>(Q74*($E74/365))+(Q75*($E75/365))</f>
        <v>0</v>
      </c>
      <c r="V173" s="9"/>
      <c r="W173" s="10">
        <f t="shared" si="49"/>
        <v>59.825205479452052</v>
      </c>
      <c r="Y173" s="5"/>
    </row>
    <row r="174" spans="1:25" x14ac:dyDescent="0.15">
      <c r="A174" s="1">
        <v>1992</v>
      </c>
      <c r="B174" s="5">
        <f>(K76*($E76/366))+(K77*($E77/366))</f>
        <v>25</v>
      </c>
      <c r="C174" s="5">
        <f>(L76*($E76/366))+(L77*($E77/366))</f>
        <v>75</v>
      </c>
      <c r="D174" s="5">
        <f>(M76*($E76/366))+(M77*($E77/366))</f>
        <v>0</v>
      </c>
      <c r="E174" s="18">
        <f t="shared" si="48"/>
        <v>100</v>
      </c>
      <c r="G174" s="1">
        <v>1992</v>
      </c>
      <c r="H174" s="380">
        <f>(O76/$R76*100*($E76/366))+(O77/$R77*100*($E77/366))</f>
        <v>19.800332778702163</v>
      </c>
      <c r="I174" s="380"/>
      <c r="J174" s="380">
        <f>(P76/$R76*100*($E76/366))+(P77/$R77*100*($E77/366))</f>
        <v>80.199667221297844</v>
      </c>
      <c r="K174" s="380"/>
      <c r="L174" s="380">
        <f>(Q76/$R76*100*($E76/366))+(Q77/$R77*100*($E77/366))</f>
        <v>0</v>
      </c>
      <c r="M174" s="380"/>
      <c r="N174" s="379">
        <f t="shared" si="50"/>
        <v>100</v>
      </c>
      <c r="O174" s="431"/>
      <c r="R174" s="1">
        <v>1992</v>
      </c>
      <c r="S174" s="5">
        <f>(O76*($E76/366))+(O77*($E77/366))</f>
        <v>11.9</v>
      </c>
      <c r="T174" s="5">
        <f>(P76*($E76/366))+(P77*($E77/366))</f>
        <v>48.2</v>
      </c>
      <c r="U174" s="5">
        <f>(Q76*($E76/366))+(Q77*($E77/366))</f>
        <v>0</v>
      </c>
      <c r="V174" s="9"/>
      <c r="W174" s="10">
        <f t="shared" si="49"/>
        <v>60.1</v>
      </c>
      <c r="Y174" s="5"/>
    </row>
    <row r="175" spans="1:25" x14ac:dyDescent="0.15">
      <c r="A175" s="1">
        <v>1993</v>
      </c>
      <c r="B175" s="5">
        <f>(K78*($E78/365))+(K79*($E79/365))</f>
        <v>25</v>
      </c>
      <c r="C175" s="5">
        <f>(L78*($E78/365))+(L79*($E79/365))</f>
        <v>75</v>
      </c>
      <c r="D175" s="5">
        <f>(M78*($E78/365))+(M79*($E79/365))</f>
        <v>0</v>
      </c>
      <c r="E175" s="18">
        <f t="shared" si="48"/>
        <v>100</v>
      </c>
      <c r="G175" s="1">
        <v>1993</v>
      </c>
      <c r="H175" s="380">
        <f>(O78/$R78*100*($E78/365))+(O79/$R79*100*($E79/365))</f>
        <v>19.800332778702163</v>
      </c>
      <c r="I175" s="380"/>
      <c r="J175" s="380">
        <f>(P78/$R78*100*($E78/365))+(P79/$R79*100*($E79/365))</f>
        <v>80.199667221297844</v>
      </c>
      <c r="K175" s="380"/>
      <c r="L175" s="380">
        <f>(Q78/$R78*100*($E78/365))+(Q79/$R79*100*($E79/365))</f>
        <v>0</v>
      </c>
      <c r="M175" s="380"/>
      <c r="N175" s="379">
        <f t="shared" si="50"/>
        <v>100</v>
      </c>
      <c r="O175" s="431"/>
      <c r="R175" s="1">
        <v>1993</v>
      </c>
      <c r="S175" s="5">
        <f>(O78*($E78/365))+(O79*($E79/365))</f>
        <v>11.9</v>
      </c>
      <c r="T175" s="5">
        <f>(P78*($E78/365))+(P79*($E79/365))</f>
        <v>48.2</v>
      </c>
      <c r="U175" s="5">
        <f>(Q78*($E78/365))+(Q79*($E79/365))</f>
        <v>0</v>
      </c>
      <c r="V175" s="9"/>
      <c r="W175" s="10">
        <f t="shared" si="49"/>
        <v>60.1</v>
      </c>
      <c r="Y175" s="5"/>
    </row>
    <row r="176" spans="1:25" x14ac:dyDescent="0.15">
      <c r="A176" s="1">
        <v>1994</v>
      </c>
      <c r="B176" s="5">
        <f>(K80*($E80/365))+(K81*($E81/365))</f>
        <v>23.972602739726025</v>
      </c>
      <c r="C176" s="5">
        <f>(L80*($E80/365))+(L81*($E81/365))</f>
        <v>76.027397260273972</v>
      </c>
      <c r="D176" s="5">
        <f>(M80*($E80/365))+(M81*($E81/365))</f>
        <v>0</v>
      </c>
      <c r="E176" s="18">
        <f t="shared" si="48"/>
        <v>100</v>
      </c>
      <c r="G176" s="1">
        <v>1994</v>
      </c>
      <c r="H176" s="380">
        <f>(O80/$R80*100*($E80/365))+(O81/$R81*100*($E81/365))</f>
        <v>19.061392505020876</v>
      </c>
      <c r="I176" s="380"/>
      <c r="J176" s="380">
        <f>(P80/$R80*100*($E80/365))+(P81/$R81*100*($E81/365))</f>
        <v>80.938607494979124</v>
      </c>
      <c r="K176" s="380"/>
      <c r="L176" s="380">
        <f>(Q80/$R80*100*($E80/365))+(Q81/$R81*100*($E81/365))</f>
        <v>0</v>
      </c>
      <c r="M176" s="380"/>
      <c r="N176" s="379">
        <f t="shared" si="50"/>
        <v>100</v>
      </c>
      <c r="O176" s="431"/>
      <c r="R176" s="1">
        <v>1994</v>
      </c>
      <c r="S176" s="5">
        <f>(O80*($E80/365))+(O81*($E81/365))</f>
        <v>11.295890410958904</v>
      </c>
      <c r="T176" s="5">
        <f>(P80*($E80/365))+(P81*($E81/365))</f>
        <v>47.645205479452052</v>
      </c>
      <c r="U176" s="5">
        <f>(Q80*($E80/365))+(Q81*($E81/365))</f>
        <v>0</v>
      </c>
      <c r="V176" s="9"/>
      <c r="W176" s="10">
        <f t="shared" si="49"/>
        <v>58.941095890410956</v>
      </c>
      <c r="Y176" s="5"/>
    </row>
    <row r="177" spans="1:25" x14ac:dyDescent="0.15">
      <c r="A177" s="1">
        <v>1995</v>
      </c>
      <c r="B177" s="5">
        <f>(K82*($E82/365))+(K83*($E83/365))</f>
        <v>16.666666666666664</v>
      </c>
      <c r="C177" s="5">
        <f>(L82*($E82/365))+(L83*($E83/365))</f>
        <v>83.333333333333343</v>
      </c>
      <c r="D177" s="5">
        <f>(M82*($E82/365))+(M83*($E83/365))</f>
        <v>0</v>
      </c>
      <c r="E177" s="18">
        <f t="shared" si="48"/>
        <v>100</v>
      </c>
      <c r="G177" s="1">
        <v>1995</v>
      </c>
      <c r="H177" s="380">
        <f>(O82/$R82*100*($E82/365))+(O83/$R83*100*($E83/365))</f>
        <v>13.80670611439842</v>
      </c>
      <c r="I177" s="380"/>
      <c r="J177" s="380">
        <f>(P82/$R82*100*($E82/365))+(P83/$R83*100*($E83/365))</f>
        <v>86.193293885601577</v>
      </c>
      <c r="K177" s="380"/>
      <c r="L177" s="380">
        <f>(Q82/$R82*100*($E82/365))+(Q83/$R83*100*($E83/365))</f>
        <v>0</v>
      </c>
      <c r="M177" s="380"/>
      <c r="N177" s="379">
        <f t="shared" si="50"/>
        <v>100</v>
      </c>
      <c r="O177" s="431"/>
      <c r="R177" s="1">
        <v>1995</v>
      </c>
      <c r="S177" s="5">
        <f>(O82*($E82/365))+(O83*($E83/365))</f>
        <v>7</v>
      </c>
      <c r="T177" s="5">
        <f>(P82*($E82/365))+(P83*($E83/365))</f>
        <v>43.7</v>
      </c>
      <c r="U177" s="5">
        <f>(Q82*($E82/365))+(Q83*($E83/365))</f>
        <v>0</v>
      </c>
      <c r="V177" s="9"/>
      <c r="W177" s="10">
        <f t="shared" si="49"/>
        <v>50.7</v>
      </c>
      <c r="Y177" s="5"/>
    </row>
    <row r="178" spans="1:25" x14ac:dyDescent="0.15">
      <c r="A178" s="1">
        <v>1996</v>
      </c>
      <c r="B178" s="5">
        <f>(K84*($E84/366))+(K85*($E85/366))</f>
        <v>16.666666666666664</v>
      </c>
      <c r="C178" s="5">
        <f>(L84*($E84/366))+(L85*($E85/366))</f>
        <v>83.333333333333343</v>
      </c>
      <c r="D178" s="5">
        <f>(M84*($E84/366))+(M85*($E85/366))</f>
        <v>0</v>
      </c>
      <c r="E178" s="18">
        <f t="shared" si="48"/>
        <v>100</v>
      </c>
      <c r="G178" s="1">
        <v>1996</v>
      </c>
      <c r="H178" s="380">
        <f>(O84/$R84*100*($E84/366))+(O85/$R85*100*($E85/366))</f>
        <v>13.80670611439842</v>
      </c>
      <c r="I178" s="380"/>
      <c r="J178" s="380">
        <f>(P84/$R84*100*($E84/366))+(P85/$R85*100*($E85/366))</f>
        <v>86.193293885601577</v>
      </c>
      <c r="K178" s="380"/>
      <c r="L178" s="380">
        <f>(Q84/$R84*100*($E84/366))+(Q85/$R85*100*($E85/366))</f>
        <v>0</v>
      </c>
      <c r="M178" s="380"/>
      <c r="N178" s="379">
        <f t="shared" si="50"/>
        <v>100</v>
      </c>
      <c r="O178" s="431"/>
      <c r="R178" s="1">
        <v>1996</v>
      </c>
      <c r="S178" s="5">
        <f>(O84*($E84/366))+(O85*($E85/366))</f>
        <v>7</v>
      </c>
      <c r="T178" s="5">
        <f>(P84*($E84/366))+(P85*($E85/366))</f>
        <v>43.7</v>
      </c>
      <c r="U178" s="5">
        <f>(Q84*($E84/366))+(Q85*($E85/366))</f>
        <v>0</v>
      </c>
      <c r="V178" s="9"/>
      <c r="W178" s="10">
        <f t="shared" si="49"/>
        <v>50.7</v>
      </c>
      <c r="Y178" s="5"/>
    </row>
    <row r="179" spans="1:25" x14ac:dyDescent="0.15">
      <c r="A179" s="1">
        <v>1997</v>
      </c>
      <c r="B179" s="5">
        <f>(K86*($E86/365))+(K87*($E87/365))</f>
        <v>16.669352672575876</v>
      </c>
      <c r="C179" s="5">
        <f>(L86*($E86/365))+(L87*($E87/365))</f>
        <v>83.330647327424131</v>
      </c>
      <c r="D179" s="5">
        <f>(M86*($E86/365))+(M87*($E87/365))</f>
        <v>0</v>
      </c>
      <c r="E179" s="18">
        <f t="shared" si="48"/>
        <v>100</v>
      </c>
      <c r="G179" s="1">
        <v>1997</v>
      </c>
      <c r="H179" s="380">
        <f>(O86/$R86*100*($E86/365))+(O87/$R87*100*($E87/365))</f>
        <v>13.80670611439842</v>
      </c>
      <c r="I179" s="380"/>
      <c r="J179" s="380">
        <f>(P86/$R86*100*($E86/365))+(P87/$R87*100*($E87/365))</f>
        <v>86.193293885601577</v>
      </c>
      <c r="K179" s="380"/>
      <c r="L179" s="380">
        <f>(Q86/$R86*100*($E86/365))+(Q87/$R87*100*($E87/365))</f>
        <v>0</v>
      </c>
      <c r="M179" s="380"/>
      <c r="N179" s="379">
        <f t="shared" si="50"/>
        <v>100</v>
      </c>
      <c r="O179" s="431"/>
      <c r="R179" s="1">
        <v>1997</v>
      </c>
      <c r="S179" s="5">
        <f>(O86*($E86/365))+(O87*($E87/365))</f>
        <v>7</v>
      </c>
      <c r="T179" s="5">
        <f>(P86*($E86/365))+(P87*($E87/365))</f>
        <v>43.7</v>
      </c>
      <c r="U179" s="5">
        <f>(Q86*($E86/365))+(Q87*($E87/365))</f>
        <v>0</v>
      </c>
      <c r="V179" s="9"/>
      <c r="W179" s="10">
        <f t="shared" si="49"/>
        <v>50.7</v>
      </c>
      <c r="Y179" s="5"/>
    </row>
    <row r="180" spans="1:25" x14ac:dyDescent="0.15">
      <c r="A180" s="1">
        <v>1998</v>
      </c>
      <c r="B180" s="5">
        <f>(K88*($E88/365))+(K89*($E89/365))</f>
        <v>14.456083803384368</v>
      </c>
      <c r="C180" s="5">
        <f>(L88*($E88/365))+(L89*($E89/365))</f>
        <v>67.461724415793711</v>
      </c>
      <c r="D180" s="5">
        <f>(M88*($E88/365))+(M89*($E89/365))</f>
        <v>18.082191780821919</v>
      </c>
      <c r="E180" s="18">
        <f t="shared" si="48"/>
        <v>100</v>
      </c>
      <c r="G180" s="1">
        <v>1998</v>
      </c>
      <c r="H180" s="380">
        <f>(O88/$R88*100*($E88/365))+(O89/$R89*100*($E89/365))</f>
        <v>11.31015103617843</v>
      </c>
      <c r="I180" s="380"/>
      <c r="J180" s="380">
        <f>(P88/$R88*100*($E88/365))+(P89/$R89*100*($E89/365))</f>
        <v>70.607657182999645</v>
      </c>
      <c r="K180" s="380"/>
      <c r="L180" s="380">
        <f>(Q88/$R88*100*($E88/365))+(Q89/$R89*100*($E89/365))</f>
        <v>18.082191780821919</v>
      </c>
      <c r="M180" s="380"/>
      <c r="N180" s="379">
        <f t="shared" si="50"/>
        <v>99.999999999999986</v>
      </c>
      <c r="O180" s="431"/>
      <c r="R180" s="1">
        <v>1998</v>
      </c>
      <c r="S180" s="5">
        <f>(O88*($E88/365))+(O89*($E89/365))</f>
        <v>5.7342465753424658</v>
      </c>
      <c r="T180" s="5">
        <f>(P88*($E88/365))+(P89*($E89/365))</f>
        <v>35.798082191780821</v>
      </c>
      <c r="U180" s="5">
        <f>(Q88*($E88/365))+(Q89*($E89/365))</f>
        <v>9.3123287671232884</v>
      </c>
      <c r="V180" s="9"/>
      <c r="W180" s="10">
        <f t="shared" si="49"/>
        <v>50.844657534246579</v>
      </c>
      <c r="Y180" s="5"/>
    </row>
    <row r="181" spans="1:25" x14ac:dyDescent="0.15">
      <c r="A181" s="1">
        <v>1999</v>
      </c>
      <c r="B181" s="5">
        <f>(K90*($E90/365))+(K91*($E91/365))</f>
        <v>0</v>
      </c>
      <c r="C181" s="5">
        <f>(L90*($E90/365))+(L91*($E91/365))</f>
        <v>0</v>
      </c>
      <c r="D181" s="5">
        <f>(M90*($E90/365))+(M91*($E91/365))</f>
        <v>100</v>
      </c>
      <c r="E181" s="18">
        <f t="shared" si="48"/>
        <v>100</v>
      </c>
      <c r="G181" s="1">
        <v>1999</v>
      </c>
      <c r="H181" s="380">
        <f>(O90/$R90*100*($E90/365))+(O91/$R91*100*($E91/365))</f>
        <v>0</v>
      </c>
      <c r="I181" s="380"/>
      <c r="J181" s="380">
        <f>(P90/$R90*100*($E90/365))+(P91/$R91*100*($E91/365))</f>
        <v>0</v>
      </c>
      <c r="K181" s="380"/>
      <c r="L181" s="380">
        <f>(Q90/$R90*100*($E90/365))+(Q91/$R91*100*($E91/365))</f>
        <v>100</v>
      </c>
      <c r="M181" s="380"/>
      <c r="N181" s="379">
        <f t="shared" si="50"/>
        <v>100</v>
      </c>
      <c r="O181" s="431"/>
      <c r="R181" s="1">
        <v>1999</v>
      </c>
      <c r="S181" s="5">
        <f>(O90*($E90/365))+(O91*($E91/365))</f>
        <v>0</v>
      </c>
      <c r="T181" s="5">
        <f>(P90*($E90/365))+(P91*($E91/365))</f>
        <v>0</v>
      </c>
      <c r="U181" s="5">
        <f>(Q90*($E90/365))+(Q91*($E91/365))</f>
        <v>51.5</v>
      </c>
      <c r="V181" s="9"/>
      <c r="W181" s="10">
        <f t="shared" si="49"/>
        <v>51.5</v>
      </c>
      <c r="Y181" s="5"/>
    </row>
    <row r="182" spans="1:25" x14ac:dyDescent="0.15">
      <c r="A182" s="1">
        <v>2000</v>
      </c>
      <c r="B182" s="5">
        <f>(K92*($E92/366))+(K93*($E93/366))</f>
        <v>0</v>
      </c>
      <c r="C182" s="5">
        <f>(L92*($E92/366))+(L93*($E93/366))</f>
        <v>0</v>
      </c>
      <c r="D182" s="5">
        <f>(M92*($E92/366))+(M93*($E93/366))</f>
        <v>100</v>
      </c>
      <c r="E182" s="18">
        <f t="shared" si="48"/>
        <v>100</v>
      </c>
      <c r="G182" s="1">
        <v>2000</v>
      </c>
      <c r="H182" s="380">
        <f>(O92/$R92*100*($E92/366))+(O93/$R93*100*($E93/366))</f>
        <v>0</v>
      </c>
      <c r="I182" s="380"/>
      <c r="J182" s="380">
        <f>(P92/$R92*100*($E92/366))+(P93/$R93*100*($E93/366))</f>
        <v>0</v>
      </c>
      <c r="K182" s="380"/>
      <c r="L182" s="380">
        <f>(Q92/$R92*100*($E92/366))+(Q93/$R93*100*($E93/366))</f>
        <v>100</v>
      </c>
      <c r="M182" s="380"/>
      <c r="N182" s="379">
        <f t="shared" si="50"/>
        <v>100</v>
      </c>
      <c r="O182" s="431"/>
      <c r="R182" s="1">
        <v>2000</v>
      </c>
      <c r="S182" s="5">
        <f>(O92*($E92/366))+(O93*($E93/366))</f>
        <v>0</v>
      </c>
      <c r="T182" s="5">
        <f>(P92*($E92/366))+(P93*($E93/366))</f>
        <v>0</v>
      </c>
      <c r="U182" s="5">
        <f>(Q92*($E92/366))+(Q93*($E93/366))</f>
        <v>51.5</v>
      </c>
      <c r="V182" s="9"/>
      <c r="W182" s="10">
        <f t="shared" si="49"/>
        <v>51.5</v>
      </c>
      <c r="Y182" s="5"/>
    </row>
    <row r="183" spans="1:25" x14ac:dyDescent="0.15">
      <c r="A183" s="1">
        <v>2001</v>
      </c>
      <c r="B183" s="5">
        <f>(K94*($E94/365))+(K95*($E95/365))</f>
        <v>0</v>
      </c>
      <c r="C183" s="5">
        <f>(L94*($E94/365))+(L95*($E95/365))</f>
        <v>0</v>
      </c>
      <c r="D183" s="5">
        <f>(M94*($E94/365))+(M95*($E95/365))</f>
        <v>100</v>
      </c>
      <c r="E183" s="18">
        <f t="shared" si="48"/>
        <v>100</v>
      </c>
      <c r="G183" s="1">
        <v>2001</v>
      </c>
      <c r="H183" s="380">
        <f>(O94/$R94*100*($E94/365))+(O95/$R95*100*($E95/365))</f>
        <v>0</v>
      </c>
      <c r="I183" s="380"/>
      <c r="J183" s="380">
        <f>(P94/$R94*100*($E94/365))+(P95/$R95*100*($E95/365))</f>
        <v>0</v>
      </c>
      <c r="K183" s="380"/>
      <c r="L183" s="380">
        <f>(Q94/$R94*100*($E94/365))+(Q95/$R95*100*($E95/365))</f>
        <v>100</v>
      </c>
      <c r="M183" s="380"/>
      <c r="N183" s="379">
        <f t="shared" si="50"/>
        <v>100</v>
      </c>
      <c r="O183" s="431"/>
      <c r="R183" s="1">
        <v>2001</v>
      </c>
      <c r="S183" s="5">
        <f>(O94*($E94/365))+(O95*($E95/365))</f>
        <v>0</v>
      </c>
      <c r="T183" s="5">
        <f>(P94*($E94/365))+(P95*($E95/365))</f>
        <v>0</v>
      </c>
      <c r="U183" s="5">
        <f>(Q94*($E94/365))+(Q95*($E95/365))</f>
        <v>51.5</v>
      </c>
      <c r="V183" s="9"/>
      <c r="W183" s="10">
        <f t="shared" si="49"/>
        <v>51.5</v>
      </c>
      <c r="Y183" s="5"/>
    </row>
    <row r="184" spans="1:25" x14ac:dyDescent="0.15">
      <c r="A184" s="1">
        <v>2002</v>
      </c>
      <c r="B184" s="5">
        <f>(K96*($E96/365))+(K97*($E97/365))</f>
        <v>0</v>
      </c>
      <c r="C184" s="5">
        <f>(L96*($E96/365))+(L97*($E97/365))</f>
        <v>0</v>
      </c>
      <c r="D184" s="5">
        <f>(M96*($E96/365))+(M97*($E97/365))</f>
        <v>100</v>
      </c>
      <c r="E184" s="18">
        <f t="shared" si="48"/>
        <v>100</v>
      </c>
      <c r="G184" s="1">
        <v>2002</v>
      </c>
      <c r="H184" s="380">
        <f>(O96/$R96*100*($E96/365))+(O97/$R97*100*($E97/365))</f>
        <v>0</v>
      </c>
      <c r="I184" s="380"/>
      <c r="J184" s="380">
        <f>(P96/$R96*100*($E96/365))+(P97/$R97*100*($E97/365))</f>
        <v>0</v>
      </c>
      <c r="K184" s="380"/>
      <c r="L184" s="380">
        <f>(Q96/$R96*100*($E96/365))+(Q97/$R97*100*($E97/365))</f>
        <v>100</v>
      </c>
      <c r="M184" s="380"/>
      <c r="N184" s="379">
        <f t="shared" si="50"/>
        <v>100</v>
      </c>
      <c r="O184" s="431"/>
      <c r="R184" s="1">
        <v>2002</v>
      </c>
      <c r="S184" s="5">
        <f>(O96*($E96/365))+(O97*($E97/365))</f>
        <v>0</v>
      </c>
      <c r="T184" s="5">
        <f>(P96*($E96/365))+(P97*($E97/365))</f>
        <v>0</v>
      </c>
      <c r="U184" s="5">
        <f>(Q96*($E96/365))+(Q97*($E97/365))</f>
        <v>51.344383561643838</v>
      </c>
      <c r="V184" s="9"/>
      <c r="W184" s="10">
        <f t="shared" si="49"/>
        <v>51.344383561643838</v>
      </c>
      <c r="Y184" s="5"/>
    </row>
    <row r="185" spans="1:25" x14ac:dyDescent="0.15">
      <c r="A185" s="1">
        <v>2003</v>
      </c>
      <c r="B185" s="5">
        <f>(K98*($E98/365))+(K99*($E99/365))</f>
        <v>0</v>
      </c>
      <c r="C185" s="5">
        <f>(L98*($E98/365))+(L99*($E99/365))</f>
        <v>0</v>
      </c>
      <c r="D185" s="5">
        <f>(M98*($E98/365))+(M99*($E99/365))</f>
        <v>100</v>
      </c>
      <c r="E185" s="18">
        <f t="shared" si="48"/>
        <v>100</v>
      </c>
      <c r="G185" s="1">
        <v>2003</v>
      </c>
      <c r="H185" s="380">
        <f>(O98/$R98*100*($E98/365))+(O99/$R99*100*($E99/365))</f>
        <v>0</v>
      </c>
      <c r="I185" s="380"/>
      <c r="J185" s="380">
        <f>(P98/$R98*100*($E98/365))+(P99/$R99*100*($E99/365))</f>
        <v>0</v>
      </c>
      <c r="K185" s="380"/>
      <c r="L185" s="380">
        <f>(Q98/$R98*100*($E98/365))+(Q99/$R99*100*($E99/365))</f>
        <v>100</v>
      </c>
      <c r="M185" s="380"/>
      <c r="N185" s="379">
        <f t="shared" si="50"/>
        <v>100</v>
      </c>
      <c r="O185" s="431"/>
      <c r="R185" s="1">
        <v>2003</v>
      </c>
      <c r="S185" s="5">
        <f>(O98*($E98/365))+(O99*($E99/365))</f>
        <v>0</v>
      </c>
      <c r="T185" s="5">
        <f>(P98*($E98/365))+(P99*($E99/365))</f>
        <v>0</v>
      </c>
      <c r="U185" s="5">
        <f>(Q98*($E98/365))+(Q99*($E99/365))</f>
        <v>50.7</v>
      </c>
      <c r="V185" s="9"/>
      <c r="W185" s="10">
        <f t="shared" si="49"/>
        <v>50.7</v>
      </c>
      <c r="Y185" s="5"/>
    </row>
    <row r="186" spans="1:25" x14ac:dyDescent="0.15">
      <c r="A186" s="1">
        <v>2004</v>
      </c>
      <c r="B186" s="5">
        <f>(K100*($E100/366))+(K101*($E101/366))</f>
        <v>0</v>
      </c>
      <c r="C186" s="5">
        <f>(L100*($E100/366))+(L101*($E101/366))</f>
        <v>0</v>
      </c>
      <c r="D186" s="5">
        <f>(M100*($E100/366))+(M101*($E101/366))</f>
        <v>100</v>
      </c>
      <c r="E186" s="18">
        <f t="shared" si="48"/>
        <v>100</v>
      </c>
      <c r="G186" s="1">
        <v>2004</v>
      </c>
      <c r="H186" s="380">
        <f>(O100/$R100*100*($E100/366))+(O101/$R101*100*($E101/366))</f>
        <v>0</v>
      </c>
      <c r="I186" s="380"/>
      <c r="J186" s="380">
        <f>(P100/$R100*100*($E100/366))+(P101/$R101*100*($E101/366))</f>
        <v>0</v>
      </c>
      <c r="K186" s="380"/>
      <c r="L186" s="380">
        <f>(Q100/$R100*100*($E100/366))+(Q101/$R101*100*($E101/366))</f>
        <v>100</v>
      </c>
      <c r="M186" s="380"/>
      <c r="N186" s="379">
        <f t="shared" si="50"/>
        <v>100</v>
      </c>
      <c r="O186" s="431"/>
      <c r="R186" s="1">
        <v>2004</v>
      </c>
      <c r="S186" s="5">
        <f>(O100*($E100/366))+(O101*($E101/366))</f>
        <v>0</v>
      </c>
      <c r="T186" s="5">
        <f>(P100*($E100/366))+(P101*($E101/366))</f>
        <v>0</v>
      </c>
      <c r="U186" s="5">
        <f>(Q100*($E100/366))+(Q101*($E101/366))</f>
        <v>50.7</v>
      </c>
      <c r="V186" s="9"/>
      <c r="W186" s="10">
        <f t="shared" si="49"/>
        <v>50.7</v>
      </c>
      <c r="Y186" s="5"/>
    </row>
    <row r="187" spans="1:25" x14ac:dyDescent="0.15">
      <c r="A187" s="1">
        <v>2005</v>
      </c>
      <c r="B187" s="5">
        <f>(K102*($E102/365))+(K103*($E103/365))</f>
        <v>0</v>
      </c>
      <c r="C187" s="5">
        <f>(L102*($E102/365))+(L103*($E103/365))</f>
        <v>5.4794520547945202</v>
      </c>
      <c r="D187" s="5">
        <f>(M102*($E102/365))+(M103*($E103/365))</f>
        <v>94.520547945205479</v>
      </c>
      <c r="E187" s="18">
        <f t="shared" si="48"/>
        <v>100</v>
      </c>
      <c r="G187" s="1">
        <v>2005</v>
      </c>
      <c r="H187" s="380">
        <f>(O102/$R102*100*($E102/365))+(O103/$R103*100*($E103/365))</f>
        <v>0</v>
      </c>
      <c r="I187" s="380"/>
      <c r="J187" s="380">
        <f>(P102/$R102*100*($E102/365))+(P103/$R103*100*($E103/365))</f>
        <v>5.5244886470257075</v>
      </c>
      <c r="K187" s="380"/>
      <c r="L187" s="380">
        <f>(Q102/$R102*100*($E102/365))+(Q103/$R103*100*($E103/365))</f>
        <v>94.475511352974294</v>
      </c>
      <c r="M187" s="380"/>
      <c r="N187" s="379">
        <f t="shared" si="50"/>
        <v>100</v>
      </c>
      <c r="O187" s="431"/>
      <c r="R187" s="1">
        <v>2005</v>
      </c>
      <c r="S187" s="5">
        <f>(O102*($E102/365))+(O103*($E103/365))</f>
        <v>0</v>
      </c>
      <c r="T187" s="5">
        <f>(P102*($E102/365))+(P103*($E103/365))</f>
        <v>4.0328767123287665</v>
      </c>
      <c r="U187" s="5">
        <f>(Q102*($E102/365))+(Q103*($E103/365))</f>
        <v>49.110958904109594</v>
      </c>
      <c r="V187" s="9"/>
      <c r="W187" s="10">
        <f t="shared" si="49"/>
        <v>53.143835616438359</v>
      </c>
      <c r="Y187" s="5"/>
    </row>
    <row r="188" spans="1:25" x14ac:dyDescent="0.15">
      <c r="A188" s="1">
        <v>2006</v>
      </c>
      <c r="B188" s="5">
        <f>(K104*($E104/365))+(K105*($E105/365))</f>
        <v>0</v>
      </c>
      <c r="C188" s="5">
        <f>(L104*($E104/365))+(L105*($E105/365))</f>
        <v>50</v>
      </c>
      <c r="D188" s="5">
        <f>(M104*($E104/365))+(M105*($E105/365))</f>
        <v>50</v>
      </c>
      <c r="E188" s="18">
        <f t="shared" si="48"/>
        <v>100</v>
      </c>
      <c r="G188" s="1">
        <v>2006</v>
      </c>
      <c r="H188" s="380">
        <f>(O104/$R104*100*($E104/365))+(O105/$R105*100*($E105/365))</f>
        <v>0</v>
      </c>
      <c r="I188" s="380"/>
      <c r="J188" s="380">
        <f>(P104/$R104*100*($E104/365))+(P105/$R105*100*($E105/365))</f>
        <v>50.410958904109584</v>
      </c>
      <c r="K188" s="380"/>
      <c r="L188" s="380">
        <f>(Q104/$R104*100*($E104/365))+(Q105/$R105*100*($E105/365))</f>
        <v>49.589041095890416</v>
      </c>
      <c r="M188" s="380"/>
      <c r="N188" s="379">
        <f t="shared" si="50"/>
        <v>100</v>
      </c>
      <c r="O188" s="431"/>
      <c r="R188" s="1">
        <v>2006</v>
      </c>
      <c r="S188" s="5">
        <f>(O104*($E104/365))+(O105*($E105/365))</f>
        <v>0</v>
      </c>
      <c r="T188" s="5">
        <f>(P104*($E104/365))+(P105*($E105/365))</f>
        <v>36.799999999999997</v>
      </c>
      <c r="U188" s="5">
        <f>(Q104*($E104/365))+(Q105*($E105/365))</f>
        <v>36.200000000000003</v>
      </c>
      <c r="V188" s="9"/>
      <c r="W188" s="10">
        <f t="shared" si="49"/>
        <v>73</v>
      </c>
      <c r="Y188" s="5"/>
    </row>
    <row r="189" spans="1:25" x14ac:dyDescent="0.15">
      <c r="A189" s="1">
        <v>2007</v>
      </c>
      <c r="B189" s="5">
        <f>(K106*($E106/365))+(K107*($E107/365))</f>
        <v>0</v>
      </c>
      <c r="C189" s="5">
        <f>(L106*($E106/365))+(L107*($E107/365))</f>
        <v>50</v>
      </c>
      <c r="D189" s="5">
        <f>(M106*($E106/365))+(M107*($E107/365))</f>
        <v>50</v>
      </c>
      <c r="E189" s="18">
        <f t="shared" si="48"/>
        <v>100</v>
      </c>
      <c r="G189" s="1">
        <v>2007</v>
      </c>
      <c r="H189" s="380">
        <f>(O106/$R106*100*($E106/365))+(O107/$R107*100*($E107/365))</f>
        <v>0</v>
      </c>
      <c r="I189" s="380"/>
      <c r="J189" s="380">
        <f>(P106/$R106*100*($E106/365))+(P107/$R107*100*($E107/365))</f>
        <v>50.410958904109584</v>
      </c>
      <c r="K189" s="380"/>
      <c r="L189" s="380">
        <f>(Q106/$R106*100*($E106/365))+(Q107/$R107*100*($E107/365))</f>
        <v>49.589041095890416</v>
      </c>
      <c r="M189" s="380"/>
      <c r="N189" s="379">
        <f t="shared" si="50"/>
        <v>100</v>
      </c>
      <c r="O189" s="431"/>
      <c r="R189" s="1">
        <v>2007</v>
      </c>
      <c r="S189" s="5">
        <f>(O106*($E106/365))+(O107*($E107/365))</f>
        <v>0</v>
      </c>
      <c r="T189" s="5">
        <f>(P106*($E106/365))+(P107*($E107/365))</f>
        <v>36.799999999999997</v>
      </c>
      <c r="U189" s="5">
        <f>(Q106*($E106/365))+(Q107*($E107/365))</f>
        <v>36.200000000000003</v>
      </c>
      <c r="V189" s="9"/>
      <c r="W189" s="10">
        <f t="shared" si="49"/>
        <v>73</v>
      </c>
      <c r="Y189" s="5"/>
    </row>
    <row r="190" spans="1:25" x14ac:dyDescent="0.15">
      <c r="A190" s="1">
        <v>2008</v>
      </c>
      <c r="B190" s="5">
        <f>(K108*($E108/366))+(K109*($E109/366))</f>
        <v>0</v>
      </c>
      <c r="C190" s="5">
        <f>(L108*($E108/366))+(L109*($E109/366))</f>
        <v>50</v>
      </c>
      <c r="D190" s="5">
        <f>(M108*($E108/366))+(M109*($E109/366))</f>
        <v>50</v>
      </c>
      <c r="E190" s="18">
        <f t="shared" si="48"/>
        <v>100</v>
      </c>
      <c r="G190" s="1">
        <v>2008</v>
      </c>
      <c r="H190" s="380">
        <f>(O108/$R108*100*($E108/366))+(O109/$R109*100*($E109/366))</f>
        <v>0</v>
      </c>
      <c r="I190" s="380"/>
      <c r="J190" s="380">
        <f>(P108/$R108*100*($E108/366))+(P109/$R109*100*($E109/366))</f>
        <v>50.410958904109584</v>
      </c>
      <c r="K190" s="380"/>
      <c r="L190" s="380">
        <f>(Q108/$R108*100*($E108/366))+(Q109/$R109*100*($E109/366))</f>
        <v>49.589041095890416</v>
      </c>
      <c r="M190" s="380"/>
      <c r="N190" s="379">
        <f t="shared" si="50"/>
        <v>100</v>
      </c>
      <c r="O190" s="431"/>
      <c r="R190" s="1">
        <v>2008</v>
      </c>
      <c r="S190" s="5">
        <f>(O108*($E108/366))+(O109*($E109/366))</f>
        <v>0</v>
      </c>
      <c r="T190" s="5">
        <f>(P108*($E108/366))+(P109*($E109/366))</f>
        <v>36.799999999999997</v>
      </c>
      <c r="U190" s="5">
        <f>(Q108*($E108/366))+(Q109*($E109/366))</f>
        <v>36.200000000000003</v>
      </c>
      <c r="V190" s="9"/>
      <c r="W190" s="10">
        <f t="shared" si="49"/>
        <v>73</v>
      </c>
      <c r="Y190" s="5"/>
    </row>
    <row r="191" spans="1:25" x14ac:dyDescent="0.15">
      <c r="A191" s="1">
        <v>2009</v>
      </c>
      <c r="B191" s="5">
        <f>(K110*($E110/365))+(K111*($E111/365))</f>
        <v>5.5650684931506849</v>
      </c>
      <c r="C191" s="5">
        <f>(L110*($E110/365))+(L111*($E111/365))</f>
        <v>53.339041095890408</v>
      </c>
      <c r="D191" s="5">
        <f>(M110*($E110/365))+(M111*($E111/365))</f>
        <v>41.095890410958901</v>
      </c>
      <c r="E191" s="18">
        <f t="shared" si="48"/>
        <v>100</v>
      </c>
      <c r="G191" s="1">
        <v>2009</v>
      </c>
      <c r="H191" s="380">
        <f>(O110/$R110*100*($E110/365))+(O111/$R111*100*($E111/365))</f>
        <v>5.0023087578882564</v>
      </c>
      <c r="I191" s="380"/>
      <c r="J191" s="380">
        <f>(P110/$R110*100*($E110/365))+(P111/$R111*100*($E111/365))</f>
        <v>54.239575272886739</v>
      </c>
      <c r="K191" s="380"/>
      <c r="L191" s="380">
        <f>(Q110/$R110*100*($E110/365))+(Q111/$R111*100*($E111/365))</f>
        <v>40.758115969224995</v>
      </c>
      <c r="M191" s="380"/>
      <c r="N191" s="379">
        <f t="shared" si="50"/>
        <v>100</v>
      </c>
      <c r="O191" s="431"/>
      <c r="R191" s="1">
        <v>2009</v>
      </c>
      <c r="S191" s="5">
        <f>(O110*($E110/365))+(O111*($E111/365))</f>
        <v>2.6712328767123288</v>
      </c>
      <c r="T191" s="5">
        <f>(P110*($E110/365))+(P111*($E111/365))</f>
        <v>37.084931506849308</v>
      </c>
      <c r="U191" s="5">
        <f>(Q110*($E110/365))+(Q111*($E111/365))</f>
        <v>29.753424657534246</v>
      </c>
      <c r="V191" s="9"/>
      <c r="W191" s="10">
        <f t="shared" si="49"/>
        <v>69.509589041095893</v>
      </c>
      <c r="Y191" s="5"/>
    </row>
    <row r="192" spans="1:25" x14ac:dyDescent="0.15">
      <c r="A192" s="1">
        <v>2010</v>
      </c>
      <c r="B192" s="5">
        <f>(K112*($E112/365))+(K113*($E113/365))</f>
        <v>31.25</v>
      </c>
      <c r="C192" s="5">
        <f>(L112*($E112/365))+(L113*($E113/365))</f>
        <v>68.75</v>
      </c>
      <c r="D192" s="5">
        <f>(M112*($E112/365))+(M113*($E113/365))</f>
        <v>0</v>
      </c>
      <c r="E192" s="18">
        <f t="shared" si="48"/>
        <v>100</v>
      </c>
      <c r="G192" s="1">
        <v>2010</v>
      </c>
      <c r="H192" s="380">
        <f>(O112/$R112*100*($E112/365))+(O113/$R113*100*($E113/365))</f>
        <v>28.08988764044944</v>
      </c>
      <c r="I192" s="380"/>
      <c r="J192" s="380">
        <f>(P112/$R112*100*($E112/365))+(P113/$R113*100*($E113/365))</f>
        <v>71.910112359550567</v>
      </c>
      <c r="K192" s="380"/>
      <c r="L192" s="380">
        <f>(Q112/$R112*100*($E112/365))+(Q113/$R113*100*($E113/365))</f>
        <v>0</v>
      </c>
      <c r="M192" s="380"/>
      <c r="N192" s="379">
        <f t="shared" si="50"/>
        <v>100</v>
      </c>
      <c r="O192" s="431"/>
      <c r="R192" s="1">
        <v>2010</v>
      </c>
      <c r="S192" s="5">
        <f>(O112*($E112/365))+(O113*($E113/365))</f>
        <v>15</v>
      </c>
      <c r="T192" s="5">
        <f>(P112*($E112/365))+(P113*($E113/365))</f>
        <v>38.4</v>
      </c>
      <c r="U192" s="5">
        <f>(Q112*($E112/365))+(Q113*($E113/365))</f>
        <v>0</v>
      </c>
      <c r="V192" s="9"/>
      <c r="W192" s="10">
        <f t="shared" si="49"/>
        <v>53.4</v>
      </c>
      <c r="Y192" s="5"/>
    </row>
    <row r="193" spans="1:25" x14ac:dyDescent="0.15">
      <c r="A193" s="1">
        <v>2011</v>
      </c>
      <c r="B193" s="5">
        <f>(K114*($E114/365))+(K115*($E115/365))</f>
        <v>31.25</v>
      </c>
      <c r="C193" s="5">
        <f>(L114*($E114/365))+(L115*($E115/365))</f>
        <v>68.75</v>
      </c>
      <c r="D193" s="5">
        <f>(M114*($E114/365))+(M115*($E115/365))</f>
        <v>0</v>
      </c>
      <c r="E193" s="18">
        <f t="shared" si="48"/>
        <v>100</v>
      </c>
      <c r="G193" s="1">
        <v>2011</v>
      </c>
      <c r="H193" s="380">
        <f>(O114/$R114*100*($E114/365))+(O115/$R115*100*($E115/365))</f>
        <v>28.08988764044944</v>
      </c>
      <c r="I193" s="380"/>
      <c r="J193" s="380">
        <f>(P114/$R114*100*($E114/365))+(P115/$R115*100*($E115/365))</f>
        <v>71.910112359550567</v>
      </c>
      <c r="K193" s="380"/>
      <c r="L193" s="380">
        <f>(Q114/$R114*100*($E114/365))+(Q115/$R115*100*($E115/365))</f>
        <v>0</v>
      </c>
      <c r="M193" s="380"/>
      <c r="N193" s="379">
        <f t="shared" si="50"/>
        <v>100</v>
      </c>
      <c r="O193" s="431"/>
      <c r="R193" s="1">
        <v>2011</v>
      </c>
      <c r="S193" s="5">
        <f>(O114*($E114/365))+(O115*($E115/365))</f>
        <v>15</v>
      </c>
      <c r="T193" s="5">
        <f>(P114*($E114/365))+(P115*($E115/365))</f>
        <v>38.4</v>
      </c>
      <c r="U193" s="5">
        <f>(Q114*($E114/365))+(Q115*($E115/365))</f>
        <v>0</v>
      </c>
      <c r="V193" s="9"/>
      <c r="W193" s="10">
        <f t="shared" si="49"/>
        <v>53.4</v>
      </c>
      <c r="Y193" s="5"/>
    </row>
    <row r="194" spans="1:25" x14ac:dyDescent="0.15">
      <c r="A194" s="1">
        <v>2012</v>
      </c>
      <c r="B194" s="5">
        <f>(K116*($E116/366))+(K117*($E117/366))</f>
        <v>31.25</v>
      </c>
      <c r="C194" s="5">
        <f>(L116*($E116/366))+(L117*($E117/366))</f>
        <v>68.75</v>
      </c>
      <c r="D194" s="5">
        <f>(M116*($E116/366))+(M117*($E117/366))</f>
        <v>0</v>
      </c>
      <c r="E194" s="18">
        <f t="shared" si="48"/>
        <v>100</v>
      </c>
      <c r="G194" s="1">
        <v>2012</v>
      </c>
      <c r="H194" s="380">
        <f>(O116/$R116*100*($E116/366))+(O117/$R117*100*($E117/366))</f>
        <v>28.08988764044944</v>
      </c>
      <c r="I194" s="380"/>
      <c r="J194" s="380">
        <f>(P116/$R116*100*($E116/366))+(P117/$R117*100*($E117/366))</f>
        <v>71.910112359550567</v>
      </c>
      <c r="K194" s="380"/>
      <c r="L194" s="380">
        <f>(Q116/$R116*100*($E116/366))+(Q117/$R117*100*($E117/366))</f>
        <v>0</v>
      </c>
      <c r="M194" s="380"/>
      <c r="N194" s="379">
        <f t="shared" si="50"/>
        <v>100</v>
      </c>
      <c r="O194" s="431"/>
      <c r="R194" s="1">
        <v>2012</v>
      </c>
      <c r="S194" s="5">
        <f>(O116*($E116/366))+(O117*($E117/366))</f>
        <v>15</v>
      </c>
      <c r="T194" s="5">
        <f>(P116*($E116/366))+(P117*($E117/366))</f>
        <v>38.4</v>
      </c>
      <c r="U194" s="5">
        <f>(Q116*($E116/366))+(Q117*($E117/366))</f>
        <v>0</v>
      </c>
      <c r="V194" s="9"/>
      <c r="W194" s="10">
        <f t="shared" si="49"/>
        <v>53.4</v>
      </c>
      <c r="Y194" s="5"/>
    </row>
    <row r="195" spans="1:25" x14ac:dyDescent="0.15">
      <c r="A195" s="1">
        <v>2013</v>
      </c>
      <c r="B195" s="5">
        <f>(K118*($E118/365))+(K119*($E119/365))</f>
        <v>29.965753424657532</v>
      </c>
      <c r="C195" s="5">
        <f>(L118*($E118/365))+(L119*($E119/365))</f>
        <v>68.493150684931507</v>
      </c>
      <c r="D195" s="5">
        <f>(M118*($E118/365))+(M119*($E119/365))</f>
        <v>1.5410958904109588</v>
      </c>
      <c r="E195" s="18">
        <f t="shared" si="48"/>
        <v>100</v>
      </c>
      <c r="G195" s="1">
        <v>2013</v>
      </c>
      <c r="H195" s="380">
        <f>(O118/$R118*100*($E118/365))+(O119/$R119*100*($E119/365))</f>
        <v>26.935508696321378</v>
      </c>
      <c r="I195" s="380"/>
      <c r="J195" s="380">
        <f>(P118/$R118*100*($E118/365))+(P119/$R119*100*($E119/365))</f>
        <v>71.490606139003603</v>
      </c>
      <c r="K195" s="380"/>
      <c r="L195" s="380">
        <f>(Q118/$R118*100*($E118/365))+(Q119/$R119*100*($E119/365))</f>
        <v>1.5738851646750218</v>
      </c>
      <c r="M195" s="380"/>
      <c r="N195" s="379">
        <f>SUM(H195:M195)</f>
        <v>100</v>
      </c>
      <c r="O195" s="431"/>
      <c r="R195" s="1">
        <v>2013</v>
      </c>
      <c r="S195" s="5">
        <f>(O118*($E118/365))+(O119*($E119/365))</f>
        <v>14.383561643835616</v>
      </c>
      <c r="T195" s="5">
        <f>(P118*($E118/365))+(P119*($E119/365))</f>
        <v>38.847945205479448</v>
      </c>
      <c r="U195" s="5">
        <f>(Q118*($E118/365))+(Q119*($E119/365))</f>
        <v>1.2575342465753425</v>
      </c>
      <c r="W195" s="10">
        <f t="shared" si="49"/>
        <v>54.489041095890407</v>
      </c>
    </row>
    <row r="196" spans="1:25" x14ac:dyDescent="0.15">
      <c r="A196" s="1">
        <v>2014</v>
      </c>
      <c r="B196" s="5">
        <f>(K120*($E120/365))+(K121*($E121/365))</f>
        <v>0</v>
      </c>
      <c r="C196" s="5">
        <f>(L120*($E120/365))+(L121*($E121/365))</f>
        <v>62.5</v>
      </c>
      <c r="D196" s="5">
        <f>(M120*($E120/365))+(M121*($E121/365))</f>
        <v>37.5</v>
      </c>
      <c r="E196" s="18">
        <f>SUM(B196:D196)</f>
        <v>100</v>
      </c>
      <c r="G196" s="1">
        <v>2014</v>
      </c>
      <c r="H196" s="380">
        <f>(O120/$R120*100*($E120/365))+(O121/$R121*100*($E121/365))</f>
        <v>0</v>
      </c>
      <c r="I196" s="380"/>
      <c r="J196" s="380">
        <f>(P120/$R120*100*($E120/365))+(P121/$R121*100*($E121/365))</f>
        <v>61.702127659574458</v>
      </c>
      <c r="K196" s="380"/>
      <c r="L196" s="380">
        <f>(Q120/$R120*100*($E120/365))+(Q121/$R121*100*($E121/365))</f>
        <v>38.297872340425535</v>
      </c>
      <c r="M196" s="380"/>
      <c r="N196" s="379">
        <f>SUM(H196:M196)</f>
        <v>100</v>
      </c>
      <c r="O196" s="431"/>
      <c r="R196" s="1">
        <v>2014</v>
      </c>
      <c r="S196" s="5">
        <f>(O120*($E120/365))+(O121*($E121/365))</f>
        <v>0</v>
      </c>
      <c r="T196" s="5">
        <f>(P120*($E120/365))+(P121*($E121/365))</f>
        <v>49.3</v>
      </c>
      <c r="U196" s="5">
        <f>(Q120*($E120/365))+(Q121*($E121/365))</f>
        <v>30.6</v>
      </c>
      <c r="W196" s="10">
        <f>SUM(S196:U196)</f>
        <v>79.900000000000006</v>
      </c>
    </row>
    <row r="197" spans="1:25" x14ac:dyDescent="0.15">
      <c r="A197" s="1">
        <v>2015</v>
      </c>
      <c r="B197" s="5">
        <f>(K122*($E122/365))+(K123*($E123/365))</f>
        <v>0</v>
      </c>
      <c r="C197" s="5">
        <f>(L122*($E122/365))+(L123*($E123/365))</f>
        <v>62.5</v>
      </c>
      <c r="D197" s="5">
        <f>(M122*($E122/365))+(M123*($E123/365))</f>
        <v>37.5</v>
      </c>
      <c r="E197" s="18">
        <f>SUM(B197:D197)</f>
        <v>100</v>
      </c>
      <c r="G197" s="1">
        <v>2015</v>
      </c>
      <c r="H197" s="380">
        <f>(O122/$R122*100*($E122/365))+(O123/$R123*100*($E123/365))</f>
        <v>0</v>
      </c>
      <c r="I197" s="380"/>
      <c r="J197" s="380">
        <f>(P122/$R122*100*($E122/365))+(P123/$R123*100*($E123/365))</f>
        <v>61.702127659574458</v>
      </c>
      <c r="K197" s="380"/>
      <c r="L197" s="380">
        <f>(Q122/$R122*100*($E122/365))+(Q123/$R123*100*($E123/365))</f>
        <v>38.297872340425535</v>
      </c>
      <c r="M197" s="380"/>
      <c r="N197" s="379">
        <f>SUM(H197:M197)</f>
        <v>100</v>
      </c>
      <c r="O197" s="431"/>
      <c r="R197" s="1">
        <v>2015</v>
      </c>
      <c r="S197" s="5">
        <f>(O122*($E122/365))+(O123*($E123/365))</f>
        <v>0</v>
      </c>
      <c r="T197" s="5">
        <f>(P122*($E122/365))+(P123*($E123/365))</f>
        <v>49.3</v>
      </c>
      <c r="U197" s="5">
        <f>(Q122*($E122/365))+(Q123*($E123/365))</f>
        <v>30.6</v>
      </c>
      <c r="W197" s="10">
        <f>SUM(S197:U197)</f>
        <v>79.900000000000006</v>
      </c>
    </row>
    <row r="198" spans="1:25" x14ac:dyDescent="0.15">
      <c r="A198" s="1">
        <v>2016</v>
      </c>
      <c r="B198" s="5">
        <f>(K124*($E124/366))+(K125*($E125/366))</f>
        <v>0</v>
      </c>
      <c r="C198" s="5">
        <f>(L124*($E124/366))+(L125*($E125/366))</f>
        <v>62.5</v>
      </c>
      <c r="D198" s="5">
        <f>(M124*($E124/366))+(M125*($E125/366))</f>
        <v>37.5</v>
      </c>
      <c r="E198" s="18">
        <f>SUM(B198:D198)</f>
        <v>100</v>
      </c>
      <c r="G198" s="1">
        <v>2016</v>
      </c>
      <c r="H198" s="380">
        <f>(O124/$R124*100*($E124/366))+(O125/$R125*100*($E125/366))</f>
        <v>0</v>
      </c>
      <c r="I198" s="380"/>
      <c r="J198" s="380">
        <f>(P124/$R124*100*($E124/366))+(P125/$R125*100*($E125/366))</f>
        <v>61.702127659574458</v>
      </c>
      <c r="K198" s="380"/>
      <c r="L198" s="380">
        <f>(Q124/$R124*100*($E124/366))+(Q125/$R125*100*($E125/366))</f>
        <v>38.297872340425535</v>
      </c>
      <c r="M198" s="380"/>
      <c r="N198" s="379">
        <f>SUM(H198:M198)</f>
        <v>100</v>
      </c>
      <c r="O198" s="431"/>
      <c r="R198" s="1">
        <v>2016</v>
      </c>
      <c r="S198" s="5">
        <f>(O124*($E124/366))+(O125*($E125/366))</f>
        <v>0</v>
      </c>
      <c r="T198" s="5">
        <f>(P124*($E124/366))+(P125*($E125/366))</f>
        <v>49.3</v>
      </c>
      <c r="U198" s="5">
        <f>(Q124*($E124/366))+(Q125*($E125/366))</f>
        <v>30.6</v>
      </c>
      <c r="W198" s="10">
        <f>SUM(S198:U198)</f>
        <v>79.900000000000006</v>
      </c>
    </row>
    <row r="199" spans="1:25" x14ac:dyDescent="0.15">
      <c r="A199" s="1">
        <v>2017</v>
      </c>
      <c r="B199" s="5">
        <f>(K126*($E126/365))+(K127*($E127/365))+(K128*($E128/365))</f>
        <v>0</v>
      </c>
      <c r="C199" s="5">
        <f>(L126*($E126/365))+(L127*($E127/365))+(L128*($E128/365))</f>
        <v>64.019142957499128</v>
      </c>
      <c r="D199" s="5">
        <f>(M126*($E126/365))+(M127*($E127/365))+(M128*($E128/365))</f>
        <v>35.98085704250088</v>
      </c>
      <c r="E199" s="18">
        <f>SUM(B199:D199)</f>
        <v>100</v>
      </c>
      <c r="G199" s="1">
        <v>2017</v>
      </c>
      <c r="H199" s="380">
        <f>(O126/$R126*100*($E126/365))+(O127/$R127*100*($E127/365))+(O128/$R128*100*($E128/365))</f>
        <v>0</v>
      </c>
      <c r="I199" s="380"/>
      <c r="J199" s="380">
        <f>(P126/$R126*100*($E126/365))+(P127/$R127*100*($E127/365))+(P128/$R128*100*($E128/365))</f>
        <v>61.702127659574451</v>
      </c>
      <c r="K199" s="380"/>
      <c r="L199" s="380">
        <f>(Q126/$R126*100*($E126/365))+(Q127/$R127*100*($E127/365))+(Q128/$R128*100*($E128/365))</f>
        <v>38.297872340425535</v>
      </c>
      <c r="M199" s="380"/>
      <c r="N199" s="379">
        <f>SUM(H199:M199)</f>
        <v>99.999999999999986</v>
      </c>
      <c r="O199" s="431"/>
      <c r="R199" s="1">
        <v>2017</v>
      </c>
      <c r="S199" s="5">
        <f>(O126*($E126/365))+(O127*($E127/365))+(O128*($E128/365))</f>
        <v>0</v>
      </c>
      <c r="T199" s="5">
        <f t="shared" ref="T199:U199" si="51">(P126*($E126/365))+(P127*($E127/365))+(P128*($E128/365))</f>
        <v>49.3</v>
      </c>
      <c r="U199" s="5">
        <f t="shared" si="51"/>
        <v>30.6</v>
      </c>
      <c r="W199" s="10">
        <f>SUM(S199:U199)</f>
        <v>79.900000000000006</v>
      </c>
    </row>
    <row r="200" spans="1:25" x14ac:dyDescent="0.15">
      <c r="A200" s="1">
        <v>2018</v>
      </c>
      <c r="B200" s="5">
        <f>(K129*($E129/365))+(K130*($E130/365))</f>
        <v>0</v>
      </c>
      <c r="C200" s="5">
        <f t="shared" ref="C200:D200" si="52">(L129*($E129/365))+(L130*($E130/365))</f>
        <v>62.310326659641731</v>
      </c>
      <c r="D200" s="5">
        <f t="shared" si="52"/>
        <v>37.689673340358276</v>
      </c>
      <c r="E200" s="18">
        <f t="shared" ref="E200" si="53">SUM(B200:D200)</f>
        <v>100</v>
      </c>
      <c r="G200" s="1">
        <v>2018</v>
      </c>
      <c r="H200" s="380">
        <f>(O129/$R129*100*($E129/365))+(O130/$R130*100*($E130/365))</f>
        <v>0</v>
      </c>
      <c r="I200" s="380"/>
      <c r="J200" s="380">
        <f>(P129/$R129*100*($E129/365))+(P130/$R130*100*($E130/365))</f>
        <v>61.82390711511016</v>
      </c>
      <c r="K200" s="380"/>
      <c r="L200" s="380">
        <f>(Q129/$R129*100*($E129/365))+(Q130/$R130*100*($E130/365))</f>
        <v>38.17609288488984</v>
      </c>
      <c r="M200" s="380"/>
      <c r="N200" s="379">
        <f t="shared" ref="N200" si="54">SUM(H200:M200)</f>
        <v>100</v>
      </c>
      <c r="O200" s="431"/>
      <c r="R200" s="1">
        <v>2018</v>
      </c>
      <c r="S200" s="5">
        <f>(O129*($E129/365))+(O130*($E130/365))</f>
        <v>0</v>
      </c>
      <c r="T200" s="5">
        <f t="shared" ref="T200:U200" si="55">(P129*($E129/365))+(P130*($E130/365))</f>
        <v>37.580000000000005</v>
      </c>
      <c r="U200" s="5">
        <f t="shared" si="55"/>
        <v>23.214794520547944</v>
      </c>
      <c r="W200" s="10">
        <f t="shared" ref="W200" si="56">SUM(S200:U200)</f>
        <v>60.794794520547953</v>
      </c>
    </row>
    <row r="201" spans="1:25" x14ac:dyDescent="0.15">
      <c r="A201" s="1">
        <v>2019</v>
      </c>
      <c r="B201" s="5">
        <f>(K131*($E131/365))+(K132*($E132/365))</f>
        <v>0</v>
      </c>
      <c r="C201" s="5">
        <f>(L131*($E131/365))+(L132*($E132/365))</f>
        <v>62.5</v>
      </c>
      <c r="D201" s="5">
        <f>(M131*($E131/365))+(M132*($E132/365))</f>
        <v>37.5</v>
      </c>
      <c r="E201" s="18">
        <f t="shared" ref="E201:E202" si="57">SUM(B201:D201)</f>
        <v>100</v>
      </c>
      <c r="G201" s="1">
        <v>2019</v>
      </c>
      <c r="H201" s="380">
        <f>(O131/$R131*100*($E131/365))+(O132/$R132*100*($E132/365))</f>
        <v>0</v>
      </c>
      <c r="I201" s="380"/>
      <c r="J201" s="380">
        <f>(P131/$R131*100*($E131/365))+(P132/$R132*100*($E132/365))</f>
        <v>61.853832442067734</v>
      </c>
      <c r="K201" s="380"/>
      <c r="L201" s="380">
        <f>(Q131/$R131*100*($E131/365))+(Q132/$R132*100*($E132/365))</f>
        <v>38.146167557932259</v>
      </c>
      <c r="M201" s="380"/>
      <c r="N201" s="379">
        <f t="shared" ref="N201" si="58">SUM(H201:M201)</f>
        <v>100</v>
      </c>
      <c r="O201" s="431"/>
      <c r="R201" s="1">
        <v>2019</v>
      </c>
      <c r="S201" s="5">
        <f>(O131*($E131/365))+(O132*($E132/365))</f>
        <v>0</v>
      </c>
      <c r="T201" s="5">
        <f>(P131*($E131/365))+(P132*($E132/365))</f>
        <v>34.700000000000003</v>
      </c>
      <c r="U201" s="5">
        <f>(Q131*($E131/365))+(Q132*($E132/365))</f>
        <v>21.4</v>
      </c>
      <c r="W201" s="10">
        <f t="shared" ref="W201:W202" si="59">SUM(S201:U201)</f>
        <v>56.1</v>
      </c>
    </row>
    <row r="202" spans="1:25" x14ac:dyDescent="0.15">
      <c r="A202" s="1">
        <v>2020</v>
      </c>
      <c r="B202" s="5">
        <f>(K133*($E133/366))+(K134*($E134/366))</f>
        <v>0</v>
      </c>
      <c r="C202" s="5">
        <f>(L133*($E133/366))+(L134*($E134/366))</f>
        <v>62.5</v>
      </c>
      <c r="D202" s="5">
        <f>(M133*($E133/366))+(M134*($E134/366))</f>
        <v>37.5</v>
      </c>
      <c r="E202" s="18">
        <f t="shared" si="57"/>
        <v>100</v>
      </c>
      <c r="G202" s="1">
        <v>2020</v>
      </c>
      <c r="H202" s="380">
        <f>(O133/$R133*100*($E133/366))+(O134/$R134*100*($E134/366))</f>
        <v>0</v>
      </c>
      <c r="I202" s="380"/>
      <c r="J202" s="380">
        <f>(P133/$R133*100*($E133/366))+(P134/$R134*100*($E134/366))</f>
        <v>61.853832442067734</v>
      </c>
      <c r="K202" s="380"/>
      <c r="L202" s="380">
        <f>(Q133/$R133*100*($E133/366))+(Q134/$R134*100*($E134/366))</f>
        <v>38.146167557932259</v>
      </c>
      <c r="M202" s="380"/>
      <c r="N202" s="379">
        <f t="shared" ref="N202" si="60">SUM(H202:M202)</f>
        <v>100</v>
      </c>
      <c r="O202" s="431"/>
      <c r="R202" s="1">
        <v>2020</v>
      </c>
      <c r="S202" s="5">
        <f>(O133*($E133/366))+(O134*($E134/366))</f>
        <v>0</v>
      </c>
      <c r="T202" s="5">
        <f>(P133*($E133/366))+(P134*($E134/366))</f>
        <v>34.700000000000003</v>
      </c>
      <c r="U202" s="5">
        <f>(Q133*($E133/366))+(Q134*($E134/366))</f>
        <v>21.4</v>
      </c>
      <c r="W202" s="10">
        <f t="shared" si="59"/>
        <v>56.1</v>
      </c>
    </row>
  </sheetData>
  <mergeCells count="403">
    <mergeCell ref="J200:K200"/>
    <mergeCell ref="L200:M200"/>
    <mergeCell ref="H200:I200"/>
    <mergeCell ref="N200:O200"/>
    <mergeCell ref="J199:K199"/>
    <mergeCell ref="L199:M199"/>
    <mergeCell ref="H199:I199"/>
    <mergeCell ref="N199:O199"/>
    <mergeCell ref="H198:I198"/>
    <mergeCell ref="J198:K198"/>
    <mergeCell ref="L198:M198"/>
    <mergeCell ref="N198:O198"/>
    <mergeCell ref="H196:I196"/>
    <mergeCell ref="J196:K196"/>
    <mergeCell ref="L196:M196"/>
    <mergeCell ref="N196:O196"/>
    <mergeCell ref="H197:I197"/>
    <mergeCell ref="J197:K197"/>
    <mergeCell ref="L197:M197"/>
    <mergeCell ref="N197:O197"/>
    <mergeCell ref="H149:I149"/>
    <mergeCell ref="H150:I150"/>
    <mergeCell ref="H151:I151"/>
    <mergeCell ref="H158:I158"/>
    <mergeCell ref="H159:I159"/>
    <mergeCell ref="H160:I160"/>
    <mergeCell ref="H161:I161"/>
    <mergeCell ref="H162:I162"/>
    <mergeCell ref="H163:I163"/>
    <mergeCell ref="H152:I152"/>
    <mergeCell ref="H153:I153"/>
    <mergeCell ref="H154:I154"/>
    <mergeCell ref="H155:I155"/>
    <mergeCell ref="H156:I156"/>
    <mergeCell ref="J163:K163"/>
    <mergeCell ref="J164:K164"/>
    <mergeCell ref="C120:D120"/>
    <mergeCell ref="C121:D121"/>
    <mergeCell ref="N141:O141"/>
    <mergeCell ref="H143:I143"/>
    <mergeCell ref="H144:I144"/>
    <mergeCell ref="H145:I145"/>
    <mergeCell ref="H146:I146"/>
    <mergeCell ref="H147:I147"/>
    <mergeCell ref="H148:I148"/>
    <mergeCell ref="N143:O143"/>
    <mergeCell ref="N144:O144"/>
    <mergeCell ref="N145:O145"/>
    <mergeCell ref="N146:O146"/>
    <mergeCell ref="N147:O147"/>
    <mergeCell ref="N148:O148"/>
    <mergeCell ref="C122:D122"/>
    <mergeCell ref="C123:D123"/>
    <mergeCell ref="C125:D125"/>
    <mergeCell ref="C124:D124"/>
    <mergeCell ref="C126:D126"/>
    <mergeCell ref="C127:D127"/>
    <mergeCell ref="C128:D128"/>
    <mergeCell ref="C129:D129"/>
    <mergeCell ref="C130:D130"/>
    <mergeCell ref="C106:D106"/>
    <mergeCell ref="C107:D107"/>
    <mergeCell ref="C108:D108"/>
    <mergeCell ref="C109:D109"/>
    <mergeCell ref="C110:D110"/>
    <mergeCell ref="C117:D117"/>
    <mergeCell ref="C111:D111"/>
    <mergeCell ref="C112:D112"/>
    <mergeCell ref="C113:D113"/>
    <mergeCell ref="C114:D114"/>
    <mergeCell ref="C115:D115"/>
    <mergeCell ref="C116:D116"/>
    <mergeCell ref="C97:D97"/>
    <mergeCell ref="C98:D98"/>
    <mergeCell ref="C99:D99"/>
    <mergeCell ref="C100:D100"/>
    <mergeCell ref="C101:D101"/>
    <mergeCell ref="C102:D102"/>
    <mergeCell ref="C103:D103"/>
    <mergeCell ref="C104:D104"/>
    <mergeCell ref="C105:D105"/>
    <mergeCell ref="C88:D88"/>
    <mergeCell ref="C89:D89"/>
    <mergeCell ref="C90:D90"/>
    <mergeCell ref="C91:D91"/>
    <mergeCell ref="C92:D92"/>
    <mergeCell ref="C93:D93"/>
    <mergeCell ref="C94:D94"/>
    <mergeCell ref="C95:D95"/>
    <mergeCell ref="C96:D9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G3:M3"/>
    <mergeCell ref="O3:Q3"/>
    <mergeCell ref="C9:D9"/>
    <mergeCell ref="C10:D10"/>
    <mergeCell ref="A4:A5"/>
    <mergeCell ref="B4:B5"/>
    <mergeCell ref="C4:D5"/>
    <mergeCell ref="E4:E5"/>
    <mergeCell ref="F4:F5"/>
    <mergeCell ref="G4:J4"/>
    <mergeCell ref="R138:W138"/>
    <mergeCell ref="H140:I140"/>
    <mergeCell ref="J140:K140"/>
    <mergeCell ref="L140:M140"/>
    <mergeCell ref="N140:O140"/>
    <mergeCell ref="H142:I142"/>
    <mergeCell ref="N142:O142"/>
    <mergeCell ref="H141:I141"/>
    <mergeCell ref="J141:K141"/>
    <mergeCell ref="L141:M141"/>
    <mergeCell ref="J165:K165"/>
    <mergeCell ref="J166:K166"/>
    <mergeCell ref="J167:K167"/>
    <mergeCell ref="J168:K168"/>
    <mergeCell ref="J169:K169"/>
    <mergeCell ref="J160:K160"/>
    <mergeCell ref="J161:K161"/>
    <mergeCell ref="J162:K162"/>
    <mergeCell ref="H184:I184"/>
    <mergeCell ref="J178:K178"/>
    <mergeCell ref="J179:K179"/>
    <mergeCell ref="J180:K180"/>
    <mergeCell ref="J173:K173"/>
    <mergeCell ref="J174:K174"/>
    <mergeCell ref="J171:K171"/>
    <mergeCell ref="J172:K172"/>
    <mergeCell ref="J177:K177"/>
    <mergeCell ref="J170:K170"/>
    <mergeCell ref="H185:I185"/>
    <mergeCell ref="H157:I157"/>
    <mergeCell ref="H170:I170"/>
    <mergeCell ref="H171:I171"/>
    <mergeCell ref="H172:I172"/>
    <mergeCell ref="H167:I167"/>
    <mergeCell ref="H168:I168"/>
    <mergeCell ref="H169:I169"/>
    <mergeCell ref="H181:I181"/>
    <mergeCell ref="H175:I175"/>
    <mergeCell ref="H164:I164"/>
    <mergeCell ref="H165:I165"/>
    <mergeCell ref="H166:I166"/>
    <mergeCell ref="H180:I180"/>
    <mergeCell ref="H173:I173"/>
    <mergeCell ref="H174:I174"/>
    <mergeCell ref="J151:K151"/>
    <mergeCell ref="J152:K152"/>
    <mergeCell ref="J153:K153"/>
    <mergeCell ref="J154:K154"/>
    <mergeCell ref="J155:K155"/>
    <mergeCell ref="J156:K156"/>
    <mergeCell ref="J157:K157"/>
    <mergeCell ref="J158:K158"/>
    <mergeCell ref="J159:K159"/>
    <mergeCell ref="H194:I194"/>
    <mergeCell ref="J142:K142"/>
    <mergeCell ref="J143:K143"/>
    <mergeCell ref="J144:K144"/>
    <mergeCell ref="J145:K145"/>
    <mergeCell ref="J146:K146"/>
    <mergeCell ref="J147:K147"/>
    <mergeCell ref="J148:K148"/>
    <mergeCell ref="J149:K149"/>
    <mergeCell ref="J150:K150"/>
    <mergeCell ref="H188:I188"/>
    <mergeCell ref="H189:I189"/>
    <mergeCell ref="H190:I190"/>
    <mergeCell ref="H191:I191"/>
    <mergeCell ref="H192:I192"/>
    <mergeCell ref="H193:I193"/>
    <mergeCell ref="H182:I182"/>
    <mergeCell ref="H183:I183"/>
    <mergeCell ref="H186:I186"/>
    <mergeCell ref="H187:I187"/>
    <mergeCell ref="H176:I176"/>
    <mergeCell ref="H177:I177"/>
    <mergeCell ref="H178:I178"/>
    <mergeCell ref="H179:I179"/>
    <mergeCell ref="J193:K193"/>
    <mergeCell ref="J194:K194"/>
    <mergeCell ref="L142:M142"/>
    <mergeCell ref="L143:M143"/>
    <mergeCell ref="L144:M144"/>
    <mergeCell ref="L145:M145"/>
    <mergeCell ref="L146:M146"/>
    <mergeCell ref="L147:M147"/>
    <mergeCell ref="L148:M148"/>
    <mergeCell ref="L149:M149"/>
    <mergeCell ref="J187:K187"/>
    <mergeCell ref="J188:K188"/>
    <mergeCell ref="J189:K189"/>
    <mergeCell ref="J190:K190"/>
    <mergeCell ref="J191:K191"/>
    <mergeCell ref="J192:K192"/>
    <mergeCell ref="J181:K181"/>
    <mergeCell ref="J182:K182"/>
    <mergeCell ref="J183:K183"/>
    <mergeCell ref="J184:K184"/>
    <mergeCell ref="J185:K185"/>
    <mergeCell ref="J186:K186"/>
    <mergeCell ref="J175:K175"/>
    <mergeCell ref="J176:K176"/>
    <mergeCell ref="L192:M192"/>
    <mergeCell ref="L193:M193"/>
    <mergeCell ref="L194:M194"/>
    <mergeCell ref="L188:M188"/>
    <mergeCell ref="L189:M189"/>
    <mergeCell ref="L190:M190"/>
    <mergeCell ref="L191:M191"/>
    <mergeCell ref="L171:M171"/>
    <mergeCell ref="L172:M172"/>
    <mergeCell ref="L173:M173"/>
    <mergeCell ref="L187:M187"/>
    <mergeCell ref="L180:M180"/>
    <mergeCell ref="L181:M181"/>
    <mergeCell ref="L182:M182"/>
    <mergeCell ref="L183:M183"/>
    <mergeCell ref="L184:M184"/>
    <mergeCell ref="L185:M185"/>
    <mergeCell ref="L174:M174"/>
    <mergeCell ref="L175:M175"/>
    <mergeCell ref="L176:M176"/>
    <mergeCell ref="L186:M186"/>
    <mergeCell ref="L162:M162"/>
    <mergeCell ref="L163:M163"/>
    <mergeCell ref="L164:M164"/>
    <mergeCell ref="L165:M165"/>
    <mergeCell ref="L166:M166"/>
    <mergeCell ref="L167:M167"/>
    <mergeCell ref="N149:O149"/>
    <mergeCell ref="N150:O150"/>
    <mergeCell ref="N151:O151"/>
    <mergeCell ref="L150:M150"/>
    <mergeCell ref="L151:M151"/>
    <mergeCell ref="L152:M152"/>
    <mergeCell ref="L153:M153"/>
    <mergeCell ref="L154:M154"/>
    <mergeCell ref="L155:M155"/>
    <mergeCell ref="L156:M156"/>
    <mergeCell ref="L157:M157"/>
    <mergeCell ref="L158:M158"/>
    <mergeCell ref="AT4:AW4"/>
    <mergeCell ref="AX4:BA4"/>
    <mergeCell ref="H195:I195"/>
    <mergeCell ref="J195:K195"/>
    <mergeCell ref="L195:M195"/>
    <mergeCell ref="N181:O181"/>
    <mergeCell ref="N182:O182"/>
    <mergeCell ref="N183:O183"/>
    <mergeCell ref="N184:O184"/>
    <mergeCell ref="N193:O193"/>
    <mergeCell ref="N174:O174"/>
    <mergeCell ref="N175:O175"/>
    <mergeCell ref="N176:O176"/>
    <mergeCell ref="N177:O177"/>
    <mergeCell ref="N178:O178"/>
    <mergeCell ref="N179:O179"/>
    <mergeCell ref="N152:O152"/>
    <mergeCell ref="N153:O153"/>
    <mergeCell ref="N154:O154"/>
    <mergeCell ref="N155:O155"/>
    <mergeCell ref="L177:M177"/>
    <mergeCell ref="L178:M178"/>
    <mergeCell ref="L179:M179"/>
    <mergeCell ref="N156:O156"/>
    <mergeCell ref="C118:D118"/>
    <mergeCell ref="C119:D119"/>
    <mergeCell ref="N195:O195"/>
    <mergeCell ref="N191:O191"/>
    <mergeCell ref="N192:O192"/>
    <mergeCell ref="N194:O194"/>
    <mergeCell ref="N185:O185"/>
    <mergeCell ref="N186:O186"/>
    <mergeCell ref="N187:O187"/>
    <mergeCell ref="N188:O188"/>
    <mergeCell ref="N189:O189"/>
    <mergeCell ref="N190:O190"/>
    <mergeCell ref="N180:O180"/>
    <mergeCell ref="N168:O168"/>
    <mergeCell ref="N169:O169"/>
    <mergeCell ref="N170:O170"/>
    <mergeCell ref="N171:O171"/>
    <mergeCell ref="N172:O172"/>
    <mergeCell ref="N162:O162"/>
    <mergeCell ref="N163:O163"/>
    <mergeCell ref="N164:O164"/>
    <mergeCell ref="N165:O165"/>
    <mergeCell ref="N166:O166"/>
    <mergeCell ref="N167:O167"/>
    <mergeCell ref="C133:D133"/>
    <mergeCell ref="C134:D134"/>
    <mergeCell ref="H202:I202"/>
    <mergeCell ref="J202:K202"/>
    <mergeCell ref="L202:M202"/>
    <mergeCell ref="N202:O202"/>
    <mergeCell ref="C131:D131"/>
    <mergeCell ref="C132:D132"/>
    <mergeCell ref="H201:I201"/>
    <mergeCell ref="J201:K201"/>
    <mergeCell ref="L201:M201"/>
    <mergeCell ref="N201:O201"/>
    <mergeCell ref="N157:O157"/>
    <mergeCell ref="N158:O158"/>
    <mergeCell ref="N159:O159"/>
    <mergeCell ref="N160:O160"/>
    <mergeCell ref="N161:O161"/>
    <mergeCell ref="N173:O173"/>
    <mergeCell ref="L159:M159"/>
    <mergeCell ref="L160:M160"/>
    <mergeCell ref="L161:M161"/>
    <mergeCell ref="L168:M168"/>
    <mergeCell ref="L169:M169"/>
    <mergeCell ref="L170:M17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A217"/>
  <sheetViews>
    <sheetView zoomScale="150" zoomScaleNormal="100" workbookViewId="0">
      <pane xSplit="1" ySplit="5" topLeftCell="B96" activePane="bottomRight" state="frozen"/>
      <selection pane="topRight" activeCell="B1" sqref="B1"/>
      <selection pane="bottomLeft" activeCell="A6" sqref="A6"/>
      <selection pane="bottomRight" activeCell="M149" sqref="M149"/>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5" style="1" customWidth="1"/>
    <col min="46" max="53" width="5.6640625" style="1" customWidth="1"/>
    <col min="54" max="16384" width="10.6640625" style="1"/>
  </cols>
  <sheetData>
    <row r="1" spans="1:53" ht="15" customHeight="1" x14ac:dyDescent="0.15">
      <c r="B1" s="16" t="s">
        <v>14</v>
      </c>
    </row>
    <row r="2" spans="1:53" ht="15" customHeight="1" x14ac:dyDescent="0.15">
      <c r="B2" s="16" t="s">
        <v>56</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761</v>
      </c>
      <c r="D6" s="416"/>
      <c r="E6" s="140">
        <v>0</v>
      </c>
      <c r="G6" s="148">
        <v>16</v>
      </c>
      <c r="J6" s="154">
        <v>16</v>
      </c>
      <c r="K6" s="134">
        <f>G6/J6*100</f>
        <v>100</v>
      </c>
      <c r="L6" s="134">
        <f>H6/J6*100</f>
        <v>0</v>
      </c>
      <c r="M6" s="134">
        <f>I6/J6*100</f>
        <v>0</v>
      </c>
      <c r="N6" s="150">
        <f>SUM(K6:M6)</f>
        <v>100</v>
      </c>
      <c r="O6" s="133">
        <v>57</v>
      </c>
      <c r="P6" s="134"/>
      <c r="Q6" s="134"/>
      <c r="R6" s="135">
        <f>SUM(O6:Q6)</f>
        <v>57</v>
      </c>
      <c r="S6" s="140">
        <v>1</v>
      </c>
      <c r="T6" s="308"/>
      <c r="U6" s="296"/>
      <c r="V6" s="139" t="s">
        <v>773</v>
      </c>
      <c r="W6" s="140" t="s">
        <v>74</v>
      </c>
      <c r="X6" s="140" t="s">
        <v>11</v>
      </c>
      <c r="Y6" s="141">
        <v>57</v>
      </c>
      <c r="AD6" s="157"/>
      <c r="AG6" s="141"/>
      <c r="AL6" s="139"/>
      <c r="AO6" s="141"/>
      <c r="AP6" s="139"/>
      <c r="AS6" s="141"/>
      <c r="AW6" s="141"/>
      <c r="BA6" s="142"/>
    </row>
    <row r="7" spans="1:53" s="140" customFormat="1" x14ac:dyDescent="0.15">
      <c r="A7" s="146">
        <v>1959</v>
      </c>
      <c r="B7" s="296"/>
      <c r="C7" s="416" t="s">
        <v>761</v>
      </c>
      <c r="D7" s="416"/>
      <c r="E7" s="140">
        <v>365</v>
      </c>
      <c r="G7" s="148">
        <v>16</v>
      </c>
      <c r="J7" s="154">
        <v>16</v>
      </c>
      <c r="K7" s="134">
        <f>G7/J7*100</f>
        <v>100</v>
      </c>
      <c r="L7" s="134">
        <f>H7/J7*100</f>
        <v>0</v>
      </c>
      <c r="M7" s="134">
        <f>I7/J7*100</f>
        <v>0</v>
      </c>
      <c r="N7" s="150">
        <f>SUM(K7:M7)</f>
        <v>100</v>
      </c>
      <c r="O7" s="133">
        <v>57</v>
      </c>
      <c r="P7" s="134"/>
      <c r="Q7" s="134"/>
      <c r="R7" s="135">
        <f>SUM(O7:Q7)</f>
        <v>57</v>
      </c>
      <c r="S7" s="140">
        <v>1</v>
      </c>
      <c r="T7" s="308"/>
      <c r="U7" s="296"/>
      <c r="V7" s="139" t="s">
        <v>773</v>
      </c>
      <c r="W7" s="140" t="s">
        <v>74</v>
      </c>
      <c r="X7" s="140" t="s">
        <v>11</v>
      </c>
      <c r="Y7" s="141">
        <v>57</v>
      </c>
      <c r="AD7" s="157"/>
      <c r="AG7" s="141"/>
      <c r="AL7" s="139"/>
      <c r="AO7" s="141"/>
      <c r="AP7" s="139"/>
      <c r="AS7" s="141"/>
      <c r="AW7" s="141"/>
      <c r="BA7" s="142"/>
    </row>
    <row r="8" spans="1:53" s="29" customFormat="1" x14ac:dyDescent="0.15">
      <c r="A8" s="52">
        <v>1960</v>
      </c>
      <c r="B8" s="295"/>
      <c r="C8" s="411" t="s">
        <v>761</v>
      </c>
      <c r="D8" s="411"/>
      <c r="E8" s="29">
        <v>0</v>
      </c>
      <c r="G8" s="66">
        <v>16</v>
      </c>
      <c r="J8" s="73">
        <v>16</v>
      </c>
      <c r="K8" s="47">
        <f>G8/J8*100</f>
        <v>100</v>
      </c>
      <c r="L8" s="47">
        <f>H8/J8*100</f>
        <v>0</v>
      </c>
      <c r="M8" s="47">
        <f>I8/J8*100</f>
        <v>0</v>
      </c>
      <c r="N8" s="68">
        <f>SUM(K8:M8)</f>
        <v>100</v>
      </c>
      <c r="O8" s="46">
        <v>57</v>
      </c>
      <c r="P8" s="47"/>
      <c r="Q8" s="47"/>
      <c r="R8" s="48">
        <f>SUM(O8:Q8)</f>
        <v>57</v>
      </c>
      <c r="S8" s="29">
        <v>1</v>
      </c>
      <c r="T8" s="286"/>
      <c r="U8" s="295"/>
      <c r="V8" s="38" t="s">
        <v>773</v>
      </c>
      <c r="W8" s="29" t="s">
        <v>74</v>
      </c>
      <c r="X8" s="29" t="s">
        <v>11</v>
      </c>
      <c r="Y8" s="39">
        <v>57</v>
      </c>
      <c r="AD8" s="91"/>
      <c r="AG8" s="39"/>
      <c r="AL8" s="38"/>
      <c r="AO8" s="39"/>
      <c r="AP8" s="38"/>
      <c r="AS8" s="39"/>
      <c r="AW8" s="39"/>
      <c r="BA8" s="40"/>
    </row>
    <row r="9" spans="1:53" s="29" customFormat="1" x14ac:dyDescent="0.15">
      <c r="A9" s="52">
        <v>1960</v>
      </c>
      <c r="B9" s="295"/>
      <c r="C9" s="411" t="s">
        <v>761</v>
      </c>
      <c r="D9" s="411"/>
      <c r="E9" s="29">
        <v>366</v>
      </c>
      <c r="G9" s="66">
        <v>16</v>
      </c>
      <c r="J9" s="73">
        <v>16</v>
      </c>
      <c r="K9" s="47">
        <f>G9/J9*100</f>
        <v>100</v>
      </c>
      <c r="L9" s="47">
        <f>H9/J9*100</f>
        <v>0</v>
      </c>
      <c r="M9" s="47">
        <f>I9/J9*100</f>
        <v>0</v>
      </c>
      <c r="N9" s="68">
        <f>SUM(K9:M9)</f>
        <v>100</v>
      </c>
      <c r="O9" s="46">
        <v>57</v>
      </c>
      <c r="P9" s="47"/>
      <c r="Q9" s="47"/>
      <c r="R9" s="48">
        <f t="shared" ref="R9:R28" si="0">SUM(O9:Q9)</f>
        <v>57</v>
      </c>
      <c r="S9" s="29">
        <v>1</v>
      </c>
      <c r="T9" s="286"/>
      <c r="U9" s="295"/>
      <c r="V9" s="38" t="s">
        <v>773</v>
      </c>
      <c r="W9" s="29" t="s">
        <v>74</v>
      </c>
      <c r="X9" s="29" t="s">
        <v>11</v>
      </c>
      <c r="Y9" s="39">
        <v>57</v>
      </c>
      <c r="AD9" s="91"/>
      <c r="AG9" s="39"/>
      <c r="AL9" s="38"/>
      <c r="AO9" s="39"/>
      <c r="AP9" s="38"/>
      <c r="AS9" s="39"/>
      <c r="AW9" s="39"/>
      <c r="BA9" s="40"/>
    </row>
    <row r="10" spans="1:53" s="29" customFormat="1" x14ac:dyDescent="0.15">
      <c r="A10" s="52">
        <v>1961</v>
      </c>
      <c r="B10" s="295"/>
      <c r="C10" s="411" t="s">
        <v>761</v>
      </c>
      <c r="D10" s="411"/>
      <c r="E10" s="29">
        <v>263</v>
      </c>
      <c r="G10" s="66">
        <v>16</v>
      </c>
      <c r="J10" s="73">
        <v>16</v>
      </c>
      <c r="K10" s="47">
        <f>G10/J10*100</f>
        <v>100</v>
      </c>
      <c r="L10" s="47">
        <f>H10/J10*100</f>
        <v>0</v>
      </c>
      <c r="M10" s="47">
        <f>I10/J10*100</f>
        <v>0</v>
      </c>
      <c r="N10" s="68">
        <f>SUM(K10:M10)</f>
        <v>100</v>
      </c>
      <c r="O10" s="46">
        <v>57</v>
      </c>
      <c r="P10" s="47"/>
      <c r="Q10" s="47"/>
      <c r="R10" s="48">
        <f t="shared" si="0"/>
        <v>57</v>
      </c>
      <c r="S10" s="29">
        <v>1</v>
      </c>
      <c r="T10" s="286"/>
      <c r="U10" s="295"/>
      <c r="V10" s="38" t="s">
        <v>773</v>
      </c>
      <c r="W10" s="29" t="s">
        <v>74</v>
      </c>
      <c r="X10" s="29" t="s">
        <v>11</v>
      </c>
      <c r="Y10" s="39">
        <v>57</v>
      </c>
      <c r="AD10" s="91"/>
      <c r="AG10" s="39"/>
      <c r="AL10" s="38"/>
      <c r="AO10" s="39"/>
      <c r="AP10" s="38"/>
      <c r="AS10" s="39"/>
      <c r="AW10" s="39"/>
      <c r="BA10" s="40"/>
    </row>
    <row r="11" spans="1:53" s="171" customFormat="1" x14ac:dyDescent="0.15">
      <c r="A11" s="216">
        <v>1961</v>
      </c>
      <c r="B11" s="283">
        <v>22545</v>
      </c>
      <c r="C11" s="410" t="s">
        <v>762</v>
      </c>
      <c r="D11" s="410"/>
      <c r="E11" s="171">
        <v>44</v>
      </c>
      <c r="F11" s="171">
        <v>1</v>
      </c>
      <c r="G11" s="233">
        <v>0</v>
      </c>
      <c r="H11" s="171">
        <v>0</v>
      </c>
      <c r="I11" s="171">
        <v>0</v>
      </c>
      <c r="J11" s="241">
        <v>18</v>
      </c>
      <c r="K11" s="214">
        <f t="shared" ref="K11:K27" si="1">G11/J11*100</f>
        <v>0</v>
      </c>
      <c r="L11" s="214">
        <f t="shared" ref="L11:L27" si="2">H11/J11*100</f>
        <v>0</v>
      </c>
      <c r="M11" s="214">
        <f t="shared" ref="M11:M27" si="3">I11/J11*100</f>
        <v>0</v>
      </c>
      <c r="N11" s="235">
        <f t="shared" ref="N11:N27" si="4">SUM(K11:M11)</f>
        <v>0</v>
      </c>
      <c r="O11" s="213">
        <v>0</v>
      </c>
      <c r="P11" s="214">
        <v>0</v>
      </c>
      <c r="Q11" s="214">
        <v>0</v>
      </c>
      <c r="R11" s="215">
        <f t="shared" si="0"/>
        <v>0</v>
      </c>
      <c r="S11" s="171">
        <v>6</v>
      </c>
      <c r="T11" s="285"/>
      <c r="U11" s="283">
        <v>22545</v>
      </c>
      <c r="V11" s="242" t="s">
        <v>797</v>
      </c>
      <c r="Y11" s="179"/>
      <c r="AD11" s="251"/>
      <c r="AG11" s="179"/>
      <c r="AL11" s="178"/>
      <c r="AO11" s="179"/>
      <c r="AP11" s="178"/>
      <c r="AS11" s="179"/>
      <c r="AW11" s="179"/>
      <c r="BA11" s="180"/>
    </row>
    <row r="12" spans="1:53" s="29" customFormat="1" x14ac:dyDescent="0.15">
      <c r="A12" s="52">
        <v>1961</v>
      </c>
      <c r="B12" s="295">
        <v>22589</v>
      </c>
      <c r="C12" s="411" t="s">
        <v>764</v>
      </c>
      <c r="D12" s="411"/>
      <c r="E12" s="29">
        <v>58</v>
      </c>
      <c r="F12" s="29">
        <v>1</v>
      </c>
      <c r="G12" s="66">
        <v>18</v>
      </c>
      <c r="J12" s="73">
        <v>18</v>
      </c>
      <c r="K12" s="47">
        <f t="shared" si="1"/>
        <v>100</v>
      </c>
      <c r="L12" s="47">
        <f t="shared" si="2"/>
        <v>0</v>
      </c>
      <c r="M12" s="47">
        <f t="shared" si="3"/>
        <v>0</v>
      </c>
      <c r="N12" s="68">
        <f t="shared" si="4"/>
        <v>100</v>
      </c>
      <c r="O12" s="46">
        <v>58.7</v>
      </c>
      <c r="P12" s="47"/>
      <c r="Q12" s="47"/>
      <c r="R12" s="48">
        <f t="shared" si="0"/>
        <v>58.7</v>
      </c>
      <c r="S12" s="29">
        <v>1</v>
      </c>
      <c r="T12" s="286">
        <v>22583</v>
      </c>
      <c r="U12" s="295">
        <v>22589</v>
      </c>
      <c r="V12" s="38" t="s">
        <v>773</v>
      </c>
      <c r="W12" s="29" t="s">
        <v>74</v>
      </c>
      <c r="X12" s="29" t="s">
        <v>11</v>
      </c>
      <c r="Y12" s="39">
        <v>58.7</v>
      </c>
      <c r="AD12" s="91"/>
      <c r="AG12" s="39"/>
      <c r="AL12" s="38"/>
      <c r="AO12" s="39"/>
      <c r="AP12" s="38"/>
      <c r="AS12" s="39"/>
      <c r="AW12" s="39"/>
      <c r="BA12" s="40"/>
    </row>
    <row r="13" spans="1:53" s="29" customFormat="1" x14ac:dyDescent="0.15">
      <c r="A13" s="52">
        <v>1962</v>
      </c>
      <c r="B13" s="295"/>
      <c r="C13" s="411" t="s">
        <v>764</v>
      </c>
      <c r="D13" s="411"/>
      <c r="E13" s="29">
        <v>0</v>
      </c>
      <c r="G13" s="66">
        <v>18</v>
      </c>
      <c r="J13" s="73">
        <v>18</v>
      </c>
      <c r="K13" s="47">
        <f t="shared" si="1"/>
        <v>100</v>
      </c>
      <c r="L13" s="47">
        <f t="shared" si="2"/>
        <v>0</v>
      </c>
      <c r="M13" s="47">
        <f t="shared" si="3"/>
        <v>0</v>
      </c>
      <c r="N13" s="68">
        <f t="shared" si="4"/>
        <v>100</v>
      </c>
      <c r="O13" s="46">
        <v>58.7</v>
      </c>
      <c r="P13" s="47"/>
      <c r="Q13" s="47"/>
      <c r="R13" s="48">
        <f t="shared" si="0"/>
        <v>58.7</v>
      </c>
      <c r="S13" s="29">
        <v>1</v>
      </c>
      <c r="T13" s="286"/>
      <c r="U13" s="295"/>
      <c r="V13" s="38" t="s">
        <v>773</v>
      </c>
      <c r="W13" s="29" t="s">
        <v>74</v>
      </c>
      <c r="X13" s="29" t="s">
        <v>11</v>
      </c>
      <c r="Y13" s="39">
        <v>58.7</v>
      </c>
      <c r="AD13" s="91"/>
      <c r="AG13" s="39"/>
      <c r="AL13" s="38"/>
      <c r="AO13" s="39"/>
      <c r="AP13" s="38"/>
      <c r="AS13" s="39"/>
      <c r="AW13" s="39"/>
      <c r="BA13" s="40"/>
    </row>
    <row r="14" spans="1:53" s="29" customFormat="1" x14ac:dyDescent="0.15">
      <c r="A14" s="52">
        <v>1962</v>
      </c>
      <c r="B14" s="295"/>
      <c r="C14" s="411" t="s">
        <v>764</v>
      </c>
      <c r="D14" s="411"/>
      <c r="E14" s="29">
        <v>365</v>
      </c>
      <c r="G14" s="66">
        <v>18</v>
      </c>
      <c r="J14" s="73">
        <v>18</v>
      </c>
      <c r="K14" s="47">
        <f t="shared" si="1"/>
        <v>100</v>
      </c>
      <c r="L14" s="47">
        <f t="shared" si="2"/>
        <v>0</v>
      </c>
      <c r="M14" s="47">
        <f t="shared" si="3"/>
        <v>0</v>
      </c>
      <c r="N14" s="68">
        <f t="shared" si="4"/>
        <v>100</v>
      </c>
      <c r="O14" s="46">
        <v>58.7</v>
      </c>
      <c r="P14" s="47"/>
      <c r="Q14" s="47"/>
      <c r="R14" s="48">
        <f t="shared" si="0"/>
        <v>58.7</v>
      </c>
      <c r="S14" s="29">
        <v>1</v>
      </c>
      <c r="T14" s="286"/>
      <c r="U14" s="295"/>
      <c r="V14" s="38" t="s">
        <v>773</v>
      </c>
      <c r="W14" s="29" t="s">
        <v>74</v>
      </c>
      <c r="X14" s="29" t="s">
        <v>11</v>
      </c>
      <c r="Y14" s="39">
        <v>58.7</v>
      </c>
      <c r="AD14" s="91"/>
      <c r="AG14" s="39"/>
      <c r="AL14" s="38"/>
      <c r="AO14" s="39"/>
      <c r="AP14" s="38"/>
      <c r="AS14" s="39"/>
      <c r="AW14" s="39"/>
      <c r="BA14" s="40"/>
    </row>
    <row r="15" spans="1:53" s="29" customFormat="1" x14ac:dyDescent="0.15">
      <c r="A15" s="52">
        <v>1962.6</v>
      </c>
      <c r="B15" s="295"/>
      <c r="C15" s="411" t="s">
        <v>764</v>
      </c>
      <c r="D15" s="411"/>
      <c r="E15" s="29">
        <v>169</v>
      </c>
      <c r="G15" s="66">
        <v>18</v>
      </c>
      <c r="J15" s="73">
        <v>18</v>
      </c>
      <c r="K15" s="47">
        <f t="shared" si="1"/>
        <v>100</v>
      </c>
      <c r="L15" s="47">
        <f t="shared" si="2"/>
        <v>0</v>
      </c>
      <c r="M15" s="47">
        <f t="shared" si="3"/>
        <v>0</v>
      </c>
      <c r="N15" s="68">
        <f t="shared" si="4"/>
        <v>100</v>
      </c>
      <c r="O15" s="46">
        <v>58.7</v>
      </c>
      <c r="P15" s="47"/>
      <c r="Q15" s="47"/>
      <c r="R15" s="48">
        <f t="shared" si="0"/>
        <v>58.7</v>
      </c>
      <c r="S15" s="29">
        <v>1</v>
      </c>
      <c r="T15" s="286"/>
      <c r="U15" s="295"/>
      <c r="V15" s="38" t="s">
        <v>773</v>
      </c>
      <c r="W15" s="29" t="s">
        <v>74</v>
      </c>
      <c r="X15" s="29" t="s">
        <v>11</v>
      </c>
      <c r="Y15" s="39">
        <v>58.7</v>
      </c>
      <c r="AD15" s="91"/>
      <c r="AG15" s="39"/>
      <c r="AL15" s="38"/>
      <c r="AO15" s="39"/>
      <c r="AP15" s="38"/>
      <c r="AS15" s="39"/>
      <c r="AW15" s="39"/>
      <c r="BA15" s="40"/>
    </row>
    <row r="16" spans="1:53" s="171" customFormat="1" x14ac:dyDescent="0.15">
      <c r="A16" s="216">
        <v>1963.05714285714</v>
      </c>
      <c r="B16" s="283">
        <v>23181</v>
      </c>
      <c r="C16" s="410" t="s">
        <v>765</v>
      </c>
      <c r="D16" s="410"/>
      <c r="E16" s="171">
        <v>101</v>
      </c>
      <c r="F16" s="171">
        <v>2</v>
      </c>
      <c r="G16" s="233">
        <v>0</v>
      </c>
      <c r="H16" s="171">
        <v>0</v>
      </c>
      <c r="I16" s="171">
        <v>0</v>
      </c>
      <c r="J16" s="241">
        <v>17</v>
      </c>
      <c r="K16" s="214">
        <f t="shared" si="1"/>
        <v>0</v>
      </c>
      <c r="L16" s="214">
        <f t="shared" si="2"/>
        <v>0</v>
      </c>
      <c r="M16" s="214">
        <f t="shared" si="3"/>
        <v>0</v>
      </c>
      <c r="N16" s="235">
        <f t="shared" si="4"/>
        <v>0</v>
      </c>
      <c r="O16" s="213">
        <v>0</v>
      </c>
      <c r="P16" s="214">
        <v>0</v>
      </c>
      <c r="Q16" s="214">
        <v>0</v>
      </c>
      <c r="R16" s="215">
        <f t="shared" si="0"/>
        <v>0</v>
      </c>
      <c r="S16" s="171">
        <v>6</v>
      </c>
      <c r="T16" s="285"/>
      <c r="U16" s="283">
        <v>23181</v>
      </c>
      <c r="V16" s="242" t="s">
        <v>797</v>
      </c>
      <c r="Y16" s="179"/>
      <c r="AD16" s="251"/>
      <c r="AG16" s="179"/>
      <c r="AL16" s="178"/>
      <c r="AO16" s="179"/>
      <c r="AP16" s="178"/>
      <c r="AS16" s="179"/>
      <c r="AW16" s="179"/>
      <c r="BA16" s="180"/>
    </row>
    <row r="17" spans="1:53" s="29" customFormat="1" x14ac:dyDescent="0.15">
      <c r="A17" s="52">
        <v>1963.05714285714</v>
      </c>
      <c r="B17" s="295">
        <v>23282</v>
      </c>
      <c r="C17" s="411" t="s">
        <v>766</v>
      </c>
      <c r="D17" s="411"/>
      <c r="E17" s="29">
        <v>41</v>
      </c>
      <c r="F17" s="29">
        <v>2</v>
      </c>
      <c r="G17" s="66">
        <v>0</v>
      </c>
      <c r="H17" s="29">
        <v>0</v>
      </c>
      <c r="I17" s="29">
        <v>0</v>
      </c>
      <c r="J17" s="73">
        <v>16</v>
      </c>
      <c r="K17" s="47">
        <f t="shared" si="1"/>
        <v>0</v>
      </c>
      <c r="L17" s="47">
        <f t="shared" si="2"/>
        <v>0</v>
      </c>
      <c r="M17" s="47">
        <f t="shared" si="3"/>
        <v>0</v>
      </c>
      <c r="N17" s="68">
        <f t="shared" si="4"/>
        <v>0</v>
      </c>
      <c r="O17" s="46">
        <v>0</v>
      </c>
      <c r="P17" s="47">
        <v>0</v>
      </c>
      <c r="Q17" s="47">
        <v>0</v>
      </c>
      <c r="R17" s="48">
        <f t="shared" si="0"/>
        <v>0</v>
      </c>
      <c r="S17" s="29">
        <v>6</v>
      </c>
      <c r="T17" s="286"/>
      <c r="U17" s="295">
        <v>23282</v>
      </c>
      <c r="V17" s="89" t="s">
        <v>797</v>
      </c>
      <c r="Y17" s="39"/>
      <c r="AD17" s="91"/>
      <c r="AG17" s="39"/>
      <c r="AL17" s="38"/>
      <c r="AO17" s="39"/>
      <c r="AP17" s="38"/>
      <c r="AS17" s="39"/>
      <c r="AW17" s="39"/>
      <c r="BA17" s="40"/>
    </row>
    <row r="18" spans="1:53" s="171" customFormat="1" x14ac:dyDescent="0.15">
      <c r="A18" s="216">
        <v>1963.05714285714</v>
      </c>
      <c r="B18" s="283">
        <v>23323</v>
      </c>
      <c r="C18" s="410" t="s">
        <v>1356</v>
      </c>
      <c r="D18" s="410"/>
      <c r="E18" s="171">
        <v>53</v>
      </c>
      <c r="F18" s="171">
        <v>1</v>
      </c>
      <c r="G18" s="233">
        <v>21</v>
      </c>
      <c r="J18" s="241">
        <v>21</v>
      </c>
      <c r="K18" s="214">
        <f t="shared" si="1"/>
        <v>100</v>
      </c>
      <c r="L18" s="214">
        <f t="shared" si="2"/>
        <v>0</v>
      </c>
      <c r="M18" s="214">
        <f t="shared" si="3"/>
        <v>0</v>
      </c>
      <c r="N18" s="235">
        <f t="shared" si="4"/>
        <v>100</v>
      </c>
      <c r="O18" s="213">
        <v>46</v>
      </c>
      <c r="P18" s="214"/>
      <c r="Q18" s="214"/>
      <c r="R18" s="215">
        <f t="shared" si="0"/>
        <v>46</v>
      </c>
      <c r="S18" s="171">
        <v>4</v>
      </c>
      <c r="T18" s="285">
        <v>23318</v>
      </c>
      <c r="U18" s="283">
        <v>23323</v>
      </c>
      <c r="V18" s="178" t="s">
        <v>565</v>
      </c>
      <c r="W18" s="171" t="s">
        <v>22</v>
      </c>
      <c r="X18" s="171" t="s">
        <v>11</v>
      </c>
      <c r="Y18" s="179">
        <v>46</v>
      </c>
      <c r="AD18" s="251"/>
      <c r="AG18" s="179"/>
      <c r="AL18" s="178"/>
      <c r="AO18" s="179"/>
      <c r="AP18" s="178"/>
      <c r="AS18" s="179"/>
      <c r="AW18" s="179"/>
      <c r="BA18" s="180"/>
    </row>
    <row r="19" spans="1:53" s="29" customFormat="1" x14ac:dyDescent="0.15">
      <c r="A19" s="52">
        <v>1963.05714285714</v>
      </c>
      <c r="B19" s="295">
        <v>23376</v>
      </c>
      <c r="C19" s="411" t="s">
        <v>767</v>
      </c>
      <c r="D19" s="411"/>
      <c r="E19" s="29">
        <v>1</v>
      </c>
      <c r="F19" s="29">
        <v>5</v>
      </c>
      <c r="G19" s="66">
        <v>0</v>
      </c>
      <c r="H19" s="29">
        <v>0</v>
      </c>
      <c r="I19" s="29">
        <v>0</v>
      </c>
      <c r="J19" s="73">
        <v>17</v>
      </c>
      <c r="K19" s="47">
        <f t="shared" si="1"/>
        <v>0</v>
      </c>
      <c r="L19" s="47">
        <f t="shared" si="2"/>
        <v>0</v>
      </c>
      <c r="M19" s="47">
        <f t="shared" si="3"/>
        <v>0</v>
      </c>
      <c r="N19" s="68">
        <f t="shared" si="4"/>
        <v>0</v>
      </c>
      <c r="O19" s="46">
        <v>0</v>
      </c>
      <c r="P19" s="47">
        <v>0</v>
      </c>
      <c r="Q19" s="47">
        <v>0</v>
      </c>
      <c r="R19" s="48">
        <f t="shared" si="0"/>
        <v>0</v>
      </c>
      <c r="S19" s="29">
        <v>6</v>
      </c>
      <c r="T19" s="286"/>
      <c r="U19" s="295">
        <v>23376</v>
      </c>
      <c r="V19" s="89" t="s">
        <v>797</v>
      </c>
      <c r="Y19" s="39"/>
      <c r="AD19" s="91"/>
      <c r="AG19" s="39"/>
      <c r="AL19" s="38"/>
      <c r="AO19" s="39"/>
      <c r="AP19" s="38"/>
      <c r="AS19" s="39"/>
      <c r="AW19" s="39"/>
      <c r="BA19" s="40"/>
    </row>
    <row r="20" spans="1:53" s="29" customFormat="1" x14ac:dyDescent="0.15">
      <c r="A20" s="52">
        <v>1963.5142857142901</v>
      </c>
      <c r="B20" s="295"/>
      <c r="C20" s="411" t="s">
        <v>767</v>
      </c>
      <c r="D20" s="411"/>
      <c r="E20" s="29">
        <v>49</v>
      </c>
      <c r="G20" s="66">
        <v>0</v>
      </c>
      <c r="H20" s="29">
        <v>0</v>
      </c>
      <c r="I20" s="29">
        <v>0</v>
      </c>
      <c r="J20" s="73">
        <v>17</v>
      </c>
      <c r="K20" s="47">
        <f t="shared" si="1"/>
        <v>0</v>
      </c>
      <c r="L20" s="47">
        <f t="shared" si="2"/>
        <v>0</v>
      </c>
      <c r="M20" s="47">
        <f t="shared" si="3"/>
        <v>0</v>
      </c>
      <c r="N20" s="68">
        <f t="shared" si="4"/>
        <v>0</v>
      </c>
      <c r="O20" s="46">
        <v>0</v>
      </c>
      <c r="P20" s="47">
        <v>0</v>
      </c>
      <c r="Q20" s="47">
        <v>0</v>
      </c>
      <c r="R20" s="48">
        <f t="shared" si="0"/>
        <v>0</v>
      </c>
      <c r="S20" s="29">
        <v>6</v>
      </c>
      <c r="T20" s="286"/>
      <c r="U20" s="295"/>
      <c r="V20" s="89" t="s">
        <v>797</v>
      </c>
      <c r="Y20" s="39"/>
      <c r="AD20" s="91"/>
      <c r="AG20" s="39"/>
      <c r="AL20" s="38"/>
      <c r="AO20" s="39"/>
      <c r="AP20" s="38"/>
      <c r="AS20" s="39"/>
      <c r="AW20" s="39"/>
      <c r="BA20" s="40"/>
    </row>
    <row r="21" spans="1:53" s="171" customFormat="1" x14ac:dyDescent="0.15">
      <c r="A21" s="216">
        <v>1963.9714285714299</v>
      </c>
      <c r="B21" s="283">
        <v>23426</v>
      </c>
      <c r="C21" s="410" t="s">
        <v>1357</v>
      </c>
      <c r="D21" s="410"/>
      <c r="E21" s="171">
        <v>317</v>
      </c>
      <c r="F21" s="171">
        <v>1</v>
      </c>
      <c r="G21" s="233">
        <v>21</v>
      </c>
      <c r="J21" s="241">
        <v>21</v>
      </c>
      <c r="K21" s="214">
        <f t="shared" si="1"/>
        <v>100</v>
      </c>
      <c r="L21" s="214">
        <f t="shared" si="2"/>
        <v>0</v>
      </c>
      <c r="M21" s="214">
        <f t="shared" si="3"/>
        <v>0</v>
      </c>
      <c r="N21" s="235">
        <f t="shared" si="4"/>
        <v>100</v>
      </c>
      <c r="O21" s="213">
        <v>57</v>
      </c>
      <c r="P21" s="214"/>
      <c r="Q21" s="214"/>
      <c r="R21" s="215">
        <f t="shared" si="0"/>
        <v>57</v>
      </c>
      <c r="S21" s="171">
        <v>1</v>
      </c>
      <c r="T21" s="285">
        <v>23423</v>
      </c>
      <c r="U21" s="283">
        <v>23426</v>
      </c>
      <c r="V21" s="178" t="s">
        <v>565</v>
      </c>
      <c r="W21" s="171" t="s">
        <v>22</v>
      </c>
      <c r="X21" s="171" t="s">
        <v>11</v>
      </c>
      <c r="Y21" s="179">
        <v>57</v>
      </c>
      <c r="AD21" s="251"/>
      <c r="AG21" s="179"/>
      <c r="AL21" s="178"/>
      <c r="AO21" s="179"/>
      <c r="AP21" s="178"/>
      <c r="AS21" s="179"/>
      <c r="AW21" s="179"/>
      <c r="BA21" s="180"/>
    </row>
    <row r="22" spans="1:53" s="171" customFormat="1" x14ac:dyDescent="0.15">
      <c r="A22" s="216">
        <v>1965</v>
      </c>
      <c r="B22" s="283"/>
      <c r="C22" s="410" t="s">
        <v>1357</v>
      </c>
      <c r="D22" s="410"/>
      <c r="E22" s="171">
        <v>196</v>
      </c>
      <c r="G22" s="233">
        <v>21</v>
      </c>
      <c r="J22" s="241">
        <v>21</v>
      </c>
      <c r="K22" s="214">
        <f t="shared" si="1"/>
        <v>100</v>
      </c>
      <c r="L22" s="214">
        <f t="shared" si="2"/>
        <v>0</v>
      </c>
      <c r="M22" s="214">
        <f t="shared" si="3"/>
        <v>0</v>
      </c>
      <c r="N22" s="235">
        <f t="shared" si="4"/>
        <v>100</v>
      </c>
      <c r="O22" s="213">
        <v>57</v>
      </c>
      <c r="P22" s="214"/>
      <c r="Q22" s="214"/>
      <c r="R22" s="215">
        <f t="shared" si="0"/>
        <v>57</v>
      </c>
      <c r="S22" s="171">
        <v>1</v>
      </c>
      <c r="T22" s="285"/>
      <c r="U22" s="283"/>
      <c r="V22" s="178" t="s">
        <v>565</v>
      </c>
      <c r="W22" s="171" t="s">
        <v>22</v>
      </c>
      <c r="X22" s="171" t="s">
        <v>11</v>
      </c>
      <c r="Y22" s="179">
        <v>57</v>
      </c>
      <c r="AD22" s="251"/>
      <c r="AG22" s="179"/>
      <c r="AL22" s="178"/>
      <c r="AO22" s="179"/>
      <c r="AP22" s="178"/>
      <c r="AS22" s="179"/>
      <c r="AW22" s="179"/>
      <c r="BA22" s="180"/>
    </row>
    <row r="23" spans="1:53" s="29" customFormat="1" x14ac:dyDescent="0.15">
      <c r="A23" s="52">
        <v>1965</v>
      </c>
      <c r="B23" s="295">
        <v>23939</v>
      </c>
      <c r="C23" s="411" t="s">
        <v>768</v>
      </c>
      <c r="D23" s="411"/>
      <c r="E23" s="29">
        <v>35</v>
      </c>
      <c r="F23" s="29">
        <v>6</v>
      </c>
      <c r="G23" s="66">
        <v>16</v>
      </c>
      <c r="J23" s="73">
        <v>16</v>
      </c>
      <c r="K23" s="47">
        <f t="shared" si="1"/>
        <v>100</v>
      </c>
      <c r="L23" s="47">
        <f t="shared" si="2"/>
        <v>0</v>
      </c>
      <c r="M23" s="47">
        <f t="shared" si="3"/>
        <v>0</v>
      </c>
      <c r="N23" s="68">
        <f t="shared" si="4"/>
        <v>100</v>
      </c>
      <c r="O23" s="46">
        <v>57</v>
      </c>
      <c r="P23" s="47"/>
      <c r="Q23" s="47"/>
      <c r="R23" s="48">
        <f t="shared" si="0"/>
        <v>57</v>
      </c>
      <c r="S23" s="29">
        <v>1</v>
      </c>
      <c r="T23" s="286"/>
      <c r="U23" s="295">
        <v>23939</v>
      </c>
      <c r="V23" s="38" t="s">
        <v>565</v>
      </c>
      <c r="W23" s="29" t="s">
        <v>22</v>
      </c>
      <c r="X23" s="29" t="s">
        <v>11</v>
      </c>
      <c r="Y23" s="39">
        <v>57</v>
      </c>
      <c r="AD23" s="91"/>
      <c r="AG23" s="39"/>
      <c r="AL23" s="38"/>
      <c r="AO23" s="39"/>
      <c r="AP23" s="38"/>
      <c r="AS23" s="39"/>
      <c r="AW23" s="39"/>
      <c r="BA23" s="40"/>
    </row>
    <row r="24" spans="1:53" s="171" customFormat="1" x14ac:dyDescent="0.15">
      <c r="A24" s="216">
        <v>1965</v>
      </c>
      <c r="B24" s="283">
        <v>23974</v>
      </c>
      <c r="C24" s="410" t="s">
        <v>769</v>
      </c>
      <c r="D24" s="410"/>
      <c r="E24" s="171">
        <v>28</v>
      </c>
      <c r="F24" s="171">
        <v>5</v>
      </c>
      <c r="G24" s="233">
        <v>12</v>
      </c>
      <c r="J24" s="241">
        <v>12</v>
      </c>
      <c r="K24" s="214">
        <f t="shared" si="1"/>
        <v>100</v>
      </c>
      <c r="L24" s="214">
        <f t="shared" si="2"/>
        <v>0</v>
      </c>
      <c r="M24" s="214">
        <f t="shared" si="3"/>
        <v>0</v>
      </c>
      <c r="N24" s="235">
        <f t="shared" si="4"/>
        <v>100</v>
      </c>
      <c r="O24" s="213">
        <v>12</v>
      </c>
      <c r="P24" s="214"/>
      <c r="Q24" s="214"/>
      <c r="R24" s="215">
        <f t="shared" si="0"/>
        <v>12</v>
      </c>
      <c r="S24" s="171">
        <v>4</v>
      </c>
      <c r="T24" s="285"/>
      <c r="U24" s="283">
        <v>23974</v>
      </c>
      <c r="V24" s="178" t="s">
        <v>774</v>
      </c>
      <c r="W24" s="171" t="s">
        <v>22</v>
      </c>
      <c r="X24" s="171" t="s">
        <v>11</v>
      </c>
      <c r="Y24" s="179">
        <v>12</v>
      </c>
      <c r="AD24" s="178"/>
      <c r="AG24" s="179"/>
      <c r="AL24" s="178"/>
      <c r="AO24" s="179"/>
      <c r="AP24" s="178"/>
      <c r="AS24" s="179"/>
      <c r="AW24" s="179"/>
      <c r="BA24" s="180"/>
    </row>
    <row r="25" spans="1:53" s="29" customFormat="1" x14ac:dyDescent="0.15">
      <c r="A25" s="52">
        <v>1964.88571428572</v>
      </c>
      <c r="B25" s="295">
        <v>24002</v>
      </c>
      <c r="C25" s="411" t="s">
        <v>770</v>
      </c>
      <c r="D25" s="411"/>
      <c r="E25" s="29">
        <v>106</v>
      </c>
      <c r="F25" s="29">
        <v>5</v>
      </c>
      <c r="G25" s="66">
        <v>25</v>
      </c>
      <c r="J25" s="73">
        <v>25</v>
      </c>
      <c r="K25" s="47">
        <f t="shared" si="1"/>
        <v>100</v>
      </c>
      <c r="L25" s="47">
        <f t="shared" si="2"/>
        <v>0</v>
      </c>
      <c r="M25" s="47">
        <f t="shared" si="3"/>
        <v>0</v>
      </c>
      <c r="N25" s="68">
        <f t="shared" si="4"/>
        <v>100</v>
      </c>
      <c r="O25" s="46">
        <v>50.7</v>
      </c>
      <c r="P25" s="47"/>
      <c r="Q25" s="47"/>
      <c r="R25" s="48">
        <f t="shared" si="0"/>
        <v>50.7</v>
      </c>
      <c r="S25" s="29">
        <v>2</v>
      </c>
      <c r="T25" s="286"/>
      <c r="U25" s="295">
        <v>24002</v>
      </c>
      <c r="V25" s="38" t="s">
        <v>774</v>
      </c>
      <c r="W25" s="29" t="s">
        <v>22</v>
      </c>
      <c r="X25" s="29" t="s">
        <v>11</v>
      </c>
      <c r="Y25" s="39">
        <v>15</v>
      </c>
      <c r="Z25" s="29" t="s">
        <v>773</v>
      </c>
      <c r="AA25" s="29" t="s">
        <v>74</v>
      </c>
      <c r="AB25" s="29" t="s">
        <v>11</v>
      </c>
      <c r="AC25" s="29">
        <v>33</v>
      </c>
      <c r="AD25" s="38" t="s">
        <v>1277</v>
      </c>
      <c r="AE25" s="29" t="s">
        <v>75</v>
      </c>
      <c r="AF25" s="29" t="s">
        <v>11</v>
      </c>
      <c r="AG25" s="39">
        <v>2.7</v>
      </c>
      <c r="AL25" s="38"/>
      <c r="AO25" s="39"/>
      <c r="AP25" s="38"/>
      <c r="AS25" s="39"/>
      <c r="AW25" s="39"/>
      <c r="BA25" s="40"/>
    </row>
    <row r="26" spans="1:53" s="29" customFormat="1" x14ac:dyDescent="0.15">
      <c r="A26" s="52">
        <v>1966</v>
      </c>
      <c r="B26" s="295"/>
      <c r="C26" s="411" t="s">
        <v>770</v>
      </c>
      <c r="D26" s="411"/>
      <c r="E26" s="29">
        <v>355</v>
      </c>
      <c r="G26" s="66">
        <v>25</v>
      </c>
      <c r="J26" s="73">
        <v>25</v>
      </c>
      <c r="K26" s="47">
        <f t="shared" si="1"/>
        <v>100</v>
      </c>
      <c r="L26" s="47">
        <f t="shared" si="2"/>
        <v>0</v>
      </c>
      <c r="M26" s="47">
        <f t="shared" si="3"/>
        <v>0</v>
      </c>
      <c r="N26" s="68">
        <f t="shared" si="4"/>
        <v>100</v>
      </c>
      <c r="O26" s="46">
        <v>50.7</v>
      </c>
      <c r="P26" s="47"/>
      <c r="Q26" s="47"/>
      <c r="R26" s="48">
        <f t="shared" si="0"/>
        <v>50.7</v>
      </c>
      <c r="S26" s="29">
        <v>2</v>
      </c>
      <c r="T26" s="286"/>
      <c r="U26" s="295"/>
      <c r="V26" s="38" t="s">
        <v>774</v>
      </c>
      <c r="W26" s="29" t="s">
        <v>22</v>
      </c>
      <c r="X26" s="29" t="s">
        <v>11</v>
      </c>
      <c r="Y26" s="39">
        <v>15</v>
      </c>
      <c r="Z26" s="29" t="s">
        <v>773</v>
      </c>
      <c r="AA26" s="29" t="s">
        <v>74</v>
      </c>
      <c r="AB26" s="29" t="s">
        <v>11</v>
      </c>
      <c r="AC26" s="29">
        <v>33</v>
      </c>
      <c r="AD26" s="38" t="s">
        <v>1277</v>
      </c>
      <c r="AE26" s="29" t="s">
        <v>75</v>
      </c>
      <c r="AF26" s="29" t="s">
        <v>11</v>
      </c>
      <c r="AG26" s="39">
        <v>2.7</v>
      </c>
      <c r="AL26" s="38"/>
      <c r="AO26" s="39"/>
      <c r="AP26" s="38"/>
      <c r="AS26" s="39"/>
      <c r="AW26" s="39"/>
      <c r="BA26" s="40"/>
    </row>
    <row r="27" spans="1:53" s="171" customFormat="1" x14ac:dyDescent="0.15">
      <c r="A27" s="216">
        <v>1965.8</v>
      </c>
      <c r="B27" s="283">
        <v>24463</v>
      </c>
      <c r="C27" s="410" t="s">
        <v>771</v>
      </c>
      <c r="D27" s="410"/>
      <c r="E27" s="171">
        <v>10</v>
      </c>
      <c r="F27" s="171">
        <v>4</v>
      </c>
      <c r="G27" s="233">
        <v>0</v>
      </c>
      <c r="H27" s="171">
        <v>0</v>
      </c>
      <c r="I27" s="171">
        <v>0</v>
      </c>
      <c r="J27" s="241">
        <v>17</v>
      </c>
      <c r="K27" s="214">
        <f t="shared" si="1"/>
        <v>0</v>
      </c>
      <c r="L27" s="214">
        <f t="shared" si="2"/>
        <v>0</v>
      </c>
      <c r="M27" s="214">
        <f t="shared" si="3"/>
        <v>0</v>
      </c>
      <c r="N27" s="235">
        <f t="shared" si="4"/>
        <v>0</v>
      </c>
      <c r="O27" s="213">
        <v>0</v>
      </c>
      <c r="P27" s="214">
        <v>0</v>
      </c>
      <c r="Q27" s="214">
        <v>0</v>
      </c>
      <c r="R27" s="215">
        <f t="shared" si="0"/>
        <v>0</v>
      </c>
      <c r="S27" s="171">
        <v>6</v>
      </c>
      <c r="T27" s="285"/>
      <c r="U27" s="283">
        <v>24463</v>
      </c>
      <c r="V27" s="242" t="s">
        <v>797</v>
      </c>
      <c r="Y27" s="179"/>
      <c r="AD27" s="178"/>
      <c r="AG27" s="179"/>
      <c r="AL27" s="178"/>
      <c r="AO27" s="179"/>
      <c r="AP27" s="178"/>
      <c r="AS27" s="179"/>
      <c r="AW27" s="179"/>
      <c r="BA27" s="180"/>
    </row>
    <row r="28" spans="1:53" s="171" customFormat="1" x14ac:dyDescent="0.15">
      <c r="A28" s="216">
        <v>1967</v>
      </c>
      <c r="B28" s="283"/>
      <c r="C28" s="410" t="s">
        <v>771</v>
      </c>
      <c r="D28" s="410"/>
      <c r="E28" s="171">
        <v>92</v>
      </c>
      <c r="G28" s="233">
        <v>0</v>
      </c>
      <c r="H28" s="171">
        <v>0</v>
      </c>
      <c r="I28" s="171">
        <v>0</v>
      </c>
      <c r="J28" s="241">
        <v>17</v>
      </c>
      <c r="K28" s="214">
        <f>G28/J28*100</f>
        <v>0</v>
      </c>
      <c r="L28" s="214">
        <f>H28/J28*100</f>
        <v>0</v>
      </c>
      <c r="M28" s="214">
        <f>I28/J28*100</f>
        <v>0</v>
      </c>
      <c r="N28" s="235">
        <f>SUM(K28:M28)</f>
        <v>0</v>
      </c>
      <c r="O28" s="213">
        <v>0</v>
      </c>
      <c r="P28" s="214">
        <v>0</v>
      </c>
      <c r="Q28" s="214">
        <v>0</v>
      </c>
      <c r="R28" s="215">
        <f t="shared" si="0"/>
        <v>0</v>
      </c>
      <c r="S28" s="171">
        <v>6</v>
      </c>
      <c r="T28" s="285"/>
      <c r="U28" s="283"/>
      <c r="V28" s="242" t="s">
        <v>797</v>
      </c>
      <c r="Y28" s="179"/>
      <c r="AD28" s="178"/>
      <c r="AG28" s="179"/>
      <c r="AL28" s="178"/>
      <c r="AO28" s="179"/>
      <c r="AP28" s="178"/>
      <c r="AS28" s="179"/>
      <c r="AW28" s="179"/>
      <c r="BA28" s="180"/>
    </row>
    <row r="29" spans="1:53" s="29" customFormat="1" x14ac:dyDescent="0.15">
      <c r="A29" s="52">
        <v>1966.7142857142901</v>
      </c>
      <c r="B29" s="295">
        <v>24565</v>
      </c>
      <c r="C29" s="411" t="s">
        <v>775</v>
      </c>
      <c r="D29" s="411"/>
      <c r="E29" s="29">
        <v>18</v>
      </c>
      <c r="F29" s="29">
        <v>2</v>
      </c>
      <c r="G29" s="66">
        <v>16</v>
      </c>
      <c r="J29" s="73">
        <v>16</v>
      </c>
      <c r="K29" s="47">
        <f>G29/J29*100</f>
        <v>100</v>
      </c>
      <c r="L29" s="47">
        <f>H29/J29*100</f>
        <v>0</v>
      </c>
      <c r="M29" s="47">
        <f>I29/J29*100</f>
        <v>0</v>
      </c>
      <c r="N29" s="68">
        <f>SUM(K29:M29)</f>
        <v>100</v>
      </c>
      <c r="O29" s="46">
        <v>33.299999999999997</v>
      </c>
      <c r="P29" s="47"/>
      <c r="Q29" s="47"/>
      <c r="R29" s="48">
        <f>SUM(O29:Q29)</f>
        <v>33.299999999999997</v>
      </c>
      <c r="S29" s="29">
        <v>6</v>
      </c>
      <c r="T29" s="286"/>
      <c r="U29" s="295">
        <v>24565</v>
      </c>
      <c r="V29" s="38" t="s">
        <v>773</v>
      </c>
      <c r="W29" s="29" t="s">
        <v>74</v>
      </c>
      <c r="X29" s="29" t="s">
        <v>11</v>
      </c>
      <c r="Y29" s="39">
        <v>33.299999999999997</v>
      </c>
      <c r="AD29" s="38"/>
      <c r="AG29" s="39"/>
      <c r="AL29" s="38"/>
      <c r="AO29" s="39"/>
      <c r="AP29" s="38"/>
      <c r="AS29" s="39"/>
      <c r="AW29" s="39"/>
      <c r="BA29" s="40"/>
    </row>
    <row r="30" spans="1:53" s="171" customFormat="1" x14ac:dyDescent="0.15">
      <c r="A30" s="216">
        <v>1967</v>
      </c>
      <c r="B30" s="283">
        <v>24583</v>
      </c>
      <c r="C30" s="436" t="s">
        <v>776</v>
      </c>
      <c r="D30" s="436"/>
      <c r="E30" s="171">
        <v>255</v>
      </c>
      <c r="F30" s="171" t="s">
        <v>335</v>
      </c>
      <c r="G30" s="233"/>
      <c r="J30" s="241"/>
      <c r="K30" s="214"/>
      <c r="L30" s="214"/>
      <c r="M30" s="214"/>
      <c r="N30" s="235"/>
      <c r="O30" s="213"/>
      <c r="P30" s="214"/>
      <c r="Q30" s="214"/>
      <c r="R30" s="215"/>
      <c r="T30" s="285"/>
      <c r="U30" s="283"/>
      <c r="V30" s="178"/>
      <c r="Y30" s="179"/>
      <c r="AD30" s="178"/>
      <c r="AG30" s="179"/>
      <c r="AL30" s="178"/>
      <c r="AO30" s="179"/>
      <c r="AP30" s="178"/>
      <c r="AS30" s="179"/>
      <c r="AW30" s="179"/>
      <c r="BA30" s="180"/>
    </row>
    <row r="31" spans="1:53" s="171" customFormat="1" x14ac:dyDescent="0.15">
      <c r="A31" s="216">
        <v>1968</v>
      </c>
      <c r="B31" s="283"/>
      <c r="C31" s="436" t="s">
        <v>776</v>
      </c>
      <c r="D31" s="436"/>
      <c r="E31" s="171">
        <v>0</v>
      </c>
      <c r="G31" s="233"/>
      <c r="J31" s="241"/>
      <c r="K31" s="214"/>
      <c r="L31" s="214"/>
      <c r="M31" s="214"/>
      <c r="N31" s="235"/>
      <c r="O31" s="213"/>
      <c r="P31" s="214"/>
      <c r="Q31" s="214"/>
      <c r="R31" s="215"/>
      <c r="T31" s="285"/>
      <c r="U31" s="283"/>
      <c r="V31" s="178"/>
      <c r="Y31" s="179"/>
      <c r="AD31" s="178"/>
      <c r="AG31" s="179"/>
      <c r="AL31" s="178"/>
      <c r="AO31" s="179"/>
      <c r="AP31" s="178"/>
      <c r="AS31" s="179"/>
      <c r="AW31" s="179"/>
      <c r="BA31" s="180"/>
    </row>
    <row r="32" spans="1:53" s="171" customFormat="1" x14ac:dyDescent="0.15">
      <c r="A32" s="216">
        <v>1967.62857142857</v>
      </c>
      <c r="B32" s="283"/>
      <c r="C32" s="436" t="s">
        <v>776</v>
      </c>
      <c r="D32" s="436"/>
      <c r="E32" s="171">
        <v>366</v>
      </c>
      <c r="G32" s="233"/>
      <c r="J32" s="241"/>
      <c r="K32" s="214"/>
      <c r="L32" s="214"/>
      <c r="M32" s="214"/>
      <c r="N32" s="235"/>
      <c r="O32" s="213"/>
      <c r="P32" s="214"/>
      <c r="Q32" s="214"/>
      <c r="R32" s="215"/>
      <c r="T32" s="285"/>
      <c r="U32" s="283"/>
      <c r="V32" s="178"/>
      <c r="Y32" s="179"/>
      <c r="AD32" s="251"/>
      <c r="AG32" s="179"/>
      <c r="AL32" s="178"/>
      <c r="AO32" s="179"/>
      <c r="AP32" s="178"/>
      <c r="AS32" s="179"/>
      <c r="AW32" s="179"/>
      <c r="BA32" s="180"/>
    </row>
    <row r="33" spans="1:53" s="171" customFormat="1" x14ac:dyDescent="0.15">
      <c r="A33" s="216">
        <v>1969</v>
      </c>
      <c r="B33" s="283"/>
      <c r="C33" s="436" t="s">
        <v>776</v>
      </c>
      <c r="D33" s="436"/>
      <c r="E33" s="171">
        <v>0</v>
      </c>
      <c r="G33" s="233"/>
      <c r="J33" s="241"/>
      <c r="K33" s="214"/>
      <c r="L33" s="214"/>
      <c r="M33" s="214"/>
      <c r="N33" s="235"/>
      <c r="O33" s="213"/>
      <c r="P33" s="214"/>
      <c r="Q33" s="214"/>
      <c r="R33" s="215"/>
      <c r="T33" s="285"/>
      <c r="U33" s="283"/>
      <c r="V33" s="178"/>
      <c r="Y33" s="179"/>
      <c r="AD33" s="251"/>
      <c r="AG33" s="179"/>
      <c r="AL33" s="178"/>
      <c r="AO33" s="179"/>
      <c r="AP33" s="178"/>
      <c r="AS33" s="179"/>
      <c r="AW33" s="179"/>
      <c r="BA33" s="180"/>
    </row>
    <row r="34" spans="1:53" s="171" customFormat="1" x14ac:dyDescent="0.15">
      <c r="A34" s="216">
        <v>1968.5428571428599</v>
      </c>
      <c r="B34" s="283"/>
      <c r="C34" s="436" t="s">
        <v>776</v>
      </c>
      <c r="D34" s="436"/>
      <c r="E34" s="171">
        <v>365</v>
      </c>
      <c r="G34" s="233"/>
      <c r="J34" s="241"/>
      <c r="K34" s="214"/>
      <c r="L34" s="214"/>
      <c r="M34" s="214"/>
      <c r="N34" s="235"/>
      <c r="O34" s="213"/>
      <c r="P34" s="214"/>
      <c r="Q34" s="214"/>
      <c r="R34" s="215"/>
      <c r="T34" s="285"/>
      <c r="U34" s="283"/>
      <c r="V34" s="178"/>
      <c r="Y34" s="179"/>
      <c r="AD34" s="251"/>
      <c r="AG34" s="179"/>
      <c r="AL34" s="178"/>
      <c r="AO34" s="179"/>
      <c r="AP34" s="178"/>
      <c r="AS34" s="179"/>
      <c r="AW34" s="179"/>
      <c r="BA34" s="180"/>
    </row>
    <row r="35" spans="1:53" s="171" customFormat="1" x14ac:dyDescent="0.15">
      <c r="A35" s="216">
        <v>1970</v>
      </c>
      <c r="B35" s="283"/>
      <c r="C35" s="436" t="s">
        <v>776</v>
      </c>
      <c r="D35" s="436"/>
      <c r="E35" s="171">
        <v>0</v>
      </c>
      <c r="G35" s="233"/>
      <c r="J35" s="241"/>
      <c r="K35" s="214"/>
      <c r="L35" s="214"/>
      <c r="M35" s="214"/>
      <c r="N35" s="235"/>
      <c r="O35" s="213"/>
      <c r="P35" s="214"/>
      <c r="Q35" s="214"/>
      <c r="R35" s="215"/>
      <c r="T35" s="285"/>
      <c r="U35" s="283"/>
      <c r="V35" s="178"/>
      <c r="Y35" s="179"/>
      <c r="AD35" s="251"/>
      <c r="AG35" s="179"/>
      <c r="AL35" s="178"/>
      <c r="AO35" s="179"/>
      <c r="AP35" s="178"/>
      <c r="AS35" s="179"/>
      <c r="AW35" s="179"/>
      <c r="BA35" s="180"/>
    </row>
    <row r="36" spans="1:53" s="171" customFormat="1" x14ac:dyDescent="0.15">
      <c r="A36" s="216">
        <v>1970</v>
      </c>
      <c r="B36" s="283"/>
      <c r="C36" s="436" t="s">
        <v>776</v>
      </c>
      <c r="D36" s="436"/>
      <c r="E36" s="171">
        <v>365</v>
      </c>
      <c r="G36" s="233"/>
      <c r="J36" s="241"/>
      <c r="K36" s="214"/>
      <c r="L36" s="214"/>
      <c r="M36" s="214"/>
      <c r="N36" s="235"/>
      <c r="O36" s="213"/>
      <c r="P36" s="214"/>
      <c r="Q36" s="214"/>
      <c r="R36" s="215"/>
      <c r="T36" s="285"/>
      <c r="U36" s="283"/>
      <c r="V36" s="178"/>
      <c r="Y36" s="179"/>
      <c r="AD36" s="251"/>
      <c r="AG36" s="179"/>
      <c r="AL36" s="178"/>
      <c r="AO36" s="179"/>
      <c r="AP36" s="178"/>
      <c r="AS36" s="179"/>
      <c r="AW36" s="179"/>
      <c r="BA36" s="180"/>
    </row>
    <row r="37" spans="1:53" s="171" customFormat="1" x14ac:dyDescent="0.15">
      <c r="A37" s="216">
        <v>1971</v>
      </c>
      <c r="B37" s="283"/>
      <c r="C37" s="436" t="s">
        <v>776</v>
      </c>
      <c r="D37" s="436"/>
      <c r="E37" s="171">
        <v>0</v>
      </c>
      <c r="G37" s="233"/>
      <c r="J37" s="241"/>
      <c r="K37" s="214"/>
      <c r="L37" s="214"/>
      <c r="M37" s="214"/>
      <c r="N37" s="235"/>
      <c r="O37" s="213"/>
      <c r="P37" s="214"/>
      <c r="Q37" s="214"/>
      <c r="R37" s="215"/>
      <c r="T37" s="285"/>
      <c r="U37" s="283"/>
      <c r="V37" s="178"/>
      <c r="Y37" s="179"/>
      <c r="AD37" s="251"/>
      <c r="AG37" s="179"/>
      <c r="AL37" s="178"/>
      <c r="AO37" s="179"/>
      <c r="AP37" s="178"/>
      <c r="AS37" s="179"/>
      <c r="AW37" s="179"/>
      <c r="BA37" s="180"/>
    </row>
    <row r="38" spans="1:53" s="171" customFormat="1" x14ac:dyDescent="0.15">
      <c r="A38" s="216">
        <v>1971</v>
      </c>
      <c r="B38" s="283"/>
      <c r="C38" s="436" t="s">
        <v>776</v>
      </c>
      <c r="D38" s="436"/>
      <c r="E38" s="171">
        <v>365</v>
      </c>
      <c r="G38" s="233"/>
      <c r="J38" s="241"/>
      <c r="K38" s="214"/>
      <c r="L38" s="214"/>
      <c r="M38" s="214"/>
      <c r="N38" s="235"/>
      <c r="O38" s="213"/>
      <c r="P38" s="214"/>
      <c r="Q38" s="214"/>
      <c r="R38" s="215"/>
      <c r="T38" s="285"/>
      <c r="U38" s="283"/>
      <c r="V38" s="178"/>
      <c r="Y38" s="179"/>
      <c r="AD38" s="251"/>
      <c r="AG38" s="179"/>
      <c r="AL38" s="178"/>
      <c r="AO38" s="179"/>
      <c r="AP38" s="178"/>
      <c r="AS38" s="179"/>
      <c r="AW38" s="179"/>
      <c r="BA38" s="180"/>
    </row>
    <row r="39" spans="1:53" s="171" customFormat="1" x14ac:dyDescent="0.15">
      <c r="A39" s="216">
        <v>1972</v>
      </c>
      <c r="B39" s="283"/>
      <c r="C39" s="436" t="s">
        <v>776</v>
      </c>
      <c r="D39" s="436"/>
      <c r="E39" s="171">
        <v>0</v>
      </c>
      <c r="G39" s="233"/>
      <c r="J39" s="241"/>
      <c r="K39" s="214"/>
      <c r="L39" s="214"/>
      <c r="M39" s="214"/>
      <c r="N39" s="235"/>
      <c r="O39" s="213"/>
      <c r="P39" s="214"/>
      <c r="Q39" s="214"/>
      <c r="R39" s="215"/>
      <c r="T39" s="285"/>
      <c r="U39" s="283"/>
      <c r="V39" s="178"/>
      <c r="Y39" s="179"/>
      <c r="AD39" s="251"/>
      <c r="AG39" s="179"/>
      <c r="AL39" s="178"/>
      <c r="AO39" s="179"/>
      <c r="AP39" s="178"/>
      <c r="AS39" s="179"/>
      <c r="AW39" s="179"/>
      <c r="BA39" s="180"/>
    </row>
    <row r="40" spans="1:53" s="171" customFormat="1" x14ac:dyDescent="0.15">
      <c r="A40" s="216">
        <v>1972</v>
      </c>
      <c r="B40" s="283"/>
      <c r="C40" s="436" t="s">
        <v>776</v>
      </c>
      <c r="D40" s="436"/>
      <c r="E40" s="171">
        <v>366</v>
      </c>
      <c r="G40" s="233"/>
      <c r="J40" s="241"/>
      <c r="K40" s="214"/>
      <c r="L40" s="214"/>
      <c r="M40" s="214"/>
      <c r="N40" s="235"/>
      <c r="O40" s="213"/>
      <c r="P40" s="214"/>
      <c r="Q40" s="214"/>
      <c r="R40" s="215"/>
      <c r="T40" s="285"/>
      <c r="U40" s="283"/>
      <c r="V40" s="178"/>
      <c r="Y40" s="179"/>
      <c r="AD40" s="251"/>
      <c r="AG40" s="179"/>
      <c r="AL40" s="178"/>
      <c r="AO40" s="179"/>
      <c r="AP40" s="178"/>
      <c r="AS40" s="179"/>
      <c r="AW40" s="179"/>
      <c r="BA40" s="180"/>
    </row>
    <row r="41" spans="1:53" s="171" customFormat="1" x14ac:dyDescent="0.15">
      <c r="A41" s="216">
        <v>1973</v>
      </c>
      <c r="B41" s="283"/>
      <c r="C41" s="436" t="s">
        <v>776</v>
      </c>
      <c r="D41" s="436"/>
      <c r="E41" s="171">
        <v>0</v>
      </c>
      <c r="G41" s="233"/>
      <c r="J41" s="241"/>
      <c r="K41" s="214"/>
      <c r="L41" s="214"/>
      <c r="M41" s="214"/>
      <c r="N41" s="235"/>
      <c r="O41" s="213"/>
      <c r="P41" s="214"/>
      <c r="Q41" s="214"/>
      <c r="R41" s="215"/>
      <c r="T41" s="285"/>
      <c r="U41" s="283"/>
      <c r="V41" s="178"/>
      <c r="Y41" s="179"/>
      <c r="AD41" s="251"/>
      <c r="AG41" s="179"/>
      <c r="AL41" s="178"/>
      <c r="AO41" s="179"/>
      <c r="AP41" s="178"/>
      <c r="AS41" s="179"/>
      <c r="AW41" s="179"/>
      <c r="BA41" s="180"/>
    </row>
    <row r="42" spans="1:53" s="171" customFormat="1" x14ac:dyDescent="0.15">
      <c r="A42" s="216">
        <v>1973</v>
      </c>
      <c r="B42" s="283"/>
      <c r="C42" s="436" t="s">
        <v>776</v>
      </c>
      <c r="D42" s="436"/>
      <c r="E42" s="171">
        <v>365</v>
      </c>
      <c r="G42" s="233"/>
      <c r="J42" s="241"/>
      <c r="K42" s="214"/>
      <c r="L42" s="214"/>
      <c r="M42" s="214"/>
      <c r="N42" s="235"/>
      <c r="O42" s="213"/>
      <c r="P42" s="214"/>
      <c r="Q42" s="214"/>
      <c r="R42" s="215"/>
      <c r="T42" s="285"/>
      <c r="U42" s="283"/>
      <c r="V42" s="178"/>
      <c r="Y42" s="179"/>
      <c r="AD42" s="251"/>
      <c r="AG42" s="179"/>
      <c r="AL42" s="178"/>
      <c r="AO42" s="179"/>
      <c r="AP42" s="178"/>
      <c r="AS42" s="179"/>
      <c r="AW42" s="179"/>
      <c r="BA42" s="180"/>
    </row>
    <row r="43" spans="1:53" s="171" customFormat="1" x14ac:dyDescent="0.15">
      <c r="A43" s="216">
        <v>1974</v>
      </c>
      <c r="B43" s="283"/>
      <c r="C43" s="436" t="s">
        <v>776</v>
      </c>
      <c r="D43" s="436"/>
      <c r="E43" s="171">
        <v>206</v>
      </c>
      <c r="G43" s="233"/>
      <c r="J43" s="241"/>
      <c r="K43" s="214"/>
      <c r="L43" s="214"/>
      <c r="M43" s="214"/>
      <c r="N43" s="235"/>
      <c r="O43" s="213"/>
      <c r="P43" s="214"/>
      <c r="Q43" s="214"/>
      <c r="R43" s="215"/>
      <c r="T43" s="285"/>
      <c r="U43" s="283"/>
      <c r="V43" s="178"/>
      <c r="Y43" s="179"/>
      <c r="AD43" s="178"/>
      <c r="AG43" s="179"/>
      <c r="AL43" s="178"/>
      <c r="AO43" s="179"/>
      <c r="AP43" s="178"/>
      <c r="AS43" s="179"/>
      <c r="AW43" s="179"/>
      <c r="BA43" s="180"/>
    </row>
    <row r="44" spans="1:53" s="29" customFormat="1" x14ac:dyDescent="0.15">
      <c r="A44" s="52">
        <v>1974</v>
      </c>
      <c r="B44" s="295">
        <v>27236</v>
      </c>
      <c r="C44" s="411" t="s">
        <v>772</v>
      </c>
      <c r="D44" s="411"/>
      <c r="E44" s="29">
        <v>119</v>
      </c>
      <c r="F44" s="29" t="s">
        <v>335</v>
      </c>
      <c r="G44" s="66">
        <v>12</v>
      </c>
      <c r="J44" s="73">
        <v>19</v>
      </c>
      <c r="K44" s="47">
        <f>G44/J44*100</f>
        <v>63.157894736842103</v>
      </c>
      <c r="L44" s="47">
        <f>H44/J44*100</f>
        <v>0</v>
      </c>
      <c r="M44" s="47">
        <f>I44/J44*100</f>
        <v>0</v>
      </c>
      <c r="N44" s="68">
        <f>SUM(K44:M44)</f>
        <v>63.157894736842103</v>
      </c>
      <c r="O44" s="46">
        <v>0</v>
      </c>
      <c r="P44" s="47">
        <v>0</v>
      </c>
      <c r="Q44" s="47">
        <v>0</v>
      </c>
      <c r="R44" s="48">
        <f>SUM(O44:Q44)</f>
        <v>0</v>
      </c>
      <c r="S44" s="29">
        <v>6</v>
      </c>
      <c r="T44" s="286"/>
      <c r="U44" s="295">
        <v>27236</v>
      </c>
      <c r="V44" s="89" t="s">
        <v>797</v>
      </c>
      <c r="Y44" s="39"/>
      <c r="AD44" s="38"/>
      <c r="AG44" s="39"/>
      <c r="AL44" s="38"/>
      <c r="AO44" s="39"/>
      <c r="AP44" s="38"/>
      <c r="AS44" s="39"/>
      <c r="AW44" s="39"/>
      <c r="BA44" s="40"/>
    </row>
    <row r="45" spans="1:53" s="171" customFormat="1" x14ac:dyDescent="0.15">
      <c r="A45" s="216">
        <v>1974</v>
      </c>
      <c r="B45" s="283">
        <v>27355</v>
      </c>
      <c r="C45" s="410" t="s">
        <v>549</v>
      </c>
      <c r="D45" s="410"/>
      <c r="E45" s="171">
        <v>40</v>
      </c>
      <c r="F45" s="171">
        <v>1</v>
      </c>
      <c r="G45" s="233">
        <v>20</v>
      </c>
      <c r="J45" s="241">
        <v>20</v>
      </c>
      <c r="K45" s="214">
        <f t="shared" ref="K45:K62" si="5">G45/J45*100</f>
        <v>100</v>
      </c>
      <c r="L45" s="214">
        <f t="shared" ref="L45:L62" si="6">H45/J45*100</f>
        <v>0</v>
      </c>
      <c r="M45" s="214">
        <f t="shared" ref="M45:M62" si="7">I45/J45*100</f>
        <v>0</v>
      </c>
      <c r="N45" s="235">
        <f t="shared" ref="N45:N62" si="8">SUM(K45:M45)</f>
        <v>100</v>
      </c>
      <c r="O45" s="213">
        <v>73.3</v>
      </c>
      <c r="P45" s="214"/>
      <c r="Q45" s="214"/>
      <c r="R45" s="215">
        <f>SUM(O45:Q45)</f>
        <v>73.3</v>
      </c>
      <c r="S45" s="171">
        <v>1</v>
      </c>
      <c r="T45" s="285">
        <v>27350</v>
      </c>
      <c r="U45" s="283">
        <v>27355</v>
      </c>
      <c r="V45" s="178" t="s">
        <v>188</v>
      </c>
      <c r="W45" s="171" t="s">
        <v>76</v>
      </c>
      <c r="X45" s="171" t="s">
        <v>11</v>
      </c>
      <c r="Y45" s="179">
        <v>73.3</v>
      </c>
      <c r="AD45" s="178"/>
      <c r="AG45" s="179"/>
      <c r="AL45" s="178"/>
      <c r="AO45" s="179"/>
      <c r="AP45" s="178"/>
      <c r="AS45" s="179"/>
      <c r="AW45" s="179"/>
      <c r="BA45" s="180"/>
    </row>
    <row r="46" spans="1:53" s="171" customFormat="1" x14ac:dyDescent="0.15">
      <c r="A46" s="216">
        <v>1975</v>
      </c>
      <c r="B46" s="283"/>
      <c r="C46" s="410" t="s">
        <v>549</v>
      </c>
      <c r="D46" s="410"/>
      <c r="E46" s="171">
        <v>0</v>
      </c>
      <c r="G46" s="233">
        <v>20</v>
      </c>
      <c r="J46" s="241">
        <v>20</v>
      </c>
      <c r="K46" s="214">
        <f t="shared" si="5"/>
        <v>100</v>
      </c>
      <c r="L46" s="214">
        <f t="shared" si="6"/>
        <v>0</v>
      </c>
      <c r="M46" s="214">
        <f t="shared" si="7"/>
        <v>0</v>
      </c>
      <c r="N46" s="235">
        <f t="shared" si="8"/>
        <v>100</v>
      </c>
      <c r="O46" s="213">
        <v>73.3</v>
      </c>
      <c r="P46" s="214"/>
      <c r="Q46" s="214"/>
      <c r="R46" s="215">
        <f t="shared" ref="R46:R109" si="9">SUM(O46:Q46)</f>
        <v>73.3</v>
      </c>
      <c r="S46" s="171">
        <v>1</v>
      </c>
      <c r="T46" s="285"/>
      <c r="U46" s="283"/>
      <c r="V46" s="178" t="s">
        <v>188</v>
      </c>
      <c r="W46" s="171" t="s">
        <v>76</v>
      </c>
      <c r="X46" s="171" t="s">
        <v>11</v>
      </c>
      <c r="Y46" s="179">
        <v>73.3</v>
      </c>
      <c r="AD46" s="178"/>
      <c r="AG46" s="179"/>
      <c r="AL46" s="178"/>
      <c r="AO46" s="179"/>
      <c r="AP46" s="178"/>
      <c r="AS46" s="179"/>
      <c r="AW46" s="179"/>
      <c r="BA46" s="180"/>
    </row>
    <row r="47" spans="1:53" s="171" customFormat="1" x14ac:dyDescent="0.15">
      <c r="A47" s="216">
        <v>1975</v>
      </c>
      <c r="B47" s="283"/>
      <c r="C47" s="410" t="s">
        <v>549</v>
      </c>
      <c r="D47" s="410"/>
      <c r="E47" s="171">
        <v>365</v>
      </c>
      <c r="G47" s="233">
        <v>20</v>
      </c>
      <c r="J47" s="241">
        <v>20</v>
      </c>
      <c r="K47" s="214">
        <f t="shared" si="5"/>
        <v>100</v>
      </c>
      <c r="L47" s="214">
        <f t="shared" si="6"/>
        <v>0</v>
      </c>
      <c r="M47" s="214">
        <f t="shared" si="7"/>
        <v>0</v>
      </c>
      <c r="N47" s="235">
        <f t="shared" si="8"/>
        <v>100</v>
      </c>
      <c r="O47" s="213">
        <v>73.3</v>
      </c>
      <c r="P47" s="214"/>
      <c r="Q47" s="214"/>
      <c r="R47" s="215">
        <f t="shared" si="9"/>
        <v>73.3</v>
      </c>
      <c r="S47" s="171">
        <v>1</v>
      </c>
      <c r="T47" s="285"/>
      <c r="U47" s="283"/>
      <c r="V47" s="178" t="s">
        <v>188</v>
      </c>
      <c r="W47" s="171" t="s">
        <v>76</v>
      </c>
      <c r="X47" s="171" t="s">
        <v>11</v>
      </c>
      <c r="Y47" s="179">
        <v>73.3</v>
      </c>
      <c r="AD47" s="178"/>
      <c r="AG47" s="179"/>
      <c r="AL47" s="178"/>
      <c r="AO47" s="179"/>
      <c r="AP47" s="178"/>
      <c r="AS47" s="179"/>
      <c r="AW47" s="179"/>
      <c r="BA47" s="180"/>
    </row>
    <row r="48" spans="1:53" s="171" customFormat="1" x14ac:dyDescent="0.15">
      <c r="A48" s="216">
        <v>1976</v>
      </c>
      <c r="B48" s="283"/>
      <c r="C48" s="410" t="s">
        <v>549</v>
      </c>
      <c r="D48" s="410"/>
      <c r="E48" s="171">
        <v>0</v>
      </c>
      <c r="G48" s="233">
        <v>20</v>
      </c>
      <c r="J48" s="241">
        <v>20</v>
      </c>
      <c r="K48" s="214">
        <f t="shared" si="5"/>
        <v>100</v>
      </c>
      <c r="L48" s="214">
        <f t="shared" si="6"/>
        <v>0</v>
      </c>
      <c r="M48" s="214">
        <f t="shared" si="7"/>
        <v>0</v>
      </c>
      <c r="N48" s="235">
        <f t="shared" si="8"/>
        <v>100</v>
      </c>
      <c r="O48" s="213">
        <v>73.3</v>
      </c>
      <c r="P48" s="214"/>
      <c r="Q48" s="214"/>
      <c r="R48" s="215">
        <f t="shared" si="9"/>
        <v>73.3</v>
      </c>
      <c r="S48" s="171">
        <v>1</v>
      </c>
      <c r="T48" s="285"/>
      <c r="U48" s="283"/>
      <c r="V48" s="178" t="s">
        <v>188</v>
      </c>
      <c r="W48" s="171" t="s">
        <v>76</v>
      </c>
      <c r="X48" s="171" t="s">
        <v>11</v>
      </c>
      <c r="Y48" s="179">
        <v>73.3</v>
      </c>
      <c r="AD48" s="178"/>
      <c r="AG48" s="179"/>
      <c r="AL48" s="178"/>
      <c r="AO48" s="179"/>
      <c r="AP48" s="178"/>
      <c r="AS48" s="179"/>
      <c r="AW48" s="179"/>
      <c r="BA48" s="180"/>
    </row>
    <row r="49" spans="1:53" s="171" customFormat="1" x14ac:dyDescent="0.15">
      <c r="A49" s="216">
        <v>1976</v>
      </c>
      <c r="B49" s="283"/>
      <c r="C49" s="410" t="s">
        <v>549</v>
      </c>
      <c r="D49" s="410"/>
      <c r="E49" s="171">
        <v>366</v>
      </c>
      <c r="G49" s="233">
        <v>20</v>
      </c>
      <c r="J49" s="241">
        <v>20</v>
      </c>
      <c r="K49" s="214">
        <f t="shared" si="5"/>
        <v>100</v>
      </c>
      <c r="L49" s="214">
        <f t="shared" si="6"/>
        <v>0</v>
      </c>
      <c r="M49" s="214">
        <f t="shared" si="7"/>
        <v>0</v>
      </c>
      <c r="N49" s="235">
        <f t="shared" si="8"/>
        <v>100</v>
      </c>
      <c r="O49" s="213">
        <v>73.3</v>
      </c>
      <c r="P49" s="214"/>
      <c r="Q49" s="214"/>
      <c r="R49" s="215">
        <f t="shared" si="9"/>
        <v>73.3</v>
      </c>
      <c r="S49" s="171">
        <v>1</v>
      </c>
      <c r="T49" s="285"/>
      <c r="U49" s="283"/>
      <c r="V49" s="178" t="s">
        <v>188</v>
      </c>
      <c r="W49" s="171" t="s">
        <v>76</v>
      </c>
      <c r="X49" s="171" t="s">
        <v>11</v>
      </c>
      <c r="Y49" s="179">
        <v>73.3</v>
      </c>
      <c r="AD49" s="178"/>
      <c r="AG49" s="179"/>
      <c r="AL49" s="178"/>
      <c r="AO49" s="179"/>
      <c r="AP49" s="178"/>
      <c r="AS49" s="179"/>
      <c r="AW49" s="179"/>
      <c r="BA49" s="180"/>
    </row>
    <row r="50" spans="1:53" s="171" customFormat="1" x14ac:dyDescent="0.15">
      <c r="A50" s="216">
        <v>1977</v>
      </c>
      <c r="B50" s="283"/>
      <c r="C50" s="410" t="s">
        <v>549</v>
      </c>
      <c r="D50" s="410"/>
      <c r="E50" s="171">
        <v>331</v>
      </c>
      <c r="G50" s="233">
        <v>20</v>
      </c>
      <c r="J50" s="241">
        <v>20</v>
      </c>
      <c r="K50" s="214">
        <f t="shared" si="5"/>
        <v>100</v>
      </c>
      <c r="L50" s="214">
        <f t="shared" si="6"/>
        <v>0</v>
      </c>
      <c r="M50" s="214">
        <f t="shared" si="7"/>
        <v>0</v>
      </c>
      <c r="N50" s="235">
        <f t="shared" si="8"/>
        <v>100</v>
      </c>
      <c r="O50" s="213">
        <v>73.3</v>
      </c>
      <c r="P50" s="214"/>
      <c r="Q50" s="214"/>
      <c r="R50" s="215">
        <f t="shared" si="9"/>
        <v>73.3</v>
      </c>
      <c r="S50" s="171">
        <v>1</v>
      </c>
      <c r="T50" s="285"/>
      <c r="U50" s="283"/>
      <c r="V50" s="178" t="s">
        <v>188</v>
      </c>
      <c r="W50" s="171" t="s">
        <v>76</v>
      </c>
      <c r="X50" s="171" t="s">
        <v>11</v>
      </c>
      <c r="Y50" s="179">
        <v>73.3</v>
      </c>
      <c r="AD50" s="178"/>
      <c r="AG50" s="179"/>
      <c r="AL50" s="178"/>
      <c r="AO50" s="179"/>
      <c r="AP50" s="178"/>
      <c r="AS50" s="179"/>
      <c r="AW50" s="179"/>
      <c r="BA50" s="180"/>
    </row>
    <row r="51" spans="1:53" s="29" customFormat="1" x14ac:dyDescent="0.15">
      <c r="A51" s="52">
        <v>1977</v>
      </c>
      <c r="B51" s="295">
        <v>28457</v>
      </c>
      <c r="C51" s="411" t="s">
        <v>763</v>
      </c>
      <c r="D51" s="411"/>
      <c r="E51" s="29">
        <v>34</v>
      </c>
      <c r="F51" s="29">
        <v>1</v>
      </c>
      <c r="G51" s="66">
        <v>21</v>
      </c>
      <c r="J51" s="73">
        <v>22</v>
      </c>
      <c r="K51" s="47">
        <f t="shared" si="5"/>
        <v>95.454545454545453</v>
      </c>
      <c r="L51" s="47">
        <f t="shared" si="6"/>
        <v>0</v>
      </c>
      <c r="M51" s="47">
        <f t="shared" si="7"/>
        <v>0</v>
      </c>
      <c r="N51" s="68">
        <f t="shared" si="8"/>
        <v>95.454545454545453</v>
      </c>
      <c r="O51" s="46">
        <v>57</v>
      </c>
      <c r="P51" s="47"/>
      <c r="Q51" s="47"/>
      <c r="R51" s="48">
        <f t="shared" si="9"/>
        <v>57</v>
      </c>
      <c r="S51" s="29">
        <v>1</v>
      </c>
      <c r="T51" s="286">
        <v>28449</v>
      </c>
      <c r="U51" s="295">
        <v>28457</v>
      </c>
      <c r="V51" s="38" t="s">
        <v>188</v>
      </c>
      <c r="W51" s="29" t="s">
        <v>76</v>
      </c>
      <c r="X51" s="29" t="s">
        <v>11</v>
      </c>
      <c r="Y51" s="39">
        <v>57</v>
      </c>
      <c r="AD51" s="38"/>
      <c r="AG51" s="39"/>
      <c r="AL51" s="38"/>
      <c r="AO51" s="39"/>
      <c r="AP51" s="38"/>
      <c r="AS51" s="39"/>
      <c r="AW51" s="39"/>
      <c r="BA51" s="40"/>
    </row>
    <row r="52" spans="1:53" s="29" customFormat="1" x14ac:dyDescent="0.15">
      <c r="A52" s="52">
        <v>1978</v>
      </c>
      <c r="B52" s="295"/>
      <c r="C52" s="411" t="s">
        <v>763</v>
      </c>
      <c r="D52" s="411"/>
      <c r="E52" s="29">
        <v>0</v>
      </c>
      <c r="G52" s="66">
        <v>21</v>
      </c>
      <c r="J52" s="73">
        <v>22</v>
      </c>
      <c r="K52" s="47">
        <f t="shared" si="5"/>
        <v>95.454545454545453</v>
      </c>
      <c r="L52" s="47">
        <f t="shared" si="6"/>
        <v>0</v>
      </c>
      <c r="M52" s="47">
        <f t="shared" si="7"/>
        <v>0</v>
      </c>
      <c r="N52" s="68">
        <f t="shared" si="8"/>
        <v>95.454545454545453</v>
      </c>
      <c r="O52" s="46">
        <v>57</v>
      </c>
      <c r="P52" s="47"/>
      <c r="Q52" s="47"/>
      <c r="R52" s="48">
        <f t="shared" si="9"/>
        <v>57</v>
      </c>
      <c r="S52" s="29">
        <v>1</v>
      </c>
      <c r="T52" s="286"/>
      <c r="U52" s="295"/>
      <c r="V52" s="38" t="s">
        <v>188</v>
      </c>
      <c r="W52" s="29" t="s">
        <v>76</v>
      </c>
      <c r="X52" s="29" t="s">
        <v>11</v>
      </c>
      <c r="Y52" s="39">
        <v>57</v>
      </c>
      <c r="AD52" s="38"/>
      <c r="AG52" s="39"/>
      <c r="AL52" s="38"/>
      <c r="AO52" s="39"/>
      <c r="AP52" s="38"/>
      <c r="AS52" s="39"/>
      <c r="AW52" s="39"/>
      <c r="BA52" s="40"/>
    </row>
    <row r="53" spans="1:53" s="29" customFormat="1" x14ac:dyDescent="0.15">
      <c r="A53" s="52">
        <v>1978</v>
      </c>
      <c r="B53" s="295"/>
      <c r="C53" s="411" t="s">
        <v>763</v>
      </c>
      <c r="D53" s="411"/>
      <c r="E53" s="29">
        <v>365</v>
      </c>
      <c r="G53" s="66">
        <v>21</v>
      </c>
      <c r="J53" s="73">
        <v>22</v>
      </c>
      <c r="K53" s="47">
        <f t="shared" si="5"/>
        <v>95.454545454545453</v>
      </c>
      <c r="L53" s="47">
        <f t="shared" si="6"/>
        <v>0</v>
      </c>
      <c r="M53" s="47">
        <f t="shared" si="7"/>
        <v>0</v>
      </c>
      <c r="N53" s="68">
        <f t="shared" si="8"/>
        <v>95.454545454545453</v>
      </c>
      <c r="O53" s="46">
        <v>57</v>
      </c>
      <c r="P53" s="47"/>
      <c r="Q53" s="47"/>
      <c r="R53" s="48">
        <f t="shared" si="9"/>
        <v>57</v>
      </c>
      <c r="S53" s="29">
        <v>1</v>
      </c>
      <c r="T53" s="286"/>
      <c r="U53" s="295"/>
      <c r="V53" s="38" t="s">
        <v>188</v>
      </c>
      <c r="W53" s="29" t="s">
        <v>76</v>
      </c>
      <c r="X53" s="29" t="s">
        <v>11</v>
      </c>
      <c r="Y53" s="39">
        <v>57</v>
      </c>
      <c r="AD53" s="38"/>
      <c r="AG53" s="39"/>
      <c r="AL53" s="38"/>
      <c r="AO53" s="39"/>
      <c r="AP53" s="38"/>
      <c r="AS53" s="39"/>
      <c r="AW53" s="39"/>
      <c r="BA53" s="40"/>
    </row>
    <row r="54" spans="1:53" s="29" customFormat="1" x14ac:dyDescent="0.15">
      <c r="A54" s="52">
        <v>1979</v>
      </c>
      <c r="B54" s="295"/>
      <c r="C54" s="411" t="s">
        <v>763</v>
      </c>
      <c r="D54" s="411"/>
      <c r="E54" s="29">
        <v>0</v>
      </c>
      <c r="G54" s="66">
        <v>21</v>
      </c>
      <c r="J54" s="73">
        <v>22</v>
      </c>
      <c r="K54" s="47">
        <f t="shared" si="5"/>
        <v>95.454545454545453</v>
      </c>
      <c r="L54" s="47">
        <f t="shared" si="6"/>
        <v>0</v>
      </c>
      <c r="M54" s="47">
        <f t="shared" si="7"/>
        <v>0</v>
      </c>
      <c r="N54" s="68">
        <f t="shared" si="8"/>
        <v>95.454545454545453</v>
      </c>
      <c r="O54" s="46">
        <v>57</v>
      </c>
      <c r="P54" s="47"/>
      <c r="Q54" s="47"/>
      <c r="R54" s="48">
        <f t="shared" si="9"/>
        <v>57</v>
      </c>
      <c r="S54" s="29">
        <v>1</v>
      </c>
      <c r="T54" s="286"/>
      <c r="U54" s="295"/>
      <c r="V54" s="38" t="s">
        <v>188</v>
      </c>
      <c r="W54" s="29" t="s">
        <v>76</v>
      </c>
      <c r="X54" s="29" t="s">
        <v>11</v>
      </c>
      <c r="Y54" s="39">
        <v>57</v>
      </c>
      <c r="AD54" s="38"/>
      <c r="AG54" s="39"/>
      <c r="AL54" s="38"/>
      <c r="AO54" s="39"/>
      <c r="AP54" s="38"/>
      <c r="AS54" s="39"/>
      <c r="AW54" s="39"/>
      <c r="BA54" s="40"/>
    </row>
    <row r="55" spans="1:53" s="29" customFormat="1" x14ac:dyDescent="0.15">
      <c r="A55" s="52">
        <v>1979</v>
      </c>
      <c r="B55" s="295"/>
      <c r="C55" s="411" t="s">
        <v>763</v>
      </c>
      <c r="D55" s="411"/>
      <c r="E55" s="29">
        <v>365</v>
      </c>
      <c r="G55" s="66">
        <v>21</v>
      </c>
      <c r="J55" s="73">
        <v>22</v>
      </c>
      <c r="K55" s="47">
        <f t="shared" si="5"/>
        <v>95.454545454545453</v>
      </c>
      <c r="L55" s="47">
        <f t="shared" si="6"/>
        <v>0</v>
      </c>
      <c r="M55" s="47">
        <f t="shared" si="7"/>
        <v>0</v>
      </c>
      <c r="N55" s="68">
        <f t="shared" si="8"/>
        <v>95.454545454545453</v>
      </c>
      <c r="O55" s="46">
        <v>57</v>
      </c>
      <c r="P55" s="47"/>
      <c r="Q55" s="47"/>
      <c r="R55" s="48">
        <f t="shared" si="9"/>
        <v>57</v>
      </c>
      <c r="S55" s="29">
        <v>1</v>
      </c>
      <c r="T55" s="286"/>
      <c r="U55" s="295"/>
      <c r="V55" s="38" t="s">
        <v>188</v>
      </c>
      <c r="W55" s="29" t="s">
        <v>76</v>
      </c>
      <c r="X55" s="29" t="s">
        <v>11</v>
      </c>
      <c r="Y55" s="39">
        <v>57</v>
      </c>
      <c r="AD55" s="38"/>
      <c r="AG55" s="39"/>
      <c r="AL55" s="38"/>
      <c r="AO55" s="39"/>
      <c r="AP55" s="38"/>
      <c r="AS55" s="39"/>
      <c r="AW55" s="39"/>
      <c r="BA55" s="40"/>
    </row>
    <row r="56" spans="1:53" s="29" customFormat="1" x14ac:dyDescent="0.15">
      <c r="A56" s="52">
        <v>1980</v>
      </c>
      <c r="B56" s="295"/>
      <c r="C56" s="411" t="s">
        <v>763</v>
      </c>
      <c r="D56" s="411"/>
      <c r="E56" s="29">
        <v>129</v>
      </c>
      <c r="G56" s="66">
        <v>21</v>
      </c>
      <c r="J56" s="73">
        <v>22</v>
      </c>
      <c r="K56" s="47">
        <f t="shared" si="5"/>
        <v>95.454545454545453</v>
      </c>
      <c r="L56" s="47">
        <f t="shared" si="6"/>
        <v>0</v>
      </c>
      <c r="M56" s="47">
        <f t="shared" si="7"/>
        <v>0</v>
      </c>
      <c r="N56" s="68">
        <f t="shared" si="8"/>
        <v>95.454545454545453</v>
      </c>
      <c r="O56" s="46">
        <v>57</v>
      </c>
      <c r="P56" s="47"/>
      <c r="Q56" s="47"/>
      <c r="R56" s="48">
        <f t="shared" si="9"/>
        <v>57</v>
      </c>
      <c r="S56" s="29">
        <v>1</v>
      </c>
      <c r="T56" s="286"/>
      <c r="U56" s="295"/>
      <c r="V56" s="38" t="s">
        <v>188</v>
      </c>
      <c r="W56" s="29" t="s">
        <v>76</v>
      </c>
      <c r="X56" s="29" t="s">
        <v>11</v>
      </c>
      <c r="Y56" s="39">
        <v>57</v>
      </c>
      <c r="AD56" s="38"/>
      <c r="AG56" s="39"/>
      <c r="AL56" s="38"/>
      <c r="AO56" s="39"/>
      <c r="AP56" s="38"/>
      <c r="AS56" s="39"/>
      <c r="AW56" s="39"/>
      <c r="BA56" s="40"/>
    </row>
    <row r="57" spans="1:53" s="171" customFormat="1" x14ac:dyDescent="0.15">
      <c r="A57" s="216">
        <v>1980</v>
      </c>
      <c r="B57" s="283">
        <v>29350</v>
      </c>
      <c r="C57" s="410" t="s">
        <v>177</v>
      </c>
      <c r="D57" s="410"/>
      <c r="E57" s="171">
        <v>237</v>
      </c>
      <c r="F57" s="171">
        <v>2</v>
      </c>
      <c r="G57" s="233">
        <v>22</v>
      </c>
      <c r="J57" s="241">
        <v>24</v>
      </c>
      <c r="K57" s="214">
        <f t="shared" si="5"/>
        <v>91.666666666666657</v>
      </c>
      <c r="L57" s="214">
        <f t="shared" si="6"/>
        <v>0</v>
      </c>
      <c r="M57" s="214">
        <f t="shared" si="7"/>
        <v>0</v>
      </c>
      <c r="N57" s="235">
        <f t="shared" si="8"/>
        <v>91.666666666666657</v>
      </c>
      <c r="O57" s="213">
        <v>57</v>
      </c>
      <c r="P57" s="214"/>
      <c r="Q57" s="214"/>
      <c r="R57" s="215">
        <f t="shared" si="9"/>
        <v>57</v>
      </c>
      <c r="S57" s="171">
        <v>1</v>
      </c>
      <c r="T57" s="285"/>
      <c r="U57" s="283">
        <v>29350</v>
      </c>
      <c r="V57" s="178" t="s">
        <v>188</v>
      </c>
      <c r="W57" s="171" t="s">
        <v>76</v>
      </c>
      <c r="X57" s="171" t="s">
        <v>11</v>
      </c>
      <c r="Y57" s="179">
        <v>57</v>
      </c>
      <c r="AD57" s="178"/>
      <c r="AG57" s="179"/>
      <c r="AL57" s="178"/>
      <c r="AO57" s="179"/>
      <c r="AP57" s="178"/>
      <c r="AS57" s="179"/>
      <c r="AW57" s="179"/>
      <c r="BA57" s="180"/>
    </row>
    <row r="58" spans="1:53" s="171" customFormat="1" x14ac:dyDescent="0.15">
      <c r="A58" s="216">
        <v>1981</v>
      </c>
      <c r="B58" s="283"/>
      <c r="C58" s="410" t="s">
        <v>177</v>
      </c>
      <c r="D58" s="410"/>
      <c r="E58" s="171">
        <v>293</v>
      </c>
      <c r="G58" s="233">
        <v>22</v>
      </c>
      <c r="J58" s="241">
        <v>24</v>
      </c>
      <c r="K58" s="214">
        <f t="shared" si="5"/>
        <v>91.666666666666657</v>
      </c>
      <c r="L58" s="214">
        <f t="shared" si="6"/>
        <v>0</v>
      </c>
      <c r="M58" s="214">
        <f t="shared" si="7"/>
        <v>0</v>
      </c>
      <c r="N58" s="235">
        <f t="shared" si="8"/>
        <v>91.666666666666657</v>
      </c>
      <c r="O58" s="213">
        <v>57</v>
      </c>
      <c r="P58" s="214"/>
      <c r="Q58" s="214"/>
      <c r="R58" s="215">
        <f t="shared" si="9"/>
        <v>57</v>
      </c>
      <c r="S58" s="171">
        <v>1</v>
      </c>
      <c r="T58" s="285"/>
      <c r="U58" s="283"/>
      <c r="V58" s="178" t="s">
        <v>188</v>
      </c>
      <c r="W58" s="171" t="s">
        <v>76</v>
      </c>
      <c r="X58" s="171" t="s">
        <v>11</v>
      </c>
      <c r="Y58" s="179">
        <v>57</v>
      </c>
      <c r="AD58" s="178"/>
      <c r="AG58" s="179"/>
      <c r="AL58" s="178"/>
      <c r="AO58" s="179"/>
      <c r="AP58" s="178"/>
      <c r="AS58" s="179"/>
      <c r="AW58" s="179"/>
      <c r="BA58" s="180"/>
    </row>
    <row r="59" spans="1:53" s="29" customFormat="1" x14ac:dyDescent="0.15">
      <c r="A59" s="52">
        <v>1981</v>
      </c>
      <c r="B59" s="295">
        <v>29880</v>
      </c>
      <c r="C59" s="411" t="s">
        <v>1358</v>
      </c>
      <c r="D59" s="411"/>
      <c r="E59" s="29">
        <v>72</v>
      </c>
      <c r="F59" s="29">
        <v>1</v>
      </c>
      <c r="G59" s="66"/>
      <c r="I59" s="29">
        <v>21</v>
      </c>
      <c r="J59" s="73">
        <v>21</v>
      </c>
      <c r="K59" s="47">
        <f t="shared" si="5"/>
        <v>0</v>
      </c>
      <c r="L59" s="47">
        <f t="shared" si="6"/>
        <v>0</v>
      </c>
      <c r="M59" s="47">
        <f t="shared" si="7"/>
        <v>100</v>
      </c>
      <c r="N59" s="68">
        <f t="shared" si="8"/>
        <v>100</v>
      </c>
      <c r="O59" s="46"/>
      <c r="P59" s="47"/>
      <c r="Q59" s="47">
        <v>57.3</v>
      </c>
      <c r="R59" s="48">
        <f t="shared" si="9"/>
        <v>57.3</v>
      </c>
      <c r="S59" s="29">
        <v>1</v>
      </c>
      <c r="T59" s="286">
        <v>29877</v>
      </c>
      <c r="U59" s="295">
        <v>29880</v>
      </c>
      <c r="V59" s="38" t="s">
        <v>189</v>
      </c>
      <c r="W59" s="29" t="s">
        <v>20</v>
      </c>
      <c r="X59" s="29" t="s">
        <v>12</v>
      </c>
      <c r="Y59" s="39">
        <v>57.3</v>
      </c>
      <c r="AD59" s="38"/>
      <c r="AG59" s="39"/>
      <c r="AL59" s="38"/>
      <c r="AO59" s="39"/>
      <c r="AP59" s="38"/>
      <c r="AS59" s="39"/>
      <c r="AW59" s="39"/>
      <c r="BA59" s="40"/>
    </row>
    <row r="60" spans="1:53" s="29" customFormat="1" x14ac:dyDescent="0.15">
      <c r="A60" s="52">
        <v>1982</v>
      </c>
      <c r="B60" s="295"/>
      <c r="C60" s="411" t="s">
        <v>1358</v>
      </c>
      <c r="D60" s="411"/>
      <c r="E60" s="29">
        <v>0</v>
      </c>
      <c r="G60" s="66"/>
      <c r="I60" s="29">
        <v>21</v>
      </c>
      <c r="J60" s="73">
        <v>21</v>
      </c>
      <c r="K60" s="47">
        <f t="shared" si="5"/>
        <v>0</v>
      </c>
      <c r="L60" s="47">
        <f t="shared" si="6"/>
        <v>0</v>
      </c>
      <c r="M60" s="47">
        <f t="shared" si="7"/>
        <v>100</v>
      </c>
      <c r="N60" s="68">
        <f t="shared" si="8"/>
        <v>100</v>
      </c>
      <c r="O60" s="46"/>
      <c r="P60" s="47"/>
      <c r="Q60" s="47">
        <v>57.3</v>
      </c>
      <c r="R60" s="48">
        <f t="shared" si="9"/>
        <v>57.3</v>
      </c>
      <c r="S60" s="29">
        <v>1</v>
      </c>
      <c r="T60" s="286"/>
      <c r="U60" s="295"/>
      <c r="V60" s="38" t="s">
        <v>189</v>
      </c>
      <c r="W60" s="29" t="s">
        <v>20</v>
      </c>
      <c r="X60" s="29" t="s">
        <v>12</v>
      </c>
      <c r="Y60" s="39">
        <v>57.3</v>
      </c>
      <c r="AD60" s="38"/>
      <c r="AG60" s="39"/>
      <c r="AL60" s="38"/>
      <c r="AO60" s="39"/>
      <c r="AP60" s="38"/>
      <c r="AS60" s="39"/>
      <c r="AW60" s="39"/>
      <c r="BA60" s="40"/>
    </row>
    <row r="61" spans="1:53" s="29" customFormat="1" x14ac:dyDescent="0.15">
      <c r="A61" s="52">
        <v>1982</v>
      </c>
      <c r="B61" s="295"/>
      <c r="C61" s="411" t="s">
        <v>1358</v>
      </c>
      <c r="D61" s="411"/>
      <c r="E61" s="29">
        <v>365</v>
      </c>
      <c r="G61" s="66"/>
      <c r="I61" s="29">
        <v>21</v>
      </c>
      <c r="J61" s="73">
        <v>21</v>
      </c>
      <c r="K61" s="47">
        <f t="shared" si="5"/>
        <v>0</v>
      </c>
      <c r="L61" s="47">
        <f t="shared" si="6"/>
        <v>0</v>
      </c>
      <c r="M61" s="47">
        <f t="shared" si="7"/>
        <v>100</v>
      </c>
      <c r="N61" s="68">
        <f t="shared" si="8"/>
        <v>100</v>
      </c>
      <c r="O61" s="46"/>
      <c r="P61" s="47"/>
      <c r="Q61" s="47">
        <v>57.3</v>
      </c>
      <c r="R61" s="48">
        <f t="shared" si="9"/>
        <v>57.3</v>
      </c>
      <c r="S61" s="29">
        <v>1</v>
      </c>
      <c r="T61" s="286"/>
      <c r="U61" s="295"/>
      <c r="V61" s="38" t="s">
        <v>189</v>
      </c>
      <c r="W61" s="29" t="s">
        <v>20</v>
      </c>
      <c r="X61" s="29" t="s">
        <v>12</v>
      </c>
      <c r="Y61" s="39">
        <v>57.3</v>
      </c>
      <c r="AD61" s="38"/>
      <c r="AG61" s="39"/>
      <c r="AL61" s="38"/>
      <c r="AO61" s="39"/>
      <c r="AP61" s="38"/>
      <c r="AS61" s="39"/>
      <c r="AW61" s="39"/>
      <c r="BA61" s="40"/>
    </row>
    <row r="62" spans="1:53" s="29" customFormat="1" x14ac:dyDescent="0.15">
      <c r="A62" s="52">
        <v>1983</v>
      </c>
      <c r="B62" s="295"/>
      <c r="C62" s="411" t="s">
        <v>1358</v>
      </c>
      <c r="D62" s="411"/>
      <c r="E62" s="29">
        <v>0</v>
      </c>
      <c r="G62" s="66"/>
      <c r="I62" s="29">
        <v>21</v>
      </c>
      <c r="J62" s="73">
        <v>21</v>
      </c>
      <c r="K62" s="47">
        <f t="shared" si="5"/>
        <v>0</v>
      </c>
      <c r="L62" s="47">
        <f t="shared" si="6"/>
        <v>0</v>
      </c>
      <c r="M62" s="47">
        <f t="shared" si="7"/>
        <v>100</v>
      </c>
      <c r="N62" s="68">
        <f t="shared" si="8"/>
        <v>100</v>
      </c>
      <c r="O62" s="46"/>
      <c r="P62" s="47"/>
      <c r="Q62" s="47">
        <v>57.3</v>
      </c>
      <c r="R62" s="48">
        <f t="shared" si="9"/>
        <v>57.3</v>
      </c>
      <c r="S62" s="29">
        <v>1</v>
      </c>
      <c r="T62" s="286"/>
      <c r="U62" s="295"/>
      <c r="V62" s="38" t="s">
        <v>189</v>
      </c>
      <c r="W62" s="29" t="s">
        <v>20</v>
      </c>
      <c r="X62" s="29" t="s">
        <v>12</v>
      </c>
      <c r="Y62" s="39">
        <v>57.3</v>
      </c>
      <c r="AD62" s="38"/>
      <c r="AG62" s="39"/>
      <c r="AL62" s="38"/>
      <c r="AO62" s="39"/>
      <c r="AP62" s="38"/>
      <c r="AS62" s="39"/>
      <c r="AW62" s="39"/>
      <c r="BA62" s="40"/>
    </row>
    <row r="63" spans="1:53" s="29" customFormat="1" x14ac:dyDescent="0.15">
      <c r="A63" s="52">
        <v>1983</v>
      </c>
      <c r="B63" s="295"/>
      <c r="C63" s="411" t="s">
        <v>1358</v>
      </c>
      <c r="D63" s="411"/>
      <c r="E63" s="29">
        <v>365</v>
      </c>
      <c r="G63" s="66"/>
      <c r="I63" s="29">
        <v>21</v>
      </c>
      <c r="J63" s="73">
        <v>21</v>
      </c>
      <c r="K63" s="47">
        <f>G63/J63*100</f>
        <v>0</v>
      </c>
      <c r="L63" s="47">
        <f>H63/J63*100</f>
        <v>0</v>
      </c>
      <c r="M63" s="47">
        <f>I63/J63*100</f>
        <v>100</v>
      </c>
      <c r="N63" s="68">
        <f t="shared" ref="N63:N126" si="10">SUM(K63:M63)</f>
        <v>100</v>
      </c>
      <c r="O63" s="46"/>
      <c r="P63" s="47"/>
      <c r="Q63" s="47">
        <v>57.3</v>
      </c>
      <c r="R63" s="48">
        <f t="shared" si="9"/>
        <v>57.3</v>
      </c>
      <c r="S63" s="29">
        <v>1</v>
      </c>
      <c r="T63" s="286"/>
      <c r="U63" s="295"/>
      <c r="V63" s="38" t="s">
        <v>189</v>
      </c>
      <c r="W63" s="29" t="s">
        <v>20</v>
      </c>
      <c r="X63" s="29" t="s">
        <v>12</v>
      </c>
      <c r="Y63" s="39">
        <v>57.3</v>
      </c>
      <c r="AD63" s="38"/>
      <c r="AG63" s="39"/>
      <c r="AL63" s="38"/>
      <c r="AO63" s="39"/>
      <c r="AP63" s="38"/>
      <c r="AS63" s="39"/>
      <c r="AW63" s="39"/>
      <c r="BA63" s="40"/>
    </row>
    <row r="64" spans="1:53" s="29" customFormat="1" x14ac:dyDescent="0.15">
      <c r="A64" s="52">
        <v>1984</v>
      </c>
      <c r="B64" s="295"/>
      <c r="C64" s="411" t="s">
        <v>1358</v>
      </c>
      <c r="D64" s="411"/>
      <c r="E64" s="29">
        <v>0</v>
      </c>
      <c r="G64" s="66"/>
      <c r="I64" s="29">
        <v>21</v>
      </c>
      <c r="J64" s="73">
        <v>21</v>
      </c>
      <c r="K64" s="47">
        <f t="shared" ref="K64:K79" si="11">G64/J64*100</f>
        <v>0</v>
      </c>
      <c r="L64" s="47">
        <f t="shared" ref="L64:L79" si="12">H64/J64*100</f>
        <v>0</v>
      </c>
      <c r="M64" s="47">
        <f t="shared" ref="M64:M79" si="13">I64/J64*100</f>
        <v>100</v>
      </c>
      <c r="N64" s="68">
        <f t="shared" si="10"/>
        <v>100</v>
      </c>
      <c r="O64" s="46"/>
      <c r="P64" s="47"/>
      <c r="Q64" s="47">
        <v>57.3</v>
      </c>
      <c r="R64" s="48">
        <f t="shared" si="9"/>
        <v>57.3</v>
      </c>
      <c r="S64" s="29">
        <v>1</v>
      </c>
      <c r="T64" s="286"/>
      <c r="U64" s="295"/>
      <c r="V64" s="38" t="s">
        <v>189</v>
      </c>
      <c r="W64" s="29" t="s">
        <v>20</v>
      </c>
      <c r="X64" s="29" t="s">
        <v>12</v>
      </c>
      <c r="Y64" s="39">
        <v>57.3</v>
      </c>
      <c r="AD64" s="38"/>
      <c r="AG64" s="39"/>
      <c r="AL64" s="38"/>
      <c r="AO64" s="39"/>
      <c r="AP64" s="38"/>
      <c r="AS64" s="39"/>
      <c r="AW64" s="39"/>
      <c r="BA64" s="40"/>
    </row>
    <row r="65" spans="1:53" s="29" customFormat="1" x14ac:dyDescent="0.15">
      <c r="A65" s="52">
        <v>1984</v>
      </c>
      <c r="B65" s="295"/>
      <c r="C65" s="411" t="s">
        <v>1358</v>
      </c>
      <c r="D65" s="411"/>
      <c r="E65" s="29">
        <v>366</v>
      </c>
      <c r="G65" s="66"/>
      <c r="I65" s="29">
        <v>21</v>
      </c>
      <c r="J65" s="73">
        <v>21</v>
      </c>
      <c r="K65" s="47">
        <f t="shared" ref="K65:K70" si="14">G65/J65*100</f>
        <v>0</v>
      </c>
      <c r="L65" s="47">
        <f t="shared" ref="L65:L70" si="15">H65/J65*100</f>
        <v>0</v>
      </c>
      <c r="M65" s="47">
        <f t="shared" ref="M65:M70" si="16">I65/J65*100</f>
        <v>100</v>
      </c>
      <c r="N65" s="68">
        <f t="shared" si="10"/>
        <v>100</v>
      </c>
      <c r="O65" s="46"/>
      <c r="P65" s="47"/>
      <c r="Q65" s="47">
        <v>57.3</v>
      </c>
      <c r="R65" s="48">
        <f t="shared" si="9"/>
        <v>57.3</v>
      </c>
      <c r="S65" s="29">
        <v>1</v>
      </c>
      <c r="T65" s="286"/>
      <c r="U65" s="295"/>
      <c r="V65" s="38" t="s">
        <v>189</v>
      </c>
      <c r="W65" s="29" t="s">
        <v>20</v>
      </c>
      <c r="X65" s="29" t="s">
        <v>12</v>
      </c>
      <c r="Y65" s="39">
        <v>57.3</v>
      </c>
      <c r="AD65" s="38"/>
      <c r="AG65" s="39"/>
      <c r="AL65" s="38"/>
      <c r="AO65" s="39"/>
      <c r="AP65" s="38"/>
      <c r="AS65" s="39"/>
      <c r="AW65" s="39"/>
      <c r="BA65" s="40"/>
    </row>
    <row r="66" spans="1:53" s="29" customFormat="1" x14ac:dyDescent="0.15">
      <c r="A66" s="52">
        <v>1985</v>
      </c>
      <c r="B66" s="295"/>
      <c r="C66" s="411" t="s">
        <v>1358</v>
      </c>
      <c r="D66" s="411"/>
      <c r="E66" s="29">
        <v>155</v>
      </c>
      <c r="G66" s="66"/>
      <c r="I66" s="29">
        <v>21</v>
      </c>
      <c r="J66" s="73">
        <v>21</v>
      </c>
      <c r="K66" s="47">
        <f t="shared" si="14"/>
        <v>0</v>
      </c>
      <c r="L66" s="47">
        <f t="shared" si="15"/>
        <v>0</v>
      </c>
      <c r="M66" s="47">
        <f t="shared" si="16"/>
        <v>100</v>
      </c>
      <c r="N66" s="68">
        <f t="shared" si="10"/>
        <v>100</v>
      </c>
      <c r="O66" s="46"/>
      <c r="P66" s="47"/>
      <c r="Q66" s="47">
        <v>57.3</v>
      </c>
      <c r="R66" s="48">
        <f t="shared" si="9"/>
        <v>57.3</v>
      </c>
      <c r="S66" s="29">
        <v>1</v>
      </c>
      <c r="T66" s="286"/>
      <c r="U66" s="295"/>
      <c r="V66" s="38" t="s">
        <v>189</v>
      </c>
      <c r="W66" s="29" t="s">
        <v>20</v>
      </c>
      <c r="X66" s="29" t="s">
        <v>12</v>
      </c>
      <c r="Y66" s="39">
        <v>57.3</v>
      </c>
      <c r="AD66" s="38"/>
      <c r="AG66" s="39"/>
      <c r="AL66" s="38"/>
      <c r="AO66" s="39"/>
      <c r="AP66" s="38"/>
      <c r="AS66" s="39"/>
      <c r="AW66" s="39"/>
      <c r="BA66" s="40"/>
    </row>
    <row r="67" spans="1:53" s="171" customFormat="1" x14ac:dyDescent="0.15">
      <c r="A67" s="216">
        <v>1985</v>
      </c>
      <c r="B67" s="283">
        <v>31203</v>
      </c>
      <c r="C67" s="410" t="s">
        <v>1359</v>
      </c>
      <c r="D67" s="410"/>
      <c r="E67" s="171">
        <v>51</v>
      </c>
      <c r="F67" s="171">
        <v>1</v>
      </c>
      <c r="G67" s="233"/>
      <c r="I67" s="171">
        <v>15</v>
      </c>
      <c r="J67" s="241">
        <v>15</v>
      </c>
      <c r="K67" s="214">
        <f t="shared" si="14"/>
        <v>0</v>
      </c>
      <c r="L67" s="214">
        <f t="shared" si="15"/>
        <v>0</v>
      </c>
      <c r="M67" s="214">
        <f t="shared" si="16"/>
        <v>100</v>
      </c>
      <c r="N67" s="235">
        <f t="shared" si="10"/>
        <v>100</v>
      </c>
      <c r="O67" s="213"/>
      <c r="P67" s="214"/>
      <c r="Q67" s="214">
        <v>53.7</v>
      </c>
      <c r="R67" s="215">
        <f t="shared" si="9"/>
        <v>53.7</v>
      </c>
      <c r="S67" s="171">
        <v>1</v>
      </c>
      <c r="T67" s="285">
        <v>31200</v>
      </c>
      <c r="U67" s="283">
        <v>31203</v>
      </c>
      <c r="V67" s="178" t="s">
        <v>189</v>
      </c>
      <c r="W67" s="171" t="s">
        <v>20</v>
      </c>
      <c r="X67" s="171" t="s">
        <v>12</v>
      </c>
      <c r="Y67" s="179">
        <v>53.7</v>
      </c>
      <c r="AD67" s="178"/>
      <c r="AG67" s="179"/>
      <c r="AL67" s="178"/>
      <c r="AO67" s="179"/>
      <c r="AP67" s="178"/>
      <c r="AS67" s="179"/>
      <c r="AW67" s="179"/>
      <c r="BA67" s="180"/>
    </row>
    <row r="68" spans="1:53" s="171" customFormat="1" x14ac:dyDescent="0.15">
      <c r="A68" s="216">
        <v>1985</v>
      </c>
      <c r="B68" s="305">
        <v>31254</v>
      </c>
      <c r="C68" s="410" t="s">
        <v>1359</v>
      </c>
      <c r="D68" s="410"/>
      <c r="E68" s="171">
        <v>159</v>
      </c>
      <c r="F68" s="244">
        <v>0</v>
      </c>
      <c r="G68" s="233"/>
      <c r="I68" s="171">
        <v>25</v>
      </c>
      <c r="J68" s="241">
        <v>25</v>
      </c>
      <c r="K68" s="214">
        <f t="shared" si="14"/>
        <v>0</v>
      </c>
      <c r="L68" s="214">
        <f t="shared" si="15"/>
        <v>0</v>
      </c>
      <c r="M68" s="214">
        <f t="shared" si="16"/>
        <v>100</v>
      </c>
      <c r="N68" s="235">
        <f t="shared" si="10"/>
        <v>100</v>
      </c>
      <c r="O68" s="213"/>
      <c r="P68" s="214"/>
      <c r="Q68" s="214">
        <v>53.7</v>
      </c>
      <c r="R68" s="215">
        <f t="shared" si="9"/>
        <v>53.7</v>
      </c>
      <c r="S68" s="171">
        <v>1</v>
      </c>
      <c r="T68" s="285"/>
      <c r="U68" s="283"/>
      <c r="V68" s="178" t="s">
        <v>189</v>
      </c>
      <c r="W68" s="171" t="s">
        <v>20</v>
      </c>
      <c r="X68" s="171" t="s">
        <v>12</v>
      </c>
      <c r="Y68" s="179">
        <v>53.7</v>
      </c>
      <c r="AD68" s="178"/>
      <c r="AG68" s="179"/>
      <c r="AL68" s="178"/>
      <c r="AO68" s="179"/>
      <c r="AP68" s="178"/>
      <c r="AS68" s="179"/>
      <c r="AW68" s="179"/>
      <c r="BA68" s="180"/>
    </row>
    <row r="69" spans="1:53" s="171" customFormat="1" x14ac:dyDescent="0.15">
      <c r="A69" s="216">
        <v>1986</v>
      </c>
      <c r="B69" s="283"/>
      <c r="C69" s="410" t="s">
        <v>1359</v>
      </c>
      <c r="D69" s="410"/>
      <c r="E69" s="171">
        <v>0</v>
      </c>
      <c r="G69" s="233"/>
      <c r="I69" s="171">
        <v>25</v>
      </c>
      <c r="J69" s="241">
        <v>25</v>
      </c>
      <c r="K69" s="214">
        <f t="shared" si="14"/>
        <v>0</v>
      </c>
      <c r="L69" s="214">
        <f t="shared" si="15"/>
        <v>0</v>
      </c>
      <c r="M69" s="214">
        <f t="shared" si="16"/>
        <v>100</v>
      </c>
      <c r="N69" s="235">
        <f t="shared" si="10"/>
        <v>100</v>
      </c>
      <c r="O69" s="213"/>
      <c r="P69" s="214"/>
      <c r="Q69" s="214">
        <v>53.7</v>
      </c>
      <c r="R69" s="215">
        <f t="shared" si="9"/>
        <v>53.7</v>
      </c>
      <c r="S69" s="171">
        <v>1</v>
      </c>
      <c r="T69" s="285"/>
      <c r="U69" s="283"/>
      <c r="V69" s="178" t="s">
        <v>189</v>
      </c>
      <c r="W69" s="171" t="s">
        <v>20</v>
      </c>
      <c r="X69" s="171" t="s">
        <v>12</v>
      </c>
      <c r="Y69" s="179">
        <v>53.7</v>
      </c>
      <c r="AD69" s="178"/>
      <c r="AG69" s="179"/>
      <c r="AL69" s="178"/>
      <c r="AO69" s="179"/>
      <c r="AP69" s="178"/>
      <c r="AS69" s="179"/>
      <c r="AW69" s="179"/>
      <c r="BA69" s="180"/>
    </row>
    <row r="70" spans="1:53" s="171" customFormat="1" x14ac:dyDescent="0.15">
      <c r="A70" s="216">
        <v>1986</v>
      </c>
      <c r="B70" s="283"/>
      <c r="C70" s="410" t="s">
        <v>1359</v>
      </c>
      <c r="D70" s="410"/>
      <c r="E70" s="171">
        <v>365</v>
      </c>
      <c r="G70" s="233"/>
      <c r="I70" s="171">
        <v>25</v>
      </c>
      <c r="J70" s="241">
        <v>25</v>
      </c>
      <c r="K70" s="214">
        <f t="shared" si="14"/>
        <v>0</v>
      </c>
      <c r="L70" s="214">
        <f t="shared" si="15"/>
        <v>0</v>
      </c>
      <c r="M70" s="214">
        <f t="shared" si="16"/>
        <v>100</v>
      </c>
      <c r="N70" s="235">
        <f t="shared" si="10"/>
        <v>100</v>
      </c>
      <c r="O70" s="213"/>
      <c r="P70" s="214"/>
      <c r="Q70" s="214">
        <v>53.7</v>
      </c>
      <c r="R70" s="215">
        <f t="shared" si="9"/>
        <v>53.7</v>
      </c>
      <c r="S70" s="171">
        <v>1</v>
      </c>
      <c r="T70" s="285"/>
      <c r="U70" s="283"/>
      <c r="V70" s="178" t="s">
        <v>189</v>
      </c>
      <c r="W70" s="171" t="s">
        <v>20</v>
      </c>
      <c r="X70" s="171" t="s">
        <v>12</v>
      </c>
      <c r="Y70" s="179">
        <v>53.7</v>
      </c>
      <c r="AD70" s="178"/>
      <c r="AG70" s="179"/>
      <c r="AL70" s="178"/>
      <c r="AO70" s="179"/>
      <c r="AP70" s="178"/>
      <c r="AS70" s="179"/>
      <c r="AW70" s="179"/>
      <c r="BA70" s="180"/>
    </row>
    <row r="71" spans="1:53" s="171" customFormat="1" x14ac:dyDescent="0.15">
      <c r="A71" s="216">
        <v>1987</v>
      </c>
      <c r="B71" s="283"/>
      <c r="C71" s="410" t="s">
        <v>1359</v>
      </c>
      <c r="D71" s="410"/>
      <c r="E71" s="171">
        <v>0</v>
      </c>
      <c r="G71" s="233"/>
      <c r="I71" s="171">
        <v>25</v>
      </c>
      <c r="J71" s="241">
        <v>25</v>
      </c>
      <c r="K71" s="214">
        <f t="shared" si="11"/>
        <v>0</v>
      </c>
      <c r="L71" s="214">
        <f t="shared" si="12"/>
        <v>0</v>
      </c>
      <c r="M71" s="214">
        <f t="shared" si="13"/>
        <v>100</v>
      </c>
      <c r="N71" s="235">
        <f t="shared" si="10"/>
        <v>100</v>
      </c>
      <c r="O71" s="213"/>
      <c r="P71" s="214"/>
      <c r="Q71" s="214">
        <v>53.7</v>
      </c>
      <c r="R71" s="215">
        <f t="shared" si="9"/>
        <v>53.7</v>
      </c>
      <c r="S71" s="171">
        <v>1</v>
      </c>
      <c r="T71" s="285"/>
      <c r="U71" s="283"/>
      <c r="V71" s="178" t="s">
        <v>189</v>
      </c>
      <c r="W71" s="171" t="s">
        <v>20</v>
      </c>
      <c r="X71" s="171" t="s">
        <v>12</v>
      </c>
      <c r="Y71" s="179">
        <v>53.7</v>
      </c>
      <c r="AD71" s="178"/>
      <c r="AG71" s="179"/>
      <c r="AL71" s="178"/>
      <c r="AO71" s="179"/>
      <c r="AP71" s="178"/>
      <c r="AS71" s="179"/>
      <c r="AW71" s="179"/>
      <c r="BA71" s="180"/>
    </row>
    <row r="72" spans="1:53" s="171" customFormat="1" x14ac:dyDescent="0.15">
      <c r="A72" s="216">
        <v>1987</v>
      </c>
      <c r="B72" s="283"/>
      <c r="C72" s="410" t="s">
        <v>1359</v>
      </c>
      <c r="D72" s="410"/>
      <c r="E72" s="171">
        <v>365</v>
      </c>
      <c r="G72" s="233"/>
      <c r="I72" s="171">
        <v>25</v>
      </c>
      <c r="J72" s="241">
        <v>25</v>
      </c>
      <c r="K72" s="214">
        <f t="shared" si="11"/>
        <v>0</v>
      </c>
      <c r="L72" s="214">
        <f t="shared" si="12"/>
        <v>0</v>
      </c>
      <c r="M72" s="214">
        <f t="shared" si="13"/>
        <v>100</v>
      </c>
      <c r="N72" s="235">
        <f t="shared" si="10"/>
        <v>100</v>
      </c>
      <c r="O72" s="213"/>
      <c r="P72" s="214"/>
      <c r="Q72" s="214">
        <v>53.7</v>
      </c>
      <c r="R72" s="215">
        <f t="shared" si="9"/>
        <v>53.7</v>
      </c>
      <c r="S72" s="171">
        <v>1</v>
      </c>
      <c r="T72" s="285"/>
      <c r="U72" s="283"/>
      <c r="V72" s="178" t="s">
        <v>189</v>
      </c>
      <c r="W72" s="171" t="s">
        <v>20</v>
      </c>
      <c r="X72" s="171" t="s">
        <v>12</v>
      </c>
      <c r="Y72" s="179">
        <v>53.7</v>
      </c>
      <c r="AD72" s="178"/>
      <c r="AG72" s="179"/>
      <c r="AL72" s="178"/>
      <c r="AO72" s="179"/>
      <c r="AP72" s="178"/>
      <c r="AS72" s="179"/>
      <c r="AW72" s="179"/>
      <c r="BA72" s="180"/>
    </row>
    <row r="73" spans="1:53" s="171" customFormat="1" x14ac:dyDescent="0.15">
      <c r="A73" s="216">
        <v>1988</v>
      </c>
      <c r="B73" s="283"/>
      <c r="C73" s="410" t="s">
        <v>1359</v>
      </c>
      <c r="D73" s="410"/>
      <c r="E73" s="171">
        <v>0</v>
      </c>
      <c r="G73" s="233"/>
      <c r="I73" s="171">
        <v>25</v>
      </c>
      <c r="J73" s="241">
        <v>25</v>
      </c>
      <c r="K73" s="214">
        <f t="shared" si="11"/>
        <v>0</v>
      </c>
      <c r="L73" s="214">
        <f t="shared" si="12"/>
        <v>0</v>
      </c>
      <c r="M73" s="214">
        <f t="shared" si="13"/>
        <v>100</v>
      </c>
      <c r="N73" s="235">
        <f t="shared" si="10"/>
        <v>100</v>
      </c>
      <c r="O73" s="213"/>
      <c r="P73" s="214"/>
      <c r="Q73" s="214">
        <v>53.7</v>
      </c>
      <c r="R73" s="215">
        <f t="shared" si="9"/>
        <v>53.7</v>
      </c>
      <c r="S73" s="171">
        <v>1</v>
      </c>
      <c r="T73" s="285"/>
      <c r="U73" s="283"/>
      <c r="V73" s="178" t="s">
        <v>189</v>
      </c>
      <c r="W73" s="171" t="s">
        <v>20</v>
      </c>
      <c r="X73" s="171" t="s">
        <v>12</v>
      </c>
      <c r="Y73" s="179">
        <v>53.7</v>
      </c>
      <c r="AD73" s="178"/>
      <c r="AG73" s="179"/>
      <c r="AL73" s="178"/>
      <c r="AO73" s="179"/>
      <c r="AP73" s="178"/>
      <c r="AS73" s="179"/>
      <c r="AW73" s="179"/>
      <c r="BA73" s="180"/>
    </row>
    <row r="74" spans="1:53" s="171" customFormat="1" x14ac:dyDescent="0.15">
      <c r="A74" s="216">
        <v>1988</v>
      </c>
      <c r="B74" s="283"/>
      <c r="C74" s="410" t="s">
        <v>1359</v>
      </c>
      <c r="D74" s="410"/>
      <c r="E74" s="171">
        <v>366</v>
      </c>
      <c r="G74" s="233"/>
      <c r="I74" s="171">
        <v>25</v>
      </c>
      <c r="J74" s="241">
        <v>25</v>
      </c>
      <c r="K74" s="214">
        <f t="shared" si="11"/>
        <v>0</v>
      </c>
      <c r="L74" s="214">
        <f t="shared" si="12"/>
        <v>0</v>
      </c>
      <c r="M74" s="214">
        <f t="shared" si="13"/>
        <v>100</v>
      </c>
      <c r="N74" s="235">
        <f t="shared" si="10"/>
        <v>100</v>
      </c>
      <c r="O74" s="213"/>
      <c r="P74" s="214"/>
      <c r="Q74" s="214">
        <v>53.7</v>
      </c>
      <c r="R74" s="215">
        <f t="shared" si="9"/>
        <v>53.7</v>
      </c>
      <c r="S74" s="171">
        <v>1</v>
      </c>
      <c r="T74" s="285"/>
      <c r="U74" s="283"/>
      <c r="V74" s="178" t="s">
        <v>189</v>
      </c>
      <c r="W74" s="171" t="s">
        <v>20</v>
      </c>
      <c r="X74" s="171" t="s">
        <v>12</v>
      </c>
      <c r="Y74" s="179">
        <v>53.7</v>
      </c>
      <c r="AD74" s="178"/>
      <c r="AG74" s="179"/>
      <c r="AL74" s="178"/>
      <c r="AO74" s="179"/>
      <c r="AP74" s="178"/>
      <c r="AS74" s="179"/>
      <c r="AW74" s="179"/>
      <c r="BA74" s="180"/>
    </row>
    <row r="75" spans="1:53" s="171" customFormat="1" x14ac:dyDescent="0.15">
      <c r="A75" s="216">
        <v>1989</v>
      </c>
      <c r="B75" s="283"/>
      <c r="C75" s="410" t="s">
        <v>1359</v>
      </c>
      <c r="D75" s="410"/>
      <c r="E75" s="171">
        <v>182</v>
      </c>
      <c r="G75" s="233"/>
      <c r="I75" s="171">
        <v>25</v>
      </c>
      <c r="J75" s="241">
        <v>25</v>
      </c>
      <c r="K75" s="214">
        <f t="shared" si="11"/>
        <v>0</v>
      </c>
      <c r="L75" s="214">
        <f t="shared" si="12"/>
        <v>0</v>
      </c>
      <c r="M75" s="214">
        <f t="shared" si="13"/>
        <v>100</v>
      </c>
      <c r="N75" s="235">
        <f t="shared" si="10"/>
        <v>100</v>
      </c>
      <c r="O75" s="213"/>
      <c r="P75" s="214"/>
      <c r="Q75" s="214">
        <v>53.7</v>
      </c>
      <c r="R75" s="215">
        <f t="shared" si="9"/>
        <v>53.7</v>
      </c>
      <c r="S75" s="171">
        <v>1</v>
      </c>
      <c r="T75" s="285"/>
      <c r="U75" s="283"/>
      <c r="V75" s="178" t="s">
        <v>189</v>
      </c>
      <c r="W75" s="171" t="s">
        <v>20</v>
      </c>
      <c r="X75" s="171" t="s">
        <v>12</v>
      </c>
      <c r="Y75" s="179">
        <v>53.7</v>
      </c>
      <c r="AD75" s="178"/>
      <c r="AG75" s="179"/>
      <c r="AL75" s="178"/>
      <c r="AO75" s="179"/>
      <c r="AP75" s="178"/>
      <c r="AS75" s="179"/>
      <c r="AW75" s="179"/>
      <c r="BA75" s="180"/>
    </row>
    <row r="76" spans="1:53" s="29" customFormat="1" x14ac:dyDescent="0.15">
      <c r="A76" s="52">
        <v>1989</v>
      </c>
      <c r="B76" s="295">
        <v>32691</v>
      </c>
      <c r="C76" s="411" t="s">
        <v>178</v>
      </c>
      <c r="D76" s="411"/>
      <c r="E76" s="29">
        <v>102</v>
      </c>
      <c r="F76" s="29">
        <v>1</v>
      </c>
      <c r="G76" s="66">
        <v>21</v>
      </c>
      <c r="I76" s="29">
        <v>2</v>
      </c>
      <c r="J76" s="73">
        <v>23</v>
      </c>
      <c r="K76" s="47">
        <f>G76/J76*100</f>
        <v>91.304347826086953</v>
      </c>
      <c r="L76" s="47">
        <f>H76/J76*100</f>
        <v>0</v>
      </c>
      <c r="M76" s="47">
        <f>I76/J76*100</f>
        <v>8.695652173913043</v>
      </c>
      <c r="N76" s="68">
        <f t="shared" si="10"/>
        <v>100</v>
      </c>
      <c r="O76" s="46">
        <v>48.3</v>
      </c>
      <c r="P76" s="47"/>
      <c r="Q76" s="47">
        <v>9.3000000000000007</v>
      </c>
      <c r="R76" s="48">
        <f t="shared" si="9"/>
        <v>57.599999999999994</v>
      </c>
      <c r="S76" s="29">
        <v>2</v>
      </c>
      <c r="T76" s="286">
        <v>32677</v>
      </c>
      <c r="U76" s="295">
        <v>32691</v>
      </c>
      <c r="V76" s="38" t="s">
        <v>188</v>
      </c>
      <c r="W76" s="29" t="s">
        <v>76</v>
      </c>
      <c r="X76" s="29" t="s">
        <v>11</v>
      </c>
      <c r="Y76" s="39">
        <v>48.3</v>
      </c>
      <c r="Z76" s="29" t="s">
        <v>190</v>
      </c>
      <c r="AA76" s="29" t="s">
        <v>191</v>
      </c>
      <c r="AB76" s="29" t="s">
        <v>12</v>
      </c>
      <c r="AC76" s="29">
        <v>9.3000000000000007</v>
      </c>
      <c r="AD76" s="38"/>
      <c r="AG76" s="39"/>
      <c r="AL76" s="38"/>
      <c r="AO76" s="39"/>
      <c r="AP76" s="38"/>
      <c r="AS76" s="39"/>
      <c r="AW76" s="39"/>
      <c r="BA76" s="40"/>
    </row>
    <row r="77" spans="1:53" s="171" customFormat="1" x14ac:dyDescent="0.15">
      <c r="A77" s="216">
        <v>1989</v>
      </c>
      <c r="B77" s="283">
        <v>32793</v>
      </c>
      <c r="C77" s="410" t="s">
        <v>185</v>
      </c>
      <c r="D77" s="410"/>
      <c r="E77" s="171">
        <v>41</v>
      </c>
      <c r="F77" s="171">
        <v>2</v>
      </c>
      <c r="G77" s="233">
        <v>0</v>
      </c>
      <c r="H77" s="171">
        <v>0</v>
      </c>
      <c r="I77" s="171">
        <v>0</v>
      </c>
      <c r="J77" s="241">
        <v>21</v>
      </c>
      <c r="K77" s="214">
        <f t="shared" si="11"/>
        <v>0</v>
      </c>
      <c r="L77" s="214">
        <f t="shared" si="12"/>
        <v>0</v>
      </c>
      <c r="M77" s="214">
        <f t="shared" si="13"/>
        <v>0</v>
      </c>
      <c r="N77" s="235">
        <f t="shared" si="10"/>
        <v>0</v>
      </c>
      <c r="O77" s="213">
        <v>0</v>
      </c>
      <c r="P77" s="214">
        <v>0</v>
      </c>
      <c r="Q77" s="214">
        <v>0</v>
      </c>
      <c r="R77" s="215">
        <f t="shared" si="9"/>
        <v>0</v>
      </c>
      <c r="S77" s="171">
        <v>6</v>
      </c>
      <c r="T77" s="285"/>
      <c r="U77" s="283">
        <v>32793</v>
      </c>
      <c r="V77" s="242" t="s">
        <v>797</v>
      </c>
      <c r="Y77" s="179"/>
      <c r="AD77" s="178"/>
      <c r="AG77" s="179"/>
      <c r="AL77" s="178"/>
      <c r="AO77" s="179"/>
      <c r="AP77" s="178"/>
      <c r="AS77" s="179"/>
      <c r="AW77" s="179"/>
      <c r="BA77" s="180"/>
    </row>
    <row r="78" spans="1:53" s="74" customFormat="1" x14ac:dyDescent="0.15">
      <c r="A78" s="92">
        <v>1989</v>
      </c>
      <c r="B78" s="302">
        <v>32834</v>
      </c>
      <c r="C78" s="437" t="s">
        <v>186</v>
      </c>
      <c r="D78" s="437"/>
      <c r="E78" s="74">
        <v>40</v>
      </c>
      <c r="F78" s="74">
        <v>1</v>
      </c>
      <c r="G78" s="75">
        <v>6</v>
      </c>
      <c r="I78" s="74">
        <v>7</v>
      </c>
      <c r="J78" s="76">
        <v>21</v>
      </c>
      <c r="K78" s="77">
        <f t="shared" si="11"/>
        <v>28.571428571428569</v>
      </c>
      <c r="L78" s="77">
        <f t="shared" si="12"/>
        <v>0</v>
      </c>
      <c r="M78" s="77">
        <f t="shared" si="13"/>
        <v>33.333333333333329</v>
      </c>
      <c r="N78" s="78">
        <f t="shared" si="10"/>
        <v>61.904761904761898</v>
      </c>
      <c r="O78" s="79">
        <v>49.3</v>
      </c>
      <c r="P78" s="77"/>
      <c r="Q78" s="77">
        <v>50</v>
      </c>
      <c r="R78" s="80">
        <f t="shared" si="9"/>
        <v>99.3</v>
      </c>
      <c r="S78" s="74">
        <v>7</v>
      </c>
      <c r="T78" s="304">
        <v>32817</v>
      </c>
      <c r="U78" s="302">
        <v>32834</v>
      </c>
      <c r="V78" s="93" t="s">
        <v>778</v>
      </c>
      <c r="Y78" s="82"/>
      <c r="Z78" s="81" t="s">
        <v>188</v>
      </c>
      <c r="AA78" s="74" t="s">
        <v>76</v>
      </c>
      <c r="AB78" s="74" t="s">
        <v>11</v>
      </c>
      <c r="AC78" s="82">
        <v>49.3</v>
      </c>
      <c r="AD78" s="74" t="s">
        <v>189</v>
      </c>
      <c r="AE78" s="74" t="s">
        <v>20</v>
      </c>
      <c r="AF78" s="74" t="s">
        <v>12</v>
      </c>
      <c r="AG78" s="82">
        <v>43</v>
      </c>
      <c r="AH78" s="74" t="s">
        <v>190</v>
      </c>
      <c r="AI78" s="74" t="s">
        <v>191</v>
      </c>
      <c r="AJ78" s="74" t="s">
        <v>12</v>
      </c>
      <c r="AK78" s="74">
        <v>7</v>
      </c>
      <c r="AL78" s="81"/>
      <c r="AO78" s="82"/>
      <c r="AP78" s="81"/>
      <c r="AS78" s="82"/>
      <c r="AW78" s="82"/>
      <c r="BA78" s="83"/>
    </row>
    <row r="79" spans="1:53" s="29" customFormat="1" x14ac:dyDescent="0.15">
      <c r="A79" s="29">
        <v>1990</v>
      </c>
      <c r="B79" s="295"/>
      <c r="C79" s="411" t="s">
        <v>186</v>
      </c>
      <c r="D79" s="411"/>
      <c r="E79" s="29">
        <v>43</v>
      </c>
      <c r="G79" s="66">
        <v>6</v>
      </c>
      <c r="I79" s="29">
        <v>7</v>
      </c>
      <c r="J79" s="73">
        <v>21</v>
      </c>
      <c r="K79" s="47">
        <f t="shared" si="11"/>
        <v>28.571428571428569</v>
      </c>
      <c r="L79" s="47">
        <f t="shared" si="12"/>
        <v>0</v>
      </c>
      <c r="M79" s="47">
        <f t="shared" si="13"/>
        <v>33.333333333333329</v>
      </c>
      <c r="N79" s="68">
        <f t="shared" si="10"/>
        <v>61.904761904761898</v>
      </c>
      <c r="O79" s="46">
        <v>49.3</v>
      </c>
      <c r="P79" s="47"/>
      <c r="Q79" s="47">
        <v>50</v>
      </c>
      <c r="R79" s="48">
        <f t="shared" si="9"/>
        <v>99.3</v>
      </c>
      <c r="S79" s="29">
        <v>7</v>
      </c>
      <c r="T79" s="286"/>
      <c r="U79" s="295"/>
      <c r="V79" s="89" t="s">
        <v>778</v>
      </c>
      <c r="Y79" s="39"/>
      <c r="Z79" s="38" t="s">
        <v>188</v>
      </c>
      <c r="AA79" s="29" t="s">
        <v>76</v>
      </c>
      <c r="AB79" s="29" t="s">
        <v>11</v>
      </c>
      <c r="AC79" s="39">
        <v>49.3</v>
      </c>
      <c r="AD79" s="29" t="s">
        <v>189</v>
      </c>
      <c r="AE79" s="29" t="s">
        <v>20</v>
      </c>
      <c r="AF79" s="29" t="s">
        <v>12</v>
      </c>
      <c r="AG79" s="39">
        <v>43</v>
      </c>
      <c r="AH79" s="29" t="s">
        <v>190</v>
      </c>
      <c r="AI79" s="29" t="s">
        <v>191</v>
      </c>
      <c r="AJ79" s="29" t="s">
        <v>12</v>
      </c>
      <c r="AK79" s="29">
        <v>7</v>
      </c>
      <c r="AL79" s="38"/>
      <c r="AO79" s="39"/>
      <c r="AP79" s="38"/>
      <c r="AS79" s="39"/>
      <c r="AW79" s="39"/>
      <c r="BA79" s="40"/>
    </row>
    <row r="80" spans="1:53" s="171" customFormat="1" x14ac:dyDescent="0.15">
      <c r="A80" s="171">
        <v>1990</v>
      </c>
      <c r="B80" s="283">
        <v>32917</v>
      </c>
      <c r="C80" s="410" t="s">
        <v>187</v>
      </c>
      <c r="D80" s="410"/>
      <c r="E80" s="171">
        <v>57</v>
      </c>
      <c r="F80" s="171">
        <v>4</v>
      </c>
      <c r="G80" s="233">
        <v>0</v>
      </c>
      <c r="H80" s="171">
        <v>0</v>
      </c>
      <c r="I80" s="171">
        <v>0</v>
      </c>
      <c r="J80" s="241">
        <v>21</v>
      </c>
      <c r="K80" s="214">
        <f t="shared" ref="K80:K85" si="17">G80/J80*100</f>
        <v>0</v>
      </c>
      <c r="L80" s="214">
        <f t="shared" ref="L80:L85" si="18">H80/J80*100</f>
        <v>0</v>
      </c>
      <c r="M80" s="214">
        <f t="shared" ref="M80:M85" si="19">I80/J80*100</f>
        <v>0</v>
      </c>
      <c r="N80" s="235">
        <f>SUM(K80:M80)</f>
        <v>0</v>
      </c>
      <c r="O80" s="213">
        <v>0</v>
      </c>
      <c r="P80" s="214">
        <v>0</v>
      </c>
      <c r="Q80" s="214">
        <v>0</v>
      </c>
      <c r="R80" s="215">
        <f t="shared" si="9"/>
        <v>0</v>
      </c>
      <c r="S80" s="171">
        <v>6</v>
      </c>
      <c r="T80" s="285"/>
      <c r="U80" s="283">
        <v>32917</v>
      </c>
      <c r="V80" s="242" t="s">
        <v>797</v>
      </c>
      <c r="Y80" s="179"/>
      <c r="AD80" s="178"/>
      <c r="AG80" s="179"/>
      <c r="AL80" s="178"/>
      <c r="AO80" s="179"/>
      <c r="AP80" s="178"/>
      <c r="AS80" s="179"/>
      <c r="AW80" s="179"/>
      <c r="BA80" s="180"/>
    </row>
    <row r="81" spans="1:53" s="29" customFormat="1" x14ac:dyDescent="0.15">
      <c r="A81" s="29">
        <v>1990</v>
      </c>
      <c r="B81" s="295">
        <v>32974</v>
      </c>
      <c r="C81" s="411" t="s">
        <v>1492</v>
      </c>
      <c r="D81" s="411"/>
      <c r="E81" s="29">
        <v>265</v>
      </c>
      <c r="F81" s="29">
        <v>1</v>
      </c>
      <c r="G81" s="66">
        <v>25</v>
      </c>
      <c r="J81" s="73">
        <v>25</v>
      </c>
      <c r="K81" s="47">
        <f t="shared" si="17"/>
        <v>100</v>
      </c>
      <c r="L81" s="47">
        <f t="shared" si="18"/>
        <v>0</v>
      </c>
      <c r="M81" s="47">
        <f t="shared" si="19"/>
        <v>0</v>
      </c>
      <c r="N81" s="68">
        <f t="shared" si="10"/>
        <v>100</v>
      </c>
      <c r="O81" s="46">
        <v>50.3</v>
      </c>
      <c r="P81" s="47"/>
      <c r="Q81" s="47"/>
      <c r="R81" s="48">
        <f t="shared" si="9"/>
        <v>50.3</v>
      </c>
      <c r="S81" s="29">
        <v>1</v>
      </c>
      <c r="T81" s="286">
        <v>32971</v>
      </c>
      <c r="U81" s="295">
        <v>32974</v>
      </c>
      <c r="V81" s="38" t="s">
        <v>188</v>
      </c>
      <c r="W81" s="29" t="s">
        <v>76</v>
      </c>
      <c r="X81" s="29" t="s">
        <v>11</v>
      </c>
      <c r="Y81" s="39">
        <v>50.3</v>
      </c>
      <c r="AD81" s="38"/>
      <c r="AG81" s="39"/>
      <c r="AL81" s="38"/>
      <c r="AO81" s="39"/>
      <c r="AP81" s="38"/>
      <c r="AS81" s="39"/>
      <c r="AW81" s="39"/>
      <c r="BA81" s="40"/>
    </row>
    <row r="82" spans="1:53" s="29" customFormat="1" x14ac:dyDescent="0.15">
      <c r="A82" s="29">
        <v>1991</v>
      </c>
      <c r="B82" s="295"/>
      <c r="C82" s="411" t="s">
        <v>1492</v>
      </c>
      <c r="D82" s="411"/>
      <c r="E82" s="29">
        <v>0</v>
      </c>
      <c r="G82" s="66">
        <v>25</v>
      </c>
      <c r="J82" s="73">
        <v>25</v>
      </c>
      <c r="K82" s="47">
        <f t="shared" si="17"/>
        <v>100</v>
      </c>
      <c r="L82" s="47">
        <f t="shared" si="18"/>
        <v>0</v>
      </c>
      <c r="M82" s="47">
        <f t="shared" si="19"/>
        <v>0</v>
      </c>
      <c r="N82" s="68">
        <f t="shared" si="10"/>
        <v>100</v>
      </c>
      <c r="O82" s="46">
        <v>50.3</v>
      </c>
      <c r="P82" s="47"/>
      <c r="Q82" s="47"/>
      <c r="R82" s="48">
        <f t="shared" si="9"/>
        <v>50.3</v>
      </c>
      <c r="S82" s="29">
        <v>1</v>
      </c>
      <c r="T82" s="286"/>
      <c r="U82" s="295"/>
      <c r="V82" s="38" t="s">
        <v>188</v>
      </c>
      <c r="W82" s="29" t="s">
        <v>76</v>
      </c>
      <c r="X82" s="29" t="s">
        <v>11</v>
      </c>
      <c r="Y82" s="39">
        <v>50.3</v>
      </c>
      <c r="AD82" s="38"/>
      <c r="AG82" s="39"/>
      <c r="AL82" s="38"/>
      <c r="AO82" s="39"/>
      <c r="AP82" s="38"/>
      <c r="AS82" s="39"/>
      <c r="AW82" s="39"/>
      <c r="BA82" s="40"/>
    </row>
    <row r="83" spans="1:53" s="29" customFormat="1" x14ac:dyDescent="0.15">
      <c r="A83" s="29">
        <v>1991</v>
      </c>
      <c r="B83" s="295"/>
      <c r="C83" s="411" t="s">
        <v>1492</v>
      </c>
      <c r="D83" s="411"/>
      <c r="E83" s="29">
        <f>365-E82</f>
        <v>365</v>
      </c>
      <c r="G83" s="66">
        <v>25</v>
      </c>
      <c r="J83" s="73">
        <v>25</v>
      </c>
      <c r="K83" s="47">
        <f t="shared" si="17"/>
        <v>100</v>
      </c>
      <c r="L83" s="47">
        <f t="shared" si="18"/>
        <v>0</v>
      </c>
      <c r="M83" s="47">
        <f t="shared" si="19"/>
        <v>0</v>
      </c>
      <c r="N83" s="68">
        <f t="shared" si="10"/>
        <v>100</v>
      </c>
      <c r="O83" s="46">
        <v>50.3</v>
      </c>
      <c r="P83" s="47"/>
      <c r="Q83" s="47"/>
      <c r="R83" s="48">
        <f t="shared" si="9"/>
        <v>50.3</v>
      </c>
      <c r="S83" s="29">
        <v>1</v>
      </c>
      <c r="T83" s="286"/>
      <c r="U83" s="295"/>
      <c r="V83" s="38" t="s">
        <v>188</v>
      </c>
      <c r="W83" s="29" t="s">
        <v>76</v>
      </c>
      <c r="X83" s="29" t="s">
        <v>11</v>
      </c>
      <c r="Y83" s="39">
        <v>50.3</v>
      </c>
      <c r="AD83" s="38"/>
      <c r="AG83" s="39"/>
      <c r="AL83" s="38"/>
      <c r="AO83" s="39"/>
      <c r="AP83" s="38"/>
      <c r="AS83" s="39"/>
      <c r="AW83" s="39"/>
      <c r="BA83" s="40"/>
    </row>
    <row r="84" spans="1:53" s="29" customFormat="1" x14ac:dyDescent="0.15">
      <c r="A84" s="29">
        <v>1992</v>
      </c>
      <c r="B84" s="295"/>
      <c r="C84" s="411" t="s">
        <v>1492</v>
      </c>
      <c r="D84" s="411"/>
      <c r="E84" s="29">
        <v>0</v>
      </c>
      <c r="G84" s="66">
        <v>21</v>
      </c>
      <c r="J84" s="73">
        <v>21</v>
      </c>
      <c r="K84" s="47">
        <f t="shared" si="17"/>
        <v>100</v>
      </c>
      <c r="L84" s="47">
        <f t="shared" si="18"/>
        <v>0</v>
      </c>
      <c r="M84" s="47">
        <f t="shared" si="19"/>
        <v>0</v>
      </c>
      <c r="N84" s="68">
        <f t="shared" si="10"/>
        <v>100</v>
      </c>
      <c r="O84" s="46">
        <v>50.3</v>
      </c>
      <c r="P84" s="47"/>
      <c r="Q84" s="47"/>
      <c r="R84" s="48">
        <f t="shared" si="9"/>
        <v>50.3</v>
      </c>
      <c r="S84" s="29">
        <v>1</v>
      </c>
      <c r="T84" s="286"/>
      <c r="U84" s="295"/>
      <c r="V84" s="38" t="s">
        <v>188</v>
      </c>
      <c r="W84" s="29" t="s">
        <v>76</v>
      </c>
      <c r="X84" s="29" t="s">
        <v>11</v>
      </c>
      <c r="Y84" s="39">
        <v>50.3</v>
      </c>
      <c r="AD84" s="38"/>
      <c r="AG84" s="39"/>
      <c r="AL84" s="38"/>
      <c r="AO84" s="39"/>
      <c r="AP84" s="38"/>
      <c r="AS84" s="39"/>
      <c r="AW84" s="39"/>
      <c r="BA84" s="40"/>
    </row>
    <row r="85" spans="1:53" s="29" customFormat="1" x14ac:dyDescent="0.15">
      <c r="A85" s="29">
        <v>1992</v>
      </c>
      <c r="B85" s="295"/>
      <c r="C85" s="411" t="s">
        <v>1492</v>
      </c>
      <c r="D85" s="411"/>
      <c r="E85" s="29">
        <v>366</v>
      </c>
      <c r="G85" s="66">
        <v>21</v>
      </c>
      <c r="J85" s="73">
        <v>21</v>
      </c>
      <c r="K85" s="47">
        <f t="shared" si="17"/>
        <v>100</v>
      </c>
      <c r="L85" s="47">
        <f t="shared" si="18"/>
        <v>0</v>
      </c>
      <c r="M85" s="47">
        <f t="shared" si="19"/>
        <v>0</v>
      </c>
      <c r="N85" s="68">
        <f t="shared" si="10"/>
        <v>100</v>
      </c>
      <c r="O85" s="46">
        <v>50.3</v>
      </c>
      <c r="P85" s="47"/>
      <c r="Q85" s="47"/>
      <c r="R85" s="48">
        <f t="shared" si="9"/>
        <v>50.3</v>
      </c>
      <c r="S85" s="29">
        <v>1</v>
      </c>
      <c r="T85" s="286"/>
      <c r="U85" s="295"/>
      <c r="V85" s="38" t="s">
        <v>188</v>
      </c>
      <c r="W85" s="29" t="s">
        <v>76</v>
      </c>
      <c r="X85" s="29" t="s">
        <v>11</v>
      </c>
      <c r="Y85" s="39">
        <v>50.3</v>
      </c>
      <c r="AD85" s="38"/>
      <c r="AG85" s="39"/>
      <c r="AL85" s="38"/>
      <c r="AO85" s="39"/>
      <c r="AP85" s="38"/>
      <c r="AS85" s="39"/>
      <c r="AW85" s="39"/>
      <c r="BA85" s="40"/>
    </row>
    <row r="86" spans="1:53" s="29" customFormat="1" x14ac:dyDescent="0.15">
      <c r="A86" s="29">
        <v>1993</v>
      </c>
      <c r="B86" s="295"/>
      <c r="C86" s="411" t="s">
        <v>1492</v>
      </c>
      <c r="D86" s="411"/>
      <c r="E86" s="29">
        <v>297</v>
      </c>
      <c r="G86" s="66">
        <v>22</v>
      </c>
      <c r="J86" s="73">
        <v>22</v>
      </c>
      <c r="K86" s="47">
        <f t="shared" ref="K86:K110" si="20">G86/J86*100</f>
        <v>100</v>
      </c>
      <c r="L86" s="47">
        <f t="shared" ref="L86:L110" si="21">H86/J86*100</f>
        <v>0</v>
      </c>
      <c r="M86" s="47">
        <f t="shared" ref="M86:M110" si="22">I86/J86*100</f>
        <v>0</v>
      </c>
      <c r="N86" s="68">
        <f t="shared" si="10"/>
        <v>100</v>
      </c>
      <c r="O86" s="46">
        <v>50.3</v>
      </c>
      <c r="P86" s="47"/>
      <c r="Q86" s="47"/>
      <c r="R86" s="48">
        <f t="shared" si="9"/>
        <v>50.3</v>
      </c>
      <c r="S86" s="29">
        <v>1</v>
      </c>
      <c r="T86" s="286"/>
      <c r="U86" s="295"/>
      <c r="V86" s="38" t="s">
        <v>188</v>
      </c>
      <c r="W86" s="29" t="s">
        <v>76</v>
      </c>
      <c r="X86" s="29" t="s">
        <v>11</v>
      </c>
      <c r="Y86" s="39">
        <v>50.3</v>
      </c>
      <c r="AD86" s="38"/>
      <c r="AG86" s="39"/>
      <c r="AL86" s="38"/>
      <c r="AO86" s="39"/>
      <c r="AP86" s="38"/>
      <c r="AS86" s="39"/>
      <c r="AW86" s="39"/>
      <c r="BA86" s="40"/>
    </row>
    <row r="87" spans="1:53" s="171" customFormat="1" x14ac:dyDescent="0.15">
      <c r="A87" s="171">
        <v>1993</v>
      </c>
      <c r="B87" s="283">
        <v>34267</v>
      </c>
      <c r="C87" s="410" t="s">
        <v>1360</v>
      </c>
      <c r="D87" s="410"/>
      <c r="E87" s="171">
        <f>365-E86</f>
        <v>68</v>
      </c>
      <c r="F87" s="171">
        <v>1</v>
      </c>
      <c r="G87" s="233"/>
      <c r="I87" s="171">
        <v>22</v>
      </c>
      <c r="J87" s="241">
        <v>22</v>
      </c>
      <c r="K87" s="214">
        <f t="shared" si="20"/>
        <v>0</v>
      </c>
      <c r="L87" s="214">
        <f t="shared" si="21"/>
        <v>0</v>
      </c>
      <c r="M87" s="214">
        <f t="shared" si="22"/>
        <v>100</v>
      </c>
      <c r="N87" s="235">
        <f t="shared" si="10"/>
        <v>100</v>
      </c>
      <c r="O87" s="213"/>
      <c r="P87" s="214"/>
      <c r="Q87" s="214">
        <v>56.7</v>
      </c>
      <c r="R87" s="215">
        <f t="shared" si="9"/>
        <v>56.7</v>
      </c>
      <c r="S87" s="171">
        <v>1</v>
      </c>
      <c r="T87" s="285">
        <v>34252</v>
      </c>
      <c r="U87" s="283">
        <v>34267</v>
      </c>
      <c r="V87" s="178" t="s">
        <v>189</v>
      </c>
      <c r="W87" s="171" t="s">
        <v>20</v>
      </c>
      <c r="X87" s="171" t="s">
        <v>12</v>
      </c>
      <c r="Y87" s="179">
        <v>56.7</v>
      </c>
      <c r="AD87" s="178"/>
      <c r="AG87" s="179"/>
      <c r="AL87" s="178"/>
      <c r="AO87" s="179"/>
      <c r="AP87" s="178"/>
      <c r="AS87" s="179"/>
      <c r="AW87" s="179"/>
      <c r="BA87" s="180"/>
    </row>
    <row r="88" spans="1:53" s="171" customFormat="1" x14ac:dyDescent="0.15">
      <c r="A88" s="171">
        <v>1994</v>
      </c>
      <c r="B88" s="283"/>
      <c r="C88" s="410" t="s">
        <v>1360</v>
      </c>
      <c r="D88" s="410"/>
      <c r="E88" s="171">
        <v>0</v>
      </c>
      <c r="G88" s="233"/>
      <c r="I88" s="171">
        <v>22</v>
      </c>
      <c r="J88" s="241">
        <v>22</v>
      </c>
      <c r="K88" s="214">
        <f t="shared" si="20"/>
        <v>0</v>
      </c>
      <c r="L88" s="214">
        <f t="shared" si="21"/>
        <v>0</v>
      </c>
      <c r="M88" s="214">
        <f t="shared" si="22"/>
        <v>100</v>
      </c>
      <c r="N88" s="235">
        <f t="shared" si="10"/>
        <v>100</v>
      </c>
      <c r="O88" s="213"/>
      <c r="P88" s="214"/>
      <c r="Q88" s="214">
        <v>56.7</v>
      </c>
      <c r="R88" s="215">
        <f t="shared" si="9"/>
        <v>56.7</v>
      </c>
      <c r="S88" s="171">
        <v>1</v>
      </c>
      <c r="T88" s="285"/>
      <c r="U88" s="283"/>
      <c r="V88" s="178" t="s">
        <v>189</v>
      </c>
      <c r="W88" s="171" t="s">
        <v>20</v>
      </c>
      <c r="X88" s="171" t="s">
        <v>12</v>
      </c>
      <c r="Y88" s="179">
        <v>56.7</v>
      </c>
      <c r="AD88" s="178"/>
      <c r="AG88" s="179"/>
      <c r="AL88" s="178"/>
      <c r="AO88" s="179"/>
      <c r="AP88" s="178"/>
      <c r="AS88" s="179"/>
      <c r="AW88" s="179"/>
      <c r="BA88" s="180"/>
    </row>
    <row r="89" spans="1:53" s="171" customFormat="1" x14ac:dyDescent="0.15">
      <c r="A89" s="171">
        <v>1994</v>
      </c>
      <c r="B89" s="283"/>
      <c r="C89" s="410" t="s">
        <v>1360</v>
      </c>
      <c r="D89" s="410"/>
      <c r="E89" s="171">
        <f>365-E88</f>
        <v>365</v>
      </c>
      <c r="G89" s="233"/>
      <c r="I89" s="171">
        <v>22</v>
      </c>
      <c r="J89" s="241">
        <v>22</v>
      </c>
      <c r="K89" s="214">
        <f t="shared" si="20"/>
        <v>0</v>
      </c>
      <c r="L89" s="214">
        <f t="shared" si="21"/>
        <v>0</v>
      </c>
      <c r="M89" s="214">
        <f t="shared" si="22"/>
        <v>100</v>
      </c>
      <c r="N89" s="235">
        <f t="shared" si="10"/>
        <v>100</v>
      </c>
      <c r="O89" s="213"/>
      <c r="P89" s="214"/>
      <c r="Q89" s="214">
        <v>56.7</v>
      </c>
      <c r="R89" s="215">
        <f t="shared" si="9"/>
        <v>56.7</v>
      </c>
      <c r="S89" s="171">
        <v>1</v>
      </c>
      <c r="T89" s="285"/>
      <c r="U89" s="283"/>
      <c r="V89" s="178" t="s">
        <v>189</v>
      </c>
      <c r="W89" s="171" t="s">
        <v>20</v>
      </c>
      <c r="X89" s="171" t="s">
        <v>12</v>
      </c>
      <c r="Y89" s="179">
        <v>56.7</v>
      </c>
      <c r="AD89" s="178"/>
      <c r="AG89" s="179"/>
      <c r="AL89" s="178"/>
      <c r="AO89" s="179"/>
      <c r="AP89" s="178"/>
      <c r="AS89" s="179"/>
      <c r="AW89" s="179"/>
      <c r="BA89" s="180"/>
    </row>
    <row r="90" spans="1:53" s="171" customFormat="1" x14ac:dyDescent="0.15">
      <c r="A90" s="171">
        <v>1995</v>
      </c>
      <c r="B90" s="283"/>
      <c r="C90" s="410" t="s">
        <v>1360</v>
      </c>
      <c r="D90" s="410"/>
      <c r="E90" s="171">
        <v>0</v>
      </c>
      <c r="G90" s="233"/>
      <c r="I90" s="171">
        <v>23</v>
      </c>
      <c r="J90" s="241">
        <v>23</v>
      </c>
      <c r="K90" s="214">
        <f t="shared" si="20"/>
        <v>0</v>
      </c>
      <c r="L90" s="214">
        <f t="shared" si="21"/>
        <v>0</v>
      </c>
      <c r="M90" s="214">
        <f t="shared" si="22"/>
        <v>100</v>
      </c>
      <c r="N90" s="235">
        <f t="shared" si="10"/>
        <v>100</v>
      </c>
      <c r="O90" s="213"/>
      <c r="P90" s="214"/>
      <c r="Q90" s="214">
        <v>56.7</v>
      </c>
      <c r="R90" s="215">
        <f t="shared" si="9"/>
        <v>56.7</v>
      </c>
      <c r="S90" s="171">
        <v>1</v>
      </c>
      <c r="T90" s="285"/>
      <c r="U90" s="283"/>
      <c r="V90" s="178" t="s">
        <v>189</v>
      </c>
      <c r="W90" s="171" t="s">
        <v>20</v>
      </c>
      <c r="X90" s="171" t="s">
        <v>12</v>
      </c>
      <c r="Y90" s="179">
        <v>56.7</v>
      </c>
      <c r="AD90" s="178"/>
      <c r="AG90" s="179"/>
      <c r="AL90" s="178"/>
      <c r="AO90" s="179"/>
      <c r="AP90" s="178"/>
      <c r="AS90" s="179"/>
      <c r="AW90" s="179"/>
      <c r="BA90" s="180"/>
    </row>
    <row r="91" spans="1:53" s="171" customFormat="1" x14ac:dyDescent="0.15">
      <c r="A91" s="171">
        <v>1995</v>
      </c>
      <c r="B91" s="283"/>
      <c r="C91" s="410" t="s">
        <v>1360</v>
      </c>
      <c r="D91" s="410"/>
      <c r="E91" s="171">
        <f>365-E90</f>
        <v>365</v>
      </c>
      <c r="G91" s="233"/>
      <c r="I91" s="171">
        <v>23</v>
      </c>
      <c r="J91" s="241">
        <v>23</v>
      </c>
      <c r="K91" s="214">
        <f t="shared" si="20"/>
        <v>0</v>
      </c>
      <c r="L91" s="214">
        <f t="shared" si="21"/>
        <v>0</v>
      </c>
      <c r="M91" s="214">
        <f t="shared" si="22"/>
        <v>100</v>
      </c>
      <c r="N91" s="235">
        <f t="shared" si="10"/>
        <v>100</v>
      </c>
      <c r="O91" s="213"/>
      <c r="P91" s="214"/>
      <c r="Q91" s="214">
        <v>56.7</v>
      </c>
      <c r="R91" s="215">
        <f t="shared" si="9"/>
        <v>56.7</v>
      </c>
      <c r="S91" s="171">
        <v>1</v>
      </c>
      <c r="T91" s="285"/>
      <c r="U91" s="283"/>
      <c r="V91" s="178" t="s">
        <v>189</v>
      </c>
      <c r="W91" s="171" t="s">
        <v>20</v>
      </c>
      <c r="X91" s="171" t="s">
        <v>12</v>
      </c>
      <c r="Y91" s="179">
        <v>56.7</v>
      </c>
      <c r="AD91" s="178"/>
      <c r="AG91" s="179"/>
      <c r="AL91" s="178"/>
      <c r="AO91" s="179"/>
      <c r="AP91" s="178"/>
      <c r="AS91" s="179"/>
      <c r="AW91" s="179"/>
      <c r="BA91" s="180"/>
    </row>
    <row r="92" spans="1:53" s="171" customFormat="1" x14ac:dyDescent="0.15">
      <c r="A92" s="171">
        <v>1996</v>
      </c>
      <c r="B92" s="283"/>
      <c r="C92" s="410" t="s">
        <v>1360</v>
      </c>
      <c r="D92" s="410"/>
      <c r="E92" s="171">
        <v>31</v>
      </c>
      <c r="G92" s="233"/>
      <c r="I92" s="171">
        <v>23</v>
      </c>
      <c r="J92" s="241">
        <v>23</v>
      </c>
      <c r="K92" s="214">
        <f t="shared" si="20"/>
        <v>0</v>
      </c>
      <c r="L92" s="214">
        <f t="shared" si="21"/>
        <v>0</v>
      </c>
      <c r="M92" s="214">
        <f t="shared" si="22"/>
        <v>100</v>
      </c>
      <c r="N92" s="235">
        <f t="shared" si="10"/>
        <v>100</v>
      </c>
      <c r="O92" s="213"/>
      <c r="P92" s="214"/>
      <c r="Q92" s="214">
        <v>56.7</v>
      </c>
      <c r="R92" s="215">
        <f t="shared" si="9"/>
        <v>56.7</v>
      </c>
      <c r="S92" s="171">
        <v>1</v>
      </c>
      <c r="T92" s="285"/>
      <c r="U92" s="283"/>
      <c r="V92" s="178" t="s">
        <v>189</v>
      </c>
      <c r="W92" s="171" t="s">
        <v>20</v>
      </c>
      <c r="X92" s="171" t="s">
        <v>12</v>
      </c>
      <c r="Y92" s="179">
        <v>56.7</v>
      </c>
      <c r="AD92" s="178"/>
      <c r="AG92" s="179"/>
      <c r="AL92" s="178"/>
      <c r="AO92" s="179"/>
      <c r="AP92" s="178"/>
      <c r="AS92" s="179"/>
      <c r="AW92" s="179"/>
      <c r="BA92" s="180"/>
    </row>
    <row r="93" spans="1:53" s="29" customFormat="1" x14ac:dyDescent="0.15">
      <c r="A93" s="29">
        <v>1996</v>
      </c>
      <c r="B93" s="295">
        <v>35096</v>
      </c>
      <c r="C93" s="411" t="s">
        <v>179</v>
      </c>
      <c r="D93" s="411"/>
      <c r="E93" s="29">
        <v>255</v>
      </c>
      <c r="F93" s="29">
        <v>3</v>
      </c>
      <c r="G93" s="66"/>
      <c r="I93" s="29">
        <v>20</v>
      </c>
      <c r="J93" s="73">
        <v>20</v>
      </c>
      <c r="K93" s="47">
        <f t="shared" si="20"/>
        <v>0</v>
      </c>
      <c r="L93" s="47">
        <f t="shared" si="21"/>
        <v>0</v>
      </c>
      <c r="M93" s="47">
        <f t="shared" si="22"/>
        <v>100</v>
      </c>
      <c r="N93" s="68">
        <f t="shared" si="10"/>
        <v>100</v>
      </c>
      <c r="O93" s="46"/>
      <c r="P93" s="47"/>
      <c r="Q93" s="47">
        <v>54</v>
      </c>
      <c r="R93" s="48">
        <f t="shared" si="9"/>
        <v>54</v>
      </c>
      <c r="S93" s="29">
        <v>1</v>
      </c>
      <c r="T93" s="286"/>
      <c r="U93" s="295">
        <v>35096</v>
      </c>
      <c r="V93" s="38" t="s">
        <v>189</v>
      </c>
      <c r="W93" s="29" t="s">
        <v>20</v>
      </c>
      <c r="X93" s="29" t="s">
        <v>12</v>
      </c>
      <c r="Y93" s="39">
        <v>56.7</v>
      </c>
      <c r="AD93" s="38"/>
      <c r="AG93" s="39"/>
      <c r="AL93" s="38"/>
      <c r="AO93" s="39"/>
      <c r="AP93" s="38"/>
      <c r="AS93" s="39"/>
      <c r="AW93" s="39"/>
      <c r="BA93" s="40"/>
    </row>
    <row r="94" spans="1:53" s="171" customFormat="1" x14ac:dyDescent="0.15">
      <c r="A94" s="171">
        <v>1996</v>
      </c>
      <c r="B94" s="283">
        <v>35351</v>
      </c>
      <c r="C94" s="410" t="s">
        <v>180</v>
      </c>
      <c r="D94" s="410"/>
      <c r="E94" s="171">
        <v>80</v>
      </c>
      <c r="F94" s="171">
        <v>1</v>
      </c>
      <c r="G94" s="233"/>
      <c r="I94" s="171">
        <v>20</v>
      </c>
      <c r="J94" s="241">
        <v>20</v>
      </c>
      <c r="K94" s="214">
        <f>G94/J94*100</f>
        <v>0</v>
      </c>
      <c r="L94" s="214">
        <f>H94/J94*100</f>
        <v>0</v>
      </c>
      <c r="M94" s="214">
        <f>I94/J94*100</f>
        <v>100</v>
      </c>
      <c r="N94" s="235">
        <f t="shared" si="10"/>
        <v>100</v>
      </c>
      <c r="O94" s="213"/>
      <c r="P94" s="214"/>
      <c r="Q94" s="214">
        <v>54</v>
      </c>
      <c r="R94" s="215">
        <f t="shared" si="9"/>
        <v>54</v>
      </c>
      <c r="S94" s="171">
        <v>1</v>
      </c>
      <c r="T94" s="285">
        <v>35330</v>
      </c>
      <c r="U94" s="283">
        <v>35351</v>
      </c>
      <c r="V94" s="178" t="s">
        <v>189</v>
      </c>
      <c r="W94" s="171" t="s">
        <v>20</v>
      </c>
      <c r="X94" s="171" t="s">
        <v>12</v>
      </c>
      <c r="Y94" s="179">
        <v>54</v>
      </c>
      <c r="AD94" s="178"/>
      <c r="AG94" s="179"/>
      <c r="AL94" s="178"/>
      <c r="AO94" s="179"/>
      <c r="AP94" s="178"/>
      <c r="AS94" s="179"/>
      <c r="AW94" s="179"/>
      <c r="BA94" s="180"/>
    </row>
    <row r="95" spans="1:53" s="171" customFormat="1" x14ac:dyDescent="0.15">
      <c r="A95" s="171">
        <v>1997</v>
      </c>
      <c r="B95" s="283"/>
      <c r="C95" s="410" t="s">
        <v>180</v>
      </c>
      <c r="D95" s="410"/>
      <c r="E95" s="171">
        <v>0</v>
      </c>
      <c r="G95" s="233"/>
      <c r="I95" s="171">
        <v>20</v>
      </c>
      <c r="J95" s="241">
        <v>20</v>
      </c>
      <c r="K95" s="214">
        <f t="shared" si="20"/>
        <v>0</v>
      </c>
      <c r="L95" s="214">
        <f t="shared" si="21"/>
        <v>0</v>
      </c>
      <c r="M95" s="214">
        <f t="shared" si="22"/>
        <v>100</v>
      </c>
      <c r="N95" s="235">
        <f t="shared" si="10"/>
        <v>100</v>
      </c>
      <c r="O95" s="213"/>
      <c r="P95" s="214"/>
      <c r="Q95" s="214">
        <v>54</v>
      </c>
      <c r="R95" s="215">
        <f t="shared" si="9"/>
        <v>54</v>
      </c>
      <c r="S95" s="171">
        <v>1</v>
      </c>
      <c r="T95" s="285"/>
      <c r="U95" s="283"/>
      <c r="V95" s="178" t="s">
        <v>189</v>
      </c>
      <c r="W95" s="171" t="s">
        <v>20</v>
      </c>
      <c r="X95" s="171" t="s">
        <v>12</v>
      </c>
      <c r="Y95" s="179">
        <v>54</v>
      </c>
      <c r="AD95" s="178"/>
      <c r="AG95" s="179"/>
      <c r="AL95" s="178"/>
      <c r="AO95" s="179"/>
      <c r="AP95" s="178"/>
      <c r="AS95" s="179"/>
      <c r="AW95" s="179"/>
      <c r="BA95" s="180"/>
    </row>
    <row r="96" spans="1:53" s="171" customFormat="1" x14ac:dyDescent="0.15">
      <c r="A96" s="171">
        <v>1997</v>
      </c>
      <c r="B96" s="283"/>
      <c r="C96" s="410" t="s">
        <v>180</v>
      </c>
      <c r="D96" s="410"/>
      <c r="E96" s="171">
        <f>365-E95</f>
        <v>365</v>
      </c>
      <c r="G96" s="233"/>
      <c r="I96" s="171">
        <v>20</v>
      </c>
      <c r="J96" s="241">
        <v>20</v>
      </c>
      <c r="K96" s="214">
        <f t="shared" si="20"/>
        <v>0</v>
      </c>
      <c r="L96" s="214">
        <f t="shared" si="21"/>
        <v>0</v>
      </c>
      <c r="M96" s="214">
        <f t="shared" si="22"/>
        <v>100</v>
      </c>
      <c r="N96" s="235">
        <f t="shared" si="10"/>
        <v>100</v>
      </c>
      <c r="O96" s="213"/>
      <c r="P96" s="214"/>
      <c r="Q96" s="214">
        <v>54</v>
      </c>
      <c r="R96" s="215">
        <f t="shared" si="9"/>
        <v>54</v>
      </c>
      <c r="S96" s="171">
        <v>1</v>
      </c>
      <c r="T96" s="285"/>
      <c r="U96" s="283"/>
      <c r="V96" s="178" t="s">
        <v>189</v>
      </c>
      <c r="W96" s="171" t="s">
        <v>20</v>
      </c>
      <c r="X96" s="171" t="s">
        <v>12</v>
      </c>
      <c r="Y96" s="179">
        <v>54</v>
      </c>
      <c r="AD96" s="178"/>
      <c r="AG96" s="179"/>
      <c r="AL96" s="178"/>
      <c r="AO96" s="179"/>
      <c r="AP96" s="178"/>
      <c r="AS96" s="179"/>
      <c r="AW96" s="179"/>
      <c r="BA96" s="180"/>
    </row>
    <row r="97" spans="1:53" s="171" customFormat="1" x14ac:dyDescent="0.15">
      <c r="A97" s="171">
        <v>1998</v>
      </c>
      <c r="B97" s="283"/>
      <c r="C97" s="410" t="s">
        <v>180</v>
      </c>
      <c r="D97" s="410"/>
      <c r="E97" s="171">
        <v>0</v>
      </c>
      <c r="G97" s="233"/>
      <c r="I97" s="171">
        <v>20</v>
      </c>
      <c r="J97" s="241">
        <v>20</v>
      </c>
      <c r="K97" s="214">
        <f t="shared" si="20"/>
        <v>0</v>
      </c>
      <c r="L97" s="214">
        <f t="shared" si="21"/>
        <v>0</v>
      </c>
      <c r="M97" s="214">
        <f t="shared" si="22"/>
        <v>100</v>
      </c>
      <c r="N97" s="235">
        <f t="shared" si="10"/>
        <v>100</v>
      </c>
      <c r="O97" s="213"/>
      <c r="P97" s="214"/>
      <c r="Q97" s="214">
        <v>54</v>
      </c>
      <c r="R97" s="215">
        <f t="shared" si="9"/>
        <v>54</v>
      </c>
      <c r="S97" s="171">
        <v>1</v>
      </c>
      <c r="T97" s="285"/>
      <c r="U97" s="283"/>
      <c r="V97" s="178" t="s">
        <v>189</v>
      </c>
      <c r="W97" s="171" t="s">
        <v>20</v>
      </c>
      <c r="X97" s="171" t="s">
        <v>12</v>
      </c>
      <c r="Y97" s="179">
        <v>54</v>
      </c>
      <c r="AD97" s="178"/>
      <c r="AG97" s="179"/>
      <c r="AL97" s="178"/>
      <c r="AO97" s="179"/>
      <c r="AP97" s="178"/>
      <c r="AS97" s="179"/>
      <c r="AW97" s="179"/>
      <c r="BA97" s="180"/>
    </row>
    <row r="98" spans="1:53" s="171" customFormat="1" x14ac:dyDescent="0.15">
      <c r="A98" s="171">
        <v>1998</v>
      </c>
      <c r="B98" s="283"/>
      <c r="C98" s="410" t="s">
        <v>180</v>
      </c>
      <c r="D98" s="410"/>
      <c r="E98" s="171">
        <f>365-E97</f>
        <v>365</v>
      </c>
      <c r="G98" s="233"/>
      <c r="I98" s="171">
        <v>20</v>
      </c>
      <c r="J98" s="241">
        <v>20</v>
      </c>
      <c r="K98" s="214">
        <f t="shared" si="20"/>
        <v>0</v>
      </c>
      <c r="L98" s="214">
        <f t="shared" si="21"/>
        <v>0</v>
      </c>
      <c r="M98" s="214">
        <f t="shared" si="22"/>
        <v>100</v>
      </c>
      <c r="N98" s="235">
        <f t="shared" si="10"/>
        <v>100</v>
      </c>
      <c r="O98" s="213"/>
      <c r="P98" s="214"/>
      <c r="Q98" s="214">
        <v>54</v>
      </c>
      <c r="R98" s="215">
        <f t="shared" si="9"/>
        <v>54</v>
      </c>
      <c r="S98" s="171">
        <v>1</v>
      </c>
      <c r="T98" s="285"/>
      <c r="U98" s="283"/>
      <c r="V98" s="178" t="s">
        <v>189</v>
      </c>
      <c r="W98" s="171" t="s">
        <v>20</v>
      </c>
      <c r="X98" s="171" t="s">
        <v>12</v>
      </c>
      <c r="Y98" s="179">
        <v>54</v>
      </c>
      <c r="AD98" s="178"/>
      <c r="AG98" s="179"/>
      <c r="AL98" s="178"/>
      <c r="AO98" s="179"/>
      <c r="AP98" s="178"/>
      <c r="AS98" s="179"/>
      <c r="AW98" s="179"/>
      <c r="BA98" s="180"/>
    </row>
    <row r="99" spans="1:53" s="171" customFormat="1" x14ac:dyDescent="0.15">
      <c r="A99" s="171">
        <v>1999</v>
      </c>
      <c r="B99" s="283"/>
      <c r="C99" s="410" t="s">
        <v>180</v>
      </c>
      <c r="D99" s="410"/>
      <c r="E99" s="171">
        <v>0</v>
      </c>
      <c r="G99" s="233"/>
      <c r="I99" s="171">
        <v>21</v>
      </c>
      <c r="J99" s="241">
        <v>21</v>
      </c>
      <c r="K99" s="214">
        <f t="shared" si="20"/>
        <v>0</v>
      </c>
      <c r="L99" s="214">
        <f t="shared" si="21"/>
        <v>0</v>
      </c>
      <c r="M99" s="214">
        <f t="shared" si="22"/>
        <v>100</v>
      </c>
      <c r="N99" s="235">
        <f t="shared" si="10"/>
        <v>100</v>
      </c>
      <c r="O99" s="213"/>
      <c r="P99" s="214"/>
      <c r="Q99" s="214">
        <v>54</v>
      </c>
      <c r="R99" s="215">
        <f t="shared" si="9"/>
        <v>54</v>
      </c>
      <c r="S99" s="171">
        <v>1</v>
      </c>
      <c r="T99" s="285"/>
      <c r="U99" s="283"/>
      <c r="V99" s="178" t="s">
        <v>189</v>
      </c>
      <c r="W99" s="171" t="s">
        <v>20</v>
      </c>
      <c r="X99" s="171" t="s">
        <v>12</v>
      </c>
      <c r="Y99" s="179">
        <v>54</v>
      </c>
      <c r="AD99" s="178"/>
      <c r="AG99" s="179"/>
      <c r="AL99" s="178"/>
      <c r="AO99" s="179"/>
      <c r="AP99" s="178"/>
      <c r="AS99" s="179"/>
      <c r="AW99" s="179"/>
      <c r="BA99" s="180"/>
    </row>
    <row r="100" spans="1:53" s="171" customFormat="1" x14ac:dyDescent="0.15">
      <c r="A100" s="171">
        <v>1999</v>
      </c>
      <c r="B100" s="283"/>
      <c r="C100" s="410" t="s">
        <v>180</v>
      </c>
      <c r="D100" s="410"/>
      <c r="E100" s="171">
        <f>365-E99</f>
        <v>365</v>
      </c>
      <c r="G100" s="233"/>
      <c r="I100" s="171">
        <v>21</v>
      </c>
      <c r="J100" s="241">
        <v>21</v>
      </c>
      <c r="K100" s="214">
        <f t="shared" si="20"/>
        <v>0</v>
      </c>
      <c r="L100" s="214">
        <f t="shared" si="21"/>
        <v>0</v>
      </c>
      <c r="M100" s="214">
        <f t="shared" si="22"/>
        <v>100</v>
      </c>
      <c r="N100" s="235">
        <f t="shared" si="10"/>
        <v>100</v>
      </c>
      <c r="O100" s="213"/>
      <c r="P100" s="214"/>
      <c r="Q100" s="214">
        <v>54</v>
      </c>
      <c r="R100" s="215">
        <f t="shared" si="9"/>
        <v>54</v>
      </c>
      <c r="S100" s="171">
        <v>1</v>
      </c>
      <c r="T100" s="285"/>
      <c r="U100" s="283"/>
      <c r="V100" s="178" t="s">
        <v>189</v>
      </c>
      <c r="W100" s="171" t="s">
        <v>20</v>
      </c>
      <c r="X100" s="171" t="s">
        <v>12</v>
      </c>
      <c r="Y100" s="179">
        <v>54</v>
      </c>
      <c r="AD100" s="178"/>
      <c r="AG100" s="179"/>
      <c r="AL100" s="178"/>
      <c r="AO100" s="179"/>
      <c r="AP100" s="178"/>
      <c r="AS100" s="179"/>
      <c r="AW100" s="179"/>
      <c r="BA100" s="180"/>
    </row>
    <row r="101" spans="1:53" s="171" customFormat="1" x14ac:dyDescent="0.15">
      <c r="A101" s="171">
        <v>2000</v>
      </c>
      <c r="B101" s="283"/>
      <c r="C101" s="410" t="s">
        <v>180</v>
      </c>
      <c r="D101" s="410"/>
      <c r="E101" s="171">
        <v>115</v>
      </c>
      <c r="G101" s="233"/>
      <c r="I101" s="171">
        <v>21</v>
      </c>
      <c r="J101" s="241">
        <v>21</v>
      </c>
      <c r="K101" s="214">
        <f t="shared" si="20"/>
        <v>0</v>
      </c>
      <c r="L101" s="214">
        <f t="shared" si="21"/>
        <v>0</v>
      </c>
      <c r="M101" s="214">
        <f t="shared" si="22"/>
        <v>100</v>
      </c>
      <c r="N101" s="235">
        <f t="shared" si="10"/>
        <v>100</v>
      </c>
      <c r="O101" s="213"/>
      <c r="P101" s="214"/>
      <c r="Q101" s="214">
        <v>54</v>
      </c>
      <c r="R101" s="215">
        <f t="shared" si="9"/>
        <v>54</v>
      </c>
      <c r="S101" s="171">
        <v>1</v>
      </c>
      <c r="T101" s="285"/>
      <c r="U101" s="283"/>
      <c r="V101" s="178" t="s">
        <v>189</v>
      </c>
      <c r="W101" s="171" t="s">
        <v>20</v>
      </c>
      <c r="X101" s="171" t="s">
        <v>12</v>
      </c>
      <c r="Y101" s="179">
        <v>54</v>
      </c>
      <c r="AD101" s="178"/>
      <c r="AG101" s="179"/>
      <c r="AL101" s="178"/>
      <c r="AO101" s="179"/>
      <c r="AP101" s="178"/>
      <c r="AS101" s="179"/>
      <c r="AW101" s="179"/>
      <c r="BA101" s="180"/>
    </row>
    <row r="102" spans="1:53" s="29" customFormat="1" x14ac:dyDescent="0.15">
      <c r="A102" s="29">
        <v>2000</v>
      </c>
      <c r="B102" s="295">
        <v>36641</v>
      </c>
      <c r="C102" s="411" t="s">
        <v>181</v>
      </c>
      <c r="D102" s="411"/>
      <c r="E102" s="29">
        <v>251</v>
      </c>
      <c r="F102" s="29">
        <v>1</v>
      </c>
      <c r="G102" s="66"/>
      <c r="I102" s="29">
        <v>21</v>
      </c>
      <c r="J102" s="73">
        <v>21</v>
      </c>
      <c r="K102" s="47">
        <f t="shared" si="20"/>
        <v>0</v>
      </c>
      <c r="L102" s="47">
        <f t="shared" si="21"/>
        <v>0</v>
      </c>
      <c r="M102" s="47">
        <f t="shared" si="22"/>
        <v>100</v>
      </c>
      <c r="N102" s="68">
        <f t="shared" si="10"/>
        <v>100</v>
      </c>
      <c r="O102" s="46"/>
      <c r="P102" s="47"/>
      <c r="Q102" s="47">
        <v>52.7</v>
      </c>
      <c r="R102" s="48">
        <f t="shared" si="9"/>
        <v>52.7</v>
      </c>
      <c r="S102" s="29">
        <v>1</v>
      </c>
      <c r="T102" s="286">
        <v>36625</v>
      </c>
      <c r="U102" s="295">
        <v>36641</v>
      </c>
      <c r="V102" s="38" t="s">
        <v>189</v>
      </c>
      <c r="W102" s="29" t="s">
        <v>20</v>
      </c>
      <c r="X102" s="29" t="s">
        <v>12</v>
      </c>
      <c r="Y102" s="39">
        <v>52.7</v>
      </c>
      <c r="AD102" s="38"/>
      <c r="AG102" s="39"/>
      <c r="AL102" s="38"/>
      <c r="AO102" s="39"/>
      <c r="AP102" s="38"/>
      <c r="AS102" s="39"/>
      <c r="AW102" s="39"/>
      <c r="BA102" s="40"/>
    </row>
    <row r="103" spans="1:53" s="29" customFormat="1" x14ac:dyDescent="0.15">
      <c r="A103" s="29">
        <v>2001</v>
      </c>
      <c r="B103" s="295"/>
      <c r="C103" s="411" t="s">
        <v>181</v>
      </c>
      <c r="D103" s="411"/>
      <c r="E103" s="29">
        <v>0</v>
      </c>
      <c r="G103" s="66"/>
      <c r="I103" s="29">
        <v>21</v>
      </c>
      <c r="J103" s="73">
        <v>21</v>
      </c>
      <c r="K103" s="47">
        <f t="shared" si="20"/>
        <v>0</v>
      </c>
      <c r="L103" s="47">
        <f t="shared" si="21"/>
        <v>0</v>
      </c>
      <c r="M103" s="47">
        <f t="shared" si="22"/>
        <v>100</v>
      </c>
      <c r="N103" s="68">
        <f t="shared" si="10"/>
        <v>100</v>
      </c>
      <c r="O103" s="46"/>
      <c r="P103" s="47"/>
      <c r="Q103" s="47">
        <v>52.7</v>
      </c>
      <c r="R103" s="48">
        <f t="shared" si="9"/>
        <v>52.7</v>
      </c>
      <c r="S103" s="29">
        <v>1</v>
      </c>
      <c r="T103" s="286"/>
      <c r="U103" s="295"/>
      <c r="V103" s="38" t="s">
        <v>189</v>
      </c>
      <c r="W103" s="29" t="s">
        <v>20</v>
      </c>
      <c r="X103" s="29" t="s">
        <v>12</v>
      </c>
      <c r="Y103" s="39">
        <v>52.7</v>
      </c>
      <c r="AD103" s="38"/>
      <c r="AG103" s="39"/>
      <c r="AL103" s="38"/>
      <c r="AO103" s="39"/>
      <c r="AP103" s="38"/>
      <c r="AS103" s="39"/>
      <c r="AW103" s="39"/>
      <c r="BA103" s="40"/>
    </row>
    <row r="104" spans="1:53" s="29" customFormat="1" x14ac:dyDescent="0.15">
      <c r="A104" s="29">
        <v>2001</v>
      </c>
      <c r="B104" s="295"/>
      <c r="C104" s="411" t="s">
        <v>181</v>
      </c>
      <c r="D104" s="411"/>
      <c r="E104" s="29">
        <f>365-E103</f>
        <v>365</v>
      </c>
      <c r="G104" s="66"/>
      <c r="I104" s="29">
        <v>21</v>
      </c>
      <c r="J104" s="73">
        <v>21</v>
      </c>
      <c r="K104" s="47">
        <f t="shared" si="20"/>
        <v>0</v>
      </c>
      <c r="L104" s="47">
        <f t="shared" si="21"/>
        <v>0</v>
      </c>
      <c r="M104" s="47">
        <f t="shared" si="22"/>
        <v>100</v>
      </c>
      <c r="N104" s="68">
        <f t="shared" si="10"/>
        <v>100</v>
      </c>
      <c r="O104" s="46"/>
      <c r="P104" s="47"/>
      <c r="Q104" s="47">
        <v>52.7</v>
      </c>
      <c r="R104" s="48">
        <f t="shared" si="9"/>
        <v>52.7</v>
      </c>
      <c r="S104" s="29">
        <v>1</v>
      </c>
      <c r="T104" s="286"/>
      <c r="U104" s="295"/>
      <c r="V104" s="38" t="s">
        <v>189</v>
      </c>
      <c r="W104" s="29" t="s">
        <v>20</v>
      </c>
      <c r="X104" s="29" t="s">
        <v>12</v>
      </c>
      <c r="Y104" s="39">
        <v>52.7</v>
      </c>
      <c r="AD104" s="38"/>
      <c r="AG104" s="39"/>
      <c r="AL104" s="38"/>
      <c r="AO104" s="39"/>
      <c r="AP104" s="38"/>
      <c r="AS104" s="39"/>
      <c r="AW104" s="39"/>
      <c r="BA104" s="40"/>
    </row>
    <row r="105" spans="1:53" s="29" customFormat="1" x14ac:dyDescent="0.15">
      <c r="A105" s="29">
        <v>2002</v>
      </c>
      <c r="B105" s="295"/>
      <c r="C105" s="411" t="s">
        <v>181</v>
      </c>
      <c r="D105" s="411"/>
      <c r="E105" s="29">
        <v>0</v>
      </c>
      <c r="G105" s="66"/>
      <c r="I105" s="29">
        <v>21</v>
      </c>
      <c r="J105" s="73">
        <v>21</v>
      </c>
      <c r="K105" s="47">
        <f t="shared" si="20"/>
        <v>0</v>
      </c>
      <c r="L105" s="47">
        <f t="shared" si="21"/>
        <v>0</v>
      </c>
      <c r="M105" s="47">
        <f t="shared" si="22"/>
        <v>100</v>
      </c>
      <c r="N105" s="68">
        <f t="shared" si="10"/>
        <v>100</v>
      </c>
      <c r="O105" s="46"/>
      <c r="P105" s="47"/>
      <c r="Q105" s="47">
        <v>52.7</v>
      </c>
      <c r="R105" s="48">
        <f t="shared" si="9"/>
        <v>52.7</v>
      </c>
      <c r="S105" s="29">
        <v>1</v>
      </c>
      <c r="T105" s="286"/>
      <c r="U105" s="295"/>
      <c r="V105" s="38" t="s">
        <v>189</v>
      </c>
      <c r="W105" s="29" t="s">
        <v>20</v>
      </c>
      <c r="X105" s="29" t="s">
        <v>12</v>
      </c>
      <c r="Y105" s="39">
        <v>52.7</v>
      </c>
      <c r="AD105" s="38"/>
      <c r="AG105" s="39"/>
      <c r="AL105" s="38"/>
      <c r="AO105" s="39"/>
      <c r="AP105" s="38"/>
      <c r="AS105" s="39"/>
      <c r="AW105" s="39"/>
      <c r="BA105" s="40"/>
    </row>
    <row r="106" spans="1:53" s="29" customFormat="1" x14ac:dyDescent="0.15">
      <c r="A106" s="29">
        <v>2002</v>
      </c>
      <c r="B106" s="295"/>
      <c r="C106" s="411" t="s">
        <v>181</v>
      </c>
      <c r="D106" s="411"/>
      <c r="E106" s="29">
        <f>365-E105</f>
        <v>365</v>
      </c>
      <c r="G106" s="66"/>
      <c r="I106" s="29">
        <v>21</v>
      </c>
      <c r="J106" s="73">
        <v>21</v>
      </c>
      <c r="K106" s="47">
        <f t="shared" si="20"/>
        <v>0</v>
      </c>
      <c r="L106" s="47">
        <f t="shared" si="21"/>
        <v>0</v>
      </c>
      <c r="M106" s="47">
        <f t="shared" si="22"/>
        <v>100</v>
      </c>
      <c r="N106" s="68">
        <f t="shared" si="10"/>
        <v>100</v>
      </c>
      <c r="O106" s="46"/>
      <c r="P106" s="47"/>
      <c r="Q106" s="47">
        <v>52.7</v>
      </c>
      <c r="R106" s="48">
        <f t="shared" si="9"/>
        <v>52.7</v>
      </c>
      <c r="S106" s="29">
        <v>1</v>
      </c>
      <c r="T106" s="286"/>
      <c r="U106" s="295"/>
      <c r="V106" s="38" t="s">
        <v>189</v>
      </c>
      <c r="W106" s="29" t="s">
        <v>20</v>
      </c>
      <c r="X106" s="29" t="s">
        <v>12</v>
      </c>
      <c r="Y106" s="39">
        <v>52.7</v>
      </c>
      <c r="AD106" s="38"/>
      <c r="AG106" s="39"/>
      <c r="AL106" s="38"/>
      <c r="AO106" s="39"/>
      <c r="AP106" s="38"/>
      <c r="AS106" s="39"/>
      <c r="AW106" s="39"/>
      <c r="BA106" s="40"/>
    </row>
    <row r="107" spans="1:53" s="29" customFormat="1" x14ac:dyDescent="0.15">
      <c r="A107" s="29">
        <v>2003</v>
      </c>
      <c r="B107" s="295"/>
      <c r="C107" s="411" t="s">
        <v>181</v>
      </c>
      <c r="D107" s="411"/>
      <c r="E107" s="29">
        <v>0</v>
      </c>
      <c r="G107" s="66"/>
      <c r="I107" s="29">
        <v>21</v>
      </c>
      <c r="J107" s="73">
        <v>21</v>
      </c>
      <c r="K107" s="47">
        <f t="shared" si="20"/>
        <v>0</v>
      </c>
      <c r="L107" s="47">
        <f t="shared" si="21"/>
        <v>0</v>
      </c>
      <c r="M107" s="47">
        <f t="shared" si="22"/>
        <v>100</v>
      </c>
      <c r="N107" s="68">
        <f t="shared" si="10"/>
        <v>100</v>
      </c>
      <c r="O107" s="46"/>
      <c r="P107" s="47"/>
      <c r="Q107" s="47">
        <v>52.7</v>
      </c>
      <c r="R107" s="48">
        <f t="shared" si="9"/>
        <v>52.7</v>
      </c>
      <c r="S107" s="29">
        <v>1</v>
      </c>
      <c r="T107" s="286"/>
      <c r="U107" s="295"/>
      <c r="V107" s="38" t="s">
        <v>189</v>
      </c>
      <c r="W107" s="29" t="s">
        <v>20</v>
      </c>
      <c r="X107" s="29" t="s">
        <v>12</v>
      </c>
      <c r="Y107" s="39">
        <v>52.7</v>
      </c>
      <c r="AD107" s="38"/>
      <c r="AG107" s="39"/>
      <c r="AL107" s="38"/>
      <c r="AO107" s="39"/>
      <c r="AP107" s="38"/>
      <c r="AS107" s="39"/>
      <c r="AW107" s="39"/>
      <c r="BA107" s="40"/>
    </row>
    <row r="108" spans="1:53" s="29" customFormat="1" x14ac:dyDescent="0.15">
      <c r="A108" s="29">
        <v>2003</v>
      </c>
      <c r="B108" s="295"/>
      <c r="C108" s="411" t="s">
        <v>181</v>
      </c>
      <c r="D108" s="411"/>
      <c r="E108" s="29">
        <f>365-E107</f>
        <v>365</v>
      </c>
      <c r="G108" s="66"/>
      <c r="I108" s="29">
        <v>21</v>
      </c>
      <c r="J108" s="73">
        <v>21</v>
      </c>
      <c r="K108" s="47">
        <f t="shared" si="20"/>
        <v>0</v>
      </c>
      <c r="L108" s="47">
        <f t="shared" si="21"/>
        <v>0</v>
      </c>
      <c r="M108" s="47">
        <f t="shared" si="22"/>
        <v>100</v>
      </c>
      <c r="N108" s="68">
        <f t="shared" si="10"/>
        <v>100</v>
      </c>
      <c r="O108" s="46"/>
      <c r="P108" s="47"/>
      <c r="Q108" s="47">
        <v>52.7</v>
      </c>
      <c r="R108" s="48">
        <f t="shared" si="9"/>
        <v>52.7</v>
      </c>
      <c r="S108" s="29">
        <v>1</v>
      </c>
      <c r="T108" s="286"/>
      <c r="U108" s="295"/>
      <c r="V108" s="38" t="s">
        <v>189</v>
      </c>
      <c r="W108" s="29" t="s">
        <v>20</v>
      </c>
      <c r="X108" s="29" t="s">
        <v>12</v>
      </c>
      <c r="Y108" s="39">
        <v>52.7</v>
      </c>
      <c r="AD108" s="38"/>
      <c r="AG108" s="39"/>
      <c r="AL108" s="38"/>
      <c r="AO108" s="39"/>
      <c r="AP108" s="38"/>
      <c r="AS108" s="39"/>
      <c r="AW108" s="39"/>
      <c r="BA108" s="40"/>
    </row>
    <row r="109" spans="1:53" s="29" customFormat="1" x14ac:dyDescent="0.15">
      <c r="A109" s="29">
        <v>2004</v>
      </c>
      <c r="B109" s="295"/>
      <c r="C109" s="411" t="s">
        <v>181</v>
      </c>
      <c r="D109" s="411"/>
      <c r="E109" s="29">
        <v>82</v>
      </c>
      <c r="G109" s="66"/>
      <c r="I109" s="29">
        <v>21</v>
      </c>
      <c r="J109" s="73">
        <v>21</v>
      </c>
      <c r="K109" s="47">
        <f t="shared" si="20"/>
        <v>0</v>
      </c>
      <c r="L109" s="47">
        <f t="shared" si="21"/>
        <v>0</v>
      </c>
      <c r="M109" s="47">
        <f t="shared" si="22"/>
        <v>100</v>
      </c>
      <c r="N109" s="68">
        <f t="shared" si="10"/>
        <v>100</v>
      </c>
      <c r="O109" s="46"/>
      <c r="P109" s="47"/>
      <c r="Q109" s="47">
        <v>52.7</v>
      </c>
      <c r="R109" s="48">
        <f t="shared" si="9"/>
        <v>52.7</v>
      </c>
      <c r="S109" s="29">
        <v>1</v>
      </c>
      <c r="T109" s="286"/>
      <c r="U109" s="295"/>
      <c r="V109" s="38" t="s">
        <v>189</v>
      </c>
      <c r="W109" s="29" t="s">
        <v>20</v>
      </c>
      <c r="X109" s="29" t="s">
        <v>12</v>
      </c>
      <c r="Y109" s="39">
        <v>52.7</v>
      </c>
      <c r="AD109" s="38"/>
      <c r="AG109" s="39"/>
      <c r="AL109" s="38"/>
      <c r="AO109" s="39"/>
      <c r="AP109" s="38"/>
      <c r="AS109" s="39"/>
      <c r="AW109" s="39"/>
      <c r="BA109" s="40"/>
    </row>
    <row r="110" spans="1:53" s="171" customFormat="1" x14ac:dyDescent="0.15">
      <c r="A110" s="171">
        <v>2004</v>
      </c>
      <c r="B110" s="283">
        <v>38069</v>
      </c>
      <c r="C110" s="410" t="s">
        <v>175</v>
      </c>
      <c r="D110" s="410"/>
      <c r="E110" s="171">
        <v>284</v>
      </c>
      <c r="F110" s="171">
        <v>1</v>
      </c>
      <c r="G110" s="233">
        <v>20</v>
      </c>
      <c r="J110" s="241">
        <v>20</v>
      </c>
      <c r="K110" s="214">
        <f t="shared" si="20"/>
        <v>100</v>
      </c>
      <c r="L110" s="214">
        <f t="shared" si="21"/>
        <v>0</v>
      </c>
      <c r="M110" s="214">
        <f t="shared" si="22"/>
        <v>0</v>
      </c>
      <c r="N110" s="235">
        <f t="shared" si="10"/>
        <v>100</v>
      </c>
      <c r="O110" s="213">
        <v>55</v>
      </c>
      <c r="P110" s="214"/>
      <c r="Q110" s="214"/>
      <c r="R110" s="215">
        <f t="shared" ref="R110:R131" si="23">SUM(O110:Q110)</f>
        <v>55</v>
      </c>
      <c r="S110" s="171">
        <v>1</v>
      </c>
      <c r="T110" s="285">
        <v>38053</v>
      </c>
      <c r="U110" s="283">
        <v>38069</v>
      </c>
      <c r="V110" s="178" t="s">
        <v>188</v>
      </c>
      <c r="W110" s="171" t="s">
        <v>76</v>
      </c>
      <c r="X110" s="171" t="s">
        <v>11</v>
      </c>
      <c r="Y110" s="179">
        <v>55</v>
      </c>
      <c r="AD110" s="178"/>
      <c r="AG110" s="179"/>
      <c r="AL110" s="178"/>
      <c r="AO110" s="179"/>
      <c r="AP110" s="178"/>
      <c r="AS110" s="179"/>
      <c r="AW110" s="179"/>
      <c r="BA110" s="180"/>
    </row>
    <row r="111" spans="1:53" s="171" customFormat="1" x14ac:dyDescent="0.15">
      <c r="A111" s="171">
        <v>2005</v>
      </c>
      <c r="B111" s="283"/>
      <c r="C111" s="410" t="s">
        <v>175</v>
      </c>
      <c r="D111" s="410"/>
      <c r="E111" s="171">
        <v>0</v>
      </c>
      <c r="G111" s="233">
        <v>20</v>
      </c>
      <c r="J111" s="241">
        <v>20</v>
      </c>
      <c r="K111" s="214">
        <f t="shared" ref="K111:K118" si="24">G111/J111*100</f>
        <v>100</v>
      </c>
      <c r="L111" s="214">
        <f t="shared" ref="L111:L119" si="25">H111/J111*100</f>
        <v>0</v>
      </c>
      <c r="M111" s="214">
        <f t="shared" ref="M111:M119" si="26">I111/J111*100</f>
        <v>0</v>
      </c>
      <c r="N111" s="235">
        <f t="shared" si="10"/>
        <v>100</v>
      </c>
      <c r="O111" s="213">
        <v>55</v>
      </c>
      <c r="P111" s="214"/>
      <c r="Q111" s="214"/>
      <c r="R111" s="215">
        <f t="shared" si="23"/>
        <v>55</v>
      </c>
      <c r="S111" s="171">
        <v>1</v>
      </c>
      <c r="T111" s="285"/>
      <c r="U111" s="283"/>
      <c r="V111" s="178" t="s">
        <v>188</v>
      </c>
      <c r="W111" s="171" t="s">
        <v>76</v>
      </c>
      <c r="X111" s="171" t="s">
        <v>11</v>
      </c>
      <c r="Y111" s="179">
        <v>55</v>
      </c>
      <c r="AD111" s="178"/>
      <c r="AG111" s="179"/>
      <c r="AL111" s="178"/>
      <c r="AO111" s="179"/>
      <c r="AP111" s="178"/>
      <c r="AS111" s="179"/>
      <c r="AW111" s="179"/>
      <c r="BA111" s="180"/>
    </row>
    <row r="112" spans="1:53" s="171" customFormat="1" x14ac:dyDescent="0.15">
      <c r="A112" s="171">
        <v>2005</v>
      </c>
      <c r="B112" s="283"/>
      <c r="C112" s="410" t="s">
        <v>175</v>
      </c>
      <c r="D112" s="410"/>
      <c r="E112" s="171">
        <v>365</v>
      </c>
      <c r="G112" s="233">
        <v>20</v>
      </c>
      <c r="J112" s="241">
        <v>20</v>
      </c>
      <c r="K112" s="214">
        <f t="shared" si="24"/>
        <v>100</v>
      </c>
      <c r="L112" s="214">
        <f t="shared" si="25"/>
        <v>0</v>
      </c>
      <c r="M112" s="214">
        <f t="shared" si="26"/>
        <v>0</v>
      </c>
      <c r="N112" s="235">
        <f t="shared" si="10"/>
        <v>100</v>
      </c>
      <c r="O112" s="213">
        <v>55</v>
      </c>
      <c r="P112" s="214"/>
      <c r="Q112" s="214"/>
      <c r="R112" s="215">
        <f t="shared" si="23"/>
        <v>55</v>
      </c>
      <c r="S112" s="171">
        <v>1</v>
      </c>
      <c r="T112" s="285"/>
      <c r="U112" s="283"/>
      <c r="V112" s="178" t="s">
        <v>188</v>
      </c>
      <c r="W112" s="171" t="s">
        <v>76</v>
      </c>
      <c r="X112" s="171" t="s">
        <v>11</v>
      </c>
      <c r="Y112" s="179">
        <v>55</v>
      </c>
      <c r="AD112" s="178"/>
      <c r="AG112" s="179"/>
      <c r="AL112" s="178"/>
      <c r="AO112" s="179"/>
      <c r="AP112" s="178"/>
      <c r="AS112" s="179"/>
      <c r="AW112" s="179"/>
      <c r="BA112" s="180"/>
    </row>
    <row r="113" spans="1:53" s="171" customFormat="1" x14ac:dyDescent="0.15">
      <c r="A113" s="171">
        <v>2006</v>
      </c>
      <c r="B113" s="283"/>
      <c r="C113" s="410" t="s">
        <v>175</v>
      </c>
      <c r="D113" s="410"/>
      <c r="E113" s="171">
        <v>0</v>
      </c>
      <c r="G113" s="233">
        <v>20</v>
      </c>
      <c r="J113" s="241">
        <v>20</v>
      </c>
      <c r="K113" s="214">
        <f t="shared" si="24"/>
        <v>100</v>
      </c>
      <c r="L113" s="214">
        <f t="shared" si="25"/>
        <v>0</v>
      </c>
      <c r="M113" s="214">
        <f t="shared" si="26"/>
        <v>0</v>
      </c>
      <c r="N113" s="235">
        <f t="shared" si="10"/>
        <v>100</v>
      </c>
      <c r="O113" s="213">
        <v>55</v>
      </c>
      <c r="P113" s="214"/>
      <c r="Q113" s="214"/>
      <c r="R113" s="215">
        <f t="shared" si="23"/>
        <v>55</v>
      </c>
      <c r="S113" s="171">
        <v>1</v>
      </c>
      <c r="T113" s="285"/>
      <c r="U113" s="283"/>
      <c r="V113" s="178" t="s">
        <v>188</v>
      </c>
      <c r="W113" s="171" t="s">
        <v>76</v>
      </c>
      <c r="X113" s="171" t="s">
        <v>11</v>
      </c>
      <c r="Y113" s="179">
        <v>55</v>
      </c>
      <c r="AD113" s="178"/>
      <c r="AG113" s="179"/>
      <c r="AL113" s="178"/>
      <c r="AO113" s="179"/>
      <c r="AP113" s="178"/>
      <c r="AS113" s="179"/>
      <c r="AW113" s="179"/>
      <c r="BA113" s="180"/>
    </row>
    <row r="114" spans="1:53" s="171" customFormat="1" x14ac:dyDescent="0.15">
      <c r="A114" s="171">
        <v>2006</v>
      </c>
      <c r="B114" s="283"/>
      <c r="C114" s="410" t="s">
        <v>175</v>
      </c>
      <c r="D114" s="410"/>
      <c r="E114" s="171">
        <v>365</v>
      </c>
      <c r="G114" s="233">
        <v>20</v>
      </c>
      <c r="J114" s="241">
        <v>20</v>
      </c>
      <c r="K114" s="214">
        <f t="shared" si="24"/>
        <v>100</v>
      </c>
      <c r="L114" s="214">
        <f t="shared" si="25"/>
        <v>0</v>
      </c>
      <c r="M114" s="214">
        <f t="shared" si="26"/>
        <v>0</v>
      </c>
      <c r="N114" s="235">
        <f t="shared" si="10"/>
        <v>100</v>
      </c>
      <c r="O114" s="213">
        <v>55</v>
      </c>
      <c r="P114" s="214"/>
      <c r="Q114" s="214"/>
      <c r="R114" s="215">
        <f t="shared" si="23"/>
        <v>55</v>
      </c>
      <c r="S114" s="171">
        <v>1</v>
      </c>
      <c r="T114" s="285"/>
      <c r="U114" s="283"/>
      <c r="V114" s="178" t="s">
        <v>188</v>
      </c>
      <c r="W114" s="171" t="s">
        <v>76</v>
      </c>
      <c r="X114" s="171" t="s">
        <v>11</v>
      </c>
      <c r="Y114" s="179">
        <v>55</v>
      </c>
      <c r="AD114" s="178"/>
      <c r="AG114" s="179"/>
      <c r="AL114" s="178"/>
      <c r="AO114" s="179"/>
      <c r="AP114" s="178"/>
      <c r="AS114" s="179"/>
      <c r="AW114" s="179"/>
      <c r="BA114" s="180"/>
    </row>
    <row r="115" spans="1:53" s="171" customFormat="1" x14ac:dyDescent="0.15">
      <c r="A115" s="171">
        <v>2007</v>
      </c>
      <c r="B115" s="283"/>
      <c r="C115" s="410" t="s">
        <v>175</v>
      </c>
      <c r="D115" s="410"/>
      <c r="E115" s="171">
        <f>365-E116</f>
        <v>273</v>
      </c>
      <c r="G115" s="233">
        <v>20</v>
      </c>
      <c r="J115" s="241">
        <v>20</v>
      </c>
      <c r="K115" s="214">
        <f t="shared" si="24"/>
        <v>100</v>
      </c>
      <c r="L115" s="214">
        <f t="shared" si="25"/>
        <v>0</v>
      </c>
      <c r="M115" s="214">
        <f t="shared" si="26"/>
        <v>0</v>
      </c>
      <c r="N115" s="235">
        <f t="shared" si="10"/>
        <v>100</v>
      </c>
      <c r="O115" s="213">
        <v>55</v>
      </c>
      <c r="P115" s="214"/>
      <c r="Q115" s="214"/>
      <c r="R115" s="215">
        <f t="shared" si="23"/>
        <v>55</v>
      </c>
      <c r="S115" s="171">
        <v>1</v>
      </c>
      <c r="T115" s="285"/>
      <c r="U115" s="283"/>
      <c r="V115" s="178" t="s">
        <v>188</v>
      </c>
      <c r="W115" s="171" t="s">
        <v>76</v>
      </c>
      <c r="X115" s="171" t="s">
        <v>11</v>
      </c>
      <c r="Y115" s="179">
        <v>55</v>
      </c>
      <c r="AD115" s="178"/>
      <c r="AG115" s="179"/>
      <c r="AL115" s="178"/>
      <c r="AO115" s="179"/>
      <c r="AP115" s="178"/>
      <c r="AS115" s="179"/>
      <c r="AW115" s="179"/>
      <c r="BA115" s="180"/>
    </row>
    <row r="116" spans="1:53" s="29" customFormat="1" x14ac:dyDescent="0.15">
      <c r="A116" s="29">
        <v>2007</v>
      </c>
      <c r="B116" s="295">
        <v>39356</v>
      </c>
      <c r="C116" s="411" t="s">
        <v>176</v>
      </c>
      <c r="D116" s="411"/>
      <c r="E116" s="29">
        <v>92</v>
      </c>
      <c r="F116" s="29">
        <v>1</v>
      </c>
      <c r="G116" s="66">
        <v>18</v>
      </c>
      <c r="J116" s="73">
        <v>18</v>
      </c>
      <c r="K116" s="47">
        <f t="shared" si="24"/>
        <v>100</v>
      </c>
      <c r="L116" s="47">
        <f t="shared" si="25"/>
        <v>0</v>
      </c>
      <c r="M116" s="47">
        <f t="shared" si="26"/>
        <v>0</v>
      </c>
      <c r="N116" s="68">
        <f t="shared" si="10"/>
        <v>100</v>
      </c>
      <c r="O116" s="46">
        <v>50.7</v>
      </c>
      <c r="P116" s="47"/>
      <c r="Q116" s="47"/>
      <c r="R116" s="48">
        <f t="shared" si="23"/>
        <v>50.7</v>
      </c>
      <c r="S116" s="29">
        <v>1</v>
      </c>
      <c r="T116" s="286">
        <v>39341</v>
      </c>
      <c r="U116" s="295">
        <v>39356</v>
      </c>
      <c r="V116" s="38" t="s">
        <v>188</v>
      </c>
      <c r="W116" s="29" t="s">
        <v>76</v>
      </c>
      <c r="X116" s="29" t="s">
        <v>11</v>
      </c>
      <c r="Y116" s="39">
        <v>50.7</v>
      </c>
      <c r="AD116" s="38"/>
      <c r="AG116" s="39"/>
      <c r="AL116" s="38"/>
      <c r="AO116" s="39"/>
      <c r="AP116" s="38"/>
      <c r="AS116" s="39"/>
      <c r="AW116" s="39"/>
      <c r="BA116" s="40"/>
    </row>
    <row r="117" spans="1:53" s="29" customFormat="1" x14ac:dyDescent="0.15">
      <c r="A117" s="29">
        <v>2008</v>
      </c>
      <c r="B117" s="295"/>
      <c r="C117" s="411" t="s">
        <v>176</v>
      </c>
      <c r="D117" s="411"/>
      <c r="E117" s="29">
        <v>297</v>
      </c>
      <c r="G117" s="66">
        <v>18</v>
      </c>
      <c r="J117" s="73">
        <v>18</v>
      </c>
      <c r="K117" s="47">
        <f t="shared" si="24"/>
        <v>100</v>
      </c>
      <c r="L117" s="47">
        <f t="shared" si="25"/>
        <v>0</v>
      </c>
      <c r="M117" s="47">
        <f t="shared" si="26"/>
        <v>0</v>
      </c>
      <c r="N117" s="68">
        <f t="shared" si="10"/>
        <v>100</v>
      </c>
      <c r="O117" s="46">
        <v>50.7</v>
      </c>
      <c r="P117" s="47"/>
      <c r="Q117" s="47"/>
      <c r="R117" s="48">
        <f t="shared" si="23"/>
        <v>50.7</v>
      </c>
      <c r="S117" s="29">
        <v>1</v>
      </c>
      <c r="T117" s="286"/>
      <c r="U117" s="295"/>
      <c r="V117" s="38" t="s">
        <v>188</v>
      </c>
      <c r="W117" s="29" t="s">
        <v>76</v>
      </c>
      <c r="X117" s="29" t="s">
        <v>11</v>
      </c>
      <c r="Y117" s="39">
        <v>50.7</v>
      </c>
      <c r="AD117" s="38"/>
      <c r="AG117" s="39"/>
      <c r="AL117" s="38"/>
      <c r="AO117" s="39"/>
      <c r="AP117" s="38"/>
      <c r="AS117" s="39"/>
      <c r="AW117" s="39"/>
      <c r="BA117" s="40"/>
    </row>
    <row r="118" spans="1:53" s="29" customFormat="1" x14ac:dyDescent="0.15">
      <c r="A118" s="29">
        <v>2008</v>
      </c>
      <c r="B118" s="307">
        <v>39745</v>
      </c>
      <c r="C118" s="411" t="s">
        <v>176</v>
      </c>
      <c r="D118" s="411"/>
      <c r="E118" s="29">
        <v>69</v>
      </c>
      <c r="F118" s="121">
        <v>0</v>
      </c>
      <c r="G118" s="66">
        <v>17</v>
      </c>
      <c r="J118" s="73">
        <v>17</v>
      </c>
      <c r="K118" s="47">
        <f t="shared" si="24"/>
        <v>100</v>
      </c>
      <c r="L118" s="47">
        <f t="shared" si="25"/>
        <v>0</v>
      </c>
      <c r="M118" s="47">
        <f t="shared" si="26"/>
        <v>0</v>
      </c>
      <c r="N118" s="68">
        <f t="shared" si="10"/>
        <v>100</v>
      </c>
      <c r="O118" s="46">
        <v>50.7</v>
      </c>
      <c r="P118" s="47"/>
      <c r="Q118" s="47"/>
      <c r="R118" s="48">
        <f t="shared" si="23"/>
        <v>50.7</v>
      </c>
      <c r="S118" s="29">
        <v>1</v>
      </c>
      <c r="T118" s="286"/>
      <c r="U118" s="295"/>
      <c r="V118" s="38" t="s">
        <v>188</v>
      </c>
      <c r="W118" s="29" t="s">
        <v>76</v>
      </c>
      <c r="X118" s="29" t="s">
        <v>11</v>
      </c>
      <c r="Y118" s="39">
        <v>50.7</v>
      </c>
      <c r="AD118" s="38"/>
      <c r="AG118" s="39"/>
      <c r="AL118" s="38"/>
      <c r="AO118" s="39"/>
      <c r="AP118" s="38"/>
      <c r="AS118" s="39"/>
      <c r="AW118" s="39"/>
      <c r="BA118" s="40"/>
    </row>
    <row r="119" spans="1:53" s="29" customFormat="1" x14ac:dyDescent="0.15">
      <c r="A119" s="29">
        <v>2009</v>
      </c>
      <c r="B119" s="295"/>
      <c r="C119" s="411" t="s">
        <v>176</v>
      </c>
      <c r="D119" s="411"/>
      <c r="E119" s="29">
        <v>291</v>
      </c>
      <c r="G119" s="66">
        <v>17</v>
      </c>
      <c r="J119" s="73">
        <v>17</v>
      </c>
      <c r="K119" s="47">
        <f t="shared" ref="K119:K125" si="27">G119/J119*100</f>
        <v>100</v>
      </c>
      <c r="L119" s="47">
        <f t="shared" si="25"/>
        <v>0</v>
      </c>
      <c r="M119" s="47">
        <f t="shared" si="26"/>
        <v>0</v>
      </c>
      <c r="N119" s="68">
        <f t="shared" si="10"/>
        <v>100</v>
      </c>
      <c r="O119" s="46">
        <v>50.7</v>
      </c>
      <c r="P119" s="47"/>
      <c r="Q119" s="47"/>
      <c r="R119" s="48">
        <f t="shared" si="23"/>
        <v>50.7</v>
      </c>
      <c r="S119" s="29">
        <v>1</v>
      </c>
      <c r="T119" s="286"/>
      <c r="U119" s="295"/>
      <c r="V119" s="38" t="s">
        <v>188</v>
      </c>
      <c r="W119" s="29" t="s">
        <v>76</v>
      </c>
      <c r="X119" s="29" t="s">
        <v>11</v>
      </c>
      <c r="Y119" s="39">
        <v>50.7</v>
      </c>
      <c r="AD119" s="38"/>
      <c r="AG119" s="39"/>
      <c r="AL119" s="38"/>
      <c r="AO119" s="39"/>
      <c r="AP119" s="38"/>
      <c r="AS119" s="39"/>
      <c r="AW119" s="39"/>
      <c r="BA119" s="40"/>
    </row>
    <row r="120" spans="1:53" s="171" customFormat="1" x14ac:dyDescent="0.15">
      <c r="A120" s="171">
        <v>2009</v>
      </c>
      <c r="B120" s="283">
        <v>40105</v>
      </c>
      <c r="C120" s="410" t="s">
        <v>1361</v>
      </c>
      <c r="D120" s="410"/>
      <c r="E120" s="171">
        <v>74</v>
      </c>
      <c r="F120" s="171">
        <v>1</v>
      </c>
      <c r="G120" s="233"/>
      <c r="I120" s="171">
        <v>17</v>
      </c>
      <c r="J120" s="241">
        <v>17</v>
      </c>
      <c r="K120" s="214">
        <f t="shared" si="27"/>
        <v>0</v>
      </c>
      <c r="L120" s="214">
        <f t="shared" ref="L120:L125" si="28">H120/J120*100</f>
        <v>0</v>
      </c>
      <c r="M120" s="214">
        <f t="shared" ref="M120:M125" si="29">I120/J120*100</f>
        <v>100</v>
      </c>
      <c r="N120" s="235">
        <f t="shared" si="10"/>
        <v>100</v>
      </c>
      <c r="O120" s="213"/>
      <c r="P120" s="214"/>
      <c r="Q120" s="214">
        <v>53.3</v>
      </c>
      <c r="R120" s="215">
        <f t="shared" si="23"/>
        <v>53.3</v>
      </c>
      <c r="S120" s="171">
        <v>1</v>
      </c>
      <c r="T120" s="285">
        <v>40090</v>
      </c>
      <c r="U120" s="283">
        <v>40105</v>
      </c>
      <c r="V120" s="178" t="s">
        <v>189</v>
      </c>
      <c r="W120" s="171" t="s">
        <v>20</v>
      </c>
      <c r="X120" s="171" t="s">
        <v>12</v>
      </c>
      <c r="Y120" s="179">
        <v>53.3</v>
      </c>
      <c r="AD120" s="178"/>
      <c r="AG120" s="179"/>
      <c r="AL120" s="178"/>
      <c r="AO120" s="179"/>
      <c r="AP120" s="178"/>
      <c r="AS120" s="179"/>
      <c r="AW120" s="179"/>
      <c r="BA120" s="180"/>
    </row>
    <row r="121" spans="1:53" s="171" customFormat="1" x14ac:dyDescent="0.15">
      <c r="A121" s="171">
        <v>2010</v>
      </c>
      <c r="B121" s="283"/>
      <c r="C121" s="410" t="s">
        <v>1361</v>
      </c>
      <c r="D121" s="410"/>
      <c r="E121" s="171">
        <v>249</v>
      </c>
      <c r="G121" s="233"/>
      <c r="I121" s="171">
        <v>17</v>
      </c>
      <c r="J121" s="241">
        <v>17</v>
      </c>
      <c r="K121" s="214">
        <f t="shared" si="27"/>
        <v>0</v>
      </c>
      <c r="L121" s="214">
        <f t="shared" si="28"/>
        <v>0</v>
      </c>
      <c r="M121" s="214">
        <f t="shared" si="29"/>
        <v>100</v>
      </c>
      <c r="N121" s="235">
        <f t="shared" si="10"/>
        <v>100</v>
      </c>
      <c r="O121" s="213"/>
      <c r="P121" s="214"/>
      <c r="Q121" s="214">
        <v>53.3</v>
      </c>
      <c r="R121" s="215">
        <f t="shared" si="23"/>
        <v>53.3</v>
      </c>
      <c r="S121" s="171">
        <v>1</v>
      </c>
      <c r="T121" s="285"/>
      <c r="U121" s="283"/>
      <c r="V121" s="178" t="s">
        <v>189</v>
      </c>
      <c r="W121" s="171" t="s">
        <v>20</v>
      </c>
      <c r="X121" s="171" t="s">
        <v>12</v>
      </c>
      <c r="Y121" s="179">
        <v>53.3</v>
      </c>
      <c r="AD121" s="178"/>
      <c r="AG121" s="179"/>
      <c r="AL121" s="178"/>
      <c r="AO121" s="179"/>
      <c r="AP121" s="178"/>
      <c r="AS121" s="179"/>
      <c r="AW121" s="179"/>
      <c r="BA121" s="180"/>
    </row>
    <row r="122" spans="1:53" s="171" customFormat="1" x14ac:dyDescent="0.15">
      <c r="A122" s="171">
        <v>2010</v>
      </c>
      <c r="B122" s="310">
        <v>40428</v>
      </c>
      <c r="C122" s="410" t="s">
        <v>1361</v>
      </c>
      <c r="D122" s="410"/>
      <c r="E122" s="171">
        <f>365-E121</f>
        <v>116</v>
      </c>
      <c r="F122" s="252">
        <v>0</v>
      </c>
      <c r="G122" s="233"/>
      <c r="I122" s="171">
        <v>18</v>
      </c>
      <c r="J122" s="241">
        <v>18</v>
      </c>
      <c r="K122" s="214">
        <f t="shared" si="27"/>
        <v>0</v>
      </c>
      <c r="L122" s="214">
        <f t="shared" si="28"/>
        <v>0</v>
      </c>
      <c r="M122" s="214">
        <f t="shared" si="29"/>
        <v>100</v>
      </c>
      <c r="N122" s="235">
        <f t="shared" si="10"/>
        <v>100</v>
      </c>
      <c r="O122" s="213"/>
      <c r="P122" s="214"/>
      <c r="Q122" s="214">
        <v>53.3</v>
      </c>
      <c r="R122" s="215">
        <f t="shared" si="23"/>
        <v>53.3</v>
      </c>
      <c r="S122" s="171">
        <v>1</v>
      </c>
      <c r="T122" s="285"/>
      <c r="U122" s="283"/>
      <c r="V122" s="178" t="s">
        <v>189</v>
      </c>
      <c r="W122" s="171" t="s">
        <v>20</v>
      </c>
      <c r="X122" s="171" t="s">
        <v>12</v>
      </c>
      <c r="Y122" s="179">
        <v>53.3</v>
      </c>
      <c r="AD122" s="178"/>
      <c r="AG122" s="179"/>
      <c r="AL122" s="178"/>
      <c r="AO122" s="179"/>
      <c r="AP122" s="178"/>
      <c r="AS122" s="179"/>
      <c r="AW122" s="179"/>
      <c r="BA122" s="180"/>
    </row>
    <row r="123" spans="1:53" s="171" customFormat="1" x14ac:dyDescent="0.15">
      <c r="A123" s="171">
        <v>2011</v>
      </c>
      <c r="B123" s="283"/>
      <c r="C123" s="410" t="s">
        <v>1361</v>
      </c>
      <c r="D123" s="410"/>
      <c r="E123" s="171">
        <v>319</v>
      </c>
      <c r="G123" s="233"/>
      <c r="I123" s="171">
        <v>18</v>
      </c>
      <c r="J123" s="241">
        <v>18</v>
      </c>
      <c r="K123" s="214">
        <f t="shared" si="27"/>
        <v>0</v>
      </c>
      <c r="L123" s="214">
        <f t="shared" si="28"/>
        <v>0</v>
      </c>
      <c r="M123" s="214">
        <f t="shared" si="29"/>
        <v>100</v>
      </c>
      <c r="N123" s="235">
        <f t="shared" si="10"/>
        <v>100</v>
      </c>
      <c r="O123" s="213"/>
      <c r="P123" s="214"/>
      <c r="Q123" s="214">
        <v>53.3</v>
      </c>
      <c r="R123" s="215">
        <f t="shared" si="23"/>
        <v>53.3</v>
      </c>
      <c r="S123" s="171">
        <v>1</v>
      </c>
      <c r="T123" s="285"/>
      <c r="U123" s="283"/>
      <c r="V123" s="178" t="s">
        <v>189</v>
      </c>
      <c r="W123" s="171" t="s">
        <v>20</v>
      </c>
      <c r="X123" s="171" t="s">
        <v>12</v>
      </c>
      <c r="Y123" s="179">
        <v>53.3</v>
      </c>
      <c r="AD123" s="178"/>
      <c r="AG123" s="179"/>
      <c r="AL123" s="178"/>
      <c r="AO123" s="179"/>
      <c r="AP123" s="178"/>
      <c r="AS123" s="179"/>
      <c r="AW123" s="179"/>
      <c r="BA123" s="180"/>
    </row>
    <row r="124" spans="1:53" s="29" customFormat="1" x14ac:dyDescent="0.15">
      <c r="A124" s="29">
        <v>2011</v>
      </c>
      <c r="B124" s="295">
        <v>40863</v>
      </c>
      <c r="C124" s="411" t="s">
        <v>182</v>
      </c>
      <c r="D124" s="411"/>
      <c r="E124" s="29">
        <v>46</v>
      </c>
      <c r="F124" s="29">
        <v>2</v>
      </c>
      <c r="G124" s="66">
        <v>3</v>
      </c>
      <c r="I124" s="29">
        <v>12</v>
      </c>
      <c r="J124" s="73">
        <v>18</v>
      </c>
      <c r="K124" s="47">
        <f t="shared" si="27"/>
        <v>16.666666666666664</v>
      </c>
      <c r="L124" s="47">
        <f t="shared" si="28"/>
        <v>0</v>
      </c>
      <c r="M124" s="47">
        <f t="shared" si="29"/>
        <v>66.666666666666657</v>
      </c>
      <c r="N124" s="68">
        <f>SUM(K124:M124)</f>
        <v>83.333333333333314</v>
      </c>
      <c r="O124" s="46">
        <v>35.299999999999997</v>
      </c>
      <c r="P124" s="47">
        <v>0</v>
      </c>
      <c r="Q124" s="47">
        <v>53.3</v>
      </c>
      <c r="R124" s="48">
        <f t="shared" si="23"/>
        <v>88.6</v>
      </c>
      <c r="S124" s="29">
        <v>7</v>
      </c>
      <c r="T124" s="286"/>
      <c r="U124" s="295">
        <v>40863</v>
      </c>
      <c r="V124" s="89" t="s">
        <v>778</v>
      </c>
      <c r="Y124" s="39"/>
      <c r="Z124" s="29" t="s">
        <v>189</v>
      </c>
      <c r="AA124" s="29" t="s">
        <v>20</v>
      </c>
      <c r="AB124" s="29" t="s">
        <v>12</v>
      </c>
      <c r="AC124" s="29">
        <v>53.3</v>
      </c>
      <c r="AD124" s="38" t="s">
        <v>188</v>
      </c>
      <c r="AE124" s="29" t="s">
        <v>76</v>
      </c>
      <c r="AF124" s="29" t="s">
        <v>11</v>
      </c>
      <c r="AG124" s="39">
        <v>30.3</v>
      </c>
      <c r="AH124" s="29" t="s">
        <v>548</v>
      </c>
      <c r="AI124" s="29" t="s">
        <v>294</v>
      </c>
      <c r="AJ124" s="29" t="s">
        <v>11</v>
      </c>
      <c r="AK124" s="29">
        <v>5</v>
      </c>
      <c r="AL124" s="38"/>
      <c r="AO124" s="39"/>
      <c r="AP124" s="38"/>
      <c r="AS124" s="39"/>
      <c r="AW124" s="39"/>
      <c r="BA124" s="40"/>
    </row>
    <row r="125" spans="1:53" s="29" customFormat="1" x14ac:dyDescent="0.15">
      <c r="A125" s="29">
        <v>2012</v>
      </c>
      <c r="B125" s="295"/>
      <c r="C125" s="411" t="s">
        <v>182</v>
      </c>
      <c r="D125" s="411"/>
      <c r="E125" s="29">
        <v>136</v>
      </c>
      <c r="G125" s="66">
        <v>3</v>
      </c>
      <c r="I125" s="29">
        <v>12</v>
      </c>
      <c r="J125" s="73">
        <v>18</v>
      </c>
      <c r="K125" s="47">
        <f t="shared" si="27"/>
        <v>16.666666666666664</v>
      </c>
      <c r="L125" s="47">
        <f t="shared" si="28"/>
        <v>0</v>
      </c>
      <c r="M125" s="47">
        <f t="shared" si="29"/>
        <v>66.666666666666657</v>
      </c>
      <c r="N125" s="68">
        <f>SUM(K125:M125)</f>
        <v>83.333333333333314</v>
      </c>
      <c r="O125" s="46">
        <v>35.299999999999997</v>
      </c>
      <c r="P125" s="47">
        <v>0</v>
      </c>
      <c r="Q125" s="47">
        <v>53.3</v>
      </c>
      <c r="R125" s="48">
        <f t="shared" si="23"/>
        <v>88.6</v>
      </c>
      <c r="S125" s="29">
        <v>7</v>
      </c>
      <c r="T125" s="286"/>
      <c r="U125" s="295"/>
      <c r="V125" s="89" t="s">
        <v>778</v>
      </c>
      <c r="Y125" s="39"/>
      <c r="Z125" s="29" t="s">
        <v>189</v>
      </c>
      <c r="AA125" s="29" t="s">
        <v>20</v>
      </c>
      <c r="AB125" s="29" t="s">
        <v>12</v>
      </c>
      <c r="AC125" s="29">
        <v>53.3</v>
      </c>
      <c r="AD125" s="38" t="s">
        <v>188</v>
      </c>
      <c r="AE125" s="29" t="s">
        <v>76</v>
      </c>
      <c r="AF125" s="29" t="s">
        <v>11</v>
      </c>
      <c r="AG125" s="39">
        <v>30.3</v>
      </c>
      <c r="AH125" s="29" t="s">
        <v>548</v>
      </c>
      <c r="AI125" s="29" t="s">
        <v>294</v>
      </c>
      <c r="AJ125" s="29" t="s">
        <v>11</v>
      </c>
      <c r="AK125" s="29">
        <v>5</v>
      </c>
      <c r="AL125" s="38"/>
      <c r="AO125" s="39"/>
      <c r="AP125" s="38"/>
      <c r="AS125" s="39"/>
      <c r="AW125" s="39"/>
      <c r="BA125" s="40"/>
    </row>
    <row r="126" spans="1:53" s="171" customFormat="1" x14ac:dyDescent="0.15">
      <c r="A126" s="171">
        <v>2012</v>
      </c>
      <c r="B126" s="283">
        <v>41045</v>
      </c>
      <c r="C126" s="438" t="s">
        <v>183</v>
      </c>
      <c r="D126" s="438"/>
      <c r="E126" s="171">
        <v>36</v>
      </c>
      <c r="F126" s="171">
        <v>1</v>
      </c>
      <c r="G126" s="233">
        <v>0</v>
      </c>
      <c r="H126" s="171">
        <v>0</v>
      </c>
      <c r="I126" s="171">
        <v>0</v>
      </c>
      <c r="J126" s="241">
        <v>17</v>
      </c>
      <c r="K126" s="214">
        <v>0</v>
      </c>
      <c r="L126" s="214">
        <v>0</v>
      </c>
      <c r="M126" s="214">
        <v>0</v>
      </c>
      <c r="N126" s="235">
        <f t="shared" si="10"/>
        <v>0</v>
      </c>
      <c r="O126" s="213">
        <v>0</v>
      </c>
      <c r="P126" s="214">
        <v>0</v>
      </c>
      <c r="Q126" s="214">
        <v>0</v>
      </c>
      <c r="R126" s="215">
        <f t="shared" si="23"/>
        <v>0</v>
      </c>
      <c r="S126" s="171">
        <v>6</v>
      </c>
      <c r="T126" s="285">
        <v>41035</v>
      </c>
      <c r="U126" s="283">
        <v>41045</v>
      </c>
      <c r="V126" s="242" t="s">
        <v>797</v>
      </c>
      <c r="Y126" s="179"/>
      <c r="AD126" s="178"/>
      <c r="AG126" s="179"/>
      <c r="AL126" s="178"/>
      <c r="AO126" s="179"/>
      <c r="AP126" s="178"/>
      <c r="AS126" s="179"/>
      <c r="AW126" s="179"/>
      <c r="BA126" s="180"/>
    </row>
    <row r="127" spans="1:53" s="29" customFormat="1" x14ac:dyDescent="0.15">
      <c r="A127" s="29">
        <v>2012</v>
      </c>
      <c r="B127" s="295">
        <v>41081</v>
      </c>
      <c r="C127" s="434" t="s">
        <v>184</v>
      </c>
      <c r="D127" s="434"/>
      <c r="E127" s="29">
        <v>194</v>
      </c>
      <c r="F127" s="29">
        <v>1</v>
      </c>
      <c r="G127" s="66">
        <v>13</v>
      </c>
      <c r="I127" s="29">
        <v>5</v>
      </c>
      <c r="J127" s="73">
        <v>18</v>
      </c>
      <c r="K127" s="47">
        <f t="shared" ref="K127:M129" si="30">G127/$J127*100</f>
        <v>72.222222222222214</v>
      </c>
      <c r="L127" s="47">
        <f t="shared" si="30"/>
        <v>0</v>
      </c>
      <c r="M127" s="47">
        <f t="shared" si="30"/>
        <v>27.777777777777779</v>
      </c>
      <c r="N127" s="68">
        <f t="shared" ref="N127:N139" si="31">SUM(K127:M127)</f>
        <v>100</v>
      </c>
      <c r="O127" s="46">
        <v>43</v>
      </c>
      <c r="P127" s="47"/>
      <c r="Q127" s="47">
        <v>16</v>
      </c>
      <c r="R127" s="48">
        <f t="shared" si="23"/>
        <v>59</v>
      </c>
      <c r="S127" s="29">
        <v>3</v>
      </c>
      <c r="T127" s="286">
        <v>41077</v>
      </c>
      <c r="U127" s="295">
        <v>41081</v>
      </c>
      <c r="V127" s="38" t="s">
        <v>188</v>
      </c>
      <c r="W127" s="29" t="s">
        <v>76</v>
      </c>
      <c r="X127" s="29" t="s">
        <v>11</v>
      </c>
      <c r="Y127" s="39">
        <v>43</v>
      </c>
      <c r="Z127" s="38" t="s">
        <v>189</v>
      </c>
      <c r="AA127" s="29" t="s">
        <v>20</v>
      </c>
      <c r="AB127" s="29" t="s">
        <v>12</v>
      </c>
      <c r="AC127" s="39">
        <v>11</v>
      </c>
      <c r="AD127" s="38" t="s">
        <v>192</v>
      </c>
      <c r="AE127" s="29" t="s">
        <v>115</v>
      </c>
      <c r="AF127" s="29" t="s">
        <v>12</v>
      </c>
      <c r="AG127" s="39">
        <v>5</v>
      </c>
      <c r="AL127" s="38"/>
      <c r="AO127" s="39"/>
      <c r="AP127" s="38"/>
      <c r="AS127" s="39"/>
      <c r="AW127" s="39"/>
      <c r="BA127" s="40"/>
    </row>
    <row r="128" spans="1:53" s="29" customFormat="1" x14ac:dyDescent="0.15">
      <c r="A128" s="29">
        <v>2013</v>
      </c>
      <c r="B128" s="295"/>
      <c r="C128" s="434" t="s">
        <v>184</v>
      </c>
      <c r="D128" s="434"/>
      <c r="E128" s="29">
        <v>175</v>
      </c>
      <c r="G128" s="66">
        <v>13</v>
      </c>
      <c r="I128" s="29">
        <v>5</v>
      </c>
      <c r="J128" s="73">
        <v>18</v>
      </c>
      <c r="K128" s="47">
        <f t="shared" si="30"/>
        <v>72.222222222222214</v>
      </c>
      <c r="L128" s="47">
        <f t="shared" si="30"/>
        <v>0</v>
      </c>
      <c r="M128" s="47">
        <f t="shared" si="30"/>
        <v>27.777777777777779</v>
      </c>
      <c r="N128" s="68">
        <f t="shared" si="31"/>
        <v>100</v>
      </c>
      <c r="O128" s="46">
        <v>43</v>
      </c>
      <c r="P128" s="47"/>
      <c r="Q128" s="47">
        <v>16</v>
      </c>
      <c r="R128" s="48">
        <f t="shared" si="23"/>
        <v>59</v>
      </c>
      <c r="S128" s="29">
        <v>3</v>
      </c>
      <c r="T128" s="286"/>
      <c r="U128" s="295"/>
      <c r="V128" s="38" t="s">
        <v>188</v>
      </c>
      <c r="W128" s="29" t="s">
        <v>76</v>
      </c>
      <c r="X128" s="29" t="s">
        <v>11</v>
      </c>
      <c r="Y128" s="39">
        <v>43</v>
      </c>
      <c r="Z128" s="38" t="s">
        <v>189</v>
      </c>
      <c r="AA128" s="29" t="s">
        <v>20</v>
      </c>
      <c r="AB128" s="29" t="s">
        <v>12</v>
      </c>
      <c r="AC128" s="39">
        <v>11</v>
      </c>
      <c r="AD128" s="38" t="s">
        <v>192</v>
      </c>
      <c r="AE128" s="29" t="s">
        <v>115</v>
      </c>
      <c r="AF128" s="29" t="s">
        <v>12</v>
      </c>
      <c r="AG128" s="39">
        <v>5</v>
      </c>
      <c r="AL128" s="38"/>
      <c r="AO128" s="39"/>
      <c r="AP128" s="38"/>
      <c r="AS128" s="39"/>
      <c r="AW128" s="39"/>
      <c r="BA128" s="40"/>
    </row>
    <row r="129" spans="1:53" s="171" customFormat="1" x14ac:dyDescent="0.15">
      <c r="A129" s="171">
        <v>2013</v>
      </c>
      <c r="B129" s="283">
        <v>41450</v>
      </c>
      <c r="C129" s="410" t="s">
        <v>1270</v>
      </c>
      <c r="D129" s="410"/>
      <c r="E129" s="171">
        <f>365-E128</f>
        <v>190</v>
      </c>
      <c r="F129" s="171">
        <v>4</v>
      </c>
      <c r="G129" s="233">
        <v>16</v>
      </c>
      <c r="I129" s="171">
        <v>4</v>
      </c>
      <c r="J129" s="241">
        <v>20</v>
      </c>
      <c r="K129" s="214">
        <f t="shared" si="30"/>
        <v>80</v>
      </c>
      <c r="L129" s="214">
        <f t="shared" si="30"/>
        <v>0</v>
      </c>
      <c r="M129" s="214">
        <f t="shared" ref="M129:M139" si="32">I129/$J129*100</f>
        <v>20</v>
      </c>
      <c r="N129" s="235">
        <f t="shared" si="31"/>
        <v>100</v>
      </c>
      <c r="O129" s="213">
        <v>42</v>
      </c>
      <c r="P129" s="214"/>
      <c r="Q129" s="214">
        <v>9</v>
      </c>
      <c r="R129" s="215">
        <f t="shared" si="23"/>
        <v>51</v>
      </c>
      <c r="S129" s="171">
        <v>2</v>
      </c>
      <c r="T129" s="285"/>
      <c r="U129" s="283">
        <v>41450</v>
      </c>
      <c r="V129" s="178" t="s">
        <v>188</v>
      </c>
      <c r="W129" s="171" t="s">
        <v>76</v>
      </c>
      <c r="X129" s="171" t="s">
        <v>11</v>
      </c>
      <c r="Y129" s="179">
        <v>42</v>
      </c>
      <c r="Z129" s="171" t="s">
        <v>189</v>
      </c>
      <c r="AA129" s="171" t="s">
        <v>20</v>
      </c>
      <c r="AB129" s="171" t="s">
        <v>12</v>
      </c>
      <c r="AC129" s="171">
        <v>9</v>
      </c>
      <c r="AD129" s="178"/>
      <c r="AG129" s="179"/>
      <c r="AL129" s="178"/>
      <c r="AO129" s="179"/>
      <c r="AP129" s="178"/>
      <c r="AS129" s="179"/>
      <c r="AW129" s="179"/>
      <c r="BA129" s="180"/>
    </row>
    <row r="130" spans="1:53" s="171" customFormat="1" x14ac:dyDescent="0.15">
      <c r="A130" s="216">
        <v>2014</v>
      </c>
      <c r="B130" s="305"/>
      <c r="C130" s="410" t="s">
        <v>1270</v>
      </c>
      <c r="D130" s="410"/>
      <c r="E130" s="171">
        <v>160</v>
      </c>
      <c r="F130" s="244"/>
      <c r="G130" s="233">
        <v>16</v>
      </c>
      <c r="I130" s="171">
        <v>4</v>
      </c>
      <c r="J130" s="241">
        <v>20</v>
      </c>
      <c r="K130" s="214">
        <f t="shared" ref="K130:L139" si="33">G130/$J130*100</f>
        <v>80</v>
      </c>
      <c r="L130" s="214">
        <f t="shared" si="33"/>
        <v>0</v>
      </c>
      <c r="M130" s="214">
        <f t="shared" si="32"/>
        <v>20</v>
      </c>
      <c r="N130" s="235">
        <f t="shared" si="31"/>
        <v>100</v>
      </c>
      <c r="O130" s="213">
        <v>42</v>
      </c>
      <c r="P130" s="214"/>
      <c r="Q130" s="214">
        <v>9</v>
      </c>
      <c r="R130" s="215">
        <f t="shared" si="23"/>
        <v>51</v>
      </c>
      <c r="S130" s="171">
        <v>2</v>
      </c>
      <c r="T130" s="285"/>
      <c r="U130" s="283"/>
      <c r="V130" s="178" t="s">
        <v>188</v>
      </c>
      <c r="W130" s="171" t="s">
        <v>76</v>
      </c>
      <c r="X130" s="171" t="s">
        <v>11</v>
      </c>
      <c r="Y130" s="179">
        <v>42</v>
      </c>
      <c r="Z130" s="171" t="s">
        <v>189</v>
      </c>
      <c r="AA130" s="171" t="s">
        <v>20</v>
      </c>
      <c r="AB130" s="171" t="s">
        <v>12</v>
      </c>
      <c r="AC130" s="171">
        <v>9</v>
      </c>
      <c r="AD130" s="178"/>
      <c r="AG130" s="179"/>
      <c r="AL130" s="178"/>
      <c r="AO130" s="179"/>
      <c r="AP130" s="178"/>
      <c r="AS130" s="179"/>
      <c r="AW130" s="179"/>
      <c r="BA130" s="180"/>
    </row>
    <row r="131" spans="1:53" s="171" customFormat="1" x14ac:dyDescent="0.15">
      <c r="A131" s="216">
        <v>2014</v>
      </c>
      <c r="B131" s="305">
        <v>41800</v>
      </c>
      <c r="C131" s="410" t="s">
        <v>1270</v>
      </c>
      <c r="D131" s="410"/>
      <c r="E131" s="171">
        <v>205</v>
      </c>
      <c r="F131" s="244">
        <v>0</v>
      </c>
      <c r="G131" s="233">
        <v>16</v>
      </c>
      <c r="I131" s="171">
        <v>4</v>
      </c>
      <c r="J131" s="241">
        <v>20</v>
      </c>
      <c r="K131" s="214">
        <f t="shared" si="33"/>
        <v>80</v>
      </c>
      <c r="L131" s="214">
        <f t="shared" si="33"/>
        <v>0</v>
      </c>
      <c r="M131" s="214">
        <f t="shared" si="32"/>
        <v>20</v>
      </c>
      <c r="N131" s="235">
        <f t="shared" si="31"/>
        <v>100</v>
      </c>
      <c r="O131" s="213">
        <v>42</v>
      </c>
      <c r="P131" s="214"/>
      <c r="Q131" s="214">
        <v>9</v>
      </c>
      <c r="R131" s="215">
        <f t="shared" si="23"/>
        <v>51</v>
      </c>
      <c r="S131" s="171">
        <v>2</v>
      </c>
      <c r="T131" s="285"/>
      <c r="U131" s="283"/>
      <c r="V131" s="178" t="s">
        <v>188</v>
      </c>
      <c r="W131" s="171" t="s">
        <v>76</v>
      </c>
      <c r="X131" s="171" t="s">
        <v>11</v>
      </c>
      <c r="Y131" s="179">
        <v>42</v>
      </c>
      <c r="Z131" s="171" t="s">
        <v>189</v>
      </c>
      <c r="AA131" s="171" t="s">
        <v>20</v>
      </c>
      <c r="AB131" s="171" t="s">
        <v>12</v>
      </c>
      <c r="AC131" s="171">
        <v>9</v>
      </c>
      <c r="AD131" s="178"/>
      <c r="AG131" s="179"/>
      <c r="AL131" s="178"/>
      <c r="AO131" s="179"/>
      <c r="AP131" s="178"/>
      <c r="AS131" s="179"/>
      <c r="AW131" s="179"/>
      <c r="BA131" s="180"/>
    </row>
    <row r="132" spans="1:53" s="171" customFormat="1" x14ac:dyDescent="0.15">
      <c r="A132" s="216">
        <v>2015</v>
      </c>
      <c r="B132" s="305"/>
      <c r="C132" s="410" t="s">
        <v>1270</v>
      </c>
      <c r="D132" s="410"/>
      <c r="E132" s="171">
        <v>25</v>
      </c>
      <c r="F132" s="244"/>
      <c r="G132" s="233">
        <v>16</v>
      </c>
      <c r="I132" s="171">
        <v>4</v>
      </c>
      <c r="J132" s="241">
        <v>20</v>
      </c>
      <c r="K132" s="214">
        <f t="shared" si="33"/>
        <v>80</v>
      </c>
      <c r="L132" s="214">
        <f t="shared" si="33"/>
        <v>0</v>
      </c>
      <c r="M132" s="214">
        <f t="shared" si="32"/>
        <v>20</v>
      </c>
      <c r="N132" s="235">
        <f t="shared" si="31"/>
        <v>100</v>
      </c>
      <c r="O132" s="213">
        <v>42</v>
      </c>
      <c r="P132" s="214"/>
      <c r="Q132" s="214">
        <v>9</v>
      </c>
      <c r="R132" s="215">
        <f t="shared" ref="R132:R135" si="34">SUM(O132:Q132)</f>
        <v>51</v>
      </c>
      <c r="S132" s="171">
        <v>2</v>
      </c>
      <c r="T132" s="285"/>
      <c r="U132" s="283"/>
      <c r="V132" s="178" t="s">
        <v>188</v>
      </c>
      <c r="W132" s="171" t="s">
        <v>76</v>
      </c>
      <c r="X132" s="171" t="s">
        <v>11</v>
      </c>
      <c r="Y132" s="179">
        <v>42</v>
      </c>
      <c r="Z132" s="171" t="s">
        <v>189</v>
      </c>
      <c r="AA132" s="171" t="s">
        <v>20</v>
      </c>
      <c r="AB132" s="171" t="s">
        <v>12</v>
      </c>
      <c r="AC132" s="171">
        <v>9</v>
      </c>
      <c r="AD132" s="178"/>
      <c r="AG132" s="179"/>
      <c r="AL132" s="178"/>
      <c r="AO132" s="179"/>
      <c r="AP132" s="178"/>
      <c r="AS132" s="179"/>
      <c r="AW132" s="179"/>
      <c r="BA132" s="180"/>
    </row>
    <row r="133" spans="1:53" s="29" customFormat="1" x14ac:dyDescent="0.15">
      <c r="A133" s="29">
        <v>2015</v>
      </c>
      <c r="B133" s="295">
        <v>42030</v>
      </c>
      <c r="C133" s="434" t="s">
        <v>1319</v>
      </c>
      <c r="D133" s="434"/>
      <c r="E133" s="29">
        <v>214</v>
      </c>
      <c r="F133" s="29">
        <v>1</v>
      </c>
      <c r="G133" s="66">
        <v>1</v>
      </c>
      <c r="I133" s="29">
        <v>11</v>
      </c>
      <c r="J133" s="73">
        <v>15</v>
      </c>
      <c r="K133" s="47">
        <f t="shared" si="33"/>
        <v>6.666666666666667</v>
      </c>
      <c r="L133" s="47">
        <f t="shared" si="33"/>
        <v>0</v>
      </c>
      <c r="M133" s="47">
        <f t="shared" si="32"/>
        <v>73.333333333333329</v>
      </c>
      <c r="N133" s="68">
        <f t="shared" si="31"/>
        <v>80</v>
      </c>
      <c r="O133" s="46">
        <v>4.3</v>
      </c>
      <c r="P133" s="47"/>
      <c r="Q133" s="47">
        <v>49.7</v>
      </c>
      <c r="R133" s="48">
        <f t="shared" si="34"/>
        <v>54</v>
      </c>
      <c r="S133" s="29">
        <v>2</v>
      </c>
      <c r="T133" s="286">
        <v>42029</v>
      </c>
      <c r="U133" s="295">
        <v>42030</v>
      </c>
      <c r="V133" s="271" t="s">
        <v>190</v>
      </c>
      <c r="W133" s="29" t="s">
        <v>191</v>
      </c>
      <c r="X133" s="29" t="s">
        <v>12</v>
      </c>
      <c r="Y133" s="39">
        <v>49.7</v>
      </c>
      <c r="Z133" s="38" t="s">
        <v>1322</v>
      </c>
      <c r="AA133" s="29" t="s">
        <v>1323</v>
      </c>
      <c r="AB133" s="29" t="s">
        <v>11</v>
      </c>
      <c r="AC133" s="39">
        <v>4.3</v>
      </c>
      <c r="AD133" s="38"/>
      <c r="AG133" s="39"/>
      <c r="AL133" s="38"/>
      <c r="AO133" s="39"/>
      <c r="AP133" s="38"/>
      <c r="AS133" s="39"/>
      <c r="AW133" s="39"/>
      <c r="BA133" s="40"/>
    </row>
    <row r="134" spans="1:53" s="171" customFormat="1" x14ac:dyDescent="0.15">
      <c r="A134" s="216">
        <v>2015</v>
      </c>
      <c r="B134" s="283">
        <v>42244</v>
      </c>
      <c r="C134" s="410" t="s">
        <v>1320</v>
      </c>
      <c r="D134" s="410"/>
      <c r="E134" s="171">
        <v>26</v>
      </c>
      <c r="F134" s="171">
        <v>1</v>
      </c>
      <c r="G134" s="233">
        <v>0</v>
      </c>
      <c r="H134" s="171">
        <v>0</v>
      </c>
      <c r="I134" s="171">
        <v>0</v>
      </c>
      <c r="J134" s="241">
        <v>13</v>
      </c>
      <c r="K134" s="214">
        <f t="shared" si="33"/>
        <v>0</v>
      </c>
      <c r="L134" s="214">
        <f t="shared" si="33"/>
        <v>0</v>
      </c>
      <c r="M134" s="214">
        <f t="shared" si="32"/>
        <v>0</v>
      </c>
      <c r="N134" s="235">
        <f t="shared" si="31"/>
        <v>0</v>
      </c>
      <c r="O134" s="213">
        <v>0</v>
      </c>
      <c r="P134" s="214">
        <v>0</v>
      </c>
      <c r="Q134" s="214">
        <v>0</v>
      </c>
      <c r="R134" s="215">
        <f t="shared" si="34"/>
        <v>0</v>
      </c>
      <c r="S134" s="171">
        <v>6</v>
      </c>
      <c r="T134" s="285"/>
      <c r="U134" s="283">
        <v>42244</v>
      </c>
      <c r="V134" s="242" t="s">
        <v>797</v>
      </c>
      <c r="Y134" s="179"/>
      <c r="AD134" s="178"/>
      <c r="AG134" s="179"/>
      <c r="AL134" s="178"/>
      <c r="AO134" s="179"/>
      <c r="AP134" s="178"/>
      <c r="AS134" s="179"/>
      <c r="AW134" s="179"/>
      <c r="BA134" s="180"/>
    </row>
    <row r="135" spans="1:53" s="29" customFormat="1" x14ac:dyDescent="0.15">
      <c r="A135" s="29">
        <v>2015</v>
      </c>
      <c r="B135" s="295">
        <v>42270</v>
      </c>
      <c r="C135" s="434" t="s">
        <v>1321</v>
      </c>
      <c r="D135" s="434"/>
      <c r="E135" s="29">
        <v>100</v>
      </c>
      <c r="F135" s="29">
        <v>1</v>
      </c>
      <c r="G135" s="66">
        <v>1</v>
      </c>
      <c r="I135" s="29">
        <v>15</v>
      </c>
      <c r="J135" s="73">
        <v>18</v>
      </c>
      <c r="K135" s="47">
        <f t="shared" si="33"/>
        <v>5.5555555555555554</v>
      </c>
      <c r="L135" s="47">
        <f t="shared" si="33"/>
        <v>0</v>
      </c>
      <c r="M135" s="47">
        <f t="shared" si="32"/>
        <v>83.333333333333343</v>
      </c>
      <c r="N135" s="68">
        <f t="shared" si="31"/>
        <v>88.8888888888889</v>
      </c>
      <c r="O135" s="46">
        <v>3.3</v>
      </c>
      <c r="P135" s="47"/>
      <c r="Q135" s="47">
        <v>48.3</v>
      </c>
      <c r="R135" s="48">
        <f t="shared" si="34"/>
        <v>51.599999999999994</v>
      </c>
      <c r="S135" s="29">
        <v>2</v>
      </c>
      <c r="T135" s="286">
        <v>42267</v>
      </c>
      <c r="U135" s="295">
        <v>42270</v>
      </c>
      <c r="V135" s="38" t="s">
        <v>190</v>
      </c>
      <c r="W135" s="29" t="s">
        <v>191</v>
      </c>
      <c r="X135" s="29" t="s">
        <v>12</v>
      </c>
      <c r="Y135" s="39">
        <v>48.3</v>
      </c>
      <c r="Z135" s="38" t="s">
        <v>1322</v>
      </c>
      <c r="AA135" s="29" t="s">
        <v>1323</v>
      </c>
      <c r="AB135" s="29" t="s">
        <v>11</v>
      </c>
      <c r="AC135" s="39">
        <v>3.3</v>
      </c>
      <c r="AD135" s="38"/>
      <c r="AG135" s="39"/>
      <c r="AL135" s="38"/>
      <c r="AO135" s="39"/>
      <c r="AP135" s="38"/>
      <c r="AS135" s="39"/>
      <c r="AW135" s="39"/>
      <c r="BA135" s="40"/>
    </row>
    <row r="136" spans="1:53" s="29" customFormat="1" x14ac:dyDescent="0.15">
      <c r="A136" s="29">
        <v>2016</v>
      </c>
      <c r="B136" s="295"/>
      <c r="C136" s="434" t="s">
        <v>1321</v>
      </c>
      <c r="D136" s="434"/>
      <c r="E136" s="29">
        <v>308</v>
      </c>
      <c r="G136" s="66">
        <v>1</v>
      </c>
      <c r="I136" s="29">
        <v>15</v>
      </c>
      <c r="J136" s="73">
        <v>18</v>
      </c>
      <c r="K136" s="47">
        <f t="shared" si="33"/>
        <v>5.5555555555555554</v>
      </c>
      <c r="L136" s="47">
        <f t="shared" si="33"/>
        <v>0</v>
      </c>
      <c r="M136" s="47">
        <f t="shared" si="32"/>
        <v>83.333333333333343</v>
      </c>
      <c r="N136" s="68">
        <f t="shared" si="31"/>
        <v>88.8888888888889</v>
      </c>
      <c r="O136" s="46">
        <v>3.3</v>
      </c>
      <c r="P136" s="47"/>
      <c r="Q136" s="47">
        <v>48.3</v>
      </c>
      <c r="R136" s="48">
        <f t="shared" ref="R136:R137" si="35">SUM(O136:Q136)</f>
        <v>51.599999999999994</v>
      </c>
      <c r="S136" s="29">
        <v>2</v>
      </c>
      <c r="T136" s="286"/>
      <c r="U136" s="295"/>
      <c r="V136" s="38" t="s">
        <v>190</v>
      </c>
      <c r="W136" s="29" t="s">
        <v>191</v>
      </c>
      <c r="X136" s="29" t="s">
        <v>12</v>
      </c>
      <c r="Y136" s="39">
        <v>48.3</v>
      </c>
      <c r="Z136" s="38" t="s">
        <v>1322</v>
      </c>
      <c r="AA136" s="29" t="s">
        <v>1323</v>
      </c>
      <c r="AB136" s="29" t="s">
        <v>11</v>
      </c>
      <c r="AC136" s="39">
        <v>3.3</v>
      </c>
      <c r="AD136" s="38"/>
      <c r="AG136" s="39"/>
      <c r="AL136" s="38"/>
      <c r="AO136" s="39"/>
      <c r="AP136" s="38"/>
      <c r="AS136" s="39"/>
      <c r="AW136" s="39"/>
      <c r="BA136" s="40"/>
    </row>
    <row r="137" spans="1:53" s="29" customFormat="1" x14ac:dyDescent="0.15">
      <c r="A137" s="29">
        <v>2016</v>
      </c>
      <c r="B137" s="311">
        <v>42678</v>
      </c>
      <c r="C137" s="434" t="s">
        <v>1321</v>
      </c>
      <c r="D137" s="434"/>
      <c r="E137" s="29">
        <v>58</v>
      </c>
      <c r="F137" s="84">
        <v>0</v>
      </c>
      <c r="G137" s="66">
        <v>2</v>
      </c>
      <c r="I137" s="29">
        <v>18</v>
      </c>
      <c r="J137" s="73">
        <v>23</v>
      </c>
      <c r="K137" s="47">
        <f t="shared" si="33"/>
        <v>8.695652173913043</v>
      </c>
      <c r="L137" s="47">
        <f t="shared" si="33"/>
        <v>0</v>
      </c>
      <c r="M137" s="47">
        <f t="shared" si="32"/>
        <v>78.260869565217391</v>
      </c>
      <c r="N137" s="68">
        <f t="shared" si="31"/>
        <v>86.956521739130437</v>
      </c>
      <c r="O137" s="46">
        <v>3.3</v>
      </c>
      <c r="P137" s="47"/>
      <c r="Q137" s="47">
        <v>48.3</v>
      </c>
      <c r="R137" s="48">
        <f t="shared" si="35"/>
        <v>51.599999999999994</v>
      </c>
      <c r="S137" s="29">
        <v>2</v>
      </c>
      <c r="T137" s="286"/>
      <c r="U137" s="295"/>
      <c r="V137" s="38" t="s">
        <v>190</v>
      </c>
      <c r="W137" s="29" t="s">
        <v>191</v>
      </c>
      <c r="X137" s="29" t="s">
        <v>12</v>
      </c>
      <c r="Y137" s="39">
        <v>48.3</v>
      </c>
      <c r="Z137" s="38" t="s">
        <v>1322</v>
      </c>
      <c r="AA137" s="29" t="s">
        <v>1323</v>
      </c>
      <c r="AB137" s="29" t="s">
        <v>11</v>
      </c>
      <c r="AC137" s="39">
        <v>3.3</v>
      </c>
      <c r="AD137" s="38"/>
      <c r="AG137" s="39"/>
      <c r="AL137" s="38"/>
      <c r="AO137" s="39"/>
      <c r="AP137" s="38"/>
      <c r="AS137" s="39"/>
      <c r="AW137" s="39"/>
      <c r="BA137" s="40"/>
    </row>
    <row r="138" spans="1:53" s="29" customFormat="1" x14ac:dyDescent="0.15">
      <c r="A138" s="29">
        <v>2017</v>
      </c>
      <c r="B138" s="295"/>
      <c r="C138" s="434" t="s">
        <v>1321</v>
      </c>
      <c r="D138" s="434"/>
      <c r="E138" s="29">
        <v>0</v>
      </c>
      <c r="G138" s="66">
        <v>2</v>
      </c>
      <c r="I138" s="29">
        <v>18</v>
      </c>
      <c r="J138" s="73">
        <v>23</v>
      </c>
      <c r="K138" s="47">
        <f t="shared" si="33"/>
        <v>8.695652173913043</v>
      </c>
      <c r="L138" s="47">
        <f t="shared" si="33"/>
        <v>0</v>
      </c>
      <c r="M138" s="47">
        <f t="shared" si="32"/>
        <v>78.260869565217391</v>
      </c>
      <c r="N138" s="68">
        <f t="shared" si="31"/>
        <v>86.956521739130437</v>
      </c>
      <c r="O138" s="46">
        <v>3.3</v>
      </c>
      <c r="P138" s="47"/>
      <c r="Q138" s="47">
        <v>48.3</v>
      </c>
      <c r="R138" s="48">
        <f t="shared" ref="R138:R139" si="36">SUM(O138:Q138)</f>
        <v>51.599999999999994</v>
      </c>
      <c r="S138" s="29">
        <v>2</v>
      </c>
      <c r="T138" s="286"/>
      <c r="U138" s="295"/>
      <c r="V138" s="38" t="s">
        <v>190</v>
      </c>
      <c r="W138" s="29" t="s">
        <v>191</v>
      </c>
      <c r="X138" s="29" t="s">
        <v>12</v>
      </c>
      <c r="Y138" s="39">
        <v>48.3</v>
      </c>
      <c r="Z138" s="38" t="s">
        <v>1322</v>
      </c>
      <c r="AA138" s="29" t="s">
        <v>1323</v>
      </c>
      <c r="AB138" s="29" t="s">
        <v>11</v>
      </c>
      <c r="AC138" s="39">
        <v>3.3</v>
      </c>
      <c r="AD138" s="38"/>
      <c r="AG138" s="39"/>
      <c r="AL138" s="38"/>
      <c r="AO138" s="39"/>
      <c r="AP138" s="38"/>
      <c r="AS138" s="39"/>
      <c r="AW138" s="39"/>
      <c r="BA138" s="40"/>
    </row>
    <row r="139" spans="1:53" s="29" customFormat="1" x14ac:dyDescent="0.15">
      <c r="A139" s="29">
        <v>2017</v>
      </c>
      <c r="B139" s="295"/>
      <c r="C139" s="434" t="s">
        <v>1321</v>
      </c>
      <c r="D139" s="434"/>
      <c r="E139" s="29">
        <v>365</v>
      </c>
      <c r="G139" s="66">
        <v>2</v>
      </c>
      <c r="I139" s="29">
        <v>18</v>
      </c>
      <c r="J139" s="73">
        <v>23</v>
      </c>
      <c r="K139" s="47">
        <f t="shared" si="33"/>
        <v>8.695652173913043</v>
      </c>
      <c r="L139" s="47">
        <f t="shared" si="33"/>
        <v>0</v>
      </c>
      <c r="M139" s="47">
        <f t="shared" si="32"/>
        <v>78.260869565217391</v>
      </c>
      <c r="N139" s="68">
        <f t="shared" si="31"/>
        <v>86.956521739130437</v>
      </c>
      <c r="O139" s="46">
        <v>3.3</v>
      </c>
      <c r="P139" s="47"/>
      <c r="Q139" s="47">
        <v>48.3</v>
      </c>
      <c r="R139" s="48">
        <f t="shared" si="36"/>
        <v>51.599999999999994</v>
      </c>
      <c r="S139" s="29">
        <v>2</v>
      </c>
      <c r="T139" s="286"/>
      <c r="U139" s="295"/>
      <c r="V139" s="38" t="s">
        <v>190</v>
      </c>
      <c r="W139" s="29" t="s">
        <v>191</v>
      </c>
      <c r="X139" s="29" t="s">
        <v>12</v>
      </c>
      <c r="Y139" s="39">
        <v>48.3</v>
      </c>
      <c r="Z139" s="38" t="s">
        <v>1322</v>
      </c>
      <c r="AA139" s="29" t="s">
        <v>1323</v>
      </c>
      <c r="AB139" s="29" t="s">
        <v>11</v>
      </c>
      <c r="AC139" s="39">
        <v>3.3</v>
      </c>
      <c r="AD139" s="38"/>
      <c r="AG139" s="39"/>
      <c r="AL139" s="38"/>
      <c r="AO139" s="39"/>
      <c r="AP139" s="38"/>
      <c r="AS139" s="39"/>
      <c r="AW139" s="39"/>
      <c r="BA139" s="40"/>
    </row>
    <row r="140" spans="1:53" s="29" customFormat="1" x14ac:dyDescent="0.15">
      <c r="A140" s="29">
        <v>2018</v>
      </c>
      <c r="B140" s="295"/>
      <c r="C140" s="434" t="s">
        <v>1321</v>
      </c>
      <c r="D140" s="434"/>
      <c r="E140" s="29">
        <v>239</v>
      </c>
      <c r="G140" s="66">
        <v>2</v>
      </c>
      <c r="I140" s="29">
        <v>18</v>
      </c>
      <c r="J140" s="73">
        <v>23</v>
      </c>
      <c r="K140" s="47">
        <f t="shared" ref="K140:K141" si="37">G140/$J140*100</f>
        <v>8.695652173913043</v>
      </c>
      <c r="L140" s="47">
        <f t="shared" ref="L140:L141" si="38">H140/$J140*100</f>
        <v>0</v>
      </c>
      <c r="M140" s="47">
        <f t="shared" ref="M140:M141" si="39">I140/$J140*100</f>
        <v>78.260869565217391</v>
      </c>
      <c r="N140" s="68">
        <f t="shared" ref="N140:N141" si="40">SUM(K140:M140)</f>
        <v>86.956521739130437</v>
      </c>
      <c r="O140" s="46">
        <v>3.3</v>
      </c>
      <c r="P140" s="47"/>
      <c r="Q140" s="47">
        <v>48.3</v>
      </c>
      <c r="R140" s="48">
        <f t="shared" ref="R140" si="41">SUM(O140:Q140)</f>
        <v>51.599999999999994</v>
      </c>
      <c r="S140" s="29">
        <v>2</v>
      </c>
      <c r="T140" s="286"/>
      <c r="U140" s="295"/>
      <c r="V140" s="38" t="s">
        <v>190</v>
      </c>
      <c r="W140" s="29" t="s">
        <v>191</v>
      </c>
      <c r="X140" s="29" t="s">
        <v>12</v>
      </c>
      <c r="Y140" s="39">
        <v>48.3</v>
      </c>
      <c r="Z140" s="38" t="s">
        <v>1322</v>
      </c>
      <c r="AA140" s="29" t="s">
        <v>1323</v>
      </c>
      <c r="AB140" s="29" t="s">
        <v>11</v>
      </c>
      <c r="AC140" s="39">
        <v>3.3</v>
      </c>
      <c r="AD140" s="38"/>
      <c r="AG140" s="39"/>
      <c r="AL140" s="38"/>
      <c r="AO140" s="39"/>
      <c r="AP140" s="38"/>
      <c r="AS140" s="39"/>
      <c r="AW140" s="39"/>
      <c r="BA140" s="40"/>
    </row>
    <row r="141" spans="1:53" s="29" customFormat="1" x14ac:dyDescent="0.15">
      <c r="A141" s="29">
        <v>2018</v>
      </c>
      <c r="B141" s="311">
        <v>43340</v>
      </c>
      <c r="C141" s="434" t="s">
        <v>1321</v>
      </c>
      <c r="D141" s="434"/>
      <c r="E141" s="29">
        <v>126</v>
      </c>
      <c r="F141" s="84">
        <v>0</v>
      </c>
      <c r="G141" s="66">
        <v>2</v>
      </c>
      <c r="I141" s="29">
        <v>22</v>
      </c>
      <c r="J141" s="73">
        <v>24</v>
      </c>
      <c r="K141" s="47">
        <f t="shared" si="37"/>
        <v>8.3333333333333321</v>
      </c>
      <c r="L141" s="47">
        <f t="shared" si="38"/>
        <v>0</v>
      </c>
      <c r="M141" s="47">
        <f t="shared" si="39"/>
        <v>91.666666666666657</v>
      </c>
      <c r="N141" s="68">
        <f t="shared" si="40"/>
        <v>99.999999999999986</v>
      </c>
      <c r="O141" s="46">
        <v>3.3</v>
      </c>
      <c r="P141" s="47"/>
      <c r="Q141" s="47">
        <v>48.3</v>
      </c>
      <c r="R141" s="48">
        <f t="shared" ref="R141" si="42">SUM(O141:Q141)</f>
        <v>51.599999999999994</v>
      </c>
      <c r="S141" s="29">
        <v>2</v>
      </c>
      <c r="T141" s="286"/>
      <c r="U141" s="295"/>
      <c r="V141" s="38" t="s">
        <v>190</v>
      </c>
      <c r="W141" s="29" t="s">
        <v>191</v>
      </c>
      <c r="X141" s="29" t="s">
        <v>12</v>
      </c>
      <c r="Y141" s="39">
        <v>48.3</v>
      </c>
      <c r="Z141" s="38" t="s">
        <v>1322</v>
      </c>
      <c r="AA141" s="29" t="s">
        <v>1323</v>
      </c>
      <c r="AB141" s="29" t="s">
        <v>11</v>
      </c>
      <c r="AC141" s="39">
        <v>3.3</v>
      </c>
      <c r="AD141" s="38"/>
      <c r="AG141" s="39"/>
      <c r="AL141" s="38"/>
      <c r="AO141" s="39"/>
      <c r="AP141" s="38"/>
      <c r="AS141" s="39"/>
      <c r="AW141" s="39"/>
      <c r="BA141" s="40"/>
    </row>
    <row r="142" spans="1:53" s="29" customFormat="1" x14ac:dyDescent="0.15">
      <c r="A142" s="29">
        <v>2019</v>
      </c>
      <c r="B142" s="295"/>
      <c r="C142" s="434" t="s">
        <v>1321</v>
      </c>
      <c r="D142" s="434"/>
      <c r="E142" s="29">
        <v>13</v>
      </c>
      <c r="F142" s="84"/>
      <c r="G142" s="66">
        <v>2</v>
      </c>
      <c r="I142" s="29">
        <v>22</v>
      </c>
      <c r="J142" s="73">
        <v>24</v>
      </c>
      <c r="K142" s="47">
        <f t="shared" ref="K142:K147" si="43">G142/$J142*100</f>
        <v>8.3333333333333321</v>
      </c>
      <c r="L142" s="47">
        <f t="shared" ref="L142:L147" si="44">H142/$J142*100</f>
        <v>0</v>
      </c>
      <c r="M142" s="47">
        <f t="shared" ref="M142:M147" si="45">I142/$J142*100</f>
        <v>91.666666666666657</v>
      </c>
      <c r="N142" s="68">
        <f t="shared" ref="N142:N147" si="46">SUM(K142:M142)</f>
        <v>99.999999999999986</v>
      </c>
      <c r="O142" s="46">
        <v>3.3</v>
      </c>
      <c r="P142" s="47"/>
      <c r="Q142" s="47">
        <v>48.3</v>
      </c>
      <c r="R142" s="48">
        <f t="shared" ref="R142:R147" si="47">SUM(O142:Q142)</f>
        <v>51.599999999999994</v>
      </c>
      <c r="S142" s="29">
        <v>2</v>
      </c>
      <c r="T142" s="286"/>
      <c r="U142" s="295"/>
      <c r="V142" s="38" t="s">
        <v>190</v>
      </c>
      <c r="W142" s="29" t="s">
        <v>191</v>
      </c>
      <c r="X142" s="29" t="s">
        <v>12</v>
      </c>
      <c r="Y142" s="39">
        <v>48.3</v>
      </c>
      <c r="Z142" s="38" t="s">
        <v>1322</v>
      </c>
      <c r="AA142" s="29" t="s">
        <v>1323</v>
      </c>
      <c r="AB142" s="29" t="s">
        <v>11</v>
      </c>
      <c r="AC142" s="39">
        <v>3.3</v>
      </c>
      <c r="AD142" s="38"/>
      <c r="AG142" s="39"/>
      <c r="AL142" s="38"/>
      <c r="AO142" s="39"/>
      <c r="AP142" s="38"/>
      <c r="AS142" s="39"/>
      <c r="AW142" s="39"/>
      <c r="BA142" s="40"/>
    </row>
    <row r="143" spans="1:53" s="29" customFormat="1" x14ac:dyDescent="0.15">
      <c r="A143" s="29">
        <v>2019</v>
      </c>
      <c r="B143" s="311">
        <v>43479</v>
      </c>
      <c r="C143" s="434" t="s">
        <v>1321</v>
      </c>
      <c r="D143" s="434"/>
      <c r="E143" s="29">
        <v>109</v>
      </c>
      <c r="F143" s="84">
        <v>0</v>
      </c>
      <c r="G143" s="66">
        <v>1</v>
      </c>
      <c r="I143" s="29">
        <v>22</v>
      </c>
      <c r="J143" s="73">
        <v>24</v>
      </c>
      <c r="K143" s="47">
        <f t="shared" si="43"/>
        <v>4.1666666666666661</v>
      </c>
      <c r="L143" s="47">
        <f t="shared" si="44"/>
        <v>0</v>
      </c>
      <c r="M143" s="47">
        <f t="shared" si="45"/>
        <v>91.666666666666657</v>
      </c>
      <c r="N143" s="68">
        <f t="shared" si="46"/>
        <v>95.833333333333329</v>
      </c>
      <c r="O143" s="46">
        <v>3.3</v>
      </c>
      <c r="P143" s="47"/>
      <c r="Q143" s="47">
        <v>48.3</v>
      </c>
      <c r="R143" s="48">
        <f t="shared" si="47"/>
        <v>51.599999999999994</v>
      </c>
      <c r="S143" s="29">
        <v>2</v>
      </c>
      <c r="T143" s="286"/>
      <c r="U143" s="295"/>
      <c r="V143" s="38" t="s">
        <v>190</v>
      </c>
      <c r="W143" s="29" t="s">
        <v>191</v>
      </c>
      <c r="X143" s="29" t="s">
        <v>12</v>
      </c>
      <c r="Y143" s="39">
        <v>48.3</v>
      </c>
      <c r="Z143" s="38" t="s">
        <v>1322</v>
      </c>
      <c r="AA143" s="29" t="s">
        <v>1323</v>
      </c>
      <c r="AB143" s="29" t="s">
        <v>11</v>
      </c>
      <c r="AC143" s="39">
        <v>3.3</v>
      </c>
      <c r="AD143" s="38"/>
      <c r="AG143" s="39"/>
      <c r="AL143" s="38"/>
      <c r="AO143" s="39"/>
      <c r="AP143" s="38"/>
      <c r="AS143" s="39"/>
      <c r="AW143" s="39"/>
      <c r="BA143" s="40"/>
    </row>
    <row r="144" spans="1:53" s="29" customFormat="1" x14ac:dyDescent="0.15">
      <c r="A144" s="29">
        <v>2019</v>
      </c>
      <c r="B144" s="303">
        <v>43588</v>
      </c>
      <c r="C144" s="434" t="s">
        <v>1321</v>
      </c>
      <c r="D144" s="434"/>
      <c r="E144" s="29">
        <v>67</v>
      </c>
      <c r="F144" s="84">
        <v>0</v>
      </c>
      <c r="G144" s="66"/>
      <c r="I144" s="29">
        <v>23</v>
      </c>
      <c r="J144" s="73">
        <v>24</v>
      </c>
      <c r="K144" s="47">
        <f t="shared" si="43"/>
        <v>0</v>
      </c>
      <c r="L144" s="47">
        <f t="shared" si="44"/>
        <v>0</v>
      </c>
      <c r="M144" s="47">
        <f t="shared" si="45"/>
        <v>95.833333333333343</v>
      </c>
      <c r="N144" s="68">
        <f t="shared" si="46"/>
        <v>95.833333333333343</v>
      </c>
      <c r="O144" s="46"/>
      <c r="P144" s="47"/>
      <c r="Q144" s="47">
        <v>48.3</v>
      </c>
      <c r="R144" s="48">
        <f t="shared" si="47"/>
        <v>48.3</v>
      </c>
      <c r="S144" s="29">
        <v>5</v>
      </c>
      <c r="T144" s="286"/>
      <c r="U144" s="295"/>
      <c r="V144" s="38" t="s">
        <v>190</v>
      </c>
      <c r="W144" s="29" t="s">
        <v>191</v>
      </c>
      <c r="X144" s="29" t="s">
        <v>12</v>
      </c>
      <c r="Y144" s="39">
        <v>48.3</v>
      </c>
      <c r="Z144" s="38" t="s">
        <v>192</v>
      </c>
      <c r="AA144" s="29" t="s">
        <v>115</v>
      </c>
      <c r="AB144" s="29" t="s">
        <v>12</v>
      </c>
      <c r="AC144" s="39">
        <v>0</v>
      </c>
      <c r="AD144" s="38"/>
      <c r="AG144" s="39"/>
      <c r="AL144" s="38"/>
      <c r="AO144" s="39"/>
      <c r="AP144" s="38"/>
      <c r="AS144" s="39"/>
      <c r="AW144" s="39"/>
      <c r="BA144" s="40"/>
    </row>
    <row r="145" spans="1:53" s="171" customFormat="1" x14ac:dyDescent="0.15">
      <c r="A145" s="216">
        <v>2019</v>
      </c>
      <c r="B145" s="283">
        <v>43655</v>
      </c>
      <c r="C145" s="410" t="s">
        <v>1491</v>
      </c>
      <c r="D145" s="410"/>
      <c r="E145" s="171">
        <v>176</v>
      </c>
      <c r="F145" s="180">
        <v>1</v>
      </c>
      <c r="G145" s="171">
        <v>17</v>
      </c>
      <c r="J145" s="241">
        <v>20</v>
      </c>
      <c r="K145" s="214">
        <f t="shared" si="43"/>
        <v>85</v>
      </c>
      <c r="L145" s="214">
        <f t="shared" si="44"/>
        <v>0</v>
      </c>
      <c r="M145" s="214">
        <f t="shared" si="45"/>
        <v>0</v>
      </c>
      <c r="N145" s="235">
        <f t="shared" si="46"/>
        <v>85</v>
      </c>
      <c r="O145" s="213">
        <v>53</v>
      </c>
      <c r="P145" s="214"/>
      <c r="Q145" s="214"/>
      <c r="R145" s="215">
        <f t="shared" si="47"/>
        <v>53</v>
      </c>
      <c r="S145" s="171">
        <v>1</v>
      </c>
      <c r="T145" s="285">
        <v>43653</v>
      </c>
      <c r="U145" s="283">
        <v>43655</v>
      </c>
      <c r="V145" s="178" t="s">
        <v>188</v>
      </c>
      <c r="W145" s="171" t="s">
        <v>76</v>
      </c>
      <c r="X145" s="171" t="s">
        <v>11</v>
      </c>
      <c r="Y145" s="248">
        <v>53</v>
      </c>
      <c r="AC145" s="179"/>
      <c r="AG145" s="179"/>
      <c r="AL145" s="178"/>
      <c r="AO145" s="179"/>
      <c r="AP145" s="178"/>
      <c r="AS145" s="179"/>
      <c r="AW145" s="179"/>
      <c r="BA145" s="180"/>
    </row>
    <row r="146" spans="1:53" s="171" customFormat="1" x14ac:dyDescent="0.15">
      <c r="A146" s="216">
        <v>2020</v>
      </c>
      <c r="B146" s="283"/>
      <c r="C146" s="410" t="s">
        <v>1491</v>
      </c>
      <c r="D146" s="410"/>
      <c r="E146" s="171">
        <v>15</v>
      </c>
      <c r="F146" s="180"/>
      <c r="G146" s="171">
        <v>17</v>
      </c>
      <c r="J146" s="241">
        <v>20</v>
      </c>
      <c r="K146" s="214">
        <f t="shared" si="43"/>
        <v>85</v>
      </c>
      <c r="L146" s="214">
        <f t="shared" si="44"/>
        <v>0</v>
      </c>
      <c r="M146" s="214">
        <f t="shared" si="45"/>
        <v>0</v>
      </c>
      <c r="N146" s="235">
        <f t="shared" si="46"/>
        <v>85</v>
      </c>
      <c r="O146" s="213">
        <v>53</v>
      </c>
      <c r="P146" s="214"/>
      <c r="Q146" s="214"/>
      <c r="R146" s="215">
        <f t="shared" si="47"/>
        <v>53</v>
      </c>
      <c r="S146" s="190">
        <v>1</v>
      </c>
      <c r="T146" s="285"/>
      <c r="U146" s="283"/>
      <c r="V146" s="178" t="s">
        <v>188</v>
      </c>
      <c r="W146" s="171" t="s">
        <v>76</v>
      </c>
      <c r="X146" s="171" t="s">
        <v>11</v>
      </c>
      <c r="Y146" s="248">
        <v>53</v>
      </c>
      <c r="AC146" s="179"/>
      <c r="AG146" s="179"/>
      <c r="AK146" s="179"/>
      <c r="AO146" s="179"/>
      <c r="AS146" s="179"/>
      <c r="AW146" s="179"/>
      <c r="BA146" s="180"/>
    </row>
    <row r="147" spans="1:53" s="171" customFormat="1" x14ac:dyDescent="0.15">
      <c r="A147" s="216">
        <v>2020</v>
      </c>
      <c r="B147" s="305">
        <v>43845</v>
      </c>
      <c r="C147" s="410" t="s">
        <v>1491</v>
      </c>
      <c r="D147" s="410"/>
      <c r="E147" s="171">
        <v>351</v>
      </c>
      <c r="F147" s="247">
        <v>0</v>
      </c>
      <c r="G147" s="171">
        <v>18</v>
      </c>
      <c r="J147" s="241">
        <v>21</v>
      </c>
      <c r="K147" s="214">
        <f t="shared" si="43"/>
        <v>85.714285714285708</v>
      </c>
      <c r="L147" s="214">
        <f t="shared" si="44"/>
        <v>0</v>
      </c>
      <c r="M147" s="214">
        <f t="shared" si="45"/>
        <v>0</v>
      </c>
      <c r="N147" s="235">
        <f t="shared" si="46"/>
        <v>85.714285714285708</v>
      </c>
      <c r="O147" s="213">
        <v>53</v>
      </c>
      <c r="P147" s="214"/>
      <c r="Q147" s="214"/>
      <c r="R147" s="215">
        <f t="shared" si="47"/>
        <v>53</v>
      </c>
      <c r="S147" s="190">
        <v>1</v>
      </c>
      <c r="T147" s="285"/>
      <c r="U147" s="283"/>
      <c r="V147" s="178" t="s">
        <v>188</v>
      </c>
      <c r="W147" s="171" t="s">
        <v>76</v>
      </c>
      <c r="X147" s="171" t="s">
        <v>11</v>
      </c>
      <c r="Y147" s="248">
        <v>53</v>
      </c>
      <c r="AC147" s="179"/>
      <c r="AG147" s="179"/>
      <c r="AK147" s="179"/>
      <c r="AO147" s="179"/>
      <c r="AS147" s="179"/>
      <c r="AW147" s="179"/>
      <c r="BA147" s="180"/>
    </row>
    <row r="148" spans="1:53" x14ac:dyDescent="0.15">
      <c r="B148" s="273"/>
      <c r="C148" s="365"/>
      <c r="D148" s="365"/>
      <c r="F148" s="366"/>
      <c r="J148" s="26"/>
      <c r="K148" s="12"/>
      <c r="L148" s="12"/>
      <c r="M148" s="12"/>
      <c r="N148" s="20"/>
      <c r="O148" s="12"/>
      <c r="P148" s="12"/>
      <c r="Q148" s="12"/>
      <c r="R148" s="20"/>
      <c r="T148" s="367"/>
      <c r="U148" s="367"/>
      <c r="AS148" s="17"/>
      <c r="AW148" s="17"/>
    </row>
    <row r="149" spans="1:53" x14ac:dyDescent="0.15">
      <c r="A149" s="29"/>
    </row>
    <row r="150" spans="1:53" ht="18" customHeight="1" x14ac:dyDescent="0.15">
      <c r="B150" s="16" t="s">
        <v>1264</v>
      </c>
      <c r="D150" s="41"/>
    </row>
    <row r="151" spans="1:53" ht="9" customHeight="1" x14ac:dyDescent="0.15"/>
    <row r="152" spans="1:53" s="195" customFormat="1" ht="9" customHeight="1" x14ac:dyDescent="0.15">
      <c r="A152" s="193"/>
      <c r="B152" s="194" t="s">
        <v>1215</v>
      </c>
      <c r="C152" s="194"/>
      <c r="D152" s="194"/>
      <c r="E152" s="194"/>
      <c r="F152" s="194"/>
      <c r="G152" s="194" t="s">
        <v>1216</v>
      </c>
      <c r="H152" s="194"/>
      <c r="I152" s="194"/>
      <c r="J152" s="194"/>
      <c r="K152" s="194"/>
      <c r="L152" s="194"/>
      <c r="M152" s="194"/>
      <c r="N152" s="194"/>
      <c r="R152" s="388" t="s">
        <v>1217</v>
      </c>
      <c r="S152" s="388"/>
      <c r="T152" s="388"/>
      <c r="U152" s="388"/>
      <c r="V152" s="388"/>
      <c r="W152" s="388"/>
      <c r="X152" s="196"/>
      <c r="Y152" s="196"/>
      <c r="AA152" s="196"/>
      <c r="AB152" s="196"/>
      <c r="AC152" s="196"/>
      <c r="AD152" s="196"/>
    </row>
    <row r="153" spans="1:53" s="200" customFormat="1" ht="9" customHeight="1" x14ac:dyDescent="0.15">
      <c r="A153" s="197"/>
      <c r="B153" s="198" t="s">
        <v>1219</v>
      </c>
      <c r="C153" s="199"/>
      <c r="D153" s="199"/>
      <c r="E153" s="199"/>
      <c r="F153" s="199"/>
      <c r="G153" s="198" t="s">
        <v>1218</v>
      </c>
      <c r="H153" s="199"/>
      <c r="I153" s="199"/>
      <c r="J153" s="199"/>
      <c r="K153" s="199"/>
      <c r="L153" s="199"/>
      <c r="M153" s="199"/>
      <c r="N153" s="199"/>
      <c r="R153" s="201" t="s">
        <v>1220</v>
      </c>
      <c r="S153" s="202"/>
      <c r="T153" s="203"/>
      <c r="U153" s="203"/>
      <c r="V153" s="203"/>
      <c r="W153" s="201" t="s">
        <v>1221</v>
      </c>
      <c r="X153" s="203"/>
      <c r="Y153" s="203"/>
      <c r="AA153" s="203"/>
      <c r="AB153" s="203"/>
      <c r="AC153" s="203"/>
      <c r="AD153" s="203"/>
    </row>
    <row r="154" spans="1:53" s="186" customFormat="1" ht="12" customHeight="1" x14ac:dyDescent="0.15">
      <c r="A154" s="204" t="s">
        <v>3</v>
      </c>
      <c r="B154" s="205" t="s">
        <v>8</v>
      </c>
      <c r="C154" s="205" t="s">
        <v>9</v>
      </c>
      <c r="D154" s="205" t="s">
        <v>10</v>
      </c>
      <c r="E154" s="206" t="s">
        <v>1195</v>
      </c>
      <c r="F154" s="205"/>
      <c r="G154" s="186" t="s">
        <v>3</v>
      </c>
      <c r="H154" s="389" t="s">
        <v>0</v>
      </c>
      <c r="I154" s="389"/>
      <c r="J154" s="389" t="s">
        <v>1</v>
      </c>
      <c r="K154" s="389"/>
      <c r="L154" s="389" t="s">
        <v>2</v>
      </c>
      <c r="M154" s="389"/>
      <c r="N154" s="390" t="s">
        <v>1195</v>
      </c>
      <c r="O154" s="390"/>
      <c r="P154" s="207"/>
      <c r="Q154" s="207"/>
      <c r="R154" s="208" t="s">
        <v>3</v>
      </c>
      <c r="S154" s="209" t="s">
        <v>135</v>
      </c>
      <c r="T154" s="207" t="s">
        <v>133</v>
      </c>
      <c r="U154" s="205" t="s">
        <v>134</v>
      </c>
      <c r="V154" s="207"/>
      <c r="W154" s="210" t="s">
        <v>26</v>
      </c>
    </row>
    <row r="155" spans="1:53" s="140" customFormat="1" x14ac:dyDescent="0.15">
      <c r="A155" s="140">
        <v>1959</v>
      </c>
      <c r="B155" s="143">
        <f>(K6*($E6/365))+(K7*($E7/365))</f>
        <v>100</v>
      </c>
      <c r="C155" s="143">
        <f>(L6*($E6/365))+(L7*($E7/365))</f>
        <v>0</v>
      </c>
      <c r="D155" s="143">
        <f>(M6*($E6/365))+(M7*($E7/365))</f>
        <v>0</v>
      </c>
      <c r="E155" s="144">
        <f>B155+C155+D155</f>
        <v>100</v>
      </c>
      <c r="G155" s="140">
        <v>1959</v>
      </c>
      <c r="H155" s="417">
        <f>(O6/$R6*100*($E6/365))+(O7/$R7*100*($E7/365))</f>
        <v>100</v>
      </c>
      <c r="I155" s="417"/>
      <c r="J155" s="417">
        <f>(P6/$R6*100*($E6/365))+(P7/$R7*100*($E7/365))</f>
        <v>0</v>
      </c>
      <c r="K155" s="417"/>
      <c r="L155" s="417">
        <f>(Q6/$R6*100*($E6/365))+(Q7/$R7*100*($E7/365))</f>
        <v>0</v>
      </c>
      <c r="M155" s="417"/>
      <c r="N155" s="417">
        <f>H155+J155+K155</f>
        <v>100</v>
      </c>
      <c r="O155" s="417"/>
      <c r="R155" s="140">
        <v>1959</v>
      </c>
      <c r="S155" s="143">
        <f>(O6*($E6/365))+(O7*($E7/365))</f>
        <v>57</v>
      </c>
      <c r="T155" s="143">
        <f>(P6*($E6/365))+(P7*($E7/365))</f>
        <v>0</v>
      </c>
      <c r="U155" s="143">
        <f>(Q6*($E6/365))+(Q7*($E7/365))</f>
        <v>0</v>
      </c>
      <c r="W155" s="145">
        <f>S155+T155+U155</f>
        <v>57</v>
      </c>
      <c r="AD155" s="158"/>
    </row>
    <row r="156" spans="1:53" x14ac:dyDescent="0.15">
      <c r="A156" s="1">
        <v>1960</v>
      </c>
      <c r="B156" s="5">
        <f>(K8*($E8/366))+(K9*($E9/366))</f>
        <v>100</v>
      </c>
      <c r="C156" s="5">
        <f>(L8*($E8/366))+(L9*($E9/366))</f>
        <v>0</v>
      </c>
      <c r="D156" s="5">
        <f>(M8*($E8/366))+(M9*($E9/366))</f>
        <v>0</v>
      </c>
      <c r="E156" s="18">
        <f t="shared" ref="E156:E163" si="48">SUM(B156:D156)</f>
        <v>100</v>
      </c>
      <c r="G156" s="1">
        <v>1960</v>
      </c>
      <c r="H156" s="409">
        <f>(O8/$R8*100*($E8/366))+(O9/$R9*100*($E9/366))</f>
        <v>100</v>
      </c>
      <c r="I156" s="409"/>
      <c r="J156" s="409">
        <f>(P8/$R8*100*($E8/366))+(P9/$R9*100*($E9/366))</f>
        <v>0</v>
      </c>
      <c r="K156" s="409"/>
      <c r="L156" s="409">
        <f>(Q8/$R8*100*($E8/366))+(Q9/$R9*100*($E9/366))</f>
        <v>0</v>
      </c>
      <c r="M156" s="409"/>
      <c r="N156" s="435">
        <f>SUM(H156:M156)</f>
        <v>100</v>
      </c>
      <c r="O156" s="435"/>
      <c r="R156" s="1">
        <v>1960</v>
      </c>
      <c r="S156" s="5">
        <f>(O8*($E8/366))+(O9*($E9/366))</f>
        <v>57</v>
      </c>
      <c r="T156" s="5">
        <f>(P8*($E8/366))+(P9*($E9/366))</f>
        <v>0</v>
      </c>
      <c r="U156" s="5">
        <f>(Q8*($E8/366))+(Q9*($E9/366))</f>
        <v>0</v>
      </c>
      <c r="W156" s="4">
        <f>SUM(S156:U156)</f>
        <v>57</v>
      </c>
      <c r="AD156" s="23"/>
    </row>
    <row r="157" spans="1:53" x14ac:dyDescent="0.15">
      <c r="A157" s="1">
        <v>1961</v>
      </c>
      <c r="B157" s="5">
        <f>(K10*($E10/365))+(K11*($E11/365))+(K12*($E12/365))</f>
        <v>87.945205479452056</v>
      </c>
      <c r="C157" s="5">
        <f>(L10*($E10/365))+(L11*($E11/365))+(L12*($E12/365))</f>
        <v>0</v>
      </c>
      <c r="D157" s="5">
        <f>(M10*($E10/365))+(M11*($E11/365))+(M12*($E12/365))</f>
        <v>0</v>
      </c>
      <c r="E157" s="18">
        <f t="shared" si="48"/>
        <v>87.945205479452056</v>
      </c>
      <c r="G157" s="1">
        <v>1961</v>
      </c>
      <c r="H157" s="409">
        <f>(O10/$R10*100*($E10/365))+(O12/$R12*100*($E12/365))</f>
        <v>87.945205479452056</v>
      </c>
      <c r="I157" s="409"/>
      <c r="J157" s="409">
        <f>(P10/$R10*100*($E10/365))+(P12/$R12*100*($E12/365))</f>
        <v>0</v>
      </c>
      <c r="K157" s="409"/>
      <c r="L157" s="409">
        <f>(Q10/$R10*100*($E10/365))+(Q12/$R12*100*($E12/365))</f>
        <v>0</v>
      </c>
      <c r="M157" s="409"/>
      <c r="N157" s="435">
        <f t="shared" ref="N157:N162" si="49">SUM(H157:M157)</f>
        <v>87.945205479452056</v>
      </c>
      <c r="O157" s="435"/>
      <c r="R157" s="1">
        <v>1961</v>
      </c>
      <c r="S157" s="5">
        <f>(O10*($E10/365))+(O11*($E11/365))+(O12*($E12/365))</f>
        <v>50.39890410958904</v>
      </c>
      <c r="T157" s="5">
        <f>(P10*($E10/365))+(P11*($E11/365))+(P12*($E12/365))</f>
        <v>0</v>
      </c>
      <c r="U157" s="5">
        <f>(Q10*($E10/365))+(Q11*($E11/365))+(Q12*($E12/365))</f>
        <v>0</v>
      </c>
      <c r="W157" s="4">
        <f t="shared" ref="W157:W163" si="50">SUM(S157:U157)</f>
        <v>50.39890410958904</v>
      </c>
      <c r="AD157" s="23"/>
    </row>
    <row r="158" spans="1:53" x14ac:dyDescent="0.15">
      <c r="A158" s="1">
        <v>1962</v>
      </c>
      <c r="B158" s="5">
        <f>(K13*($E13/365))+(K14*($E14/365))</f>
        <v>100</v>
      </c>
      <c r="C158" s="5">
        <f>(L13*($E13/365))+(L14*($E14/365))</f>
        <v>0</v>
      </c>
      <c r="D158" s="5">
        <f>(M13*($E13/365))+(M14*($E14/365))</f>
        <v>0</v>
      </c>
      <c r="E158" s="18">
        <f t="shared" si="48"/>
        <v>100</v>
      </c>
      <c r="G158" s="1">
        <v>1962</v>
      </c>
      <c r="H158" s="409">
        <f>(O13/$R13*100*($E13/365))+(O14/$R14*100*($E14/365))</f>
        <v>100</v>
      </c>
      <c r="I158" s="409"/>
      <c r="J158" s="409">
        <f>(P13/$R13*100*($E13/365))+(P14/$R14*100*($E14/365))</f>
        <v>0</v>
      </c>
      <c r="K158" s="409"/>
      <c r="L158" s="409">
        <f>(Q13/$R13*100*($E13/365))+(Q14/$R14*100*($E14/365))</f>
        <v>0</v>
      </c>
      <c r="M158" s="409"/>
      <c r="N158" s="435">
        <f t="shared" si="49"/>
        <v>100</v>
      </c>
      <c r="O158" s="435"/>
      <c r="R158" s="1">
        <v>1962</v>
      </c>
      <c r="S158" s="5">
        <f>(O13*($E13/365))+(O14*($E14/365))</f>
        <v>58.7</v>
      </c>
      <c r="T158" s="5">
        <f>(P13*($E13/365))+(P14*($E14/365))</f>
        <v>0</v>
      </c>
      <c r="U158" s="5">
        <f>(Q13*($E13/365))+(Q14*($E14/365))</f>
        <v>0</v>
      </c>
      <c r="W158" s="4">
        <f t="shared" si="50"/>
        <v>58.7</v>
      </c>
      <c r="AD158" s="23"/>
    </row>
    <row r="159" spans="1:53" x14ac:dyDescent="0.15">
      <c r="A159" s="1">
        <v>1963</v>
      </c>
      <c r="B159" s="5">
        <f>(K15*($E15/365))+(K16*($E16/365))+(K17*($E17/365))+(K18*($E18/365))+(K19*($E19/365))</f>
        <v>60.821917808219176</v>
      </c>
      <c r="C159" s="5">
        <f>(L15*($E15/365))+(L16*($E16/365))+(L17*($E17/365))+(L18*($E18/365))+(L19*($E19/365))</f>
        <v>0</v>
      </c>
      <c r="D159" s="5">
        <f>(M15*($E15/365))+(M16*($E16/365))+(M17*($E17/365))+(M18*($E18/365))+(M19*($E19/365))</f>
        <v>0</v>
      </c>
      <c r="E159" s="18">
        <f t="shared" si="48"/>
        <v>60.821917808219176</v>
      </c>
      <c r="G159" s="1">
        <v>1963</v>
      </c>
      <c r="H159" s="409">
        <f>(O15/$R15*100*($E15/365))+(O18/$R18*100*($E18/365))</f>
        <v>60.821917808219176</v>
      </c>
      <c r="I159" s="409"/>
      <c r="J159" s="409">
        <f>(P15/$R15*100*($E15/365))+(P18/$R18*100*($E18/365))</f>
        <v>0</v>
      </c>
      <c r="K159" s="409"/>
      <c r="L159" s="409">
        <f>(Q15/$R15*100*($E15/365))+(Q18/$R18*100*($E18/365))</f>
        <v>0</v>
      </c>
      <c r="M159" s="409"/>
      <c r="N159" s="435">
        <f t="shared" si="49"/>
        <v>60.821917808219176</v>
      </c>
      <c r="O159" s="435"/>
      <c r="R159" s="1">
        <v>1963</v>
      </c>
      <c r="S159" s="5">
        <f>(O15*($E15/365))+(O16*($E16/365))+(O17*($E17/365))+(O18*($E18/365))+(O19*($E19/365))</f>
        <v>33.858356164383558</v>
      </c>
      <c r="T159" s="5">
        <f>(P15*($E15/365))+(P16*($E16/365))+(P17*($E17/365))+(P18*($E18/365))+(P19*($E19/365))</f>
        <v>0</v>
      </c>
      <c r="U159" s="5">
        <f>(Q15*($E15/365))+(Q16*($E16/365))+(Q17*($E17/365))+(Q18*($E18/365))+(Q19*($E19/365))</f>
        <v>0</v>
      </c>
      <c r="W159" s="4">
        <f t="shared" si="50"/>
        <v>33.858356164383558</v>
      </c>
      <c r="AD159" s="23"/>
    </row>
    <row r="160" spans="1:53" x14ac:dyDescent="0.15">
      <c r="A160" s="1">
        <v>1964</v>
      </c>
      <c r="B160" s="5">
        <f>(K20*($E20/366))+(K21*($E21/366))</f>
        <v>86.612021857923494</v>
      </c>
      <c r="C160" s="5">
        <f>(L20*($E20/366))+(L21*($E21/366))</f>
        <v>0</v>
      </c>
      <c r="D160" s="5">
        <f>(M20*($E20/366))+(M21*($E21/366))</f>
        <v>0</v>
      </c>
      <c r="E160" s="18">
        <f t="shared" si="48"/>
        <v>86.612021857923494</v>
      </c>
      <c r="G160" s="1">
        <v>1964</v>
      </c>
      <c r="H160" s="409">
        <f>(O21/$R21*100*($E21/366))</f>
        <v>86.612021857923494</v>
      </c>
      <c r="I160" s="409"/>
      <c r="J160" s="409">
        <f>(P21/$R21*100*($E21/366))</f>
        <v>0</v>
      </c>
      <c r="K160" s="409"/>
      <c r="L160" s="409">
        <f>(Q21/$R21*100*($E21/366))</f>
        <v>0</v>
      </c>
      <c r="M160" s="409"/>
      <c r="N160" s="435">
        <f t="shared" si="49"/>
        <v>86.612021857923494</v>
      </c>
      <c r="O160" s="435"/>
      <c r="R160" s="1">
        <v>1964</v>
      </c>
      <c r="S160" s="5">
        <f>(O20*($E20/366))+(O21*($E21/366))</f>
        <v>49.368852459016388</v>
      </c>
      <c r="T160" s="5">
        <f>(P20*($E20/366))+(P21*($E21/366))</f>
        <v>0</v>
      </c>
      <c r="U160" s="5">
        <f>(Q20*($E20/366))+(Q21*($E21/366))</f>
        <v>0</v>
      </c>
      <c r="W160" s="4">
        <f t="shared" si="50"/>
        <v>49.368852459016388</v>
      </c>
      <c r="AD160" s="23"/>
    </row>
    <row r="161" spans="1:30" x14ac:dyDescent="0.15">
      <c r="A161" s="1">
        <v>1965</v>
      </c>
      <c r="B161" s="5">
        <f>(K22*($E22/365))+(K23*($E23/365))+(K24*($E24/365))+(K25*($E25/365))</f>
        <v>100</v>
      </c>
      <c r="C161" s="5">
        <f>(L22*($E22/365))+(L23*($E23/365))+(L24*($E24/365))+(L25*($E25/365))</f>
        <v>0</v>
      </c>
      <c r="D161" s="5">
        <f>(M22*($E22/365))+(M23*($E23/365))+(M24*($E24/365))+(M25*($E25/365))</f>
        <v>0</v>
      </c>
      <c r="E161" s="18">
        <f t="shared" si="48"/>
        <v>100</v>
      </c>
      <c r="G161" s="1">
        <v>1965</v>
      </c>
      <c r="H161" s="409">
        <f>(O22/$R22*100*($E22/365))+(O23/$R23*100*($E23/365))</f>
        <v>63.287671232876711</v>
      </c>
      <c r="I161" s="409"/>
      <c r="J161" s="409">
        <f>(P22/$R22*100*($E22/365))+(P23/$R23*100*($E23/365))</f>
        <v>0</v>
      </c>
      <c r="K161" s="409"/>
      <c r="L161" s="409">
        <f>(Q22/$R22*100*($E22/365))+(Q23/$R23*100*($E23/365))</f>
        <v>0</v>
      </c>
      <c r="M161" s="409"/>
      <c r="N161" s="435">
        <f t="shared" si="49"/>
        <v>63.287671232876711</v>
      </c>
      <c r="O161" s="435"/>
      <c r="R161" s="1">
        <v>1965</v>
      </c>
      <c r="S161" s="5">
        <f>(O22*($E22/365))+(O23*($E23/365))+(O24*($E24/365))+(O25*($E25/365))</f>
        <v>51.718356164383565</v>
      </c>
      <c r="T161" s="5">
        <f>(P22*($E22/365))+(P23*($E23/365))+(P24*($E24/365))+(P25*($E25/365))</f>
        <v>0</v>
      </c>
      <c r="U161" s="5">
        <f>(Q22*($E22/365))+(Q23*($E23/365))+(Q24*($E24/365))+(Q25*($E25/365))</f>
        <v>0</v>
      </c>
      <c r="W161" s="4">
        <f t="shared" si="50"/>
        <v>51.718356164383565</v>
      </c>
      <c r="AD161" s="23"/>
    </row>
    <row r="162" spans="1:30" x14ac:dyDescent="0.15">
      <c r="A162" s="1">
        <v>1966</v>
      </c>
      <c r="B162" s="5">
        <f>(K26*($E26/365))+(K27*($E27/365))</f>
        <v>97.260273972602747</v>
      </c>
      <c r="C162" s="5">
        <f>(L26*($E26/365))+(L27*($E27/365))</f>
        <v>0</v>
      </c>
      <c r="D162" s="5">
        <f>(M26*($E26/365))+(M27*($E27/365))</f>
        <v>0</v>
      </c>
      <c r="E162" s="18">
        <f t="shared" si="48"/>
        <v>97.260273972602747</v>
      </c>
      <c r="G162" s="1">
        <v>1966</v>
      </c>
      <c r="H162" s="409">
        <f>(O26/$R26*100*($E26/365))</f>
        <v>97.260273972602747</v>
      </c>
      <c r="I162" s="409"/>
      <c r="J162" s="409">
        <f>(P26/$R26*100*($E26/365))</f>
        <v>0</v>
      </c>
      <c r="K162" s="409"/>
      <c r="L162" s="409">
        <f>(Q26/$R26*100*($E26/365))</f>
        <v>0</v>
      </c>
      <c r="M162" s="409"/>
      <c r="N162" s="435">
        <f t="shared" si="49"/>
        <v>97.260273972602747</v>
      </c>
      <c r="O162" s="435"/>
      <c r="R162" s="1">
        <v>1966</v>
      </c>
      <c r="S162" s="5">
        <f>(O26*($E26/365))+(O27*($E27/365))</f>
        <v>49.31095890410959</v>
      </c>
      <c r="T162" s="5">
        <f>(P26*($E26/365))+(P27*($E27/365))</f>
        <v>0</v>
      </c>
      <c r="U162" s="5">
        <f>(Q26*($E26/365))+(Q27*($E27/365))</f>
        <v>0</v>
      </c>
      <c r="W162" s="4">
        <f t="shared" si="50"/>
        <v>49.31095890410959</v>
      </c>
      <c r="AD162" s="23"/>
    </row>
    <row r="163" spans="1:30" x14ac:dyDescent="0.15">
      <c r="A163" s="1">
        <v>1967</v>
      </c>
      <c r="B163" s="5">
        <f>(K28*($E28/(110))+(K29*($E29/110)))</f>
        <v>16.363636363636363</v>
      </c>
      <c r="C163" s="5">
        <f>(L28*($E28/(110))+(L29*($E29/110)))</f>
        <v>0</v>
      </c>
      <c r="D163" s="5">
        <f>(M28*($E28/(110))+(M29*($E29/110)))</f>
        <v>0</v>
      </c>
      <c r="E163" s="18">
        <f t="shared" si="48"/>
        <v>16.363636363636363</v>
      </c>
      <c r="G163" s="1">
        <v>1967</v>
      </c>
      <c r="H163" s="409">
        <f>(O29/$R29*100*($E29/365))</f>
        <v>4.9315068493150687</v>
      </c>
      <c r="I163" s="409"/>
      <c r="J163" s="409">
        <f>(P29/$R29*100*($E29/365))</f>
        <v>0</v>
      </c>
      <c r="K163" s="409"/>
      <c r="L163" s="409">
        <f>(Q29/$R29*100*($E29/365))</f>
        <v>0</v>
      </c>
      <c r="M163" s="409"/>
      <c r="N163" s="435">
        <f>H163+J163+L163</f>
        <v>4.9315068493150687</v>
      </c>
      <c r="O163" s="435"/>
      <c r="R163" s="1">
        <v>1967</v>
      </c>
      <c r="S163" s="5">
        <f>(O28*($E28/(110))+(O29*($E29/110)))</f>
        <v>5.4490909090909083</v>
      </c>
      <c r="T163" s="5">
        <f>(P28*($E28/(110))+(P29*($E29/110)))</f>
        <v>0</v>
      </c>
      <c r="U163" s="5">
        <f>(Q28*($E28/(110))+(Q29*($E29/110)))</f>
        <v>0</v>
      </c>
      <c r="W163" s="4">
        <f t="shared" si="50"/>
        <v>5.4490909090909083</v>
      </c>
      <c r="AD163" s="23"/>
    </row>
    <row r="164" spans="1:30" x14ac:dyDescent="0.15">
      <c r="A164" s="1">
        <v>1968</v>
      </c>
      <c r="C164" s="4"/>
      <c r="D164" s="4"/>
      <c r="E164" s="4"/>
      <c r="G164" s="1">
        <v>1968</v>
      </c>
      <c r="H164" s="415"/>
      <c r="I164" s="415"/>
      <c r="J164" s="409"/>
      <c r="K164" s="409"/>
      <c r="L164" s="409"/>
      <c r="M164" s="409"/>
      <c r="N164" s="435"/>
      <c r="O164" s="435"/>
      <c r="R164" s="1">
        <v>1968</v>
      </c>
      <c r="AD164" s="23"/>
    </row>
    <row r="165" spans="1:30" x14ac:dyDescent="0.15">
      <c r="A165" s="1">
        <v>1969</v>
      </c>
      <c r="B165" s="4"/>
      <c r="C165" s="4"/>
      <c r="D165" s="4"/>
      <c r="E165" s="4"/>
      <c r="G165" s="1">
        <v>1969</v>
      </c>
      <c r="H165" s="409"/>
      <c r="I165" s="409"/>
      <c r="J165" s="409"/>
      <c r="K165" s="409"/>
      <c r="L165" s="409"/>
      <c r="M165" s="409"/>
      <c r="N165" s="435"/>
      <c r="O165" s="435"/>
      <c r="R165" s="1">
        <v>1969</v>
      </c>
      <c r="AD165" s="23"/>
    </row>
    <row r="166" spans="1:30" x14ac:dyDescent="0.15">
      <c r="A166" s="1">
        <v>1970</v>
      </c>
      <c r="B166" s="4"/>
      <c r="C166" s="4"/>
      <c r="D166" s="4"/>
      <c r="E166" s="4"/>
      <c r="G166" s="1">
        <v>1970</v>
      </c>
      <c r="H166" s="409"/>
      <c r="I166" s="409"/>
      <c r="J166" s="409"/>
      <c r="K166" s="409"/>
      <c r="L166" s="409"/>
      <c r="M166" s="409"/>
      <c r="N166" s="435"/>
      <c r="O166" s="435"/>
      <c r="R166" s="1">
        <v>1970</v>
      </c>
      <c r="AD166" s="23"/>
    </row>
    <row r="167" spans="1:30" x14ac:dyDescent="0.15">
      <c r="A167" s="1">
        <v>1971</v>
      </c>
      <c r="B167" s="4"/>
      <c r="C167" s="4"/>
      <c r="D167" s="4"/>
      <c r="E167" s="4"/>
      <c r="G167" s="1">
        <v>1971</v>
      </c>
      <c r="H167" s="409"/>
      <c r="I167" s="409"/>
      <c r="J167" s="409"/>
      <c r="K167" s="409"/>
      <c r="L167" s="409"/>
      <c r="M167" s="409"/>
      <c r="N167" s="435"/>
      <c r="O167" s="435"/>
      <c r="R167" s="1">
        <v>1971</v>
      </c>
      <c r="AD167" s="23"/>
    </row>
    <row r="168" spans="1:30" x14ac:dyDescent="0.15">
      <c r="A168" s="1">
        <v>1972</v>
      </c>
      <c r="B168" s="4"/>
      <c r="C168" s="4"/>
      <c r="D168" s="4"/>
      <c r="E168" s="4"/>
      <c r="G168" s="1">
        <v>1972</v>
      </c>
      <c r="H168" s="409"/>
      <c r="I168" s="409"/>
      <c r="J168" s="409"/>
      <c r="K168" s="409"/>
      <c r="L168" s="409"/>
      <c r="M168" s="409"/>
      <c r="N168" s="435"/>
      <c r="O168" s="435"/>
      <c r="R168" s="1">
        <v>1972</v>
      </c>
      <c r="AD168" s="23"/>
    </row>
    <row r="169" spans="1:30" x14ac:dyDescent="0.15">
      <c r="A169" s="1">
        <v>1973</v>
      </c>
      <c r="B169" s="4"/>
      <c r="C169" s="4"/>
      <c r="D169" s="4"/>
      <c r="E169" s="4"/>
      <c r="G169" s="1">
        <v>1973</v>
      </c>
      <c r="H169" s="409"/>
      <c r="I169" s="409"/>
      <c r="J169" s="409"/>
      <c r="K169" s="409"/>
      <c r="L169" s="409"/>
      <c r="M169" s="409"/>
      <c r="N169" s="435"/>
      <c r="O169" s="435"/>
      <c r="R169" s="1">
        <v>1973</v>
      </c>
      <c r="AD169" s="23"/>
    </row>
    <row r="170" spans="1:30" x14ac:dyDescent="0.15">
      <c r="A170" s="1">
        <v>1974</v>
      </c>
      <c r="B170" s="5">
        <f>(K44*($E44/159))+(K45*($E45/159))</f>
        <v>72.426348891095657</v>
      </c>
      <c r="C170" s="5">
        <f>(L44*($E44/159))+(L45*($E45/159))</f>
        <v>0</v>
      </c>
      <c r="D170" s="5">
        <f>(M44*($E44/159))+(M45*($E45/159))</f>
        <v>0</v>
      </c>
      <c r="E170" s="18">
        <f>SUM(B170:D170)</f>
        <v>72.426348891095657</v>
      </c>
      <c r="G170" s="1">
        <v>1974</v>
      </c>
      <c r="H170" s="380">
        <f>(O45/$R45*100*($E45/159))</f>
        <v>25.157232704402517</v>
      </c>
      <c r="I170" s="380"/>
      <c r="J170" s="380">
        <f>(P45/$R45*100*($E45/159))</f>
        <v>0</v>
      </c>
      <c r="K170" s="380"/>
      <c r="L170" s="380">
        <f>(Q45/$R45*100*($E45/159))</f>
        <v>0</v>
      </c>
      <c r="M170" s="380"/>
      <c r="N170" s="379">
        <f>SUM(H170:M170)</f>
        <v>25.157232704402517</v>
      </c>
      <c r="O170" s="379"/>
      <c r="R170" s="1">
        <v>1974</v>
      </c>
      <c r="S170" s="5">
        <f>(O45*($E45/159))</f>
        <v>18.440251572327043</v>
      </c>
      <c r="T170" s="5">
        <f>(P45*($E45/159))</f>
        <v>0</v>
      </c>
      <c r="U170" s="5">
        <f>(Q45*($E45/159))</f>
        <v>0</v>
      </c>
      <c r="V170" s="5"/>
      <c r="W170" s="5">
        <f>SUM(S170:U170)</f>
        <v>18.440251572327043</v>
      </c>
      <c r="Y170" s="27" t="s">
        <v>1213</v>
      </c>
    </row>
    <row r="171" spans="1:30" x14ac:dyDescent="0.15">
      <c r="A171" s="1">
        <v>1975</v>
      </c>
      <c r="B171" s="5">
        <f>(K46*($E46/365))+(K47*($E47/365))</f>
        <v>100</v>
      </c>
      <c r="C171" s="5">
        <f>(L46*($E46/365))+(L47*($E47/365))</f>
        <v>0</v>
      </c>
      <c r="D171" s="5">
        <f>(M46*($E46/365))+(M47*($E47/365))</f>
        <v>0</v>
      </c>
      <c r="E171" s="18">
        <f>SUM(B171:D171)</f>
        <v>100</v>
      </c>
      <c r="G171" s="1">
        <v>1975</v>
      </c>
      <c r="H171" s="380">
        <f>(O46/$R46*100*($E46/365))+(O47/$R47*100*($E47/365))</f>
        <v>100</v>
      </c>
      <c r="I171" s="380"/>
      <c r="J171" s="380">
        <f>(P46/$R46*100*($E46/365))+(P47/$R47*100*($E47/365))</f>
        <v>0</v>
      </c>
      <c r="K171" s="380"/>
      <c r="L171" s="380">
        <f>(Q46/$R46*100*($E46/365))+(Q47/$R47*100*($E47/365))</f>
        <v>0</v>
      </c>
      <c r="M171" s="380"/>
      <c r="N171" s="379">
        <f>SUM(H171:M171)</f>
        <v>100</v>
      </c>
      <c r="O171" s="379"/>
      <c r="R171" s="1">
        <v>1975</v>
      </c>
      <c r="S171" s="5">
        <f>(O46*($E46/365))+(O47*($E47/365))</f>
        <v>73.3</v>
      </c>
      <c r="T171" s="5">
        <f>(P46*($E46/365))+(P47*($E47/365))</f>
        <v>0</v>
      </c>
      <c r="U171" s="5">
        <f>(Q46*($E46/365))+(Q47*($E47/365))</f>
        <v>0</v>
      </c>
      <c r="V171" s="9"/>
      <c r="W171" s="5">
        <f>SUM(S171:U171)</f>
        <v>73.3</v>
      </c>
    </row>
    <row r="172" spans="1:30" x14ac:dyDescent="0.15">
      <c r="A172" s="1">
        <v>1976</v>
      </c>
      <c r="B172" s="5">
        <f>(K48*($E48/366))+(K49*($E49/366))</f>
        <v>100</v>
      </c>
      <c r="C172" s="5">
        <f>(L48*($E48/366))+(L49*($E49/366))</f>
        <v>0</v>
      </c>
      <c r="D172" s="5">
        <f>(M48*($E48/366))+(M49*($E49/366))</f>
        <v>0</v>
      </c>
      <c r="E172" s="18">
        <f t="shared" ref="E172:E209" si="51">SUM(B172:D172)</f>
        <v>100</v>
      </c>
      <c r="G172" s="1">
        <v>1976</v>
      </c>
      <c r="H172" s="380">
        <f>(O48/$R48*100*($E48/366))+(O49/$R49*100*($E49/366))</f>
        <v>100</v>
      </c>
      <c r="I172" s="380"/>
      <c r="J172" s="380">
        <f>(P48/$R48*100*($E48/366))+(P49/$R49*100*($E49/366))</f>
        <v>0</v>
      </c>
      <c r="K172" s="380"/>
      <c r="L172" s="380">
        <f>(Q48/$R48*100*($E48/366))+(Q49/$R49*100*($E49/366))</f>
        <v>0</v>
      </c>
      <c r="M172" s="380"/>
      <c r="N172" s="379">
        <f t="shared" ref="N172:N208" si="52">SUM(H172:M172)</f>
        <v>100</v>
      </c>
      <c r="O172" s="379"/>
      <c r="R172" s="1">
        <v>1976</v>
      </c>
      <c r="S172" s="5">
        <f>(O48*($E48/366))+(O49*($E49/366))</f>
        <v>73.3</v>
      </c>
      <c r="T172" s="5">
        <f>(P48*($E48/366))+(P49*($E49/366))</f>
        <v>0</v>
      </c>
      <c r="U172" s="5">
        <f>(Q48*($E48/366))+(Q49*($E49/366))</f>
        <v>0</v>
      </c>
      <c r="V172" s="9"/>
      <c r="W172" s="5">
        <f t="shared" ref="W172:W209" si="53">SUM(S172:U172)</f>
        <v>73.3</v>
      </c>
    </row>
    <row r="173" spans="1:30" x14ac:dyDescent="0.15">
      <c r="A173" s="1">
        <v>1977</v>
      </c>
      <c r="B173" s="5">
        <f>(K50*($E50/365))+(K51*($E51/365))</f>
        <v>99.576587795765889</v>
      </c>
      <c r="C173" s="5">
        <f>(L50*($E50/365))+(L51*($E51/365))</f>
        <v>0</v>
      </c>
      <c r="D173" s="5">
        <f>(M50*($E50/365))+(M51*($E51/365))</f>
        <v>0</v>
      </c>
      <c r="E173" s="18">
        <f t="shared" si="51"/>
        <v>99.576587795765889</v>
      </c>
      <c r="G173" s="1">
        <v>1977</v>
      </c>
      <c r="H173" s="380">
        <f>(O50/$R50*100*($E50/365))+(O51/$R51*100*($E51/365))</f>
        <v>100.00000000000001</v>
      </c>
      <c r="I173" s="380"/>
      <c r="J173" s="380">
        <f>(P50/$R50*100*($E50/365))+(P51/$R51*100*($E51/365))</f>
        <v>0</v>
      </c>
      <c r="K173" s="380"/>
      <c r="L173" s="380">
        <f>(Q50/$R50*100*($E50/365))+(Q51/$R51*100*($E51/365))</f>
        <v>0</v>
      </c>
      <c r="M173" s="380"/>
      <c r="N173" s="379">
        <f t="shared" si="52"/>
        <v>100.00000000000001</v>
      </c>
      <c r="O173" s="379"/>
      <c r="R173" s="1">
        <v>1977</v>
      </c>
      <c r="S173" s="5">
        <f>(O50*($E50/365))+(O51*($E51/365))</f>
        <v>71.781643835616435</v>
      </c>
      <c r="T173" s="5">
        <f>(P50*($E50/365))+(P51*($E51/365))</f>
        <v>0</v>
      </c>
      <c r="U173" s="5">
        <f>(Q50*($E50/365))+(Q51*($E51/365))</f>
        <v>0</v>
      </c>
      <c r="V173" s="9"/>
      <c r="W173" s="5">
        <f t="shared" si="53"/>
        <v>71.781643835616435</v>
      </c>
    </row>
    <row r="174" spans="1:30" x14ac:dyDescent="0.15">
      <c r="A174" s="1">
        <v>1978</v>
      </c>
      <c r="B174" s="5">
        <f>(K52*($E52/365))+(K53*($E53/365))</f>
        <v>95.454545454545453</v>
      </c>
      <c r="C174" s="5">
        <f>(L52*($E52/365))+(L53*($E53/365))</f>
        <v>0</v>
      </c>
      <c r="D174" s="5">
        <f>(M52*($E52/365))+(M53*($E53/365))</f>
        <v>0</v>
      </c>
      <c r="E174" s="18">
        <f t="shared" si="51"/>
        <v>95.454545454545453</v>
      </c>
      <c r="G174" s="1">
        <v>1978</v>
      </c>
      <c r="H174" s="380">
        <f>(O52/$R52*100*($E52/365))+(O53/$R53*100*($E53/365))</f>
        <v>100</v>
      </c>
      <c r="I174" s="380"/>
      <c r="J174" s="380">
        <f>(P52/$R52*100*($E52/365))+(P53/$R53*100*($E53/365))</f>
        <v>0</v>
      </c>
      <c r="K174" s="380"/>
      <c r="L174" s="380">
        <f>(Q52/$R52*100*($E52/365))+(Q53/$R53*100*($E53/365))</f>
        <v>0</v>
      </c>
      <c r="M174" s="380"/>
      <c r="N174" s="379">
        <f t="shared" si="52"/>
        <v>100</v>
      </c>
      <c r="O174" s="379"/>
      <c r="R174" s="1">
        <v>1978</v>
      </c>
      <c r="S174" s="5">
        <f>(O52*($E52/365))+(O53*($E53/365))</f>
        <v>57</v>
      </c>
      <c r="T174" s="5">
        <f>(P52*($E52/365))+(P53*($E53/365))</f>
        <v>0</v>
      </c>
      <c r="U174" s="5">
        <f>(Q52*($E52/365))+(Q53*($E53/365))</f>
        <v>0</v>
      </c>
      <c r="V174" s="9"/>
      <c r="W174" s="5">
        <f t="shared" si="53"/>
        <v>57</v>
      </c>
    </row>
    <row r="175" spans="1:30" x14ac:dyDescent="0.15">
      <c r="A175" s="1">
        <v>1979</v>
      </c>
      <c r="B175" s="5">
        <f>(K54*($E54/365))+(K55*($E55/365))</f>
        <v>95.454545454545453</v>
      </c>
      <c r="C175" s="5">
        <f>(L54*($E54/365))+(L55*($E55/365))</f>
        <v>0</v>
      </c>
      <c r="D175" s="5">
        <f>(M54*($E54/365))+(M55*($E55/365))</f>
        <v>0</v>
      </c>
      <c r="E175" s="18">
        <f t="shared" si="51"/>
        <v>95.454545454545453</v>
      </c>
      <c r="G175" s="1">
        <v>1979</v>
      </c>
      <c r="H175" s="380">
        <f>(O54/$R54*100*($E54/365))+(O55/$R55*100*($E55/365))</f>
        <v>100</v>
      </c>
      <c r="I175" s="380"/>
      <c r="J175" s="380">
        <f>(P54/$R54*100*($E54/365))+(P55/$R55*100*($E55/365))</f>
        <v>0</v>
      </c>
      <c r="K175" s="380"/>
      <c r="L175" s="380">
        <f>(Q54/$R54*100*($E54/365))+(Q55/$R55*100*($E55/365))</f>
        <v>0</v>
      </c>
      <c r="M175" s="380"/>
      <c r="N175" s="379">
        <f t="shared" si="52"/>
        <v>100</v>
      </c>
      <c r="O175" s="379"/>
      <c r="R175" s="1">
        <v>1979</v>
      </c>
      <c r="S175" s="5">
        <f>(O54*($E54/365))+(O55*($E55/365))</f>
        <v>57</v>
      </c>
      <c r="T175" s="5">
        <f>(P54*($E54/365))+(P55*($E55/365))</f>
        <v>0</v>
      </c>
      <c r="U175" s="5">
        <f>(Q54*($E54/365))+(Q55*($E55/365))</f>
        <v>0</v>
      </c>
      <c r="V175" s="9"/>
      <c r="W175" s="5">
        <f t="shared" si="53"/>
        <v>57</v>
      </c>
    </row>
    <row r="176" spans="1:30" x14ac:dyDescent="0.15">
      <c r="A176" s="1">
        <v>1980</v>
      </c>
      <c r="B176" s="5">
        <f>(K56*($E56/366))+(K57*($E57/366))</f>
        <v>93.001738698460002</v>
      </c>
      <c r="C176" s="5">
        <f>(L56*($E56/366))+(L57*($E57/366))</f>
        <v>0</v>
      </c>
      <c r="D176" s="5">
        <f>(M56*($E56/366))+(M57*($E57/366))</f>
        <v>0</v>
      </c>
      <c r="E176" s="18">
        <f t="shared" si="51"/>
        <v>93.001738698460002</v>
      </c>
      <c r="G176" s="1">
        <v>1980</v>
      </c>
      <c r="H176" s="380">
        <f>(O56/$R56*100*($E56/366))+(O57/$R57*100*($E57/366))</f>
        <v>100</v>
      </c>
      <c r="I176" s="380"/>
      <c r="J176" s="380">
        <f>(P56/$R56*100*($E56/366))+(P57/$R57*100*($E57/366))</f>
        <v>0</v>
      </c>
      <c r="K176" s="380"/>
      <c r="L176" s="380">
        <f>(Q56/$R56*100*($E56/366))+(Q57/$R57*100*($E57/366))</f>
        <v>0</v>
      </c>
      <c r="M176" s="380"/>
      <c r="N176" s="379">
        <f t="shared" si="52"/>
        <v>100</v>
      </c>
      <c r="O176" s="379"/>
      <c r="R176" s="1">
        <v>1980</v>
      </c>
      <c r="S176" s="5">
        <f>(O56*($E56/366))+(O57*($E57/366))</f>
        <v>57</v>
      </c>
      <c r="T176" s="5">
        <f>(P56*($E56/366))+(P57*($E57/366))</f>
        <v>0</v>
      </c>
      <c r="U176" s="5">
        <f>(Q56*($E56/366))+(Q57*($E57/366))</f>
        <v>0</v>
      </c>
      <c r="V176" s="9"/>
      <c r="W176" s="5">
        <f t="shared" si="53"/>
        <v>57</v>
      </c>
    </row>
    <row r="177" spans="1:23" x14ac:dyDescent="0.15">
      <c r="A177" s="1">
        <v>1981</v>
      </c>
      <c r="B177" s="5">
        <f>(K58*($E58/365))+(K59*($E59/365))</f>
        <v>73.584474885844742</v>
      </c>
      <c r="C177" s="5">
        <f>(L58*($E58/365))+(L59*($E59/365))</f>
        <v>0</v>
      </c>
      <c r="D177" s="5">
        <f>(M58*($E58/365))+(M59*($E59/365))</f>
        <v>19.726027397260275</v>
      </c>
      <c r="E177" s="18">
        <f t="shared" si="51"/>
        <v>93.310502283105023</v>
      </c>
      <c r="G177" s="1">
        <v>1981</v>
      </c>
      <c r="H177" s="380">
        <f>(O58/$R58*100*($E58/365))+(O59/$R59*100*($E59/365))</f>
        <v>80.273972602739732</v>
      </c>
      <c r="I177" s="380"/>
      <c r="J177" s="380">
        <f>(P58/$R58*100*($E58/365))+(P59/$R59*100*($E59/365))</f>
        <v>0</v>
      </c>
      <c r="K177" s="380"/>
      <c r="L177" s="380">
        <f>(Q58/$R58*100*($E58/365))+(Q59/$R59*100*($E59/365))</f>
        <v>19.726027397260275</v>
      </c>
      <c r="M177" s="380"/>
      <c r="N177" s="379">
        <f t="shared" si="52"/>
        <v>100</v>
      </c>
      <c r="O177" s="379"/>
      <c r="R177" s="1">
        <v>1981</v>
      </c>
      <c r="S177" s="5">
        <f>(O58*($E58/365))+(O59*($E59/365))</f>
        <v>45.756164383561647</v>
      </c>
      <c r="T177" s="5">
        <f>(P58*($E58/365))+(P59*($E59/365))</f>
        <v>0</v>
      </c>
      <c r="U177" s="5">
        <f>(Q58*($E58/365))+(Q59*($E59/365))</f>
        <v>11.303013698630137</v>
      </c>
      <c r="V177" s="9"/>
      <c r="W177" s="5">
        <f t="shared" si="53"/>
        <v>57.059178082191785</v>
      </c>
    </row>
    <row r="178" spans="1:23" x14ac:dyDescent="0.15">
      <c r="A178" s="1">
        <v>1982</v>
      </c>
      <c r="B178" s="5">
        <f>(K60*($E60/365))+(K61*($E61/365))</f>
        <v>0</v>
      </c>
      <c r="C178" s="5">
        <f>(L60*($E60/365))+(L61*($E61/365))</f>
        <v>0</v>
      </c>
      <c r="D178" s="5">
        <f>(M60*($E60/365))+(M61*($E61/365))</f>
        <v>100</v>
      </c>
      <c r="E178" s="18">
        <f t="shared" si="51"/>
        <v>100</v>
      </c>
      <c r="G178" s="1">
        <v>1982</v>
      </c>
      <c r="H178" s="380">
        <f>(O60/$R60*100*($E60/365))+(O61/$R61*100*($E61/365))</f>
        <v>0</v>
      </c>
      <c r="I178" s="380"/>
      <c r="J178" s="380">
        <f>(P60/$R60*100*($E60/365))+(P61/$R61*100*($E61/365))</f>
        <v>0</v>
      </c>
      <c r="K178" s="380"/>
      <c r="L178" s="380">
        <f>(Q60/$R60*100*($E60/365))+(Q61/$R61*100*($E61/365))</f>
        <v>100</v>
      </c>
      <c r="M178" s="380"/>
      <c r="N178" s="379">
        <f t="shared" si="52"/>
        <v>100</v>
      </c>
      <c r="O178" s="379"/>
      <c r="R178" s="1">
        <v>1982</v>
      </c>
      <c r="S178" s="5">
        <f>(O60*($E60/365))+(O61*($E61/365))</f>
        <v>0</v>
      </c>
      <c r="T178" s="5">
        <f>(P60*($E60/365))+(P61*($E61/365))</f>
        <v>0</v>
      </c>
      <c r="U178" s="5">
        <f>(Q60*($E60/365))+(Q61*($E61/365))</f>
        <v>57.3</v>
      </c>
      <c r="V178" s="9"/>
      <c r="W178" s="5">
        <f t="shared" si="53"/>
        <v>57.3</v>
      </c>
    </row>
    <row r="179" spans="1:23" x14ac:dyDescent="0.15">
      <c r="A179" s="1">
        <v>1983</v>
      </c>
      <c r="B179" s="5">
        <f>(K62*($E62/365))+(K63*($E63/365))</f>
        <v>0</v>
      </c>
      <c r="C179" s="5">
        <f>(L62*($E62/365))+(L63*($E63/365))</f>
        <v>0</v>
      </c>
      <c r="D179" s="5">
        <f>(M62*($E62/365))+(M63*($E63/365))</f>
        <v>100</v>
      </c>
      <c r="E179" s="18">
        <f t="shared" si="51"/>
        <v>100</v>
      </c>
      <c r="G179" s="1">
        <v>1983</v>
      </c>
      <c r="H179" s="380">
        <f>(O62/$R62*100*($E62/365))+(O63/$R63*100*($E63/365))</f>
        <v>0</v>
      </c>
      <c r="I179" s="380"/>
      <c r="J179" s="380">
        <f>(P62/$R62*100*($E62/365))+(P63/$R63*100*($E63/365))</f>
        <v>0</v>
      </c>
      <c r="K179" s="380"/>
      <c r="L179" s="380">
        <f>(Q62/$R62*100*($E62/365))+(Q63/$R63*100*($E63/365))</f>
        <v>100</v>
      </c>
      <c r="M179" s="380"/>
      <c r="N179" s="379">
        <f t="shared" si="52"/>
        <v>100</v>
      </c>
      <c r="O179" s="379"/>
      <c r="R179" s="1">
        <v>1983</v>
      </c>
      <c r="S179" s="5">
        <f>(O62*($E62/365))+(O63*($E63/365))</f>
        <v>0</v>
      </c>
      <c r="T179" s="5">
        <f>(P62*($E62/365))+(P63*($E63/365))</f>
        <v>0</v>
      </c>
      <c r="U179" s="5">
        <f>(Q62*($E62/365))+(Q63*($E63/365))</f>
        <v>57.3</v>
      </c>
      <c r="V179" s="9"/>
      <c r="W179" s="5">
        <f t="shared" si="53"/>
        <v>57.3</v>
      </c>
    </row>
    <row r="180" spans="1:23" x14ac:dyDescent="0.15">
      <c r="A180" s="1">
        <v>1984</v>
      </c>
      <c r="B180" s="5">
        <f>(K64*($E64/366))+(K65*($E65/366))</f>
        <v>0</v>
      </c>
      <c r="C180" s="5">
        <f>(L64*($E64/366))+(L65*($E65/366))</f>
        <v>0</v>
      </c>
      <c r="D180" s="5">
        <f>(M64*($E64/366))+(M65*($E65/366))</f>
        <v>100</v>
      </c>
      <c r="E180" s="18">
        <f t="shared" si="51"/>
        <v>100</v>
      </c>
      <c r="G180" s="1">
        <v>1984</v>
      </c>
      <c r="H180" s="380">
        <f>(O64/$R64*100*($E64/366))+(O65/$R65*100*($E65/366))</f>
        <v>0</v>
      </c>
      <c r="I180" s="380"/>
      <c r="J180" s="380">
        <f>(P64/$R64*100*($E64/366))+(P65/$R65*100*($E65/366))</f>
        <v>0</v>
      </c>
      <c r="K180" s="380"/>
      <c r="L180" s="380">
        <f>(Q64/$R64*100*($E64/366))+(Q65/$R65*100*($E65/366))</f>
        <v>100</v>
      </c>
      <c r="M180" s="380"/>
      <c r="N180" s="379">
        <f t="shared" si="52"/>
        <v>100</v>
      </c>
      <c r="O180" s="379"/>
      <c r="R180" s="1">
        <v>1984</v>
      </c>
      <c r="S180" s="5">
        <f>(O64*($E64/366))+(O65*($E65/366))</f>
        <v>0</v>
      </c>
      <c r="T180" s="5">
        <f>(P64*($E64/366))+(P65*($E65/366))</f>
        <v>0</v>
      </c>
      <c r="U180" s="5">
        <f>(Q64*($E64/366))+(Q65*($E65/366))</f>
        <v>57.3</v>
      </c>
      <c r="V180" s="9"/>
      <c r="W180" s="5">
        <f t="shared" si="53"/>
        <v>57.3</v>
      </c>
    </row>
    <row r="181" spans="1:23" x14ac:dyDescent="0.15">
      <c r="A181" s="1">
        <v>1985</v>
      </c>
      <c r="B181" s="5">
        <f>(K66*($E66/365))+(K67*($E67/365))+(K68*($E68/365))</f>
        <v>0</v>
      </c>
      <c r="C181" s="5">
        <f>(L66*($E66/365))+(L67*($E67/365))+(L68*($E68/365))</f>
        <v>0</v>
      </c>
      <c r="D181" s="5">
        <f>(M66*($E66/365))+(M67*($E67/365))+(M68*($E68/365))</f>
        <v>100</v>
      </c>
      <c r="E181" s="18">
        <f t="shared" si="51"/>
        <v>100</v>
      </c>
      <c r="G181" s="1">
        <v>1985</v>
      </c>
      <c r="H181" s="380">
        <f>(O66/$R66*100*($E66/365))+(O67/$R67*100*($E67/365))+(O68/$R68*100*($E68/365))</f>
        <v>0</v>
      </c>
      <c r="I181" s="380"/>
      <c r="J181" s="380">
        <f>(P66/$R66*100*($E66/365))+(P67/$R67*100*($E67/365))+(P68/$R68*100*($E68/365))</f>
        <v>0</v>
      </c>
      <c r="K181" s="380"/>
      <c r="L181" s="380">
        <f>(Q66/$R66*100*($E66/365))+(Q67/$R67*100*($E67/365))+(Q68/$R68*100*($E68/365))</f>
        <v>100</v>
      </c>
      <c r="M181" s="380"/>
      <c r="N181" s="379">
        <f t="shared" si="52"/>
        <v>100</v>
      </c>
      <c r="O181" s="379"/>
      <c r="R181" s="1">
        <v>1985</v>
      </c>
      <c r="S181" s="5">
        <f>(O66*($E66/365))+(O67*($E67/365))+(O68*($E68/365))</f>
        <v>0</v>
      </c>
      <c r="T181" s="5">
        <f>(P66*($E66/365))+(P67*($E67/365))+(P68*($E68/365))</f>
        <v>0</v>
      </c>
      <c r="U181" s="5">
        <f>(Q66*($E66/365))+(Q67*($E67/365))+(Q68*($E68/365))</f>
        <v>55.228767123287668</v>
      </c>
      <c r="V181" s="9"/>
      <c r="W181" s="5">
        <f t="shared" si="53"/>
        <v>55.228767123287668</v>
      </c>
    </row>
    <row r="182" spans="1:23" x14ac:dyDescent="0.15">
      <c r="A182" s="1">
        <v>1986</v>
      </c>
      <c r="B182" s="5">
        <f>(K69*($E69/365))+(K70*($E70/365))</f>
        <v>0</v>
      </c>
      <c r="C182" s="5">
        <f>(L69*($E69/365))+(L70*($E70/365))</f>
        <v>0</v>
      </c>
      <c r="D182" s="5">
        <f>(M69*($E69/365))+(M70*($E70/365))</f>
        <v>100</v>
      </c>
      <c r="E182" s="18">
        <f t="shared" si="51"/>
        <v>100</v>
      </c>
      <c r="G182" s="1">
        <v>1986</v>
      </c>
      <c r="H182" s="380">
        <f>(O69/$R69*100*($E69/365))+(O70/$R70*100*($E70/365))</f>
        <v>0</v>
      </c>
      <c r="I182" s="380"/>
      <c r="J182" s="380">
        <f>(P69/$R69*100*($E69/365))+(P70/$R70*100*($E70/365))</f>
        <v>0</v>
      </c>
      <c r="K182" s="380"/>
      <c r="L182" s="380">
        <f>(Q69/$R69*100*($E69/365))+(Q70/$R70*100*($E70/365))</f>
        <v>100</v>
      </c>
      <c r="M182" s="380"/>
      <c r="N182" s="379">
        <f t="shared" si="52"/>
        <v>100</v>
      </c>
      <c r="O182" s="379"/>
      <c r="R182" s="1">
        <v>1986</v>
      </c>
      <c r="S182" s="5">
        <f>(O69*($E69/365))+(O70*($E70/365))</f>
        <v>0</v>
      </c>
      <c r="T182" s="5">
        <f>(P69*($E69/365))+(P70*($E70/365))</f>
        <v>0</v>
      </c>
      <c r="U182" s="5">
        <f>(Q69*($E69/365))+(Q70*($E70/365))</f>
        <v>53.7</v>
      </c>
      <c r="V182" s="9"/>
      <c r="W182" s="5">
        <f t="shared" si="53"/>
        <v>53.7</v>
      </c>
    </row>
    <row r="183" spans="1:23" x14ac:dyDescent="0.15">
      <c r="A183" s="1">
        <v>1987</v>
      </c>
      <c r="B183" s="5">
        <f>(K71*($E71/365))+(K72*($E72/365))</f>
        <v>0</v>
      </c>
      <c r="C183" s="5">
        <f>(L71*($E71/365))+(L72*($E72/365))</f>
        <v>0</v>
      </c>
      <c r="D183" s="5">
        <f>(M71*($E71/365))+(M72*($E72/365))</f>
        <v>100</v>
      </c>
      <c r="E183" s="18">
        <f t="shared" si="51"/>
        <v>100</v>
      </c>
      <c r="G183" s="1">
        <v>1987</v>
      </c>
      <c r="H183" s="380">
        <f>(O71/$R71*100*($E71/365))+(O72/$R72*100*($E72/365))</f>
        <v>0</v>
      </c>
      <c r="I183" s="380"/>
      <c r="J183" s="380">
        <f>(P71/$R71*100*($E71/365))+(P72/$R72*100*($E72/365))</f>
        <v>0</v>
      </c>
      <c r="K183" s="380"/>
      <c r="L183" s="380">
        <f>(Q71/$R71*100*($E71/365))+(Q72/$R72*100*($E72/365))</f>
        <v>100</v>
      </c>
      <c r="M183" s="380"/>
      <c r="N183" s="379">
        <f t="shared" si="52"/>
        <v>100</v>
      </c>
      <c r="O183" s="379"/>
      <c r="R183" s="1">
        <v>1987</v>
      </c>
      <c r="S183" s="5">
        <f>(O71*($E71/365))+(O72*($E72/365))</f>
        <v>0</v>
      </c>
      <c r="T183" s="5">
        <f>(P71*($E71/365))+(P72*($E72/365))</f>
        <v>0</v>
      </c>
      <c r="U183" s="5">
        <f>(Q71*($E71/365))+(Q72*($E72/365))</f>
        <v>53.7</v>
      </c>
      <c r="V183" s="9"/>
      <c r="W183" s="5">
        <f t="shared" si="53"/>
        <v>53.7</v>
      </c>
    </row>
    <row r="184" spans="1:23" x14ac:dyDescent="0.15">
      <c r="A184" s="1">
        <v>1988</v>
      </c>
      <c r="B184" s="5">
        <f>(K73*($E73/366))+(K74*($E74/366))</f>
        <v>0</v>
      </c>
      <c r="C184" s="5">
        <f>(L73*($E73/366))+(L74*($E74/366))</f>
        <v>0</v>
      </c>
      <c r="D184" s="5">
        <f>(M73*($E73/366))+(M74*($E74/366))</f>
        <v>100</v>
      </c>
      <c r="E184" s="18">
        <f t="shared" si="51"/>
        <v>100</v>
      </c>
      <c r="G184" s="1">
        <v>1988</v>
      </c>
      <c r="H184" s="380">
        <f>(O73/$R73*100*($E73/366))+(O74/$R74*100*($E74/366))</f>
        <v>0</v>
      </c>
      <c r="I184" s="380"/>
      <c r="J184" s="380">
        <f>(P73/$R73*100*($E73/366))+(P74/$R74*100*($E74/366))</f>
        <v>0</v>
      </c>
      <c r="K184" s="380"/>
      <c r="L184" s="380">
        <f>(Q73/$R73*100*($E73/366))+(Q74/$R74*100*($E74/366))</f>
        <v>100</v>
      </c>
      <c r="M184" s="380"/>
      <c r="N184" s="379">
        <f t="shared" si="52"/>
        <v>100</v>
      </c>
      <c r="O184" s="379"/>
      <c r="R184" s="1">
        <v>1988</v>
      </c>
      <c r="S184" s="5">
        <f>(O73*($E73/366))+(O74*($E74/366))</f>
        <v>0</v>
      </c>
      <c r="T184" s="5">
        <f>(P73*($E73/366))+(P74*($E74/366))</f>
        <v>0</v>
      </c>
      <c r="U184" s="5">
        <f>(Q73*($E73/366))+(Q74*($E74/366))</f>
        <v>53.7</v>
      </c>
      <c r="W184" s="5">
        <f t="shared" si="53"/>
        <v>53.7</v>
      </c>
    </row>
    <row r="185" spans="1:23" x14ac:dyDescent="0.15">
      <c r="A185" s="1">
        <v>1989</v>
      </c>
      <c r="B185" s="5">
        <f>(K75*($E75/365))+(K76*($E76/365))+(K77*($E77/365))+(K78*($E78/365))</f>
        <v>28.646303071556201</v>
      </c>
      <c r="C185" s="5">
        <f>(L75*($E75/365))+(L76*($E76/365))+(L77*($E77/365))+(L78*($E78/365))</f>
        <v>0</v>
      </c>
      <c r="D185" s="5">
        <f>(M75*($E75/365))+(M76*($E76/365))+(M77*($E77/365))+(M78*($E78/365))</f>
        <v>55.945999602938258</v>
      </c>
      <c r="E185" s="18">
        <f t="shared" si="51"/>
        <v>84.592302674494462</v>
      </c>
      <c r="G185" s="1">
        <v>1989</v>
      </c>
      <c r="H185" s="380">
        <f>(O75/$R75*100*($E75/365))+(O76/$R76*100*($E76/365))+(O78/$R78*100*($E78/365))</f>
        <v>28.874044682641507</v>
      </c>
      <c r="I185" s="380"/>
      <c r="J185" s="380">
        <f>(P75/$R75*100*($E75/365))+(P76/$R76*100*($E76/365))+(P78/$R78*100*($E78/365))</f>
        <v>0</v>
      </c>
      <c r="K185" s="380"/>
      <c r="L185" s="380">
        <f>(Q75/$R75*100*($E75/365))+(Q76/$R76*100*($E76/365))+(Q78/$R78*100*($E78/365))</f>
        <v>59.893078605029736</v>
      </c>
      <c r="M185" s="380"/>
      <c r="N185" s="379">
        <f t="shared" si="52"/>
        <v>88.767123287671239</v>
      </c>
      <c r="O185" s="379"/>
      <c r="R185" s="1">
        <v>1989</v>
      </c>
      <c r="S185" s="5">
        <f>(O75*($E75/365))+(O76*($E76/365))+(O77*($E77/365))+(O78*($E78/365))</f>
        <v>18.90027397260274</v>
      </c>
      <c r="T185" s="5">
        <f>(P75*($E75/365))+(P76*($E76/365))+(P77*($E77/365))+(P78*($E78/365))</f>
        <v>0</v>
      </c>
      <c r="U185" s="5">
        <f>(Q75*($E75/365))+(Q76*($E76/365))+(Q77*($E77/365))+(Q78*($E78/365))</f>
        <v>34.854794520547948</v>
      </c>
      <c r="W185" s="5">
        <f t="shared" si="53"/>
        <v>53.755068493150688</v>
      </c>
    </row>
    <row r="186" spans="1:23" x14ac:dyDescent="0.15">
      <c r="A186" s="1">
        <v>1990</v>
      </c>
      <c r="B186" s="5">
        <f>(K79*($E79/365))+(K80*($E80/365))+(K81*($E81/365))</f>
        <v>75.968688845401175</v>
      </c>
      <c r="C186" s="5">
        <f>(L79*($E79/365))+(L80*($E80/365))+(L81*($E81/365))</f>
        <v>0</v>
      </c>
      <c r="D186" s="5">
        <f>(M79*($E79/365))+(M80*($E80/365))+(M81*($E81/365))</f>
        <v>3.926940639269406</v>
      </c>
      <c r="E186" s="18">
        <f t="shared" si="51"/>
        <v>79.895629484670579</v>
      </c>
      <c r="G186" s="1">
        <v>1990</v>
      </c>
      <c r="H186" s="380">
        <f>(O79/$R79*100*($E79/365))+(O81/$R81*100*($E81/365))</f>
        <v>78.451627143428652</v>
      </c>
      <c r="I186" s="380"/>
      <c r="J186" s="380">
        <f>(P79/$R79*100*($E79/365))+(P81/$R81*100*($E81/365))</f>
        <v>0</v>
      </c>
      <c r="K186" s="380"/>
      <c r="L186" s="380">
        <f>(Q79/$R79*100*($E79/365))+(Q81/$R81*100*($E81/365))</f>
        <v>5.9319345004069577</v>
      </c>
      <c r="M186" s="380"/>
      <c r="N186" s="379">
        <f t="shared" si="52"/>
        <v>84.383561643835606</v>
      </c>
      <c r="O186" s="379"/>
      <c r="R186" s="1">
        <v>1990</v>
      </c>
      <c r="S186" s="5">
        <f>(O79*($E79/365))+(O80*($E80/365))+(O81*($E81/365))</f>
        <v>42.327123287671228</v>
      </c>
      <c r="T186" s="5">
        <f>(P79*($E79/365))+(P80*($E80/365))+(P81*($E81/365))</f>
        <v>0</v>
      </c>
      <c r="U186" s="5">
        <f>(Q79*($E79/365))+(Q80*($E80/365))+(Q81*($E81/365))</f>
        <v>5.89041095890411</v>
      </c>
      <c r="W186" s="5">
        <f t="shared" si="53"/>
        <v>48.21753424657534</v>
      </c>
    </row>
    <row r="187" spans="1:23" x14ac:dyDescent="0.15">
      <c r="A187" s="1">
        <v>1991</v>
      </c>
      <c r="B187" s="5">
        <f>(K82*($E82/365))+(K83*($E83/365))</f>
        <v>100</v>
      </c>
      <c r="C187" s="5">
        <f>(L82*($E82/365))+(L83*($E83/365))</f>
        <v>0</v>
      </c>
      <c r="D187" s="5">
        <f>(M82*($E82/365))+(M83*($E83/365))</f>
        <v>0</v>
      </c>
      <c r="E187" s="18">
        <f t="shared" si="51"/>
        <v>100</v>
      </c>
      <c r="G187" s="1">
        <v>1991</v>
      </c>
      <c r="H187" s="380">
        <f>(O82/$R82*100*($E82/365))+(O83/$R83*100*($E83/365))</f>
        <v>100</v>
      </c>
      <c r="I187" s="380"/>
      <c r="J187" s="380">
        <f>(P82/$R82*100*($E82/365))+(P83/$R83*100*($E83/365))</f>
        <v>0</v>
      </c>
      <c r="K187" s="380"/>
      <c r="L187" s="380">
        <f>(Q82/$R82*100*($E82/365))+(Q83/$R83*100*($E83/365))</f>
        <v>0</v>
      </c>
      <c r="M187" s="380"/>
      <c r="N187" s="379">
        <f t="shared" si="52"/>
        <v>100</v>
      </c>
      <c r="O187" s="379"/>
      <c r="R187" s="1">
        <v>1991</v>
      </c>
      <c r="S187" s="5">
        <f>(O82*($E82/365))+(O83*($E83/365))</f>
        <v>50.3</v>
      </c>
      <c r="T187" s="5">
        <f>(P82*($E82/365))+(P83*($E83/365))</f>
        <v>0</v>
      </c>
      <c r="U187" s="5">
        <f>(Q82*($E82/365))+(Q83*($E83/365))</f>
        <v>0</v>
      </c>
      <c r="W187" s="5">
        <f t="shared" si="53"/>
        <v>50.3</v>
      </c>
    </row>
    <row r="188" spans="1:23" x14ac:dyDescent="0.15">
      <c r="A188" s="1">
        <v>1992</v>
      </c>
      <c r="B188" s="5">
        <f>(K84*($E84/366))+(K85*($E85/366))</f>
        <v>100</v>
      </c>
      <c r="C188" s="5">
        <f>(L84*($E84/366))+(L85*($E85/366))</f>
        <v>0</v>
      </c>
      <c r="D188" s="5">
        <f>(M84*($E84/366))+(M85*($E85/366))</f>
        <v>0</v>
      </c>
      <c r="E188" s="18">
        <f t="shared" si="51"/>
        <v>100</v>
      </c>
      <c r="G188" s="1">
        <v>1992</v>
      </c>
      <c r="H188" s="380">
        <f>(O84/$R84*100*($E84/366))+(O85/$R85*100*($E85/366))</f>
        <v>100</v>
      </c>
      <c r="I188" s="380"/>
      <c r="J188" s="380">
        <f>(P84/$R84*100*($E84/366))+(P85/$R85*100*($E85/366))</f>
        <v>0</v>
      </c>
      <c r="K188" s="380"/>
      <c r="L188" s="380">
        <f>(Q84/$R84*100*($E84/366))+(Q85/$R85*100*($E85/366))</f>
        <v>0</v>
      </c>
      <c r="M188" s="380"/>
      <c r="N188" s="379">
        <f t="shared" si="52"/>
        <v>100</v>
      </c>
      <c r="O188" s="379"/>
      <c r="R188" s="1">
        <v>1992</v>
      </c>
      <c r="S188" s="5">
        <f>(O84*($E84/366))+(O85*($E85/366))</f>
        <v>50.3</v>
      </c>
      <c r="T188" s="5">
        <f>(P84*($E84/366))+(P85*($E85/366))</f>
        <v>0</v>
      </c>
      <c r="U188" s="5">
        <f>(Q84*($E84/366))+(Q85*($E85/366))</f>
        <v>0</v>
      </c>
      <c r="W188" s="5">
        <f t="shared" si="53"/>
        <v>50.3</v>
      </c>
    </row>
    <row r="189" spans="1:23" x14ac:dyDescent="0.15">
      <c r="A189" s="1">
        <v>1993</v>
      </c>
      <c r="B189" s="5">
        <f>(K86*($E86/365))+(K87*($E87/365))</f>
        <v>81.369863013698634</v>
      </c>
      <c r="C189" s="5">
        <f>(L86*($E86/365))+(L87*($E87/365))</f>
        <v>0</v>
      </c>
      <c r="D189" s="5">
        <f>(M86*($E86/365))+(M87*($E87/365))</f>
        <v>18.63013698630137</v>
      </c>
      <c r="E189" s="18">
        <f t="shared" si="51"/>
        <v>100</v>
      </c>
      <c r="G189" s="1">
        <v>1993</v>
      </c>
      <c r="H189" s="380">
        <f>(O86/$R86*100*($E86/365))+(O87/$R87*100*($E87/365))</f>
        <v>81.369863013698634</v>
      </c>
      <c r="I189" s="380"/>
      <c r="J189" s="380">
        <f>(P86/$R86*100*($E86/365))+(P87/$R87*100*($E87/365))</f>
        <v>0</v>
      </c>
      <c r="K189" s="380"/>
      <c r="L189" s="380">
        <f>(Q86/$R86*100*($E86/365))+(Q87/$R87*100*($E87/365))</f>
        <v>18.63013698630137</v>
      </c>
      <c r="M189" s="380"/>
      <c r="N189" s="379">
        <f t="shared" si="52"/>
        <v>100</v>
      </c>
      <c r="O189" s="379"/>
      <c r="R189" s="1">
        <v>1993</v>
      </c>
      <c r="S189" s="5">
        <f>(O86*($E86/365))+(O87*($E87/365))</f>
        <v>40.929041095890405</v>
      </c>
      <c r="T189" s="5">
        <f>(P86*($E86/365))+(P87*($E87/365))</f>
        <v>0</v>
      </c>
      <c r="U189" s="5">
        <f>(Q86*($E86/365))+(Q87*($E87/365))</f>
        <v>10.563287671232878</v>
      </c>
      <c r="W189" s="5">
        <f t="shared" si="53"/>
        <v>51.492328767123283</v>
      </c>
    </row>
    <row r="190" spans="1:23" x14ac:dyDescent="0.15">
      <c r="A190" s="1">
        <v>1994</v>
      </c>
      <c r="B190" s="5">
        <f>(K88*($E88/365))+(K89*($E89/365))</f>
        <v>0</v>
      </c>
      <c r="C190" s="5">
        <f>(L88*($E88/365))+(L89*($E89/365))</f>
        <v>0</v>
      </c>
      <c r="D190" s="5">
        <f>(M88*($E88/365))+(M89*($E89/365))</f>
        <v>100</v>
      </c>
      <c r="E190" s="18">
        <f t="shared" si="51"/>
        <v>100</v>
      </c>
      <c r="G190" s="1">
        <v>1994</v>
      </c>
      <c r="H190" s="380">
        <f>(O88/$R88*100*($E88/365))+(O89/$R89*100*($E89/365))</f>
        <v>0</v>
      </c>
      <c r="I190" s="380"/>
      <c r="J190" s="380">
        <f>(P88/$R88*100*($E88/365))+(P89/$R89*100*($E89/365))</f>
        <v>0</v>
      </c>
      <c r="K190" s="380"/>
      <c r="L190" s="380">
        <f>(Q88/$R88*100*($E88/365))+(Q89/$R89*100*($E89/365))</f>
        <v>100</v>
      </c>
      <c r="M190" s="380"/>
      <c r="N190" s="379">
        <f t="shared" si="52"/>
        <v>100</v>
      </c>
      <c r="O190" s="379"/>
      <c r="R190" s="1">
        <v>1994</v>
      </c>
      <c r="S190" s="5">
        <f>(O88*($E88/365))+(O89*($E89/365))</f>
        <v>0</v>
      </c>
      <c r="T190" s="5">
        <f>(P88*($E88/365))+(P89*($E89/365))</f>
        <v>0</v>
      </c>
      <c r="U190" s="5">
        <f>(Q88*($E88/365))+(Q89*($E89/365))</f>
        <v>56.7</v>
      </c>
      <c r="W190" s="5">
        <f t="shared" si="53"/>
        <v>56.7</v>
      </c>
    </row>
    <row r="191" spans="1:23" x14ac:dyDescent="0.15">
      <c r="A191" s="1">
        <v>1995</v>
      </c>
      <c r="B191" s="5">
        <f>(K90*($E90/365))+(K91*($E91/365))</f>
        <v>0</v>
      </c>
      <c r="C191" s="5">
        <f>(L90*($E90/365))+(L91*($E91/365))</f>
        <v>0</v>
      </c>
      <c r="D191" s="5">
        <f>(M90*($E90/365))+(M91*($E91/365))</f>
        <v>100</v>
      </c>
      <c r="E191" s="18">
        <f t="shared" si="51"/>
        <v>100</v>
      </c>
      <c r="G191" s="1">
        <v>1995</v>
      </c>
      <c r="H191" s="380">
        <f>(O90/$R90*100*($E90/365))+(O91/$R91*100*($E91/365))</f>
        <v>0</v>
      </c>
      <c r="I191" s="380"/>
      <c r="J191" s="380">
        <f>(P90/$R90*100*($E90/365))+(P91/$R91*100*($E91/365))</f>
        <v>0</v>
      </c>
      <c r="K191" s="380"/>
      <c r="L191" s="380">
        <f>(Q90/$R90*100*($E90/365))+(Q91/$R91*100*($E91/365))</f>
        <v>100</v>
      </c>
      <c r="M191" s="380"/>
      <c r="N191" s="379">
        <f t="shared" si="52"/>
        <v>100</v>
      </c>
      <c r="O191" s="379"/>
      <c r="R191" s="1">
        <v>1995</v>
      </c>
      <c r="S191" s="5">
        <f>(O90*($E90/365))+(O91*($E91/365))</f>
        <v>0</v>
      </c>
      <c r="T191" s="5">
        <f>(P90*($E90/365))+(P91*($E91/365))</f>
        <v>0</v>
      </c>
      <c r="U191" s="5">
        <f>(Q90*($E90/365))+(Q91*($E91/365))</f>
        <v>56.7</v>
      </c>
      <c r="W191" s="5">
        <f t="shared" si="53"/>
        <v>56.7</v>
      </c>
    </row>
    <row r="192" spans="1:23" x14ac:dyDescent="0.15">
      <c r="A192" s="1">
        <v>1996</v>
      </c>
      <c r="B192" s="5">
        <f>(K92*($E92/366))+(K93*($E93/366))+(K94*($E94/366))</f>
        <v>0</v>
      </c>
      <c r="C192" s="5">
        <f>(L92*($E92/366))+(L93*($E93/366))+(L94*($E94/366))</f>
        <v>0</v>
      </c>
      <c r="D192" s="5">
        <f>(M92*($E92/366))+(M93*($E93/366))+(M94*($E94/366))</f>
        <v>100</v>
      </c>
      <c r="E192" s="18">
        <f t="shared" si="51"/>
        <v>100</v>
      </c>
      <c r="G192" s="1">
        <v>1996</v>
      </c>
      <c r="H192" s="380">
        <f>(O92/$R92*100*($E92/366))+(O93/$R93*100*($E93/366))+(O94/$R94*100*($E94/366))</f>
        <v>0</v>
      </c>
      <c r="I192" s="380"/>
      <c r="J192" s="380">
        <f>(P92/$R92*100*($E92/366))+(P93/$R93*100*($E93/366))+(P94/$R94*100*($E94/366))</f>
        <v>0</v>
      </c>
      <c r="K192" s="380"/>
      <c r="L192" s="380">
        <f>(Q92/$R92*100*($E92/366))+(Q93/$R93*100*($E93/366))+(Q94/$R94*100*($E94/366))</f>
        <v>100</v>
      </c>
      <c r="M192" s="380"/>
      <c r="N192" s="379">
        <f t="shared" si="52"/>
        <v>100</v>
      </c>
      <c r="O192" s="379"/>
      <c r="R192" s="1">
        <v>1996</v>
      </c>
      <c r="S192" s="5">
        <f>(O92*($E92/366))+(O93*($E93/366))+(O94*($E94/366))</f>
        <v>0</v>
      </c>
      <c r="T192" s="5">
        <f>(P92*($E92/366))+(P93*($E93/366))+(P94*($E94/366))</f>
        <v>0</v>
      </c>
      <c r="U192" s="5">
        <f>(Q92*($E92/366))+(Q93*($E93/366))+(Q94*($E94/366))</f>
        <v>54.228688524590169</v>
      </c>
      <c r="W192" s="5">
        <f t="shared" si="53"/>
        <v>54.228688524590169</v>
      </c>
    </row>
    <row r="193" spans="1:23" x14ac:dyDescent="0.15">
      <c r="A193" s="1">
        <v>1997</v>
      </c>
      <c r="B193" s="5">
        <f>(K95*($E95/365))+(K96*($E96/365))</f>
        <v>0</v>
      </c>
      <c r="C193" s="5">
        <f>(L95*($E95/365))+(L96*($E96/365))</f>
        <v>0</v>
      </c>
      <c r="D193" s="5">
        <f>(M95*($E95/365))+(M96*($E96/365))</f>
        <v>100</v>
      </c>
      <c r="E193" s="18">
        <f t="shared" si="51"/>
        <v>100</v>
      </c>
      <c r="G193" s="1">
        <v>1997</v>
      </c>
      <c r="H193" s="380">
        <f>(O95/$R95*100*($E95/365))+(O96/$R96*100*($E96/365))</f>
        <v>0</v>
      </c>
      <c r="I193" s="380"/>
      <c r="J193" s="380">
        <f>(P95/$R95*100*($E95/365))+(P96/$R96*100*($E96/365))</f>
        <v>0</v>
      </c>
      <c r="K193" s="380"/>
      <c r="L193" s="380">
        <f>(Q95/$R95*100*($E95/365))+(Q96/$R96*100*($E96/365))</f>
        <v>100</v>
      </c>
      <c r="M193" s="380"/>
      <c r="N193" s="379">
        <f t="shared" si="52"/>
        <v>100</v>
      </c>
      <c r="O193" s="379"/>
      <c r="R193" s="1">
        <v>1997</v>
      </c>
      <c r="S193" s="5">
        <f>(O95*($E95/365))+(O96*($E96/365))</f>
        <v>0</v>
      </c>
      <c r="T193" s="5">
        <f>(P95*($E95/365))+(P96*($E96/365))</f>
        <v>0</v>
      </c>
      <c r="U193" s="5">
        <f>(Q95*($E95/365))+(Q96*($E96/365))</f>
        <v>54</v>
      </c>
      <c r="W193" s="5">
        <f t="shared" si="53"/>
        <v>54</v>
      </c>
    </row>
    <row r="194" spans="1:23" x14ac:dyDescent="0.15">
      <c r="A194" s="1">
        <v>1998</v>
      </c>
      <c r="B194" s="5">
        <f>(K97*($E97/365))+(K98*($E98/365))</f>
        <v>0</v>
      </c>
      <c r="C194" s="5">
        <f>(L97*($E97/365))+(L98*($E98/365))</f>
        <v>0</v>
      </c>
      <c r="D194" s="5">
        <f>(M97*($E97/365))+(M98*($E98/365))</f>
        <v>100</v>
      </c>
      <c r="E194" s="18">
        <f t="shared" si="51"/>
        <v>100</v>
      </c>
      <c r="G194" s="1">
        <v>1998</v>
      </c>
      <c r="H194" s="380">
        <f>(O97/$R97*100*($E97/365))+(O98/$R98*100*($E98/365))</f>
        <v>0</v>
      </c>
      <c r="I194" s="380"/>
      <c r="J194" s="380">
        <f>(P97/$R97*100*($E97/365))+(P98/$R98*100*($E98/365))</f>
        <v>0</v>
      </c>
      <c r="K194" s="380"/>
      <c r="L194" s="380">
        <f>(Q97/$R97*100*($E97/365))+(Q98/$R98*100*($E98/365))</f>
        <v>100</v>
      </c>
      <c r="M194" s="380"/>
      <c r="N194" s="379">
        <f t="shared" si="52"/>
        <v>100</v>
      </c>
      <c r="O194" s="379"/>
      <c r="R194" s="1">
        <v>1998</v>
      </c>
      <c r="S194" s="5">
        <f>(O97*($E97/365))+(O98*($E98/365))</f>
        <v>0</v>
      </c>
      <c r="T194" s="5">
        <f>(P97*($E97/365))+(P98*($E98/365))</f>
        <v>0</v>
      </c>
      <c r="U194" s="5">
        <f>(Q97*($E97/365))+(Q98*($E98/365))</f>
        <v>54</v>
      </c>
      <c r="W194" s="5">
        <f t="shared" si="53"/>
        <v>54</v>
      </c>
    </row>
    <row r="195" spans="1:23" x14ac:dyDescent="0.15">
      <c r="A195" s="1">
        <v>1999</v>
      </c>
      <c r="B195" s="5">
        <f>(K99*($E99/365))+(K100*($E100/365))</f>
        <v>0</v>
      </c>
      <c r="C195" s="5">
        <f>(L99*($E99/365))+(L100*($E100/365))</f>
        <v>0</v>
      </c>
      <c r="D195" s="5">
        <f>(M99*($E99/365))+(M100*($E100/365))</f>
        <v>100</v>
      </c>
      <c r="E195" s="18">
        <f t="shared" si="51"/>
        <v>100</v>
      </c>
      <c r="G195" s="1">
        <v>1999</v>
      </c>
      <c r="H195" s="380">
        <f>(O99/$R99*100*($E99/365))+(O100/$R100*100*($E100/365))</f>
        <v>0</v>
      </c>
      <c r="I195" s="380"/>
      <c r="J195" s="380">
        <f>(P99/$R99*100*($E99/365))+(P100/$R100*100*($E100/365))</f>
        <v>0</v>
      </c>
      <c r="K195" s="380"/>
      <c r="L195" s="380">
        <f>(Q99/$R99*100*($E99/365))+(Q100/$R100*100*($E100/365))</f>
        <v>100</v>
      </c>
      <c r="M195" s="380"/>
      <c r="N195" s="379">
        <f t="shared" si="52"/>
        <v>100</v>
      </c>
      <c r="O195" s="379"/>
      <c r="R195" s="1">
        <v>1999</v>
      </c>
      <c r="S195" s="5">
        <f>(O99*($E99/365))+(O100*($E100/365))</f>
        <v>0</v>
      </c>
      <c r="T195" s="5">
        <f>(P99*($E99/365))+(P100*($E100/365))</f>
        <v>0</v>
      </c>
      <c r="U195" s="5">
        <f>(Q99*($E99/365))+(Q100*($E100/365))</f>
        <v>54</v>
      </c>
      <c r="W195" s="5">
        <f t="shared" si="53"/>
        <v>54</v>
      </c>
    </row>
    <row r="196" spans="1:23" x14ac:dyDescent="0.15">
      <c r="A196" s="1">
        <v>2000</v>
      </c>
      <c r="B196" s="5">
        <f>(K101*($E101/366))+(K102*($E102/366))</f>
        <v>0</v>
      </c>
      <c r="C196" s="5">
        <f>(L101*($E101/366))+(L102*($E102/366))</f>
        <v>0</v>
      </c>
      <c r="D196" s="5">
        <f>(M101*($E101/366))+(M102*($E102/366))</f>
        <v>100</v>
      </c>
      <c r="E196" s="18">
        <f t="shared" si="51"/>
        <v>100</v>
      </c>
      <c r="G196" s="1">
        <v>2000</v>
      </c>
      <c r="H196" s="380">
        <f>(O101/$R101*100*($E101/366))+(O102/$R102*100*($E102/366))</f>
        <v>0</v>
      </c>
      <c r="I196" s="380"/>
      <c r="J196" s="380">
        <f>(P101/$R101*100*($E101/366))+(P102/$R102*100*($E102/366))</f>
        <v>0</v>
      </c>
      <c r="K196" s="380"/>
      <c r="L196" s="380">
        <f>(Q101/$R101*100*($E101/366))+(Q102/$R102*100*($E102/366))</f>
        <v>100</v>
      </c>
      <c r="M196" s="380"/>
      <c r="N196" s="379">
        <f t="shared" si="52"/>
        <v>100</v>
      </c>
      <c r="O196" s="379"/>
      <c r="R196" s="1">
        <v>2000</v>
      </c>
      <c r="S196" s="5">
        <f>(O101*($E101/366))+(O102*($E102/366))</f>
        <v>0</v>
      </c>
      <c r="T196" s="5">
        <f>(P101*($E101/366))+(P102*($E102/366))</f>
        <v>0</v>
      </c>
      <c r="U196" s="5">
        <f>(Q101*($E101/366))+(Q102*($E102/366))</f>
        <v>53.108469945355196</v>
      </c>
      <c r="W196" s="5">
        <f t="shared" si="53"/>
        <v>53.108469945355196</v>
      </c>
    </row>
    <row r="197" spans="1:23" x14ac:dyDescent="0.15">
      <c r="A197" s="1">
        <v>2001</v>
      </c>
      <c r="B197" s="5">
        <f>(K103*($E103/365))+(K104*($E104/365))</f>
        <v>0</v>
      </c>
      <c r="C197" s="5">
        <f>(L103*($E103/365))+(L104*($E104/365))</f>
        <v>0</v>
      </c>
      <c r="D197" s="5">
        <f>(M103*($E103/365))+(M104*($E104/365))</f>
        <v>100</v>
      </c>
      <c r="E197" s="18">
        <f t="shared" si="51"/>
        <v>100</v>
      </c>
      <c r="G197" s="1">
        <v>2001</v>
      </c>
      <c r="H197" s="380">
        <f>(O103/$R103*100*($E103/365))+(O104/$R104*100*($E104/365))</f>
        <v>0</v>
      </c>
      <c r="I197" s="380"/>
      <c r="J197" s="380">
        <f>(P103/$R103*100*($E103/365))+(P104/$R104*100*($E104/365))</f>
        <v>0</v>
      </c>
      <c r="K197" s="380"/>
      <c r="L197" s="380">
        <f>(Q103/$R103*100*($E103/365))+(Q104/$R104*100*($E104/365))</f>
        <v>100</v>
      </c>
      <c r="M197" s="380"/>
      <c r="N197" s="379">
        <f t="shared" si="52"/>
        <v>100</v>
      </c>
      <c r="O197" s="379"/>
      <c r="R197" s="1">
        <v>2001</v>
      </c>
      <c r="S197" s="5">
        <f>(O103*($E103/365))+(O104*($E104/365))</f>
        <v>0</v>
      </c>
      <c r="T197" s="5">
        <f>(P103*($E103/365))+(P104*($E104/365))</f>
        <v>0</v>
      </c>
      <c r="U197" s="5">
        <f>(Q103*($E103/365))+(Q104*($E104/365))</f>
        <v>52.7</v>
      </c>
      <c r="W197" s="5">
        <f t="shared" si="53"/>
        <v>52.7</v>
      </c>
    </row>
    <row r="198" spans="1:23" x14ac:dyDescent="0.15">
      <c r="A198" s="1">
        <v>2002</v>
      </c>
      <c r="B198" s="5">
        <f>(K105*($E105/365))+(K106*($E106/365))</f>
        <v>0</v>
      </c>
      <c r="C198" s="5">
        <f>(L105*($E105/365))+(L106*($E106/365))</f>
        <v>0</v>
      </c>
      <c r="D198" s="5">
        <f>(M105*($E105/365))+(M106*($E106/365))</f>
        <v>100</v>
      </c>
      <c r="E198" s="18">
        <f t="shared" si="51"/>
        <v>100</v>
      </c>
      <c r="G198" s="1">
        <v>2002</v>
      </c>
      <c r="H198" s="380">
        <f>(O105/$R105*100*($E105/365))+(O106/$R106*100*($E106/365))</f>
        <v>0</v>
      </c>
      <c r="I198" s="380"/>
      <c r="J198" s="380">
        <f>(P105/$R105*100*($E105/365))+(P106/$R106*100*($E106/365))</f>
        <v>0</v>
      </c>
      <c r="K198" s="380"/>
      <c r="L198" s="380">
        <f>(Q105/$R105*100*($E105/365))+(Q106/$R106*100*($E106/365))</f>
        <v>100</v>
      </c>
      <c r="M198" s="380"/>
      <c r="N198" s="379">
        <f t="shared" si="52"/>
        <v>100</v>
      </c>
      <c r="O198" s="379"/>
      <c r="R198" s="1">
        <v>2002</v>
      </c>
      <c r="S198" s="5">
        <f>(O105*($E105/365))+(O106*($E106/365))</f>
        <v>0</v>
      </c>
      <c r="T198" s="5">
        <f>(P105*($E105/365))+(P106*($E106/365))</f>
        <v>0</v>
      </c>
      <c r="U198" s="5">
        <f>(Q105*($E105/365))+(Q106*($E106/365))</f>
        <v>52.7</v>
      </c>
      <c r="W198" s="5">
        <f t="shared" si="53"/>
        <v>52.7</v>
      </c>
    </row>
    <row r="199" spans="1:23" x14ac:dyDescent="0.15">
      <c r="A199" s="1">
        <v>2003</v>
      </c>
      <c r="B199" s="5">
        <f>(K107*($E107/365))+(K108*($E108/365))</f>
        <v>0</v>
      </c>
      <c r="C199" s="5">
        <f>(L107*($E107/365))+(L108*($E108/365))</f>
        <v>0</v>
      </c>
      <c r="D199" s="5">
        <f>(M107*($E107/365))+(M108*($E108/365))</f>
        <v>100</v>
      </c>
      <c r="E199" s="18">
        <f t="shared" si="51"/>
        <v>100</v>
      </c>
      <c r="G199" s="1">
        <v>2003</v>
      </c>
      <c r="H199" s="380">
        <f>(O107/$R107*100*($E107/365))+(O108/$R108*100*($E108/365))</f>
        <v>0</v>
      </c>
      <c r="I199" s="380"/>
      <c r="J199" s="380">
        <f>(P107/$R107*100*($E107/365))+(P108/$R108*100*($E108/365))</f>
        <v>0</v>
      </c>
      <c r="K199" s="380"/>
      <c r="L199" s="380">
        <f>(Q107/$R107*100*($E107/365))+(Q108/$R108*100*($E108/365))</f>
        <v>100</v>
      </c>
      <c r="M199" s="380"/>
      <c r="N199" s="379">
        <f t="shared" si="52"/>
        <v>100</v>
      </c>
      <c r="O199" s="379"/>
      <c r="R199" s="1">
        <v>2003</v>
      </c>
      <c r="S199" s="5">
        <f>(O107*($E107/365))+(O108*($E108/365))</f>
        <v>0</v>
      </c>
      <c r="T199" s="5">
        <f>(P107*($E107/365))+(P108*($E108/365))</f>
        <v>0</v>
      </c>
      <c r="U199" s="5">
        <f>(Q107*($E107/365))+(Q108*($E108/365))</f>
        <v>52.7</v>
      </c>
      <c r="W199" s="5">
        <f t="shared" si="53"/>
        <v>52.7</v>
      </c>
    </row>
    <row r="200" spans="1:23" x14ac:dyDescent="0.15">
      <c r="A200" s="1">
        <v>2004</v>
      </c>
      <c r="B200" s="5">
        <f>(K109*($E109/366))+(K110*($E110/366))</f>
        <v>77.595628415300538</v>
      </c>
      <c r="C200" s="5">
        <f>(L109*($E109/366))+(L110*($E110/366))</f>
        <v>0</v>
      </c>
      <c r="D200" s="5">
        <f>(M109*($E109/366))+(M110*($E110/366))</f>
        <v>22.404371584699454</v>
      </c>
      <c r="E200" s="18">
        <f t="shared" si="51"/>
        <v>100</v>
      </c>
      <c r="G200" s="1">
        <v>2004</v>
      </c>
      <c r="H200" s="380">
        <f>(O109/$R109*100*($E109/366))+(O110/$R110*100*($E110/366))</f>
        <v>77.595628415300538</v>
      </c>
      <c r="I200" s="380"/>
      <c r="J200" s="380">
        <f>(P109/$R109*100*($E109/366))+(P110/$R110*100*($E110/366))</f>
        <v>0</v>
      </c>
      <c r="K200" s="380"/>
      <c r="L200" s="380">
        <f>(Q109/$R109*100*($E109/366))+(Q110/$R110*100*($E110/366))</f>
        <v>22.404371584699454</v>
      </c>
      <c r="M200" s="380"/>
      <c r="N200" s="379">
        <f t="shared" si="52"/>
        <v>100</v>
      </c>
      <c r="O200" s="379"/>
      <c r="R200" s="1">
        <v>2004</v>
      </c>
      <c r="S200" s="5">
        <f>(O109*($E109/366))+(O110*($E110/366))</f>
        <v>42.677595628415297</v>
      </c>
      <c r="T200" s="5">
        <f>(P109*($E109/366))+(P110*($E110/366))</f>
        <v>0</v>
      </c>
      <c r="U200" s="5">
        <f>(Q109*($E109/366))+(Q110*($E110/366))</f>
        <v>11.807103825136613</v>
      </c>
      <c r="W200" s="5">
        <f t="shared" si="53"/>
        <v>54.484699453551912</v>
      </c>
    </row>
    <row r="201" spans="1:23" x14ac:dyDescent="0.15">
      <c r="A201" s="1">
        <v>2005</v>
      </c>
      <c r="B201" s="5">
        <f>(K111*($E111/365))+(K112*($E112/365))</f>
        <v>100</v>
      </c>
      <c r="C201" s="5">
        <f>(L111*($E111/365))+(L112*($E112/365))</f>
        <v>0</v>
      </c>
      <c r="D201" s="5">
        <f>(M111*($E111/365))+(M112*($E112/365))</f>
        <v>0</v>
      </c>
      <c r="E201" s="18">
        <f t="shared" si="51"/>
        <v>100</v>
      </c>
      <c r="G201" s="1">
        <v>2005</v>
      </c>
      <c r="H201" s="380">
        <f>(O111/$R111*100*($E111/365))+(O112/$R112*100*($E112/365))</f>
        <v>100</v>
      </c>
      <c r="I201" s="380"/>
      <c r="J201" s="380">
        <f>(P111/$R111*100*($E111/365))+(P112/$R112*100*($E112/365))</f>
        <v>0</v>
      </c>
      <c r="K201" s="380"/>
      <c r="L201" s="380">
        <f>(Q111/$R111*100*($E111/365))+(Q112/$R112*100*($E112/365))</f>
        <v>0</v>
      </c>
      <c r="M201" s="380"/>
      <c r="N201" s="379">
        <f t="shared" si="52"/>
        <v>100</v>
      </c>
      <c r="O201" s="379"/>
      <c r="R201" s="1">
        <v>2005</v>
      </c>
      <c r="S201" s="5">
        <f>(O111*($E111/365))+(O112*($E112/365))</f>
        <v>55</v>
      </c>
      <c r="T201" s="5">
        <f>(P111*($E111/365))+(P112*($E112/365))</f>
        <v>0</v>
      </c>
      <c r="U201" s="5">
        <f>(Q111*($E111/365))+(Q112*($E112/365))</f>
        <v>0</v>
      </c>
      <c r="W201" s="5">
        <f t="shared" si="53"/>
        <v>55</v>
      </c>
    </row>
    <row r="202" spans="1:23" x14ac:dyDescent="0.15">
      <c r="A202" s="1">
        <v>2006</v>
      </c>
      <c r="B202" s="5">
        <f>(K113*($E113/365))+(K114*($E114/365))</f>
        <v>100</v>
      </c>
      <c r="C202" s="5">
        <f>(L113*($E113/365))+(L114*($E114/365))</f>
        <v>0</v>
      </c>
      <c r="D202" s="5">
        <f>(M113*($E113/365))+(M114*($E114/365))</f>
        <v>0</v>
      </c>
      <c r="E202" s="18">
        <f t="shared" si="51"/>
        <v>100</v>
      </c>
      <c r="G202" s="1">
        <v>2006</v>
      </c>
      <c r="H202" s="380">
        <f>(O113/$R113*100*($E113/365))+(O114/$R114*100*($E114/365))</f>
        <v>100</v>
      </c>
      <c r="I202" s="380"/>
      <c r="J202" s="380">
        <f>(P113/$R113*100*($E113/365))+(P114/$R114*100*($E114/365))</f>
        <v>0</v>
      </c>
      <c r="K202" s="380"/>
      <c r="L202" s="380">
        <f>(Q113/$R113*100*($E113/365))+(Q114/$R114*100*($E114/365))</f>
        <v>0</v>
      </c>
      <c r="M202" s="380"/>
      <c r="N202" s="379">
        <f t="shared" si="52"/>
        <v>100</v>
      </c>
      <c r="O202" s="379"/>
      <c r="R202" s="1">
        <v>2006</v>
      </c>
      <c r="S202" s="5">
        <f>(O113*($E113/365))+(O114*($E114/365))</f>
        <v>55</v>
      </c>
      <c r="T202" s="5">
        <f>(P113*($E113/365))+(P114*($E114/365))</f>
        <v>0</v>
      </c>
      <c r="U202" s="5">
        <f>(Q113*($E113/365))+(Q114*($E114/365))</f>
        <v>0</v>
      </c>
      <c r="W202" s="5">
        <f t="shared" si="53"/>
        <v>55</v>
      </c>
    </row>
    <row r="203" spans="1:23" x14ac:dyDescent="0.15">
      <c r="A203" s="1">
        <v>2007</v>
      </c>
      <c r="B203" s="5">
        <f>(K115*($E115/365))+(K116*($E116/365))</f>
        <v>100</v>
      </c>
      <c r="C203" s="5">
        <f>(L115*($E115/365))+(L116*($E116/365))</f>
        <v>0</v>
      </c>
      <c r="D203" s="5">
        <f>(M115*($E115/365))+(M116*($E116/365))</f>
        <v>0</v>
      </c>
      <c r="E203" s="18">
        <f t="shared" si="51"/>
        <v>100</v>
      </c>
      <c r="G203" s="1">
        <v>2007</v>
      </c>
      <c r="H203" s="380">
        <f>(O115/$R115*100*($E115/365))+(O116/$R116*100*($E116/365))</f>
        <v>100</v>
      </c>
      <c r="I203" s="380"/>
      <c r="J203" s="380">
        <f>(P115/$R115*100*($E115/365))+(P116/$R116*100*($E116/365))</f>
        <v>0</v>
      </c>
      <c r="K203" s="380"/>
      <c r="L203" s="380">
        <f>(Q115/$R115*100*($E115/365))+(Q116/$R116*100*($E116/365))</f>
        <v>0</v>
      </c>
      <c r="M203" s="380"/>
      <c r="N203" s="379">
        <f t="shared" si="52"/>
        <v>100</v>
      </c>
      <c r="O203" s="379"/>
      <c r="R203" s="1">
        <v>2007</v>
      </c>
      <c r="S203" s="5">
        <f>(O115*($E115/365))+(O116*($E116/365))</f>
        <v>53.91616438356165</v>
      </c>
      <c r="T203" s="5">
        <f>(P115*($E115/365))+(P116*($E116/365))</f>
        <v>0</v>
      </c>
      <c r="U203" s="5">
        <f>(Q115*($E115/365))+(Q116*($E116/365))</f>
        <v>0</v>
      </c>
      <c r="W203" s="5">
        <f t="shared" si="53"/>
        <v>53.91616438356165</v>
      </c>
    </row>
    <row r="204" spans="1:23" x14ac:dyDescent="0.15">
      <c r="A204" s="1">
        <v>2008</v>
      </c>
      <c r="B204" s="5">
        <f>(K117*($E117/366))+(K118*($E118/366))</f>
        <v>100</v>
      </c>
      <c r="C204" s="5">
        <f>(L117*($E117/366))+(L118*($E118/366))</f>
        <v>0</v>
      </c>
      <c r="D204" s="5">
        <f>(M117*($E117/366))+(M118*($E118/366))</f>
        <v>0</v>
      </c>
      <c r="E204" s="18">
        <f t="shared" si="51"/>
        <v>100</v>
      </c>
      <c r="G204" s="1">
        <v>2008</v>
      </c>
      <c r="H204" s="380">
        <f>(O117/$R117*100*($E117/366))+(O118/$R118*100*($E118/366))</f>
        <v>100</v>
      </c>
      <c r="I204" s="380"/>
      <c r="J204" s="380">
        <f>(P117/$R117*100*($E117/366))+(P118/$R118*100*($E118/366))</f>
        <v>0</v>
      </c>
      <c r="K204" s="380"/>
      <c r="L204" s="380">
        <f>(Q117/$R117*100*($E117/366))+(Q118/$R118*100*($E118/366))</f>
        <v>0</v>
      </c>
      <c r="M204" s="380"/>
      <c r="N204" s="379">
        <f t="shared" si="52"/>
        <v>100</v>
      </c>
      <c r="O204" s="379"/>
      <c r="R204" s="1">
        <v>2008</v>
      </c>
      <c r="S204" s="5">
        <f>(O117*($E117/366))+(O118*($E118/366))</f>
        <v>50.7</v>
      </c>
      <c r="T204" s="5">
        <f>(P117*($E117/366))+(P118*($E118/366))</f>
        <v>0</v>
      </c>
      <c r="U204" s="5">
        <f>(Q117*($E117/366))+(Q118*($E118/366))</f>
        <v>0</v>
      </c>
      <c r="W204" s="5">
        <f t="shared" si="53"/>
        <v>50.7</v>
      </c>
    </row>
    <row r="205" spans="1:23" x14ac:dyDescent="0.15">
      <c r="A205" s="1">
        <v>2009</v>
      </c>
      <c r="B205" s="5">
        <f>(K119*($E119/365))+(K120*($E120/365))</f>
        <v>79.726027397260268</v>
      </c>
      <c r="C205" s="5">
        <f>(L119*($E119/365))+(L120*($E120/365))</f>
        <v>0</v>
      </c>
      <c r="D205" s="5">
        <f>(M119*($E119/365))+(M120*($E120/365))</f>
        <v>20.273972602739725</v>
      </c>
      <c r="E205" s="18">
        <f t="shared" si="51"/>
        <v>100</v>
      </c>
      <c r="G205" s="1">
        <v>2009</v>
      </c>
      <c r="H205" s="380">
        <f>(O119/$R119*100*($E119/365))+(O120/$R120*100*($E120/365))</f>
        <v>79.726027397260268</v>
      </c>
      <c r="I205" s="380"/>
      <c r="J205" s="380">
        <f>(P119/$R119*100*($E119/365))+(P120/$R120*100*($E120/365))</f>
        <v>0</v>
      </c>
      <c r="K205" s="380"/>
      <c r="L205" s="380">
        <f>(Q119/$R119*100*($E119/365))+(Q120/$R120*100*($E120/365))</f>
        <v>20.273972602739725</v>
      </c>
      <c r="M205" s="380"/>
      <c r="N205" s="379">
        <f t="shared" si="52"/>
        <v>100</v>
      </c>
      <c r="O205" s="379"/>
      <c r="R205" s="1">
        <v>2009</v>
      </c>
      <c r="S205" s="5">
        <f>(O119*($E119/365))+(O120*($E120/365))</f>
        <v>40.42109589041096</v>
      </c>
      <c r="T205" s="5">
        <f>(P119*($E119/365))+(P120*($E120/365))</f>
        <v>0</v>
      </c>
      <c r="U205" s="5">
        <f>(Q119*($E119/365))+(Q120*($E120/365))</f>
        <v>10.806027397260273</v>
      </c>
      <c r="W205" s="5">
        <f t="shared" si="53"/>
        <v>51.227123287671233</v>
      </c>
    </row>
    <row r="206" spans="1:23" x14ac:dyDescent="0.15">
      <c r="A206" s="1">
        <v>2010</v>
      </c>
      <c r="B206" s="5">
        <f>(K121*($E121/365))+(K122*($E122/365))</f>
        <v>0</v>
      </c>
      <c r="C206" s="5">
        <f>(L121*($E121/365))+(L122*($E122/365))</f>
        <v>0</v>
      </c>
      <c r="D206" s="5">
        <f>(M121*($E121/365))+(M122*($E122/365))</f>
        <v>100</v>
      </c>
      <c r="E206" s="18">
        <f t="shared" si="51"/>
        <v>100</v>
      </c>
      <c r="G206" s="1">
        <v>2010</v>
      </c>
      <c r="H206" s="380">
        <f>(O121/$R121*100*($E121/365))+(O122/$R122*100*($E122/365))</f>
        <v>0</v>
      </c>
      <c r="I206" s="380"/>
      <c r="J206" s="380">
        <f>(P121/$R121*100*($E121/365))+(P122/$R122*100*($E122/365))</f>
        <v>0</v>
      </c>
      <c r="K206" s="380"/>
      <c r="L206" s="380">
        <f>(Q121/$R121*100*($E121/365))+(Q122/$R122*100*($E122/365))</f>
        <v>100</v>
      </c>
      <c r="M206" s="380"/>
      <c r="N206" s="379">
        <f t="shared" si="52"/>
        <v>100</v>
      </c>
      <c r="O206" s="379"/>
      <c r="R206" s="1">
        <v>2010</v>
      </c>
      <c r="S206" s="5">
        <f>(O121*($E121/365))+(O122*($E122/365))</f>
        <v>0</v>
      </c>
      <c r="T206" s="5">
        <f>(P121*($E121/365))+(P122*($E122/365))</f>
        <v>0</v>
      </c>
      <c r="U206" s="5">
        <f>(Q121*($E121/365))+(Q122*($E122/365))</f>
        <v>53.3</v>
      </c>
      <c r="W206" s="5">
        <f t="shared" si="53"/>
        <v>53.3</v>
      </c>
    </row>
    <row r="207" spans="1:23" x14ac:dyDescent="0.15">
      <c r="A207" s="1">
        <v>2011</v>
      </c>
      <c r="B207" s="5">
        <f>(K123*($E123/365))+(K124*($E124/365))</f>
        <v>2.1004566210045659</v>
      </c>
      <c r="C207" s="5">
        <f>(L123*($E123/365))+(L124*($E124/365))</f>
        <v>0</v>
      </c>
      <c r="D207" s="5">
        <f>(M123*($E123/365))+(M124*($E124/365))</f>
        <v>95.799086757990864</v>
      </c>
      <c r="E207" s="18">
        <f t="shared" si="51"/>
        <v>97.899543378995432</v>
      </c>
      <c r="G207" s="1">
        <v>2011</v>
      </c>
      <c r="H207" s="380">
        <f>(O123/$R123*100*($E123/365))+(O124/$R124*100*($E124/365))</f>
        <v>5.0211818547264926</v>
      </c>
      <c r="I207" s="380"/>
      <c r="J207" s="380">
        <f>(P123/$R123*100*($E123/365))+(P124/$R124*100*($E124/365))</f>
        <v>0</v>
      </c>
      <c r="K207" s="380"/>
      <c r="L207" s="380">
        <f>(Q123/$R123*100*($E123/365))+(Q124/$R124*100*($E124/365))</f>
        <v>94.978818145273507</v>
      </c>
      <c r="M207" s="380"/>
      <c r="N207" s="379">
        <f t="shared" si="52"/>
        <v>100</v>
      </c>
      <c r="O207" s="379"/>
      <c r="R207" s="1">
        <v>2011</v>
      </c>
      <c r="S207" s="5">
        <f>(O123*($E123/365))+(O124*($E124/365))</f>
        <v>4.4487671232876709</v>
      </c>
      <c r="T207" s="5">
        <f>(P123*($E123/365))+(P124*($E124/365))</f>
        <v>0</v>
      </c>
      <c r="U207" s="5">
        <f>(Q123*($E123/365))+(Q124*($E124/365))</f>
        <v>53.3</v>
      </c>
      <c r="W207" s="5">
        <f t="shared" si="53"/>
        <v>57.748767123287671</v>
      </c>
    </row>
    <row r="208" spans="1:23" x14ac:dyDescent="0.15">
      <c r="A208" s="1">
        <v>2012</v>
      </c>
      <c r="B208" s="5">
        <f>(K125*($E125/366))+(K126*($E126/366))+(K127*($E127/366))</f>
        <v>44.474802671523982</v>
      </c>
      <c r="C208" s="5">
        <f>(L125*($E125/366))+(L126*($E126/366))+(L127*($E127/366))</f>
        <v>0</v>
      </c>
      <c r="D208" s="5">
        <f>(M125*($E125/366))+(M126*($E126/366))+(M127*($E127/366))</f>
        <v>39.496053430479662</v>
      </c>
      <c r="E208" s="18">
        <f t="shared" si="51"/>
        <v>83.970856102003637</v>
      </c>
      <c r="G208" s="1">
        <v>2012</v>
      </c>
      <c r="H208" s="380">
        <f>(O125/$R125*100*($E125/366))+(O127/$R127*100*($E127/366))</f>
        <v>53.435773794702193</v>
      </c>
      <c r="I208" s="380"/>
      <c r="J208" s="380">
        <f>(P125/$R125*100*($E125/366))+(P127/$R127*100*($E127/366))</f>
        <v>0</v>
      </c>
      <c r="K208" s="380"/>
      <c r="L208" s="380">
        <f>(Q125/$R125*100*($E125/366))+(Q127/$R127*100*($E127/366))</f>
        <v>36.728160631527317</v>
      </c>
      <c r="M208" s="380"/>
      <c r="N208" s="379">
        <f t="shared" si="52"/>
        <v>90.163934426229503</v>
      </c>
      <c r="O208" s="379"/>
      <c r="R208" s="1">
        <v>2012</v>
      </c>
      <c r="S208" s="5">
        <f>(O125*($E125/366))+(O126*($E126/366))+(O127*($E127/366))</f>
        <v>35.909289617486337</v>
      </c>
      <c r="T208" s="5">
        <f>(P125*($E125/366))+(P126*($E126/366))+(P127*($E127/366))</f>
        <v>0</v>
      </c>
      <c r="U208" s="5">
        <f>(Q125*($E125/366))+(Q126*($E126/366))+(Q127*($E127/366))</f>
        <v>28.28633879781421</v>
      </c>
      <c r="W208" s="5">
        <f t="shared" si="53"/>
        <v>64.195628415300547</v>
      </c>
    </row>
    <row r="209" spans="1:24" x14ac:dyDescent="0.15">
      <c r="A209" s="1">
        <v>2013</v>
      </c>
      <c r="B209" s="5">
        <f>(K128*($E128/365))+(K129*($E129/365))</f>
        <v>76.270928462709264</v>
      </c>
      <c r="C209" s="5">
        <f>(L128*($E128/365))+(L129*($E129/365))</f>
        <v>0</v>
      </c>
      <c r="D209" s="5">
        <f>(M128*($E128/365))+(M129*($E129/365))</f>
        <v>23.729071537290714</v>
      </c>
      <c r="E209" s="18">
        <f t="shared" si="51"/>
        <v>99.999999999999972</v>
      </c>
      <c r="G209" s="1">
        <v>2013</v>
      </c>
      <c r="H209" s="380">
        <f>(O128/$R128*100*($E128/365))+(O129/$R129*100*($E129/365))</f>
        <v>77.811770168945202</v>
      </c>
      <c r="I209" s="380"/>
      <c r="J209" s="380">
        <f>(P128/$R128*100*($E128/365))+(P129/$R129*100*($E129/365))</f>
        <v>0</v>
      </c>
      <c r="K209" s="380"/>
      <c r="L209" s="380">
        <f>(Q128/$R128*100*($E128/365))+(Q129/$R129*100*($E129/365))</f>
        <v>22.188229831054777</v>
      </c>
      <c r="M209" s="380"/>
      <c r="N209" s="379">
        <f>SUM(H209:M209)</f>
        <v>99.999999999999972</v>
      </c>
      <c r="O209" s="379"/>
      <c r="R209" s="1">
        <v>2013</v>
      </c>
      <c r="S209" s="5">
        <f>(O128*($E128/365))+(O129*($E129/365))</f>
        <v>42.479452054794521</v>
      </c>
      <c r="T209" s="5">
        <f>(P128*($E128/365))+(P129*($E129/365))</f>
        <v>0</v>
      </c>
      <c r="U209" s="5">
        <f>(Q128*($E128/365))+(Q129*($E129/365))</f>
        <v>12.356164383561644</v>
      </c>
      <c r="W209" s="5">
        <f t="shared" si="53"/>
        <v>54.835616438356169</v>
      </c>
      <c r="X209" s="5"/>
    </row>
    <row r="210" spans="1:24" x14ac:dyDescent="0.15">
      <c r="A210" s="1">
        <v>2014</v>
      </c>
      <c r="B210" s="5">
        <f>(K130*($E130/365))+(K131*($E131/365))</f>
        <v>80</v>
      </c>
      <c r="C210" s="5">
        <f>(L130*($E130/365))+(L131*($E131/365))</f>
        <v>0</v>
      </c>
      <c r="D210" s="5">
        <f>(M130*($E130/365))+(M131*($E131/365))</f>
        <v>20</v>
      </c>
      <c r="E210" s="18">
        <f>SUM(B210:D210)</f>
        <v>100</v>
      </c>
      <c r="G210" s="1">
        <v>2014</v>
      </c>
      <c r="H210" s="380">
        <f>(O130/$R130*100*($E130/365))+(O131/$R131*100*($E131/365))</f>
        <v>82.35294117647058</v>
      </c>
      <c r="I210" s="380"/>
      <c r="J210" s="380">
        <f>(P130/$R130*100*($E130/365))+(P131/$R131*100*($E131/365))</f>
        <v>0</v>
      </c>
      <c r="K210" s="380"/>
      <c r="L210" s="380">
        <f>(Q130/$R130*100*($E130/365))+(Q131/$R131*100*($E131/365))</f>
        <v>17.647058823529413</v>
      </c>
      <c r="M210" s="380"/>
      <c r="N210" s="379">
        <f>SUM(H210:M210)</f>
        <v>100</v>
      </c>
      <c r="O210" s="379"/>
      <c r="R210" s="1">
        <v>2014</v>
      </c>
      <c r="S210" s="5">
        <f>(O130*($E130/365))+(O131*($E131/365))</f>
        <v>42</v>
      </c>
      <c r="T210" s="5">
        <f>(P130*($E130/365))+(P131*($E131/365))</f>
        <v>0</v>
      </c>
      <c r="U210" s="5">
        <f>(Q130*($E130/365))+(Q131*($E131/365))</f>
        <v>9</v>
      </c>
      <c r="W210" s="5">
        <f>SUM(S210:U210)</f>
        <v>51</v>
      </c>
      <c r="X210" s="5"/>
    </row>
    <row r="211" spans="1:24" x14ac:dyDescent="0.15">
      <c r="A211" s="1">
        <v>2015</v>
      </c>
      <c r="B211" s="5">
        <f>(K132*($E132/365))+(K133*($E133/365))+(K134*($E134/365))+(K135*($E135/365))</f>
        <v>10.91019786910198</v>
      </c>
      <c r="C211" s="5">
        <f>(L132*($E132/365))+(L133*($E133/365))+(L134*($E134/365))+(L135*($E135/365))</f>
        <v>0</v>
      </c>
      <c r="D211" s="5">
        <f>(M132*($E132/365))+(M133*($E133/365))+(M134*($E134/365))+(M135*($E135/365))</f>
        <v>67.196347031963469</v>
      </c>
      <c r="E211" s="18">
        <f>SUM(B211:D211)</f>
        <v>78.106544901065448</v>
      </c>
      <c r="G211" s="1">
        <v>2015</v>
      </c>
      <c r="H211" s="380">
        <f>(O132/$R132*100*($E132/365))+(O133/$R133*100*($E133/365))+(O135/$R135*100*($E135/365))</f>
        <v>12.06145886905964</v>
      </c>
      <c r="I211" s="380"/>
      <c r="J211" s="380">
        <f>(P132/$R132*100*($E132/365))+(P133/$R133*100*($E133/365))+(P135/$R135*100*($E135/365))</f>
        <v>0</v>
      </c>
      <c r="K211" s="380"/>
      <c r="L211" s="380">
        <f>(Q132/$R132*100*($E132/365))+(Q133/$R133*100*($E133/365))+(Q135/$R135*100*($E135/365))</f>
        <v>80.815253459707492</v>
      </c>
      <c r="M211" s="380"/>
      <c r="N211" s="379">
        <f>SUM(H211:M211)</f>
        <v>92.876712328767127</v>
      </c>
      <c r="O211" s="379"/>
      <c r="R211" s="1">
        <v>2015</v>
      </c>
      <c r="S211" s="5">
        <f>(O132*($E132/365))+(O133*($E133/365))+(O135*($E135/365))</f>
        <v>6.3019178082191782</v>
      </c>
      <c r="T211" s="5">
        <f>(P132*($E132/365))+(P133*($E133/365))+(P135*($E135/365))</f>
        <v>0</v>
      </c>
      <c r="U211" s="5">
        <f>(Q132*($E132/365))+(Q133*($E133/365))+(Q135*($E135/365))</f>
        <v>42.988493150684931</v>
      </c>
      <c r="W211" s="5">
        <f>SUM(S211:U211)</f>
        <v>49.290410958904111</v>
      </c>
      <c r="X211" s="5"/>
    </row>
    <row r="212" spans="1:24" x14ac:dyDescent="0.15">
      <c r="A212" s="1">
        <v>2016</v>
      </c>
      <c r="B212" s="5">
        <f>(K136*($E136/366))+(K137*($E137/366))</f>
        <v>6.0531664950766872</v>
      </c>
      <c r="C212" s="5">
        <f>(L136*($E136/366))+(L137*($E137/366))</f>
        <v>0</v>
      </c>
      <c r="D212" s="5">
        <f>(M136*($E136/366))+(M137*($E137/366))</f>
        <v>82.529500277183814</v>
      </c>
      <c r="E212" s="18">
        <f>SUM(B212:D212)</f>
        <v>88.582666772260495</v>
      </c>
      <c r="G212" s="1">
        <v>2016</v>
      </c>
      <c r="H212" s="380">
        <f>(O136/$R136*100*($E136/366))+(O137/$R137*100*($E137/366))</f>
        <v>6.395348837209303</v>
      </c>
      <c r="I212" s="380"/>
      <c r="J212" s="380">
        <f>(P136/$R136*100*($E136/366))+(P137/$R137*100*($E137/366))</f>
        <v>0</v>
      </c>
      <c r="K212" s="380"/>
      <c r="L212" s="380">
        <f>(Q136/$R136*100*($E136/366))+(Q137/$R137*100*($E137/366))</f>
        <v>93.604651162790717</v>
      </c>
      <c r="M212" s="380"/>
      <c r="N212" s="379">
        <f>SUM(H212:M212)</f>
        <v>100.00000000000001</v>
      </c>
      <c r="O212" s="379"/>
      <c r="R212" s="1">
        <v>2016</v>
      </c>
      <c r="S212" s="5">
        <f>(O136*($E136/366))+(O137*($E137/366))</f>
        <v>3.3000000000000003</v>
      </c>
      <c r="T212" s="5">
        <f>(P136*($E136/366))+(P137*($E137/366))</f>
        <v>0</v>
      </c>
      <c r="U212" s="5">
        <f>(Q136*($E136/366))+(Q137*($E137/366))</f>
        <v>48.3</v>
      </c>
      <c r="W212" s="5">
        <f>SUM(S212:U212)</f>
        <v>51.599999999999994</v>
      </c>
      <c r="X212" s="5"/>
    </row>
    <row r="213" spans="1:24" x14ac:dyDescent="0.15">
      <c r="A213" s="1">
        <v>2017</v>
      </c>
      <c r="B213" s="5">
        <f>(K138*($E138/365))+(K139*($E139/365))</f>
        <v>8.695652173913043</v>
      </c>
      <c r="C213" s="5">
        <f t="shared" ref="C213:D213" si="54">(L138*($E138/365))+(L139*($E139/365))</f>
        <v>0</v>
      </c>
      <c r="D213" s="5">
        <f t="shared" si="54"/>
        <v>78.260869565217391</v>
      </c>
      <c r="E213" s="18">
        <f>SUM(B213:D213)</f>
        <v>86.956521739130437</v>
      </c>
      <c r="G213" s="1">
        <v>2017</v>
      </c>
      <c r="H213" s="380">
        <f>(O138/$R138*100*($E138/365))+(O139/$R139*100*($E139/365))</f>
        <v>6.395348837209303</v>
      </c>
      <c r="I213" s="380"/>
      <c r="J213" s="380">
        <f>(P138/$R138*100*($E138/365))+(P139/$R139*100*($E139/365))</f>
        <v>0</v>
      </c>
      <c r="K213" s="380"/>
      <c r="L213" s="380">
        <f>(Q138/$R138*100*($E138/365))+(Q139/$R139*100*($E139/365))</f>
        <v>93.604651162790702</v>
      </c>
      <c r="M213" s="380"/>
      <c r="N213" s="379">
        <f>SUM(H213:M213)</f>
        <v>100</v>
      </c>
      <c r="O213" s="379"/>
      <c r="R213" s="1">
        <v>2017</v>
      </c>
      <c r="S213" s="5">
        <f>(O138*($E138/365))+(O139*($E139/365))</f>
        <v>3.3</v>
      </c>
      <c r="T213" s="5">
        <f>(P138*($E138/365))+(P139*($E139/365))</f>
        <v>0</v>
      </c>
      <c r="U213" s="5">
        <f>(Q138*($E138/365))+(Q139*($E139/365))</f>
        <v>48.3</v>
      </c>
      <c r="W213" s="5">
        <f>SUM(S213:U213)</f>
        <v>51.599999999999994</v>
      </c>
    </row>
    <row r="214" spans="1:24" x14ac:dyDescent="0.15">
      <c r="A214" s="1">
        <v>2018</v>
      </c>
      <c r="B214" s="5">
        <f>(K140*($E140/365))+(K141*($E141/365))</f>
        <v>8.5705777248362125</v>
      </c>
      <c r="C214" s="5">
        <f>(L140*($E140/365))+(L141*($E141/365))</f>
        <v>0</v>
      </c>
      <c r="D214" s="5">
        <f>(M140*($E140/365))+(M141*($E141/365))</f>
        <v>82.888624181060152</v>
      </c>
      <c r="E214" s="18">
        <f t="shared" ref="E214" si="55">SUM(B214:D214)</f>
        <v>91.459201905896364</v>
      </c>
      <c r="G214" s="1">
        <v>2018</v>
      </c>
      <c r="H214" s="380">
        <f>(O140/$R140*100*($E140/365))+(O141/$R141*100*($E141/365))</f>
        <v>6.395348837209303</v>
      </c>
      <c r="I214" s="380"/>
      <c r="J214" s="380">
        <f>(P140/$R140*100*($E140/365))+(P141/$R141*100*($E141/365))</f>
        <v>0</v>
      </c>
      <c r="K214" s="380"/>
      <c r="L214" s="380">
        <f>(Q140/$R140*100*($E140/365))+(Q141/$R141*100*($E141/365))</f>
        <v>93.604651162790702</v>
      </c>
      <c r="M214" s="380"/>
      <c r="N214" s="379">
        <f t="shared" ref="N214" si="56">SUM(H214:M214)</f>
        <v>100</v>
      </c>
      <c r="O214" s="379"/>
      <c r="R214" s="1">
        <v>2018</v>
      </c>
      <c r="S214" s="5">
        <f>(O140*($E140/365))+(O141*($E141/365))</f>
        <v>3.3</v>
      </c>
      <c r="T214" s="5">
        <f>(P140*($E140/365))+(P141*($E141/365))</f>
        <v>0</v>
      </c>
      <c r="U214" s="5">
        <f>(Q140*($E140/365))+(Q141*($E141/365))</f>
        <v>48.3</v>
      </c>
      <c r="W214" s="5">
        <f t="shared" ref="W214" si="57">SUM(S214:U214)</f>
        <v>51.599999999999994</v>
      </c>
    </row>
    <row r="215" spans="1:24" x14ac:dyDescent="0.15">
      <c r="A215" s="1">
        <v>2019</v>
      </c>
      <c r="B215" s="5">
        <f>(K142*($E142/365))+(K144*($E144/365))+(K143*(E143/365))+(K145*(E145/365))</f>
        <v>42.527397260273972</v>
      </c>
      <c r="C215" s="5">
        <f>(L142*($E142/365))+(L144*($E144/365))+(L143*(E143/365))+(L145*(E145/365))</f>
        <v>0</v>
      </c>
      <c r="D215" s="5">
        <f>(M142*($E142/365))+(M144*($E144/365))+(M143*(E143/365))+(M145*(E145/365))</f>
        <v>48.230593607305934</v>
      </c>
      <c r="E215" s="18">
        <f t="shared" ref="E215:E216" si="58">SUM(B215:D215)</f>
        <v>90.757990867579906</v>
      </c>
      <c r="G215" s="1">
        <v>2019</v>
      </c>
      <c r="H215" s="380">
        <f>(O142/$R142*100*($E142/365))+(O144/$R144*100*($E144/365))+(O143/R143*100*(E143/365))+(O145/R145*100*(E145/365))</f>
        <v>50.356801529149415</v>
      </c>
      <c r="I215" s="380"/>
      <c r="J215" s="380">
        <f>(P142/$R142*100*($E142/365))+(P144/$R144*100*($E144/365))+(P143/R143*100*(E143/365))+(P145/R145*100*(E145/365))</f>
        <v>0</v>
      </c>
      <c r="K215" s="380"/>
      <c r="L215" s="380">
        <f>(Q142/$R142*100*($E142/365))+(Q144/$R144*100*($E144/365))+(Q143/R143*100*(E143/365))+(Q145/R145*100*(E145/365))</f>
        <v>49.643198470850592</v>
      </c>
      <c r="M215" s="380"/>
      <c r="N215" s="379">
        <f t="shared" ref="N215" si="59">SUM(H215:M215)</f>
        <v>100</v>
      </c>
      <c r="O215" s="379"/>
      <c r="R215" s="1">
        <v>2019</v>
      </c>
      <c r="S215" s="5">
        <f>(O142*($E142/365))+(O143*(E143/365))+(O144*($E144/365))+(O145*(E145/365))</f>
        <v>26.659178082191779</v>
      </c>
      <c r="T215" s="5">
        <f>(P142*($E142/365))+(P143*(E143/365))+(P144*($E144/365))+(P145*(E145/365))</f>
        <v>0</v>
      </c>
      <c r="U215" s="5">
        <f>(Q142*($E142/365))+(Q143*(E143/365))+(Q144*($E144/365))+(Q145*(E145/365))</f>
        <v>25.010136986301369</v>
      </c>
      <c r="W215" s="5">
        <f>SUM(S215:U215)</f>
        <v>51.669315068493148</v>
      </c>
    </row>
    <row r="216" spans="1:24" x14ac:dyDescent="0.15">
      <c r="A216" s="1">
        <v>2020</v>
      </c>
      <c r="B216" s="5">
        <f>(K146*($E146/366))+(K147*($E147/366))</f>
        <v>85.685011709601852</v>
      </c>
      <c r="C216" s="5">
        <f>(L146*($E146/366))+(L147*($E147/366))</f>
        <v>0</v>
      </c>
      <c r="D216" s="5">
        <f>(M146*($E146/366))+(M147*($E147/366))</f>
        <v>0</v>
      </c>
      <c r="E216" s="18">
        <f t="shared" si="58"/>
        <v>85.685011709601852</v>
      </c>
      <c r="G216" s="1">
        <v>2020</v>
      </c>
      <c r="H216" s="409">
        <f>(O146/$R146*100*($E146/366))+(O147/$R147*100*($E147/366))</f>
        <v>100</v>
      </c>
      <c r="I216" s="409"/>
      <c r="J216" s="409">
        <f>(P146/$R146*100*($E146/366))+(P147/$R147*100*($E147/366))</f>
        <v>0</v>
      </c>
      <c r="K216" s="409"/>
      <c r="L216" s="409">
        <f>(Q146/$R146*100*($E146/366))+(Q147/$R147*100*($E147/366))</f>
        <v>0</v>
      </c>
      <c r="M216" s="409"/>
      <c r="N216" s="379">
        <f t="shared" ref="N216" si="60">SUM(H216:M216)</f>
        <v>100</v>
      </c>
      <c r="O216" s="379"/>
      <c r="R216" s="1">
        <v>2020</v>
      </c>
      <c r="S216" s="5">
        <f>(O146*($E146/366))+(O147*($E147/366))</f>
        <v>52.999999999999993</v>
      </c>
      <c r="T216" s="5">
        <f>(P146*($E146/366))+(P147*($E147/366))</f>
        <v>0</v>
      </c>
      <c r="U216" s="5">
        <f>(Q146*($E146/366))+(Q147*($E147/366))</f>
        <v>0</v>
      </c>
      <c r="W216" s="5">
        <f t="shared" ref="W216" si="61">SUM(S216:U216)</f>
        <v>52.999999999999993</v>
      </c>
    </row>
    <row r="217" spans="1:24" x14ac:dyDescent="0.15">
      <c r="B217" s="5"/>
      <c r="C217" s="5"/>
    </row>
  </sheetData>
  <mergeCells count="416">
    <mergeCell ref="J155:K155"/>
    <mergeCell ref="N191:O191"/>
    <mergeCell ref="N192:O192"/>
    <mergeCell ref="L177:M177"/>
    <mergeCell ref="L178:M178"/>
    <mergeCell ref="N174:O174"/>
    <mergeCell ref="J192:K192"/>
    <mergeCell ref="L186:M186"/>
    <mergeCell ref="L187:M187"/>
    <mergeCell ref="L189:M189"/>
    <mergeCell ref="L190:M190"/>
    <mergeCell ref="L188:M188"/>
    <mergeCell ref="L157:M157"/>
    <mergeCell ref="L158:M158"/>
    <mergeCell ref="L159:M159"/>
    <mergeCell ref="L160:M160"/>
    <mergeCell ref="N165:O165"/>
    <mergeCell ref="L165:M165"/>
    <mergeCell ref="L166:M166"/>
    <mergeCell ref="L162:M162"/>
    <mergeCell ref="J162:K162"/>
    <mergeCell ref="J163:K163"/>
    <mergeCell ref="N163:O163"/>
    <mergeCell ref="J177:K177"/>
    <mergeCell ref="H216:I216"/>
    <mergeCell ref="J216:K216"/>
    <mergeCell ref="L216:M216"/>
    <mergeCell ref="N216:O216"/>
    <mergeCell ref="H214:I214"/>
    <mergeCell ref="J214:K214"/>
    <mergeCell ref="L214:M214"/>
    <mergeCell ref="N214:O214"/>
    <mergeCell ref="N171:O171"/>
    <mergeCell ref="N172:O172"/>
    <mergeCell ref="L191:M191"/>
    <mergeCell ref="L192:M192"/>
    <mergeCell ref="L196:M196"/>
    <mergeCell ref="L197:M197"/>
    <mergeCell ref="L198:M198"/>
    <mergeCell ref="L193:M193"/>
    <mergeCell ref="H201:I201"/>
    <mergeCell ref="J183:K183"/>
    <mergeCell ref="J184:K184"/>
    <mergeCell ref="H193:I193"/>
    <mergeCell ref="H194:I194"/>
    <mergeCell ref="H195:I195"/>
    <mergeCell ref="H196:I196"/>
    <mergeCell ref="H197:I197"/>
    <mergeCell ref="C136:D136"/>
    <mergeCell ref="H213:I213"/>
    <mergeCell ref="J213:K213"/>
    <mergeCell ref="L213:M213"/>
    <mergeCell ref="N213:O213"/>
    <mergeCell ref="C138:D138"/>
    <mergeCell ref="C139:D139"/>
    <mergeCell ref="C140:D140"/>
    <mergeCell ref="C141:D141"/>
    <mergeCell ref="N212:O212"/>
    <mergeCell ref="H212:I212"/>
    <mergeCell ref="J212:K212"/>
    <mergeCell ref="L212:M212"/>
    <mergeCell ref="J174:K174"/>
    <mergeCell ref="J175:K175"/>
    <mergeCell ref="N177:O177"/>
    <mergeCell ref="N178:O178"/>
    <mergeCell ref="J176:K176"/>
    <mergeCell ref="L199:M199"/>
    <mergeCell ref="N189:O189"/>
    <mergeCell ref="N190:O190"/>
    <mergeCell ref="C146:D146"/>
    <mergeCell ref="C147:D147"/>
    <mergeCell ref="H155:I155"/>
    <mergeCell ref="C137:D137"/>
    <mergeCell ref="L208:M208"/>
    <mergeCell ref="L200:M200"/>
    <mergeCell ref="L201:M201"/>
    <mergeCell ref="L202:M202"/>
    <mergeCell ref="L203:M203"/>
    <mergeCell ref="L204:M204"/>
    <mergeCell ref="L205:M205"/>
    <mergeCell ref="L206:M206"/>
    <mergeCell ref="L207:M207"/>
    <mergeCell ref="L179:M179"/>
    <mergeCell ref="L180:M180"/>
    <mergeCell ref="L181:M181"/>
    <mergeCell ref="L182:M182"/>
    <mergeCell ref="L183:M183"/>
    <mergeCell ref="L184:M184"/>
    <mergeCell ref="L171:M171"/>
    <mergeCell ref="L172:M172"/>
    <mergeCell ref="L173:M173"/>
    <mergeCell ref="L174:M174"/>
    <mergeCell ref="L175:M175"/>
    <mergeCell ref="J171:K171"/>
    <mergeCell ref="J172:K172"/>
    <mergeCell ref="J173:K173"/>
    <mergeCell ref="C105:D105"/>
    <mergeCell ref="C106:D106"/>
    <mergeCell ref="C107:D107"/>
    <mergeCell ref="C108:D108"/>
    <mergeCell ref="C114:D114"/>
    <mergeCell ref="C115:D115"/>
    <mergeCell ref="C116:D116"/>
    <mergeCell ref="C117:D117"/>
    <mergeCell ref="C118:D118"/>
    <mergeCell ref="C109:D109"/>
    <mergeCell ref="C110:D110"/>
    <mergeCell ref="C122:D122"/>
    <mergeCell ref="C111:D111"/>
    <mergeCell ref="C112:D112"/>
    <mergeCell ref="C113:D113"/>
    <mergeCell ref="C131:D131"/>
    <mergeCell ref="C132:D132"/>
    <mergeCell ref="C133:D133"/>
    <mergeCell ref="C134:D134"/>
    <mergeCell ref="C135:D135"/>
    <mergeCell ref="C123:D123"/>
    <mergeCell ref="C124:D124"/>
    <mergeCell ref="C128:D128"/>
    <mergeCell ref="C129:D129"/>
    <mergeCell ref="C130:D130"/>
    <mergeCell ref="C119:D119"/>
    <mergeCell ref="C120:D120"/>
    <mergeCell ref="C121:D121"/>
    <mergeCell ref="C125:D125"/>
    <mergeCell ref="C126:D126"/>
    <mergeCell ref="C127:D127"/>
    <mergeCell ref="C96:D96"/>
    <mergeCell ref="C97:D97"/>
    <mergeCell ref="C98:D98"/>
    <mergeCell ref="C99:D99"/>
    <mergeCell ref="C100:D100"/>
    <mergeCell ref="C101:D101"/>
    <mergeCell ref="C102:D102"/>
    <mergeCell ref="C103:D103"/>
    <mergeCell ref="C104:D104"/>
    <mergeCell ref="C87:D87"/>
    <mergeCell ref="C88:D88"/>
    <mergeCell ref="C89:D89"/>
    <mergeCell ref="C90:D90"/>
    <mergeCell ref="C91:D91"/>
    <mergeCell ref="C92:D92"/>
    <mergeCell ref="C93:D93"/>
    <mergeCell ref="C94:D94"/>
    <mergeCell ref="C95:D95"/>
    <mergeCell ref="C78:D78"/>
    <mergeCell ref="C79:D79"/>
    <mergeCell ref="C81:D81"/>
    <mergeCell ref="C82:D82"/>
    <mergeCell ref="C83:D83"/>
    <mergeCell ref="C84:D84"/>
    <mergeCell ref="C80:D80"/>
    <mergeCell ref="C85:D85"/>
    <mergeCell ref="C86:D86"/>
    <mergeCell ref="C68:D68"/>
    <mergeCell ref="C69:D69"/>
    <mergeCell ref="C67:D67"/>
    <mergeCell ref="C70:D70"/>
    <mergeCell ref="C71:D71"/>
    <mergeCell ref="C72:D72"/>
    <mergeCell ref="C73:D73"/>
    <mergeCell ref="C74:D74"/>
    <mergeCell ref="C77:D77"/>
    <mergeCell ref="C76:D76"/>
    <mergeCell ref="C75:D75"/>
    <mergeCell ref="C58:D58"/>
    <mergeCell ref="C59:D59"/>
    <mergeCell ref="C60:D60"/>
    <mergeCell ref="C61:D61"/>
    <mergeCell ref="C62:D62"/>
    <mergeCell ref="C63:D63"/>
    <mergeCell ref="C64:D64"/>
    <mergeCell ref="C65:D65"/>
    <mergeCell ref="C66:D66"/>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33:D33"/>
    <mergeCell ref="C34:D34"/>
    <mergeCell ref="C35:D35"/>
    <mergeCell ref="C21:D21"/>
    <mergeCell ref="C24:D24"/>
    <mergeCell ref="C25:D25"/>
    <mergeCell ref="C26:D26"/>
    <mergeCell ref="C27:D27"/>
    <mergeCell ref="C28:D28"/>
    <mergeCell ref="C22:D22"/>
    <mergeCell ref="C23:D23"/>
    <mergeCell ref="AD4:AG4"/>
    <mergeCell ref="AH4:AK4"/>
    <mergeCell ref="AL4:AO4"/>
    <mergeCell ref="U4:U5"/>
    <mergeCell ref="V4:Y4"/>
    <mergeCell ref="AP4:AS4"/>
    <mergeCell ref="K4:N4"/>
    <mergeCell ref="O4:R4"/>
    <mergeCell ref="S4:S5"/>
    <mergeCell ref="T4:T5"/>
    <mergeCell ref="G3:M3"/>
    <mergeCell ref="O3:Q3"/>
    <mergeCell ref="A4:A5"/>
    <mergeCell ref="B4:B5"/>
    <mergeCell ref="C4:D5"/>
    <mergeCell ref="E4:E5"/>
    <mergeCell ref="F4:F5"/>
    <mergeCell ref="G4:J4"/>
    <mergeCell ref="Z4:AC4"/>
    <mergeCell ref="R152:W152"/>
    <mergeCell ref="H154:I154"/>
    <mergeCell ref="J154:K154"/>
    <mergeCell ref="L154:M154"/>
    <mergeCell ref="N154:O154"/>
    <mergeCell ref="N173:O173"/>
    <mergeCell ref="H170:I170"/>
    <mergeCell ref="H171:I171"/>
    <mergeCell ref="H172:I172"/>
    <mergeCell ref="H173:I173"/>
    <mergeCell ref="L155:M155"/>
    <mergeCell ref="N155:O155"/>
    <mergeCell ref="J168:K168"/>
    <mergeCell ref="J169:K169"/>
    <mergeCell ref="H168:I168"/>
    <mergeCell ref="H169:I169"/>
    <mergeCell ref="H162:I162"/>
    <mergeCell ref="H163:I163"/>
    <mergeCell ref="H165:I165"/>
    <mergeCell ref="H166:I166"/>
    <mergeCell ref="J165:K165"/>
    <mergeCell ref="J166:K166"/>
    <mergeCell ref="H164:I164"/>
    <mergeCell ref="J161:K161"/>
    <mergeCell ref="C44:D44"/>
    <mergeCell ref="N183:O183"/>
    <mergeCell ref="N181:O181"/>
    <mergeCell ref="N182:O182"/>
    <mergeCell ref="N179:O179"/>
    <mergeCell ref="N180:O180"/>
    <mergeCell ref="C45:D45"/>
    <mergeCell ref="C46:D46"/>
    <mergeCell ref="C47:D47"/>
    <mergeCell ref="C48:D48"/>
    <mergeCell ref="C49:D49"/>
    <mergeCell ref="C50:D50"/>
    <mergeCell ref="C51:D51"/>
    <mergeCell ref="C52:D52"/>
    <mergeCell ref="C53:D53"/>
    <mergeCell ref="C54:D54"/>
    <mergeCell ref="C55:D55"/>
    <mergeCell ref="C56:D56"/>
    <mergeCell ref="C57:D57"/>
    <mergeCell ref="N175:O175"/>
    <mergeCell ref="N176:O176"/>
    <mergeCell ref="L170:M170"/>
    <mergeCell ref="J170:K170"/>
    <mergeCell ref="L176:M176"/>
    <mergeCell ref="J178:K178"/>
    <mergeCell ref="J179:K179"/>
    <mergeCell ref="J180:K180"/>
    <mergeCell ref="J181:K181"/>
    <mergeCell ref="J182:K182"/>
    <mergeCell ref="J199:K199"/>
    <mergeCell ref="J200:K200"/>
    <mergeCell ref="J193:K193"/>
    <mergeCell ref="J194:K194"/>
    <mergeCell ref="J195:K195"/>
    <mergeCell ref="J196:K196"/>
    <mergeCell ref="J198:K198"/>
    <mergeCell ref="J191:K191"/>
    <mergeCell ref="J188:K188"/>
    <mergeCell ref="J185:K185"/>
    <mergeCell ref="J186:K186"/>
    <mergeCell ref="H174:I174"/>
    <mergeCell ref="H175:I175"/>
    <mergeCell ref="H176:I176"/>
    <mergeCell ref="N207:O207"/>
    <mergeCell ref="H208:I208"/>
    <mergeCell ref="H204:I204"/>
    <mergeCell ref="H205:I205"/>
    <mergeCell ref="H206:I206"/>
    <mergeCell ref="H207:I207"/>
    <mergeCell ref="H202:I202"/>
    <mergeCell ref="H203:I203"/>
    <mergeCell ref="J207:K207"/>
    <mergeCell ref="J208:K208"/>
    <mergeCell ref="J204:K204"/>
    <mergeCell ref="J205:K205"/>
    <mergeCell ref="J206:K206"/>
    <mergeCell ref="J202:K202"/>
    <mergeCell ref="J203:K203"/>
    <mergeCell ref="N203:O203"/>
    <mergeCell ref="N204:O204"/>
    <mergeCell ref="J197:K197"/>
    <mergeCell ref="J201:K201"/>
    <mergeCell ref="H199:I199"/>
    <mergeCell ref="H188:I188"/>
    <mergeCell ref="H192:I192"/>
    <mergeCell ref="J189:K189"/>
    <mergeCell ref="J190:K190"/>
    <mergeCell ref="N184:O184"/>
    <mergeCell ref="L194:M194"/>
    <mergeCell ref="L195:M195"/>
    <mergeCell ref="L185:M185"/>
    <mergeCell ref="J187:K187"/>
    <mergeCell ref="H200:I200"/>
    <mergeCell ref="H198:I198"/>
    <mergeCell ref="H182:I182"/>
    <mergeCell ref="H183:I183"/>
    <mergeCell ref="H184:I184"/>
    <mergeCell ref="H185:I185"/>
    <mergeCell ref="H186:I186"/>
    <mergeCell ref="H187:I187"/>
    <mergeCell ref="H189:I189"/>
    <mergeCell ref="H190:I190"/>
    <mergeCell ref="H191:I191"/>
    <mergeCell ref="N166:O166"/>
    <mergeCell ref="N201:O201"/>
    <mergeCell ref="N185:O185"/>
    <mergeCell ref="N186:O186"/>
    <mergeCell ref="N187:O187"/>
    <mergeCell ref="N188:O188"/>
    <mergeCell ref="N193:O193"/>
    <mergeCell ref="N194:O194"/>
    <mergeCell ref="N195:O195"/>
    <mergeCell ref="AX4:BA4"/>
    <mergeCell ref="C7:D7"/>
    <mergeCell ref="C6:D6"/>
    <mergeCell ref="C29:D29"/>
    <mergeCell ref="N164:O164"/>
    <mergeCell ref="J164:K164"/>
    <mergeCell ref="J156:K156"/>
    <mergeCell ref="J157:K157"/>
    <mergeCell ref="J158:K158"/>
    <mergeCell ref="L156:M156"/>
    <mergeCell ref="L161:M161"/>
    <mergeCell ref="N156:O156"/>
    <mergeCell ref="N157:O157"/>
    <mergeCell ref="N158:O158"/>
    <mergeCell ref="N159:O159"/>
    <mergeCell ref="N160:O160"/>
    <mergeCell ref="N161:O161"/>
    <mergeCell ref="N162:O162"/>
    <mergeCell ref="J159:K159"/>
    <mergeCell ref="J160:K160"/>
    <mergeCell ref="H156:I156"/>
    <mergeCell ref="H157:I157"/>
    <mergeCell ref="H158:I158"/>
    <mergeCell ref="AT4:AW4"/>
    <mergeCell ref="N209:O209"/>
    <mergeCell ref="H209:I209"/>
    <mergeCell ref="J209:K209"/>
    <mergeCell ref="L209:M209"/>
    <mergeCell ref="L167:M167"/>
    <mergeCell ref="N169:O169"/>
    <mergeCell ref="L168:M168"/>
    <mergeCell ref="L169:M169"/>
    <mergeCell ref="J167:K167"/>
    <mergeCell ref="H167:I167"/>
    <mergeCell ref="N167:O167"/>
    <mergeCell ref="N168:O168"/>
    <mergeCell ref="N202:O202"/>
    <mergeCell ref="N196:O196"/>
    <mergeCell ref="N197:O197"/>
    <mergeCell ref="N198:O198"/>
    <mergeCell ref="N205:O205"/>
    <mergeCell ref="N206:O206"/>
    <mergeCell ref="N170:O170"/>
    <mergeCell ref="H177:I177"/>
    <mergeCell ref="H178:I178"/>
    <mergeCell ref="H179:I179"/>
    <mergeCell ref="H180:I180"/>
    <mergeCell ref="H181:I181"/>
    <mergeCell ref="C143:D143"/>
    <mergeCell ref="C142:D142"/>
    <mergeCell ref="C144:D144"/>
    <mergeCell ref="C145:D145"/>
    <mergeCell ref="J215:K215"/>
    <mergeCell ref="L215:M215"/>
    <mergeCell ref="H215:I215"/>
    <mergeCell ref="N215:O215"/>
    <mergeCell ref="H211:I211"/>
    <mergeCell ref="J211:K211"/>
    <mergeCell ref="L211:M211"/>
    <mergeCell ref="N211:O211"/>
    <mergeCell ref="H210:I210"/>
    <mergeCell ref="J210:K210"/>
    <mergeCell ref="L210:M210"/>
    <mergeCell ref="N210:O210"/>
    <mergeCell ref="L163:M163"/>
    <mergeCell ref="L164:M164"/>
    <mergeCell ref="H159:I159"/>
    <mergeCell ref="H160:I160"/>
    <mergeCell ref="H161:I161"/>
    <mergeCell ref="N208:O208"/>
    <mergeCell ref="N199:O199"/>
    <mergeCell ref="N200:O200"/>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A109"/>
  <sheetViews>
    <sheetView zoomScale="158" zoomScaleNormal="120" workbookViewId="0">
      <pane xSplit="1" ySplit="5" topLeftCell="B6" activePane="bottomRight" state="frozen"/>
      <selection pane="topRight" activeCell="B1" sqref="B1"/>
      <selection pane="bottomLeft" activeCell="A6" sqref="A6"/>
      <selection pane="bottomRight" activeCell="C101" sqref="C101"/>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140</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1990</v>
      </c>
      <c r="B6" s="295"/>
      <c r="C6" s="421" t="s">
        <v>1263</v>
      </c>
      <c r="D6" s="421"/>
      <c r="E6" s="29">
        <v>142</v>
      </c>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171">
        <v>1990</v>
      </c>
      <c r="B7" s="283">
        <v>33016</v>
      </c>
      <c r="C7" s="410" t="s">
        <v>1099</v>
      </c>
      <c r="D7" s="410"/>
      <c r="E7" s="171">
        <v>212</v>
      </c>
      <c r="F7" s="171" t="s">
        <v>335</v>
      </c>
      <c r="G7" s="233">
        <v>9</v>
      </c>
      <c r="H7" s="171">
        <v>1</v>
      </c>
      <c r="I7" s="171">
        <v>4</v>
      </c>
      <c r="J7" s="241">
        <v>17</v>
      </c>
      <c r="K7" s="214">
        <f>G7/J7*100</f>
        <v>52.941176470588239</v>
      </c>
      <c r="L7" s="214">
        <f>H7/J7*100</f>
        <v>5.8823529411764701</v>
      </c>
      <c r="M7" s="214">
        <f>I7/J7*100</f>
        <v>23.52941176470588</v>
      </c>
      <c r="N7" s="235">
        <f>SUM(K7:M7)</f>
        <v>82.352941176470594</v>
      </c>
      <c r="O7" s="213">
        <v>42.5</v>
      </c>
      <c r="P7" s="214">
        <v>5.4</v>
      </c>
      <c r="Q7" s="214">
        <v>11.4</v>
      </c>
      <c r="R7" s="215">
        <f>SUM(O7:Q7)</f>
        <v>59.3</v>
      </c>
      <c r="S7" s="171">
        <v>3</v>
      </c>
      <c r="T7" s="285">
        <v>32971</v>
      </c>
      <c r="U7" s="283">
        <v>33016</v>
      </c>
      <c r="V7" s="178" t="s">
        <v>1107</v>
      </c>
      <c r="W7" s="171" t="s">
        <v>74</v>
      </c>
      <c r="X7" s="171" t="s">
        <v>11</v>
      </c>
      <c r="Y7" s="179">
        <v>42.5</v>
      </c>
      <c r="Z7" s="171" t="s">
        <v>1108</v>
      </c>
      <c r="AA7" s="171" t="s">
        <v>869</v>
      </c>
      <c r="AB7" s="171" t="s">
        <v>12</v>
      </c>
      <c r="AC7" s="171">
        <v>11.4</v>
      </c>
      <c r="AD7" s="178" t="s">
        <v>1109</v>
      </c>
      <c r="AE7" s="171" t="s">
        <v>17</v>
      </c>
      <c r="AF7" s="171" t="s">
        <v>18</v>
      </c>
      <c r="AG7" s="179">
        <v>5.4</v>
      </c>
      <c r="AL7" s="178"/>
      <c r="AO7" s="179"/>
      <c r="AP7" s="178"/>
      <c r="AS7" s="179"/>
      <c r="AW7" s="179"/>
      <c r="BA7" s="180"/>
    </row>
    <row r="8" spans="1:53" s="171" customFormat="1" x14ac:dyDescent="0.15">
      <c r="A8" s="171">
        <v>1990</v>
      </c>
      <c r="B8" s="305">
        <v>33228</v>
      </c>
      <c r="C8" s="410" t="s">
        <v>1099</v>
      </c>
      <c r="D8" s="410"/>
      <c r="E8" s="171">
        <v>11</v>
      </c>
      <c r="F8" s="244">
        <v>0</v>
      </c>
      <c r="G8" s="233">
        <v>11</v>
      </c>
      <c r="H8" s="171">
        <v>1</v>
      </c>
      <c r="I8" s="171">
        <v>4</v>
      </c>
      <c r="J8" s="241">
        <v>19</v>
      </c>
      <c r="K8" s="214">
        <f t="shared" ref="K8:K49" si="0">G8/J8*100</f>
        <v>57.894736842105267</v>
      </c>
      <c r="L8" s="214">
        <f t="shared" ref="L8:L49" si="1">H8/J8*100</f>
        <v>5.2631578947368416</v>
      </c>
      <c r="M8" s="214">
        <f t="shared" ref="M8:M49" si="2">I8/J8*100</f>
        <v>21.052631578947366</v>
      </c>
      <c r="N8" s="235">
        <f t="shared" ref="N8:N56" si="3">SUM(K8:M8)</f>
        <v>84.21052631578948</v>
      </c>
      <c r="O8" s="213">
        <v>42.5</v>
      </c>
      <c r="P8" s="214">
        <v>5.4</v>
      </c>
      <c r="Q8" s="214">
        <v>11.4</v>
      </c>
      <c r="R8" s="215">
        <f t="shared" ref="R8:R35" si="4">SUM(O8:Q8)</f>
        <v>59.3</v>
      </c>
      <c r="S8" s="171">
        <v>3</v>
      </c>
      <c r="T8" s="285"/>
      <c r="U8" s="283"/>
      <c r="V8" s="178" t="s">
        <v>1107</v>
      </c>
      <c r="W8" s="171" t="s">
        <v>74</v>
      </c>
      <c r="X8" s="171" t="s">
        <v>11</v>
      </c>
      <c r="Y8" s="179">
        <v>42.5</v>
      </c>
      <c r="Z8" s="171" t="s">
        <v>1108</v>
      </c>
      <c r="AA8" s="171" t="s">
        <v>869</v>
      </c>
      <c r="AB8" s="171" t="s">
        <v>12</v>
      </c>
      <c r="AC8" s="171">
        <v>11.4</v>
      </c>
      <c r="AD8" s="178" t="s">
        <v>1109</v>
      </c>
      <c r="AE8" s="171" t="s">
        <v>17</v>
      </c>
      <c r="AF8" s="171" t="s">
        <v>18</v>
      </c>
      <c r="AG8" s="179">
        <v>5.4</v>
      </c>
      <c r="AL8" s="178"/>
      <c r="AO8" s="179"/>
      <c r="AP8" s="178"/>
      <c r="AS8" s="179"/>
      <c r="AW8" s="179"/>
      <c r="BA8" s="180"/>
    </row>
    <row r="9" spans="1:53" s="171" customFormat="1" x14ac:dyDescent="0.15">
      <c r="A9" s="171">
        <v>1991</v>
      </c>
      <c r="B9" s="283"/>
      <c r="C9" s="410" t="s">
        <v>1099</v>
      </c>
      <c r="D9" s="410"/>
      <c r="E9" s="171">
        <v>0</v>
      </c>
      <c r="G9" s="233">
        <v>11</v>
      </c>
      <c r="H9" s="171">
        <v>1</v>
      </c>
      <c r="I9" s="171">
        <v>4</v>
      </c>
      <c r="J9" s="241">
        <v>19</v>
      </c>
      <c r="K9" s="214">
        <f t="shared" si="0"/>
        <v>57.894736842105267</v>
      </c>
      <c r="L9" s="214">
        <f t="shared" si="1"/>
        <v>5.2631578947368416</v>
      </c>
      <c r="M9" s="214">
        <f t="shared" si="2"/>
        <v>21.052631578947366</v>
      </c>
      <c r="N9" s="235">
        <f t="shared" si="3"/>
        <v>84.21052631578948</v>
      </c>
      <c r="O9" s="213">
        <v>42.5</v>
      </c>
      <c r="P9" s="214">
        <v>5.4</v>
      </c>
      <c r="Q9" s="214">
        <v>11.4</v>
      </c>
      <c r="R9" s="215">
        <f t="shared" si="4"/>
        <v>59.3</v>
      </c>
      <c r="S9" s="171">
        <v>3</v>
      </c>
      <c r="T9" s="285"/>
      <c r="U9" s="283"/>
      <c r="V9" s="178" t="s">
        <v>1107</v>
      </c>
      <c r="W9" s="171" t="s">
        <v>74</v>
      </c>
      <c r="X9" s="171" t="s">
        <v>11</v>
      </c>
      <c r="Y9" s="179">
        <v>42.5</v>
      </c>
      <c r="Z9" s="171" t="s">
        <v>1108</v>
      </c>
      <c r="AA9" s="171" t="s">
        <v>869</v>
      </c>
      <c r="AB9" s="171" t="s">
        <v>12</v>
      </c>
      <c r="AC9" s="171">
        <v>11.4</v>
      </c>
      <c r="AD9" s="178" t="s">
        <v>1109</v>
      </c>
      <c r="AE9" s="171" t="s">
        <v>17</v>
      </c>
      <c r="AF9" s="171" t="s">
        <v>18</v>
      </c>
      <c r="AG9" s="179">
        <v>5.4</v>
      </c>
      <c r="AL9" s="178"/>
      <c r="AO9" s="179"/>
      <c r="AP9" s="178"/>
      <c r="AS9" s="179"/>
      <c r="AW9" s="179"/>
      <c r="BA9" s="180"/>
    </row>
    <row r="10" spans="1:53" s="171" customFormat="1" x14ac:dyDescent="0.15">
      <c r="A10" s="171">
        <v>1991</v>
      </c>
      <c r="B10" s="283"/>
      <c r="C10" s="410" t="s">
        <v>1099</v>
      </c>
      <c r="D10" s="410"/>
      <c r="E10" s="171">
        <v>365</v>
      </c>
      <c r="G10" s="233">
        <v>11</v>
      </c>
      <c r="H10" s="171">
        <v>1</v>
      </c>
      <c r="I10" s="171">
        <v>4</v>
      </c>
      <c r="J10" s="241">
        <v>19</v>
      </c>
      <c r="K10" s="214">
        <f t="shared" si="0"/>
        <v>57.894736842105267</v>
      </c>
      <c r="L10" s="214">
        <f t="shared" si="1"/>
        <v>5.2631578947368416</v>
      </c>
      <c r="M10" s="214">
        <f t="shared" si="2"/>
        <v>21.052631578947366</v>
      </c>
      <c r="N10" s="235">
        <f t="shared" si="3"/>
        <v>84.21052631578948</v>
      </c>
      <c r="O10" s="213">
        <v>42.5</v>
      </c>
      <c r="P10" s="214">
        <v>5.4</v>
      </c>
      <c r="Q10" s="214">
        <v>11.4</v>
      </c>
      <c r="R10" s="215">
        <f t="shared" si="4"/>
        <v>59.3</v>
      </c>
      <c r="S10" s="171">
        <v>3</v>
      </c>
      <c r="T10" s="285"/>
      <c r="U10" s="283"/>
      <c r="V10" s="178" t="s">
        <v>1107</v>
      </c>
      <c r="W10" s="171" t="s">
        <v>74</v>
      </c>
      <c r="X10" s="171" t="s">
        <v>11</v>
      </c>
      <c r="Y10" s="179">
        <v>42.5</v>
      </c>
      <c r="Z10" s="171" t="s">
        <v>1108</v>
      </c>
      <c r="AA10" s="171" t="s">
        <v>869</v>
      </c>
      <c r="AB10" s="171" t="s">
        <v>12</v>
      </c>
      <c r="AC10" s="171">
        <v>11.4</v>
      </c>
      <c r="AD10" s="178" t="s">
        <v>1109</v>
      </c>
      <c r="AE10" s="171" t="s">
        <v>17</v>
      </c>
      <c r="AF10" s="171" t="s">
        <v>18</v>
      </c>
      <c r="AG10" s="179">
        <v>5.4</v>
      </c>
      <c r="AL10" s="178"/>
      <c r="AO10" s="179"/>
      <c r="AP10" s="178"/>
      <c r="AS10" s="179"/>
      <c r="AW10" s="179"/>
      <c r="BA10" s="180"/>
    </row>
    <row r="11" spans="1:53" s="171" customFormat="1" x14ac:dyDescent="0.15">
      <c r="A11" s="171">
        <v>1992</v>
      </c>
      <c r="B11" s="283"/>
      <c r="C11" s="410" t="s">
        <v>1099</v>
      </c>
      <c r="D11" s="410"/>
      <c r="E11" s="171">
        <v>51</v>
      </c>
      <c r="G11" s="233">
        <v>11</v>
      </c>
      <c r="H11" s="171">
        <v>1</v>
      </c>
      <c r="I11" s="171">
        <v>4</v>
      </c>
      <c r="J11" s="241">
        <v>19</v>
      </c>
      <c r="K11" s="214">
        <f t="shared" si="0"/>
        <v>57.894736842105267</v>
      </c>
      <c r="L11" s="214">
        <f t="shared" si="1"/>
        <v>5.2631578947368416</v>
      </c>
      <c r="M11" s="214">
        <f t="shared" si="2"/>
        <v>21.052631578947366</v>
      </c>
      <c r="N11" s="235">
        <f t="shared" si="3"/>
        <v>84.21052631578948</v>
      </c>
      <c r="O11" s="213">
        <v>42.5</v>
      </c>
      <c r="P11" s="214">
        <v>5.4</v>
      </c>
      <c r="Q11" s="214">
        <v>11.4</v>
      </c>
      <c r="R11" s="215">
        <f t="shared" si="4"/>
        <v>59.3</v>
      </c>
      <c r="S11" s="171">
        <v>3</v>
      </c>
      <c r="T11" s="285"/>
      <c r="U11" s="283"/>
      <c r="V11" s="178" t="s">
        <v>1107</v>
      </c>
      <c r="W11" s="171" t="s">
        <v>74</v>
      </c>
      <c r="X11" s="171" t="s">
        <v>11</v>
      </c>
      <c r="Y11" s="179">
        <v>42.5</v>
      </c>
      <c r="Z11" s="171" t="s">
        <v>1108</v>
      </c>
      <c r="AA11" s="171" t="s">
        <v>869</v>
      </c>
      <c r="AB11" s="171" t="s">
        <v>12</v>
      </c>
      <c r="AC11" s="171">
        <v>11.4</v>
      </c>
      <c r="AD11" s="178" t="s">
        <v>1109</v>
      </c>
      <c r="AE11" s="171" t="s">
        <v>17</v>
      </c>
      <c r="AF11" s="171" t="s">
        <v>18</v>
      </c>
      <c r="AG11" s="179">
        <v>5.4</v>
      </c>
      <c r="AL11" s="178"/>
      <c r="AO11" s="179"/>
      <c r="AP11" s="178"/>
      <c r="AS11" s="179"/>
      <c r="AW11" s="179"/>
      <c r="BA11" s="180"/>
    </row>
    <row r="12" spans="1:53" s="171" customFormat="1" x14ac:dyDescent="0.15">
      <c r="A12" s="171">
        <v>1992</v>
      </c>
      <c r="B12" s="305">
        <v>33655</v>
      </c>
      <c r="C12" s="410" t="s">
        <v>1099</v>
      </c>
      <c r="D12" s="410"/>
      <c r="E12" s="171">
        <v>315</v>
      </c>
      <c r="F12" s="244">
        <v>0</v>
      </c>
      <c r="G12" s="233">
        <v>11</v>
      </c>
      <c r="H12" s="171">
        <v>1</v>
      </c>
      <c r="I12" s="171">
        <v>4</v>
      </c>
      <c r="J12" s="241">
        <v>19</v>
      </c>
      <c r="K12" s="214">
        <f t="shared" si="0"/>
        <v>57.894736842105267</v>
      </c>
      <c r="L12" s="214">
        <f t="shared" si="1"/>
        <v>5.2631578947368416</v>
      </c>
      <c r="M12" s="214">
        <f t="shared" si="2"/>
        <v>21.052631578947366</v>
      </c>
      <c r="N12" s="235">
        <f t="shared" si="3"/>
        <v>84.21052631578948</v>
      </c>
      <c r="O12" s="213">
        <v>42.5</v>
      </c>
      <c r="P12" s="214">
        <v>5.4</v>
      </c>
      <c r="Q12" s="214">
        <v>11.4</v>
      </c>
      <c r="R12" s="215">
        <f t="shared" si="4"/>
        <v>59.3</v>
      </c>
      <c r="S12" s="171">
        <v>3</v>
      </c>
      <c r="T12" s="285"/>
      <c r="U12" s="283"/>
      <c r="V12" s="178" t="s">
        <v>1107</v>
      </c>
      <c r="W12" s="171" t="s">
        <v>74</v>
      </c>
      <c r="X12" s="171" t="s">
        <v>11</v>
      </c>
      <c r="Y12" s="179">
        <v>42.5</v>
      </c>
      <c r="Z12" s="171" t="s">
        <v>1108</v>
      </c>
      <c r="AA12" s="171" t="s">
        <v>869</v>
      </c>
      <c r="AB12" s="171" t="s">
        <v>12</v>
      </c>
      <c r="AC12" s="171">
        <v>11.4</v>
      </c>
      <c r="AD12" s="178" t="s">
        <v>1109</v>
      </c>
      <c r="AE12" s="171" t="s">
        <v>17</v>
      </c>
      <c r="AF12" s="171" t="s">
        <v>18</v>
      </c>
      <c r="AG12" s="179">
        <v>5.4</v>
      </c>
      <c r="AL12" s="178"/>
      <c r="AO12" s="179"/>
      <c r="AP12" s="178"/>
      <c r="AS12" s="179"/>
      <c r="AW12" s="179"/>
      <c r="BA12" s="180"/>
    </row>
    <row r="13" spans="1:53" s="171" customFormat="1" x14ac:dyDescent="0.15">
      <c r="A13" s="171">
        <v>1993</v>
      </c>
      <c r="B13" s="283"/>
      <c r="C13" s="410" t="s">
        <v>1099</v>
      </c>
      <c r="D13" s="410"/>
      <c r="E13" s="171">
        <v>354</v>
      </c>
      <c r="G13" s="233">
        <v>11</v>
      </c>
      <c r="H13" s="171">
        <v>1</v>
      </c>
      <c r="I13" s="171">
        <v>4</v>
      </c>
      <c r="J13" s="241">
        <v>19</v>
      </c>
      <c r="K13" s="214">
        <f t="shared" si="0"/>
        <v>57.894736842105267</v>
      </c>
      <c r="L13" s="214">
        <f t="shared" si="1"/>
        <v>5.2631578947368416</v>
      </c>
      <c r="M13" s="214">
        <f t="shared" si="2"/>
        <v>21.052631578947366</v>
      </c>
      <c r="N13" s="235">
        <f t="shared" si="3"/>
        <v>84.21052631578948</v>
      </c>
      <c r="O13" s="213">
        <v>42.5</v>
      </c>
      <c r="P13" s="214">
        <v>5.4</v>
      </c>
      <c r="Q13" s="214">
        <v>11.4</v>
      </c>
      <c r="R13" s="215">
        <f t="shared" si="4"/>
        <v>59.3</v>
      </c>
      <c r="S13" s="171">
        <v>3</v>
      </c>
      <c r="T13" s="285"/>
      <c r="U13" s="283"/>
      <c r="V13" s="178" t="s">
        <v>1107</v>
      </c>
      <c r="W13" s="171" t="s">
        <v>74</v>
      </c>
      <c r="X13" s="171" t="s">
        <v>11</v>
      </c>
      <c r="Y13" s="179">
        <v>42.5</v>
      </c>
      <c r="Z13" s="171" t="s">
        <v>1108</v>
      </c>
      <c r="AA13" s="171" t="s">
        <v>869</v>
      </c>
      <c r="AB13" s="171" t="s">
        <v>12</v>
      </c>
      <c r="AC13" s="171">
        <v>11.4</v>
      </c>
      <c r="AD13" s="178" t="s">
        <v>1109</v>
      </c>
      <c r="AE13" s="171" t="s">
        <v>17</v>
      </c>
      <c r="AF13" s="171" t="s">
        <v>18</v>
      </c>
      <c r="AG13" s="179">
        <v>5.4</v>
      </c>
      <c r="AL13" s="178"/>
      <c r="AO13" s="179"/>
      <c r="AP13" s="178"/>
      <c r="AS13" s="179"/>
      <c r="AW13" s="179"/>
      <c r="BA13" s="180"/>
    </row>
    <row r="14" spans="1:53" s="29" customFormat="1" x14ac:dyDescent="0.15">
      <c r="A14" s="29">
        <v>1993</v>
      </c>
      <c r="B14" s="295">
        <v>34324</v>
      </c>
      <c r="C14" s="411" t="s">
        <v>1100</v>
      </c>
      <c r="D14" s="411"/>
      <c r="E14" s="29">
        <v>11</v>
      </c>
      <c r="F14" s="29">
        <v>3</v>
      </c>
      <c r="G14" s="66">
        <v>10</v>
      </c>
      <c r="H14" s="29">
        <v>3</v>
      </c>
      <c r="I14" s="29">
        <v>3</v>
      </c>
      <c r="J14" s="73">
        <v>16</v>
      </c>
      <c r="K14" s="47">
        <f t="shared" si="0"/>
        <v>62.5</v>
      </c>
      <c r="L14" s="47">
        <f t="shared" si="1"/>
        <v>18.75</v>
      </c>
      <c r="M14" s="47">
        <f t="shared" si="2"/>
        <v>18.75</v>
      </c>
      <c r="N14" s="68">
        <f t="shared" si="3"/>
        <v>100</v>
      </c>
      <c r="O14" s="46">
        <v>42.5</v>
      </c>
      <c r="P14" s="47">
        <v>5.4</v>
      </c>
      <c r="Q14" s="47">
        <v>11.4</v>
      </c>
      <c r="R14" s="48">
        <f t="shared" si="4"/>
        <v>59.3</v>
      </c>
      <c r="S14" s="29">
        <v>3</v>
      </c>
      <c r="T14" s="286"/>
      <c r="U14" s="295">
        <v>34324</v>
      </c>
      <c r="V14" s="38" t="s">
        <v>1107</v>
      </c>
      <c r="W14" s="29" t="s">
        <v>74</v>
      </c>
      <c r="X14" s="29" t="s">
        <v>11</v>
      </c>
      <c r="Y14" s="39">
        <v>42.5</v>
      </c>
      <c r="Z14" s="29" t="s">
        <v>1108</v>
      </c>
      <c r="AA14" s="29" t="s">
        <v>869</v>
      </c>
      <c r="AB14" s="29" t="s">
        <v>12</v>
      </c>
      <c r="AC14" s="29">
        <v>11.4</v>
      </c>
      <c r="AD14" s="38" t="s">
        <v>1109</v>
      </c>
      <c r="AE14" s="29" t="s">
        <v>17</v>
      </c>
      <c r="AF14" s="29" t="s">
        <v>18</v>
      </c>
      <c r="AG14" s="39">
        <v>5.4</v>
      </c>
      <c r="AL14" s="38"/>
      <c r="AO14" s="39"/>
      <c r="AP14" s="38"/>
      <c r="AS14" s="39"/>
      <c r="AW14" s="39"/>
      <c r="BA14" s="40"/>
    </row>
    <row r="15" spans="1:53" s="29" customFormat="1" x14ac:dyDescent="0.15">
      <c r="A15" s="29">
        <v>1994</v>
      </c>
      <c r="B15" s="295"/>
      <c r="C15" s="411" t="s">
        <v>1100</v>
      </c>
      <c r="D15" s="411"/>
      <c r="E15" s="29">
        <v>195</v>
      </c>
      <c r="G15" s="66">
        <v>10</v>
      </c>
      <c r="H15" s="29">
        <v>3</v>
      </c>
      <c r="I15" s="29">
        <v>3</v>
      </c>
      <c r="J15" s="73">
        <v>16</v>
      </c>
      <c r="K15" s="47">
        <f t="shared" si="0"/>
        <v>62.5</v>
      </c>
      <c r="L15" s="47">
        <f t="shared" si="1"/>
        <v>18.75</v>
      </c>
      <c r="M15" s="47">
        <f t="shared" si="2"/>
        <v>18.75</v>
      </c>
      <c r="N15" s="68">
        <f t="shared" si="3"/>
        <v>100</v>
      </c>
      <c r="O15" s="46">
        <v>42.5</v>
      </c>
      <c r="P15" s="47">
        <v>5.4</v>
      </c>
      <c r="Q15" s="47">
        <v>11.4</v>
      </c>
      <c r="R15" s="48">
        <f t="shared" si="4"/>
        <v>59.3</v>
      </c>
      <c r="S15" s="29">
        <v>3</v>
      </c>
      <c r="T15" s="286"/>
      <c r="U15" s="295"/>
      <c r="V15" s="38" t="s">
        <v>1107</v>
      </c>
      <c r="W15" s="29" t="s">
        <v>74</v>
      </c>
      <c r="X15" s="29" t="s">
        <v>11</v>
      </c>
      <c r="Y15" s="39">
        <v>42.5</v>
      </c>
      <c r="Z15" s="29" t="s">
        <v>1108</v>
      </c>
      <c r="AA15" s="29" t="s">
        <v>869</v>
      </c>
      <c r="AB15" s="29" t="s">
        <v>12</v>
      </c>
      <c r="AC15" s="29">
        <v>11.4</v>
      </c>
      <c r="AD15" s="38" t="s">
        <v>1109</v>
      </c>
      <c r="AE15" s="29" t="s">
        <v>17</v>
      </c>
      <c r="AF15" s="29" t="s">
        <v>18</v>
      </c>
      <c r="AG15" s="39">
        <v>5.4</v>
      </c>
      <c r="AL15" s="38"/>
      <c r="AO15" s="39"/>
      <c r="AP15" s="38"/>
      <c r="AS15" s="39"/>
      <c r="AW15" s="39"/>
      <c r="BA15" s="40"/>
    </row>
    <row r="16" spans="1:53" s="171" customFormat="1" x14ac:dyDescent="0.15">
      <c r="A16" s="171">
        <v>1994</v>
      </c>
      <c r="B16" s="283">
        <v>34530</v>
      </c>
      <c r="C16" s="410" t="s">
        <v>1101</v>
      </c>
      <c r="D16" s="410"/>
      <c r="E16" s="171">
        <v>170</v>
      </c>
      <c r="F16" s="171">
        <v>1</v>
      </c>
      <c r="G16" s="233">
        <v>3</v>
      </c>
      <c r="I16" s="171">
        <v>11</v>
      </c>
      <c r="J16" s="241">
        <v>14</v>
      </c>
      <c r="K16" s="214">
        <f t="shared" si="0"/>
        <v>21.428571428571427</v>
      </c>
      <c r="L16" s="214">
        <f t="shared" si="1"/>
        <v>0</v>
      </c>
      <c r="M16" s="214">
        <f t="shared" si="2"/>
        <v>78.571428571428569</v>
      </c>
      <c r="N16" s="235">
        <f t="shared" si="3"/>
        <v>100</v>
      </c>
      <c r="O16" s="213">
        <v>17.899999999999999</v>
      </c>
      <c r="P16" s="214"/>
      <c r="Q16" s="214">
        <v>54.1</v>
      </c>
      <c r="R16" s="215">
        <f t="shared" si="4"/>
        <v>72</v>
      </c>
      <c r="S16" s="171">
        <v>3</v>
      </c>
      <c r="T16" s="285">
        <v>34482</v>
      </c>
      <c r="U16" s="283">
        <v>34530</v>
      </c>
      <c r="V16" s="178" t="s">
        <v>1110</v>
      </c>
      <c r="W16" s="171" t="s">
        <v>20</v>
      </c>
      <c r="X16" s="171" t="s">
        <v>12</v>
      </c>
      <c r="Y16" s="179">
        <v>54.1</v>
      </c>
      <c r="Z16" s="171" t="s">
        <v>1114</v>
      </c>
      <c r="AA16" s="171" t="s">
        <v>22</v>
      </c>
      <c r="AB16" s="171" t="s">
        <v>11</v>
      </c>
      <c r="AC16" s="171">
        <v>17.899999999999999</v>
      </c>
      <c r="AD16" s="178"/>
      <c r="AG16" s="179"/>
      <c r="AL16" s="178"/>
      <c r="AO16" s="179"/>
      <c r="AP16" s="178"/>
      <c r="AS16" s="179"/>
      <c r="AW16" s="179"/>
      <c r="BA16" s="180"/>
    </row>
    <row r="17" spans="1:53" s="171" customFormat="1" x14ac:dyDescent="0.15">
      <c r="A17" s="171">
        <v>1995</v>
      </c>
      <c r="B17" s="283"/>
      <c r="C17" s="410" t="s">
        <v>1101</v>
      </c>
      <c r="D17" s="410"/>
      <c r="E17" s="171">
        <v>59</v>
      </c>
      <c r="G17" s="233">
        <v>3</v>
      </c>
      <c r="I17" s="171">
        <v>11</v>
      </c>
      <c r="J17" s="241">
        <v>14</v>
      </c>
      <c r="K17" s="214">
        <f t="shared" si="0"/>
        <v>21.428571428571427</v>
      </c>
      <c r="L17" s="214">
        <f t="shared" si="1"/>
        <v>0</v>
      </c>
      <c r="M17" s="214">
        <f t="shared" si="2"/>
        <v>78.571428571428569</v>
      </c>
      <c r="N17" s="235">
        <f t="shared" si="3"/>
        <v>100</v>
      </c>
      <c r="O17" s="213">
        <v>17.899999999999999</v>
      </c>
      <c r="P17" s="214"/>
      <c r="Q17" s="214">
        <v>54.1</v>
      </c>
      <c r="R17" s="215">
        <f t="shared" si="4"/>
        <v>72</v>
      </c>
      <c r="S17" s="171">
        <v>3</v>
      </c>
      <c r="T17" s="285"/>
      <c r="U17" s="283"/>
      <c r="V17" s="178" t="s">
        <v>1110</v>
      </c>
      <c r="W17" s="171" t="s">
        <v>20</v>
      </c>
      <c r="X17" s="171" t="s">
        <v>12</v>
      </c>
      <c r="Y17" s="179">
        <v>54.1</v>
      </c>
      <c r="Z17" s="171" t="s">
        <v>1114</v>
      </c>
      <c r="AA17" s="171" t="s">
        <v>22</v>
      </c>
      <c r="AB17" s="171" t="s">
        <v>11</v>
      </c>
      <c r="AC17" s="171">
        <v>17.899999999999999</v>
      </c>
      <c r="AD17" s="178"/>
      <c r="AG17" s="179"/>
      <c r="AL17" s="178"/>
      <c r="AO17" s="179"/>
      <c r="AP17" s="178"/>
      <c r="AS17" s="179"/>
      <c r="AW17" s="179"/>
      <c r="BA17" s="180"/>
    </row>
    <row r="18" spans="1:53" s="171" customFormat="1" x14ac:dyDescent="0.15">
      <c r="A18" s="171">
        <v>1995</v>
      </c>
      <c r="B18" s="305">
        <v>34759</v>
      </c>
      <c r="C18" s="410" t="s">
        <v>1101</v>
      </c>
      <c r="D18" s="410"/>
      <c r="E18" s="171">
        <v>306</v>
      </c>
      <c r="F18" s="244">
        <v>0</v>
      </c>
      <c r="G18" s="233">
        <v>3</v>
      </c>
      <c r="I18" s="171">
        <v>12</v>
      </c>
      <c r="J18" s="241">
        <v>15</v>
      </c>
      <c r="K18" s="214">
        <f t="shared" si="0"/>
        <v>20</v>
      </c>
      <c r="L18" s="214">
        <f t="shared" si="1"/>
        <v>0</v>
      </c>
      <c r="M18" s="214">
        <f t="shared" si="2"/>
        <v>80</v>
      </c>
      <c r="N18" s="235">
        <f t="shared" si="3"/>
        <v>100</v>
      </c>
      <c r="O18" s="213">
        <v>17.899999999999999</v>
      </c>
      <c r="P18" s="214"/>
      <c r="Q18" s="214">
        <v>54.1</v>
      </c>
      <c r="R18" s="215">
        <f t="shared" si="4"/>
        <v>72</v>
      </c>
      <c r="S18" s="171">
        <v>3</v>
      </c>
      <c r="T18" s="285"/>
      <c r="U18" s="283"/>
      <c r="V18" s="178" t="s">
        <v>1110</v>
      </c>
      <c r="W18" s="171" t="s">
        <v>20</v>
      </c>
      <c r="X18" s="171" t="s">
        <v>12</v>
      </c>
      <c r="Y18" s="179">
        <v>54.1</v>
      </c>
      <c r="Z18" s="171" t="s">
        <v>1114</v>
      </c>
      <c r="AA18" s="171" t="s">
        <v>22</v>
      </c>
      <c r="AB18" s="171" t="s">
        <v>11</v>
      </c>
      <c r="AC18" s="171">
        <v>17.899999999999999</v>
      </c>
      <c r="AD18" s="178"/>
      <c r="AG18" s="179"/>
      <c r="AL18" s="178"/>
      <c r="AO18" s="179"/>
      <c r="AP18" s="178"/>
      <c r="AS18" s="179"/>
      <c r="AW18" s="179"/>
      <c r="BA18" s="180"/>
    </row>
    <row r="19" spans="1:53" s="171" customFormat="1" x14ac:dyDescent="0.15">
      <c r="A19" s="171">
        <v>1996</v>
      </c>
      <c r="B19" s="283"/>
      <c r="C19" s="410" t="s">
        <v>1101</v>
      </c>
      <c r="D19" s="410"/>
      <c r="E19" s="171">
        <v>0</v>
      </c>
      <c r="G19" s="233">
        <v>3</v>
      </c>
      <c r="I19" s="171">
        <v>12</v>
      </c>
      <c r="J19" s="241">
        <v>15</v>
      </c>
      <c r="K19" s="214">
        <f t="shared" si="0"/>
        <v>20</v>
      </c>
      <c r="L19" s="214">
        <f t="shared" si="1"/>
        <v>0</v>
      </c>
      <c r="M19" s="214">
        <f t="shared" si="2"/>
        <v>80</v>
      </c>
      <c r="N19" s="235">
        <f t="shared" si="3"/>
        <v>100</v>
      </c>
      <c r="O19" s="213">
        <v>17.899999999999999</v>
      </c>
      <c r="P19" s="214"/>
      <c r="Q19" s="214">
        <v>54.1</v>
      </c>
      <c r="R19" s="215">
        <f t="shared" si="4"/>
        <v>72</v>
      </c>
      <c r="S19" s="171">
        <v>3</v>
      </c>
      <c r="T19" s="285"/>
      <c r="U19" s="283"/>
      <c r="V19" s="178" t="s">
        <v>1110</v>
      </c>
      <c r="W19" s="171" t="s">
        <v>20</v>
      </c>
      <c r="X19" s="171" t="s">
        <v>12</v>
      </c>
      <c r="Y19" s="179">
        <v>54.1</v>
      </c>
      <c r="Z19" s="171" t="s">
        <v>1114</v>
      </c>
      <c r="AA19" s="171" t="s">
        <v>22</v>
      </c>
      <c r="AB19" s="171" t="s">
        <v>11</v>
      </c>
      <c r="AC19" s="171">
        <v>17.899999999999999</v>
      </c>
      <c r="AD19" s="178"/>
      <c r="AG19" s="179"/>
      <c r="AL19" s="178"/>
      <c r="AO19" s="179"/>
      <c r="AP19" s="178"/>
      <c r="AS19" s="179"/>
      <c r="AW19" s="179"/>
      <c r="BA19" s="180"/>
    </row>
    <row r="20" spans="1:53" s="171" customFormat="1" x14ac:dyDescent="0.15">
      <c r="A20" s="171">
        <v>1996</v>
      </c>
      <c r="B20" s="283"/>
      <c r="C20" s="410" t="s">
        <v>1101</v>
      </c>
      <c r="D20" s="410"/>
      <c r="E20" s="171">
        <v>366</v>
      </c>
      <c r="G20" s="233">
        <v>3</v>
      </c>
      <c r="I20" s="171">
        <v>12</v>
      </c>
      <c r="J20" s="241">
        <v>15</v>
      </c>
      <c r="K20" s="214">
        <f t="shared" si="0"/>
        <v>20</v>
      </c>
      <c r="L20" s="214">
        <f t="shared" si="1"/>
        <v>0</v>
      </c>
      <c r="M20" s="214">
        <f t="shared" si="2"/>
        <v>80</v>
      </c>
      <c r="N20" s="235">
        <f t="shared" si="3"/>
        <v>100</v>
      </c>
      <c r="O20" s="213">
        <v>17.899999999999999</v>
      </c>
      <c r="P20" s="214"/>
      <c r="Q20" s="214">
        <v>54.1</v>
      </c>
      <c r="R20" s="215">
        <f t="shared" si="4"/>
        <v>72</v>
      </c>
      <c r="S20" s="171">
        <v>3</v>
      </c>
      <c r="T20" s="285"/>
      <c r="U20" s="283"/>
      <c r="V20" s="178" t="s">
        <v>1110</v>
      </c>
      <c r="W20" s="171" t="s">
        <v>20</v>
      </c>
      <c r="X20" s="171" t="s">
        <v>12</v>
      </c>
      <c r="Y20" s="179">
        <v>54.1</v>
      </c>
      <c r="Z20" s="171" t="s">
        <v>1114</v>
      </c>
      <c r="AA20" s="171" t="s">
        <v>22</v>
      </c>
      <c r="AB20" s="171" t="s">
        <v>11</v>
      </c>
      <c r="AC20" s="171">
        <v>17.899999999999999</v>
      </c>
      <c r="AD20" s="178"/>
      <c r="AG20" s="179"/>
      <c r="AL20" s="178"/>
      <c r="AO20" s="179"/>
      <c r="AP20" s="178"/>
      <c r="AS20" s="179"/>
      <c r="AW20" s="179"/>
      <c r="BA20" s="180"/>
    </row>
    <row r="21" spans="1:53" s="171" customFormat="1" x14ac:dyDescent="0.15">
      <c r="A21" s="171">
        <v>1997</v>
      </c>
      <c r="B21" s="283"/>
      <c r="C21" s="410" t="s">
        <v>1101</v>
      </c>
      <c r="D21" s="410"/>
      <c r="E21" s="171">
        <v>0</v>
      </c>
      <c r="G21" s="233">
        <v>3</v>
      </c>
      <c r="I21" s="171">
        <v>12</v>
      </c>
      <c r="J21" s="241">
        <v>15</v>
      </c>
      <c r="K21" s="214">
        <f t="shared" si="0"/>
        <v>20</v>
      </c>
      <c r="L21" s="214">
        <f t="shared" si="1"/>
        <v>0</v>
      </c>
      <c r="M21" s="214">
        <f t="shared" si="2"/>
        <v>80</v>
      </c>
      <c r="N21" s="235">
        <f t="shared" si="3"/>
        <v>100</v>
      </c>
      <c r="O21" s="213">
        <v>17.899999999999999</v>
      </c>
      <c r="P21" s="214"/>
      <c r="Q21" s="214">
        <v>54.1</v>
      </c>
      <c r="R21" s="215">
        <f t="shared" si="4"/>
        <v>72</v>
      </c>
      <c r="S21" s="171">
        <v>3</v>
      </c>
      <c r="T21" s="285"/>
      <c r="U21" s="283"/>
      <c r="V21" s="178" t="s">
        <v>1110</v>
      </c>
      <c r="W21" s="171" t="s">
        <v>20</v>
      </c>
      <c r="X21" s="171" t="s">
        <v>12</v>
      </c>
      <c r="Y21" s="179">
        <v>54.1</v>
      </c>
      <c r="Z21" s="171" t="s">
        <v>1114</v>
      </c>
      <c r="AA21" s="171" t="s">
        <v>22</v>
      </c>
      <c r="AB21" s="171" t="s">
        <v>11</v>
      </c>
      <c r="AC21" s="171">
        <v>17.899999999999999</v>
      </c>
      <c r="AD21" s="178"/>
      <c r="AG21" s="179"/>
      <c r="AL21" s="178"/>
      <c r="AO21" s="179"/>
      <c r="AP21" s="178"/>
      <c r="AS21" s="179"/>
      <c r="AW21" s="179"/>
      <c r="BA21" s="180"/>
    </row>
    <row r="22" spans="1:53" s="171" customFormat="1" x14ac:dyDescent="0.15">
      <c r="A22" s="171">
        <v>1997</v>
      </c>
      <c r="B22" s="283"/>
      <c r="C22" s="410" t="s">
        <v>1101</v>
      </c>
      <c r="D22" s="410"/>
      <c r="E22" s="171">
        <v>365</v>
      </c>
      <c r="G22" s="233">
        <v>3</v>
      </c>
      <c r="I22" s="171">
        <v>12</v>
      </c>
      <c r="J22" s="241">
        <v>15</v>
      </c>
      <c r="K22" s="214">
        <f t="shared" si="0"/>
        <v>20</v>
      </c>
      <c r="L22" s="214">
        <f t="shared" si="1"/>
        <v>0</v>
      </c>
      <c r="M22" s="214">
        <f t="shared" si="2"/>
        <v>80</v>
      </c>
      <c r="N22" s="235">
        <f t="shared" si="3"/>
        <v>100</v>
      </c>
      <c r="O22" s="213">
        <v>17.899999999999999</v>
      </c>
      <c r="P22" s="214"/>
      <c r="Q22" s="214">
        <v>54.1</v>
      </c>
      <c r="R22" s="215">
        <f t="shared" si="4"/>
        <v>72</v>
      </c>
      <c r="S22" s="171">
        <v>3</v>
      </c>
      <c r="T22" s="285"/>
      <c r="U22" s="283"/>
      <c r="V22" s="178" t="s">
        <v>1110</v>
      </c>
      <c r="W22" s="171" t="s">
        <v>20</v>
      </c>
      <c r="X22" s="171" t="s">
        <v>12</v>
      </c>
      <c r="Y22" s="179">
        <v>54.1</v>
      </c>
      <c r="Z22" s="171" t="s">
        <v>1114</v>
      </c>
      <c r="AA22" s="171" t="s">
        <v>22</v>
      </c>
      <c r="AB22" s="171" t="s">
        <v>11</v>
      </c>
      <c r="AC22" s="171">
        <v>17.899999999999999</v>
      </c>
      <c r="AD22" s="178"/>
      <c r="AG22" s="179"/>
      <c r="AL22" s="178"/>
      <c r="AO22" s="179"/>
      <c r="AP22" s="178"/>
      <c r="AS22" s="179"/>
      <c r="AW22" s="179"/>
      <c r="BA22" s="180"/>
    </row>
    <row r="23" spans="1:53" s="171" customFormat="1" x14ac:dyDescent="0.15">
      <c r="A23" s="171">
        <v>1998</v>
      </c>
      <c r="B23" s="305">
        <v>35796</v>
      </c>
      <c r="C23" s="410" t="s">
        <v>1101</v>
      </c>
      <c r="D23" s="410"/>
      <c r="E23" s="171">
        <v>186</v>
      </c>
      <c r="F23" s="244">
        <v>0</v>
      </c>
      <c r="G23" s="233">
        <v>3</v>
      </c>
      <c r="I23" s="171">
        <v>11</v>
      </c>
      <c r="J23" s="241">
        <v>14</v>
      </c>
      <c r="K23" s="214">
        <f t="shared" si="0"/>
        <v>21.428571428571427</v>
      </c>
      <c r="L23" s="214">
        <f t="shared" si="1"/>
        <v>0</v>
      </c>
      <c r="M23" s="214">
        <f t="shared" si="2"/>
        <v>78.571428571428569</v>
      </c>
      <c r="N23" s="235">
        <f t="shared" si="3"/>
        <v>100</v>
      </c>
      <c r="O23" s="213">
        <v>17.899999999999999</v>
      </c>
      <c r="P23" s="214"/>
      <c r="Q23" s="214">
        <v>54.1</v>
      </c>
      <c r="R23" s="215">
        <f t="shared" si="4"/>
        <v>72</v>
      </c>
      <c r="S23" s="171">
        <v>3</v>
      </c>
      <c r="T23" s="285"/>
      <c r="U23" s="283"/>
      <c r="V23" s="178" t="s">
        <v>1110</v>
      </c>
      <c r="W23" s="171" t="s">
        <v>20</v>
      </c>
      <c r="X23" s="171" t="s">
        <v>12</v>
      </c>
      <c r="Y23" s="179">
        <v>54.1</v>
      </c>
      <c r="Z23" s="171" t="s">
        <v>1114</v>
      </c>
      <c r="AA23" s="171" t="s">
        <v>22</v>
      </c>
      <c r="AB23" s="171" t="s">
        <v>11</v>
      </c>
      <c r="AC23" s="171">
        <v>17.899999999999999</v>
      </c>
      <c r="AD23" s="178"/>
      <c r="AG23" s="179"/>
      <c r="AL23" s="178"/>
      <c r="AO23" s="179"/>
      <c r="AP23" s="178"/>
      <c r="AS23" s="179"/>
      <c r="AW23" s="179"/>
      <c r="BA23" s="180"/>
    </row>
    <row r="24" spans="1:53" s="29" customFormat="1" x14ac:dyDescent="0.15">
      <c r="A24" s="29">
        <v>1998</v>
      </c>
      <c r="B24" s="295">
        <v>35982</v>
      </c>
      <c r="C24" s="411" t="s">
        <v>1111</v>
      </c>
      <c r="D24" s="411"/>
      <c r="E24" s="29">
        <v>179</v>
      </c>
      <c r="F24" s="29">
        <v>1</v>
      </c>
      <c r="G24" s="66">
        <v>13</v>
      </c>
      <c r="I24" s="29">
        <v>4</v>
      </c>
      <c r="J24" s="73">
        <v>17</v>
      </c>
      <c r="K24" s="47">
        <f t="shared" si="0"/>
        <v>76.470588235294116</v>
      </c>
      <c r="L24" s="47">
        <f t="shared" si="1"/>
        <v>0</v>
      </c>
      <c r="M24" s="47">
        <f t="shared" si="2"/>
        <v>23.52941176470588</v>
      </c>
      <c r="N24" s="68">
        <f t="shared" si="3"/>
        <v>100</v>
      </c>
      <c r="O24" s="46">
        <v>42.7</v>
      </c>
      <c r="P24" s="47"/>
      <c r="Q24" s="47">
        <v>12.4</v>
      </c>
      <c r="R24" s="48">
        <f t="shared" si="4"/>
        <v>55.1</v>
      </c>
      <c r="S24" s="29">
        <v>3</v>
      </c>
      <c r="T24" s="286">
        <v>35939</v>
      </c>
      <c r="U24" s="295">
        <v>35982</v>
      </c>
      <c r="V24" s="38" t="s">
        <v>1113</v>
      </c>
      <c r="W24" s="29" t="s">
        <v>78</v>
      </c>
      <c r="X24" s="29" t="s">
        <v>11</v>
      </c>
      <c r="Y24" s="39">
        <v>38.299999999999997</v>
      </c>
      <c r="Z24" s="29" t="s">
        <v>1108</v>
      </c>
      <c r="AA24" s="29" t="s">
        <v>869</v>
      </c>
      <c r="AB24" s="29" t="s">
        <v>12</v>
      </c>
      <c r="AC24" s="29">
        <v>12.4</v>
      </c>
      <c r="AD24" s="38" t="s">
        <v>1107</v>
      </c>
      <c r="AE24" s="29" t="s">
        <v>74</v>
      </c>
      <c r="AF24" s="29" t="s">
        <v>11</v>
      </c>
      <c r="AG24" s="39">
        <v>4.4000000000000004</v>
      </c>
      <c r="AL24" s="38"/>
      <c r="AO24" s="39"/>
      <c r="AP24" s="38"/>
      <c r="AS24" s="39"/>
      <c r="AW24" s="39"/>
      <c r="BA24" s="40"/>
    </row>
    <row r="25" spans="1:53" s="29" customFormat="1" x14ac:dyDescent="0.15">
      <c r="A25" s="29">
        <v>1999</v>
      </c>
      <c r="B25" s="303">
        <v>36161</v>
      </c>
      <c r="C25" s="411" t="s">
        <v>1111</v>
      </c>
      <c r="D25" s="411"/>
      <c r="E25" s="29">
        <v>0</v>
      </c>
      <c r="F25" s="84">
        <v>0</v>
      </c>
      <c r="G25" s="66">
        <v>14</v>
      </c>
      <c r="I25" s="29">
        <v>4</v>
      </c>
      <c r="J25" s="73">
        <v>18</v>
      </c>
      <c r="K25" s="47">
        <f t="shared" si="0"/>
        <v>77.777777777777786</v>
      </c>
      <c r="L25" s="47">
        <f t="shared" si="1"/>
        <v>0</v>
      </c>
      <c r="M25" s="47">
        <f t="shared" si="2"/>
        <v>22.222222222222221</v>
      </c>
      <c r="N25" s="68">
        <f t="shared" si="3"/>
        <v>100</v>
      </c>
      <c r="O25" s="46">
        <v>42.7</v>
      </c>
      <c r="P25" s="47"/>
      <c r="Q25" s="47">
        <v>12.4</v>
      </c>
      <c r="R25" s="48">
        <f t="shared" si="4"/>
        <v>55.1</v>
      </c>
      <c r="S25" s="29">
        <v>3</v>
      </c>
      <c r="T25" s="286"/>
      <c r="U25" s="295"/>
      <c r="V25" s="38" t="s">
        <v>1113</v>
      </c>
      <c r="W25" s="29" t="s">
        <v>78</v>
      </c>
      <c r="X25" s="29" t="s">
        <v>11</v>
      </c>
      <c r="Y25" s="39">
        <v>38.299999999999997</v>
      </c>
      <c r="Z25" s="29" t="s">
        <v>1108</v>
      </c>
      <c r="AA25" s="29" t="s">
        <v>869</v>
      </c>
      <c r="AB25" s="29" t="s">
        <v>12</v>
      </c>
      <c r="AC25" s="29">
        <v>12.4</v>
      </c>
      <c r="AD25" s="38" t="s">
        <v>1107</v>
      </c>
      <c r="AE25" s="29" t="s">
        <v>74</v>
      </c>
      <c r="AF25" s="29" t="s">
        <v>11</v>
      </c>
      <c r="AG25" s="39">
        <v>4.4000000000000004</v>
      </c>
      <c r="AL25" s="38"/>
      <c r="AO25" s="39"/>
      <c r="AP25" s="38"/>
      <c r="AS25" s="39"/>
      <c r="AW25" s="39"/>
      <c r="BA25" s="40"/>
    </row>
    <row r="26" spans="1:53" s="29" customFormat="1" x14ac:dyDescent="0.15">
      <c r="A26" s="29">
        <v>1999</v>
      </c>
      <c r="B26" s="295"/>
      <c r="C26" s="411" t="s">
        <v>1111</v>
      </c>
      <c r="D26" s="411"/>
      <c r="E26" s="29">
        <v>365</v>
      </c>
      <c r="G26" s="66">
        <v>14</v>
      </c>
      <c r="I26" s="29">
        <v>4</v>
      </c>
      <c r="J26" s="73">
        <v>18</v>
      </c>
      <c r="K26" s="47">
        <f t="shared" si="0"/>
        <v>77.777777777777786</v>
      </c>
      <c r="L26" s="47">
        <f t="shared" si="1"/>
        <v>0</v>
      </c>
      <c r="M26" s="47">
        <f t="shared" si="2"/>
        <v>22.222222222222221</v>
      </c>
      <c r="N26" s="68">
        <f t="shared" si="3"/>
        <v>100</v>
      </c>
      <c r="O26" s="46">
        <v>42.7</v>
      </c>
      <c r="P26" s="47"/>
      <c r="Q26" s="47">
        <v>12.4</v>
      </c>
      <c r="R26" s="48">
        <f t="shared" si="4"/>
        <v>55.1</v>
      </c>
      <c r="S26" s="29">
        <v>3</v>
      </c>
      <c r="T26" s="286"/>
      <c r="U26" s="295"/>
      <c r="V26" s="38" t="s">
        <v>1113</v>
      </c>
      <c r="W26" s="29" t="s">
        <v>78</v>
      </c>
      <c r="X26" s="29" t="s">
        <v>11</v>
      </c>
      <c r="Y26" s="39">
        <v>38.299999999999997</v>
      </c>
      <c r="Z26" s="29" t="s">
        <v>1108</v>
      </c>
      <c r="AA26" s="29" t="s">
        <v>869</v>
      </c>
      <c r="AB26" s="29" t="s">
        <v>12</v>
      </c>
      <c r="AC26" s="29">
        <v>12.4</v>
      </c>
      <c r="AD26" s="38" t="s">
        <v>1107</v>
      </c>
      <c r="AE26" s="29" t="s">
        <v>74</v>
      </c>
      <c r="AF26" s="29" t="s">
        <v>11</v>
      </c>
      <c r="AG26" s="39">
        <v>4.4000000000000004</v>
      </c>
      <c r="AL26" s="38"/>
      <c r="AO26" s="39"/>
      <c r="AP26" s="38"/>
      <c r="AS26" s="39"/>
      <c r="AW26" s="39"/>
      <c r="BA26" s="40"/>
    </row>
    <row r="27" spans="1:53" s="29" customFormat="1" x14ac:dyDescent="0.15">
      <c r="A27" s="29">
        <v>2000</v>
      </c>
      <c r="B27" s="295"/>
      <c r="C27" s="411" t="s">
        <v>1111</v>
      </c>
      <c r="D27" s="411"/>
      <c r="E27" s="29">
        <v>0</v>
      </c>
      <c r="G27" s="66">
        <v>14</v>
      </c>
      <c r="I27" s="29">
        <v>4</v>
      </c>
      <c r="J27" s="73">
        <v>18</v>
      </c>
      <c r="K27" s="47">
        <f t="shared" si="0"/>
        <v>77.777777777777786</v>
      </c>
      <c r="L27" s="47">
        <f t="shared" si="1"/>
        <v>0</v>
      </c>
      <c r="M27" s="47">
        <f t="shared" si="2"/>
        <v>22.222222222222221</v>
      </c>
      <c r="N27" s="68">
        <f t="shared" si="3"/>
        <v>100</v>
      </c>
      <c r="O27" s="46">
        <v>42.7</v>
      </c>
      <c r="P27" s="47"/>
      <c r="Q27" s="47">
        <v>12.4</v>
      </c>
      <c r="R27" s="48">
        <f t="shared" si="4"/>
        <v>55.1</v>
      </c>
      <c r="S27" s="29">
        <v>3</v>
      </c>
      <c r="T27" s="286"/>
      <c r="U27" s="295"/>
      <c r="V27" s="38" t="s">
        <v>1113</v>
      </c>
      <c r="W27" s="29" t="s">
        <v>78</v>
      </c>
      <c r="X27" s="29" t="s">
        <v>11</v>
      </c>
      <c r="Y27" s="39">
        <v>38.299999999999997</v>
      </c>
      <c r="Z27" s="29" t="s">
        <v>1108</v>
      </c>
      <c r="AA27" s="29" t="s">
        <v>869</v>
      </c>
      <c r="AB27" s="29" t="s">
        <v>12</v>
      </c>
      <c r="AC27" s="29">
        <v>12.4</v>
      </c>
      <c r="AD27" s="38" t="s">
        <v>1107</v>
      </c>
      <c r="AE27" s="29" t="s">
        <v>74</v>
      </c>
      <c r="AF27" s="29" t="s">
        <v>11</v>
      </c>
      <c r="AG27" s="39">
        <v>4.4000000000000004</v>
      </c>
      <c r="AL27" s="38"/>
      <c r="AO27" s="39"/>
      <c r="AP27" s="38"/>
      <c r="AS27" s="39"/>
      <c r="AW27" s="39"/>
      <c r="BA27" s="40"/>
    </row>
    <row r="28" spans="1:53" s="29" customFormat="1" x14ac:dyDescent="0.15">
      <c r="A28" s="29">
        <v>2000</v>
      </c>
      <c r="B28" s="295"/>
      <c r="C28" s="411" t="s">
        <v>1111</v>
      </c>
      <c r="D28" s="411"/>
      <c r="E28" s="29">
        <v>366</v>
      </c>
      <c r="G28" s="66">
        <v>14</v>
      </c>
      <c r="I28" s="29">
        <v>4</v>
      </c>
      <c r="J28" s="73">
        <v>18</v>
      </c>
      <c r="K28" s="47">
        <f t="shared" si="0"/>
        <v>77.777777777777786</v>
      </c>
      <c r="L28" s="47">
        <f t="shared" si="1"/>
        <v>0</v>
      </c>
      <c r="M28" s="47">
        <f t="shared" si="2"/>
        <v>22.222222222222221</v>
      </c>
      <c r="N28" s="68">
        <f t="shared" si="3"/>
        <v>100</v>
      </c>
      <c r="O28" s="46">
        <v>42.7</v>
      </c>
      <c r="P28" s="47"/>
      <c r="Q28" s="47">
        <v>12.4</v>
      </c>
      <c r="R28" s="48">
        <f t="shared" si="4"/>
        <v>55.1</v>
      </c>
      <c r="S28" s="29">
        <v>3</v>
      </c>
      <c r="T28" s="286"/>
      <c r="U28" s="295"/>
      <c r="V28" s="38" t="s">
        <v>1113</v>
      </c>
      <c r="W28" s="29" t="s">
        <v>78</v>
      </c>
      <c r="X28" s="29" t="s">
        <v>11</v>
      </c>
      <c r="Y28" s="39">
        <v>38.299999999999997</v>
      </c>
      <c r="Z28" s="29" t="s">
        <v>1108</v>
      </c>
      <c r="AA28" s="29" t="s">
        <v>869</v>
      </c>
      <c r="AB28" s="29" t="s">
        <v>12</v>
      </c>
      <c r="AC28" s="29">
        <v>12.4</v>
      </c>
      <c r="AD28" s="38" t="s">
        <v>1107</v>
      </c>
      <c r="AE28" s="29" t="s">
        <v>74</v>
      </c>
      <c r="AF28" s="29" t="s">
        <v>11</v>
      </c>
      <c r="AG28" s="39">
        <v>4.4000000000000004</v>
      </c>
      <c r="AL28" s="38"/>
      <c r="AO28" s="39"/>
      <c r="AP28" s="38"/>
      <c r="AS28" s="39"/>
      <c r="AW28" s="39"/>
      <c r="BA28" s="40"/>
    </row>
    <row r="29" spans="1:53" s="29" customFormat="1" x14ac:dyDescent="0.15">
      <c r="A29" s="29">
        <v>2001</v>
      </c>
      <c r="B29" s="303">
        <v>36892</v>
      </c>
      <c r="C29" s="411" t="s">
        <v>1111</v>
      </c>
      <c r="D29" s="411"/>
      <c r="E29" s="29">
        <v>0</v>
      </c>
      <c r="F29" s="84">
        <v>0</v>
      </c>
      <c r="G29" s="66">
        <v>14</v>
      </c>
      <c r="I29" s="29">
        <v>4</v>
      </c>
      <c r="J29" s="73">
        <v>18</v>
      </c>
      <c r="K29" s="47">
        <f t="shared" si="0"/>
        <v>77.777777777777786</v>
      </c>
      <c r="L29" s="47">
        <f t="shared" si="1"/>
        <v>0</v>
      </c>
      <c r="M29" s="47">
        <f t="shared" si="2"/>
        <v>22.222222222222221</v>
      </c>
      <c r="N29" s="68">
        <f t="shared" si="3"/>
        <v>100</v>
      </c>
      <c r="O29" s="46">
        <v>42.7</v>
      </c>
      <c r="P29" s="47"/>
      <c r="Q29" s="47">
        <v>12.4</v>
      </c>
      <c r="R29" s="48">
        <f t="shared" si="4"/>
        <v>55.1</v>
      </c>
      <c r="S29" s="29">
        <v>3</v>
      </c>
      <c r="T29" s="286"/>
      <c r="U29" s="295"/>
      <c r="V29" s="38" t="s">
        <v>1113</v>
      </c>
      <c r="W29" s="29" t="s">
        <v>78</v>
      </c>
      <c r="X29" s="29" t="s">
        <v>11</v>
      </c>
      <c r="Y29" s="39">
        <v>38.299999999999997</v>
      </c>
      <c r="Z29" s="29" t="s">
        <v>1108</v>
      </c>
      <c r="AA29" s="29" t="s">
        <v>869</v>
      </c>
      <c r="AB29" s="29" t="s">
        <v>12</v>
      </c>
      <c r="AC29" s="29">
        <v>12.4</v>
      </c>
      <c r="AD29" s="38" t="s">
        <v>1107</v>
      </c>
      <c r="AE29" s="29" t="s">
        <v>74</v>
      </c>
      <c r="AF29" s="29" t="s">
        <v>11</v>
      </c>
      <c r="AG29" s="39">
        <v>4.4000000000000004</v>
      </c>
      <c r="AL29" s="38"/>
      <c r="AO29" s="39"/>
      <c r="AP29" s="38"/>
      <c r="AS29" s="39"/>
      <c r="AW29" s="39"/>
      <c r="BA29" s="40"/>
    </row>
    <row r="30" spans="1:53" s="29" customFormat="1" x14ac:dyDescent="0.15">
      <c r="A30" s="29">
        <v>2001</v>
      </c>
      <c r="B30" s="295"/>
      <c r="C30" s="411" t="s">
        <v>1111</v>
      </c>
      <c r="D30" s="411"/>
      <c r="E30" s="29">
        <v>365</v>
      </c>
      <c r="G30" s="66">
        <v>14</v>
      </c>
      <c r="I30" s="29">
        <v>4</v>
      </c>
      <c r="J30" s="73">
        <v>18</v>
      </c>
      <c r="K30" s="47">
        <f t="shared" si="0"/>
        <v>77.777777777777786</v>
      </c>
      <c r="L30" s="47">
        <f t="shared" si="1"/>
        <v>0</v>
      </c>
      <c r="M30" s="47">
        <f t="shared" si="2"/>
        <v>22.222222222222221</v>
      </c>
      <c r="N30" s="68">
        <f t="shared" si="3"/>
        <v>100</v>
      </c>
      <c r="O30" s="46">
        <v>42.7</v>
      </c>
      <c r="P30" s="47"/>
      <c r="Q30" s="47">
        <v>12.4</v>
      </c>
      <c r="R30" s="48">
        <f t="shared" si="4"/>
        <v>55.1</v>
      </c>
      <c r="S30" s="29">
        <v>3</v>
      </c>
      <c r="T30" s="286"/>
      <c r="U30" s="295"/>
      <c r="V30" s="38" t="s">
        <v>1113</v>
      </c>
      <c r="W30" s="29" t="s">
        <v>78</v>
      </c>
      <c r="X30" s="29" t="s">
        <v>11</v>
      </c>
      <c r="Y30" s="39">
        <v>38.299999999999997</v>
      </c>
      <c r="Z30" s="29" t="s">
        <v>1108</v>
      </c>
      <c r="AA30" s="29" t="s">
        <v>869</v>
      </c>
      <c r="AB30" s="29" t="s">
        <v>12</v>
      </c>
      <c r="AC30" s="29">
        <v>12.4</v>
      </c>
      <c r="AD30" s="38" t="s">
        <v>1107</v>
      </c>
      <c r="AE30" s="29" t="s">
        <v>74</v>
      </c>
      <c r="AF30" s="29" t="s">
        <v>11</v>
      </c>
      <c r="AG30" s="39">
        <v>4.4000000000000004</v>
      </c>
      <c r="AL30" s="38"/>
      <c r="AO30" s="39"/>
      <c r="AP30" s="38"/>
      <c r="AS30" s="39"/>
      <c r="AW30" s="39"/>
      <c r="BA30" s="40"/>
    </row>
    <row r="31" spans="1:53" s="29" customFormat="1" x14ac:dyDescent="0.15">
      <c r="A31" s="29">
        <v>2002</v>
      </c>
      <c r="B31" s="295"/>
      <c r="C31" s="411" t="s">
        <v>1111</v>
      </c>
      <c r="D31" s="411"/>
      <c r="E31" s="29">
        <v>146</v>
      </c>
      <c r="G31" s="66">
        <v>14</v>
      </c>
      <c r="I31" s="29">
        <v>4</v>
      </c>
      <c r="J31" s="73">
        <v>18</v>
      </c>
      <c r="K31" s="47">
        <f t="shared" si="0"/>
        <v>77.777777777777786</v>
      </c>
      <c r="L31" s="47">
        <f t="shared" si="1"/>
        <v>0</v>
      </c>
      <c r="M31" s="47">
        <f t="shared" si="2"/>
        <v>22.222222222222221</v>
      </c>
      <c r="N31" s="68">
        <f t="shared" si="3"/>
        <v>100</v>
      </c>
      <c r="O31" s="46">
        <v>42.7</v>
      </c>
      <c r="P31" s="47"/>
      <c r="Q31" s="47">
        <v>12.4</v>
      </c>
      <c r="R31" s="48">
        <f t="shared" si="4"/>
        <v>55.1</v>
      </c>
      <c r="S31" s="29">
        <v>3</v>
      </c>
      <c r="T31" s="286"/>
      <c r="U31" s="295"/>
      <c r="V31" s="38" t="s">
        <v>1113</v>
      </c>
      <c r="W31" s="29" t="s">
        <v>78</v>
      </c>
      <c r="X31" s="29" t="s">
        <v>11</v>
      </c>
      <c r="Y31" s="39">
        <v>38.299999999999997</v>
      </c>
      <c r="Z31" s="29" t="s">
        <v>1108</v>
      </c>
      <c r="AA31" s="29" t="s">
        <v>869</v>
      </c>
      <c r="AB31" s="29" t="s">
        <v>12</v>
      </c>
      <c r="AC31" s="29">
        <v>12.4</v>
      </c>
      <c r="AD31" s="38" t="s">
        <v>1107</v>
      </c>
      <c r="AE31" s="29" t="s">
        <v>74</v>
      </c>
      <c r="AF31" s="29" t="s">
        <v>11</v>
      </c>
      <c r="AG31" s="39">
        <v>4.4000000000000004</v>
      </c>
      <c r="AL31" s="38"/>
      <c r="AO31" s="39"/>
      <c r="AP31" s="38"/>
      <c r="AS31" s="39"/>
      <c r="AW31" s="39"/>
      <c r="BA31" s="40"/>
    </row>
    <row r="32" spans="1:53" s="171" customFormat="1" x14ac:dyDescent="0.15">
      <c r="A32" s="171">
        <v>2002</v>
      </c>
      <c r="B32" s="283">
        <v>37403</v>
      </c>
      <c r="C32" s="410" t="s">
        <v>1102</v>
      </c>
      <c r="D32" s="410"/>
      <c r="E32" s="171">
        <v>219</v>
      </c>
      <c r="F32" s="171">
        <v>1</v>
      </c>
      <c r="G32" s="233">
        <v>4</v>
      </c>
      <c r="I32" s="171">
        <v>11</v>
      </c>
      <c r="J32" s="241">
        <v>15</v>
      </c>
      <c r="K32" s="214">
        <f t="shared" si="0"/>
        <v>26.666666666666668</v>
      </c>
      <c r="L32" s="214">
        <f t="shared" si="1"/>
        <v>0</v>
      </c>
      <c r="M32" s="214">
        <f t="shared" si="2"/>
        <v>73.333333333333329</v>
      </c>
      <c r="N32" s="235">
        <f t="shared" si="3"/>
        <v>100</v>
      </c>
      <c r="O32" s="213">
        <v>5.2</v>
      </c>
      <c r="P32" s="214"/>
      <c r="Q32" s="214">
        <v>46.1</v>
      </c>
      <c r="R32" s="215">
        <f t="shared" si="4"/>
        <v>51.300000000000004</v>
      </c>
      <c r="S32" s="171">
        <v>2</v>
      </c>
      <c r="T32" s="285">
        <v>37367</v>
      </c>
      <c r="U32" s="283">
        <v>37403</v>
      </c>
      <c r="V32" s="178" t="s">
        <v>1110</v>
      </c>
      <c r="W32" s="171" t="s">
        <v>20</v>
      </c>
      <c r="X32" s="171" t="s">
        <v>12</v>
      </c>
      <c r="Y32" s="179">
        <v>46.1</v>
      </c>
      <c r="Z32" s="171" t="s">
        <v>1114</v>
      </c>
      <c r="AA32" s="171" t="s">
        <v>22</v>
      </c>
      <c r="AB32" s="171" t="s">
        <v>11</v>
      </c>
      <c r="AC32" s="171">
        <v>5.2</v>
      </c>
      <c r="AD32" s="178"/>
      <c r="AG32" s="179"/>
      <c r="AL32" s="178"/>
      <c r="AO32" s="179"/>
      <c r="AP32" s="178"/>
      <c r="AS32" s="179"/>
      <c r="AW32" s="179"/>
      <c r="BA32" s="180"/>
    </row>
    <row r="33" spans="1:53" s="171" customFormat="1" x14ac:dyDescent="0.15">
      <c r="A33" s="171">
        <v>2003</v>
      </c>
      <c r="B33" s="283"/>
      <c r="C33" s="410" t="s">
        <v>1102</v>
      </c>
      <c r="D33" s="410"/>
      <c r="E33" s="171">
        <v>134</v>
      </c>
      <c r="G33" s="233">
        <v>4</v>
      </c>
      <c r="I33" s="171">
        <v>11</v>
      </c>
      <c r="J33" s="241">
        <v>15</v>
      </c>
      <c r="K33" s="214">
        <f t="shared" si="0"/>
        <v>26.666666666666668</v>
      </c>
      <c r="L33" s="214">
        <f t="shared" si="1"/>
        <v>0</v>
      </c>
      <c r="M33" s="214">
        <f t="shared" si="2"/>
        <v>73.333333333333329</v>
      </c>
      <c r="N33" s="235">
        <f t="shared" si="3"/>
        <v>100</v>
      </c>
      <c r="O33" s="213">
        <v>5.2</v>
      </c>
      <c r="P33" s="214"/>
      <c r="Q33" s="214">
        <v>46.1</v>
      </c>
      <c r="R33" s="215">
        <f t="shared" si="4"/>
        <v>51.300000000000004</v>
      </c>
      <c r="S33" s="171">
        <v>2</v>
      </c>
      <c r="T33" s="285"/>
      <c r="U33" s="283"/>
      <c r="V33" s="178" t="s">
        <v>1110</v>
      </c>
      <c r="W33" s="171" t="s">
        <v>20</v>
      </c>
      <c r="X33" s="171" t="s">
        <v>12</v>
      </c>
      <c r="Y33" s="179">
        <v>46.1</v>
      </c>
      <c r="Z33" s="171" t="s">
        <v>1114</v>
      </c>
      <c r="AA33" s="171" t="s">
        <v>22</v>
      </c>
      <c r="AB33" s="171" t="s">
        <v>11</v>
      </c>
      <c r="AC33" s="171">
        <v>5.2</v>
      </c>
      <c r="AD33" s="178"/>
      <c r="AG33" s="179"/>
      <c r="AL33" s="178"/>
      <c r="AO33" s="179"/>
      <c r="AP33" s="178"/>
      <c r="AS33" s="179"/>
      <c r="AW33" s="179"/>
      <c r="BA33" s="180"/>
    </row>
    <row r="34" spans="1:53" s="171" customFormat="1" x14ac:dyDescent="0.15">
      <c r="A34" s="171">
        <v>2003</v>
      </c>
      <c r="B34" s="305">
        <v>37756</v>
      </c>
      <c r="C34" s="410" t="s">
        <v>1102</v>
      </c>
      <c r="D34" s="410"/>
      <c r="E34" s="171">
        <v>231</v>
      </c>
      <c r="F34" s="244">
        <v>0</v>
      </c>
      <c r="G34" s="233">
        <v>4</v>
      </c>
      <c r="I34" s="171">
        <v>13</v>
      </c>
      <c r="J34" s="241">
        <v>17</v>
      </c>
      <c r="K34" s="214">
        <f t="shared" si="0"/>
        <v>23.52941176470588</v>
      </c>
      <c r="L34" s="214">
        <f t="shared" si="1"/>
        <v>0</v>
      </c>
      <c r="M34" s="214">
        <f t="shared" si="2"/>
        <v>76.470588235294116</v>
      </c>
      <c r="N34" s="235">
        <f t="shared" si="3"/>
        <v>100</v>
      </c>
      <c r="O34" s="213">
        <v>5.2</v>
      </c>
      <c r="P34" s="214"/>
      <c r="Q34" s="214">
        <v>46.1</v>
      </c>
      <c r="R34" s="215">
        <f t="shared" si="4"/>
        <v>51.300000000000004</v>
      </c>
      <c r="S34" s="171">
        <v>2</v>
      </c>
      <c r="T34" s="285"/>
      <c r="U34" s="283"/>
      <c r="V34" s="178" t="s">
        <v>1110</v>
      </c>
      <c r="W34" s="171" t="s">
        <v>20</v>
      </c>
      <c r="X34" s="171" t="s">
        <v>12</v>
      </c>
      <c r="Y34" s="179">
        <v>46.1</v>
      </c>
      <c r="Z34" s="171" t="s">
        <v>1114</v>
      </c>
      <c r="AA34" s="171" t="s">
        <v>22</v>
      </c>
      <c r="AB34" s="171" t="s">
        <v>11</v>
      </c>
      <c r="AC34" s="171">
        <v>5.2</v>
      </c>
      <c r="AD34" s="178"/>
      <c r="AG34" s="179"/>
      <c r="AL34" s="178"/>
      <c r="AO34" s="179"/>
      <c r="AP34" s="178"/>
      <c r="AS34" s="179"/>
      <c r="AW34" s="179"/>
      <c r="BA34" s="180"/>
    </row>
    <row r="35" spans="1:53" s="171" customFormat="1" x14ac:dyDescent="0.15">
      <c r="A35" s="171">
        <v>2004</v>
      </c>
      <c r="B35" s="283"/>
      <c r="C35" s="410" t="s">
        <v>1102</v>
      </c>
      <c r="D35" s="410"/>
      <c r="E35" s="171">
        <v>272</v>
      </c>
      <c r="G35" s="233">
        <v>4</v>
      </c>
      <c r="I35" s="171">
        <v>13</v>
      </c>
      <c r="J35" s="241">
        <v>17</v>
      </c>
      <c r="K35" s="214">
        <f t="shared" si="0"/>
        <v>23.52941176470588</v>
      </c>
      <c r="L35" s="214">
        <f t="shared" si="1"/>
        <v>0</v>
      </c>
      <c r="M35" s="214">
        <f t="shared" si="2"/>
        <v>76.470588235294116</v>
      </c>
      <c r="N35" s="235">
        <f t="shared" si="3"/>
        <v>100</v>
      </c>
      <c r="O35" s="213">
        <v>5.2</v>
      </c>
      <c r="P35" s="214"/>
      <c r="Q35" s="214">
        <v>46.1</v>
      </c>
      <c r="R35" s="215">
        <f t="shared" si="4"/>
        <v>51.300000000000004</v>
      </c>
      <c r="S35" s="171">
        <v>2</v>
      </c>
      <c r="T35" s="285"/>
      <c r="U35" s="283"/>
      <c r="V35" s="178" t="s">
        <v>1110</v>
      </c>
      <c r="W35" s="171" t="s">
        <v>20</v>
      </c>
      <c r="X35" s="171" t="s">
        <v>12</v>
      </c>
      <c r="Y35" s="179">
        <v>46.1</v>
      </c>
      <c r="Z35" s="171" t="s">
        <v>1114</v>
      </c>
      <c r="AA35" s="171" t="s">
        <v>22</v>
      </c>
      <c r="AB35" s="171" t="s">
        <v>11</v>
      </c>
      <c r="AC35" s="171">
        <v>5.2</v>
      </c>
      <c r="AD35" s="178"/>
      <c r="AG35" s="179"/>
      <c r="AL35" s="178"/>
      <c r="AO35" s="179"/>
      <c r="AP35" s="178"/>
      <c r="AS35" s="179"/>
      <c r="AW35" s="179"/>
      <c r="BA35" s="180"/>
    </row>
    <row r="36" spans="1:53" s="29" customFormat="1" x14ac:dyDescent="0.15">
      <c r="A36" s="29">
        <v>2004</v>
      </c>
      <c r="B36" s="277">
        <v>38259</v>
      </c>
      <c r="C36" s="411" t="s">
        <v>1103</v>
      </c>
      <c r="D36" s="411"/>
      <c r="E36" s="29">
        <v>94</v>
      </c>
      <c r="F36" s="29">
        <v>2</v>
      </c>
      <c r="G36" s="267">
        <v>4</v>
      </c>
      <c r="H36" s="167"/>
      <c r="I36" s="167">
        <v>14</v>
      </c>
      <c r="J36" s="268">
        <v>18</v>
      </c>
      <c r="K36" s="47">
        <f t="shared" si="0"/>
        <v>22.222222222222221</v>
      </c>
      <c r="L36" s="47">
        <f t="shared" si="1"/>
        <v>0</v>
      </c>
      <c r="M36" s="47">
        <f t="shared" si="2"/>
        <v>77.777777777777786</v>
      </c>
      <c r="N36" s="68">
        <f t="shared" si="3"/>
        <v>100</v>
      </c>
      <c r="O36" s="46">
        <v>5.2</v>
      </c>
      <c r="P36" s="47"/>
      <c r="Q36" s="47">
        <v>46.1</v>
      </c>
      <c r="R36" s="48">
        <f>SUM(O36:Q36)</f>
        <v>51.300000000000004</v>
      </c>
      <c r="S36" s="29">
        <v>2</v>
      </c>
      <c r="T36" s="286"/>
      <c r="U36" s="295">
        <v>38259</v>
      </c>
      <c r="V36" s="38" t="s">
        <v>1110</v>
      </c>
      <c r="W36" s="29" t="s">
        <v>20</v>
      </c>
      <c r="X36" s="29" t="s">
        <v>12</v>
      </c>
      <c r="Y36" s="39">
        <v>46.1</v>
      </c>
      <c r="Z36" s="29" t="s">
        <v>1114</v>
      </c>
      <c r="AA36" s="29" t="s">
        <v>22</v>
      </c>
      <c r="AB36" s="29" t="s">
        <v>11</v>
      </c>
      <c r="AC36" s="29">
        <v>5.2</v>
      </c>
      <c r="AD36" s="38"/>
      <c r="AG36" s="39"/>
      <c r="AL36" s="38"/>
      <c r="AO36" s="39"/>
      <c r="AP36" s="38"/>
      <c r="AS36" s="39"/>
      <c r="AW36" s="39"/>
      <c r="BA36" s="40"/>
    </row>
    <row r="37" spans="1:53" s="29" customFormat="1" x14ac:dyDescent="0.15">
      <c r="A37" s="29">
        <v>2005</v>
      </c>
      <c r="B37" s="277"/>
      <c r="C37" s="411" t="s">
        <v>1103</v>
      </c>
      <c r="D37" s="411"/>
      <c r="E37" s="29">
        <v>0</v>
      </c>
      <c r="G37" s="267">
        <v>4</v>
      </c>
      <c r="H37" s="167"/>
      <c r="I37" s="167">
        <v>14</v>
      </c>
      <c r="J37" s="268">
        <v>18</v>
      </c>
      <c r="K37" s="47">
        <f t="shared" si="0"/>
        <v>22.222222222222221</v>
      </c>
      <c r="L37" s="47">
        <f t="shared" si="1"/>
        <v>0</v>
      </c>
      <c r="M37" s="47">
        <f t="shared" si="2"/>
        <v>77.777777777777786</v>
      </c>
      <c r="N37" s="68">
        <f t="shared" si="3"/>
        <v>100</v>
      </c>
      <c r="O37" s="46">
        <v>5.2</v>
      </c>
      <c r="P37" s="47"/>
      <c r="Q37" s="47">
        <v>46.1</v>
      </c>
      <c r="R37" s="48">
        <f t="shared" ref="R37:R56" si="5">SUM(O37:Q37)</f>
        <v>51.300000000000004</v>
      </c>
      <c r="S37" s="29">
        <v>2</v>
      </c>
      <c r="T37" s="286"/>
      <c r="U37" s="295"/>
      <c r="V37" s="38" t="s">
        <v>1110</v>
      </c>
      <c r="W37" s="29" t="s">
        <v>20</v>
      </c>
      <c r="X37" s="29" t="s">
        <v>12</v>
      </c>
      <c r="Y37" s="39">
        <v>46.1</v>
      </c>
      <c r="Z37" s="29" t="s">
        <v>1114</v>
      </c>
      <c r="AA37" s="29" t="s">
        <v>22</v>
      </c>
      <c r="AB37" s="29" t="s">
        <v>11</v>
      </c>
      <c r="AC37" s="29">
        <v>5.2</v>
      </c>
      <c r="AD37" s="38"/>
      <c r="AG37" s="39"/>
      <c r="AL37" s="38"/>
      <c r="AO37" s="39"/>
      <c r="AP37" s="38"/>
      <c r="AS37" s="39"/>
      <c r="AW37" s="39"/>
      <c r="BA37" s="40"/>
    </row>
    <row r="38" spans="1:53" s="29" customFormat="1" x14ac:dyDescent="0.15">
      <c r="A38" s="29">
        <v>2005</v>
      </c>
      <c r="B38" s="277"/>
      <c r="C38" s="411" t="s">
        <v>1103</v>
      </c>
      <c r="D38" s="411"/>
      <c r="E38" s="29">
        <v>365</v>
      </c>
      <c r="G38" s="267">
        <v>4</v>
      </c>
      <c r="H38" s="167"/>
      <c r="I38" s="167">
        <v>14</v>
      </c>
      <c r="J38" s="268">
        <v>18</v>
      </c>
      <c r="K38" s="47">
        <f t="shared" si="0"/>
        <v>22.222222222222221</v>
      </c>
      <c r="L38" s="47">
        <f t="shared" si="1"/>
        <v>0</v>
      </c>
      <c r="M38" s="47">
        <f t="shared" si="2"/>
        <v>77.777777777777786</v>
      </c>
      <c r="N38" s="68">
        <f t="shared" si="3"/>
        <v>100</v>
      </c>
      <c r="O38" s="46">
        <v>5.2</v>
      </c>
      <c r="P38" s="47"/>
      <c r="Q38" s="47">
        <v>46.1</v>
      </c>
      <c r="R38" s="48">
        <f t="shared" si="5"/>
        <v>51.300000000000004</v>
      </c>
      <c r="S38" s="29">
        <v>2</v>
      </c>
      <c r="T38" s="286"/>
      <c r="U38" s="295"/>
      <c r="V38" s="38" t="s">
        <v>1110</v>
      </c>
      <c r="W38" s="29" t="s">
        <v>20</v>
      </c>
      <c r="X38" s="29" t="s">
        <v>12</v>
      </c>
      <c r="Y38" s="39">
        <v>46.1</v>
      </c>
      <c r="Z38" s="29" t="s">
        <v>1114</v>
      </c>
      <c r="AA38" s="29" t="s">
        <v>22</v>
      </c>
      <c r="AB38" s="29" t="s">
        <v>11</v>
      </c>
      <c r="AC38" s="29">
        <v>5.2</v>
      </c>
      <c r="AD38" s="38"/>
      <c r="AG38" s="39"/>
      <c r="AL38" s="38"/>
      <c r="AO38" s="39"/>
      <c r="AP38" s="38"/>
      <c r="AS38" s="39"/>
      <c r="AW38" s="39"/>
      <c r="BA38" s="40"/>
    </row>
    <row r="39" spans="1:53" s="29" customFormat="1" x14ac:dyDescent="0.15">
      <c r="A39" s="29">
        <v>2006</v>
      </c>
      <c r="B39" s="277"/>
      <c r="C39" s="411" t="s">
        <v>1103</v>
      </c>
      <c r="D39" s="411"/>
      <c r="E39" s="29">
        <v>159</v>
      </c>
      <c r="G39" s="267">
        <v>4</v>
      </c>
      <c r="H39" s="167"/>
      <c r="I39" s="167">
        <v>14</v>
      </c>
      <c r="J39" s="268">
        <v>18</v>
      </c>
      <c r="K39" s="47">
        <f t="shared" si="0"/>
        <v>22.222222222222221</v>
      </c>
      <c r="L39" s="47">
        <f t="shared" si="1"/>
        <v>0</v>
      </c>
      <c r="M39" s="47">
        <f t="shared" si="2"/>
        <v>77.777777777777786</v>
      </c>
      <c r="N39" s="68">
        <f t="shared" si="3"/>
        <v>100</v>
      </c>
      <c r="O39" s="46">
        <v>5.2</v>
      </c>
      <c r="P39" s="47"/>
      <c r="Q39" s="47">
        <v>46.1</v>
      </c>
      <c r="R39" s="48">
        <f t="shared" si="5"/>
        <v>51.300000000000004</v>
      </c>
      <c r="S39" s="29">
        <v>2</v>
      </c>
      <c r="T39" s="286"/>
      <c r="U39" s="295"/>
      <c r="V39" s="38" t="s">
        <v>1110</v>
      </c>
      <c r="W39" s="29" t="s">
        <v>20</v>
      </c>
      <c r="X39" s="29" t="s">
        <v>12</v>
      </c>
      <c r="Y39" s="39">
        <v>46.1</v>
      </c>
      <c r="Z39" s="29" t="s">
        <v>1114</v>
      </c>
      <c r="AA39" s="29" t="s">
        <v>22</v>
      </c>
      <c r="AB39" s="29" t="s">
        <v>11</v>
      </c>
      <c r="AC39" s="29">
        <v>5.2</v>
      </c>
      <c r="AD39" s="38"/>
      <c r="AG39" s="39"/>
      <c r="AL39" s="38"/>
      <c r="AO39" s="39"/>
      <c r="AP39" s="38"/>
      <c r="AS39" s="39"/>
      <c r="AW39" s="39"/>
      <c r="BA39" s="40"/>
    </row>
    <row r="40" spans="1:53" s="171" customFormat="1" x14ac:dyDescent="0.15">
      <c r="A40" s="171">
        <v>2006</v>
      </c>
      <c r="B40" s="306">
        <v>38877</v>
      </c>
      <c r="C40" s="410" t="s">
        <v>1104</v>
      </c>
      <c r="D40" s="410"/>
      <c r="E40" s="171">
        <v>206</v>
      </c>
      <c r="F40" s="171">
        <v>1</v>
      </c>
      <c r="G40" s="269">
        <v>3</v>
      </c>
      <c r="H40" s="191"/>
      <c r="I40" s="191">
        <v>10</v>
      </c>
      <c r="J40" s="270">
        <v>13</v>
      </c>
      <c r="K40" s="214">
        <f t="shared" si="0"/>
        <v>23.076923076923077</v>
      </c>
      <c r="L40" s="214">
        <f t="shared" si="1"/>
        <v>0</v>
      </c>
      <c r="M40" s="214">
        <f t="shared" si="2"/>
        <v>76.923076923076934</v>
      </c>
      <c r="N40" s="235">
        <f t="shared" si="3"/>
        <v>100.00000000000001</v>
      </c>
      <c r="O40" s="213">
        <v>5.3</v>
      </c>
      <c r="P40" s="214"/>
      <c r="Q40" s="214">
        <v>49.2</v>
      </c>
      <c r="R40" s="215">
        <f t="shared" si="5"/>
        <v>54.5</v>
      </c>
      <c r="S40" s="171">
        <v>2</v>
      </c>
      <c r="T40" s="285">
        <v>38830</v>
      </c>
      <c r="U40" s="283">
        <v>38877</v>
      </c>
      <c r="V40" s="178" t="s">
        <v>1110</v>
      </c>
      <c r="W40" s="171" t="s">
        <v>20</v>
      </c>
      <c r="X40" s="171" t="s">
        <v>12</v>
      </c>
      <c r="Y40" s="179">
        <v>49.2</v>
      </c>
      <c r="Z40" s="171" t="s">
        <v>1114</v>
      </c>
      <c r="AA40" s="171" t="s">
        <v>22</v>
      </c>
      <c r="AB40" s="171" t="s">
        <v>11</v>
      </c>
      <c r="AC40" s="171">
        <v>5.2</v>
      </c>
      <c r="AD40" s="178"/>
      <c r="AG40" s="179"/>
      <c r="AL40" s="178"/>
      <c r="AO40" s="179"/>
      <c r="AP40" s="178"/>
      <c r="AS40" s="179"/>
      <c r="AW40" s="179"/>
      <c r="BA40" s="180"/>
    </row>
    <row r="41" spans="1:53" s="171" customFormat="1" x14ac:dyDescent="0.15">
      <c r="A41" s="171">
        <v>2007</v>
      </c>
      <c r="B41" s="306"/>
      <c r="C41" s="410" t="s">
        <v>1104</v>
      </c>
      <c r="D41" s="410"/>
      <c r="E41" s="171">
        <v>181</v>
      </c>
      <c r="G41" s="269">
        <v>3</v>
      </c>
      <c r="H41" s="191"/>
      <c r="I41" s="191">
        <v>10</v>
      </c>
      <c r="J41" s="270">
        <v>13</v>
      </c>
      <c r="K41" s="214">
        <f t="shared" si="0"/>
        <v>23.076923076923077</v>
      </c>
      <c r="L41" s="214">
        <f t="shared" si="1"/>
        <v>0</v>
      </c>
      <c r="M41" s="214">
        <f t="shared" si="2"/>
        <v>76.923076923076934</v>
      </c>
      <c r="N41" s="235">
        <f t="shared" si="3"/>
        <v>100.00000000000001</v>
      </c>
      <c r="O41" s="213">
        <v>5.3</v>
      </c>
      <c r="P41" s="214"/>
      <c r="Q41" s="214">
        <v>49.2</v>
      </c>
      <c r="R41" s="215">
        <f t="shared" si="5"/>
        <v>54.5</v>
      </c>
      <c r="S41" s="171">
        <v>2</v>
      </c>
      <c r="T41" s="285"/>
      <c r="U41" s="283"/>
      <c r="V41" s="178" t="s">
        <v>1110</v>
      </c>
      <c r="W41" s="171" t="s">
        <v>20</v>
      </c>
      <c r="X41" s="171" t="s">
        <v>12</v>
      </c>
      <c r="Y41" s="179">
        <v>49.2</v>
      </c>
      <c r="Z41" s="171" t="s">
        <v>1114</v>
      </c>
      <c r="AA41" s="171" t="s">
        <v>22</v>
      </c>
      <c r="AB41" s="171" t="s">
        <v>11</v>
      </c>
      <c r="AC41" s="171">
        <v>5.2</v>
      </c>
      <c r="AD41" s="178"/>
      <c r="AG41" s="179"/>
      <c r="AL41" s="178"/>
      <c r="AO41" s="179"/>
      <c r="AP41" s="178"/>
      <c r="AS41" s="179"/>
      <c r="AW41" s="179"/>
      <c r="BA41" s="180"/>
    </row>
    <row r="42" spans="1:53" s="171" customFormat="1" x14ac:dyDescent="0.15">
      <c r="A42" s="171">
        <v>2007</v>
      </c>
      <c r="B42" s="305">
        <v>39264</v>
      </c>
      <c r="C42" s="410" t="s">
        <v>1104</v>
      </c>
      <c r="D42" s="410"/>
      <c r="E42" s="171">
        <v>184</v>
      </c>
      <c r="F42" s="244">
        <v>0</v>
      </c>
      <c r="G42" s="269">
        <v>3</v>
      </c>
      <c r="H42" s="191"/>
      <c r="I42" s="191">
        <v>12</v>
      </c>
      <c r="J42" s="270">
        <v>15</v>
      </c>
      <c r="K42" s="214">
        <f t="shared" si="0"/>
        <v>20</v>
      </c>
      <c r="L42" s="214">
        <f>H42/J42*100</f>
        <v>0</v>
      </c>
      <c r="M42" s="214">
        <f t="shared" si="2"/>
        <v>80</v>
      </c>
      <c r="N42" s="235">
        <f t="shared" si="3"/>
        <v>100</v>
      </c>
      <c r="O42" s="213">
        <v>5.3</v>
      </c>
      <c r="P42" s="214"/>
      <c r="Q42" s="214">
        <v>49.2</v>
      </c>
      <c r="R42" s="215">
        <f t="shared" si="5"/>
        <v>54.5</v>
      </c>
      <c r="S42" s="171">
        <v>2</v>
      </c>
      <c r="T42" s="285"/>
      <c r="U42" s="283"/>
      <c r="V42" s="178" t="s">
        <v>1110</v>
      </c>
      <c r="W42" s="171" t="s">
        <v>20</v>
      </c>
      <c r="X42" s="171" t="s">
        <v>12</v>
      </c>
      <c r="Y42" s="179">
        <v>49.2</v>
      </c>
      <c r="Z42" s="171" t="s">
        <v>1114</v>
      </c>
      <c r="AA42" s="171" t="s">
        <v>22</v>
      </c>
      <c r="AB42" s="171" t="s">
        <v>11</v>
      </c>
      <c r="AC42" s="171">
        <v>5.2</v>
      </c>
      <c r="AD42" s="178"/>
      <c r="AG42" s="179"/>
      <c r="AL42" s="178"/>
      <c r="AO42" s="179"/>
      <c r="AP42" s="178"/>
      <c r="AS42" s="179"/>
      <c r="AW42" s="179"/>
      <c r="BA42" s="180"/>
    </row>
    <row r="43" spans="1:53" s="171" customFormat="1" x14ac:dyDescent="0.15">
      <c r="A43" s="171">
        <v>2008</v>
      </c>
      <c r="B43" s="306"/>
      <c r="C43" s="410" t="s">
        <v>1104</v>
      </c>
      <c r="D43" s="410"/>
      <c r="E43" s="171">
        <v>48</v>
      </c>
      <c r="G43" s="269">
        <v>3</v>
      </c>
      <c r="H43" s="191"/>
      <c r="I43" s="191">
        <v>12</v>
      </c>
      <c r="J43" s="270">
        <v>15</v>
      </c>
      <c r="K43" s="214">
        <f>G43/J43*100</f>
        <v>20</v>
      </c>
      <c r="L43" s="214">
        <f>H43/J43*100</f>
        <v>0</v>
      </c>
      <c r="M43" s="214">
        <f>I43/J43*100</f>
        <v>80</v>
      </c>
      <c r="N43" s="235">
        <f t="shared" si="3"/>
        <v>100</v>
      </c>
      <c r="O43" s="213">
        <v>5.3</v>
      </c>
      <c r="P43" s="214"/>
      <c r="Q43" s="214">
        <v>49.2</v>
      </c>
      <c r="R43" s="215">
        <f t="shared" si="5"/>
        <v>54.5</v>
      </c>
      <c r="S43" s="171">
        <v>2</v>
      </c>
      <c r="T43" s="285"/>
      <c r="U43" s="283"/>
      <c r="V43" s="178" t="s">
        <v>1110</v>
      </c>
      <c r="W43" s="171" t="s">
        <v>20</v>
      </c>
      <c r="X43" s="171" t="s">
        <v>12</v>
      </c>
      <c r="Y43" s="179">
        <v>49.2</v>
      </c>
      <c r="Z43" s="171" t="s">
        <v>1114</v>
      </c>
      <c r="AA43" s="171" t="s">
        <v>22</v>
      </c>
      <c r="AB43" s="171" t="s">
        <v>11</v>
      </c>
      <c r="AC43" s="171">
        <v>5.2</v>
      </c>
      <c r="AD43" s="178"/>
      <c r="AG43" s="179"/>
      <c r="AL43" s="178"/>
      <c r="AO43" s="179"/>
      <c r="AP43" s="178"/>
      <c r="AS43" s="179"/>
      <c r="AW43" s="179"/>
      <c r="BA43" s="180"/>
    </row>
    <row r="44" spans="1:53" s="171" customFormat="1" x14ac:dyDescent="0.15">
      <c r="A44" s="171">
        <v>2008</v>
      </c>
      <c r="B44" s="305">
        <v>39496</v>
      </c>
      <c r="C44" s="410" t="s">
        <v>1104</v>
      </c>
      <c r="D44" s="410"/>
      <c r="E44" s="171">
        <v>74</v>
      </c>
      <c r="F44" s="244">
        <v>0</v>
      </c>
      <c r="G44" s="269">
        <v>3</v>
      </c>
      <c r="H44" s="191"/>
      <c r="I44" s="191">
        <v>11</v>
      </c>
      <c r="J44" s="270">
        <v>14</v>
      </c>
      <c r="K44" s="214">
        <f t="shared" si="0"/>
        <v>21.428571428571427</v>
      </c>
      <c r="L44" s="214">
        <f t="shared" si="1"/>
        <v>0</v>
      </c>
      <c r="M44" s="214">
        <f t="shared" si="2"/>
        <v>78.571428571428569</v>
      </c>
      <c r="N44" s="235">
        <f t="shared" si="3"/>
        <v>100</v>
      </c>
      <c r="O44" s="213">
        <v>5.3</v>
      </c>
      <c r="P44" s="214"/>
      <c r="Q44" s="214">
        <v>49.2</v>
      </c>
      <c r="R44" s="215">
        <f t="shared" si="5"/>
        <v>54.5</v>
      </c>
      <c r="S44" s="171">
        <v>2</v>
      </c>
      <c r="T44" s="285"/>
      <c r="U44" s="283"/>
      <c r="V44" s="178" t="s">
        <v>1110</v>
      </c>
      <c r="W44" s="171" t="s">
        <v>20</v>
      </c>
      <c r="X44" s="171" t="s">
        <v>12</v>
      </c>
      <c r="Y44" s="179">
        <v>49.2</v>
      </c>
      <c r="Z44" s="171" t="s">
        <v>1114</v>
      </c>
      <c r="AA44" s="171" t="s">
        <v>22</v>
      </c>
      <c r="AB44" s="171" t="s">
        <v>11</v>
      </c>
      <c r="AC44" s="171">
        <v>5.2</v>
      </c>
      <c r="AD44" s="178"/>
      <c r="AG44" s="179"/>
      <c r="AL44" s="178"/>
      <c r="AO44" s="179"/>
      <c r="AP44" s="178"/>
      <c r="AS44" s="179"/>
      <c r="AW44" s="179"/>
      <c r="BA44" s="180"/>
    </row>
    <row r="45" spans="1:53" s="29" customFormat="1" x14ac:dyDescent="0.15">
      <c r="A45" s="29">
        <v>2008</v>
      </c>
      <c r="B45" s="277">
        <v>39570</v>
      </c>
      <c r="C45" s="411" t="s">
        <v>1105</v>
      </c>
      <c r="D45" s="411"/>
      <c r="E45" s="29">
        <v>244</v>
      </c>
      <c r="F45" s="29">
        <v>4</v>
      </c>
      <c r="G45" s="267"/>
      <c r="H45" s="167"/>
      <c r="I45" s="167">
        <v>16</v>
      </c>
      <c r="J45" s="268">
        <v>16</v>
      </c>
      <c r="K45" s="47">
        <f t="shared" si="0"/>
        <v>0</v>
      </c>
      <c r="L45" s="47">
        <f t="shared" si="1"/>
        <v>0</v>
      </c>
      <c r="M45" s="47">
        <f t="shared" si="2"/>
        <v>100</v>
      </c>
      <c r="N45" s="68">
        <f t="shared" si="3"/>
        <v>100</v>
      </c>
      <c r="O45" s="46"/>
      <c r="P45" s="47"/>
      <c r="Q45" s="47">
        <v>49.2</v>
      </c>
      <c r="R45" s="48">
        <f t="shared" si="5"/>
        <v>49.2</v>
      </c>
      <c r="S45" s="29">
        <v>4</v>
      </c>
      <c r="T45" s="286"/>
      <c r="U45" s="295">
        <v>39570</v>
      </c>
      <c r="V45" s="38" t="s">
        <v>1110</v>
      </c>
      <c r="W45" s="29" t="s">
        <v>20</v>
      </c>
      <c r="X45" s="29" t="s">
        <v>12</v>
      </c>
      <c r="Y45" s="39">
        <v>49.2</v>
      </c>
      <c r="AD45" s="38"/>
      <c r="AG45" s="39"/>
      <c r="AL45" s="38"/>
      <c r="AO45" s="39"/>
      <c r="AP45" s="38"/>
      <c r="AS45" s="39"/>
      <c r="AW45" s="39"/>
      <c r="BA45" s="40"/>
    </row>
    <row r="46" spans="1:53" s="29" customFormat="1" x14ac:dyDescent="0.15">
      <c r="A46" s="29">
        <v>2009</v>
      </c>
      <c r="B46" s="277"/>
      <c r="C46" s="411" t="s">
        <v>1105</v>
      </c>
      <c r="D46" s="411"/>
      <c r="E46" s="29">
        <v>103</v>
      </c>
      <c r="G46" s="267"/>
      <c r="H46" s="167"/>
      <c r="I46" s="167">
        <v>16</v>
      </c>
      <c r="J46" s="268">
        <v>16</v>
      </c>
      <c r="K46" s="47">
        <f t="shared" si="0"/>
        <v>0</v>
      </c>
      <c r="L46" s="47">
        <f t="shared" si="1"/>
        <v>0</v>
      </c>
      <c r="M46" s="47">
        <f t="shared" si="2"/>
        <v>100</v>
      </c>
      <c r="N46" s="68">
        <f t="shared" si="3"/>
        <v>100</v>
      </c>
      <c r="O46" s="46"/>
      <c r="P46" s="47"/>
      <c r="Q46" s="47">
        <v>49.2</v>
      </c>
      <c r="R46" s="48">
        <f t="shared" si="5"/>
        <v>49.2</v>
      </c>
      <c r="S46" s="29">
        <v>4</v>
      </c>
      <c r="T46" s="286"/>
      <c r="U46" s="295"/>
      <c r="V46" s="38" t="s">
        <v>1110</v>
      </c>
      <c r="W46" s="29" t="s">
        <v>20</v>
      </c>
      <c r="X46" s="29" t="s">
        <v>12</v>
      </c>
      <c r="Y46" s="39">
        <v>49.2</v>
      </c>
      <c r="AD46" s="38"/>
      <c r="AG46" s="39"/>
      <c r="AL46" s="38"/>
      <c r="AO46" s="39"/>
      <c r="AP46" s="38"/>
      <c r="AS46" s="39"/>
      <c r="AW46" s="39"/>
      <c r="BA46" s="40"/>
    </row>
    <row r="47" spans="1:53" s="171" customFormat="1" x14ac:dyDescent="0.15">
      <c r="A47" s="171">
        <v>2009</v>
      </c>
      <c r="B47" s="306">
        <v>39917</v>
      </c>
      <c r="C47" s="410" t="s">
        <v>1106</v>
      </c>
      <c r="D47" s="410"/>
      <c r="E47" s="171">
        <v>262</v>
      </c>
      <c r="F47" s="171">
        <v>2</v>
      </c>
      <c r="G47" s="269"/>
      <c r="H47" s="191"/>
      <c r="I47" s="191">
        <v>16</v>
      </c>
      <c r="J47" s="270">
        <v>16</v>
      </c>
      <c r="K47" s="214">
        <f t="shared" si="0"/>
        <v>0</v>
      </c>
      <c r="L47" s="214">
        <f t="shared" si="1"/>
        <v>0</v>
      </c>
      <c r="M47" s="214">
        <f t="shared" si="2"/>
        <v>100</v>
      </c>
      <c r="N47" s="235">
        <f t="shared" si="3"/>
        <v>100</v>
      </c>
      <c r="O47" s="213"/>
      <c r="P47" s="214"/>
      <c r="Q47" s="214">
        <v>49.2</v>
      </c>
      <c r="R47" s="215">
        <f t="shared" si="5"/>
        <v>49.2</v>
      </c>
      <c r="S47" s="171">
        <v>4</v>
      </c>
      <c r="T47" s="285"/>
      <c r="U47" s="283">
        <v>39917</v>
      </c>
      <c r="V47" s="178" t="s">
        <v>1110</v>
      </c>
      <c r="W47" s="171" t="s">
        <v>20</v>
      </c>
      <c r="X47" s="171" t="s">
        <v>12</v>
      </c>
      <c r="Y47" s="179">
        <v>49.2</v>
      </c>
      <c r="AD47" s="178"/>
      <c r="AG47" s="179"/>
      <c r="AL47" s="178"/>
      <c r="AO47" s="179"/>
      <c r="AP47" s="178"/>
      <c r="AS47" s="179"/>
      <c r="AW47" s="179"/>
      <c r="BA47" s="180"/>
    </row>
    <row r="48" spans="1:53" s="171" customFormat="1" x14ac:dyDescent="0.15">
      <c r="A48" s="171">
        <v>2010</v>
      </c>
      <c r="B48" s="306"/>
      <c r="C48" s="410" t="s">
        <v>1106</v>
      </c>
      <c r="D48" s="410"/>
      <c r="E48" s="171">
        <v>148</v>
      </c>
      <c r="G48" s="269"/>
      <c r="H48" s="191"/>
      <c r="I48" s="191">
        <v>16</v>
      </c>
      <c r="J48" s="270">
        <v>16</v>
      </c>
      <c r="K48" s="214">
        <f t="shared" si="0"/>
        <v>0</v>
      </c>
      <c r="L48" s="214">
        <f t="shared" si="1"/>
        <v>0</v>
      </c>
      <c r="M48" s="214">
        <f t="shared" si="2"/>
        <v>100</v>
      </c>
      <c r="N48" s="235">
        <f t="shared" si="3"/>
        <v>100</v>
      </c>
      <c r="O48" s="213"/>
      <c r="P48" s="214"/>
      <c r="Q48" s="214">
        <v>49.2</v>
      </c>
      <c r="R48" s="215">
        <f t="shared" si="5"/>
        <v>49.2</v>
      </c>
      <c r="S48" s="171">
        <v>4</v>
      </c>
      <c r="T48" s="285"/>
      <c r="U48" s="283"/>
      <c r="V48" s="178" t="s">
        <v>1110</v>
      </c>
      <c r="W48" s="171" t="s">
        <v>20</v>
      </c>
      <c r="X48" s="171" t="s">
        <v>12</v>
      </c>
      <c r="Y48" s="179">
        <v>49.2</v>
      </c>
      <c r="AD48" s="178"/>
      <c r="AG48" s="179"/>
      <c r="AL48" s="178"/>
      <c r="AO48" s="179"/>
      <c r="AP48" s="178"/>
      <c r="AS48" s="179"/>
      <c r="AW48" s="179"/>
      <c r="BA48" s="180"/>
    </row>
    <row r="49" spans="1:53" s="29" customFormat="1" x14ac:dyDescent="0.15">
      <c r="A49" s="29">
        <v>2010</v>
      </c>
      <c r="B49" s="277">
        <v>40327</v>
      </c>
      <c r="C49" s="411" t="s">
        <v>1112</v>
      </c>
      <c r="D49" s="411"/>
      <c r="E49" s="29">
        <v>217</v>
      </c>
      <c r="F49" s="29">
        <v>1</v>
      </c>
      <c r="G49" s="267">
        <v>7</v>
      </c>
      <c r="H49" s="167"/>
      <c r="I49" s="167"/>
      <c r="J49" s="268">
        <v>10</v>
      </c>
      <c r="K49" s="47">
        <f t="shared" si="0"/>
        <v>70</v>
      </c>
      <c r="L49" s="47">
        <f t="shared" si="1"/>
        <v>0</v>
      </c>
      <c r="M49" s="47">
        <f t="shared" si="2"/>
        <v>0</v>
      </c>
      <c r="N49" s="68">
        <f t="shared" si="3"/>
        <v>70</v>
      </c>
      <c r="O49" s="46">
        <v>68.099999999999994</v>
      </c>
      <c r="P49" s="47"/>
      <c r="Q49" s="47"/>
      <c r="R49" s="48">
        <f t="shared" si="5"/>
        <v>68.099999999999994</v>
      </c>
      <c r="S49" s="29">
        <v>1</v>
      </c>
      <c r="T49" s="286">
        <v>40293</v>
      </c>
      <c r="U49" s="295">
        <v>40327</v>
      </c>
      <c r="V49" s="38" t="s">
        <v>1113</v>
      </c>
      <c r="W49" s="29" t="s">
        <v>78</v>
      </c>
      <c r="X49" s="29" t="s">
        <v>11</v>
      </c>
      <c r="Y49" s="39">
        <v>68.099999999999994</v>
      </c>
      <c r="AD49" s="38"/>
      <c r="AG49" s="39"/>
      <c r="AL49" s="38"/>
      <c r="AO49" s="39"/>
      <c r="AP49" s="38"/>
      <c r="AS49" s="39"/>
      <c r="AW49" s="39"/>
      <c r="BA49" s="40"/>
    </row>
    <row r="50" spans="1:53" s="29" customFormat="1" x14ac:dyDescent="0.15">
      <c r="A50" s="29">
        <v>2011</v>
      </c>
      <c r="B50" s="277"/>
      <c r="C50" s="411" t="s">
        <v>1112</v>
      </c>
      <c r="D50" s="411"/>
      <c r="E50" s="29">
        <v>356</v>
      </c>
      <c r="G50" s="267">
        <v>7</v>
      </c>
      <c r="H50" s="167"/>
      <c r="I50" s="167"/>
      <c r="J50" s="268">
        <v>10</v>
      </c>
      <c r="K50" s="47">
        <f t="shared" ref="K50:K56" si="6">G50/J50*100</f>
        <v>70</v>
      </c>
      <c r="L50" s="47">
        <f t="shared" ref="L50:L56" si="7">H50/J50*100</f>
        <v>0</v>
      </c>
      <c r="M50" s="47">
        <f t="shared" ref="M50:M56" si="8">I50/J50*100</f>
        <v>0</v>
      </c>
      <c r="N50" s="68">
        <f t="shared" si="3"/>
        <v>70</v>
      </c>
      <c r="O50" s="46">
        <v>68.099999999999994</v>
      </c>
      <c r="P50" s="47"/>
      <c r="Q50" s="47"/>
      <c r="R50" s="48">
        <f t="shared" si="5"/>
        <v>68.099999999999994</v>
      </c>
      <c r="S50" s="29">
        <v>1</v>
      </c>
      <c r="T50" s="286"/>
      <c r="U50" s="295"/>
      <c r="V50" s="38" t="s">
        <v>1113</v>
      </c>
      <c r="W50" s="29" t="s">
        <v>78</v>
      </c>
      <c r="X50" s="29" t="s">
        <v>11</v>
      </c>
      <c r="Y50" s="39">
        <v>68.099999999999994</v>
      </c>
      <c r="AD50" s="38"/>
      <c r="AG50" s="39"/>
      <c r="AL50" s="38"/>
      <c r="AO50" s="39"/>
      <c r="AP50" s="38"/>
      <c r="AS50" s="39"/>
      <c r="AW50" s="39"/>
      <c r="BA50" s="40"/>
    </row>
    <row r="51" spans="1:53" s="29" customFormat="1" x14ac:dyDescent="0.15">
      <c r="A51" s="29">
        <v>2011</v>
      </c>
      <c r="B51" s="303">
        <v>40900</v>
      </c>
      <c r="C51" s="411" t="s">
        <v>1112</v>
      </c>
      <c r="D51" s="411"/>
      <c r="E51" s="29">
        <f>365-E50</f>
        <v>9</v>
      </c>
      <c r="F51" s="84">
        <v>0</v>
      </c>
      <c r="G51" s="267">
        <v>7</v>
      </c>
      <c r="H51" s="167"/>
      <c r="I51" s="167"/>
      <c r="J51" s="268">
        <v>11</v>
      </c>
      <c r="K51" s="47">
        <f t="shared" si="6"/>
        <v>63.636363636363633</v>
      </c>
      <c r="L51" s="47">
        <f t="shared" si="7"/>
        <v>0</v>
      </c>
      <c r="M51" s="47">
        <f t="shared" si="8"/>
        <v>0</v>
      </c>
      <c r="N51" s="68">
        <f t="shared" si="3"/>
        <v>63.636363636363633</v>
      </c>
      <c r="O51" s="46">
        <v>68.099999999999994</v>
      </c>
      <c r="P51" s="47"/>
      <c r="Q51" s="47"/>
      <c r="R51" s="48">
        <f t="shared" si="5"/>
        <v>68.099999999999994</v>
      </c>
      <c r="S51" s="29">
        <v>1</v>
      </c>
      <c r="T51" s="286"/>
      <c r="U51" s="295"/>
      <c r="V51" s="38" t="s">
        <v>1113</v>
      </c>
      <c r="W51" s="29" t="s">
        <v>78</v>
      </c>
      <c r="X51" s="29" t="s">
        <v>11</v>
      </c>
      <c r="Y51" s="39">
        <v>68.099999999999994</v>
      </c>
      <c r="AD51" s="38"/>
      <c r="AG51" s="39"/>
      <c r="AL51" s="38"/>
      <c r="AO51" s="39"/>
      <c r="AP51" s="38"/>
      <c r="AS51" s="39"/>
      <c r="AW51" s="39"/>
      <c r="BA51" s="40"/>
    </row>
    <row r="52" spans="1:53" s="29" customFormat="1" x14ac:dyDescent="0.15">
      <c r="A52" s="29">
        <v>2012</v>
      </c>
      <c r="B52" s="303"/>
      <c r="C52" s="411" t="s">
        <v>1112</v>
      </c>
      <c r="D52" s="411"/>
      <c r="E52" s="29">
        <v>134</v>
      </c>
      <c r="F52" s="84"/>
      <c r="G52" s="267">
        <v>7</v>
      </c>
      <c r="H52" s="167"/>
      <c r="I52" s="167"/>
      <c r="J52" s="268">
        <v>11</v>
      </c>
      <c r="K52" s="47">
        <f>G52/J52*100</f>
        <v>63.636363636363633</v>
      </c>
      <c r="L52" s="47">
        <f t="shared" si="7"/>
        <v>0</v>
      </c>
      <c r="M52" s="47">
        <f t="shared" si="8"/>
        <v>0</v>
      </c>
      <c r="N52" s="68">
        <f t="shared" si="3"/>
        <v>63.636363636363633</v>
      </c>
      <c r="O52" s="46">
        <v>68.099999999999994</v>
      </c>
      <c r="P52" s="47"/>
      <c r="Q52" s="47"/>
      <c r="R52" s="48">
        <f t="shared" si="5"/>
        <v>68.099999999999994</v>
      </c>
      <c r="S52" s="29">
        <v>1</v>
      </c>
      <c r="T52" s="286"/>
      <c r="U52" s="295"/>
      <c r="V52" s="38" t="s">
        <v>1113</v>
      </c>
      <c r="W52" s="29" t="s">
        <v>78</v>
      </c>
      <c r="X52" s="29" t="s">
        <v>11</v>
      </c>
      <c r="Y52" s="39">
        <v>68.099999999999994</v>
      </c>
      <c r="AD52" s="38"/>
      <c r="AG52" s="39"/>
      <c r="AL52" s="38"/>
      <c r="AO52" s="39"/>
      <c r="AP52" s="38"/>
      <c r="AS52" s="39"/>
      <c r="AW52" s="39"/>
      <c r="BA52" s="40"/>
    </row>
    <row r="53" spans="1:53" s="29" customFormat="1" x14ac:dyDescent="0.15">
      <c r="A53" s="29">
        <v>2012</v>
      </c>
      <c r="B53" s="303">
        <v>41043</v>
      </c>
      <c r="C53" s="411" t="s">
        <v>1112</v>
      </c>
      <c r="D53" s="411"/>
      <c r="E53" s="29">
        <v>19</v>
      </c>
      <c r="F53" s="84">
        <v>0</v>
      </c>
      <c r="G53" s="267">
        <v>8</v>
      </c>
      <c r="H53" s="167"/>
      <c r="I53" s="167"/>
      <c r="J53" s="268">
        <v>11</v>
      </c>
      <c r="K53" s="47">
        <f t="shared" si="6"/>
        <v>72.727272727272734</v>
      </c>
      <c r="L53" s="47">
        <f t="shared" si="7"/>
        <v>0</v>
      </c>
      <c r="M53" s="47">
        <f t="shared" si="8"/>
        <v>0</v>
      </c>
      <c r="N53" s="68">
        <f t="shared" si="3"/>
        <v>72.727272727272734</v>
      </c>
      <c r="O53" s="46">
        <v>68.099999999999994</v>
      </c>
      <c r="P53" s="47"/>
      <c r="Q53" s="47"/>
      <c r="R53" s="48">
        <f t="shared" si="5"/>
        <v>68.099999999999994</v>
      </c>
      <c r="S53" s="29">
        <v>1</v>
      </c>
      <c r="T53" s="286"/>
      <c r="U53" s="295"/>
      <c r="V53" s="38" t="s">
        <v>1113</v>
      </c>
      <c r="W53" s="29" t="s">
        <v>78</v>
      </c>
      <c r="X53" s="29" t="s">
        <v>11</v>
      </c>
      <c r="Y53" s="39">
        <v>68.099999999999994</v>
      </c>
      <c r="AD53" s="38"/>
      <c r="AG53" s="39"/>
      <c r="AL53" s="38"/>
      <c r="AO53" s="39"/>
      <c r="AP53" s="38"/>
      <c r="AS53" s="39"/>
      <c r="AW53" s="39"/>
      <c r="BA53" s="40"/>
    </row>
    <row r="54" spans="1:53" s="29" customFormat="1" x14ac:dyDescent="0.15">
      <c r="A54" s="29">
        <v>2012</v>
      </c>
      <c r="B54" s="303">
        <v>41062</v>
      </c>
      <c r="C54" s="411" t="s">
        <v>1112</v>
      </c>
      <c r="D54" s="411"/>
      <c r="E54" s="29">
        <f>366-E53-E52</f>
        <v>213</v>
      </c>
      <c r="F54" s="84">
        <v>0</v>
      </c>
      <c r="G54" s="267">
        <v>9</v>
      </c>
      <c r="H54" s="167"/>
      <c r="I54" s="167"/>
      <c r="J54" s="268">
        <v>11</v>
      </c>
      <c r="K54" s="47">
        <f t="shared" si="6"/>
        <v>81.818181818181827</v>
      </c>
      <c r="L54" s="47">
        <f t="shared" si="7"/>
        <v>0</v>
      </c>
      <c r="M54" s="47">
        <f t="shared" si="8"/>
        <v>0</v>
      </c>
      <c r="N54" s="68">
        <f t="shared" si="3"/>
        <v>81.818181818181827</v>
      </c>
      <c r="O54" s="46">
        <v>68.099999999999994</v>
      </c>
      <c r="P54" s="47"/>
      <c r="Q54" s="47"/>
      <c r="R54" s="48">
        <f t="shared" si="5"/>
        <v>68.099999999999994</v>
      </c>
      <c r="S54" s="29">
        <v>1</v>
      </c>
      <c r="T54" s="286"/>
      <c r="U54" s="295"/>
      <c r="V54" s="38" t="s">
        <v>1113</v>
      </c>
      <c r="W54" s="29" t="s">
        <v>79</v>
      </c>
      <c r="X54" s="29" t="s">
        <v>11</v>
      </c>
      <c r="Y54" s="39">
        <v>68.099999999999994</v>
      </c>
      <c r="AD54" s="38"/>
      <c r="AG54" s="39"/>
      <c r="AL54" s="38"/>
      <c r="AO54" s="39"/>
      <c r="AP54" s="38"/>
      <c r="AS54" s="39"/>
      <c r="AW54" s="39"/>
      <c r="BA54" s="40"/>
    </row>
    <row r="55" spans="1:53" s="29" customFormat="1" x14ac:dyDescent="0.15">
      <c r="A55" s="29">
        <v>2013</v>
      </c>
      <c r="B55" s="303"/>
      <c r="C55" s="411" t="s">
        <v>1112</v>
      </c>
      <c r="D55" s="411"/>
      <c r="E55" s="29">
        <v>61</v>
      </c>
      <c r="F55" s="84"/>
      <c r="G55" s="267">
        <v>9</v>
      </c>
      <c r="H55" s="167"/>
      <c r="I55" s="167"/>
      <c r="J55" s="268">
        <v>11</v>
      </c>
      <c r="K55" s="47">
        <f t="shared" si="6"/>
        <v>81.818181818181827</v>
      </c>
      <c r="L55" s="47">
        <f t="shared" si="7"/>
        <v>0</v>
      </c>
      <c r="M55" s="47">
        <f t="shared" si="8"/>
        <v>0</v>
      </c>
      <c r="N55" s="68">
        <f t="shared" si="3"/>
        <v>81.818181818181827</v>
      </c>
      <c r="O55" s="46">
        <v>68.099999999999994</v>
      </c>
      <c r="P55" s="47"/>
      <c r="Q55" s="47"/>
      <c r="R55" s="48">
        <f t="shared" si="5"/>
        <v>68.099999999999994</v>
      </c>
      <c r="S55" s="29">
        <v>1</v>
      </c>
      <c r="T55" s="286"/>
      <c r="U55" s="295"/>
      <c r="V55" s="38" t="s">
        <v>1113</v>
      </c>
      <c r="W55" s="29" t="s">
        <v>78</v>
      </c>
      <c r="X55" s="29" t="s">
        <v>11</v>
      </c>
      <c r="Y55" s="39">
        <v>68.099999999999994</v>
      </c>
      <c r="AD55" s="38"/>
      <c r="AG55" s="39"/>
      <c r="AL55" s="38"/>
      <c r="AO55" s="39"/>
      <c r="AP55" s="38"/>
      <c r="AS55" s="39"/>
      <c r="AW55" s="39"/>
      <c r="BA55" s="40"/>
    </row>
    <row r="56" spans="1:53" s="29" customFormat="1" x14ac:dyDescent="0.15">
      <c r="A56" s="29">
        <v>2013</v>
      </c>
      <c r="B56" s="303">
        <v>41336</v>
      </c>
      <c r="C56" s="411" t="s">
        <v>1112</v>
      </c>
      <c r="D56" s="411"/>
      <c r="E56" s="29">
        <f>365-E55</f>
        <v>304</v>
      </c>
      <c r="F56" s="84">
        <v>0</v>
      </c>
      <c r="G56" s="267">
        <v>8</v>
      </c>
      <c r="H56" s="167"/>
      <c r="I56" s="167"/>
      <c r="J56" s="268">
        <v>10</v>
      </c>
      <c r="K56" s="47">
        <f t="shared" si="6"/>
        <v>80</v>
      </c>
      <c r="L56" s="47">
        <f t="shared" si="7"/>
        <v>0</v>
      </c>
      <c r="M56" s="47">
        <f t="shared" si="8"/>
        <v>0</v>
      </c>
      <c r="N56" s="68">
        <f t="shared" si="3"/>
        <v>80</v>
      </c>
      <c r="O56" s="46">
        <v>68.099999999999994</v>
      </c>
      <c r="P56" s="47"/>
      <c r="Q56" s="47"/>
      <c r="R56" s="48">
        <f t="shared" si="5"/>
        <v>68.099999999999994</v>
      </c>
      <c r="S56" s="29">
        <v>1</v>
      </c>
      <c r="T56" s="286"/>
      <c r="U56" s="295"/>
      <c r="V56" s="38" t="s">
        <v>1113</v>
      </c>
      <c r="W56" s="29" t="s">
        <v>78</v>
      </c>
      <c r="X56" s="29" t="s">
        <v>11</v>
      </c>
      <c r="Y56" s="39">
        <v>68.099999999999994</v>
      </c>
      <c r="AD56" s="38"/>
      <c r="AG56" s="39"/>
      <c r="AL56" s="38"/>
      <c r="AO56" s="39"/>
      <c r="AP56" s="38"/>
      <c r="AS56" s="39"/>
      <c r="AW56" s="39"/>
      <c r="BA56" s="40"/>
    </row>
    <row r="57" spans="1:53" s="29" customFormat="1" x14ac:dyDescent="0.15">
      <c r="A57" s="29">
        <v>2014</v>
      </c>
      <c r="B57" s="303"/>
      <c r="C57" s="411" t="s">
        <v>1112</v>
      </c>
      <c r="D57" s="411"/>
      <c r="E57" s="29">
        <v>123</v>
      </c>
      <c r="F57" s="84"/>
      <c r="G57" s="267">
        <v>8</v>
      </c>
      <c r="H57" s="167"/>
      <c r="I57" s="167"/>
      <c r="J57" s="268">
        <v>10</v>
      </c>
      <c r="K57" s="47">
        <f t="shared" ref="K57:K67" si="9">G57/J57*100</f>
        <v>80</v>
      </c>
      <c r="L57" s="47">
        <f t="shared" ref="L57:L67" si="10">H57/J57*100</f>
        <v>0</v>
      </c>
      <c r="M57" s="47">
        <f t="shared" ref="M57:M67" si="11">I57/J57*100</f>
        <v>0</v>
      </c>
      <c r="N57" s="68">
        <f t="shared" ref="N57:N67" si="12">SUM(K57:M57)</f>
        <v>80</v>
      </c>
      <c r="O57" s="46">
        <v>68.099999999999994</v>
      </c>
      <c r="P57" s="47"/>
      <c r="Q57" s="47"/>
      <c r="R57" s="48">
        <f t="shared" ref="R57:R62" si="13">SUM(O57:Q57)</f>
        <v>68.099999999999994</v>
      </c>
      <c r="S57" s="29">
        <v>1</v>
      </c>
      <c r="T57" s="286"/>
      <c r="U57" s="295"/>
      <c r="V57" s="38" t="s">
        <v>1113</v>
      </c>
      <c r="W57" s="29" t="s">
        <v>78</v>
      </c>
      <c r="X57" s="29" t="s">
        <v>11</v>
      </c>
      <c r="Y57" s="39">
        <v>68.099999999999994</v>
      </c>
      <c r="AD57" s="38"/>
      <c r="AG57" s="39"/>
      <c r="AL57" s="38"/>
      <c r="AO57" s="39"/>
      <c r="AP57" s="38"/>
      <c r="AS57" s="39"/>
      <c r="AW57" s="39"/>
      <c r="BA57" s="40"/>
    </row>
    <row r="58" spans="1:53" s="171" customFormat="1" x14ac:dyDescent="0.15">
      <c r="A58" s="171">
        <v>2014</v>
      </c>
      <c r="B58" s="306">
        <v>41763</v>
      </c>
      <c r="C58" s="410" t="s">
        <v>1288</v>
      </c>
      <c r="D58" s="410"/>
      <c r="E58" s="171">
        <v>242</v>
      </c>
      <c r="F58" s="171">
        <v>1</v>
      </c>
      <c r="G58" s="269">
        <v>7</v>
      </c>
      <c r="H58" s="191"/>
      <c r="I58" s="191"/>
      <c r="J58" s="270">
        <v>11</v>
      </c>
      <c r="K58" s="214">
        <f t="shared" si="9"/>
        <v>63.636363636363633</v>
      </c>
      <c r="L58" s="214">
        <f t="shared" si="10"/>
        <v>0</v>
      </c>
      <c r="M58" s="214">
        <f t="shared" si="11"/>
        <v>0</v>
      </c>
      <c r="N58" s="235">
        <f t="shared" si="12"/>
        <v>63.636363636363633</v>
      </c>
      <c r="O58" s="213">
        <v>66.8</v>
      </c>
      <c r="P58" s="214"/>
      <c r="Q58" s="214"/>
      <c r="R58" s="215">
        <f t="shared" si="13"/>
        <v>66.8</v>
      </c>
      <c r="S58" s="171">
        <v>1</v>
      </c>
      <c r="T58" s="285">
        <v>41735</v>
      </c>
      <c r="U58" s="283">
        <v>41763</v>
      </c>
      <c r="V58" s="178" t="s">
        <v>1113</v>
      </c>
      <c r="W58" s="171" t="s">
        <v>78</v>
      </c>
      <c r="X58" s="171" t="s">
        <v>11</v>
      </c>
      <c r="Y58" s="179">
        <v>66.8</v>
      </c>
      <c r="AD58" s="178"/>
      <c r="AG58" s="179"/>
      <c r="AL58" s="178"/>
      <c r="AO58" s="179"/>
      <c r="AP58" s="178"/>
      <c r="AS58" s="179"/>
      <c r="AW58" s="179"/>
      <c r="BA58" s="180"/>
    </row>
    <row r="59" spans="1:53" s="171" customFormat="1" x14ac:dyDescent="0.15">
      <c r="A59" s="171">
        <v>2015</v>
      </c>
      <c r="B59" s="306"/>
      <c r="C59" s="410" t="s">
        <v>1288</v>
      </c>
      <c r="D59" s="410"/>
      <c r="E59" s="171">
        <v>0</v>
      </c>
      <c r="G59" s="269">
        <v>8</v>
      </c>
      <c r="H59" s="191"/>
      <c r="I59" s="191"/>
      <c r="J59" s="270">
        <v>11</v>
      </c>
      <c r="K59" s="214">
        <f t="shared" si="9"/>
        <v>72.727272727272734</v>
      </c>
      <c r="L59" s="214">
        <f t="shared" si="10"/>
        <v>0</v>
      </c>
      <c r="M59" s="214">
        <f t="shared" si="11"/>
        <v>0</v>
      </c>
      <c r="N59" s="235">
        <f t="shared" si="12"/>
        <v>72.727272727272734</v>
      </c>
      <c r="O59" s="213">
        <v>66.8</v>
      </c>
      <c r="P59" s="214"/>
      <c r="Q59" s="214"/>
      <c r="R59" s="215">
        <f t="shared" si="13"/>
        <v>66.8</v>
      </c>
      <c r="S59" s="171">
        <v>1</v>
      </c>
      <c r="T59" s="285"/>
      <c r="U59" s="283"/>
      <c r="V59" s="178" t="s">
        <v>1113</v>
      </c>
      <c r="W59" s="171" t="s">
        <v>1323</v>
      </c>
      <c r="X59" s="171" t="s">
        <v>11</v>
      </c>
      <c r="Y59" s="179">
        <v>66.8</v>
      </c>
      <c r="AD59" s="178"/>
      <c r="AG59" s="179"/>
      <c r="AL59" s="178"/>
      <c r="AO59" s="179"/>
      <c r="AP59" s="178"/>
      <c r="AS59" s="179"/>
      <c r="AW59" s="179"/>
      <c r="BA59" s="180"/>
    </row>
    <row r="60" spans="1:53" s="171" customFormat="1" x14ac:dyDescent="0.15">
      <c r="A60" s="171">
        <v>2015</v>
      </c>
      <c r="B60" s="306"/>
      <c r="C60" s="410" t="s">
        <v>1288</v>
      </c>
      <c r="D60" s="410"/>
      <c r="E60" s="171">
        <v>365</v>
      </c>
      <c r="G60" s="269">
        <v>8</v>
      </c>
      <c r="H60" s="191"/>
      <c r="I60" s="191"/>
      <c r="J60" s="270">
        <v>11</v>
      </c>
      <c r="K60" s="214">
        <f t="shared" si="9"/>
        <v>72.727272727272734</v>
      </c>
      <c r="L60" s="214">
        <f t="shared" si="10"/>
        <v>0</v>
      </c>
      <c r="M60" s="214">
        <f t="shared" si="11"/>
        <v>0</v>
      </c>
      <c r="N60" s="235">
        <f t="shared" si="12"/>
        <v>72.727272727272734</v>
      </c>
      <c r="O60" s="213">
        <v>66.8</v>
      </c>
      <c r="P60" s="214"/>
      <c r="Q60" s="214"/>
      <c r="R60" s="215">
        <f t="shared" si="13"/>
        <v>66.8</v>
      </c>
      <c r="S60" s="171">
        <v>1</v>
      </c>
      <c r="T60" s="285"/>
      <c r="U60" s="283"/>
      <c r="V60" s="178" t="s">
        <v>1113</v>
      </c>
      <c r="W60" s="171" t="s">
        <v>1323</v>
      </c>
      <c r="X60" s="171" t="s">
        <v>11</v>
      </c>
      <c r="Y60" s="179">
        <v>66.8</v>
      </c>
      <c r="AD60" s="178"/>
      <c r="AG60" s="179"/>
      <c r="AL60" s="178"/>
      <c r="AO60" s="179"/>
      <c r="AP60" s="178"/>
      <c r="AS60" s="179"/>
      <c r="AW60" s="179"/>
      <c r="BA60" s="180"/>
    </row>
    <row r="61" spans="1:53" s="171" customFormat="1" x14ac:dyDescent="0.15">
      <c r="A61" s="171">
        <v>2016</v>
      </c>
      <c r="B61" s="306"/>
      <c r="C61" s="410" t="s">
        <v>1288</v>
      </c>
      <c r="D61" s="410"/>
      <c r="E61" s="171">
        <v>0</v>
      </c>
      <c r="G61" s="269">
        <v>8</v>
      </c>
      <c r="H61" s="191"/>
      <c r="I61" s="191"/>
      <c r="J61" s="270">
        <v>11</v>
      </c>
      <c r="K61" s="214">
        <f t="shared" si="9"/>
        <v>72.727272727272734</v>
      </c>
      <c r="L61" s="214">
        <f t="shared" si="10"/>
        <v>0</v>
      </c>
      <c r="M61" s="214">
        <f t="shared" si="11"/>
        <v>0</v>
      </c>
      <c r="N61" s="235">
        <f t="shared" si="12"/>
        <v>72.727272727272734</v>
      </c>
      <c r="O61" s="213">
        <v>66.8</v>
      </c>
      <c r="P61" s="214"/>
      <c r="Q61" s="214"/>
      <c r="R61" s="215">
        <f t="shared" si="13"/>
        <v>66.8</v>
      </c>
      <c r="S61" s="171">
        <v>1</v>
      </c>
      <c r="T61" s="285"/>
      <c r="U61" s="283"/>
      <c r="V61" s="178" t="s">
        <v>1113</v>
      </c>
      <c r="W61" s="171" t="s">
        <v>1323</v>
      </c>
      <c r="X61" s="171" t="s">
        <v>11</v>
      </c>
      <c r="Y61" s="179">
        <v>66.8</v>
      </c>
      <c r="AD61" s="178"/>
      <c r="AG61" s="179"/>
      <c r="AL61" s="178"/>
      <c r="AO61" s="179"/>
      <c r="AP61" s="178"/>
      <c r="AS61" s="179"/>
      <c r="AW61" s="179"/>
      <c r="BA61" s="180"/>
    </row>
    <row r="62" spans="1:53" s="171" customFormat="1" x14ac:dyDescent="0.15">
      <c r="A62" s="171">
        <v>2016</v>
      </c>
      <c r="B62" s="306"/>
      <c r="C62" s="410" t="s">
        <v>1288</v>
      </c>
      <c r="D62" s="410"/>
      <c r="E62" s="171">
        <v>366</v>
      </c>
      <c r="G62" s="269">
        <v>8</v>
      </c>
      <c r="H62" s="191"/>
      <c r="I62" s="191"/>
      <c r="J62" s="270">
        <v>11</v>
      </c>
      <c r="K62" s="214">
        <f t="shared" si="9"/>
        <v>72.727272727272734</v>
      </c>
      <c r="L62" s="214">
        <f t="shared" si="10"/>
        <v>0</v>
      </c>
      <c r="M62" s="214">
        <f t="shared" si="11"/>
        <v>0</v>
      </c>
      <c r="N62" s="235">
        <f t="shared" si="12"/>
        <v>72.727272727272734</v>
      </c>
      <c r="O62" s="213">
        <v>66.8</v>
      </c>
      <c r="P62" s="214"/>
      <c r="Q62" s="214"/>
      <c r="R62" s="215">
        <f t="shared" si="13"/>
        <v>66.8</v>
      </c>
      <c r="S62" s="171">
        <v>1</v>
      </c>
      <c r="T62" s="285"/>
      <c r="U62" s="283"/>
      <c r="V62" s="178" t="s">
        <v>1113</v>
      </c>
      <c r="W62" s="171" t="s">
        <v>1323</v>
      </c>
      <c r="X62" s="171" t="s">
        <v>11</v>
      </c>
      <c r="Y62" s="179">
        <v>66.8</v>
      </c>
      <c r="AD62" s="178"/>
      <c r="AG62" s="179"/>
      <c r="AL62" s="178"/>
      <c r="AO62" s="179"/>
      <c r="AP62" s="178"/>
      <c r="AS62" s="179"/>
      <c r="AW62" s="179"/>
      <c r="BA62" s="180"/>
    </row>
    <row r="63" spans="1:53" s="171" customFormat="1" x14ac:dyDescent="0.15">
      <c r="A63" s="171">
        <v>2017</v>
      </c>
      <c r="B63" s="306"/>
      <c r="C63" s="410" t="s">
        <v>1288</v>
      </c>
      <c r="D63" s="410"/>
      <c r="E63" s="171">
        <v>121</v>
      </c>
      <c r="G63" s="269">
        <v>8</v>
      </c>
      <c r="H63" s="191"/>
      <c r="I63" s="191"/>
      <c r="J63" s="270">
        <v>11</v>
      </c>
      <c r="K63" s="214">
        <f t="shared" si="9"/>
        <v>72.727272727272734</v>
      </c>
      <c r="L63" s="214">
        <f t="shared" si="10"/>
        <v>0</v>
      </c>
      <c r="M63" s="214">
        <f t="shared" si="11"/>
        <v>0</v>
      </c>
      <c r="N63" s="235">
        <f t="shared" si="12"/>
        <v>72.727272727272734</v>
      </c>
      <c r="O63" s="213">
        <v>66.8</v>
      </c>
      <c r="P63" s="214"/>
      <c r="Q63" s="214"/>
      <c r="R63" s="215">
        <f t="shared" ref="R63:R65" si="14">SUM(O63:Q63)</f>
        <v>66.8</v>
      </c>
      <c r="S63" s="171">
        <v>1</v>
      </c>
      <c r="T63" s="285"/>
      <c r="U63" s="283"/>
      <c r="V63" s="178" t="s">
        <v>1113</v>
      </c>
      <c r="W63" s="171" t="s">
        <v>1323</v>
      </c>
      <c r="X63" s="171" t="s">
        <v>11</v>
      </c>
      <c r="Y63" s="179">
        <v>66.8</v>
      </c>
      <c r="AD63" s="178"/>
      <c r="AG63" s="179"/>
      <c r="AL63" s="178"/>
      <c r="AO63" s="179"/>
      <c r="AP63" s="178"/>
      <c r="AS63" s="179"/>
      <c r="AW63" s="179"/>
      <c r="BA63" s="180"/>
    </row>
    <row r="64" spans="1:53" s="171" customFormat="1" x14ac:dyDescent="0.15">
      <c r="A64" s="171">
        <v>2017</v>
      </c>
      <c r="B64" s="305">
        <v>42857</v>
      </c>
      <c r="C64" s="410" t="s">
        <v>1288</v>
      </c>
      <c r="D64" s="410"/>
      <c r="E64" s="171">
        <v>153</v>
      </c>
      <c r="F64" s="244">
        <v>0</v>
      </c>
      <c r="G64" s="269">
        <v>10</v>
      </c>
      <c r="H64" s="191"/>
      <c r="I64" s="191"/>
      <c r="J64" s="270">
        <v>13</v>
      </c>
      <c r="K64" s="214">
        <f t="shared" si="9"/>
        <v>76.923076923076934</v>
      </c>
      <c r="L64" s="214">
        <f t="shared" si="10"/>
        <v>0</v>
      </c>
      <c r="M64" s="214">
        <f t="shared" si="11"/>
        <v>0</v>
      </c>
      <c r="N64" s="235">
        <f t="shared" si="12"/>
        <v>76.923076923076934</v>
      </c>
      <c r="O64" s="213">
        <v>66.8</v>
      </c>
      <c r="P64" s="214"/>
      <c r="Q64" s="214"/>
      <c r="R64" s="215">
        <f t="shared" si="14"/>
        <v>66.8</v>
      </c>
      <c r="S64" s="171">
        <v>1</v>
      </c>
      <c r="T64" s="285"/>
      <c r="U64" s="283"/>
      <c r="V64" s="178" t="s">
        <v>1113</v>
      </c>
      <c r="W64" s="171" t="s">
        <v>1323</v>
      </c>
      <c r="X64" s="171" t="s">
        <v>11</v>
      </c>
      <c r="Y64" s="179">
        <v>66.8</v>
      </c>
      <c r="AD64" s="178"/>
      <c r="AG64" s="179"/>
      <c r="AL64" s="178"/>
      <c r="AO64" s="179"/>
      <c r="AP64" s="178"/>
      <c r="AS64" s="179"/>
      <c r="AW64" s="179"/>
      <c r="BA64" s="180"/>
    </row>
    <row r="65" spans="1:53" s="171" customFormat="1" x14ac:dyDescent="0.15">
      <c r="A65" s="171">
        <v>2017</v>
      </c>
      <c r="B65" s="305">
        <v>43010</v>
      </c>
      <c r="C65" s="410" t="s">
        <v>1288</v>
      </c>
      <c r="D65" s="410"/>
      <c r="E65" s="171">
        <v>91</v>
      </c>
      <c r="F65" s="244">
        <v>0</v>
      </c>
      <c r="G65" s="269">
        <v>10</v>
      </c>
      <c r="H65" s="191"/>
      <c r="I65" s="191"/>
      <c r="J65" s="270">
        <v>13</v>
      </c>
      <c r="K65" s="214">
        <f t="shared" si="9"/>
        <v>76.923076923076934</v>
      </c>
      <c r="L65" s="214">
        <f t="shared" si="10"/>
        <v>0</v>
      </c>
      <c r="M65" s="214">
        <f t="shared" si="11"/>
        <v>0</v>
      </c>
      <c r="N65" s="235">
        <f t="shared" si="12"/>
        <v>76.923076923076934</v>
      </c>
      <c r="O65" s="213">
        <v>66.8</v>
      </c>
      <c r="P65" s="214"/>
      <c r="Q65" s="214"/>
      <c r="R65" s="215">
        <f t="shared" si="14"/>
        <v>66.8</v>
      </c>
      <c r="S65" s="171">
        <v>1</v>
      </c>
      <c r="T65" s="285"/>
      <c r="U65" s="283"/>
      <c r="V65" s="178" t="s">
        <v>1113</v>
      </c>
      <c r="W65" s="171" t="s">
        <v>1323</v>
      </c>
      <c r="X65" s="171" t="s">
        <v>11</v>
      </c>
      <c r="Y65" s="179">
        <v>66.8</v>
      </c>
      <c r="AD65" s="178"/>
      <c r="AG65" s="179"/>
      <c r="AL65" s="178"/>
      <c r="AO65" s="179"/>
      <c r="AP65" s="178"/>
      <c r="AS65" s="179"/>
      <c r="AW65" s="179"/>
      <c r="BA65" s="180"/>
    </row>
    <row r="66" spans="1:53" s="171" customFormat="1" x14ac:dyDescent="0.15">
      <c r="A66" s="171">
        <v>2018</v>
      </c>
      <c r="B66" s="305"/>
      <c r="C66" s="410" t="s">
        <v>1288</v>
      </c>
      <c r="D66" s="410"/>
      <c r="E66" s="171">
        <v>137</v>
      </c>
      <c r="F66" s="244"/>
      <c r="G66" s="269">
        <v>10</v>
      </c>
      <c r="H66" s="191"/>
      <c r="I66" s="191"/>
      <c r="J66" s="270">
        <v>13</v>
      </c>
      <c r="K66" s="214">
        <f t="shared" si="9"/>
        <v>76.923076923076934</v>
      </c>
      <c r="L66" s="214">
        <f t="shared" si="10"/>
        <v>0</v>
      </c>
      <c r="M66" s="214">
        <f t="shared" si="11"/>
        <v>0</v>
      </c>
      <c r="N66" s="235">
        <f t="shared" si="12"/>
        <v>76.923076923076934</v>
      </c>
      <c r="O66" s="213">
        <v>66.8</v>
      </c>
      <c r="P66" s="214"/>
      <c r="Q66" s="214"/>
      <c r="R66" s="215">
        <f t="shared" ref="R66:R67" si="15">SUM(O66:Q66)</f>
        <v>66.8</v>
      </c>
      <c r="S66" s="171">
        <v>1</v>
      </c>
      <c r="T66" s="285"/>
      <c r="U66" s="283"/>
      <c r="V66" s="178" t="s">
        <v>1113</v>
      </c>
      <c r="W66" s="171" t="s">
        <v>1323</v>
      </c>
      <c r="X66" s="171" t="s">
        <v>11</v>
      </c>
      <c r="Y66" s="179">
        <v>66.8</v>
      </c>
      <c r="AD66" s="178"/>
      <c r="AG66" s="179"/>
      <c r="AL66" s="178"/>
      <c r="AO66" s="179"/>
      <c r="AP66" s="178"/>
      <c r="AS66" s="179"/>
      <c r="AW66" s="179"/>
      <c r="BA66" s="180"/>
    </row>
    <row r="67" spans="1:53" s="29" customFormat="1" x14ac:dyDescent="0.15">
      <c r="A67" s="29">
        <v>2018</v>
      </c>
      <c r="B67" s="277">
        <v>43238</v>
      </c>
      <c r="C67" s="411" t="s">
        <v>1394</v>
      </c>
      <c r="D67" s="411"/>
      <c r="E67" s="29">
        <v>228</v>
      </c>
      <c r="F67" s="84"/>
      <c r="G67" s="267">
        <v>10</v>
      </c>
      <c r="H67" s="167"/>
      <c r="I67" s="167"/>
      <c r="J67" s="268">
        <v>13</v>
      </c>
      <c r="K67" s="47">
        <f t="shared" si="9"/>
        <v>76.923076923076934</v>
      </c>
      <c r="L67" s="47">
        <f t="shared" si="10"/>
        <v>0</v>
      </c>
      <c r="M67" s="47">
        <f t="shared" si="11"/>
        <v>0</v>
      </c>
      <c r="N67" s="68">
        <f t="shared" si="12"/>
        <v>76.923076923076934</v>
      </c>
      <c r="O67" s="46">
        <v>65.8</v>
      </c>
      <c r="P67" s="47"/>
      <c r="Q67" s="47"/>
      <c r="R67" s="48">
        <f t="shared" si="15"/>
        <v>65.8</v>
      </c>
      <c r="S67" s="29">
        <v>1</v>
      </c>
      <c r="T67" s="286">
        <v>43198</v>
      </c>
      <c r="U67" s="277">
        <v>43238</v>
      </c>
      <c r="V67" s="38" t="s">
        <v>1113</v>
      </c>
      <c r="W67" s="29" t="s">
        <v>1323</v>
      </c>
      <c r="X67" s="29" t="s">
        <v>11</v>
      </c>
      <c r="Y67" s="39">
        <v>65.8</v>
      </c>
      <c r="AD67" s="38"/>
      <c r="AG67" s="39"/>
      <c r="AL67" s="38"/>
      <c r="AO67" s="39"/>
      <c r="AP67" s="38"/>
      <c r="AS67" s="39"/>
      <c r="AW67" s="39"/>
      <c r="BA67" s="40"/>
    </row>
    <row r="68" spans="1:53" s="29" customFormat="1" x14ac:dyDescent="0.15">
      <c r="A68" s="29">
        <v>2019</v>
      </c>
      <c r="B68" s="277"/>
      <c r="C68" s="411" t="s">
        <v>1394</v>
      </c>
      <c r="D68" s="411"/>
      <c r="E68" s="29">
        <v>180</v>
      </c>
      <c r="F68" s="84"/>
      <c r="G68" s="267">
        <v>10</v>
      </c>
      <c r="H68" s="167"/>
      <c r="I68" s="167"/>
      <c r="J68" s="268">
        <v>13</v>
      </c>
      <c r="K68" s="47">
        <f t="shared" ref="K68:K71" si="16">G68/J68*100</f>
        <v>76.923076923076934</v>
      </c>
      <c r="L68" s="47">
        <f t="shared" ref="L68:L71" si="17">H68/J68*100</f>
        <v>0</v>
      </c>
      <c r="M68" s="47">
        <f t="shared" ref="M68:M71" si="18">I68/J68*100</f>
        <v>0</v>
      </c>
      <c r="N68" s="68">
        <f t="shared" ref="N68:N71" si="19">SUM(K68:M68)</f>
        <v>76.923076923076934</v>
      </c>
      <c r="O68" s="46">
        <v>65.8</v>
      </c>
      <c r="P68" s="47"/>
      <c r="Q68" s="47"/>
      <c r="R68" s="48">
        <f t="shared" ref="R68:R71" si="20">SUM(O68:Q68)</f>
        <v>65.8</v>
      </c>
      <c r="S68" s="29">
        <v>1</v>
      </c>
      <c r="T68" s="286"/>
      <c r="U68" s="277"/>
      <c r="V68" s="38" t="s">
        <v>1113</v>
      </c>
      <c r="W68" s="29" t="s">
        <v>1323</v>
      </c>
      <c r="X68" s="29" t="s">
        <v>11</v>
      </c>
      <c r="Y68" s="39">
        <v>65.8</v>
      </c>
      <c r="AD68" s="38"/>
      <c r="AG68" s="39"/>
      <c r="AL68" s="38"/>
      <c r="AO68" s="39"/>
      <c r="AP68" s="38"/>
      <c r="AS68" s="39"/>
      <c r="AW68" s="39"/>
      <c r="BA68" s="40"/>
    </row>
    <row r="69" spans="1:53" s="29" customFormat="1" x14ac:dyDescent="0.15">
      <c r="A69" s="29">
        <v>2019</v>
      </c>
      <c r="B69" s="303">
        <v>43646</v>
      </c>
      <c r="C69" s="411" t="s">
        <v>1394</v>
      </c>
      <c r="D69" s="411"/>
      <c r="E69" s="29">
        <v>185</v>
      </c>
      <c r="F69" s="343">
        <v>0</v>
      </c>
      <c r="G69" s="167">
        <v>11</v>
      </c>
      <c r="H69" s="167"/>
      <c r="I69" s="167"/>
      <c r="J69" s="268">
        <v>13</v>
      </c>
      <c r="K69" s="47">
        <f t="shared" si="16"/>
        <v>84.615384615384613</v>
      </c>
      <c r="L69" s="47">
        <f t="shared" si="17"/>
        <v>0</v>
      </c>
      <c r="M69" s="47">
        <f t="shared" si="18"/>
        <v>0</v>
      </c>
      <c r="N69" s="68">
        <f t="shared" si="19"/>
        <v>84.615384615384613</v>
      </c>
      <c r="O69" s="46">
        <v>65.8</v>
      </c>
      <c r="P69" s="47"/>
      <c r="Q69" s="47"/>
      <c r="R69" s="48">
        <f t="shared" si="20"/>
        <v>65.8</v>
      </c>
      <c r="S69" s="37">
        <v>1</v>
      </c>
      <c r="T69" s="321"/>
      <c r="U69" s="277"/>
      <c r="V69" s="38" t="s">
        <v>1113</v>
      </c>
      <c r="W69" s="29" t="s">
        <v>1323</v>
      </c>
      <c r="X69" s="29" t="s">
        <v>11</v>
      </c>
      <c r="Y69" s="39">
        <v>65.8</v>
      </c>
      <c r="AD69" s="38"/>
      <c r="AG69" s="39"/>
      <c r="AL69" s="38"/>
      <c r="AO69" s="39"/>
      <c r="AP69" s="38"/>
      <c r="AS69" s="39"/>
      <c r="AW69" s="39"/>
      <c r="BA69" s="40"/>
    </row>
    <row r="70" spans="1:53" s="29" customFormat="1" x14ac:dyDescent="0.15">
      <c r="A70" s="29">
        <v>2020</v>
      </c>
      <c r="B70" s="303"/>
      <c r="C70" s="411" t="s">
        <v>1394</v>
      </c>
      <c r="D70" s="411"/>
      <c r="E70" s="29">
        <v>273</v>
      </c>
      <c r="F70" s="343"/>
      <c r="G70" s="167">
        <v>11</v>
      </c>
      <c r="H70" s="167"/>
      <c r="I70" s="167"/>
      <c r="J70" s="268">
        <v>13</v>
      </c>
      <c r="K70" s="47">
        <f t="shared" si="16"/>
        <v>84.615384615384613</v>
      </c>
      <c r="L70" s="47">
        <f t="shared" si="17"/>
        <v>0</v>
      </c>
      <c r="M70" s="47">
        <f t="shared" si="18"/>
        <v>0</v>
      </c>
      <c r="N70" s="68">
        <f t="shared" si="19"/>
        <v>84.615384615384613</v>
      </c>
      <c r="O70" s="46">
        <v>65.8</v>
      </c>
      <c r="P70" s="47"/>
      <c r="Q70" s="47"/>
      <c r="R70" s="48">
        <f t="shared" si="20"/>
        <v>65.8</v>
      </c>
      <c r="S70" s="37">
        <v>1</v>
      </c>
      <c r="T70" s="286"/>
      <c r="U70" s="344"/>
      <c r="V70" s="29" t="s">
        <v>1113</v>
      </c>
      <c r="W70" s="29" t="s">
        <v>1323</v>
      </c>
      <c r="X70" s="29" t="s">
        <v>11</v>
      </c>
      <c r="Y70" s="39">
        <v>65.8</v>
      </c>
      <c r="AC70" s="39"/>
      <c r="AG70" s="39"/>
      <c r="AK70" s="39"/>
      <c r="AO70" s="39"/>
      <c r="AS70" s="39"/>
      <c r="AW70" s="39"/>
      <c r="BA70" s="40"/>
    </row>
    <row r="71" spans="1:53" s="29" customFormat="1" x14ac:dyDescent="0.15">
      <c r="A71" s="29">
        <v>2020</v>
      </c>
      <c r="B71" s="303">
        <v>44104</v>
      </c>
      <c r="C71" s="411" t="s">
        <v>1394</v>
      </c>
      <c r="D71" s="411"/>
      <c r="E71" s="29">
        <v>93</v>
      </c>
      <c r="F71" s="343">
        <v>0</v>
      </c>
      <c r="G71" s="167">
        <v>12</v>
      </c>
      <c r="H71" s="167"/>
      <c r="I71" s="167"/>
      <c r="J71" s="268">
        <v>14</v>
      </c>
      <c r="K71" s="47">
        <f t="shared" si="16"/>
        <v>85.714285714285708</v>
      </c>
      <c r="L71" s="47">
        <f t="shared" si="17"/>
        <v>0</v>
      </c>
      <c r="M71" s="47">
        <f t="shared" si="18"/>
        <v>0</v>
      </c>
      <c r="N71" s="68">
        <f t="shared" si="19"/>
        <v>85.714285714285708</v>
      </c>
      <c r="O71" s="46">
        <v>65.8</v>
      </c>
      <c r="P71" s="47"/>
      <c r="Q71" s="47"/>
      <c r="R71" s="48">
        <f t="shared" si="20"/>
        <v>65.8</v>
      </c>
      <c r="S71" s="37">
        <v>1</v>
      </c>
      <c r="T71" s="286"/>
      <c r="U71" s="345"/>
      <c r="V71" s="29" t="s">
        <v>1113</v>
      </c>
      <c r="W71" s="29" t="s">
        <v>1323</v>
      </c>
      <c r="X71" s="29" t="s">
        <v>11</v>
      </c>
      <c r="Y71" s="39">
        <v>65.8</v>
      </c>
      <c r="AC71" s="39"/>
      <c r="AG71" s="39"/>
      <c r="AK71" s="39"/>
      <c r="AO71" s="39"/>
      <c r="AS71" s="39"/>
      <c r="AW71" s="39"/>
      <c r="BA71" s="40"/>
    </row>
    <row r="72" spans="1:53" x14ac:dyDescent="0.15">
      <c r="B72" s="311"/>
      <c r="F72" s="366"/>
      <c r="G72" s="373"/>
      <c r="H72" s="373"/>
      <c r="I72" s="373"/>
      <c r="J72" s="374"/>
      <c r="K72" s="12"/>
      <c r="L72" s="12"/>
      <c r="M72" s="12"/>
      <c r="N72" s="20"/>
      <c r="O72" s="12"/>
      <c r="P72" s="12"/>
      <c r="Q72" s="12"/>
      <c r="R72" s="20"/>
      <c r="T72" s="340"/>
      <c r="U72" s="375"/>
      <c r="Y72" s="17"/>
      <c r="AC72" s="17"/>
      <c r="AG72" s="17"/>
      <c r="AK72" s="17"/>
      <c r="AO72" s="17"/>
      <c r="AS72" s="17"/>
      <c r="AW72" s="17"/>
    </row>
    <row r="73" spans="1:53" x14ac:dyDescent="0.15">
      <c r="U73" s="17"/>
      <c r="Y73" s="17"/>
      <c r="AC73" s="17"/>
      <c r="AG73" s="17"/>
      <c r="AK73" s="17"/>
      <c r="AO73" s="17"/>
      <c r="AS73" s="17"/>
      <c r="AW73" s="17"/>
    </row>
    <row r="74" spans="1:53" ht="18" customHeight="1" x14ac:dyDescent="0.15">
      <c r="B74" s="16" t="s">
        <v>1264</v>
      </c>
      <c r="AC74" s="17"/>
      <c r="AS74" s="17"/>
    </row>
    <row r="75" spans="1:53" ht="9" customHeight="1" x14ac:dyDescent="0.15"/>
    <row r="76" spans="1:53" s="195" customFormat="1" ht="9" customHeight="1" x14ac:dyDescent="0.15">
      <c r="A76" s="193"/>
      <c r="B76" s="194" t="s">
        <v>1215</v>
      </c>
      <c r="C76" s="194"/>
      <c r="D76" s="194"/>
      <c r="E76" s="194"/>
      <c r="F76" s="194"/>
      <c r="G76" s="194" t="s">
        <v>1216</v>
      </c>
      <c r="H76" s="194"/>
      <c r="I76" s="194"/>
      <c r="J76" s="194"/>
      <c r="K76" s="194"/>
      <c r="L76" s="194"/>
      <c r="M76" s="194"/>
      <c r="N76" s="194"/>
      <c r="R76" s="388" t="s">
        <v>1217</v>
      </c>
      <c r="S76" s="388"/>
      <c r="T76" s="388"/>
      <c r="U76" s="388"/>
      <c r="V76" s="388"/>
      <c r="W76" s="388"/>
      <c r="X76" s="196"/>
      <c r="Y76" s="196"/>
      <c r="AA76" s="196"/>
      <c r="AB76" s="196"/>
      <c r="AC76" s="196"/>
      <c r="AD76" s="196"/>
    </row>
    <row r="77" spans="1:53" s="200" customFormat="1" ht="9" customHeight="1" x14ac:dyDescent="0.15">
      <c r="A77" s="197"/>
      <c r="B77" s="198" t="s">
        <v>1219</v>
      </c>
      <c r="C77" s="199"/>
      <c r="D77" s="199"/>
      <c r="E77" s="199"/>
      <c r="F77" s="199"/>
      <c r="G77" s="198" t="s">
        <v>1218</v>
      </c>
      <c r="H77" s="199"/>
      <c r="I77" s="199"/>
      <c r="J77" s="199"/>
      <c r="K77" s="199"/>
      <c r="L77" s="199"/>
      <c r="M77" s="199"/>
      <c r="N77" s="199"/>
      <c r="R77" s="201" t="s">
        <v>1220</v>
      </c>
      <c r="S77" s="202"/>
      <c r="T77" s="203"/>
      <c r="U77" s="203"/>
      <c r="V77" s="203"/>
      <c r="W77" s="201" t="s">
        <v>1221</v>
      </c>
      <c r="X77" s="203"/>
      <c r="Y77" s="203"/>
      <c r="AA77" s="203"/>
      <c r="AB77" s="203"/>
      <c r="AC77" s="203"/>
      <c r="AD77" s="203"/>
    </row>
    <row r="78" spans="1:53" s="186" customFormat="1" ht="12" customHeight="1" x14ac:dyDescent="0.15">
      <c r="A78" s="204" t="s">
        <v>3</v>
      </c>
      <c r="B78" s="205" t="s">
        <v>8</v>
      </c>
      <c r="C78" s="205" t="s">
        <v>9</v>
      </c>
      <c r="D78" s="205" t="s">
        <v>10</v>
      </c>
      <c r="E78" s="206" t="s">
        <v>1195</v>
      </c>
      <c r="F78" s="205"/>
      <c r="G78" s="186" t="s">
        <v>3</v>
      </c>
      <c r="H78" s="389" t="s">
        <v>0</v>
      </c>
      <c r="I78" s="389"/>
      <c r="J78" s="389" t="s">
        <v>1</v>
      </c>
      <c r="K78" s="389"/>
      <c r="L78" s="389" t="s">
        <v>2</v>
      </c>
      <c r="M78" s="389"/>
      <c r="N78" s="390" t="s">
        <v>1195</v>
      </c>
      <c r="O78" s="390"/>
      <c r="P78" s="207"/>
      <c r="Q78" s="207"/>
      <c r="R78" s="208" t="s">
        <v>3</v>
      </c>
      <c r="S78" s="209" t="s">
        <v>135</v>
      </c>
      <c r="T78" s="207" t="s">
        <v>133</v>
      </c>
      <c r="U78" s="205" t="s">
        <v>134</v>
      </c>
      <c r="V78" s="207"/>
      <c r="W78" s="210" t="s">
        <v>26</v>
      </c>
    </row>
    <row r="79" spans="1:53" x14ac:dyDescent="0.15">
      <c r="A79" s="1">
        <v>1990</v>
      </c>
      <c r="B79" s="5">
        <f>(K7*($E7/223))+(K8*($E8/223))</f>
        <v>53.185522497882801</v>
      </c>
      <c r="C79" s="5">
        <f>(L7*($E7/223))+(L8*($E8/223))</f>
        <v>5.8518096877646499</v>
      </c>
      <c r="D79" s="5">
        <f>(M7*($E7/223))+(M8*($E8/223))</f>
        <v>23.4072387510586</v>
      </c>
      <c r="E79" s="18">
        <f>SUM(B79:D79)</f>
        <v>82.444570936706043</v>
      </c>
      <c r="G79" s="1">
        <v>1990</v>
      </c>
      <c r="H79" s="419">
        <f>(O7/$R7*100*($E7/223))+(O8/$R8*100*($E8/223))</f>
        <v>71.669477234401356</v>
      </c>
      <c r="I79" s="419"/>
      <c r="J79" s="419">
        <f>(P7/$R7*100*($E7/223))+(P8/$R8*100*($E8/223))</f>
        <v>9.1062394603709951</v>
      </c>
      <c r="K79" s="419"/>
      <c r="L79" s="419">
        <f>(Q7/$R7*100*($E7/223))+(Q8/$R8*100*($E8/223))</f>
        <v>19.224283305227658</v>
      </c>
      <c r="M79" s="419"/>
      <c r="N79" s="379">
        <f>SUM(H79:M79)</f>
        <v>100.00000000000001</v>
      </c>
      <c r="O79" s="379"/>
      <c r="R79" s="1">
        <v>1990</v>
      </c>
      <c r="S79" s="5">
        <f>(O7*($E7/223))+(O8*($E8/223))</f>
        <v>42.5</v>
      </c>
      <c r="T79" s="5">
        <f>(P7*($E7/223))+(P8*($E8/223))</f>
        <v>5.4</v>
      </c>
      <c r="U79" s="5">
        <f>(Q7*($E7/223))+(Q8*($E8/223))</f>
        <v>11.4</v>
      </c>
      <c r="W79" s="5">
        <f t="shared" ref="W79:W100" si="21">SUM(S79:U79)</f>
        <v>59.3</v>
      </c>
      <c r="Y79" s="27" t="s">
        <v>1137</v>
      </c>
    </row>
    <row r="80" spans="1:53" x14ac:dyDescent="0.15">
      <c r="A80" s="1">
        <v>1991</v>
      </c>
      <c r="B80" s="5">
        <f>(K9*($E9/365))+(K10*($E10/365))</f>
        <v>57.894736842105267</v>
      </c>
      <c r="C80" s="5">
        <f>(L9*($E9/365))+(L10*($E10/365))</f>
        <v>5.2631578947368416</v>
      </c>
      <c r="D80" s="5">
        <f>(M9*($E9/365))+(M10*($E10/365))</f>
        <v>21.052631578947366</v>
      </c>
      <c r="E80" s="18">
        <f t="shared" ref="E80:E100" si="22">SUM(B80:D80)</f>
        <v>84.21052631578948</v>
      </c>
      <c r="G80" s="1">
        <v>1991</v>
      </c>
      <c r="H80" s="409">
        <f>(O9/$R9*100*($E9/365))+(O10/$R10*100*($E10/365))</f>
        <v>71.669477234401356</v>
      </c>
      <c r="I80" s="409"/>
      <c r="J80" s="409">
        <f>(P9/$R9*100*($E9/365))+(P10/$R10*100*($E10/365))</f>
        <v>9.1062394603709969</v>
      </c>
      <c r="K80" s="409"/>
      <c r="L80" s="409">
        <f>(Q9/$R9*100*($E9/365))+(Q10/$R10*100*($E10/365))</f>
        <v>19.224283305227658</v>
      </c>
      <c r="M80" s="409"/>
      <c r="N80" s="379">
        <f t="shared" ref="N80:N101" si="23">SUM(H80:M80)</f>
        <v>100.00000000000001</v>
      </c>
      <c r="O80" s="379"/>
      <c r="R80" s="1">
        <v>1991</v>
      </c>
      <c r="S80" s="5">
        <f>(O9*($E9/365))+(O10*($E10/365))</f>
        <v>42.5</v>
      </c>
      <c r="T80" s="5">
        <f>(P9*($E9/365))+(P10*($E10/365))</f>
        <v>5.4</v>
      </c>
      <c r="U80" s="5">
        <f>(Q9*($E9/365))+(Q10*($E10/365))</f>
        <v>11.4</v>
      </c>
      <c r="W80" s="5">
        <f t="shared" si="21"/>
        <v>59.3</v>
      </c>
    </row>
    <row r="81" spans="1:23" x14ac:dyDescent="0.15">
      <c r="A81" s="1">
        <v>1992</v>
      </c>
      <c r="B81" s="5">
        <f>(K11*($E11/366))+(K12*($E12/366))</f>
        <v>57.89473684210526</v>
      </c>
      <c r="C81" s="5">
        <f>(L11*($E11/366))+(L12*($E12/366))</f>
        <v>5.2631578947368416</v>
      </c>
      <c r="D81" s="5">
        <f>(M11*($E11/366))+(M12*($E12/366))</f>
        <v>21.052631578947366</v>
      </c>
      <c r="E81" s="18">
        <f t="shared" si="22"/>
        <v>84.210526315789465</v>
      </c>
      <c r="G81" s="1">
        <v>1992</v>
      </c>
      <c r="H81" s="409">
        <f>(O11/$R11*100*($E11/366))+(O12/$R12*100*($E12/366))</f>
        <v>71.669477234401356</v>
      </c>
      <c r="I81" s="409"/>
      <c r="J81" s="409">
        <f>(P11/$R11*100*($E11/366))+(P12/$R12*100*($E12/366))</f>
        <v>9.1062394603709969</v>
      </c>
      <c r="K81" s="409"/>
      <c r="L81" s="409">
        <f>(Q11/$R11*100*($E11/366))+(Q12/$R12*100*($E12/366))</f>
        <v>19.224283305227658</v>
      </c>
      <c r="M81" s="409"/>
      <c r="N81" s="379">
        <f t="shared" si="23"/>
        <v>100.00000000000001</v>
      </c>
      <c r="O81" s="379"/>
      <c r="R81" s="1">
        <v>1992</v>
      </c>
      <c r="S81" s="5">
        <f>(O11*($E11/366))+(O12*($E12/366))</f>
        <v>42.499999999999993</v>
      </c>
      <c r="T81" s="5">
        <f>(P11*($E11/366))+(P12*($E12/366))</f>
        <v>5.4</v>
      </c>
      <c r="U81" s="5">
        <f>(Q11*($E11/366))+(Q12*($E12/366))</f>
        <v>11.4</v>
      </c>
      <c r="W81" s="5">
        <f t="shared" si="21"/>
        <v>59.29999999999999</v>
      </c>
    </row>
    <row r="82" spans="1:23" x14ac:dyDescent="0.15">
      <c r="A82" s="1">
        <v>1993</v>
      </c>
      <c r="B82" s="5">
        <f>(K13*($E13/365))+(K14*($E14/365))</f>
        <v>58.03352559480895</v>
      </c>
      <c r="C82" s="5">
        <f>(L13*($E13/365))+(L14*($E14/365))</f>
        <v>5.6696106705118954</v>
      </c>
      <c r="D82" s="5">
        <f>(M13*($E13/365))+(M14*($E14/365))</f>
        <v>20.983237202595529</v>
      </c>
      <c r="E82" s="18">
        <f t="shared" si="22"/>
        <v>84.686373467916368</v>
      </c>
      <c r="G82" s="1">
        <v>1993</v>
      </c>
      <c r="H82" s="409">
        <f>(O13/$R13*100*($E13/365))+(O14/$R14*100*($E14/365))</f>
        <v>71.669477234401356</v>
      </c>
      <c r="I82" s="409"/>
      <c r="J82" s="409">
        <f>(P13/$R13*100*($E13/365))+(P14/$R14*100*($E14/365))</f>
        <v>9.1062394603709969</v>
      </c>
      <c r="K82" s="409"/>
      <c r="L82" s="409">
        <f>(Q13/$R13*100*($E13/365))+(Q14/$R14*100*($E14/365))</f>
        <v>19.224283305227658</v>
      </c>
      <c r="M82" s="409"/>
      <c r="N82" s="379">
        <f t="shared" si="23"/>
        <v>100.00000000000001</v>
      </c>
      <c r="O82" s="379"/>
      <c r="R82" s="1">
        <v>1993</v>
      </c>
      <c r="S82" s="5">
        <f>(O13*($E13/365))+(O14*($E14/365))</f>
        <v>42.5</v>
      </c>
      <c r="T82" s="5">
        <f>(P13*($E13/365))+(P14*($E14/365))</f>
        <v>5.4</v>
      </c>
      <c r="U82" s="5">
        <f>(Q13*($E13/365))+(Q14*($E14/365))</f>
        <v>11.4</v>
      </c>
      <c r="W82" s="5">
        <f t="shared" si="21"/>
        <v>59.3</v>
      </c>
    </row>
    <row r="83" spans="1:23" x14ac:dyDescent="0.15">
      <c r="A83" s="1">
        <v>1994</v>
      </c>
      <c r="B83" s="5">
        <f>(K15*($E15/365))+(K16*($E16/365))</f>
        <v>43.370841487279847</v>
      </c>
      <c r="C83" s="5">
        <f>(L15*($E15/365))+(L16*($E16/365))</f>
        <v>10.017123287671234</v>
      </c>
      <c r="D83" s="5">
        <f>(M15*($E15/365))+(M16*($E16/365))</f>
        <v>46.61203522504892</v>
      </c>
      <c r="E83" s="18">
        <f t="shared" si="22"/>
        <v>100</v>
      </c>
      <c r="G83" s="1">
        <v>1994</v>
      </c>
      <c r="H83" s="409">
        <f>(O15/$R15*100*($E15/365))+(O16/$R16*100*($E16/365))</f>
        <v>49.868320409855215</v>
      </c>
      <c r="I83" s="409"/>
      <c r="J83" s="409">
        <f>(P15/$R15*100*($E15/365))+(P16/$R16*100*($E16/365))</f>
        <v>4.8649772459516285</v>
      </c>
      <c r="K83" s="409"/>
      <c r="L83" s="409">
        <f>(Q15/$R15*100*($E15/365))+(Q16/$R16*100*($E16/365))</f>
        <v>45.266702344193163</v>
      </c>
      <c r="M83" s="409"/>
      <c r="N83" s="379">
        <f t="shared" si="23"/>
        <v>100</v>
      </c>
      <c r="O83" s="379"/>
      <c r="R83" s="1">
        <v>1994</v>
      </c>
      <c r="S83" s="5">
        <f>(O15*($E15/365))+(O16*($E16/365))</f>
        <v>31.042465753424658</v>
      </c>
      <c r="T83" s="5">
        <f>(P15*($E15/365))+(P16*($E16/365))</f>
        <v>2.8849315068493153</v>
      </c>
      <c r="U83" s="5">
        <f>(Q15*($E15/365))+(Q16*($E16/365))</f>
        <v>31.287671232876711</v>
      </c>
      <c r="W83" s="5">
        <f t="shared" si="21"/>
        <v>65.215068493150682</v>
      </c>
    </row>
    <row r="84" spans="1:23" x14ac:dyDescent="0.15">
      <c r="A84" s="1">
        <v>1995</v>
      </c>
      <c r="B84" s="5">
        <f>(K17*($E17/365))+(K18*($E18/365))</f>
        <v>20.230919765166341</v>
      </c>
      <c r="C84" s="5">
        <f>(L17*($E17/365))+(L18*($E18/365))</f>
        <v>0</v>
      </c>
      <c r="D84" s="5">
        <f>(M17*($E17/365))+(M18*($E18/365))</f>
        <v>79.769080234833652</v>
      </c>
      <c r="E84" s="18">
        <f t="shared" si="22"/>
        <v>100</v>
      </c>
      <c r="G84" s="1">
        <v>1995</v>
      </c>
      <c r="H84" s="409">
        <f>(O17/$R17*100*($E17/365))+(O18/$R18*100*($E18/365))</f>
        <v>24.861111111111107</v>
      </c>
      <c r="I84" s="409"/>
      <c r="J84" s="409">
        <f>(P17/$R17*100*($E17/365))+(P18/$R18*100*($E18/365))</f>
        <v>0</v>
      </c>
      <c r="K84" s="409"/>
      <c r="L84" s="409">
        <f>(Q17/$R17*100*($E17/365))+(Q18/$R18*100*($E18/365))</f>
        <v>75.138888888888886</v>
      </c>
      <c r="M84" s="409"/>
      <c r="N84" s="379">
        <f t="shared" si="23"/>
        <v>100</v>
      </c>
      <c r="O84" s="379"/>
      <c r="R84" s="1">
        <v>1995</v>
      </c>
      <c r="S84" s="5">
        <f>(O17*($E17/365))+(O18*($E18/365))</f>
        <v>17.899999999999999</v>
      </c>
      <c r="T84" s="5">
        <f>(P17*($E17/365))+(P18*($E18/365))</f>
        <v>0</v>
      </c>
      <c r="U84" s="5">
        <f>(Q17*($E17/365))+(Q18*($E18/365))</f>
        <v>54.100000000000009</v>
      </c>
      <c r="W84" s="5">
        <f t="shared" si="21"/>
        <v>72</v>
      </c>
    </row>
    <row r="85" spans="1:23" x14ac:dyDescent="0.15">
      <c r="A85" s="1">
        <v>1996</v>
      </c>
      <c r="B85" s="5">
        <f>(K19*($E19/366))+(K20*($E20/366))</f>
        <v>20</v>
      </c>
      <c r="C85" s="5">
        <f>(L19*($E19/366))+(L20*($E20/366))</f>
        <v>0</v>
      </c>
      <c r="D85" s="5">
        <f>(M19*($E19/366))+(M20*($E20/366))</f>
        <v>80</v>
      </c>
      <c r="E85" s="18">
        <f t="shared" si="22"/>
        <v>100</v>
      </c>
      <c r="G85" s="1">
        <v>1996</v>
      </c>
      <c r="H85" s="409">
        <f>(O19/$R19*100*($E19/366))+(O20/$R20*100*($E20/366))</f>
        <v>24.861111111111107</v>
      </c>
      <c r="I85" s="409"/>
      <c r="J85" s="409">
        <f>(P19/$R19*100*($E19/366))+(P20/$R20*100*($E20/366))</f>
        <v>0</v>
      </c>
      <c r="K85" s="409"/>
      <c r="L85" s="409">
        <f>(Q19/$R19*100*($E19/366))+(Q20/$R20*100*($E20/366))</f>
        <v>75.138888888888886</v>
      </c>
      <c r="M85" s="409"/>
      <c r="N85" s="379">
        <f t="shared" si="23"/>
        <v>100</v>
      </c>
      <c r="O85" s="379"/>
      <c r="R85" s="1">
        <v>1996</v>
      </c>
      <c r="S85" s="5">
        <f>(O19*($E19/366))+(O20*($E20/366))</f>
        <v>17.899999999999999</v>
      </c>
      <c r="T85" s="5">
        <f>(P19*($E19/366))+(P20*($E20/366))</f>
        <v>0</v>
      </c>
      <c r="U85" s="5">
        <f>(Q19*($E19/366))+(Q20*($E20/366))</f>
        <v>54.1</v>
      </c>
      <c r="W85" s="5">
        <f t="shared" si="21"/>
        <v>72</v>
      </c>
    </row>
    <row r="86" spans="1:23" x14ac:dyDescent="0.15">
      <c r="A86" s="1">
        <v>1997</v>
      </c>
      <c r="B86" s="5">
        <f>(K21*($E21/365))+(K22*($E22/365))</f>
        <v>20</v>
      </c>
      <c r="C86" s="5">
        <f>(L21*($E21/365))+(L22*($E22/365))</f>
        <v>0</v>
      </c>
      <c r="D86" s="5">
        <f>(M21*($E21/365))+(M22*($E22/365))</f>
        <v>80</v>
      </c>
      <c r="E86" s="18">
        <f t="shared" si="22"/>
        <v>100</v>
      </c>
      <c r="G86" s="1">
        <v>1997</v>
      </c>
      <c r="H86" s="409">
        <f>(O21/$R21*100*($E21/365))+(O22/$R22*100*($E22/365))</f>
        <v>24.861111111111107</v>
      </c>
      <c r="I86" s="409"/>
      <c r="J86" s="409">
        <f>(P21/$R21*100*($E21/365))+(P22/$R22*100*($E22/365))</f>
        <v>0</v>
      </c>
      <c r="K86" s="409"/>
      <c r="L86" s="409">
        <f>(Q21/$R21*100*($E21/365))+(Q22/$R22*100*($E22/365))</f>
        <v>75.138888888888886</v>
      </c>
      <c r="M86" s="409"/>
      <c r="N86" s="379">
        <f t="shared" si="23"/>
        <v>100</v>
      </c>
      <c r="O86" s="379"/>
      <c r="R86" s="1">
        <v>1997</v>
      </c>
      <c r="S86" s="5">
        <f>(O21*($E21/365))+(O22*($E22/365))</f>
        <v>17.899999999999999</v>
      </c>
      <c r="T86" s="5">
        <f>(P21*($E21/365))+(P22*($E22/365))</f>
        <v>0</v>
      </c>
      <c r="U86" s="5">
        <f>(Q21*($E21/365))+(Q22*($E22/365))</f>
        <v>54.1</v>
      </c>
      <c r="W86" s="5">
        <f t="shared" si="21"/>
        <v>72</v>
      </c>
    </row>
    <row r="87" spans="1:23" x14ac:dyDescent="0.15">
      <c r="A87" s="1">
        <v>1998</v>
      </c>
      <c r="B87" s="5">
        <f>(K23*($E23/365))+(K24*($E24/365))</f>
        <v>48.421779670772409</v>
      </c>
      <c r="C87" s="5">
        <f>(L23*($E23/365))+(L24*($E24/365))</f>
        <v>0</v>
      </c>
      <c r="D87" s="5">
        <f>(M23*($E23/365))+(M24*($E24/365))</f>
        <v>51.578220329227577</v>
      </c>
      <c r="E87" s="18">
        <f t="shared" si="22"/>
        <v>99.999999999999986</v>
      </c>
      <c r="G87" s="1">
        <v>1998</v>
      </c>
      <c r="H87" s="409">
        <f>(O23/$R23*100*($E23/365))+(O24/$R24*100*($E24/365))</f>
        <v>50.673573991663147</v>
      </c>
      <c r="I87" s="409"/>
      <c r="J87" s="409">
        <f>(P23/$R23*100*($E23/365))+(P24/$R24*100*($E24/365))</f>
        <v>0</v>
      </c>
      <c r="K87" s="409"/>
      <c r="L87" s="409">
        <f>(Q23/$R23*100*($E23/365))+(Q24/$R24*100*($E24/365))</f>
        <v>49.32642600833686</v>
      </c>
      <c r="M87" s="409"/>
      <c r="N87" s="379">
        <f t="shared" si="23"/>
        <v>100</v>
      </c>
      <c r="O87" s="379"/>
      <c r="R87" s="1">
        <v>1998</v>
      </c>
      <c r="S87" s="5">
        <f>(O23*($E23/365))+(O24*($E24/365))</f>
        <v>30.062191780821919</v>
      </c>
      <c r="T87" s="5">
        <f>(P23*($E23/365))+(P24*($E24/365))</f>
        <v>0</v>
      </c>
      <c r="U87" s="5">
        <f>(Q23*($E23/365))+(Q24*($E24/365))</f>
        <v>33.649863013698635</v>
      </c>
      <c r="W87" s="5">
        <f t="shared" si="21"/>
        <v>63.712054794520554</v>
      </c>
    </row>
    <row r="88" spans="1:23" x14ac:dyDescent="0.15">
      <c r="A88" s="1">
        <v>1999</v>
      </c>
      <c r="B88" s="5">
        <f>(K25*($E25/365))+(K26*($E26/365))</f>
        <v>77.777777777777786</v>
      </c>
      <c r="C88" s="5">
        <f>(L25*($E25/365))+(L26*($E26/365))</f>
        <v>0</v>
      </c>
      <c r="D88" s="5">
        <f>(M25*($E25/365))+(M26*($E26/365))</f>
        <v>22.222222222222221</v>
      </c>
      <c r="E88" s="18">
        <f t="shared" si="22"/>
        <v>100</v>
      </c>
      <c r="G88" s="1">
        <v>1999</v>
      </c>
      <c r="H88" s="409">
        <f>(O25/$R25*100*($E25/365))+(O26/$R26*100*($E26/365))</f>
        <v>77.495462794918339</v>
      </c>
      <c r="I88" s="409"/>
      <c r="J88" s="409">
        <f>(P25/$R25*100*($E25/365))+(P26/$R26*100*($E26/365))</f>
        <v>0</v>
      </c>
      <c r="K88" s="409"/>
      <c r="L88" s="409">
        <f>(Q25/$R25*100*($E25/365))+(Q26/$R26*100*($E26/365))</f>
        <v>22.504537205081672</v>
      </c>
      <c r="M88" s="409"/>
      <c r="N88" s="379">
        <f t="shared" si="23"/>
        <v>100.00000000000001</v>
      </c>
      <c r="O88" s="379"/>
      <c r="R88" s="1">
        <v>1999</v>
      </c>
      <c r="S88" s="5">
        <f>(O25*($E25/365))+(O26*($E26/365))</f>
        <v>42.7</v>
      </c>
      <c r="T88" s="5">
        <f>(P25*($E25/365))+(P26*($E26/365))</f>
        <v>0</v>
      </c>
      <c r="U88" s="5">
        <f>(Q25*($E25/365))+(Q26*($E26/365))</f>
        <v>12.4</v>
      </c>
      <c r="W88" s="5">
        <f t="shared" si="21"/>
        <v>55.1</v>
      </c>
    </row>
    <row r="89" spans="1:23" x14ac:dyDescent="0.15">
      <c r="A89" s="1">
        <v>2000</v>
      </c>
      <c r="B89" s="5">
        <f>(K27*($E27/366))+(K28*($E28/366))</f>
        <v>77.777777777777786</v>
      </c>
      <c r="C89" s="5">
        <f>(L27*($E27/366))+(L28*($E28/366))</f>
        <v>0</v>
      </c>
      <c r="D89" s="5">
        <f>(M27*($E27/366))+(M28*($E28/366))</f>
        <v>22.222222222222221</v>
      </c>
      <c r="E89" s="18">
        <f t="shared" si="22"/>
        <v>100</v>
      </c>
      <c r="G89" s="1">
        <v>2000</v>
      </c>
      <c r="H89" s="409">
        <f>(O27/$R27*100*($E27/366))+(O28/$R28*100*($E28/366))</f>
        <v>77.495462794918339</v>
      </c>
      <c r="I89" s="409"/>
      <c r="J89" s="409">
        <f>(P27/$R27*100*($E27/366))+(P28/$R28*100*($E28/366))</f>
        <v>0</v>
      </c>
      <c r="K89" s="409"/>
      <c r="L89" s="409">
        <f>(Q27/$R27*100*($E27/366))+(Q28/$R28*100*($E28/366))</f>
        <v>22.504537205081672</v>
      </c>
      <c r="M89" s="409"/>
      <c r="N89" s="379">
        <f t="shared" si="23"/>
        <v>100.00000000000001</v>
      </c>
      <c r="O89" s="379"/>
      <c r="R89" s="1">
        <v>2000</v>
      </c>
      <c r="S89" s="5">
        <f>(O27*($E27/366))+(O28*($E28/366))</f>
        <v>42.7</v>
      </c>
      <c r="T89" s="5">
        <f>(P27*($E27/366))+(P28*($E28/366))</f>
        <v>0</v>
      </c>
      <c r="U89" s="5">
        <f>(Q27*($E27/366))+(Q28*($E28/366))</f>
        <v>12.4</v>
      </c>
      <c r="W89" s="5">
        <f t="shared" si="21"/>
        <v>55.1</v>
      </c>
    </row>
    <row r="90" spans="1:23" x14ac:dyDescent="0.15">
      <c r="A90" s="1">
        <v>2001</v>
      </c>
      <c r="B90" s="5">
        <f>(K29*($E29/365))+(K30*($E30/365))</f>
        <v>77.777777777777786</v>
      </c>
      <c r="C90" s="5">
        <f>(L29*($E29/365))+(L30*($E30/365))</f>
        <v>0</v>
      </c>
      <c r="D90" s="5">
        <f>(M29*($E29/365))+(M30*($E30/365))</f>
        <v>22.222222222222221</v>
      </c>
      <c r="E90" s="18">
        <f t="shared" si="22"/>
        <v>100</v>
      </c>
      <c r="G90" s="1">
        <v>2001</v>
      </c>
      <c r="H90" s="409">
        <f>(O29/$R29*100*($E29/365))+(O30/$R30*100*($E30/365))</f>
        <v>77.495462794918339</v>
      </c>
      <c r="I90" s="409"/>
      <c r="J90" s="409">
        <f>(P29/$R29*100*($E29/365))+(P30/$R30*100*($E30/365))</f>
        <v>0</v>
      </c>
      <c r="K90" s="409"/>
      <c r="L90" s="409">
        <f>(Q29/$R29*100*($E29/365))+(Q30/$R30*100*($E30/365))</f>
        <v>22.504537205081672</v>
      </c>
      <c r="M90" s="409"/>
      <c r="N90" s="379">
        <f t="shared" si="23"/>
        <v>100.00000000000001</v>
      </c>
      <c r="O90" s="379"/>
      <c r="R90" s="1">
        <v>2001</v>
      </c>
      <c r="S90" s="5">
        <f>(O29*($E29/365))+(O30*($E30/365))</f>
        <v>42.7</v>
      </c>
      <c r="T90" s="5">
        <f>(P29*($E29/365))+(P30*($E30/365))</f>
        <v>0</v>
      </c>
      <c r="U90" s="5">
        <f>(Q29*($E29/365))+(Q30*($E30/365))</f>
        <v>12.4</v>
      </c>
      <c r="W90" s="5">
        <f t="shared" si="21"/>
        <v>55.1</v>
      </c>
    </row>
    <row r="91" spans="1:23" x14ac:dyDescent="0.15">
      <c r="A91" s="1">
        <v>2002</v>
      </c>
      <c r="B91" s="5">
        <f>(K31*($E31/365))+(K32*($E32/365))</f>
        <v>47.111111111111114</v>
      </c>
      <c r="C91" s="5">
        <f>(L31*($E31/365))+(L32*($E32/365))</f>
        <v>0</v>
      </c>
      <c r="D91" s="5">
        <f>(M31*($E31/365))+(M32*($E32/365))</f>
        <v>52.888888888888886</v>
      </c>
      <c r="E91" s="18">
        <f t="shared" si="22"/>
        <v>100</v>
      </c>
      <c r="G91" s="1">
        <v>2002</v>
      </c>
      <c r="H91" s="409">
        <f>(O31/$R31*100*($E31/365))+(O32/$R32*100*($E32/365))</f>
        <v>37.080056462996581</v>
      </c>
      <c r="I91" s="409"/>
      <c r="J91" s="409">
        <f>(P31/$R31*100*($E31/365))+(P32/$R32*100*($E32/365))</f>
        <v>0</v>
      </c>
      <c r="K91" s="409"/>
      <c r="L91" s="409">
        <f>(Q31/$R31*100*($E31/365))+(Q32/$R32*100*($E32/365))</f>
        <v>62.919943537003427</v>
      </c>
      <c r="M91" s="409"/>
      <c r="N91" s="379">
        <f t="shared" si="23"/>
        <v>100</v>
      </c>
      <c r="O91" s="379"/>
      <c r="R91" s="1">
        <v>2002</v>
      </c>
      <c r="S91" s="5">
        <f>(O31*($E31/365))+(O32*($E32/365))</f>
        <v>20.200000000000003</v>
      </c>
      <c r="T91" s="5">
        <f>(P31*($E31/365))+(P32*($E32/365))</f>
        <v>0</v>
      </c>
      <c r="U91" s="5">
        <f>(Q31*($E31/365))+(Q32*($E32/365))</f>
        <v>32.620000000000005</v>
      </c>
      <c r="W91" s="5">
        <f t="shared" si="21"/>
        <v>52.820000000000007</v>
      </c>
    </row>
    <row r="92" spans="1:23" x14ac:dyDescent="0.15">
      <c r="A92" s="1">
        <v>2003</v>
      </c>
      <c r="B92" s="5">
        <f>(K33*($E33/365))+(K34*($E34/365))</f>
        <v>24.681171098576414</v>
      </c>
      <c r="C92" s="5">
        <f>(L33*($E33/365))+(L34*($E34/365))</f>
        <v>0</v>
      </c>
      <c r="D92" s="5">
        <f>(M33*($E33/365))+(M34*($E34/365))</f>
        <v>75.318828901423572</v>
      </c>
      <c r="E92" s="18">
        <f t="shared" si="22"/>
        <v>99.999999999999986</v>
      </c>
      <c r="G92" s="1">
        <v>2003</v>
      </c>
      <c r="H92" s="409">
        <f>(O33/$R33*100*($E33/365))+(O34/$R34*100*($E34/365))</f>
        <v>10.1364522417154</v>
      </c>
      <c r="I92" s="409"/>
      <c r="J92" s="409">
        <f>(P33/$R33*100*($E33/365))+(P34/$R34*100*($E34/365))</f>
        <v>0</v>
      </c>
      <c r="K92" s="409"/>
      <c r="L92" s="409">
        <f>(Q33/$R33*100*($E33/365))+(Q34/$R34*100*($E34/365))</f>
        <v>89.863547758284597</v>
      </c>
      <c r="M92" s="409"/>
      <c r="N92" s="379">
        <f t="shared" si="23"/>
        <v>100</v>
      </c>
      <c r="O92" s="379"/>
      <c r="R92" s="1">
        <v>2003</v>
      </c>
      <c r="S92" s="5">
        <f>(O33*($E33/365))+(O34*($E34/365))</f>
        <v>5.1999999999999993</v>
      </c>
      <c r="T92" s="5">
        <f>(P33*($E33/365))+(P34*($E34/365))</f>
        <v>0</v>
      </c>
      <c r="U92" s="5">
        <f>(Q33*($E33/365))+(Q34*($E34/365))</f>
        <v>46.099999999999994</v>
      </c>
      <c r="W92" s="5">
        <f t="shared" si="21"/>
        <v>51.3</v>
      </c>
    </row>
    <row r="93" spans="1:23" x14ac:dyDescent="0.15">
      <c r="A93" s="1">
        <v>2004</v>
      </c>
      <c r="B93" s="5">
        <f>(K35*($E35/366))+(K36*($E36/366))</f>
        <v>23.193685488767454</v>
      </c>
      <c r="C93" s="5">
        <f>(L35*($E35/366))+(L36*($E36/366))</f>
        <v>0</v>
      </c>
      <c r="D93" s="5">
        <f>(M35*($E35/366))+(M36*($E36/366))</f>
        <v>76.806314511232543</v>
      </c>
      <c r="E93" s="18">
        <f t="shared" si="22"/>
        <v>100</v>
      </c>
      <c r="G93" s="1">
        <v>2004</v>
      </c>
      <c r="H93" s="409">
        <f>(O35/$R35*100*($E35/366))+(O36/$R36*100*($E36/366))</f>
        <v>10.1364522417154</v>
      </c>
      <c r="I93" s="409"/>
      <c r="J93" s="409">
        <f>(P35/$R35*100*($E35/366))+(P36/$R36*100*($E36/366))</f>
        <v>0</v>
      </c>
      <c r="K93" s="409"/>
      <c r="L93" s="409">
        <f>(Q35/$R35*100*($E35/366))+(Q36/$R36*100*($E36/366))</f>
        <v>89.863547758284597</v>
      </c>
      <c r="M93" s="409"/>
      <c r="N93" s="379">
        <f t="shared" si="23"/>
        <v>100</v>
      </c>
      <c r="O93" s="379"/>
      <c r="R93" s="1">
        <v>2004</v>
      </c>
      <c r="S93" s="5">
        <f>(O35*($E35/366))+(O36*($E36/366))</f>
        <v>5.2</v>
      </c>
      <c r="T93" s="5">
        <f>(P35*($E35/366))+(P36*($E36/366))</f>
        <v>0</v>
      </c>
      <c r="U93" s="5">
        <f>(Q35*($E35/366))+(Q36*($E36/366))</f>
        <v>46.1</v>
      </c>
      <c r="W93" s="5">
        <f t="shared" si="21"/>
        <v>51.300000000000004</v>
      </c>
    </row>
    <row r="94" spans="1:23" x14ac:dyDescent="0.15">
      <c r="A94" s="1">
        <v>2005</v>
      </c>
      <c r="B94" s="5">
        <f>(K37*($E37/365))+(K38*($E38/365))</f>
        <v>22.222222222222221</v>
      </c>
      <c r="C94" s="5">
        <f>(L37*($E37/365))+(L38*($E38/365))</f>
        <v>0</v>
      </c>
      <c r="D94" s="5">
        <f>(M37*($E37/365))+(M38*($E38/365))</f>
        <v>77.777777777777786</v>
      </c>
      <c r="E94" s="18">
        <f t="shared" si="22"/>
        <v>100</v>
      </c>
      <c r="G94" s="1">
        <v>2005</v>
      </c>
      <c r="H94" s="409">
        <f>(O37/$R37*100*($E37/365))+(O38/$R38*100*($E38/365))</f>
        <v>10.1364522417154</v>
      </c>
      <c r="I94" s="409"/>
      <c r="J94" s="409">
        <f>(P37/$R37*100*($E37/365))+(P38/$R38*100*($E38/365))</f>
        <v>0</v>
      </c>
      <c r="K94" s="409"/>
      <c r="L94" s="409">
        <f>(Q37/$R37*100*($E37/365))+(Q38/$R38*100*($E38/365))</f>
        <v>89.863547758284597</v>
      </c>
      <c r="M94" s="409"/>
      <c r="N94" s="379">
        <f t="shared" si="23"/>
        <v>100</v>
      </c>
      <c r="O94" s="379"/>
      <c r="R94" s="1">
        <v>2005</v>
      </c>
      <c r="S94" s="5">
        <f>(O37*($E37/365))+(O38*($E38/365))</f>
        <v>5.2</v>
      </c>
      <c r="T94" s="5">
        <f>(P37*($E37/365))+(P38*($E38/365))</f>
        <v>0</v>
      </c>
      <c r="U94" s="5">
        <f>(Q37*($E37/365))+(Q38*($E38/365))</f>
        <v>46.1</v>
      </c>
      <c r="W94" s="5">
        <f t="shared" si="21"/>
        <v>51.300000000000004</v>
      </c>
    </row>
    <row r="95" spans="1:23" x14ac:dyDescent="0.15">
      <c r="A95" s="1">
        <v>2006</v>
      </c>
      <c r="B95" s="5">
        <f>(K39*($E39/365))+(K40*($E40/365))</f>
        <v>22.704601334738321</v>
      </c>
      <c r="C95" s="5">
        <f>(L39*($E39/365))+(L40*($E40/365))</f>
        <v>0</v>
      </c>
      <c r="D95" s="5">
        <f>(M39*($E39/365))+(M40*($E40/365))</f>
        <v>77.295398665261686</v>
      </c>
      <c r="E95" s="18">
        <f t="shared" si="22"/>
        <v>100</v>
      </c>
      <c r="G95" s="1">
        <v>2006</v>
      </c>
      <c r="H95" s="409">
        <f>(O39/$R39*100*($E39/365))+(O40/$R40*100*($E40/365))</f>
        <v>9.904105914318702</v>
      </c>
      <c r="I95" s="409"/>
      <c r="J95" s="409">
        <f>(P39/$R39*100*($E39/365))+(P40/$R40*100*($E40/365))</f>
        <v>0</v>
      </c>
      <c r="K95" s="409"/>
      <c r="L95" s="409">
        <f>(Q39/$R39*100*($E39/365))+(Q40/$R40*100*($E40/365))</f>
        <v>90.095894085681294</v>
      </c>
      <c r="M95" s="409"/>
      <c r="N95" s="379">
        <f t="shared" si="23"/>
        <v>100</v>
      </c>
      <c r="O95" s="379"/>
      <c r="R95" s="1">
        <v>2006</v>
      </c>
      <c r="S95" s="5">
        <f>(O39*($E39/365))+(O40*($E40/365))</f>
        <v>5.2564383561643835</v>
      </c>
      <c r="T95" s="5">
        <f>(P39*($E39/365))+(P40*($E40/365))</f>
        <v>0</v>
      </c>
      <c r="U95" s="5">
        <f>(Q39*($E39/365))+(Q40*($E40/365))</f>
        <v>47.849589041095896</v>
      </c>
      <c r="W95" s="5">
        <f t="shared" si="21"/>
        <v>53.106027397260277</v>
      </c>
    </row>
    <row r="96" spans="1:23" x14ac:dyDescent="0.15">
      <c r="A96" s="1">
        <v>2007</v>
      </c>
      <c r="B96" s="5">
        <f>(K41*($E41/365))+(K42*($E42/365))</f>
        <v>21.525816649104321</v>
      </c>
      <c r="C96" s="5">
        <f>(L41*($E41/365))+(L42*($E42/365))</f>
        <v>0</v>
      </c>
      <c r="D96" s="5">
        <f>(M41*($E41/365))+(M42*($E42/365))</f>
        <v>78.474183350895686</v>
      </c>
      <c r="E96" s="18">
        <f t="shared" si="22"/>
        <v>100</v>
      </c>
      <c r="G96" s="1">
        <v>2007</v>
      </c>
      <c r="H96" s="409">
        <f>(O41/$R41*100*($E41/365))+(O42/$R42*100*($E42/365))</f>
        <v>9.7247706422018343</v>
      </c>
      <c r="I96" s="409"/>
      <c r="J96" s="409">
        <f>(P41/$R41*100*($E41/365))+(P42/$R42*100*($E42/365))</f>
        <v>0</v>
      </c>
      <c r="K96" s="409"/>
      <c r="L96" s="409">
        <f>(Q41/$R41*100*($E41/365))+(Q42/$R42*100*($E42/365))</f>
        <v>90.275229357798167</v>
      </c>
      <c r="M96" s="409"/>
      <c r="N96" s="379">
        <f t="shared" si="23"/>
        <v>100</v>
      </c>
      <c r="O96" s="379"/>
      <c r="R96" s="1">
        <v>2007</v>
      </c>
      <c r="S96" s="5">
        <f>(O41*($E41/365))+(O42*($E42/365))</f>
        <v>5.3000000000000007</v>
      </c>
      <c r="T96" s="5">
        <f>(P41*($E41/365))+(P42*($E42/365))</f>
        <v>0</v>
      </c>
      <c r="U96" s="5">
        <f>(Q41*($E41/365))+(Q42*($E42/365))</f>
        <v>49.2</v>
      </c>
      <c r="W96" s="5">
        <f t="shared" si="21"/>
        <v>54.5</v>
      </c>
    </row>
    <row r="97" spans="1:23" x14ac:dyDescent="0.15">
      <c r="A97" s="1">
        <v>2008</v>
      </c>
      <c r="B97" s="5">
        <f>(K43*($E43/366))+(K44*($E44/366))+(K45*($E45/366))</f>
        <v>6.9555035128805622</v>
      </c>
      <c r="C97" s="5">
        <f>(L43*($E43/366))+(L44*($E44/366))+(L45*($E45/366))</f>
        <v>0</v>
      </c>
      <c r="D97" s="5">
        <f>(M43*($E43/366))+(M44*($E44/366))+(M45*($E45/366))</f>
        <v>93.044496487119432</v>
      </c>
      <c r="E97" s="18">
        <f t="shared" si="22"/>
        <v>100</v>
      </c>
      <c r="G97" s="1">
        <v>2008</v>
      </c>
      <c r="H97" s="409">
        <f>(O43/$R43*100*($E43/366))+(O44/$R44*100*($E44/366))+(O45/$R45*100*($E45/366))</f>
        <v>3.2415902140672781</v>
      </c>
      <c r="I97" s="409"/>
      <c r="J97" s="409">
        <f>(P43/$R43*100*($E43/366))+(P44/$R44*100*($E44/366))+(P45/$R45*100*($E45/366))</f>
        <v>0</v>
      </c>
      <c r="K97" s="409"/>
      <c r="L97" s="409">
        <f>(Q43/$R43*100*($E43/366))+(Q44/$R44*100*($E44/366))+(Q45/$R45*100*($E45/366))</f>
        <v>96.758409785932713</v>
      </c>
      <c r="M97" s="409"/>
      <c r="N97" s="379">
        <f t="shared" si="23"/>
        <v>99.999999999999986</v>
      </c>
      <c r="O97" s="379"/>
      <c r="R97" s="1">
        <v>2008</v>
      </c>
      <c r="S97" s="5">
        <f>(O43*($E43/366))+(O44*($E44/366))+(O45*($E45/366))</f>
        <v>1.7666666666666666</v>
      </c>
      <c r="T97" s="5">
        <f>(P43*($E43/366))+(P44*($E44/366))+(P45*($E45/366))</f>
        <v>0</v>
      </c>
      <c r="U97" s="5">
        <f>(Q43*($E43/366))+(Q44*($E44/366))+(Q45*($E45/366))</f>
        <v>49.2</v>
      </c>
      <c r="W97" s="5">
        <f t="shared" si="21"/>
        <v>50.966666666666669</v>
      </c>
    </row>
    <row r="98" spans="1:23" x14ac:dyDescent="0.15">
      <c r="A98" s="1">
        <v>2009</v>
      </c>
      <c r="B98" s="5">
        <f>(K46*($E46/365))+(K47*($E47/365))</f>
        <v>0</v>
      </c>
      <c r="C98" s="5">
        <f>(L46*($E46/365))+(L47*($E47/365))</f>
        <v>0</v>
      </c>
      <c r="D98" s="5">
        <f>(M46*($E46/365))+(M47*($E47/365))</f>
        <v>100</v>
      </c>
      <c r="E98" s="18">
        <f t="shared" si="22"/>
        <v>100</v>
      </c>
      <c r="G98" s="1">
        <v>2009</v>
      </c>
      <c r="H98" s="409">
        <f>(O46/$R46*100*($E46/365))+(O47/$R47*100*($E47/365))</f>
        <v>0</v>
      </c>
      <c r="I98" s="409"/>
      <c r="J98" s="409">
        <f>(P46/$R46*100*($E46/365))+(P47/$R47*100*($E47/365))</f>
        <v>0</v>
      </c>
      <c r="K98" s="409"/>
      <c r="L98" s="409">
        <f>(Q46/$R46*100*($E46/365))+(Q47/$R47*100*($E47/365))</f>
        <v>100</v>
      </c>
      <c r="M98" s="409"/>
      <c r="N98" s="379">
        <f t="shared" si="23"/>
        <v>100</v>
      </c>
      <c r="O98" s="379"/>
      <c r="R98" s="1">
        <v>2009</v>
      </c>
      <c r="S98" s="5">
        <f>(O46*($E46/365))+(O47*($E47/365))</f>
        <v>0</v>
      </c>
      <c r="T98" s="5">
        <f>(P46*($E46/365))+(P47*($E47/365))</f>
        <v>0</v>
      </c>
      <c r="U98" s="5">
        <f>(Q46*($E46/365))+(Q47*($E47/365))</f>
        <v>49.2</v>
      </c>
      <c r="W98" s="5">
        <f t="shared" si="21"/>
        <v>49.2</v>
      </c>
    </row>
    <row r="99" spans="1:23" x14ac:dyDescent="0.15">
      <c r="A99" s="1">
        <v>2010</v>
      </c>
      <c r="B99" s="5">
        <f>(K48*($E48/365))+(K49*($E49/365))</f>
        <v>41.61643835616438</v>
      </c>
      <c r="C99" s="5">
        <f>(L48*($E48/365))+(L49*($E49/365))</f>
        <v>0</v>
      </c>
      <c r="D99" s="5">
        <f>(M48*($E48/365))+(M49*($E49/365))</f>
        <v>40.547945205479451</v>
      </c>
      <c r="E99" s="18">
        <f t="shared" si="22"/>
        <v>82.164383561643831</v>
      </c>
      <c r="G99" s="1">
        <v>2010</v>
      </c>
      <c r="H99" s="409">
        <f>(O48/$R48*100*($E48/365))+(O49/$R49*100*($E49/365))</f>
        <v>59.452054794520549</v>
      </c>
      <c r="I99" s="409"/>
      <c r="J99" s="409">
        <f>(P48/$R48*100*($E48/365))+(P49/$R49*100*($E49/365))</f>
        <v>0</v>
      </c>
      <c r="K99" s="409"/>
      <c r="L99" s="409">
        <f>(Q48/$R48*100*($E48/365))+(Q49/$R49*100*($E49/365))</f>
        <v>40.547945205479451</v>
      </c>
      <c r="M99" s="409"/>
      <c r="N99" s="379">
        <f t="shared" si="23"/>
        <v>100</v>
      </c>
      <c r="O99" s="379"/>
      <c r="R99" s="1">
        <v>2010</v>
      </c>
      <c r="S99" s="5">
        <f>(O48*($E48/365))+(O49*($E49/365))</f>
        <v>40.48684931506849</v>
      </c>
      <c r="T99" s="5">
        <f>(P48*($E48/365))+(P49*($E49/365))</f>
        <v>0</v>
      </c>
      <c r="U99" s="5">
        <f>(Q48*($E48/365))+(Q49*($E49/365))</f>
        <v>19.949589041095891</v>
      </c>
      <c r="W99" s="5">
        <f t="shared" si="21"/>
        <v>60.436438356164381</v>
      </c>
    </row>
    <row r="100" spans="1:23" x14ac:dyDescent="0.15">
      <c r="A100" s="1">
        <v>2011</v>
      </c>
      <c r="B100" s="5">
        <f>(K50*($E50/365))+(K51*($E51/365))</f>
        <v>69.843088418430881</v>
      </c>
      <c r="C100" s="5">
        <f>(L50*($E50/365))+(L51*($E51/365))</f>
        <v>0</v>
      </c>
      <c r="D100" s="5">
        <f>(M50*($E50/365))+(M51*($E51/365))</f>
        <v>0</v>
      </c>
      <c r="E100" s="18">
        <f t="shared" si="22"/>
        <v>69.843088418430881</v>
      </c>
      <c r="G100" s="1">
        <v>2011</v>
      </c>
      <c r="H100" s="409">
        <f>(O50/$R50*100*($E50/365))+(O51/$R51*100*($E51/365))</f>
        <v>100</v>
      </c>
      <c r="I100" s="409"/>
      <c r="J100" s="409">
        <f>(P50/$R50*100*($E50/365))+(P51/$R51*100*($E51/365))</f>
        <v>0</v>
      </c>
      <c r="K100" s="409"/>
      <c r="L100" s="409">
        <f>(Q50/$R50*100*($E50/365))+(Q51/$R51*100*($E51/365))</f>
        <v>0</v>
      </c>
      <c r="M100" s="409"/>
      <c r="N100" s="379">
        <f t="shared" si="23"/>
        <v>100</v>
      </c>
      <c r="O100" s="379"/>
      <c r="R100" s="1">
        <v>2011</v>
      </c>
      <c r="S100" s="5">
        <f>(O50*($E50/365))+(O51*($E51/365))</f>
        <v>68.099999999999994</v>
      </c>
      <c r="T100" s="5">
        <f>(P50*($E50/365))+(P51*($E51/365))</f>
        <v>0</v>
      </c>
      <c r="U100" s="5">
        <f>(Q50*($E50/365))+(Q51*($E51/365))</f>
        <v>0</v>
      </c>
      <c r="W100" s="5">
        <f t="shared" si="21"/>
        <v>68.099999999999994</v>
      </c>
    </row>
    <row r="101" spans="1:23" x14ac:dyDescent="0.15">
      <c r="A101" s="1">
        <v>2012</v>
      </c>
      <c r="B101" s="5">
        <f>(K52*($E52/366))+(K53*($E53/366))+(K54*($E54/366))</f>
        <v>74.689518132141089</v>
      </c>
      <c r="C101" s="5">
        <f>(L52*($E52/366))+(L53*($E53/366))+(L54*($E54/366))</f>
        <v>0</v>
      </c>
      <c r="D101" s="5">
        <f>(M52*($E52/366))+(M53*($E53/366))+(M54*($E54/366))</f>
        <v>0</v>
      </c>
      <c r="E101" s="18">
        <f t="shared" ref="E101:E106" si="24">SUM(B101:D101)</f>
        <v>74.689518132141089</v>
      </c>
      <c r="G101" s="1">
        <v>2012</v>
      </c>
      <c r="H101" s="409">
        <f>(O52/$R52*100*($E52/366))+(O53/$R53*100*($E53/366))+(O54/$R54*100*($E54/366))</f>
        <v>100</v>
      </c>
      <c r="I101" s="409"/>
      <c r="J101" s="409">
        <f>(P52/$R52*100*($E52/366))+(P53/$R53*100*($E53/366))+(P54/$R54*100*($E54/366))</f>
        <v>0</v>
      </c>
      <c r="K101" s="409"/>
      <c r="L101" s="409">
        <f>(Q52/$R52*100*($E52/366))+(Q53/$R53*100*($E53/366))+(Q54/$R54*100*($E54/366))</f>
        <v>0</v>
      </c>
      <c r="M101" s="409"/>
      <c r="N101" s="379">
        <f t="shared" si="23"/>
        <v>100</v>
      </c>
      <c r="O101" s="379"/>
      <c r="R101" s="1">
        <v>2012</v>
      </c>
      <c r="S101" s="5">
        <f>(O52*($E52/366))+(O53*($E53/366))+(O54*($E54/366))</f>
        <v>68.099999999999994</v>
      </c>
      <c r="T101" s="5">
        <f>(P52*($E52/366))+(P53*($E53/366))+(P54*($E54/366))</f>
        <v>0</v>
      </c>
      <c r="U101" s="5">
        <f>(Q52*($E52/366))+(Q53*($E53/366))+(Q54*($E54/366))</f>
        <v>0</v>
      </c>
      <c r="W101" s="5">
        <f t="shared" ref="W101:W106" si="25">SUM(S101:U101)</f>
        <v>68.099999999999994</v>
      </c>
    </row>
    <row r="102" spans="1:23" x14ac:dyDescent="0.15">
      <c r="A102" s="1">
        <v>2013</v>
      </c>
      <c r="B102" s="5">
        <f>(K55*($E55/365))+(K56*($E56/365))</f>
        <v>80.303860523038608</v>
      </c>
      <c r="C102" s="5">
        <f>(L55*($E55/365))+(L56*($E56/365))</f>
        <v>0</v>
      </c>
      <c r="D102" s="5">
        <f>(M55*($E55/365))+(M56*($E56/365))</f>
        <v>0</v>
      </c>
      <c r="E102" s="18">
        <f t="shared" si="24"/>
        <v>80.303860523038608</v>
      </c>
      <c r="G102" s="1">
        <v>2013</v>
      </c>
      <c r="H102" s="409">
        <f>(O55/$R55*100*($E55/365))+(O56/$R56*100*($E56/365))</f>
        <v>100</v>
      </c>
      <c r="I102" s="409"/>
      <c r="J102" s="409">
        <f>(P55/$R55*100*($E55/365))+(P56/$R56*100*($E56/365))</f>
        <v>0</v>
      </c>
      <c r="K102" s="409"/>
      <c r="L102" s="409">
        <f>(Q55/$R55*100*($E55/365))+(Q56/$R56*100*($E56/365))</f>
        <v>0</v>
      </c>
      <c r="M102" s="409"/>
      <c r="N102" s="379">
        <f t="shared" ref="N102:N107" si="26">SUM(H102:M102)</f>
        <v>100</v>
      </c>
      <c r="O102" s="379"/>
      <c r="R102" s="1">
        <v>2013</v>
      </c>
      <c r="S102" s="5">
        <f>(O55*($E55/365))+(O56*($E56/365))</f>
        <v>68.099999999999994</v>
      </c>
      <c r="T102" s="5">
        <f>(P55*($E55/365))+(P56*($E56/365))</f>
        <v>0</v>
      </c>
      <c r="U102" s="5">
        <f>(Q55*($E55/365))+(Q56*($E56/365))</f>
        <v>0</v>
      </c>
      <c r="W102" s="5">
        <f t="shared" si="25"/>
        <v>68.099999999999994</v>
      </c>
    </row>
    <row r="103" spans="1:23" x14ac:dyDescent="0.15">
      <c r="A103" s="1">
        <v>2014</v>
      </c>
      <c r="B103" s="5">
        <f>(K57*($E57/365))+(K58*($E58/365))</f>
        <v>69.150684931506845</v>
      </c>
      <c r="C103" s="5">
        <f>(L57*($E57/365))+(L58*($E58/365))</f>
        <v>0</v>
      </c>
      <c r="D103" s="5">
        <f>(M57*($E57/365))+(M58*($E58/365))</f>
        <v>0</v>
      </c>
      <c r="E103" s="18">
        <f t="shared" si="24"/>
        <v>69.150684931506845</v>
      </c>
      <c r="G103" s="1">
        <v>2014</v>
      </c>
      <c r="H103" s="409">
        <f>(O57/$R57*100*($E57/365))+(O58/$R58*100*($E58/365))</f>
        <v>100</v>
      </c>
      <c r="I103" s="409"/>
      <c r="J103" s="409">
        <f>(P57/$R57*100*($E57/365))+(P58/$R58*100*($E58/365))</f>
        <v>0</v>
      </c>
      <c r="K103" s="409"/>
      <c r="L103" s="409">
        <f>(Q57/$R57*100*($E57/365))+(Q58/$R58*100*($E58/365))</f>
        <v>0</v>
      </c>
      <c r="M103" s="409"/>
      <c r="N103" s="379">
        <f t="shared" si="26"/>
        <v>100</v>
      </c>
      <c r="O103" s="379"/>
      <c r="R103" s="1">
        <v>2014</v>
      </c>
      <c r="S103" s="5">
        <f>(O57*($E57/365))+(O58*($E58/365))</f>
        <v>67.238082191780819</v>
      </c>
      <c r="T103" s="5">
        <f>(P57*($E57/365))+(P58*($E58/365))</f>
        <v>0</v>
      </c>
      <c r="U103" s="5">
        <f>(Q57*($E57/365))+(Q58*($E58/365))</f>
        <v>0</v>
      </c>
      <c r="W103" s="5">
        <f t="shared" si="25"/>
        <v>67.238082191780819</v>
      </c>
    </row>
    <row r="104" spans="1:23" x14ac:dyDescent="0.15">
      <c r="A104" s="1">
        <v>2015</v>
      </c>
      <c r="B104" s="5">
        <f>(K59*($E59/365))+(K60*($E60/365))</f>
        <v>72.727272727272734</v>
      </c>
      <c r="C104" s="5">
        <f>(L59*($E59/365))+(L60*($E60/365))</f>
        <v>0</v>
      </c>
      <c r="D104" s="5">
        <f>(M59*($E59/365))+(M60*($E60/365))</f>
        <v>0</v>
      </c>
      <c r="E104" s="18">
        <f t="shared" si="24"/>
        <v>72.727272727272734</v>
      </c>
      <c r="G104" s="1">
        <v>2015</v>
      </c>
      <c r="H104" s="409">
        <f>(O59/$R59*100*($E59/365))+(O60/$R60*100*($E60/365))</f>
        <v>100</v>
      </c>
      <c r="I104" s="409"/>
      <c r="J104" s="409">
        <f>(P59/$R59*100*($E59/365))+(P60/$R60*100*($E60/365))</f>
        <v>0</v>
      </c>
      <c r="K104" s="409"/>
      <c r="L104" s="409">
        <f>(Q59/$R59*100*($E59/365))+(Q60/$R60*100*($E60/365))</f>
        <v>0</v>
      </c>
      <c r="M104" s="409"/>
      <c r="N104" s="379">
        <f t="shared" si="26"/>
        <v>100</v>
      </c>
      <c r="O104" s="379"/>
      <c r="R104" s="1">
        <v>2015</v>
      </c>
      <c r="S104" s="5">
        <f>(O59*($E59/365))+(O60*($E60/365))</f>
        <v>66.8</v>
      </c>
      <c r="T104" s="5">
        <f>(P59*($E59/365))+(P60*($E60/365))</f>
        <v>0</v>
      </c>
      <c r="U104" s="5">
        <f>(Q59*($E59/365))+(Q60*($E60/365))</f>
        <v>0</v>
      </c>
      <c r="W104" s="5">
        <f t="shared" si="25"/>
        <v>66.8</v>
      </c>
    </row>
    <row r="105" spans="1:23" x14ac:dyDescent="0.15">
      <c r="A105" s="1">
        <v>2016</v>
      </c>
      <c r="B105" s="5">
        <f>(K61*($E61/366))+(K62*($E62/366))</f>
        <v>72.727272727272734</v>
      </c>
      <c r="C105" s="5">
        <f>(L61*($E61/366))+(L62*($E62/366))</f>
        <v>0</v>
      </c>
      <c r="D105" s="5">
        <f>(M61*($E61/366))+(M62*($E62/366))</f>
        <v>0</v>
      </c>
      <c r="E105" s="18">
        <f t="shared" si="24"/>
        <v>72.727272727272734</v>
      </c>
      <c r="G105" s="1">
        <v>2016</v>
      </c>
      <c r="H105" s="409">
        <f>(O61/$R61*100*($E61/366))+(O62/$R62*100*($E62/366))</f>
        <v>100</v>
      </c>
      <c r="I105" s="409"/>
      <c r="J105" s="409">
        <f>(P61/$R61*100*($E61/366))+(P62/$R62*100*($E62/366))</f>
        <v>0</v>
      </c>
      <c r="K105" s="409"/>
      <c r="L105" s="409">
        <f>(Q61/$R61*100*($E61/366))+(Q62/$R62*100*($E62/366))</f>
        <v>0</v>
      </c>
      <c r="M105" s="409"/>
      <c r="N105" s="379">
        <f t="shared" si="26"/>
        <v>100</v>
      </c>
      <c r="O105" s="379"/>
      <c r="R105" s="1">
        <v>2016</v>
      </c>
      <c r="S105" s="5">
        <f>(O61*($E61/366))+(O62*($E62/366))</f>
        <v>66.8</v>
      </c>
      <c r="T105" s="5">
        <f>(P61*($E61/366))+(P62*($E62/366))</f>
        <v>0</v>
      </c>
      <c r="U105" s="5">
        <f>(Q61*($E61/366))+(Q62*($E62/366))</f>
        <v>0</v>
      </c>
      <c r="W105" s="5">
        <f t="shared" si="25"/>
        <v>66.8</v>
      </c>
    </row>
    <row r="106" spans="1:23" x14ac:dyDescent="0.15">
      <c r="A106" s="1">
        <v>2017</v>
      </c>
      <c r="B106" s="5">
        <f>(K63*($E63/365))+(K64*($E64/365))+(K65*($E65/365))</f>
        <v>75.532139093782945</v>
      </c>
      <c r="C106" s="5">
        <f>(L63*($E63/365))+(L64*($E64/365))+(L65*($E65/365))</f>
        <v>0</v>
      </c>
      <c r="D106" s="5">
        <f>(M63*($E63/365))+(M64*($E64/365))+(M65*($E65/365))</f>
        <v>0</v>
      </c>
      <c r="E106" s="18">
        <f t="shared" si="24"/>
        <v>75.532139093782945</v>
      </c>
      <c r="G106" s="1">
        <v>2017</v>
      </c>
      <c r="H106" s="409">
        <f>(O63/$R63*100*($E63/365))+(O64/$R64*100*($E64/365))+(O65/$R65*100*($E65/365))</f>
        <v>100</v>
      </c>
      <c r="I106" s="409"/>
      <c r="J106" s="409">
        <f>(P63/$R63*100*($E63/365))+(P64/$R64*100*($E64/365))+(P65/$R65*100*($E65/365))</f>
        <v>0</v>
      </c>
      <c r="K106" s="409"/>
      <c r="L106" s="409">
        <f>(Q63/$R63*100*($E63/365))+(Q64/$R64*100*($E64/365))+(Q65/$R65*100*($E65/365))</f>
        <v>0</v>
      </c>
      <c r="M106" s="409"/>
      <c r="N106" s="379">
        <f t="shared" si="26"/>
        <v>100</v>
      </c>
      <c r="O106" s="379"/>
      <c r="R106" s="1">
        <v>2017</v>
      </c>
      <c r="S106" s="5">
        <f>(O63*($E63/365))+(O64*($E64/365))+(O65*($E65/365))</f>
        <v>66.8</v>
      </c>
      <c r="T106" s="5">
        <f>(P63*($E63/365))+(P64*($E64/365))+(P65*($E65/365))</f>
        <v>0</v>
      </c>
      <c r="U106" s="5">
        <f>(Q63*($E63/365))+(Q64*($E64/365))+(Q65*($E65/365))</f>
        <v>0</v>
      </c>
      <c r="W106" s="5">
        <f t="shared" si="25"/>
        <v>66.8</v>
      </c>
    </row>
    <row r="107" spans="1:23" x14ac:dyDescent="0.15">
      <c r="A107" s="1">
        <v>2018</v>
      </c>
      <c r="B107" s="5">
        <f>(K66*($E66/365))+(K67*($E67/365))</f>
        <v>76.923076923076934</v>
      </c>
      <c r="C107" s="5">
        <f>(L66*($E66/365))+(L67*($E67/365))</f>
        <v>0</v>
      </c>
      <c r="D107" s="5">
        <f>(M66*($E66/365))+(M67*($E67/365))</f>
        <v>0</v>
      </c>
      <c r="E107" s="18">
        <f t="shared" ref="E107" si="27">SUM(B107:D107)</f>
        <v>76.923076923076934</v>
      </c>
      <c r="G107" s="1">
        <v>2018</v>
      </c>
      <c r="H107" s="409">
        <f>(O66/$R66*100*($E66/365))+(O67/$R67*100*($E67/365))</f>
        <v>100</v>
      </c>
      <c r="I107" s="409"/>
      <c r="J107" s="409">
        <f>(P66/$R66*100*($E66/365))+(P67/$R67*100*($E67/365))</f>
        <v>0</v>
      </c>
      <c r="K107" s="409"/>
      <c r="L107" s="409">
        <f>(Q66/$R66*100*($E66/365))+(Q67/$R67*100*($E67/365))</f>
        <v>0</v>
      </c>
      <c r="M107" s="409"/>
      <c r="N107" s="379">
        <f t="shared" si="26"/>
        <v>100</v>
      </c>
      <c r="O107" s="379"/>
      <c r="R107" s="1">
        <v>2018</v>
      </c>
      <c r="S107" s="5">
        <f>(O66*($E66/365))+(O67*($E67/365))</f>
        <v>66.175342465753417</v>
      </c>
      <c r="T107" s="5">
        <f>(P66*($E66/365))+(P67*($E67/365))</f>
        <v>0</v>
      </c>
      <c r="U107" s="5">
        <f>(Q66*($E66/365))+(Q67*($E67/365))</f>
        <v>0</v>
      </c>
      <c r="W107" s="5">
        <f t="shared" ref="W107" si="28">SUM(S107:U107)</f>
        <v>66.175342465753417</v>
      </c>
    </row>
    <row r="108" spans="1:23" x14ac:dyDescent="0.15">
      <c r="A108" s="1">
        <v>2019</v>
      </c>
      <c r="B108" s="5">
        <f>(K68*($E68/365))+(K69*($E69/365))</f>
        <v>80.821917808219183</v>
      </c>
      <c r="C108" s="5">
        <f>(L68*($E68/365))+(L69*($E69/365))</f>
        <v>0</v>
      </c>
      <c r="D108" s="5">
        <f>(M68*($E68/365))+(M69*($E69/365))</f>
        <v>0</v>
      </c>
      <c r="E108" s="18">
        <f t="shared" ref="E108:E109" si="29">SUM(B108:D108)</f>
        <v>80.821917808219183</v>
      </c>
      <c r="G108" s="1">
        <v>2019</v>
      </c>
      <c r="H108" s="409">
        <f>(O68/$R68*100*($E68/365))+(O69/$R69*100*($E69/365))</f>
        <v>100</v>
      </c>
      <c r="I108" s="409"/>
      <c r="J108" s="409">
        <f>(P68/$R68*100*($E68/365))+(P69/$R69*100*($E69/365))</f>
        <v>0</v>
      </c>
      <c r="K108" s="409"/>
      <c r="L108" s="409">
        <f>(Q68/$R68*100*($E68/365))+(Q69/$R69*100*($E69/365))</f>
        <v>0</v>
      </c>
      <c r="M108" s="409"/>
      <c r="N108" s="379">
        <f t="shared" ref="N108" si="30">SUM(H108:M108)</f>
        <v>100</v>
      </c>
      <c r="O108" s="379"/>
      <c r="R108" s="1">
        <v>2019</v>
      </c>
      <c r="S108" s="5">
        <f>(O68*($E68/365))+(O69*($E69/365))</f>
        <v>65.8</v>
      </c>
      <c r="T108" s="5">
        <f>(P68*($E68/365))+(P69*($E69/365))</f>
        <v>0</v>
      </c>
      <c r="U108" s="5">
        <f>(Q68*($E68/365))+(Q69*($E69/365))</f>
        <v>0</v>
      </c>
      <c r="W108" s="5">
        <f t="shared" ref="W108:W109" si="31">SUM(S108:U108)</f>
        <v>65.8</v>
      </c>
    </row>
    <row r="109" spans="1:23" x14ac:dyDescent="0.15">
      <c r="A109" s="1">
        <v>2020</v>
      </c>
      <c r="B109" s="5">
        <f>(K70*($E70/366))+(K71*($E71/366))</f>
        <v>84.894613583138181</v>
      </c>
      <c r="C109" s="5">
        <f>(L70*($E70/366))+(L71*($E71/366))</f>
        <v>0</v>
      </c>
      <c r="D109" s="5">
        <f>(M70*($E70/366))+(M71*($E71/366))</f>
        <v>0</v>
      </c>
      <c r="E109" s="18">
        <f t="shared" si="29"/>
        <v>84.894613583138181</v>
      </c>
      <c r="G109" s="1">
        <v>2020</v>
      </c>
      <c r="H109" s="409">
        <f>(O70/$R70*100*($E70/366))+(O71/$R71*100*($E71/366))</f>
        <v>100</v>
      </c>
      <c r="I109" s="409"/>
      <c r="J109" s="409">
        <f>(P70/$R70*100*($E70/366))+(P71/$R71*100*($E71/366))</f>
        <v>0</v>
      </c>
      <c r="K109" s="409"/>
      <c r="L109" s="409">
        <f>(Q70/$R70*100*($E70/366))+(Q71/$R71*100*($E71/366))</f>
        <v>0</v>
      </c>
      <c r="M109" s="409"/>
      <c r="N109" s="379">
        <f t="shared" ref="N109" si="32">SUM(H109:M109)</f>
        <v>100</v>
      </c>
      <c r="O109" s="379"/>
      <c r="R109" s="1">
        <v>2020</v>
      </c>
      <c r="S109" s="5">
        <f>(O70*($E70/366))+(O71*($E71/366))</f>
        <v>65.8</v>
      </c>
      <c r="T109" s="5">
        <f>(P70*($E70/366))+(P71*($E71/366))</f>
        <v>0</v>
      </c>
      <c r="U109" s="5">
        <f>(Q70*($E70/366))+(Q71*($E71/366))</f>
        <v>0</v>
      </c>
      <c r="W109" s="5">
        <f t="shared" si="31"/>
        <v>65.8</v>
      </c>
    </row>
  </sheetData>
  <mergeCells count="216">
    <mergeCell ref="H109:I109"/>
    <mergeCell ref="J109:K109"/>
    <mergeCell ref="L109:M109"/>
    <mergeCell ref="N109:O109"/>
    <mergeCell ref="N95:O95"/>
    <mergeCell ref="J95:K95"/>
    <mergeCell ref="N83:O83"/>
    <mergeCell ref="N84:O84"/>
    <mergeCell ref="N91:O91"/>
    <mergeCell ref="J96:K96"/>
    <mergeCell ref="J97:K97"/>
    <mergeCell ref="N100:O100"/>
    <mergeCell ref="N97:O97"/>
    <mergeCell ref="N98:O98"/>
    <mergeCell ref="H99:I99"/>
    <mergeCell ref="N102:O102"/>
    <mergeCell ref="N96:O96"/>
    <mergeCell ref="L99:M99"/>
    <mergeCell ref="H100:I100"/>
    <mergeCell ref="H104:I104"/>
    <mergeCell ref="J104:K104"/>
    <mergeCell ref="L104:M104"/>
    <mergeCell ref="N104:O104"/>
    <mergeCell ref="H103:I103"/>
    <mergeCell ref="C66:D66"/>
    <mergeCell ref="C67:D67"/>
    <mergeCell ref="H107:I107"/>
    <mergeCell ref="J107:K107"/>
    <mergeCell ref="L107:M107"/>
    <mergeCell ref="N107:O107"/>
    <mergeCell ref="J106:K106"/>
    <mergeCell ref="L106:M106"/>
    <mergeCell ref="H106:I106"/>
    <mergeCell ref="N106:O106"/>
    <mergeCell ref="N101:O101"/>
    <mergeCell ref="J100:K100"/>
    <mergeCell ref="N99:O99"/>
    <mergeCell ref="J98:K98"/>
    <mergeCell ref="J99:K99"/>
    <mergeCell ref="N92:O92"/>
    <mergeCell ref="N93:O93"/>
    <mergeCell ref="N94:O94"/>
    <mergeCell ref="J92:K92"/>
    <mergeCell ref="N105:O105"/>
    <mergeCell ref="H102:I102"/>
    <mergeCell ref="J102:K102"/>
    <mergeCell ref="L102:M102"/>
    <mergeCell ref="L98:M98"/>
    <mergeCell ref="J103:K103"/>
    <mergeCell ref="L103:M103"/>
    <mergeCell ref="H105:I105"/>
    <mergeCell ref="J105:K105"/>
    <mergeCell ref="L105:M105"/>
    <mergeCell ref="H101:I101"/>
    <mergeCell ref="L96:M96"/>
    <mergeCell ref="L97:M97"/>
    <mergeCell ref="J101:K101"/>
    <mergeCell ref="L100:M100"/>
    <mergeCell ref="L101:M101"/>
    <mergeCell ref="L95:M95"/>
    <mergeCell ref="H95:I95"/>
    <mergeCell ref="H96:I96"/>
    <mergeCell ref="H97:I97"/>
    <mergeCell ref="H98:I98"/>
    <mergeCell ref="N80:O80"/>
    <mergeCell ref="H83:I83"/>
    <mergeCell ref="H90:I90"/>
    <mergeCell ref="H91:I91"/>
    <mergeCell ref="N82:O82"/>
    <mergeCell ref="N81:O81"/>
    <mergeCell ref="N89:O89"/>
    <mergeCell ref="N90:O90"/>
    <mergeCell ref="L93:M93"/>
    <mergeCell ref="L92:M92"/>
    <mergeCell ref="H87:I87"/>
    <mergeCell ref="L94:M94"/>
    <mergeCell ref="J93:K93"/>
    <mergeCell ref="J94:K94"/>
    <mergeCell ref="J80:K80"/>
    <mergeCell ref="J85:K85"/>
    <mergeCell ref="L87:M87"/>
    <mergeCell ref="L88:M88"/>
    <mergeCell ref="L89:M89"/>
    <mergeCell ref="L90:M90"/>
    <mergeCell ref="L91:M91"/>
    <mergeCell ref="J90:K90"/>
    <mergeCell ref="J91:K91"/>
    <mergeCell ref="J81:K81"/>
    <mergeCell ref="J82:K82"/>
    <mergeCell ref="J83:K83"/>
    <mergeCell ref="J84:K84"/>
    <mergeCell ref="L80:M80"/>
    <mergeCell ref="L85:M85"/>
    <mergeCell ref="L86:M86"/>
    <mergeCell ref="J88:K88"/>
    <mergeCell ref="J89:K89"/>
    <mergeCell ref="L84:M84"/>
    <mergeCell ref="C46:D46"/>
    <mergeCell ref="C47:D47"/>
    <mergeCell ref="C48:D48"/>
    <mergeCell ref="C49:D49"/>
    <mergeCell ref="C50:D50"/>
    <mergeCell ref="J86:K86"/>
    <mergeCell ref="J87:K87"/>
    <mergeCell ref="C51:D51"/>
    <mergeCell ref="C53:D53"/>
    <mergeCell ref="C55:D55"/>
    <mergeCell ref="C52:D52"/>
    <mergeCell ref="C63:D63"/>
    <mergeCell ref="C64:D64"/>
    <mergeCell ref="C65:D65"/>
    <mergeCell ref="C62:D62"/>
    <mergeCell ref="C61:D61"/>
    <mergeCell ref="H82:I82"/>
    <mergeCell ref="H84:I84"/>
    <mergeCell ref="H85:I85"/>
    <mergeCell ref="H86:I86"/>
    <mergeCell ref="H80:I80"/>
    <mergeCell ref="C70:D70"/>
    <mergeCell ref="C71:D71"/>
    <mergeCell ref="J79:K79"/>
    <mergeCell ref="C8:D8"/>
    <mergeCell ref="R76:W76"/>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C38:D38"/>
    <mergeCell ref="C43:D43"/>
    <mergeCell ref="C21:D21"/>
    <mergeCell ref="C22:D22"/>
    <mergeCell ref="C10:D10"/>
    <mergeCell ref="C11:D11"/>
    <mergeCell ref="G3:M3"/>
    <mergeCell ref="O3:Q3"/>
    <mergeCell ref="A4:A5"/>
    <mergeCell ref="B4:B5"/>
    <mergeCell ref="C4:D5"/>
    <mergeCell ref="E4:E5"/>
    <mergeCell ref="F4:F5"/>
    <mergeCell ref="G4:J4"/>
    <mergeCell ref="C7:D7"/>
    <mergeCell ref="C6:D6"/>
    <mergeCell ref="AX4:BA4"/>
    <mergeCell ref="K4:N4"/>
    <mergeCell ref="O4:R4"/>
    <mergeCell ref="Z4:AC4"/>
    <mergeCell ref="AD4:AG4"/>
    <mergeCell ref="AH4:AK4"/>
    <mergeCell ref="AL4:AO4"/>
    <mergeCell ref="AP4:AS4"/>
    <mergeCell ref="V4:Y4"/>
    <mergeCell ref="S4:S5"/>
    <mergeCell ref="U4:U5"/>
    <mergeCell ref="T4:T5"/>
    <mergeCell ref="AT4:AW4"/>
    <mergeCell ref="C9:D9"/>
    <mergeCell ref="C14:D14"/>
    <mergeCell ref="H78:I78"/>
    <mergeCell ref="J78:K78"/>
    <mergeCell ref="C15:D15"/>
    <mergeCell ref="C12:D12"/>
    <mergeCell ref="C13:D13"/>
    <mergeCell ref="H108:I108"/>
    <mergeCell ref="J108:K108"/>
    <mergeCell ref="C23:D23"/>
    <mergeCell ref="C25:D25"/>
    <mergeCell ref="C26:D26"/>
    <mergeCell ref="C27:D27"/>
    <mergeCell ref="C39:D39"/>
    <mergeCell ref="C28:D28"/>
    <mergeCell ref="C29:D29"/>
    <mergeCell ref="C30:D30"/>
    <mergeCell ref="C31:D31"/>
    <mergeCell ref="C32:D32"/>
    <mergeCell ref="C68:D68"/>
    <mergeCell ref="C69:D69"/>
    <mergeCell ref="C24:D24"/>
    <mergeCell ref="H92:I92"/>
    <mergeCell ref="H81:I81"/>
    <mergeCell ref="L108:M108"/>
    <mergeCell ref="N108:O108"/>
    <mergeCell ref="C16:D16"/>
    <mergeCell ref="C17:D17"/>
    <mergeCell ref="C18:D18"/>
    <mergeCell ref="N103:O103"/>
    <mergeCell ref="H93:I93"/>
    <mergeCell ref="H94:I94"/>
    <mergeCell ref="H79:I79"/>
    <mergeCell ref="L79:M79"/>
    <mergeCell ref="N79:O79"/>
    <mergeCell ref="N87:O87"/>
    <mergeCell ref="N88:O88"/>
    <mergeCell ref="N85:O85"/>
    <mergeCell ref="N86:O86"/>
    <mergeCell ref="H88:I88"/>
    <mergeCell ref="H89:I89"/>
    <mergeCell ref="L81:M81"/>
    <mergeCell ref="L82:M82"/>
    <mergeCell ref="L83:M83"/>
    <mergeCell ref="C19:D19"/>
    <mergeCell ref="C20:D20"/>
    <mergeCell ref="L78:M78"/>
    <mergeCell ref="N78:O7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A200"/>
  <sheetViews>
    <sheetView zoomScale="163" zoomScaleNormal="120" workbookViewId="0">
      <pane xSplit="1" ySplit="5" topLeftCell="B28" activePane="bottomRight" state="frozen"/>
      <selection pane="topRight" activeCell="B1" sqref="B1"/>
      <selection pane="bottomLeft" activeCell="A6" sqref="A6"/>
      <selection pane="bottomRight" activeCell="AE125" sqref="AE125:AE131"/>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33" width="5.6640625" style="1" customWidth="1"/>
    <col min="34" max="34" width="5.6640625" style="23" customWidth="1"/>
    <col min="35" max="53" width="5.6640625" style="1" customWidth="1"/>
    <col min="54" max="16384" width="10.6640625" style="1"/>
  </cols>
  <sheetData>
    <row r="1" spans="1:53" ht="15" customHeight="1" x14ac:dyDescent="0.15">
      <c r="B1" s="16" t="s">
        <v>14</v>
      </c>
    </row>
    <row r="2" spans="1:53" ht="15" customHeight="1" x14ac:dyDescent="0.15">
      <c r="B2" s="16" t="s">
        <v>57</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ht="9" customHeight="1" x14ac:dyDescent="0.15">
      <c r="A6" s="146">
        <v>1959</v>
      </c>
      <c r="B6" s="296"/>
      <c r="C6" s="416" t="s">
        <v>1229</v>
      </c>
      <c r="D6" s="416"/>
      <c r="E6" s="140">
        <v>323</v>
      </c>
      <c r="G6" s="148"/>
      <c r="I6" s="140">
        <v>4</v>
      </c>
      <c r="J6" s="154">
        <v>4</v>
      </c>
      <c r="K6" s="134">
        <f t="shared" ref="K6:M8" si="0">G6/$J6*100</f>
        <v>0</v>
      </c>
      <c r="L6" s="134">
        <f t="shared" si="0"/>
        <v>0</v>
      </c>
      <c r="M6" s="134">
        <f t="shared" si="0"/>
        <v>100</v>
      </c>
      <c r="N6" s="150">
        <f>K6+L6+M6</f>
        <v>100</v>
      </c>
      <c r="O6" s="133"/>
      <c r="P6" s="134"/>
      <c r="Q6" s="134">
        <v>15</v>
      </c>
      <c r="R6" s="135">
        <f>O6+P6+Q6</f>
        <v>15</v>
      </c>
      <c r="S6" s="140">
        <v>4</v>
      </c>
      <c r="T6" s="308"/>
      <c r="U6" s="296"/>
      <c r="V6" s="159" t="s">
        <v>111</v>
      </c>
      <c r="W6" s="140" t="s">
        <v>20</v>
      </c>
      <c r="X6" s="140" t="s">
        <v>12</v>
      </c>
      <c r="Y6" s="140">
        <v>15</v>
      </c>
      <c r="AD6" s="139"/>
      <c r="AG6" s="141"/>
      <c r="AH6" s="158"/>
      <c r="AL6" s="139"/>
      <c r="AO6" s="141"/>
      <c r="AP6" s="139"/>
      <c r="AS6" s="141"/>
      <c r="AW6" s="141"/>
      <c r="BA6" s="142"/>
    </row>
    <row r="7" spans="1:53" s="140" customFormat="1" x14ac:dyDescent="0.15">
      <c r="A7" s="146">
        <v>1959</v>
      </c>
      <c r="B7" s="296">
        <v>21874</v>
      </c>
      <c r="C7" s="416" t="s">
        <v>275</v>
      </c>
      <c r="D7" s="416"/>
      <c r="E7" s="140">
        <f>365-E6</f>
        <v>42</v>
      </c>
      <c r="F7" s="140">
        <v>1</v>
      </c>
      <c r="G7" s="148">
        <v>4</v>
      </c>
      <c r="I7" s="140">
        <v>2</v>
      </c>
      <c r="J7" s="154">
        <v>6</v>
      </c>
      <c r="K7" s="134">
        <f t="shared" si="0"/>
        <v>66.666666666666657</v>
      </c>
      <c r="L7" s="134">
        <f t="shared" si="0"/>
        <v>0</v>
      </c>
      <c r="M7" s="134">
        <f t="shared" si="0"/>
        <v>33.333333333333329</v>
      </c>
      <c r="N7" s="150">
        <f>K7+L7+M7</f>
        <v>99.999999999999986</v>
      </c>
      <c r="O7" s="133">
        <v>40</v>
      </c>
      <c r="P7" s="134"/>
      <c r="Q7" s="134">
        <v>15</v>
      </c>
      <c r="R7" s="135">
        <f>O7+P7+Q7</f>
        <v>55</v>
      </c>
      <c r="S7" s="140">
        <v>2</v>
      </c>
      <c r="T7" s="308">
        <v>21849</v>
      </c>
      <c r="U7" s="296">
        <v>21874</v>
      </c>
      <c r="V7" s="139" t="s">
        <v>558</v>
      </c>
      <c r="W7" s="140" t="s">
        <v>74</v>
      </c>
      <c r="X7" s="140" t="s">
        <v>11</v>
      </c>
      <c r="Y7" s="141">
        <v>40</v>
      </c>
      <c r="Z7" s="140" t="s">
        <v>111</v>
      </c>
      <c r="AA7" s="140" t="s">
        <v>20</v>
      </c>
      <c r="AB7" s="140" t="s">
        <v>12</v>
      </c>
      <c r="AC7" s="140">
        <v>15</v>
      </c>
      <c r="AD7" s="139"/>
      <c r="AG7" s="141"/>
      <c r="AH7" s="158"/>
      <c r="AL7" s="139"/>
      <c r="AO7" s="141"/>
      <c r="AP7" s="139"/>
      <c r="AS7" s="141"/>
      <c r="AW7" s="141"/>
      <c r="BA7" s="142"/>
    </row>
    <row r="8" spans="1:53" s="29" customFormat="1" x14ac:dyDescent="0.15">
      <c r="A8" s="52">
        <v>1960</v>
      </c>
      <c r="B8" s="295"/>
      <c r="C8" s="411" t="s">
        <v>275</v>
      </c>
      <c r="D8" s="411"/>
      <c r="E8" s="29">
        <v>0</v>
      </c>
      <c r="G8" s="66">
        <v>4</v>
      </c>
      <c r="I8" s="29">
        <v>2</v>
      </c>
      <c r="J8" s="73">
        <v>6</v>
      </c>
      <c r="K8" s="47">
        <f t="shared" si="0"/>
        <v>66.666666666666657</v>
      </c>
      <c r="L8" s="47">
        <f t="shared" si="0"/>
        <v>0</v>
      </c>
      <c r="M8" s="47">
        <f t="shared" si="0"/>
        <v>33.333333333333329</v>
      </c>
      <c r="N8" s="68">
        <f>K8+L8+M8</f>
        <v>99.999999999999986</v>
      </c>
      <c r="O8" s="46">
        <v>40</v>
      </c>
      <c r="P8" s="47"/>
      <c r="Q8" s="47">
        <v>15</v>
      </c>
      <c r="R8" s="48">
        <f>O8+P8+Q8</f>
        <v>55</v>
      </c>
      <c r="S8" s="29">
        <v>2</v>
      </c>
      <c r="T8" s="286"/>
      <c r="U8" s="295"/>
      <c r="V8" s="38" t="s">
        <v>558</v>
      </c>
      <c r="W8" s="29" t="s">
        <v>74</v>
      </c>
      <c r="X8" s="29" t="s">
        <v>11</v>
      </c>
      <c r="Y8" s="39">
        <v>40</v>
      </c>
      <c r="Z8" s="29" t="s">
        <v>111</v>
      </c>
      <c r="AA8" s="29" t="s">
        <v>20</v>
      </c>
      <c r="AB8" s="29" t="s">
        <v>12</v>
      </c>
      <c r="AC8" s="29">
        <v>15</v>
      </c>
      <c r="AD8" s="38"/>
      <c r="AG8" s="39"/>
      <c r="AH8" s="94"/>
      <c r="AL8" s="38"/>
      <c r="AO8" s="39"/>
      <c r="AP8" s="38"/>
      <c r="AS8" s="39"/>
      <c r="AW8" s="39"/>
      <c r="BA8" s="40"/>
    </row>
    <row r="9" spans="1:53" s="29" customFormat="1" x14ac:dyDescent="0.15">
      <c r="A9" s="52">
        <v>1960</v>
      </c>
      <c r="B9" s="295"/>
      <c r="C9" s="411" t="s">
        <v>275</v>
      </c>
      <c r="D9" s="411"/>
      <c r="E9" s="29">
        <v>366</v>
      </c>
      <c r="G9" s="66">
        <v>4</v>
      </c>
      <c r="I9" s="29">
        <v>2</v>
      </c>
      <c r="J9" s="73">
        <v>6</v>
      </c>
      <c r="K9" s="47">
        <f t="shared" ref="K9:M43" si="1">G9/$J9*100</f>
        <v>66.666666666666657</v>
      </c>
      <c r="L9" s="47">
        <f t="shared" si="1"/>
        <v>0</v>
      </c>
      <c r="M9" s="47">
        <f t="shared" si="1"/>
        <v>33.333333333333329</v>
      </c>
      <c r="N9" s="68">
        <f t="shared" ref="N9:N72" si="2">K9+L9+M9</f>
        <v>99.999999999999986</v>
      </c>
      <c r="O9" s="46">
        <v>40</v>
      </c>
      <c r="P9" s="47"/>
      <c r="Q9" s="47">
        <v>15</v>
      </c>
      <c r="R9" s="48">
        <f t="shared" ref="R9:R73" si="3">O9+P9+Q9</f>
        <v>55</v>
      </c>
      <c r="S9" s="29">
        <v>2</v>
      </c>
      <c r="T9" s="286"/>
      <c r="U9" s="295"/>
      <c r="V9" s="38" t="s">
        <v>558</v>
      </c>
      <c r="W9" s="29" t="s">
        <v>74</v>
      </c>
      <c r="X9" s="29" t="s">
        <v>11</v>
      </c>
      <c r="Y9" s="39">
        <v>40</v>
      </c>
      <c r="Z9" s="29" t="s">
        <v>111</v>
      </c>
      <c r="AA9" s="29" t="s">
        <v>20</v>
      </c>
      <c r="AB9" s="29" t="s">
        <v>12</v>
      </c>
      <c r="AC9" s="29">
        <v>15</v>
      </c>
      <c r="AD9" s="38"/>
      <c r="AG9" s="39"/>
      <c r="AH9" s="94"/>
      <c r="AL9" s="38"/>
      <c r="AO9" s="39"/>
      <c r="AP9" s="38"/>
      <c r="AS9" s="39"/>
      <c r="AW9" s="39"/>
      <c r="BA9" s="40"/>
    </row>
    <row r="10" spans="1:53" s="29" customFormat="1" x14ac:dyDescent="0.15">
      <c r="A10" s="52">
        <v>1961</v>
      </c>
      <c r="B10" s="295"/>
      <c r="C10" s="411" t="s">
        <v>275</v>
      </c>
      <c r="D10" s="411"/>
      <c r="E10" s="29">
        <v>0</v>
      </c>
      <c r="G10" s="66">
        <v>4</v>
      </c>
      <c r="I10" s="29">
        <v>2</v>
      </c>
      <c r="J10" s="73">
        <v>6</v>
      </c>
      <c r="K10" s="47">
        <f t="shared" si="1"/>
        <v>66.666666666666657</v>
      </c>
      <c r="L10" s="47">
        <f t="shared" si="1"/>
        <v>0</v>
      </c>
      <c r="M10" s="47">
        <f t="shared" si="1"/>
        <v>33.333333333333329</v>
      </c>
      <c r="N10" s="68">
        <f t="shared" si="2"/>
        <v>99.999999999999986</v>
      </c>
      <c r="O10" s="46">
        <v>40</v>
      </c>
      <c r="P10" s="47"/>
      <c r="Q10" s="47">
        <v>15</v>
      </c>
      <c r="R10" s="48">
        <f t="shared" si="3"/>
        <v>55</v>
      </c>
      <c r="S10" s="29">
        <v>2</v>
      </c>
      <c r="T10" s="286"/>
      <c r="U10" s="295"/>
      <c r="V10" s="38" t="s">
        <v>558</v>
      </c>
      <c r="W10" s="29" t="s">
        <v>74</v>
      </c>
      <c r="X10" s="29" t="s">
        <v>11</v>
      </c>
      <c r="Y10" s="39">
        <v>40</v>
      </c>
      <c r="Z10" s="29" t="s">
        <v>111</v>
      </c>
      <c r="AA10" s="29" t="s">
        <v>20</v>
      </c>
      <c r="AB10" s="29" t="s">
        <v>12</v>
      </c>
      <c r="AC10" s="29">
        <v>15</v>
      </c>
      <c r="AD10" s="38"/>
      <c r="AG10" s="39"/>
      <c r="AH10" s="94"/>
      <c r="AL10" s="38"/>
      <c r="AO10" s="39"/>
      <c r="AP10" s="38"/>
      <c r="AS10" s="39"/>
      <c r="AW10" s="39"/>
      <c r="BA10" s="40"/>
    </row>
    <row r="11" spans="1:53" s="29" customFormat="1" x14ac:dyDescent="0.15">
      <c r="A11" s="52">
        <v>1961</v>
      </c>
      <c r="B11" s="295"/>
      <c r="C11" s="411" t="s">
        <v>275</v>
      </c>
      <c r="D11" s="411"/>
      <c r="E11" s="29">
        <v>365</v>
      </c>
      <c r="G11" s="66">
        <v>4</v>
      </c>
      <c r="I11" s="29">
        <v>2</v>
      </c>
      <c r="J11" s="73">
        <v>6</v>
      </c>
      <c r="K11" s="47">
        <f t="shared" si="1"/>
        <v>66.666666666666657</v>
      </c>
      <c r="L11" s="47">
        <f t="shared" si="1"/>
        <v>0</v>
      </c>
      <c r="M11" s="47">
        <f t="shared" si="1"/>
        <v>33.333333333333329</v>
      </c>
      <c r="N11" s="68">
        <f t="shared" si="2"/>
        <v>99.999999999999986</v>
      </c>
      <c r="O11" s="46">
        <v>40</v>
      </c>
      <c r="P11" s="47"/>
      <c r="Q11" s="47">
        <v>15</v>
      </c>
      <c r="R11" s="48">
        <f t="shared" si="3"/>
        <v>55</v>
      </c>
      <c r="S11" s="29">
        <v>2</v>
      </c>
      <c r="T11" s="286"/>
      <c r="U11" s="295"/>
      <c r="V11" s="38" t="s">
        <v>558</v>
      </c>
      <c r="W11" s="29" t="s">
        <v>74</v>
      </c>
      <c r="X11" s="29" t="s">
        <v>11</v>
      </c>
      <c r="Y11" s="39">
        <v>40</v>
      </c>
      <c r="Z11" s="29" t="s">
        <v>111</v>
      </c>
      <c r="AA11" s="29" t="s">
        <v>20</v>
      </c>
      <c r="AB11" s="29" t="s">
        <v>12</v>
      </c>
      <c r="AC11" s="29">
        <v>15</v>
      </c>
      <c r="AD11" s="38"/>
      <c r="AG11" s="39"/>
      <c r="AH11" s="94"/>
      <c r="AL11" s="38"/>
      <c r="AO11" s="39"/>
      <c r="AP11" s="38"/>
      <c r="AS11" s="39"/>
      <c r="AW11" s="39"/>
      <c r="BA11" s="40"/>
    </row>
    <row r="12" spans="1:53" s="29" customFormat="1" x14ac:dyDescent="0.15">
      <c r="A12" s="52">
        <v>1962</v>
      </c>
      <c r="B12" s="295"/>
      <c r="C12" s="411" t="s">
        <v>275</v>
      </c>
      <c r="D12" s="411"/>
      <c r="E12" s="29">
        <v>0</v>
      </c>
      <c r="G12" s="66">
        <v>4</v>
      </c>
      <c r="I12" s="29">
        <v>2</v>
      </c>
      <c r="J12" s="73">
        <v>6</v>
      </c>
      <c r="K12" s="47">
        <f t="shared" si="1"/>
        <v>66.666666666666657</v>
      </c>
      <c r="L12" s="47">
        <f t="shared" si="1"/>
        <v>0</v>
      </c>
      <c r="M12" s="47">
        <f t="shared" si="1"/>
        <v>33.333333333333329</v>
      </c>
      <c r="N12" s="68">
        <f t="shared" si="2"/>
        <v>99.999999999999986</v>
      </c>
      <c r="O12" s="46">
        <v>40</v>
      </c>
      <c r="P12" s="47"/>
      <c r="Q12" s="47">
        <v>15</v>
      </c>
      <c r="R12" s="48">
        <f t="shared" si="3"/>
        <v>55</v>
      </c>
      <c r="S12" s="29">
        <v>2</v>
      </c>
      <c r="T12" s="286"/>
      <c r="U12" s="295"/>
      <c r="V12" s="38" t="s">
        <v>558</v>
      </c>
      <c r="W12" s="29" t="s">
        <v>74</v>
      </c>
      <c r="X12" s="29" t="s">
        <v>11</v>
      </c>
      <c r="Y12" s="39">
        <v>40</v>
      </c>
      <c r="Z12" s="29" t="s">
        <v>111</v>
      </c>
      <c r="AA12" s="29" t="s">
        <v>20</v>
      </c>
      <c r="AB12" s="29" t="s">
        <v>12</v>
      </c>
      <c r="AC12" s="29">
        <v>15</v>
      </c>
      <c r="AD12" s="38"/>
      <c r="AG12" s="39"/>
      <c r="AH12" s="94"/>
      <c r="AL12" s="38"/>
      <c r="AO12" s="39"/>
      <c r="AP12" s="38"/>
      <c r="AS12" s="39"/>
      <c r="AW12" s="39"/>
      <c r="BA12" s="40"/>
    </row>
    <row r="13" spans="1:53" s="29" customFormat="1" x14ac:dyDescent="0.15">
      <c r="A13" s="52">
        <v>1962</v>
      </c>
      <c r="B13" s="295"/>
      <c r="C13" s="411" t="s">
        <v>275</v>
      </c>
      <c r="D13" s="411"/>
      <c r="E13" s="29">
        <v>365</v>
      </c>
      <c r="G13" s="66">
        <v>4</v>
      </c>
      <c r="I13" s="29">
        <v>2</v>
      </c>
      <c r="J13" s="73">
        <v>6</v>
      </c>
      <c r="K13" s="47">
        <f t="shared" si="1"/>
        <v>66.666666666666657</v>
      </c>
      <c r="L13" s="47">
        <f t="shared" si="1"/>
        <v>0</v>
      </c>
      <c r="M13" s="47">
        <f t="shared" si="1"/>
        <v>33.333333333333329</v>
      </c>
      <c r="N13" s="68">
        <f t="shared" si="2"/>
        <v>99.999999999999986</v>
      </c>
      <c r="O13" s="46">
        <v>40</v>
      </c>
      <c r="P13" s="47"/>
      <c r="Q13" s="47">
        <v>15</v>
      </c>
      <c r="R13" s="48">
        <f t="shared" si="3"/>
        <v>55</v>
      </c>
      <c r="S13" s="29">
        <v>2</v>
      </c>
      <c r="T13" s="286"/>
      <c r="U13" s="295"/>
      <c r="V13" s="38" t="s">
        <v>558</v>
      </c>
      <c r="W13" s="29" t="s">
        <v>74</v>
      </c>
      <c r="X13" s="29" t="s">
        <v>11</v>
      </c>
      <c r="Y13" s="39">
        <v>40</v>
      </c>
      <c r="Z13" s="29" t="s">
        <v>111</v>
      </c>
      <c r="AA13" s="29" t="s">
        <v>20</v>
      </c>
      <c r="AB13" s="29" t="s">
        <v>12</v>
      </c>
      <c r="AC13" s="29">
        <v>15</v>
      </c>
      <c r="AD13" s="38"/>
      <c r="AG13" s="39"/>
      <c r="AH13" s="94"/>
      <c r="AL13" s="38"/>
      <c r="AO13" s="39"/>
      <c r="AP13" s="38"/>
      <c r="AS13" s="39"/>
      <c r="AW13" s="39"/>
      <c r="BA13" s="40"/>
    </row>
    <row r="14" spans="1:53" s="29" customFormat="1" x14ac:dyDescent="0.15">
      <c r="A14" s="52">
        <v>1962.6</v>
      </c>
      <c r="B14" s="295"/>
      <c r="C14" s="411" t="s">
        <v>275</v>
      </c>
      <c r="D14" s="411"/>
      <c r="E14" s="29">
        <v>317</v>
      </c>
      <c r="G14" s="66">
        <v>4</v>
      </c>
      <c r="I14" s="29">
        <v>2</v>
      </c>
      <c r="J14" s="73">
        <v>6</v>
      </c>
      <c r="K14" s="47">
        <f t="shared" si="1"/>
        <v>66.666666666666657</v>
      </c>
      <c r="L14" s="47">
        <f t="shared" si="1"/>
        <v>0</v>
      </c>
      <c r="M14" s="47">
        <f t="shared" si="1"/>
        <v>33.333333333333329</v>
      </c>
      <c r="N14" s="68">
        <f t="shared" si="2"/>
        <v>99.999999999999986</v>
      </c>
      <c r="O14" s="46">
        <v>40</v>
      </c>
      <c r="P14" s="47"/>
      <c r="Q14" s="47">
        <v>15</v>
      </c>
      <c r="R14" s="48">
        <f t="shared" si="3"/>
        <v>55</v>
      </c>
      <c r="S14" s="29">
        <v>2</v>
      </c>
      <c r="T14" s="286"/>
      <c r="U14" s="295"/>
      <c r="V14" s="38" t="s">
        <v>558</v>
      </c>
      <c r="W14" s="29" t="s">
        <v>74</v>
      </c>
      <c r="X14" s="29" t="s">
        <v>11</v>
      </c>
      <c r="Y14" s="39">
        <v>40</v>
      </c>
      <c r="Z14" s="29" t="s">
        <v>111</v>
      </c>
      <c r="AA14" s="29" t="s">
        <v>20</v>
      </c>
      <c r="AB14" s="29" t="s">
        <v>12</v>
      </c>
      <c r="AC14" s="29">
        <v>15</v>
      </c>
      <c r="AD14" s="38"/>
      <c r="AG14" s="39"/>
      <c r="AH14" s="94"/>
      <c r="AL14" s="38"/>
      <c r="AO14" s="39"/>
      <c r="AP14" s="38"/>
      <c r="AS14" s="39"/>
      <c r="AW14" s="39"/>
      <c r="BA14" s="40"/>
    </row>
    <row r="15" spans="1:53" s="171" customFormat="1" x14ac:dyDescent="0.15">
      <c r="A15" s="216">
        <v>1963.05714285714</v>
      </c>
      <c r="B15" s="283">
        <v>23329</v>
      </c>
      <c r="C15" s="410" t="s">
        <v>1449</v>
      </c>
      <c r="D15" s="410"/>
      <c r="E15" s="171">
        <f>365-E14</f>
        <v>48</v>
      </c>
      <c r="F15" s="171">
        <v>3</v>
      </c>
      <c r="G15" s="233">
        <v>4</v>
      </c>
      <c r="I15" s="171">
        <v>3</v>
      </c>
      <c r="J15" s="241">
        <v>7</v>
      </c>
      <c r="K15" s="214">
        <f t="shared" si="1"/>
        <v>57.142857142857139</v>
      </c>
      <c r="L15" s="214">
        <f t="shared" si="1"/>
        <v>0</v>
      </c>
      <c r="M15" s="214">
        <f t="shared" si="1"/>
        <v>42.857142857142854</v>
      </c>
      <c r="N15" s="235">
        <f t="shared" si="2"/>
        <v>100</v>
      </c>
      <c r="O15" s="213">
        <v>40</v>
      </c>
      <c r="P15" s="214"/>
      <c r="Q15" s="214">
        <v>13.3</v>
      </c>
      <c r="R15" s="215">
        <f t="shared" si="3"/>
        <v>53.3</v>
      </c>
      <c r="S15" s="171">
        <v>2</v>
      </c>
      <c r="T15" s="285">
        <v>23171</v>
      </c>
      <c r="U15" s="283">
        <v>23329</v>
      </c>
      <c r="V15" s="178" t="s">
        <v>558</v>
      </c>
      <c r="W15" s="171" t="s">
        <v>74</v>
      </c>
      <c r="X15" s="171" t="s">
        <v>11</v>
      </c>
      <c r="Y15" s="179">
        <v>40</v>
      </c>
      <c r="Z15" s="171" t="s">
        <v>111</v>
      </c>
      <c r="AA15" s="171" t="s">
        <v>20</v>
      </c>
      <c r="AB15" s="171" t="s">
        <v>12</v>
      </c>
      <c r="AC15" s="171">
        <v>13.3</v>
      </c>
      <c r="AD15" s="178"/>
      <c r="AG15" s="179"/>
      <c r="AH15" s="253"/>
      <c r="AL15" s="178"/>
      <c r="AO15" s="179"/>
      <c r="AP15" s="178"/>
      <c r="AS15" s="179"/>
      <c r="AW15" s="179"/>
      <c r="BA15" s="180"/>
    </row>
    <row r="16" spans="1:53" s="171" customFormat="1" x14ac:dyDescent="0.15">
      <c r="A16" s="216">
        <v>1963.5142857142901</v>
      </c>
      <c r="B16" s="283"/>
      <c r="C16" s="439" t="s">
        <v>1450</v>
      </c>
      <c r="D16" s="410"/>
      <c r="E16" s="171">
        <v>0</v>
      </c>
      <c r="G16" s="233">
        <v>4</v>
      </c>
      <c r="I16" s="171">
        <v>3</v>
      </c>
      <c r="J16" s="241">
        <v>7</v>
      </c>
      <c r="K16" s="214">
        <f t="shared" si="1"/>
        <v>57.142857142857139</v>
      </c>
      <c r="L16" s="214">
        <f t="shared" si="1"/>
        <v>0</v>
      </c>
      <c r="M16" s="214">
        <f t="shared" si="1"/>
        <v>42.857142857142854</v>
      </c>
      <c r="N16" s="235">
        <f t="shared" si="2"/>
        <v>100</v>
      </c>
      <c r="O16" s="213">
        <v>40</v>
      </c>
      <c r="P16" s="214"/>
      <c r="Q16" s="214">
        <v>13.3</v>
      </c>
      <c r="R16" s="215">
        <f t="shared" si="3"/>
        <v>53.3</v>
      </c>
      <c r="S16" s="171">
        <v>2</v>
      </c>
      <c r="T16" s="285"/>
      <c r="U16" s="283"/>
      <c r="V16" s="178" t="s">
        <v>558</v>
      </c>
      <c r="W16" s="171" t="s">
        <v>74</v>
      </c>
      <c r="X16" s="171" t="s">
        <v>11</v>
      </c>
      <c r="Y16" s="179">
        <v>40</v>
      </c>
      <c r="Z16" s="171" t="s">
        <v>111</v>
      </c>
      <c r="AA16" s="171" t="s">
        <v>20</v>
      </c>
      <c r="AB16" s="171" t="s">
        <v>12</v>
      </c>
      <c r="AC16" s="171">
        <v>13.3</v>
      </c>
      <c r="AD16" s="178"/>
      <c r="AG16" s="179"/>
      <c r="AH16" s="253"/>
      <c r="AL16" s="178"/>
      <c r="AO16" s="179"/>
      <c r="AP16" s="178"/>
      <c r="AS16" s="179"/>
      <c r="AW16" s="179"/>
      <c r="BA16" s="180"/>
    </row>
    <row r="17" spans="1:53" s="171" customFormat="1" x14ac:dyDescent="0.15">
      <c r="A17" s="216">
        <v>1963.9714285714299</v>
      </c>
      <c r="B17" s="283"/>
      <c r="C17" s="439" t="s">
        <v>1450</v>
      </c>
      <c r="D17" s="410"/>
      <c r="E17" s="171">
        <v>366</v>
      </c>
      <c r="G17" s="233">
        <v>4</v>
      </c>
      <c r="I17" s="171">
        <v>3</v>
      </c>
      <c r="J17" s="241">
        <v>7</v>
      </c>
      <c r="K17" s="214">
        <f t="shared" si="1"/>
        <v>57.142857142857139</v>
      </c>
      <c r="L17" s="214">
        <f t="shared" si="1"/>
        <v>0</v>
      </c>
      <c r="M17" s="214">
        <f t="shared" si="1"/>
        <v>42.857142857142854</v>
      </c>
      <c r="N17" s="235">
        <f t="shared" si="2"/>
        <v>100</v>
      </c>
      <c r="O17" s="213">
        <v>40</v>
      </c>
      <c r="P17" s="214"/>
      <c r="Q17" s="214">
        <v>13.3</v>
      </c>
      <c r="R17" s="215">
        <f t="shared" si="3"/>
        <v>53.3</v>
      </c>
      <c r="S17" s="171">
        <v>2</v>
      </c>
      <c r="T17" s="285"/>
      <c r="U17" s="283"/>
      <c r="V17" s="178" t="s">
        <v>558</v>
      </c>
      <c r="W17" s="171" t="s">
        <v>74</v>
      </c>
      <c r="X17" s="171" t="s">
        <v>11</v>
      </c>
      <c r="Y17" s="179">
        <v>40</v>
      </c>
      <c r="Z17" s="171" t="s">
        <v>111</v>
      </c>
      <c r="AA17" s="171" t="s">
        <v>20</v>
      </c>
      <c r="AB17" s="171" t="s">
        <v>12</v>
      </c>
      <c r="AC17" s="171">
        <v>13.3</v>
      </c>
      <c r="AD17" s="178"/>
      <c r="AG17" s="179"/>
      <c r="AH17" s="253"/>
      <c r="AL17" s="178"/>
      <c r="AO17" s="179"/>
      <c r="AP17" s="178"/>
      <c r="AS17" s="179"/>
      <c r="AW17" s="179"/>
      <c r="BA17" s="180"/>
    </row>
    <row r="18" spans="1:53" s="171" customFormat="1" x14ac:dyDescent="0.15">
      <c r="A18" s="216">
        <v>1965</v>
      </c>
      <c r="B18" s="283"/>
      <c r="C18" s="439" t="s">
        <v>1450</v>
      </c>
      <c r="D18" s="410"/>
      <c r="E18" s="171">
        <v>0</v>
      </c>
      <c r="G18" s="233">
        <v>4</v>
      </c>
      <c r="I18" s="171">
        <v>3</v>
      </c>
      <c r="J18" s="241">
        <v>7</v>
      </c>
      <c r="K18" s="214">
        <f t="shared" si="1"/>
        <v>57.142857142857139</v>
      </c>
      <c r="L18" s="214">
        <f t="shared" si="1"/>
        <v>0</v>
      </c>
      <c r="M18" s="214">
        <f t="shared" si="1"/>
        <v>42.857142857142854</v>
      </c>
      <c r="N18" s="235">
        <f t="shared" si="2"/>
        <v>100</v>
      </c>
      <c r="O18" s="213">
        <v>40</v>
      </c>
      <c r="P18" s="214"/>
      <c r="Q18" s="214">
        <v>13.3</v>
      </c>
      <c r="R18" s="215">
        <f t="shared" si="3"/>
        <v>53.3</v>
      </c>
      <c r="S18" s="171">
        <v>2</v>
      </c>
      <c r="T18" s="285"/>
      <c r="U18" s="283"/>
      <c r="V18" s="178" t="s">
        <v>558</v>
      </c>
      <c r="W18" s="171" t="s">
        <v>74</v>
      </c>
      <c r="X18" s="171" t="s">
        <v>11</v>
      </c>
      <c r="Y18" s="179">
        <v>40</v>
      </c>
      <c r="Z18" s="171" t="s">
        <v>111</v>
      </c>
      <c r="AA18" s="171" t="s">
        <v>20</v>
      </c>
      <c r="AB18" s="171" t="s">
        <v>12</v>
      </c>
      <c r="AC18" s="171">
        <v>13.3</v>
      </c>
      <c r="AD18" s="178"/>
      <c r="AG18" s="179"/>
      <c r="AH18" s="253"/>
      <c r="AL18" s="178"/>
      <c r="AO18" s="179"/>
      <c r="AP18" s="178"/>
      <c r="AS18" s="179"/>
      <c r="AW18" s="179"/>
      <c r="BA18" s="180"/>
    </row>
    <row r="19" spans="1:53" s="171" customFormat="1" x14ac:dyDescent="0.15">
      <c r="A19" s="216">
        <v>1964.88571428572</v>
      </c>
      <c r="B19" s="283"/>
      <c r="C19" s="439" t="s">
        <v>1450</v>
      </c>
      <c r="D19" s="410"/>
      <c r="E19" s="171">
        <v>365</v>
      </c>
      <c r="G19" s="233">
        <v>4</v>
      </c>
      <c r="I19" s="171">
        <v>3</v>
      </c>
      <c r="J19" s="241">
        <v>7</v>
      </c>
      <c r="K19" s="214">
        <f t="shared" si="1"/>
        <v>57.142857142857139</v>
      </c>
      <c r="L19" s="214">
        <f t="shared" si="1"/>
        <v>0</v>
      </c>
      <c r="M19" s="214">
        <f t="shared" si="1"/>
        <v>42.857142857142854</v>
      </c>
      <c r="N19" s="235">
        <f t="shared" si="2"/>
        <v>100</v>
      </c>
      <c r="O19" s="213">
        <v>40</v>
      </c>
      <c r="P19" s="214"/>
      <c r="Q19" s="214">
        <v>13.3</v>
      </c>
      <c r="R19" s="215">
        <f t="shared" si="3"/>
        <v>53.3</v>
      </c>
      <c r="S19" s="171">
        <v>2</v>
      </c>
      <c r="T19" s="285"/>
      <c r="U19" s="283"/>
      <c r="V19" s="178" t="s">
        <v>558</v>
      </c>
      <c r="W19" s="171" t="s">
        <v>74</v>
      </c>
      <c r="X19" s="171" t="s">
        <v>11</v>
      </c>
      <c r="Y19" s="179">
        <v>40</v>
      </c>
      <c r="Z19" s="171" t="s">
        <v>111</v>
      </c>
      <c r="AA19" s="171" t="s">
        <v>20</v>
      </c>
      <c r="AB19" s="171" t="s">
        <v>12</v>
      </c>
      <c r="AC19" s="171">
        <v>13.3</v>
      </c>
      <c r="AD19" s="178"/>
      <c r="AG19" s="179"/>
      <c r="AH19" s="253"/>
      <c r="AL19" s="178"/>
      <c r="AO19" s="179"/>
      <c r="AP19" s="178"/>
      <c r="AS19" s="179"/>
      <c r="AW19" s="179"/>
      <c r="BA19" s="180"/>
    </row>
    <row r="20" spans="1:53" s="171" customFormat="1" x14ac:dyDescent="0.15">
      <c r="A20" s="216">
        <v>1966</v>
      </c>
      <c r="B20" s="283"/>
      <c r="C20" s="439" t="s">
        <v>1450</v>
      </c>
      <c r="D20" s="410"/>
      <c r="E20" s="171">
        <v>0</v>
      </c>
      <c r="G20" s="233">
        <v>4</v>
      </c>
      <c r="I20" s="171">
        <v>3</v>
      </c>
      <c r="J20" s="241">
        <v>7</v>
      </c>
      <c r="K20" s="214">
        <f t="shared" si="1"/>
        <v>57.142857142857139</v>
      </c>
      <c r="L20" s="214">
        <f t="shared" si="1"/>
        <v>0</v>
      </c>
      <c r="M20" s="214">
        <f t="shared" si="1"/>
        <v>42.857142857142854</v>
      </c>
      <c r="N20" s="235">
        <f t="shared" si="2"/>
        <v>100</v>
      </c>
      <c r="O20" s="213">
        <v>40</v>
      </c>
      <c r="P20" s="214"/>
      <c r="Q20" s="214">
        <v>13.3</v>
      </c>
      <c r="R20" s="215">
        <f t="shared" si="3"/>
        <v>53.3</v>
      </c>
      <c r="S20" s="171">
        <v>2</v>
      </c>
      <c r="T20" s="285"/>
      <c r="U20" s="283"/>
      <c r="V20" s="178" t="s">
        <v>558</v>
      </c>
      <c r="W20" s="171" t="s">
        <v>74</v>
      </c>
      <c r="X20" s="171" t="s">
        <v>11</v>
      </c>
      <c r="Y20" s="179">
        <v>40</v>
      </c>
      <c r="Z20" s="171" t="s">
        <v>111</v>
      </c>
      <c r="AA20" s="171" t="s">
        <v>20</v>
      </c>
      <c r="AB20" s="171" t="s">
        <v>12</v>
      </c>
      <c r="AC20" s="171">
        <v>13.3</v>
      </c>
      <c r="AD20" s="178"/>
      <c r="AG20" s="179"/>
      <c r="AH20" s="253"/>
      <c r="AL20" s="178"/>
      <c r="AO20" s="179"/>
      <c r="AP20" s="178"/>
      <c r="AS20" s="179"/>
      <c r="AW20" s="179"/>
      <c r="BA20" s="180"/>
    </row>
    <row r="21" spans="1:53" s="171" customFormat="1" x14ac:dyDescent="0.15">
      <c r="A21" s="216">
        <v>1965.8</v>
      </c>
      <c r="B21" s="283"/>
      <c r="C21" s="439" t="s">
        <v>1450</v>
      </c>
      <c r="D21" s="410"/>
      <c r="E21" s="171">
        <v>365</v>
      </c>
      <c r="G21" s="233">
        <v>4</v>
      </c>
      <c r="I21" s="171">
        <v>3</v>
      </c>
      <c r="J21" s="241">
        <v>7</v>
      </c>
      <c r="K21" s="214">
        <f t="shared" si="1"/>
        <v>57.142857142857139</v>
      </c>
      <c r="L21" s="214">
        <f t="shared" si="1"/>
        <v>0</v>
      </c>
      <c r="M21" s="214">
        <f t="shared" si="1"/>
        <v>42.857142857142854</v>
      </c>
      <c r="N21" s="235">
        <f t="shared" si="2"/>
        <v>100</v>
      </c>
      <c r="O21" s="213">
        <v>40</v>
      </c>
      <c r="P21" s="214"/>
      <c r="Q21" s="214">
        <v>13.3</v>
      </c>
      <c r="R21" s="215">
        <f t="shared" si="3"/>
        <v>53.3</v>
      </c>
      <c r="S21" s="171">
        <v>2</v>
      </c>
      <c r="T21" s="285"/>
      <c r="U21" s="283"/>
      <c r="V21" s="178" t="s">
        <v>558</v>
      </c>
      <c r="W21" s="171" t="s">
        <v>74</v>
      </c>
      <c r="X21" s="171" t="s">
        <v>11</v>
      </c>
      <c r="Y21" s="179">
        <v>40</v>
      </c>
      <c r="Z21" s="171" t="s">
        <v>111</v>
      </c>
      <c r="AA21" s="171" t="s">
        <v>20</v>
      </c>
      <c r="AB21" s="171" t="s">
        <v>12</v>
      </c>
      <c r="AC21" s="171">
        <v>13.3</v>
      </c>
      <c r="AD21" s="178"/>
      <c r="AG21" s="179"/>
      <c r="AH21" s="253"/>
      <c r="AL21" s="178"/>
      <c r="AO21" s="179"/>
      <c r="AP21" s="178"/>
      <c r="AS21" s="179"/>
      <c r="AW21" s="179"/>
      <c r="BA21" s="180"/>
    </row>
    <row r="22" spans="1:53" s="171" customFormat="1" x14ac:dyDescent="0.15">
      <c r="A22" s="216">
        <v>1967</v>
      </c>
      <c r="B22" s="283"/>
      <c r="C22" s="439" t="s">
        <v>1450</v>
      </c>
      <c r="D22" s="410"/>
      <c r="E22" s="171">
        <v>162</v>
      </c>
      <c r="G22" s="233">
        <v>4</v>
      </c>
      <c r="I22" s="171">
        <v>3</v>
      </c>
      <c r="J22" s="241">
        <v>7</v>
      </c>
      <c r="K22" s="214">
        <f t="shared" si="1"/>
        <v>57.142857142857139</v>
      </c>
      <c r="L22" s="214">
        <f t="shared" si="1"/>
        <v>0</v>
      </c>
      <c r="M22" s="214">
        <f t="shared" si="1"/>
        <v>42.857142857142854</v>
      </c>
      <c r="N22" s="235">
        <f t="shared" si="2"/>
        <v>100</v>
      </c>
      <c r="O22" s="213">
        <v>40</v>
      </c>
      <c r="P22" s="214"/>
      <c r="Q22" s="214">
        <v>13.3</v>
      </c>
      <c r="R22" s="215">
        <f t="shared" si="3"/>
        <v>53.3</v>
      </c>
      <c r="S22" s="171">
        <v>2</v>
      </c>
      <c r="T22" s="285"/>
      <c r="U22" s="283"/>
      <c r="V22" s="178" t="s">
        <v>558</v>
      </c>
      <c r="W22" s="171" t="s">
        <v>74</v>
      </c>
      <c r="X22" s="171" t="s">
        <v>11</v>
      </c>
      <c r="Y22" s="179">
        <v>40</v>
      </c>
      <c r="Z22" s="171" t="s">
        <v>111</v>
      </c>
      <c r="AA22" s="171" t="s">
        <v>20</v>
      </c>
      <c r="AB22" s="171" t="s">
        <v>12</v>
      </c>
      <c r="AC22" s="171">
        <v>13.3</v>
      </c>
      <c r="AD22" s="178"/>
      <c r="AG22" s="179"/>
      <c r="AH22" s="253"/>
      <c r="AL22" s="178"/>
      <c r="AO22" s="179"/>
      <c r="AP22" s="178"/>
      <c r="AS22" s="179"/>
      <c r="AW22" s="179"/>
      <c r="BA22" s="180"/>
    </row>
    <row r="23" spans="1:53" s="29" customFormat="1" x14ac:dyDescent="0.15">
      <c r="A23" s="52">
        <v>1966.7142857142901</v>
      </c>
      <c r="B23" s="295">
        <v>24635</v>
      </c>
      <c r="C23" s="411" t="s">
        <v>1451</v>
      </c>
      <c r="D23" s="411"/>
      <c r="E23" s="29">
        <f>365-E22</f>
        <v>203</v>
      </c>
      <c r="F23" s="29">
        <v>1</v>
      </c>
      <c r="G23" s="66">
        <v>4</v>
      </c>
      <c r="I23" s="29">
        <v>3</v>
      </c>
      <c r="J23" s="73">
        <v>7</v>
      </c>
      <c r="K23" s="47">
        <f t="shared" si="1"/>
        <v>57.142857142857139</v>
      </c>
      <c r="L23" s="47">
        <f t="shared" si="1"/>
        <v>0</v>
      </c>
      <c r="M23" s="47">
        <f t="shared" si="1"/>
        <v>42.857142857142854</v>
      </c>
      <c r="N23" s="68">
        <f t="shared" si="2"/>
        <v>100</v>
      </c>
      <c r="O23" s="46">
        <v>38.299999999999997</v>
      </c>
      <c r="P23" s="47"/>
      <c r="Q23" s="47">
        <v>15</v>
      </c>
      <c r="R23" s="48">
        <f t="shared" si="3"/>
        <v>53.3</v>
      </c>
      <c r="S23" s="29">
        <v>2</v>
      </c>
      <c r="T23" s="286">
        <v>24634</v>
      </c>
      <c r="U23" s="295">
        <v>24635</v>
      </c>
      <c r="V23" s="38" t="s">
        <v>558</v>
      </c>
      <c r="W23" s="29" t="s">
        <v>74</v>
      </c>
      <c r="X23" s="29" t="s">
        <v>11</v>
      </c>
      <c r="Y23" s="39">
        <v>38.299999999999997</v>
      </c>
      <c r="Z23" s="29" t="s">
        <v>111</v>
      </c>
      <c r="AA23" s="29" t="s">
        <v>20</v>
      </c>
      <c r="AB23" s="29" t="s">
        <v>12</v>
      </c>
      <c r="AC23" s="29">
        <v>15</v>
      </c>
      <c r="AD23" s="38"/>
      <c r="AG23" s="39"/>
      <c r="AH23" s="94"/>
      <c r="AL23" s="38"/>
      <c r="AO23" s="39"/>
      <c r="AP23" s="38"/>
      <c r="AS23" s="39"/>
      <c r="AW23" s="39"/>
      <c r="BA23" s="40"/>
    </row>
    <row r="24" spans="1:53" s="29" customFormat="1" x14ac:dyDescent="0.15">
      <c r="A24" s="52">
        <v>1968</v>
      </c>
      <c r="B24" s="295"/>
      <c r="C24" s="411" t="s">
        <v>1451</v>
      </c>
      <c r="D24" s="411"/>
      <c r="E24" s="29">
        <v>0</v>
      </c>
      <c r="G24" s="66">
        <v>4</v>
      </c>
      <c r="I24" s="29">
        <v>3</v>
      </c>
      <c r="J24" s="73">
        <v>7</v>
      </c>
      <c r="K24" s="47">
        <f t="shared" si="1"/>
        <v>57.142857142857139</v>
      </c>
      <c r="L24" s="47">
        <f t="shared" si="1"/>
        <v>0</v>
      </c>
      <c r="M24" s="47">
        <f t="shared" si="1"/>
        <v>42.857142857142854</v>
      </c>
      <c r="N24" s="68">
        <f t="shared" si="2"/>
        <v>100</v>
      </c>
      <c r="O24" s="46">
        <v>38.299999999999997</v>
      </c>
      <c r="P24" s="47"/>
      <c r="Q24" s="47">
        <v>15</v>
      </c>
      <c r="R24" s="48">
        <f t="shared" si="3"/>
        <v>53.3</v>
      </c>
      <c r="S24" s="29">
        <v>2</v>
      </c>
      <c r="T24" s="286"/>
      <c r="U24" s="295"/>
      <c r="V24" s="38" t="s">
        <v>558</v>
      </c>
      <c r="W24" s="29" t="s">
        <v>74</v>
      </c>
      <c r="X24" s="29" t="s">
        <v>11</v>
      </c>
      <c r="Y24" s="39">
        <v>38.299999999999997</v>
      </c>
      <c r="Z24" s="29" t="s">
        <v>111</v>
      </c>
      <c r="AA24" s="29" t="s">
        <v>20</v>
      </c>
      <c r="AB24" s="29" t="s">
        <v>12</v>
      </c>
      <c r="AC24" s="29">
        <v>15</v>
      </c>
      <c r="AD24" s="38"/>
      <c r="AG24" s="39"/>
      <c r="AH24" s="94"/>
      <c r="AL24" s="38"/>
      <c r="AO24" s="39"/>
      <c r="AP24" s="38"/>
      <c r="AS24" s="39"/>
      <c r="AW24" s="39"/>
      <c r="BA24" s="40"/>
    </row>
    <row r="25" spans="1:53" s="29" customFormat="1" x14ac:dyDescent="0.15">
      <c r="A25" s="52">
        <v>1967.62857142857</v>
      </c>
      <c r="B25" s="295"/>
      <c r="C25" s="411" t="s">
        <v>1451</v>
      </c>
      <c r="D25" s="411"/>
      <c r="E25" s="29">
        <v>366</v>
      </c>
      <c r="G25" s="66">
        <v>4</v>
      </c>
      <c r="I25" s="29">
        <v>3</v>
      </c>
      <c r="J25" s="73">
        <v>7</v>
      </c>
      <c r="K25" s="47">
        <f t="shared" si="1"/>
        <v>57.142857142857139</v>
      </c>
      <c r="L25" s="47">
        <f t="shared" si="1"/>
        <v>0</v>
      </c>
      <c r="M25" s="47">
        <f t="shared" si="1"/>
        <v>42.857142857142854</v>
      </c>
      <c r="N25" s="68">
        <f t="shared" si="2"/>
        <v>100</v>
      </c>
      <c r="O25" s="46">
        <v>38.299999999999997</v>
      </c>
      <c r="P25" s="47"/>
      <c r="Q25" s="47">
        <v>15</v>
      </c>
      <c r="R25" s="48">
        <f t="shared" si="3"/>
        <v>53.3</v>
      </c>
      <c r="S25" s="29">
        <v>2</v>
      </c>
      <c r="T25" s="286"/>
      <c r="U25" s="295"/>
      <c r="V25" s="38" t="s">
        <v>558</v>
      </c>
      <c r="W25" s="29" t="s">
        <v>74</v>
      </c>
      <c r="X25" s="29" t="s">
        <v>11</v>
      </c>
      <c r="Y25" s="39">
        <v>38.299999999999997</v>
      </c>
      <c r="Z25" s="29" t="s">
        <v>111</v>
      </c>
      <c r="AA25" s="29" t="s">
        <v>20</v>
      </c>
      <c r="AB25" s="29" t="s">
        <v>12</v>
      </c>
      <c r="AC25" s="29">
        <v>15</v>
      </c>
      <c r="AD25" s="38"/>
      <c r="AG25" s="39"/>
      <c r="AH25" s="94"/>
      <c r="AL25" s="38"/>
      <c r="AO25" s="39"/>
      <c r="AP25" s="38"/>
      <c r="AS25" s="39"/>
      <c r="AW25" s="39"/>
      <c r="BA25" s="40"/>
    </row>
    <row r="26" spans="1:53" s="29" customFormat="1" x14ac:dyDescent="0.15">
      <c r="A26" s="52">
        <v>1969</v>
      </c>
      <c r="B26" s="295"/>
      <c r="C26" s="411" t="s">
        <v>1451</v>
      </c>
      <c r="D26" s="411"/>
      <c r="E26" s="29">
        <v>0</v>
      </c>
      <c r="G26" s="66">
        <v>4</v>
      </c>
      <c r="I26" s="29">
        <v>3</v>
      </c>
      <c r="J26" s="73">
        <v>7</v>
      </c>
      <c r="K26" s="47">
        <f t="shared" si="1"/>
        <v>57.142857142857139</v>
      </c>
      <c r="L26" s="47">
        <f t="shared" si="1"/>
        <v>0</v>
      </c>
      <c r="M26" s="47">
        <f t="shared" si="1"/>
        <v>42.857142857142854</v>
      </c>
      <c r="N26" s="68">
        <f t="shared" si="2"/>
        <v>100</v>
      </c>
      <c r="O26" s="46">
        <v>38.299999999999997</v>
      </c>
      <c r="P26" s="47"/>
      <c r="Q26" s="47">
        <v>15</v>
      </c>
      <c r="R26" s="48">
        <f t="shared" si="3"/>
        <v>53.3</v>
      </c>
      <c r="S26" s="29">
        <v>2</v>
      </c>
      <c r="T26" s="286"/>
      <c r="U26" s="295"/>
      <c r="V26" s="38" t="s">
        <v>558</v>
      </c>
      <c r="W26" s="29" t="s">
        <v>74</v>
      </c>
      <c r="X26" s="29" t="s">
        <v>11</v>
      </c>
      <c r="Y26" s="39">
        <v>38.299999999999997</v>
      </c>
      <c r="Z26" s="29" t="s">
        <v>111</v>
      </c>
      <c r="AA26" s="29" t="s">
        <v>20</v>
      </c>
      <c r="AB26" s="29" t="s">
        <v>12</v>
      </c>
      <c r="AC26" s="29">
        <v>15</v>
      </c>
      <c r="AD26" s="38"/>
      <c r="AG26" s="39"/>
      <c r="AH26" s="94"/>
      <c r="AL26" s="38"/>
      <c r="AO26" s="39"/>
      <c r="AP26" s="38"/>
      <c r="AS26" s="39"/>
      <c r="AW26" s="39"/>
      <c r="BA26" s="40"/>
    </row>
    <row r="27" spans="1:53" s="29" customFormat="1" x14ac:dyDescent="0.15">
      <c r="A27" s="52">
        <v>1968.5428571428599</v>
      </c>
      <c r="B27" s="295"/>
      <c r="C27" s="411" t="s">
        <v>1451</v>
      </c>
      <c r="D27" s="411"/>
      <c r="E27" s="29">
        <v>365</v>
      </c>
      <c r="G27" s="66">
        <v>4</v>
      </c>
      <c r="I27" s="29">
        <v>3</v>
      </c>
      <c r="J27" s="73">
        <v>7</v>
      </c>
      <c r="K27" s="47">
        <f t="shared" si="1"/>
        <v>57.142857142857139</v>
      </c>
      <c r="L27" s="47">
        <f t="shared" si="1"/>
        <v>0</v>
      </c>
      <c r="M27" s="47">
        <f t="shared" si="1"/>
        <v>42.857142857142854</v>
      </c>
      <c r="N27" s="68">
        <f t="shared" si="2"/>
        <v>100</v>
      </c>
      <c r="O27" s="46">
        <v>38.299999999999997</v>
      </c>
      <c r="P27" s="47"/>
      <c r="Q27" s="47">
        <v>15</v>
      </c>
      <c r="R27" s="48">
        <f t="shared" si="3"/>
        <v>53.3</v>
      </c>
      <c r="S27" s="29">
        <v>2</v>
      </c>
      <c r="T27" s="286"/>
      <c r="U27" s="295"/>
      <c r="V27" s="38" t="s">
        <v>558</v>
      </c>
      <c r="W27" s="29" t="s">
        <v>74</v>
      </c>
      <c r="X27" s="29" t="s">
        <v>11</v>
      </c>
      <c r="Y27" s="39">
        <v>38.299999999999997</v>
      </c>
      <c r="Z27" s="29" t="s">
        <v>111</v>
      </c>
      <c r="AA27" s="29" t="s">
        <v>20</v>
      </c>
      <c r="AB27" s="29" t="s">
        <v>12</v>
      </c>
      <c r="AC27" s="29">
        <v>15</v>
      </c>
      <c r="AD27" s="38"/>
      <c r="AG27" s="39"/>
      <c r="AH27" s="94"/>
      <c r="AL27" s="38"/>
      <c r="AO27" s="39"/>
      <c r="AP27" s="38"/>
      <c r="AS27" s="39"/>
      <c r="AW27" s="39"/>
      <c r="BA27" s="40"/>
    </row>
    <row r="28" spans="1:53" s="29" customFormat="1" x14ac:dyDescent="0.15">
      <c r="A28" s="52">
        <v>1970</v>
      </c>
      <c r="B28" s="295"/>
      <c r="C28" s="411" t="s">
        <v>1451</v>
      </c>
      <c r="D28" s="411"/>
      <c r="E28" s="29">
        <v>282</v>
      </c>
      <c r="G28" s="66">
        <v>4</v>
      </c>
      <c r="I28" s="29">
        <v>3</v>
      </c>
      <c r="J28" s="73">
        <v>7</v>
      </c>
      <c r="K28" s="47">
        <f t="shared" si="1"/>
        <v>57.142857142857139</v>
      </c>
      <c r="L28" s="47">
        <f t="shared" si="1"/>
        <v>0</v>
      </c>
      <c r="M28" s="47">
        <f t="shared" si="1"/>
        <v>42.857142857142854</v>
      </c>
      <c r="N28" s="68">
        <f t="shared" si="2"/>
        <v>100</v>
      </c>
      <c r="O28" s="46">
        <v>38.299999999999997</v>
      </c>
      <c r="P28" s="47"/>
      <c r="Q28" s="47">
        <v>15</v>
      </c>
      <c r="R28" s="48">
        <f t="shared" si="3"/>
        <v>53.3</v>
      </c>
      <c r="S28" s="29">
        <v>2</v>
      </c>
      <c r="T28" s="286"/>
      <c r="U28" s="295"/>
      <c r="V28" s="38" t="s">
        <v>558</v>
      </c>
      <c r="W28" s="29" t="s">
        <v>74</v>
      </c>
      <c r="X28" s="29" t="s">
        <v>11</v>
      </c>
      <c r="Y28" s="39">
        <v>38.299999999999997</v>
      </c>
      <c r="Z28" s="29" t="s">
        <v>111</v>
      </c>
      <c r="AA28" s="29" t="s">
        <v>20</v>
      </c>
      <c r="AB28" s="29" t="s">
        <v>12</v>
      </c>
      <c r="AC28" s="29">
        <v>15</v>
      </c>
      <c r="AD28" s="38"/>
      <c r="AG28" s="39"/>
      <c r="AH28" s="94"/>
      <c r="AL28" s="38"/>
      <c r="AO28" s="39"/>
      <c r="AP28" s="38"/>
      <c r="AS28" s="39"/>
      <c r="AW28" s="39"/>
      <c r="BA28" s="40"/>
    </row>
    <row r="29" spans="1:53" s="171" customFormat="1" x14ac:dyDescent="0.15">
      <c r="A29" s="216">
        <v>1970</v>
      </c>
      <c r="B29" s="283">
        <v>25851</v>
      </c>
      <c r="C29" s="410" t="s">
        <v>276</v>
      </c>
      <c r="D29" s="410"/>
      <c r="E29" s="171">
        <f>365-E28</f>
        <v>83</v>
      </c>
      <c r="F29" s="171">
        <v>3</v>
      </c>
      <c r="G29" s="233">
        <v>4</v>
      </c>
      <c r="I29" s="171">
        <v>3</v>
      </c>
      <c r="J29" s="241">
        <v>7</v>
      </c>
      <c r="K29" s="214">
        <f t="shared" si="1"/>
        <v>57.142857142857139</v>
      </c>
      <c r="L29" s="214">
        <f t="shared" si="1"/>
        <v>0</v>
      </c>
      <c r="M29" s="214">
        <f t="shared" si="1"/>
        <v>42.857142857142854</v>
      </c>
      <c r="N29" s="235">
        <f t="shared" si="2"/>
        <v>100</v>
      </c>
      <c r="O29" s="213">
        <v>38.299999999999997</v>
      </c>
      <c r="P29" s="214"/>
      <c r="Q29" s="214">
        <v>15</v>
      </c>
      <c r="R29" s="215">
        <f t="shared" si="3"/>
        <v>53.3</v>
      </c>
      <c r="S29" s="171">
        <v>2</v>
      </c>
      <c r="T29" s="285"/>
      <c r="U29" s="283">
        <v>25851</v>
      </c>
      <c r="V29" s="178" t="s">
        <v>558</v>
      </c>
      <c r="W29" s="171" t="s">
        <v>74</v>
      </c>
      <c r="X29" s="171" t="s">
        <v>11</v>
      </c>
      <c r="Y29" s="179">
        <v>38.299999999999997</v>
      </c>
      <c r="Z29" s="171" t="s">
        <v>111</v>
      </c>
      <c r="AA29" s="171" t="s">
        <v>20</v>
      </c>
      <c r="AB29" s="171" t="s">
        <v>12</v>
      </c>
      <c r="AC29" s="171">
        <v>15</v>
      </c>
      <c r="AD29" s="178"/>
      <c r="AG29" s="179"/>
      <c r="AH29" s="253"/>
      <c r="AL29" s="178"/>
      <c r="AO29" s="179"/>
      <c r="AP29" s="178"/>
      <c r="AS29" s="179"/>
      <c r="AW29" s="179"/>
      <c r="BA29" s="180"/>
    </row>
    <row r="30" spans="1:53" s="171" customFormat="1" x14ac:dyDescent="0.15">
      <c r="A30" s="216">
        <v>1971</v>
      </c>
      <c r="B30" s="283"/>
      <c r="C30" s="410" t="s">
        <v>276</v>
      </c>
      <c r="D30" s="410"/>
      <c r="E30" s="171">
        <v>164</v>
      </c>
      <c r="G30" s="233">
        <v>4</v>
      </c>
      <c r="I30" s="171">
        <v>3</v>
      </c>
      <c r="J30" s="241">
        <v>7</v>
      </c>
      <c r="K30" s="214">
        <f t="shared" si="1"/>
        <v>57.142857142857139</v>
      </c>
      <c r="L30" s="214">
        <f t="shared" si="1"/>
        <v>0</v>
      </c>
      <c r="M30" s="214">
        <f t="shared" si="1"/>
        <v>42.857142857142854</v>
      </c>
      <c r="N30" s="235">
        <f t="shared" si="2"/>
        <v>100</v>
      </c>
      <c r="O30" s="213">
        <v>38.299999999999997</v>
      </c>
      <c r="P30" s="214"/>
      <c r="Q30" s="214">
        <v>15</v>
      </c>
      <c r="R30" s="215">
        <f t="shared" si="3"/>
        <v>53.3</v>
      </c>
      <c r="S30" s="171">
        <v>2</v>
      </c>
      <c r="T30" s="285"/>
      <c r="U30" s="283"/>
      <c r="V30" s="178" t="s">
        <v>558</v>
      </c>
      <c r="W30" s="171" t="s">
        <v>74</v>
      </c>
      <c r="X30" s="171" t="s">
        <v>11</v>
      </c>
      <c r="Y30" s="179">
        <v>38.299999999999997</v>
      </c>
      <c r="Z30" s="171" t="s">
        <v>111</v>
      </c>
      <c r="AA30" s="171" t="s">
        <v>20</v>
      </c>
      <c r="AB30" s="171" t="s">
        <v>12</v>
      </c>
      <c r="AC30" s="171">
        <v>15</v>
      </c>
      <c r="AD30" s="178"/>
      <c r="AG30" s="179"/>
      <c r="AH30" s="253"/>
      <c r="AL30" s="178"/>
      <c r="AO30" s="179"/>
      <c r="AP30" s="178"/>
      <c r="AS30" s="179"/>
      <c r="AW30" s="179"/>
      <c r="BA30" s="180"/>
    </row>
    <row r="31" spans="1:53" s="29" customFormat="1" x14ac:dyDescent="0.15">
      <c r="A31" s="52">
        <v>1971</v>
      </c>
      <c r="B31" s="295">
        <v>26098</v>
      </c>
      <c r="C31" s="411" t="s">
        <v>1165</v>
      </c>
      <c r="D31" s="411"/>
      <c r="E31" s="29">
        <f>365-E30</f>
        <v>201</v>
      </c>
      <c r="F31" s="29">
        <v>1</v>
      </c>
      <c r="G31" s="66"/>
      <c r="H31" s="29">
        <v>5</v>
      </c>
      <c r="I31" s="29">
        <v>2</v>
      </c>
      <c r="J31" s="73">
        <v>7</v>
      </c>
      <c r="K31" s="47">
        <f t="shared" si="1"/>
        <v>0</v>
      </c>
      <c r="L31" s="47">
        <f t="shared" si="1"/>
        <v>71.428571428571431</v>
      </c>
      <c r="M31" s="47">
        <f t="shared" si="1"/>
        <v>28.571428571428569</v>
      </c>
      <c r="N31" s="68">
        <f t="shared" si="2"/>
        <v>100</v>
      </c>
      <c r="O31" s="46"/>
      <c r="P31" s="47">
        <v>36.6</v>
      </c>
      <c r="Q31" s="47">
        <v>16.7</v>
      </c>
      <c r="R31" s="48">
        <f t="shared" si="3"/>
        <v>53.3</v>
      </c>
      <c r="S31" s="29">
        <v>2</v>
      </c>
      <c r="T31" s="286">
        <v>26097</v>
      </c>
      <c r="U31" s="295">
        <v>26098</v>
      </c>
      <c r="V31" s="38" t="s">
        <v>476</v>
      </c>
      <c r="W31" s="29" t="s">
        <v>869</v>
      </c>
      <c r="X31" s="29" t="s">
        <v>18</v>
      </c>
      <c r="Y31" s="39">
        <v>28.3</v>
      </c>
      <c r="Z31" s="29" t="s">
        <v>559</v>
      </c>
      <c r="AA31" s="29" t="s">
        <v>113</v>
      </c>
      <c r="AB31" s="29" t="s">
        <v>12</v>
      </c>
      <c r="AC31" s="29">
        <v>16.7</v>
      </c>
      <c r="AD31" s="38" t="s">
        <v>562</v>
      </c>
      <c r="AE31" s="29" t="s">
        <v>22</v>
      </c>
      <c r="AF31" s="29" t="s">
        <v>18</v>
      </c>
      <c r="AG31" s="39">
        <v>8.3000000000000007</v>
      </c>
      <c r="AH31" s="94"/>
      <c r="AL31" s="38"/>
      <c r="AO31" s="39"/>
      <c r="AP31" s="38"/>
      <c r="AS31" s="39"/>
      <c r="AW31" s="39"/>
      <c r="BA31" s="40"/>
    </row>
    <row r="32" spans="1:53" s="29" customFormat="1" x14ac:dyDescent="0.15">
      <c r="A32" s="52">
        <v>1972</v>
      </c>
      <c r="B32" s="295"/>
      <c r="C32" s="411" t="s">
        <v>1165</v>
      </c>
      <c r="D32" s="411"/>
      <c r="E32" s="29">
        <v>0</v>
      </c>
      <c r="G32" s="66"/>
      <c r="H32" s="29">
        <v>5</v>
      </c>
      <c r="I32" s="29">
        <v>2</v>
      </c>
      <c r="J32" s="73">
        <v>7</v>
      </c>
      <c r="K32" s="47">
        <f t="shared" si="1"/>
        <v>0</v>
      </c>
      <c r="L32" s="47">
        <f t="shared" si="1"/>
        <v>71.428571428571431</v>
      </c>
      <c r="M32" s="47">
        <f t="shared" si="1"/>
        <v>28.571428571428569</v>
      </c>
      <c r="N32" s="68">
        <f t="shared" si="2"/>
        <v>100</v>
      </c>
      <c r="O32" s="46"/>
      <c r="P32" s="47">
        <v>36.6</v>
      </c>
      <c r="Q32" s="47">
        <v>16.7</v>
      </c>
      <c r="R32" s="48">
        <f t="shared" si="3"/>
        <v>53.3</v>
      </c>
      <c r="S32" s="29">
        <v>2</v>
      </c>
      <c r="T32" s="286"/>
      <c r="U32" s="295"/>
      <c r="V32" s="38" t="s">
        <v>476</v>
      </c>
      <c r="W32" s="29" t="s">
        <v>869</v>
      </c>
      <c r="X32" s="29" t="s">
        <v>18</v>
      </c>
      <c r="Y32" s="39">
        <v>28.3</v>
      </c>
      <c r="Z32" s="29" t="s">
        <v>559</v>
      </c>
      <c r="AA32" s="29" t="s">
        <v>113</v>
      </c>
      <c r="AB32" s="29" t="s">
        <v>12</v>
      </c>
      <c r="AC32" s="29">
        <v>16.7</v>
      </c>
      <c r="AD32" s="38" t="s">
        <v>562</v>
      </c>
      <c r="AE32" s="29" t="s">
        <v>22</v>
      </c>
      <c r="AF32" s="29" t="s">
        <v>18</v>
      </c>
      <c r="AG32" s="39">
        <v>8.3000000000000007</v>
      </c>
      <c r="AH32" s="94"/>
      <c r="AL32" s="38"/>
      <c r="AO32" s="39"/>
      <c r="AP32" s="38"/>
      <c r="AS32" s="39"/>
      <c r="AW32" s="39"/>
      <c r="BA32" s="40"/>
    </row>
    <row r="33" spans="1:53" s="29" customFormat="1" x14ac:dyDescent="0.15">
      <c r="A33" s="52">
        <v>1972</v>
      </c>
      <c r="B33" s="295"/>
      <c r="C33" s="411" t="s">
        <v>1165</v>
      </c>
      <c r="D33" s="411"/>
      <c r="E33" s="29">
        <v>366</v>
      </c>
      <c r="G33" s="66"/>
      <c r="H33" s="29">
        <v>5</v>
      </c>
      <c r="I33" s="29">
        <v>2</v>
      </c>
      <c r="J33" s="73">
        <v>7</v>
      </c>
      <c r="K33" s="47">
        <f t="shared" si="1"/>
        <v>0</v>
      </c>
      <c r="L33" s="47">
        <f t="shared" si="1"/>
        <v>71.428571428571431</v>
      </c>
      <c r="M33" s="47">
        <f t="shared" si="1"/>
        <v>28.571428571428569</v>
      </c>
      <c r="N33" s="68">
        <f t="shared" si="2"/>
        <v>100</v>
      </c>
      <c r="O33" s="46"/>
      <c r="P33" s="47">
        <v>36.6</v>
      </c>
      <c r="Q33" s="47">
        <v>16.7</v>
      </c>
      <c r="R33" s="48">
        <f t="shared" si="3"/>
        <v>53.3</v>
      </c>
      <c r="S33" s="29">
        <v>2</v>
      </c>
      <c r="T33" s="286"/>
      <c r="U33" s="295"/>
      <c r="V33" s="38" t="s">
        <v>476</v>
      </c>
      <c r="W33" s="29" t="s">
        <v>869</v>
      </c>
      <c r="X33" s="29" t="s">
        <v>18</v>
      </c>
      <c r="Y33" s="39">
        <v>28.3</v>
      </c>
      <c r="Z33" s="29" t="s">
        <v>559</v>
      </c>
      <c r="AA33" s="29" t="s">
        <v>113</v>
      </c>
      <c r="AB33" s="29" t="s">
        <v>12</v>
      </c>
      <c r="AC33" s="29">
        <v>16.7</v>
      </c>
      <c r="AD33" s="38" t="s">
        <v>562</v>
      </c>
      <c r="AE33" s="29" t="s">
        <v>22</v>
      </c>
      <c r="AF33" s="29" t="s">
        <v>18</v>
      </c>
      <c r="AG33" s="39">
        <v>8.3000000000000007</v>
      </c>
      <c r="AH33" s="94"/>
      <c r="AL33" s="38"/>
      <c r="AO33" s="39"/>
      <c r="AP33" s="38"/>
      <c r="AS33" s="39"/>
      <c r="AW33" s="39"/>
      <c r="BA33" s="40"/>
    </row>
    <row r="34" spans="1:53" s="29" customFormat="1" x14ac:dyDescent="0.15">
      <c r="A34" s="52">
        <v>1973</v>
      </c>
      <c r="B34" s="295"/>
      <c r="C34" s="411" t="s">
        <v>1165</v>
      </c>
      <c r="D34" s="411"/>
      <c r="E34" s="29">
        <v>0</v>
      </c>
      <c r="G34" s="66"/>
      <c r="H34" s="29">
        <v>5</v>
      </c>
      <c r="I34" s="29">
        <v>2</v>
      </c>
      <c r="J34" s="73">
        <v>7</v>
      </c>
      <c r="K34" s="47">
        <f t="shared" si="1"/>
        <v>0</v>
      </c>
      <c r="L34" s="47">
        <f t="shared" si="1"/>
        <v>71.428571428571431</v>
      </c>
      <c r="M34" s="47">
        <f t="shared" si="1"/>
        <v>28.571428571428569</v>
      </c>
      <c r="N34" s="68">
        <f t="shared" si="2"/>
        <v>100</v>
      </c>
      <c r="O34" s="46"/>
      <c r="P34" s="47">
        <v>36.6</v>
      </c>
      <c r="Q34" s="47">
        <v>16.7</v>
      </c>
      <c r="R34" s="48">
        <f t="shared" si="3"/>
        <v>53.3</v>
      </c>
      <c r="S34" s="29">
        <v>2</v>
      </c>
      <c r="T34" s="286"/>
      <c r="U34" s="295"/>
      <c r="V34" s="38" t="s">
        <v>476</v>
      </c>
      <c r="W34" s="29" t="s">
        <v>869</v>
      </c>
      <c r="X34" s="29" t="s">
        <v>18</v>
      </c>
      <c r="Y34" s="39">
        <v>28.3</v>
      </c>
      <c r="Z34" s="29" t="s">
        <v>559</v>
      </c>
      <c r="AA34" s="29" t="s">
        <v>113</v>
      </c>
      <c r="AB34" s="29" t="s">
        <v>12</v>
      </c>
      <c r="AC34" s="29">
        <v>16.7</v>
      </c>
      <c r="AD34" s="38" t="s">
        <v>562</v>
      </c>
      <c r="AE34" s="29" t="s">
        <v>22</v>
      </c>
      <c r="AF34" s="29" t="s">
        <v>18</v>
      </c>
      <c r="AG34" s="39">
        <v>8.3000000000000007</v>
      </c>
      <c r="AH34" s="94"/>
      <c r="AL34" s="38"/>
      <c r="AO34" s="39"/>
      <c r="AP34" s="38"/>
      <c r="AS34" s="39"/>
      <c r="AW34" s="39"/>
      <c r="BA34" s="40"/>
    </row>
    <row r="35" spans="1:53" s="29" customFormat="1" x14ac:dyDescent="0.15">
      <c r="A35" s="52">
        <v>1973</v>
      </c>
      <c r="B35" s="295"/>
      <c r="C35" s="411" t="s">
        <v>1165</v>
      </c>
      <c r="D35" s="411"/>
      <c r="E35" s="29">
        <v>365</v>
      </c>
      <c r="G35" s="66"/>
      <c r="H35" s="29">
        <v>5</v>
      </c>
      <c r="I35" s="29">
        <v>2</v>
      </c>
      <c r="J35" s="73">
        <v>7</v>
      </c>
      <c r="K35" s="47">
        <f t="shared" si="1"/>
        <v>0</v>
      </c>
      <c r="L35" s="47">
        <f t="shared" si="1"/>
        <v>71.428571428571431</v>
      </c>
      <c r="M35" s="47">
        <f t="shared" si="1"/>
        <v>28.571428571428569</v>
      </c>
      <c r="N35" s="68">
        <f t="shared" si="2"/>
        <v>100</v>
      </c>
      <c r="O35" s="46"/>
      <c r="P35" s="47">
        <v>36.6</v>
      </c>
      <c r="Q35" s="47">
        <v>16.7</v>
      </c>
      <c r="R35" s="48">
        <f t="shared" si="3"/>
        <v>53.3</v>
      </c>
      <c r="S35" s="29">
        <v>2</v>
      </c>
      <c r="T35" s="286"/>
      <c r="U35" s="295"/>
      <c r="V35" s="38" t="s">
        <v>476</v>
      </c>
      <c r="W35" s="29" t="s">
        <v>869</v>
      </c>
      <c r="X35" s="29" t="s">
        <v>18</v>
      </c>
      <c r="Y35" s="39">
        <v>28.3</v>
      </c>
      <c r="Z35" s="29" t="s">
        <v>559</v>
      </c>
      <c r="AA35" s="29" t="s">
        <v>113</v>
      </c>
      <c r="AB35" s="29" t="s">
        <v>12</v>
      </c>
      <c r="AC35" s="29">
        <v>16.7</v>
      </c>
      <c r="AD35" s="38" t="s">
        <v>562</v>
      </c>
      <c r="AE35" s="29" t="s">
        <v>22</v>
      </c>
      <c r="AF35" s="29" t="s">
        <v>18</v>
      </c>
      <c r="AG35" s="39">
        <v>8.3000000000000007</v>
      </c>
      <c r="AH35" s="94"/>
      <c r="AL35" s="38"/>
      <c r="AO35" s="39"/>
      <c r="AP35" s="38"/>
      <c r="AS35" s="39"/>
      <c r="AW35" s="39"/>
      <c r="BA35" s="40"/>
    </row>
    <row r="36" spans="1:53" s="29" customFormat="1" x14ac:dyDescent="0.15">
      <c r="A36" s="52">
        <v>1974</v>
      </c>
      <c r="B36" s="295"/>
      <c r="C36" s="411" t="s">
        <v>1165</v>
      </c>
      <c r="D36" s="411"/>
      <c r="E36" s="29">
        <v>240</v>
      </c>
      <c r="G36" s="66"/>
      <c r="H36" s="29">
        <v>5</v>
      </c>
      <c r="I36" s="29">
        <v>2</v>
      </c>
      <c r="J36" s="73">
        <v>7</v>
      </c>
      <c r="K36" s="47">
        <f t="shared" si="1"/>
        <v>0</v>
      </c>
      <c r="L36" s="47">
        <f t="shared" si="1"/>
        <v>71.428571428571431</v>
      </c>
      <c r="M36" s="47">
        <f t="shared" si="1"/>
        <v>28.571428571428569</v>
      </c>
      <c r="N36" s="68">
        <f t="shared" si="2"/>
        <v>100</v>
      </c>
      <c r="O36" s="46"/>
      <c r="P36" s="47">
        <v>36.6</v>
      </c>
      <c r="Q36" s="47">
        <v>16.7</v>
      </c>
      <c r="R36" s="48">
        <f t="shared" si="3"/>
        <v>53.3</v>
      </c>
      <c r="S36" s="29">
        <v>2</v>
      </c>
      <c r="T36" s="286"/>
      <c r="U36" s="295"/>
      <c r="V36" s="38" t="s">
        <v>476</v>
      </c>
      <c r="W36" s="29" t="s">
        <v>869</v>
      </c>
      <c r="X36" s="29" t="s">
        <v>18</v>
      </c>
      <c r="Y36" s="39">
        <v>28.3</v>
      </c>
      <c r="Z36" s="29" t="s">
        <v>559</v>
      </c>
      <c r="AA36" s="29" t="s">
        <v>113</v>
      </c>
      <c r="AB36" s="29" t="s">
        <v>12</v>
      </c>
      <c r="AC36" s="29">
        <v>16.7</v>
      </c>
      <c r="AD36" s="38" t="s">
        <v>562</v>
      </c>
      <c r="AE36" s="29" t="s">
        <v>22</v>
      </c>
      <c r="AF36" s="29" t="s">
        <v>18</v>
      </c>
      <c r="AG36" s="39">
        <v>8.3000000000000007</v>
      </c>
      <c r="AH36" s="94"/>
      <c r="AL36" s="38"/>
      <c r="AO36" s="39"/>
      <c r="AP36" s="38"/>
      <c r="AS36" s="39"/>
      <c r="AW36" s="39"/>
      <c r="BA36" s="40"/>
    </row>
    <row r="37" spans="1:53" s="171" customFormat="1" x14ac:dyDescent="0.15">
      <c r="A37" s="216">
        <v>1974</v>
      </c>
      <c r="B37" s="283">
        <v>27270</v>
      </c>
      <c r="C37" s="410" t="s">
        <v>1166</v>
      </c>
      <c r="D37" s="410"/>
      <c r="E37" s="171">
        <f>365-E36</f>
        <v>125</v>
      </c>
      <c r="F37" s="171">
        <v>4</v>
      </c>
      <c r="G37" s="233">
        <v>4</v>
      </c>
      <c r="H37" s="171">
        <v>4</v>
      </c>
      <c r="J37" s="241">
        <v>8</v>
      </c>
      <c r="K37" s="214">
        <f t="shared" si="1"/>
        <v>50</v>
      </c>
      <c r="L37" s="214">
        <f t="shared" si="1"/>
        <v>50</v>
      </c>
      <c r="M37" s="214">
        <f t="shared" si="1"/>
        <v>0</v>
      </c>
      <c r="N37" s="235">
        <f t="shared" si="2"/>
        <v>100</v>
      </c>
      <c r="O37" s="213">
        <v>41.7</v>
      </c>
      <c r="P37" s="214">
        <v>28.3</v>
      </c>
      <c r="Q37" s="214"/>
      <c r="R37" s="215">
        <f t="shared" si="3"/>
        <v>70</v>
      </c>
      <c r="S37" s="171">
        <v>2</v>
      </c>
      <c r="T37" s="285">
        <v>27210</v>
      </c>
      <c r="U37" s="283">
        <v>27270</v>
      </c>
      <c r="V37" s="178" t="s">
        <v>558</v>
      </c>
      <c r="W37" s="171" t="s">
        <v>74</v>
      </c>
      <c r="X37" s="171" t="s">
        <v>11</v>
      </c>
      <c r="Y37" s="179">
        <v>41.7</v>
      </c>
      <c r="Z37" s="178" t="s">
        <v>476</v>
      </c>
      <c r="AA37" s="171" t="s">
        <v>869</v>
      </c>
      <c r="AB37" s="171" t="s">
        <v>18</v>
      </c>
      <c r="AC37" s="171">
        <v>28.3</v>
      </c>
      <c r="AD37" s="178"/>
      <c r="AG37" s="179"/>
      <c r="AH37" s="253"/>
      <c r="AL37" s="178"/>
      <c r="AO37" s="179"/>
      <c r="AP37" s="178"/>
      <c r="AS37" s="179"/>
      <c r="AW37" s="179"/>
      <c r="BA37" s="180"/>
    </row>
    <row r="38" spans="1:53" s="171" customFormat="1" x14ac:dyDescent="0.15">
      <c r="A38" s="216">
        <v>1975</v>
      </c>
      <c r="B38" s="283"/>
      <c r="C38" s="410" t="s">
        <v>1166</v>
      </c>
      <c r="D38" s="410"/>
      <c r="E38" s="171">
        <v>0</v>
      </c>
      <c r="G38" s="233">
        <v>4</v>
      </c>
      <c r="H38" s="171">
        <v>4</v>
      </c>
      <c r="J38" s="241">
        <v>8</v>
      </c>
      <c r="K38" s="214">
        <f t="shared" si="1"/>
        <v>50</v>
      </c>
      <c r="L38" s="214">
        <f t="shared" si="1"/>
        <v>50</v>
      </c>
      <c r="M38" s="214">
        <f t="shared" si="1"/>
        <v>0</v>
      </c>
      <c r="N38" s="235">
        <f t="shared" si="2"/>
        <v>100</v>
      </c>
      <c r="O38" s="213">
        <v>41.7</v>
      </c>
      <c r="P38" s="214">
        <v>28.3</v>
      </c>
      <c r="Q38" s="214"/>
      <c r="R38" s="215">
        <f t="shared" si="3"/>
        <v>70</v>
      </c>
      <c r="S38" s="171">
        <v>2</v>
      </c>
      <c r="T38" s="285"/>
      <c r="U38" s="283"/>
      <c r="V38" s="178" t="s">
        <v>558</v>
      </c>
      <c r="W38" s="171" t="s">
        <v>74</v>
      </c>
      <c r="X38" s="171" t="s">
        <v>11</v>
      </c>
      <c r="Y38" s="179">
        <v>41.7</v>
      </c>
      <c r="Z38" s="178" t="s">
        <v>476</v>
      </c>
      <c r="AA38" s="171" t="s">
        <v>869</v>
      </c>
      <c r="AB38" s="171" t="s">
        <v>18</v>
      </c>
      <c r="AC38" s="171">
        <v>28.3</v>
      </c>
      <c r="AD38" s="178"/>
      <c r="AG38" s="179"/>
      <c r="AH38" s="253"/>
      <c r="AL38" s="178"/>
      <c r="AO38" s="179"/>
      <c r="AP38" s="178"/>
      <c r="AS38" s="179"/>
      <c r="AW38" s="179"/>
      <c r="BA38" s="180"/>
    </row>
    <row r="39" spans="1:53" s="171" customFormat="1" x14ac:dyDescent="0.15">
      <c r="A39" s="216">
        <v>1975</v>
      </c>
      <c r="B39" s="283"/>
      <c r="C39" s="410" t="s">
        <v>1166</v>
      </c>
      <c r="D39" s="410"/>
      <c r="E39" s="171">
        <v>365</v>
      </c>
      <c r="G39" s="233">
        <v>4</v>
      </c>
      <c r="H39" s="171">
        <v>4</v>
      </c>
      <c r="J39" s="241">
        <v>8</v>
      </c>
      <c r="K39" s="214">
        <f t="shared" si="1"/>
        <v>50</v>
      </c>
      <c r="L39" s="214">
        <f t="shared" si="1"/>
        <v>50</v>
      </c>
      <c r="M39" s="214">
        <f t="shared" si="1"/>
        <v>0</v>
      </c>
      <c r="N39" s="235">
        <f t="shared" si="2"/>
        <v>100</v>
      </c>
      <c r="O39" s="213">
        <v>41.7</v>
      </c>
      <c r="P39" s="214">
        <v>28.3</v>
      </c>
      <c r="Q39" s="214"/>
      <c r="R39" s="215">
        <f t="shared" si="3"/>
        <v>70</v>
      </c>
      <c r="S39" s="171">
        <v>2</v>
      </c>
      <c r="T39" s="285"/>
      <c r="U39" s="283"/>
      <c r="V39" s="178" t="s">
        <v>558</v>
      </c>
      <c r="W39" s="171" t="s">
        <v>74</v>
      </c>
      <c r="X39" s="171" t="s">
        <v>11</v>
      </c>
      <c r="Y39" s="179">
        <v>41.7</v>
      </c>
      <c r="Z39" s="178" t="s">
        <v>476</v>
      </c>
      <c r="AA39" s="171" t="s">
        <v>869</v>
      </c>
      <c r="AB39" s="171" t="s">
        <v>18</v>
      </c>
      <c r="AC39" s="171">
        <v>28.3</v>
      </c>
      <c r="AD39" s="178"/>
      <c r="AG39" s="179"/>
      <c r="AH39" s="253"/>
      <c r="AL39" s="178"/>
      <c r="AO39" s="179"/>
      <c r="AP39" s="178"/>
      <c r="AS39" s="179"/>
      <c r="AW39" s="179"/>
      <c r="BA39" s="180"/>
    </row>
    <row r="40" spans="1:53" s="171" customFormat="1" x14ac:dyDescent="0.15">
      <c r="A40" s="216">
        <v>1976</v>
      </c>
      <c r="B40" s="283"/>
      <c r="C40" s="410" t="s">
        <v>1166</v>
      </c>
      <c r="D40" s="410"/>
      <c r="E40" s="171">
        <v>0</v>
      </c>
      <c r="G40" s="233">
        <v>4</v>
      </c>
      <c r="H40" s="171">
        <v>4</v>
      </c>
      <c r="J40" s="241">
        <v>8</v>
      </c>
      <c r="K40" s="214">
        <f t="shared" si="1"/>
        <v>50</v>
      </c>
      <c r="L40" s="214">
        <f t="shared" si="1"/>
        <v>50</v>
      </c>
      <c r="M40" s="214">
        <f t="shared" si="1"/>
        <v>0</v>
      </c>
      <c r="N40" s="235">
        <f t="shared" si="2"/>
        <v>100</v>
      </c>
      <c r="O40" s="213">
        <v>41.7</v>
      </c>
      <c r="P40" s="214">
        <v>28.3</v>
      </c>
      <c r="Q40" s="214"/>
      <c r="R40" s="215">
        <f t="shared" si="3"/>
        <v>70</v>
      </c>
      <c r="S40" s="171">
        <v>2</v>
      </c>
      <c r="T40" s="285"/>
      <c r="U40" s="283"/>
      <c r="V40" s="178" t="s">
        <v>558</v>
      </c>
      <c r="W40" s="171" t="s">
        <v>74</v>
      </c>
      <c r="X40" s="171" t="s">
        <v>11</v>
      </c>
      <c r="Y40" s="179">
        <v>41.7</v>
      </c>
      <c r="Z40" s="178" t="s">
        <v>476</v>
      </c>
      <c r="AA40" s="171" t="s">
        <v>869</v>
      </c>
      <c r="AB40" s="171" t="s">
        <v>18</v>
      </c>
      <c r="AC40" s="171">
        <v>28.3</v>
      </c>
      <c r="AD40" s="178"/>
      <c r="AG40" s="179"/>
      <c r="AH40" s="253"/>
      <c r="AL40" s="178"/>
      <c r="AO40" s="179"/>
      <c r="AP40" s="178"/>
      <c r="AS40" s="179"/>
      <c r="AW40" s="179"/>
      <c r="BA40" s="180"/>
    </row>
    <row r="41" spans="1:53" s="171" customFormat="1" x14ac:dyDescent="0.15">
      <c r="A41" s="216">
        <v>1976</v>
      </c>
      <c r="B41" s="283"/>
      <c r="C41" s="410" t="s">
        <v>1166</v>
      </c>
      <c r="D41" s="410"/>
      <c r="E41" s="171">
        <v>366</v>
      </c>
      <c r="G41" s="233">
        <v>4</v>
      </c>
      <c r="H41" s="171">
        <v>4</v>
      </c>
      <c r="J41" s="241">
        <v>8</v>
      </c>
      <c r="K41" s="214">
        <f t="shared" si="1"/>
        <v>50</v>
      </c>
      <c r="L41" s="214">
        <f t="shared" si="1"/>
        <v>50</v>
      </c>
      <c r="M41" s="214">
        <f t="shared" si="1"/>
        <v>0</v>
      </c>
      <c r="N41" s="235">
        <f t="shared" si="2"/>
        <v>100</v>
      </c>
      <c r="O41" s="213">
        <v>41.7</v>
      </c>
      <c r="P41" s="214">
        <v>28.3</v>
      </c>
      <c r="Q41" s="214"/>
      <c r="R41" s="215">
        <f t="shared" si="3"/>
        <v>70</v>
      </c>
      <c r="S41" s="171">
        <v>2</v>
      </c>
      <c r="T41" s="285"/>
      <c r="U41" s="283"/>
      <c r="V41" s="178" t="s">
        <v>558</v>
      </c>
      <c r="W41" s="171" t="s">
        <v>74</v>
      </c>
      <c r="X41" s="171" t="s">
        <v>11</v>
      </c>
      <c r="Y41" s="179">
        <v>41.7</v>
      </c>
      <c r="Z41" s="178" t="s">
        <v>476</v>
      </c>
      <c r="AA41" s="171" t="s">
        <v>869</v>
      </c>
      <c r="AB41" s="171" t="s">
        <v>18</v>
      </c>
      <c r="AC41" s="171">
        <v>28.3</v>
      </c>
      <c r="AD41" s="178"/>
      <c r="AG41" s="179"/>
      <c r="AH41" s="253"/>
      <c r="AL41" s="178"/>
      <c r="AO41" s="179"/>
      <c r="AP41" s="178"/>
      <c r="AS41" s="179"/>
      <c r="AW41" s="179"/>
      <c r="BA41" s="180"/>
    </row>
    <row r="42" spans="1:53" s="171" customFormat="1" x14ac:dyDescent="0.15">
      <c r="A42" s="216">
        <v>1977</v>
      </c>
      <c r="B42" s="283"/>
      <c r="C42" s="410" t="s">
        <v>1166</v>
      </c>
      <c r="D42" s="410"/>
      <c r="E42" s="171">
        <v>0</v>
      </c>
      <c r="G42" s="233">
        <v>4</v>
      </c>
      <c r="H42" s="171">
        <v>4</v>
      </c>
      <c r="J42" s="241">
        <v>8</v>
      </c>
      <c r="K42" s="214">
        <f t="shared" si="1"/>
        <v>50</v>
      </c>
      <c r="L42" s="214">
        <f t="shared" si="1"/>
        <v>50</v>
      </c>
      <c r="M42" s="214">
        <f t="shared" si="1"/>
        <v>0</v>
      </c>
      <c r="N42" s="235">
        <f t="shared" si="2"/>
        <v>100</v>
      </c>
      <c r="O42" s="213">
        <v>41.7</v>
      </c>
      <c r="P42" s="214">
        <v>28.3</v>
      </c>
      <c r="Q42" s="214"/>
      <c r="R42" s="215">
        <f t="shared" si="3"/>
        <v>70</v>
      </c>
      <c r="S42" s="171">
        <v>2</v>
      </c>
      <c r="T42" s="285"/>
      <c r="U42" s="283"/>
      <c r="V42" s="178" t="s">
        <v>558</v>
      </c>
      <c r="W42" s="171" t="s">
        <v>74</v>
      </c>
      <c r="X42" s="171" t="s">
        <v>11</v>
      </c>
      <c r="Y42" s="179">
        <v>41.7</v>
      </c>
      <c r="Z42" s="178" t="s">
        <v>476</v>
      </c>
      <c r="AA42" s="171" t="s">
        <v>869</v>
      </c>
      <c r="AB42" s="171" t="s">
        <v>18</v>
      </c>
      <c r="AC42" s="171">
        <v>28.3</v>
      </c>
      <c r="AD42" s="178"/>
      <c r="AG42" s="179"/>
      <c r="AH42" s="253"/>
      <c r="AL42" s="178"/>
      <c r="AO42" s="179"/>
      <c r="AP42" s="178"/>
      <c r="AS42" s="179"/>
      <c r="AW42" s="179"/>
      <c r="BA42" s="180"/>
    </row>
    <row r="43" spans="1:53" s="171" customFormat="1" x14ac:dyDescent="0.15">
      <c r="A43" s="216">
        <v>1977</v>
      </c>
      <c r="B43" s="283"/>
      <c r="C43" s="410" t="s">
        <v>1166</v>
      </c>
      <c r="D43" s="410"/>
      <c r="E43" s="171">
        <v>365</v>
      </c>
      <c r="G43" s="233">
        <v>4</v>
      </c>
      <c r="H43" s="171">
        <v>4</v>
      </c>
      <c r="J43" s="241">
        <v>8</v>
      </c>
      <c r="K43" s="214">
        <f t="shared" si="1"/>
        <v>50</v>
      </c>
      <c r="L43" s="214">
        <f t="shared" si="1"/>
        <v>50</v>
      </c>
      <c r="M43" s="214">
        <f t="shared" si="1"/>
        <v>0</v>
      </c>
      <c r="N43" s="235">
        <f t="shared" si="2"/>
        <v>100</v>
      </c>
      <c r="O43" s="213">
        <v>41.7</v>
      </c>
      <c r="P43" s="214">
        <v>28.3</v>
      </c>
      <c r="Q43" s="214"/>
      <c r="R43" s="215">
        <f t="shared" si="3"/>
        <v>70</v>
      </c>
      <c r="S43" s="171">
        <v>2</v>
      </c>
      <c r="T43" s="285"/>
      <c r="U43" s="283"/>
      <c r="V43" s="178" t="s">
        <v>558</v>
      </c>
      <c r="W43" s="171" t="s">
        <v>74</v>
      </c>
      <c r="X43" s="171" t="s">
        <v>11</v>
      </c>
      <c r="Y43" s="179">
        <v>41.7</v>
      </c>
      <c r="Z43" s="178" t="s">
        <v>476</v>
      </c>
      <c r="AA43" s="171" t="s">
        <v>869</v>
      </c>
      <c r="AB43" s="171" t="s">
        <v>18</v>
      </c>
      <c r="AC43" s="171">
        <v>28.3</v>
      </c>
      <c r="AD43" s="178"/>
      <c r="AG43" s="179"/>
      <c r="AH43" s="253"/>
      <c r="AL43" s="178"/>
      <c r="AO43" s="179"/>
      <c r="AP43" s="178"/>
      <c r="AS43" s="179"/>
      <c r="AW43" s="179"/>
      <c r="BA43" s="180"/>
    </row>
    <row r="44" spans="1:53" s="171" customFormat="1" x14ac:dyDescent="0.15">
      <c r="A44" s="216">
        <v>1978</v>
      </c>
      <c r="B44" s="283"/>
      <c r="C44" s="410" t="s">
        <v>1166</v>
      </c>
      <c r="D44" s="410"/>
      <c r="E44" s="171">
        <v>242</v>
      </c>
      <c r="G44" s="233">
        <v>4</v>
      </c>
      <c r="H44" s="171">
        <v>4</v>
      </c>
      <c r="J44" s="241">
        <v>8</v>
      </c>
      <c r="K44" s="214">
        <f t="shared" ref="K44:M71" si="4">G44/$J44*100</f>
        <v>50</v>
      </c>
      <c r="L44" s="214">
        <f t="shared" si="4"/>
        <v>50</v>
      </c>
      <c r="M44" s="214">
        <f t="shared" si="4"/>
        <v>0</v>
      </c>
      <c r="N44" s="235">
        <f t="shared" si="2"/>
        <v>100</v>
      </c>
      <c r="O44" s="213">
        <v>41.7</v>
      </c>
      <c r="P44" s="214">
        <v>28.3</v>
      </c>
      <c r="Q44" s="214"/>
      <c r="R44" s="215">
        <f t="shared" si="3"/>
        <v>70</v>
      </c>
      <c r="S44" s="171">
        <v>2</v>
      </c>
      <c r="T44" s="285"/>
      <c r="U44" s="283"/>
      <c r="V44" s="178" t="s">
        <v>558</v>
      </c>
      <c r="W44" s="171" t="s">
        <v>74</v>
      </c>
      <c r="X44" s="171" t="s">
        <v>11</v>
      </c>
      <c r="Y44" s="179">
        <v>41.7</v>
      </c>
      <c r="Z44" s="178" t="s">
        <v>476</v>
      </c>
      <c r="AA44" s="171" t="s">
        <v>869</v>
      </c>
      <c r="AB44" s="171" t="s">
        <v>18</v>
      </c>
      <c r="AC44" s="171">
        <v>28.3</v>
      </c>
      <c r="AD44" s="178"/>
      <c r="AG44" s="179"/>
      <c r="AH44" s="253"/>
      <c r="AL44" s="178"/>
      <c r="AO44" s="179"/>
      <c r="AP44" s="178"/>
      <c r="AS44" s="179"/>
      <c r="AW44" s="179"/>
      <c r="BA44" s="180"/>
    </row>
    <row r="45" spans="1:53" s="29" customFormat="1" x14ac:dyDescent="0.15">
      <c r="A45" s="52">
        <v>1978</v>
      </c>
      <c r="B45" s="295">
        <v>28733</v>
      </c>
      <c r="C45" s="411" t="s">
        <v>1167</v>
      </c>
      <c r="D45" s="411"/>
      <c r="E45" s="29">
        <f>365-E44</f>
        <v>123</v>
      </c>
      <c r="F45" s="29">
        <v>1</v>
      </c>
      <c r="G45" s="66"/>
      <c r="H45" s="29">
        <v>3</v>
      </c>
      <c r="I45" s="29">
        <v>6</v>
      </c>
      <c r="J45" s="73">
        <v>9</v>
      </c>
      <c r="K45" s="47">
        <f t="shared" si="4"/>
        <v>0</v>
      </c>
      <c r="L45" s="47">
        <f t="shared" si="4"/>
        <v>33.333333333333329</v>
      </c>
      <c r="M45" s="47">
        <f t="shared" si="4"/>
        <v>66.666666666666657</v>
      </c>
      <c r="N45" s="68">
        <f t="shared" si="2"/>
        <v>99.999999999999986</v>
      </c>
      <c r="O45" s="46"/>
      <c r="P45" s="47">
        <v>20</v>
      </c>
      <c r="Q45" s="47">
        <v>46.6</v>
      </c>
      <c r="R45" s="48">
        <f t="shared" si="3"/>
        <v>66.599999999999994</v>
      </c>
      <c r="S45" s="29">
        <v>2</v>
      </c>
      <c r="T45" s="286">
        <v>28666</v>
      </c>
      <c r="U45" s="295">
        <v>28733</v>
      </c>
      <c r="V45" s="38" t="s">
        <v>476</v>
      </c>
      <c r="W45" s="29" t="s">
        <v>869</v>
      </c>
      <c r="X45" s="29" t="s">
        <v>18</v>
      </c>
      <c r="Y45" s="39">
        <v>20</v>
      </c>
      <c r="Z45" s="29" t="s">
        <v>111</v>
      </c>
      <c r="AA45" s="29" t="s">
        <v>20</v>
      </c>
      <c r="AB45" s="29" t="s">
        <v>12</v>
      </c>
      <c r="AC45" s="29">
        <v>23.3</v>
      </c>
      <c r="AD45" s="38" t="s">
        <v>559</v>
      </c>
      <c r="AE45" s="29" t="s">
        <v>113</v>
      </c>
      <c r="AF45" s="29" t="s">
        <v>12</v>
      </c>
      <c r="AG45" s="39">
        <v>23.3</v>
      </c>
      <c r="AH45" s="94"/>
      <c r="AL45" s="38"/>
      <c r="AO45" s="39"/>
      <c r="AP45" s="38"/>
      <c r="AS45" s="39"/>
      <c r="AW45" s="39"/>
      <c r="BA45" s="40"/>
    </row>
    <row r="46" spans="1:53" s="29" customFormat="1" x14ac:dyDescent="0.15">
      <c r="A46" s="52">
        <v>1979</v>
      </c>
      <c r="B46" s="295"/>
      <c r="C46" s="411" t="s">
        <v>1167</v>
      </c>
      <c r="D46" s="411"/>
      <c r="E46" s="29">
        <v>287</v>
      </c>
      <c r="G46" s="66"/>
      <c r="H46" s="29">
        <v>3</v>
      </c>
      <c r="I46" s="29">
        <v>6</v>
      </c>
      <c r="J46" s="73">
        <v>9</v>
      </c>
      <c r="K46" s="47">
        <f t="shared" si="4"/>
        <v>0</v>
      </c>
      <c r="L46" s="47">
        <f t="shared" si="4"/>
        <v>33.333333333333329</v>
      </c>
      <c r="M46" s="47">
        <f t="shared" si="4"/>
        <v>66.666666666666657</v>
      </c>
      <c r="N46" s="68">
        <f t="shared" si="2"/>
        <v>99.999999999999986</v>
      </c>
      <c r="O46" s="46"/>
      <c r="P46" s="47">
        <v>20</v>
      </c>
      <c r="Q46" s="47">
        <v>46.6</v>
      </c>
      <c r="R46" s="48">
        <f t="shared" si="3"/>
        <v>66.599999999999994</v>
      </c>
      <c r="S46" s="29">
        <v>2</v>
      </c>
      <c r="T46" s="286"/>
      <c r="U46" s="295"/>
      <c r="V46" s="38" t="s">
        <v>476</v>
      </c>
      <c r="W46" s="29" t="s">
        <v>869</v>
      </c>
      <c r="X46" s="29" t="s">
        <v>18</v>
      </c>
      <c r="Y46" s="39">
        <v>20</v>
      </c>
      <c r="Z46" s="29" t="s">
        <v>111</v>
      </c>
      <c r="AA46" s="29" t="s">
        <v>20</v>
      </c>
      <c r="AB46" s="29" t="s">
        <v>12</v>
      </c>
      <c r="AC46" s="29">
        <v>23.3</v>
      </c>
      <c r="AD46" s="38" t="s">
        <v>559</v>
      </c>
      <c r="AE46" s="29" t="s">
        <v>113</v>
      </c>
      <c r="AF46" s="29" t="s">
        <v>12</v>
      </c>
      <c r="AG46" s="39">
        <v>23.3</v>
      </c>
      <c r="AH46" s="94"/>
      <c r="AL46" s="38"/>
      <c r="AO46" s="39"/>
      <c r="AP46" s="38"/>
      <c r="AS46" s="39"/>
      <c r="AW46" s="39"/>
      <c r="BA46" s="40"/>
    </row>
    <row r="47" spans="1:53" s="171" customFormat="1" x14ac:dyDescent="0.15">
      <c r="A47" s="216">
        <v>1979</v>
      </c>
      <c r="B47" s="283">
        <v>29143</v>
      </c>
      <c r="C47" s="410" t="s">
        <v>277</v>
      </c>
      <c r="D47" s="410"/>
      <c r="E47" s="171">
        <f>365-E46</f>
        <v>78</v>
      </c>
      <c r="F47" s="171">
        <v>4</v>
      </c>
      <c r="G47" s="233"/>
      <c r="I47" s="171">
        <v>6</v>
      </c>
      <c r="J47" s="241">
        <v>6</v>
      </c>
      <c r="K47" s="214">
        <f t="shared" si="4"/>
        <v>0</v>
      </c>
      <c r="L47" s="214">
        <f t="shared" si="4"/>
        <v>0</v>
      </c>
      <c r="M47" s="214">
        <f t="shared" si="4"/>
        <v>100</v>
      </c>
      <c r="N47" s="235">
        <f t="shared" si="2"/>
        <v>100</v>
      </c>
      <c r="O47" s="213"/>
      <c r="P47" s="214"/>
      <c r="Q47" s="214">
        <v>23.3</v>
      </c>
      <c r="R47" s="215">
        <f t="shared" si="3"/>
        <v>23.3</v>
      </c>
      <c r="S47" s="171">
        <v>4</v>
      </c>
      <c r="T47" s="285"/>
      <c r="U47" s="283">
        <v>29143</v>
      </c>
      <c r="V47" s="178" t="s">
        <v>111</v>
      </c>
      <c r="W47" s="171" t="s">
        <v>20</v>
      </c>
      <c r="X47" s="171" t="s">
        <v>12</v>
      </c>
      <c r="Y47" s="179">
        <v>23.3</v>
      </c>
      <c r="AD47" s="178"/>
      <c r="AG47" s="179"/>
      <c r="AH47" s="253"/>
      <c r="AL47" s="178"/>
      <c r="AO47" s="179"/>
      <c r="AP47" s="178"/>
      <c r="AS47" s="179"/>
      <c r="AW47" s="179"/>
      <c r="BA47" s="180"/>
    </row>
    <row r="48" spans="1:53" s="171" customFormat="1" x14ac:dyDescent="0.15">
      <c r="A48" s="216">
        <v>1980</v>
      </c>
      <c r="B48" s="283"/>
      <c r="C48" s="410" t="s">
        <v>277</v>
      </c>
      <c r="D48" s="410"/>
      <c r="E48" s="171">
        <v>38</v>
      </c>
      <c r="G48" s="233"/>
      <c r="I48" s="171">
        <v>6</v>
      </c>
      <c r="J48" s="241">
        <v>6</v>
      </c>
      <c r="K48" s="214">
        <f t="shared" si="4"/>
        <v>0</v>
      </c>
      <c r="L48" s="214">
        <f t="shared" si="4"/>
        <v>0</v>
      </c>
      <c r="M48" s="214">
        <f t="shared" si="4"/>
        <v>100</v>
      </c>
      <c r="N48" s="235">
        <f t="shared" si="2"/>
        <v>100</v>
      </c>
      <c r="O48" s="213"/>
      <c r="P48" s="214"/>
      <c r="Q48" s="214">
        <v>23.3</v>
      </c>
      <c r="R48" s="215">
        <f t="shared" si="3"/>
        <v>23.3</v>
      </c>
      <c r="S48" s="171">
        <v>4</v>
      </c>
      <c r="T48" s="285">
        <v>29191</v>
      </c>
      <c r="U48" s="283"/>
      <c r="V48" s="178" t="s">
        <v>111</v>
      </c>
      <c r="W48" s="171" t="s">
        <v>20</v>
      </c>
      <c r="X48" s="171" t="s">
        <v>12</v>
      </c>
      <c r="Y48" s="179">
        <v>23.3</v>
      </c>
      <c r="AD48" s="178"/>
      <c r="AG48" s="179"/>
      <c r="AH48" s="253"/>
      <c r="AL48" s="178"/>
      <c r="AO48" s="179"/>
      <c r="AP48" s="178"/>
      <c r="AS48" s="179"/>
      <c r="AW48" s="179"/>
      <c r="BA48" s="180"/>
    </row>
    <row r="49" spans="1:53" s="29" customFormat="1" x14ac:dyDescent="0.15">
      <c r="A49" s="52">
        <v>1980</v>
      </c>
      <c r="B49" s="295">
        <v>29259</v>
      </c>
      <c r="C49" s="411" t="s">
        <v>278</v>
      </c>
      <c r="D49" s="411"/>
      <c r="E49" s="29">
        <f>366-E48</f>
        <v>328</v>
      </c>
      <c r="F49" s="29">
        <v>1</v>
      </c>
      <c r="G49" s="66">
        <v>4</v>
      </c>
      <c r="H49" s="29">
        <v>3</v>
      </c>
      <c r="I49" s="29">
        <v>3</v>
      </c>
      <c r="J49" s="73">
        <v>10</v>
      </c>
      <c r="K49" s="47">
        <f t="shared" si="4"/>
        <v>40</v>
      </c>
      <c r="L49" s="47">
        <f t="shared" si="4"/>
        <v>30</v>
      </c>
      <c r="M49" s="47">
        <f t="shared" si="4"/>
        <v>30</v>
      </c>
      <c r="N49" s="68">
        <f t="shared" si="2"/>
        <v>100</v>
      </c>
      <c r="O49" s="46">
        <v>35</v>
      </c>
      <c r="P49" s="47">
        <v>28.3</v>
      </c>
      <c r="Q49" s="47">
        <v>18.3</v>
      </c>
      <c r="R49" s="48">
        <f t="shared" si="3"/>
        <v>81.599999999999994</v>
      </c>
      <c r="S49" s="29">
        <v>3</v>
      </c>
      <c r="T49" s="286"/>
      <c r="U49" s="295">
        <v>29259</v>
      </c>
      <c r="V49" s="38" t="s">
        <v>476</v>
      </c>
      <c r="W49" s="29" t="s">
        <v>869</v>
      </c>
      <c r="X49" s="29" t="s">
        <v>18</v>
      </c>
      <c r="Y49" s="39">
        <v>28.3</v>
      </c>
      <c r="Z49" s="38" t="s">
        <v>558</v>
      </c>
      <c r="AA49" s="29" t="s">
        <v>74</v>
      </c>
      <c r="AB49" s="29" t="s">
        <v>11</v>
      </c>
      <c r="AC49" s="29">
        <v>35</v>
      </c>
      <c r="AD49" s="38" t="s">
        <v>559</v>
      </c>
      <c r="AE49" s="29" t="s">
        <v>113</v>
      </c>
      <c r="AF49" s="29" t="s">
        <v>12</v>
      </c>
      <c r="AG49" s="39">
        <v>18.3</v>
      </c>
      <c r="AH49" s="94"/>
      <c r="AL49" s="38"/>
      <c r="AO49" s="39"/>
      <c r="AP49" s="38"/>
      <c r="AS49" s="39"/>
      <c r="AW49" s="39"/>
      <c r="BA49" s="40"/>
    </row>
    <row r="50" spans="1:53" s="29" customFormat="1" x14ac:dyDescent="0.15">
      <c r="A50" s="52">
        <v>1981</v>
      </c>
      <c r="B50" s="295"/>
      <c r="C50" s="411" t="s">
        <v>278</v>
      </c>
      <c r="D50" s="411"/>
      <c r="E50" s="29">
        <v>0</v>
      </c>
      <c r="G50" s="66">
        <v>4</v>
      </c>
      <c r="H50" s="29">
        <v>3</v>
      </c>
      <c r="I50" s="29">
        <v>3</v>
      </c>
      <c r="J50" s="73">
        <v>10</v>
      </c>
      <c r="K50" s="47">
        <f t="shared" si="4"/>
        <v>40</v>
      </c>
      <c r="L50" s="47">
        <f t="shared" si="4"/>
        <v>30</v>
      </c>
      <c r="M50" s="47">
        <f t="shared" si="4"/>
        <v>30</v>
      </c>
      <c r="N50" s="68">
        <f t="shared" si="2"/>
        <v>100</v>
      </c>
      <c r="O50" s="46">
        <v>35</v>
      </c>
      <c r="P50" s="47">
        <v>28.3</v>
      </c>
      <c r="Q50" s="47">
        <v>18.3</v>
      </c>
      <c r="R50" s="48">
        <f t="shared" si="3"/>
        <v>81.599999999999994</v>
      </c>
      <c r="S50" s="29">
        <v>3</v>
      </c>
      <c r="T50" s="286"/>
      <c r="U50" s="295"/>
      <c r="V50" s="38" t="s">
        <v>476</v>
      </c>
      <c r="W50" s="29" t="s">
        <v>869</v>
      </c>
      <c r="X50" s="29" t="s">
        <v>18</v>
      </c>
      <c r="Y50" s="39">
        <v>28.3</v>
      </c>
      <c r="Z50" s="38" t="s">
        <v>558</v>
      </c>
      <c r="AA50" s="29" t="s">
        <v>74</v>
      </c>
      <c r="AB50" s="29" t="s">
        <v>11</v>
      </c>
      <c r="AC50" s="29">
        <v>35</v>
      </c>
      <c r="AD50" s="38" t="s">
        <v>559</v>
      </c>
      <c r="AE50" s="29" t="s">
        <v>113</v>
      </c>
      <c r="AF50" s="29" t="s">
        <v>12</v>
      </c>
      <c r="AG50" s="39">
        <v>18.3</v>
      </c>
      <c r="AH50" s="94"/>
      <c r="AL50" s="38"/>
      <c r="AO50" s="39"/>
      <c r="AP50" s="38"/>
      <c r="AS50" s="39"/>
      <c r="AW50" s="39"/>
      <c r="BA50" s="40"/>
    </row>
    <row r="51" spans="1:53" s="29" customFormat="1" x14ac:dyDescent="0.15">
      <c r="A51" s="52">
        <v>1981</v>
      </c>
      <c r="B51" s="295"/>
      <c r="C51" s="411" t="s">
        <v>278</v>
      </c>
      <c r="D51" s="411"/>
      <c r="E51" s="29">
        <v>365</v>
      </c>
      <c r="G51" s="66">
        <v>4</v>
      </c>
      <c r="H51" s="29">
        <v>3</v>
      </c>
      <c r="I51" s="29">
        <v>3</v>
      </c>
      <c r="J51" s="73">
        <v>10</v>
      </c>
      <c r="K51" s="47">
        <f t="shared" si="4"/>
        <v>40</v>
      </c>
      <c r="L51" s="47">
        <f t="shared" si="4"/>
        <v>30</v>
      </c>
      <c r="M51" s="47">
        <f t="shared" si="4"/>
        <v>30</v>
      </c>
      <c r="N51" s="68">
        <f t="shared" si="2"/>
        <v>100</v>
      </c>
      <c r="O51" s="46">
        <v>35</v>
      </c>
      <c r="P51" s="47">
        <v>28.3</v>
      </c>
      <c r="Q51" s="47">
        <v>18.3</v>
      </c>
      <c r="R51" s="48">
        <f t="shared" si="3"/>
        <v>81.599999999999994</v>
      </c>
      <c r="S51" s="29">
        <v>3</v>
      </c>
      <c r="T51" s="286"/>
      <c r="U51" s="295"/>
      <c r="V51" s="38" t="s">
        <v>476</v>
      </c>
      <c r="W51" s="29" t="s">
        <v>869</v>
      </c>
      <c r="X51" s="29" t="s">
        <v>18</v>
      </c>
      <c r="Y51" s="39">
        <v>28.3</v>
      </c>
      <c r="Z51" s="38" t="s">
        <v>558</v>
      </c>
      <c r="AA51" s="29" t="s">
        <v>74</v>
      </c>
      <c r="AB51" s="29" t="s">
        <v>11</v>
      </c>
      <c r="AC51" s="29">
        <v>35</v>
      </c>
      <c r="AD51" s="38" t="s">
        <v>559</v>
      </c>
      <c r="AE51" s="29" t="s">
        <v>113</v>
      </c>
      <c r="AF51" s="29" t="s">
        <v>12</v>
      </c>
      <c r="AG51" s="39">
        <v>18.3</v>
      </c>
      <c r="AH51" s="94"/>
      <c r="AL51" s="38"/>
      <c r="AO51" s="39"/>
      <c r="AP51" s="38"/>
      <c r="AS51" s="39"/>
      <c r="AW51" s="39"/>
      <c r="BA51" s="40"/>
    </row>
    <row r="52" spans="1:53" s="29" customFormat="1" x14ac:dyDescent="0.15">
      <c r="A52" s="52">
        <v>1982</v>
      </c>
      <c r="B52" s="295"/>
      <c r="C52" s="411" t="s">
        <v>278</v>
      </c>
      <c r="D52" s="411"/>
      <c r="E52" s="29">
        <v>0</v>
      </c>
      <c r="G52" s="66">
        <v>4</v>
      </c>
      <c r="H52" s="29">
        <v>3</v>
      </c>
      <c r="I52" s="29">
        <v>3</v>
      </c>
      <c r="J52" s="73">
        <v>10</v>
      </c>
      <c r="K52" s="47">
        <f t="shared" si="4"/>
        <v>40</v>
      </c>
      <c r="L52" s="47">
        <f t="shared" si="4"/>
        <v>30</v>
      </c>
      <c r="M52" s="47">
        <f t="shared" si="4"/>
        <v>30</v>
      </c>
      <c r="N52" s="68">
        <f t="shared" si="2"/>
        <v>100</v>
      </c>
      <c r="O52" s="46">
        <v>35</v>
      </c>
      <c r="P52" s="47">
        <v>28.3</v>
      </c>
      <c r="Q52" s="47">
        <v>18.3</v>
      </c>
      <c r="R52" s="48">
        <f t="shared" si="3"/>
        <v>81.599999999999994</v>
      </c>
      <c r="S52" s="29">
        <v>3</v>
      </c>
      <c r="T52" s="286"/>
      <c r="U52" s="295"/>
      <c r="V52" s="38" t="s">
        <v>476</v>
      </c>
      <c r="W52" s="29" t="s">
        <v>869</v>
      </c>
      <c r="X52" s="29" t="s">
        <v>18</v>
      </c>
      <c r="Y52" s="39">
        <v>28.3</v>
      </c>
      <c r="Z52" s="38" t="s">
        <v>558</v>
      </c>
      <c r="AA52" s="29" t="s">
        <v>74</v>
      </c>
      <c r="AB52" s="29" t="s">
        <v>11</v>
      </c>
      <c r="AC52" s="29">
        <v>35</v>
      </c>
      <c r="AD52" s="38" t="s">
        <v>559</v>
      </c>
      <c r="AE52" s="29" t="s">
        <v>113</v>
      </c>
      <c r="AF52" s="29" t="s">
        <v>12</v>
      </c>
      <c r="AG52" s="39">
        <v>18.3</v>
      </c>
      <c r="AH52" s="94"/>
      <c r="AL52" s="38"/>
      <c r="AO52" s="39"/>
      <c r="AP52" s="38"/>
      <c r="AS52" s="39"/>
      <c r="AW52" s="39"/>
      <c r="BA52" s="40"/>
    </row>
    <row r="53" spans="1:53" s="29" customFormat="1" x14ac:dyDescent="0.15">
      <c r="A53" s="52">
        <v>1982</v>
      </c>
      <c r="B53" s="295"/>
      <c r="C53" s="411" t="s">
        <v>278</v>
      </c>
      <c r="D53" s="411"/>
      <c r="E53" s="29">
        <v>365</v>
      </c>
      <c r="G53" s="66">
        <v>4</v>
      </c>
      <c r="H53" s="29">
        <v>3</v>
      </c>
      <c r="I53" s="29">
        <v>3</v>
      </c>
      <c r="J53" s="73">
        <v>10</v>
      </c>
      <c r="K53" s="47">
        <f t="shared" si="4"/>
        <v>40</v>
      </c>
      <c r="L53" s="47">
        <f t="shared" si="4"/>
        <v>30</v>
      </c>
      <c r="M53" s="47">
        <f t="shared" si="4"/>
        <v>30</v>
      </c>
      <c r="N53" s="68">
        <f t="shared" si="2"/>
        <v>100</v>
      </c>
      <c r="O53" s="46">
        <v>35</v>
      </c>
      <c r="P53" s="47">
        <v>28.3</v>
      </c>
      <c r="Q53" s="47">
        <v>18.3</v>
      </c>
      <c r="R53" s="48">
        <f t="shared" si="3"/>
        <v>81.599999999999994</v>
      </c>
      <c r="S53" s="29">
        <v>3</v>
      </c>
      <c r="T53" s="286"/>
      <c r="U53" s="295"/>
      <c r="V53" s="38" t="s">
        <v>476</v>
      </c>
      <c r="W53" s="29" t="s">
        <v>869</v>
      </c>
      <c r="X53" s="29" t="s">
        <v>18</v>
      </c>
      <c r="Y53" s="39">
        <v>28.3</v>
      </c>
      <c r="Z53" s="38" t="s">
        <v>558</v>
      </c>
      <c r="AA53" s="29" t="s">
        <v>74</v>
      </c>
      <c r="AB53" s="29" t="s">
        <v>11</v>
      </c>
      <c r="AC53" s="29">
        <v>35</v>
      </c>
      <c r="AD53" s="38" t="s">
        <v>559</v>
      </c>
      <c r="AE53" s="29" t="s">
        <v>113</v>
      </c>
      <c r="AF53" s="29" t="s">
        <v>12</v>
      </c>
      <c r="AG53" s="39">
        <v>18.3</v>
      </c>
      <c r="AH53" s="94"/>
      <c r="AL53" s="38"/>
      <c r="AO53" s="39"/>
      <c r="AP53" s="38"/>
      <c r="AS53" s="39"/>
      <c r="AW53" s="39"/>
      <c r="BA53" s="40"/>
    </row>
    <row r="54" spans="1:53" s="29" customFormat="1" x14ac:dyDescent="0.15">
      <c r="A54" s="52">
        <v>1983</v>
      </c>
      <c r="B54" s="295"/>
      <c r="C54" s="411" t="s">
        <v>278</v>
      </c>
      <c r="D54" s="411"/>
      <c r="E54" s="29">
        <v>145</v>
      </c>
      <c r="G54" s="66">
        <v>4</v>
      </c>
      <c r="H54" s="29">
        <v>3</v>
      </c>
      <c r="I54" s="29">
        <v>3</v>
      </c>
      <c r="J54" s="73">
        <v>10</v>
      </c>
      <c r="K54" s="47">
        <f t="shared" si="4"/>
        <v>40</v>
      </c>
      <c r="L54" s="47">
        <f t="shared" si="4"/>
        <v>30</v>
      </c>
      <c r="M54" s="47">
        <f t="shared" si="4"/>
        <v>30</v>
      </c>
      <c r="N54" s="68">
        <f t="shared" si="2"/>
        <v>100</v>
      </c>
      <c r="O54" s="46">
        <v>35</v>
      </c>
      <c r="P54" s="47">
        <v>28.3</v>
      </c>
      <c r="Q54" s="47">
        <v>18.3</v>
      </c>
      <c r="R54" s="48">
        <f t="shared" si="3"/>
        <v>81.599999999999994</v>
      </c>
      <c r="S54" s="29">
        <v>3</v>
      </c>
      <c r="T54" s="286"/>
      <c r="U54" s="295"/>
      <c r="V54" s="38" t="s">
        <v>476</v>
      </c>
      <c r="W54" s="29" t="s">
        <v>869</v>
      </c>
      <c r="X54" s="29" t="s">
        <v>18</v>
      </c>
      <c r="Y54" s="39">
        <v>28.3</v>
      </c>
      <c r="Z54" s="38" t="s">
        <v>558</v>
      </c>
      <c r="AA54" s="29" t="s">
        <v>74</v>
      </c>
      <c r="AB54" s="29" t="s">
        <v>11</v>
      </c>
      <c r="AC54" s="29">
        <v>35</v>
      </c>
      <c r="AD54" s="38" t="s">
        <v>559</v>
      </c>
      <c r="AE54" s="29" t="s">
        <v>113</v>
      </c>
      <c r="AF54" s="29" t="s">
        <v>12</v>
      </c>
      <c r="AG54" s="39">
        <v>18.3</v>
      </c>
      <c r="AH54" s="94"/>
      <c r="AL54" s="38"/>
      <c r="AO54" s="39"/>
      <c r="AP54" s="38"/>
      <c r="AS54" s="39"/>
      <c r="AW54" s="39"/>
      <c r="BA54" s="40"/>
    </row>
    <row r="55" spans="1:53" s="171" customFormat="1" x14ac:dyDescent="0.15">
      <c r="A55" s="216">
        <v>1983</v>
      </c>
      <c r="B55" s="283">
        <v>30462</v>
      </c>
      <c r="C55" s="410" t="s">
        <v>279</v>
      </c>
      <c r="D55" s="410"/>
      <c r="E55" s="171">
        <f>365-E54</f>
        <v>220</v>
      </c>
      <c r="F55" s="171">
        <v>5</v>
      </c>
      <c r="G55" s="233">
        <v>6</v>
      </c>
      <c r="H55" s="171">
        <v>4</v>
      </c>
      <c r="J55" s="241">
        <v>10</v>
      </c>
      <c r="K55" s="214">
        <f t="shared" si="4"/>
        <v>60</v>
      </c>
      <c r="L55" s="214">
        <f t="shared" si="4"/>
        <v>40</v>
      </c>
      <c r="M55" s="214">
        <f t="shared" si="4"/>
        <v>0</v>
      </c>
      <c r="N55" s="235">
        <f t="shared" si="2"/>
        <v>100</v>
      </c>
      <c r="O55" s="213">
        <v>38.299999999999997</v>
      </c>
      <c r="P55" s="214">
        <v>23.3</v>
      </c>
      <c r="Q55" s="214"/>
      <c r="R55" s="215">
        <f t="shared" si="3"/>
        <v>61.599999999999994</v>
      </c>
      <c r="S55" s="171">
        <v>2</v>
      </c>
      <c r="T55" s="285">
        <v>30429</v>
      </c>
      <c r="U55" s="283">
        <v>30462</v>
      </c>
      <c r="V55" s="178" t="s">
        <v>476</v>
      </c>
      <c r="W55" s="171" t="s">
        <v>869</v>
      </c>
      <c r="X55" s="171" t="s">
        <v>18</v>
      </c>
      <c r="Y55" s="179">
        <v>23.3</v>
      </c>
      <c r="Z55" s="178" t="s">
        <v>558</v>
      </c>
      <c r="AA55" s="171" t="s">
        <v>74</v>
      </c>
      <c r="AB55" s="171" t="s">
        <v>11</v>
      </c>
      <c r="AC55" s="171">
        <v>38.299999999999997</v>
      </c>
      <c r="AD55" s="178"/>
      <c r="AG55" s="179"/>
      <c r="AH55" s="253"/>
      <c r="AL55" s="178"/>
      <c r="AO55" s="179"/>
      <c r="AP55" s="178"/>
      <c r="AS55" s="179"/>
      <c r="AW55" s="179"/>
      <c r="BA55" s="180"/>
    </row>
    <row r="56" spans="1:53" s="171" customFormat="1" x14ac:dyDescent="0.15">
      <c r="A56" s="216">
        <v>1984</v>
      </c>
      <c r="B56" s="283"/>
      <c r="C56" s="410" t="s">
        <v>279</v>
      </c>
      <c r="D56" s="410"/>
      <c r="E56" s="171">
        <v>0</v>
      </c>
      <c r="G56" s="233">
        <v>6</v>
      </c>
      <c r="H56" s="171">
        <v>4</v>
      </c>
      <c r="J56" s="241">
        <v>10</v>
      </c>
      <c r="K56" s="214">
        <f t="shared" si="4"/>
        <v>60</v>
      </c>
      <c r="L56" s="214">
        <f t="shared" si="4"/>
        <v>40</v>
      </c>
      <c r="M56" s="214">
        <f t="shared" si="4"/>
        <v>0</v>
      </c>
      <c r="N56" s="235">
        <f t="shared" si="2"/>
        <v>100</v>
      </c>
      <c r="O56" s="213">
        <v>38.299999999999997</v>
      </c>
      <c r="P56" s="214">
        <v>23.3</v>
      </c>
      <c r="Q56" s="214"/>
      <c r="R56" s="215">
        <f t="shared" si="3"/>
        <v>61.599999999999994</v>
      </c>
      <c r="S56" s="171">
        <v>2</v>
      </c>
      <c r="T56" s="285"/>
      <c r="U56" s="283"/>
      <c r="V56" s="178" t="s">
        <v>476</v>
      </c>
      <c r="W56" s="171" t="s">
        <v>869</v>
      </c>
      <c r="X56" s="171" t="s">
        <v>18</v>
      </c>
      <c r="Y56" s="179">
        <v>23.3</v>
      </c>
      <c r="Z56" s="178" t="s">
        <v>558</v>
      </c>
      <c r="AA56" s="171" t="s">
        <v>74</v>
      </c>
      <c r="AB56" s="171" t="s">
        <v>11</v>
      </c>
      <c r="AC56" s="171">
        <v>38.299999999999997</v>
      </c>
      <c r="AD56" s="178"/>
      <c r="AG56" s="179"/>
      <c r="AH56" s="253"/>
      <c r="AL56" s="178"/>
      <c r="AO56" s="179"/>
      <c r="AP56" s="178"/>
      <c r="AS56" s="179"/>
      <c r="AW56" s="179"/>
      <c r="BA56" s="180"/>
    </row>
    <row r="57" spans="1:53" s="171" customFormat="1" x14ac:dyDescent="0.15">
      <c r="A57" s="216">
        <v>1984</v>
      </c>
      <c r="B57" s="283"/>
      <c r="C57" s="410" t="s">
        <v>279</v>
      </c>
      <c r="D57" s="410"/>
      <c r="E57" s="171">
        <v>366</v>
      </c>
      <c r="G57" s="233">
        <v>6</v>
      </c>
      <c r="H57" s="171">
        <v>4</v>
      </c>
      <c r="J57" s="241">
        <v>10</v>
      </c>
      <c r="K57" s="214">
        <f t="shared" si="4"/>
        <v>60</v>
      </c>
      <c r="L57" s="214">
        <f t="shared" si="4"/>
        <v>40</v>
      </c>
      <c r="M57" s="214">
        <f t="shared" si="4"/>
        <v>0</v>
      </c>
      <c r="N57" s="235">
        <f t="shared" si="2"/>
        <v>100</v>
      </c>
      <c r="O57" s="213">
        <v>38.299999999999997</v>
      </c>
      <c r="P57" s="214">
        <v>23.3</v>
      </c>
      <c r="Q57" s="214"/>
      <c r="R57" s="215">
        <f t="shared" si="3"/>
        <v>61.599999999999994</v>
      </c>
      <c r="S57" s="171">
        <v>2</v>
      </c>
      <c r="T57" s="285"/>
      <c r="U57" s="283"/>
      <c r="V57" s="178" t="s">
        <v>476</v>
      </c>
      <c r="W57" s="171" t="s">
        <v>869</v>
      </c>
      <c r="X57" s="171" t="s">
        <v>18</v>
      </c>
      <c r="Y57" s="179">
        <v>23.3</v>
      </c>
      <c r="Z57" s="178" t="s">
        <v>558</v>
      </c>
      <c r="AA57" s="171" t="s">
        <v>74</v>
      </c>
      <c r="AB57" s="171" t="s">
        <v>11</v>
      </c>
      <c r="AC57" s="171">
        <v>38.299999999999997</v>
      </c>
      <c r="AD57" s="178"/>
      <c r="AG57" s="179"/>
      <c r="AH57" s="253"/>
      <c r="AL57" s="178"/>
      <c r="AO57" s="179"/>
      <c r="AP57" s="178"/>
      <c r="AS57" s="179"/>
      <c r="AW57" s="179"/>
      <c r="BA57" s="180"/>
    </row>
    <row r="58" spans="1:53" s="171" customFormat="1" x14ac:dyDescent="0.15">
      <c r="A58" s="216">
        <v>1985</v>
      </c>
      <c r="B58" s="283"/>
      <c r="C58" s="410" t="s">
        <v>279</v>
      </c>
      <c r="D58" s="410"/>
      <c r="E58" s="171">
        <v>0</v>
      </c>
      <c r="G58" s="233">
        <v>6</v>
      </c>
      <c r="H58" s="171">
        <v>4</v>
      </c>
      <c r="J58" s="241">
        <v>10</v>
      </c>
      <c r="K58" s="214">
        <f t="shared" si="4"/>
        <v>60</v>
      </c>
      <c r="L58" s="214">
        <f t="shared" si="4"/>
        <v>40</v>
      </c>
      <c r="M58" s="214">
        <f t="shared" si="4"/>
        <v>0</v>
      </c>
      <c r="N58" s="235">
        <f t="shared" si="2"/>
        <v>100</v>
      </c>
      <c r="O58" s="213">
        <v>38.299999999999997</v>
      </c>
      <c r="P58" s="214">
        <v>23.3</v>
      </c>
      <c r="Q58" s="214"/>
      <c r="R58" s="215">
        <f t="shared" si="3"/>
        <v>61.599999999999994</v>
      </c>
      <c r="S58" s="171">
        <v>2</v>
      </c>
      <c r="T58" s="285"/>
      <c r="U58" s="283"/>
      <c r="V58" s="178" t="s">
        <v>476</v>
      </c>
      <c r="W58" s="171" t="s">
        <v>869</v>
      </c>
      <c r="X58" s="171" t="s">
        <v>18</v>
      </c>
      <c r="Y58" s="179">
        <v>23.3</v>
      </c>
      <c r="Z58" s="178" t="s">
        <v>558</v>
      </c>
      <c r="AA58" s="171" t="s">
        <v>74</v>
      </c>
      <c r="AB58" s="171" t="s">
        <v>11</v>
      </c>
      <c r="AC58" s="171">
        <v>38.299999999999997</v>
      </c>
      <c r="AD58" s="178"/>
      <c r="AG58" s="179"/>
      <c r="AH58" s="253"/>
      <c r="AL58" s="178"/>
      <c r="AO58" s="179"/>
      <c r="AP58" s="178"/>
      <c r="AS58" s="179"/>
      <c r="AW58" s="179"/>
      <c r="BA58" s="180"/>
    </row>
    <row r="59" spans="1:53" s="171" customFormat="1" x14ac:dyDescent="0.15">
      <c r="A59" s="216">
        <v>1985</v>
      </c>
      <c r="B59" s="283"/>
      <c r="C59" s="410" t="s">
        <v>279</v>
      </c>
      <c r="D59" s="410"/>
      <c r="E59" s="171">
        <v>365</v>
      </c>
      <c r="G59" s="233">
        <v>6</v>
      </c>
      <c r="H59" s="171">
        <v>4</v>
      </c>
      <c r="J59" s="241">
        <v>10</v>
      </c>
      <c r="K59" s="214">
        <f t="shared" si="4"/>
        <v>60</v>
      </c>
      <c r="L59" s="214">
        <f t="shared" si="4"/>
        <v>40</v>
      </c>
      <c r="M59" s="214">
        <f t="shared" si="4"/>
        <v>0</v>
      </c>
      <c r="N59" s="235">
        <f t="shared" si="2"/>
        <v>100</v>
      </c>
      <c r="O59" s="213">
        <v>38.299999999999997</v>
      </c>
      <c r="P59" s="214">
        <v>23.3</v>
      </c>
      <c r="Q59" s="214"/>
      <c r="R59" s="215">
        <f t="shared" si="3"/>
        <v>61.599999999999994</v>
      </c>
      <c r="S59" s="171">
        <v>2</v>
      </c>
      <c r="T59" s="285"/>
      <c r="U59" s="283"/>
      <c r="V59" s="178" t="s">
        <v>476</v>
      </c>
      <c r="W59" s="171" t="s">
        <v>869</v>
      </c>
      <c r="X59" s="171" t="s">
        <v>18</v>
      </c>
      <c r="Y59" s="179">
        <v>23.3</v>
      </c>
      <c r="Z59" s="178" t="s">
        <v>558</v>
      </c>
      <c r="AA59" s="171" t="s">
        <v>74</v>
      </c>
      <c r="AB59" s="171" t="s">
        <v>11</v>
      </c>
      <c r="AC59" s="171">
        <v>38.299999999999997</v>
      </c>
      <c r="AD59" s="178"/>
      <c r="AG59" s="179"/>
      <c r="AH59" s="253"/>
      <c r="AL59" s="178"/>
      <c r="AO59" s="179"/>
      <c r="AP59" s="178"/>
      <c r="AS59" s="179"/>
      <c r="AW59" s="179"/>
      <c r="BA59" s="180"/>
    </row>
    <row r="60" spans="1:53" s="171" customFormat="1" x14ac:dyDescent="0.15">
      <c r="A60" s="216">
        <v>1986</v>
      </c>
      <c r="B60" s="283"/>
      <c r="C60" s="410" t="s">
        <v>279</v>
      </c>
      <c r="D60" s="410"/>
      <c r="E60" s="171">
        <v>0</v>
      </c>
      <c r="G60" s="233">
        <v>6</v>
      </c>
      <c r="H60" s="171">
        <v>4</v>
      </c>
      <c r="J60" s="241">
        <v>10</v>
      </c>
      <c r="K60" s="214">
        <f t="shared" si="4"/>
        <v>60</v>
      </c>
      <c r="L60" s="214">
        <f t="shared" si="4"/>
        <v>40</v>
      </c>
      <c r="M60" s="214">
        <f t="shared" si="4"/>
        <v>0</v>
      </c>
      <c r="N60" s="235">
        <f t="shared" si="2"/>
        <v>100</v>
      </c>
      <c r="O60" s="213">
        <v>38.299999999999997</v>
      </c>
      <c r="P60" s="214">
        <v>23.3</v>
      </c>
      <c r="Q60" s="214"/>
      <c r="R60" s="215">
        <f t="shared" si="3"/>
        <v>61.599999999999994</v>
      </c>
      <c r="S60" s="171">
        <v>2</v>
      </c>
      <c r="T60" s="285"/>
      <c r="U60" s="283"/>
      <c r="V60" s="178" t="s">
        <v>476</v>
      </c>
      <c r="W60" s="171" t="s">
        <v>869</v>
      </c>
      <c r="X60" s="171" t="s">
        <v>18</v>
      </c>
      <c r="Y60" s="179">
        <v>23.3</v>
      </c>
      <c r="Z60" s="178" t="s">
        <v>558</v>
      </c>
      <c r="AA60" s="171" t="s">
        <v>74</v>
      </c>
      <c r="AB60" s="171" t="s">
        <v>11</v>
      </c>
      <c r="AC60" s="171">
        <v>38.299999999999997</v>
      </c>
      <c r="AD60" s="178"/>
      <c r="AG60" s="179"/>
      <c r="AH60" s="253"/>
      <c r="AL60" s="178"/>
      <c r="AO60" s="179"/>
      <c r="AP60" s="178"/>
      <c r="AS60" s="179"/>
      <c r="AW60" s="179"/>
      <c r="BA60" s="180"/>
    </row>
    <row r="61" spans="1:53" s="171" customFormat="1" x14ac:dyDescent="0.15">
      <c r="A61" s="216">
        <v>1986</v>
      </c>
      <c r="B61" s="283"/>
      <c r="C61" s="410" t="s">
        <v>279</v>
      </c>
      <c r="D61" s="410"/>
      <c r="E61" s="171">
        <v>365</v>
      </c>
      <c r="G61" s="233">
        <v>6</v>
      </c>
      <c r="H61" s="171">
        <v>4</v>
      </c>
      <c r="J61" s="241">
        <v>10</v>
      </c>
      <c r="K61" s="214">
        <f t="shared" si="4"/>
        <v>60</v>
      </c>
      <c r="L61" s="214">
        <f t="shared" si="4"/>
        <v>40</v>
      </c>
      <c r="M61" s="214">
        <f t="shared" si="4"/>
        <v>0</v>
      </c>
      <c r="N61" s="235">
        <f t="shared" si="2"/>
        <v>100</v>
      </c>
      <c r="O61" s="213">
        <v>38.299999999999997</v>
      </c>
      <c r="P61" s="214">
        <v>23.3</v>
      </c>
      <c r="Q61" s="214"/>
      <c r="R61" s="215">
        <f t="shared" si="3"/>
        <v>61.599999999999994</v>
      </c>
      <c r="S61" s="171">
        <v>2</v>
      </c>
      <c r="T61" s="285"/>
      <c r="U61" s="283"/>
      <c r="V61" s="178" t="s">
        <v>476</v>
      </c>
      <c r="W61" s="171" t="s">
        <v>869</v>
      </c>
      <c r="X61" s="171" t="s">
        <v>18</v>
      </c>
      <c r="Y61" s="179">
        <v>23.3</v>
      </c>
      <c r="Z61" s="178" t="s">
        <v>558</v>
      </c>
      <c r="AA61" s="171" t="s">
        <v>74</v>
      </c>
      <c r="AB61" s="171" t="s">
        <v>11</v>
      </c>
      <c r="AC61" s="171">
        <v>38.299999999999997</v>
      </c>
      <c r="AD61" s="178"/>
      <c r="AG61" s="179"/>
      <c r="AH61" s="253"/>
      <c r="AL61" s="178"/>
      <c r="AO61" s="179"/>
      <c r="AP61" s="178"/>
      <c r="AS61" s="179"/>
      <c r="AW61" s="179"/>
      <c r="BA61" s="180"/>
    </row>
    <row r="62" spans="1:53" s="171" customFormat="1" x14ac:dyDescent="0.15">
      <c r="A62" s="216">
        <v>1987</v>
      </c>
      <c r="B62" s="283"/>
      <c r="C62" s="410" t="s">
        <v>279</v>
      </c>
      <c r="D62" s="410"/>
      <c r="E62" s="171">
        <v>188</v>
      </c>
      <c r="G62" s="233">
        <v>6</v>
      </c>
      <c r="H62" s="171">
        <v>4</v>
      </c>
      <c r="J62" s="241">
        <v>10</v>
      </c>
      <c r="K62" s="214">
        <f t="shared" si="4"/>
        <v>60</v>
      </c>
      <c r="L62" s="214">
        <f t="shared" si="4"/>
        <v>40</v>
      </c>
      <c r="M62" s="214">
        <f t="shared" si="4"/>
        <v>0</v>
      </c>
      <c r="N62" s="235">
        <f t="shared" si="2"/>
        <v>100</v>
      </c>
      <c r="O62" s="213">
        <v>38.299999999999997</v>
      </c>
      <c r="P62" s="214">
        <v>23.3</v>
      </c>
      <c r="Q62" s="214"/>
      <c r="R62" s="215">
        <f t="shared" si="3"/>
        <v>61.599999999999994</v>
      </c>
      <c r="S62" s="171">
        <v>2</v>
      </c>
      <c r="T62" s="285"/>
      <c r="U62" s="283"/>
      <c r="V62" s="178" t="s">
        <v>476</v>
      </c>
      <c r="W62" s="171" t="s">
        <v>869</v>
      </c>
      <c r="X62" s="171" t="s">
        <v>18</v>
      </c>
      <c r="Y62" s="179">
        <v>23.3</v>
      </c>
      <c r="Z62" s="178" t="s">
        <v>558</v>
      </c>
      <c r="AA62" s="171" t="s">
        <v>74</v>
      </c>
      <c r="AB62" s="171" t="s">
        <v>11</v>
      </c>
      <c r="AC62" s="171">
        <v>38.299999999999997</v>
      </c>
      <c r="AD62" s="178"/>
      <c r="AG62" s="179"/>
      <c r="AH62" s="253"/>
      <c r="AL62" s="178"/>
      <c r="AO62" s="179"/>
      <c r="AP62" s="178"/>
      <c r="AS62" s="179"/>
      <c r="AW62" s="179"/>
      <c r="BA62" s="180"/>
    </row>
    <row r="63" spans="1:53" s="29" customFormat="1" x14ac:dyDescent="0.15">
      <c r="A63" s="52">
        <v>1987</v>
      </c>
      <c r="B63" s="295">
        <v>31966</v>
      </c>
      <c r="C63" s="411" t="s">
        <v>1168</v>
      </c>
      <c r="D63" s="411"/>
      <c r="E63" s="29">
        <f>365-E62</f>
        <v>177</v>
      </c>
      <c r="F63" s="29">
        <v>1</v>
      </c>
      <c r="G63" s="66">
        <v>4</v>
      </c>
      <c r="H63" s="29">
        <v>4</v>
      </c>
      <c r="I63" s="29">
        <v>3</v>
      </c>
      <c r="J63" s="73">
        <v>11</v>
      </c>
      <c r="K63" s="47">
        <f t="shared" si="4"/>
        <v>36.363636363636367</v>
      </c>
      <c r="L63" s="47">
        <f t="shared" si="4"/>
        <v>36.363636363636367</v>
      </c>
      <c r="M63" s="47">
        <f t="shared" si="4"/>
        <v>27.27272727272727</v>
      </c>
      <c r="N63" s="68">
        <f t="shared" si="2"/>
        <v>100</v>
      </c>
      <c r="O63" s="46">
        <v>28.6</v>
      </c>
      <c r="P63" s="47">
        <v>20.6</v>
      </c>
      <c r="Q63" s="47">
        <v>15.8</v>
      </c>
      <c r="R63" s="48">
        <f t="shared" si="3"/>
        <v>65</v>
      </c>
      <c r="S63" s="29">
        <v>2</v>
      </c>
      <c r="T63" s="286">
        <v>31892</v>
      </c>
      <c r="U63" s="295">
        <v>31966</v>
      </c>
      <c r="V63" s="38" t="s">
        <v>476</v>
      </c>
      <c r="W63" s="29" t="s">
        <v>869</v>
      </c>
      <c r="X63" s="29" t="s">
        <v>18</v>
      </c>
      <c r="Y63" s="39">
        <v>20.6</v>
      </c>
      <c r="Z63" s="38" t="s">
        <v>558</v>
      </c>
      <c r="AA63" s="29" t="s">
        <v>74</v>
      </c>
      <c r="AB63" s="29" t="s">
        <v>11</v>
      </c>
      <c r="AC63" s="29">
        <v>28.6</v>
      </c>
      <c r="AD63" s="38" t="s">
        <v>111</v>
      </c>
      <c r="AE63" s="29" t="s">
        <v>20</v>
      </c>
      <c r="AF63" s="29" t="s">
        <v>12</v>
      </c>
      <c r="AG63" s="39">
        <v>15.8</v>
      </c>
      <c r="AH63" s="94"/>
      <c r="AL63" s="38"/>
      <c r="AO63" s="39"/>
      <c r="AP63" s="38"/>
      <c r="AS63" s="39"/>
      <c r="AW63" s="39"/>
      <c r="BA63" s="40"/>
    </row>
    <row r="64" spans="1:53" s="29" customFormat="1" x14ac:dyDescent="0.15">
      <c r="A64" s="52">
        <v>1988</v>
      </c>
      <c r="B64" s="295"/>
      <c r="C64" s="411" t="s">
        <v>1168</v>
      </c>
      <c r="D64" s="411"/>
      <c r="E64" s="29">
        <v>272</v>
      </c>
      <c r="G64" s="66">
        <v>4</v>
      </c>
      <c r="H64" s="29">
        <v>4</v>
      </c>
      <c r="I64" s="29">
        <v>3</v>
      </c>
      <c r="J64" s="73">
        <v>11</v>
      </c>
      <c r="K64" s="47">
        <f t="shared" si="4"/>
        <v>36.363636363636367</v>
      </c>
      <c r="L64" s="47">
        <f t="shared" si="4"/>
        <v>36.363636363636367</v>
      </c>
      <c r="M64" s="47">
        <f t="shared" si="4"/>
        <v>27.27272727272727</v>
      </c>
      <c r="N64" s="68">
        <f t="shared" si="2"/>
        <v>100</v>
      </c>
      <c r="O64" s="46">
        <v>28.6</v>
      </c>
      <c r="P64" s="47">
        <v>20.6</v>
      </c>
      <c r="Q64" s="47">
        <v>15.8</v>
      </c>
      <c r="R64" s="48">
        <f t="shared" si="3"/>
        <v>65</v>
      </c>
      <c r="S64" s="29">
        <v>2</v>
      </c>
      <c r="T64" s="286"/>
      <c r="U64" s="295"/>
      <c r="V64" s="38" t="s">
        <v>476</v>
      </c>
      <c r="W64" s="29" t="s">
        <v>869</v>
      </c>
      <c r="X64" s="29" t="s">
        <v>18</v>
      </c>
      <c r="Y64" s="39">
        <v>20.6</v>
      </c>
      <c r="Z64" s="38" t="s">
        <v>558</v>
      </c>
      <c r="AA64" s="29" t="s">
        <v>74</v>
      </c>
      <c r="AB64" s="29" t="s">
        <v>11</v>
      </c>
      <c r="AC64" s="29">
        <v>28.6</v>
      </c>
      <c r="AD64" s="38" t="s">
        <v>111</v>
      </c>
      <c r="AE64" s="29" t="s">
        <v>20</v>
      </c>
      <c r="AF64" s="29" t="s">
        <v>12</v>
      </c>
      <c r="AG64" s="39">
        <v>15.8</v>
      </c>
      <c r="AH64" s="94"/>
      <c r="AL64" s="38"/>
      <c r="AO64" s="39"/>
      <c r="AP64" s="38"/>
      <c r="AS64" s="39"/>
      <c r="AW64" s="39"/>
      <c r="BA64" s="40"/>
    </row>
    <row r="65" spans="1:53" s="171" customFormat="1" x14ac:dyDescent="0.15">
      <c r="A65" s="216">
        <v>1988</v>
      </c>
      <c r="B65" s="283">
        <v>32415</v>
      </c>
      <c r="C65" s="410" t="s">
        <v>280</v>
      </c>
      <c r="D65" s="410"/>
      <c r="E65" s="171">
        <f>366-E64</f>
        <v>94</v>
      </c>
      <c r="F65" s="171">
        <v>5</v>
      </c>
      <c r="G65" s="233"/>
      <c r="H65" s="171">
        <v>3</v>
      </c>
      <c r="I65" s="171">
        <v>6</v>
      </c>
      <c r="J65" s="241">
        <v>9</v>
      </c>
      <c r="K65" s="214">
        <f t="shared" si="4"/>
        <v>0</v>
      </c>
      <c r="L65" s="214">
        <f t="shared" si="4"/>
        <v>33.333333333333329</v>
      </c>
      <c r="M65" s="214">
        <f t="shared" si="4"/>
        <v>66.666666666666657</v>
      </c>
      <c r="N65" s="235">
        <f t="shared" si="2"/>
        <v>99.999999999999986</v>
      </c>
      <c r="O65" s="213"/>
      <c r="P65" s="214">
        <v>20.6</v>
      </c>
      <c r="Q65" s="214">
        <v>28.5</v>
      </c>
      <c r="R65" s="215">
        <f t="shared" si="3"/>
        <v>49.1</v>
      </c>
      <c r="S65" s="171">
        <v>5</v>
      </c>
      <c r="T65" s="285"/>
      <c r="U65" s="283">
        <v>32415</v>
      </c>
      <c r="V65" s="178" t="s">
        <v>476</v>
      </c>
      <c r="W65" s="171" t="s">
        <v>869</v>
      </c>
      <c r="X65" s="171" t="s">
        <v>18</v>
      </c>
      <c r="Y65" s="179">
        <v>20.6</v>
      </c>
      <c r="Z65" s="171" t="s">
        <v>111</v>
      </c>
      <c r="AA65" s="171" t="s">
        <v>20</v>
      </c>
      <c r="AB65" s="171" t="s">
        <v>12</v>
      </c>
      <c r="AC65" s="171">
        <v>15.8</v>
      </c>
      <c r="AD65" s="178" t="s">
        <v>559</v>
      </c>
      <c r="AE65" s="171" t="s">
        <v>113</v>
      </c>
      <c r="AF65" s="171" t="s">
        <v>12</v>
      </c>
      <c r="AG65" s="179">
        <v>12.7</v>
      </c>
      <c r="AH65" s="253"/>
      <c r="AL65" s="178"/>
      <c r="AO65" s="179"/>
      <c r="AP65" s="178"/>
      <c r="AS65" s="179"/>
      <c r="AW65" s="179"/>
      <c r="BA65" s="180"/>
    </row>
    <row r="66" spans="1:53" s="171" customFormat="1" x14ac:dyDescent="0.15">
      <c r="A66" s="216">
        <v>1989</v>
      </c>
      <c r="B66" s="283"/>
      <c r="C66" s="410" t="s">
        <v>280</v>
      </c>
      <c r="D66" s="410"/>
      <c r="E66" s="171">
        <v>270</v>
      </c>
      <c r="G66" s="233"/>
      <c r="H66" s="171">
        <v>3</v>
      </c>
      <c r="I66" s="171">
        <v>6</v>
      </c>
      <c r="J66" s="241">
        <v>9</v>
      </c>
      <c r="K66" s="214">
        <f t="shared" si="4"/>
        <v>0</v>
      </c>
      <c r="L66" s="214">
        <f t="shared" si="4"/>
        <v>33.333333333333329</v>
      </c>
      <c r="M66" s="214">
        <f t="shared" si="4"/>
        <v>66.666666666666657</v>
      </c>
      <c r="N66" s="235">
        <f t="shared" si="2"/>
        <v>99.999999999999986</v>
      </c>
      <c r="O66" s="213"/>
      <c r="P66" s="214">
        <v>20.6</v>
      </c>
      <c r="Q66" s="214">
        <v>28.5</v>
      </c>
      <c r="R66" s="215">
        <f t="shared" si="3"/>
        <v>49.1</v>
      </c>
      <c r="S66" s="171">
        <v>5</v>
      </c>
      <c r="T66" s="285"/>
      <c r="U66" s="283"/>
      <c r="V66" s="178" t="s">
        <v>476</v>
      </c>
      <c r="W66" s="171" t="s">
        <v>869</v>
      </c>
      <c r="X66" s="171" t="s">
        <v>18</v>
      </c>
      <c r="Y66" s="179">
        <v>20.6</v>
      </c>
      <c r="Z66" s="171" t="s">
        <v>111</v>
      </c>
      <c r="AA66" s="171" t="s">
        <v>20</v>
      </c>
      <c r="AB66" s="171" t="s">
        <v>12</v>
      </c>
      <c r="AC66" s="171">
        <v>15.8</v>
      </c>
      <c r="AD66" s="178" t="s">
        <v>559</v>
      </c>
      <c r="AE66" s="171" t="s">
        <v>113</v>
      </c>
      <c r="AF66" s="171" t="s">
        <v>12</v>
      </c>
      <c r="AG66" s="179">
        <v>12.7</v>
      </c>
      <c r="AH66" s="253"/>
      <c r="AL66" s="178"/>
      <c r="AO66" s="179"/>
      <c r="AP66" s="178"/>
      <c r="AS66" s="179"/>
      <c r="AW66" s="179"/>
      <c r="BA66" s="180"/>
    </row>
    <row r="67" spans="1:53" s="29" customFormat="1" x14ac:dyDescent="0.15">
      <c r="A67" s="52">
        <v>1989</v>
      </c>
      <c r="B67" s="295">
        <v>32779</v>
      </c>
      <c r="C67" s="411" t="s">
        <v>281</v>
      </c>
      <c r="D67" s="411"/>
      <c r="E67" s="29">
        <f>365-E66</f>
        <v>95</v>
      </c>
      <c r="F67" s="29">
        <v>7</v>
      </c>
      <c r="G67" s="66">
        <v>2</v>
      </c>
      <c r="H67" s="29">
        <v>3</v>
      </c>
      <c r="I67" s="29">
        <v>6</v>
      </c>
      <c r="J67" s="73">
        <v>11</v>
      </c>
      <c r="K67" s="47">
        <f t="shared" si="4"/>
        <v>18.181818181818183</v>
      </c>
      <c r="L67" s="47">
        <f t="shared" si="4"/>
        <v>27.27272727272727</v>
      </c>
      <c r="M67" s="47">
        <f t="shared" si="4"/>
        <v>54.54545454545454</v>
      </c>
      <c r="N67" s="68">
        <f t="shared" si="2"/>
        <v>100</v>
      </c>
      <c r="O67" s="46">
        <v>11.1</v>
      </c>
      <c r="P67" s="47">
        <v>20.6</v>
      </c>
      <c r="Q67" s="47">
        <v>28.5</v>
      </c>
      <c r="R67" s="48">
        <f t="shared" si="3"/>
        <v>60.2</v>
      </c>
      <c r="S67" s="29">
        <v>2</v>
      </c>
      <c r="T67" s="286"/>
      <c r="U67" s="295">
        <v>32779</v>
      </c>
      <c r="V67" s="38" t="s">
        <v>476</v>
      </c>
      <c r="W67" s="29" t="s">
        <v>869</v>
      </c>
      <c r="X67" s="29" t="s">
        <v>18</v>
      </c>
      <c r="Y67" s="39">
        <v>20.6</v>
      </c>
      <c r="Z67" s="29" t="s">
        <v>111</v>
      </c>
      <c r="AA67" s="29" t="s">
        <v>20</v>
      </c>
      <c r="AB67" s="29" t="s">
        <v>12</v>
      </c>
      <c r="AC67" s="29">
        <v>15.8</v>
      </c>
      <c r="AD67" s="38" t="s">
        <v>501</v>
      </c>
      <c r="AE67" s="29" t="s">
        <v>117</v>
      </c>
      <c r="AF67" s="29" t="s">
        <v>11</v>
      </c>
      <c r="AG67" s="39">
        <v>11.1</v>
      </c>
      <c r="AH67" s="29" t="s">
        <v>559</v>
      </c>
      <c r="AI67" s="29" t="s">
        <v>113</v>
      </c>
      <c r="AJ67" s="29" t="s">
        <v>12</v>
      </c>
      <c r="AK67" s="29">
        <v>12.7</v>
      </c>
      <c r="AL67" s="38"/>
      <c r="AO67" s="39"/>
      <c r="AP67" s="38"/>
      <c r="AS67" s="39"/>
      <c r="AW67" s="39"/>
      <c r="BA67" s="40"/>
    </row>
    <row r="68" spans="1:53" s="85" customFormat="1" x14ac:dyDescent="0.15">
      <c r="A68" s="85">
        <v>1990</v>
      </c>
      <c r="B68" s="312"/>
      <c r="C68" s="440" t="s">
        <v>281</v>
      </c>
      <c r="D68" s="440"/>
      <c r="E68" s="85">
        <v>0</v>
      </c>
      <c r="G68" s="95">
        <v>2</v>
      </c>
      <c r="H68" s="85">
        <v>3</v>
      </c>
      <c r="I68" s="85">
        <v>6</v>
      </c>
      <c r="J68" s="96">
        <v>11</v>
      </c>
      <c r="K68" s="97">
        <f t="shared" si="4"/>
        <v>18.181818181818183</v>
      </c>
      <c r="L68" s="97">
        <f t="shared" si="4"/>
        <v>27.27272727272727</v>
      </c>
      <c r="M68" s="97">
        <f t="shared" si="4"/>
        <v>54.54545454545454</v>
      </c>
      <c r="N68" s="98">
        <f t="shared" si="2"/>
        <v>100</v>
      </c>
      <c r="O68" s="99">
        <v>11.1</v>
      </c>
      <c r="P68" s="97">
        <v>20.6</v>
      </c>
      <c r="Q68" s="97">
        <v>28.5</v>
      </c>
      <c r="R68" s="100">
        <f t="shared" si="3"/>
        <v>60.2</v>
      </c>
      <c r="S68" s="85">
        <v>2</v>
      </c>
      <c r="T68" s="313"/>
      <c r="U68" s="312"/>
      <c r="V68" s="101" t="s">
        <v>476</v>
      </c>
      <c r="W68" s="85" t="s">
        <v>869</v>
      </c>
      <c r="X68" s="85" t="s">
        <v>18</v>
      </c>
      <c r="Y68" s="102">
        <v>20.6</v>
      </c>
      <c r="Z68" s="85" t="s">
        <v>111</v>
      </c>
      <c r="AA68" s="85" t="s">
        <v>20</v>
      </c>
      <c r="AB68" s="85" t="s">
        <v>12</v>
      </c>
      <c r="AC68" s="85">
        <v>15.8</v>
      </c>
      <c r="AD68" s="101" t="s">
        <v>501</v>
      </c>
      <c r="AE68" s="85" t="s">
        <v>117</v>
      </c>
      <c r="AF68" s="85" t="s">
        <v>11</v>
      </c>
      <c r="AG68" s="102">
        <v>11.1</v>
      </c>
      <c r="AH68" s="85" t="s">
        <v>559</v>
      </c>
      <c r="AI68" s="85" t="s">
        <v>113</v>
      </c>
      <c r="AJ68" s="85" t="s">
        <v>12</v>
      </c>
      <c r="AK68" s="85">
        <v>12.7</v>
      </c>
      <c r="AL68" s="101"/>
      <c r="AO68" s="102"/>
      <c r="AP68" s="101"/>
      <c r="AS68" s="102"/>
      <c r="AW68" s="102"/>
      <c r="BA68" s="103"/>
    </row>
    <row r="69" spans="1:53" s="29" customFormat="1" x14ac:dyDescent="0.15">
      <c r="A69" s="29">
        <v>1990</v>
      </c>
      <c r="B69" s="295"/>
      <c r="C69" s="411" t="s">
        <v>281</v>
      </c>
      <c r="D69" s="411"/>
      <c r="E69" s="29">
        <f>365-E68</f>
        <v>365</v>
      </c>
      <c r="G69" s="66">
        <v>2</v>
      </c>
      <c r="H69" s="29">
        <v>3</v>
      </c>
      <c r="I69" s="29">
        <v>6</v>
      </c>
      <c r="J69" s="73">
        <v>11</v>
      </c>
      <c r="K69" s="47">
        <f t="shared" si="4"/>
        <v>18.181818181818183</v>
      </c>
      <c r="L69" s="47">
        <f t="shared" si="4"/>
        <v>27.27272727272727</v>
      </c>
      <c r="M69" s="47">
        <f t="shared" si="4"/>
        <v>54.54545454545454</v>
      </c>
      <c r="N69" s="68">
        <f t="shared" si="2"/>
        <v>100</v>
      </c>
      <c r="O69" s="46">
        <v>11.1</v>
      </c>
      <c r="P69" s="47">
        <v>20.6</v>
      </c>
      <c r="Q69" s="47">
        <v>28.5</v>
      </c>
      <c r="R69" s="48">
        <f t="shared" si="3"/>
        <v>60.2</v>
      </c>
      <c r="S69" s="29">
        <v>2</v>
      </c>
      <c r="T69" s="286"/>
      <c r="U69" s="295"/>
      <c r="V69" s="38" t="s">
        <v>476</v>
      </c>
      <c r="W69" s="29" t="s">
        <v>869</v>
      </c>
      <c r="X69" s="29" t="s">
        <v>18</v>
      </c>
      <c r="Y69" s="39">
        <v>20.6</v>
      </c>
      <c r="Z69" s="29" t="s">
        <v>111</v>
      </c>
      <c r="AA69" s="29" t="s">
        <v>20</v>
      </c>
      <c r="AB69" s="29" t="s">
        <v>12</v>
      </c>
      <c r="AC69" s="29">
        <v>15.8</v>
      </c>
      <c r="AD69" s="38" t="s">
        <v>501</v>
      </c>
      <c r="AE69" s="29" t="s">
        <v>117</v>
      </c>
      <c r="AF69" s="29" t="s">
        <v>11</v>
      </c>
      <c r="AG69" s="39">
        <v>11.1</v>
      </c>
      <c r="AH69" s="29" t="s">
        <v>559</v>
      </c>
      <c r="AI69" s="29" t="s">
        <v>113</v>
      </c>
      <c r="AJ69" s="29" t="s">
        <v>12</v>
      </c>
      <c r="AK69" s="29">
        <v>12.7</v>
      </c>
      <c r="AL69" s="38"/>
      <c r="AO69" s="39"/>
      <c r="AP69" s="38"/>
      <c r="AS69" s="39"/>
      <c r="AW69" s="39"/>
      <c r="BA69" s="40"/>
    </row>
    <row r="70" spans="1:53" s="29" customFormat="1" x14ac:dyDescent="0.15">
      <c r="A70" s="29">
        <v>1991</v>
      </c>
      <c r="B70" s="295"/>
      <c r="C70" s="411" t="s">
        <v>281</v>
      </c>
      <c r="D70" s="411"/>
      <c r="E70" s="29">
        <v>119</v>
      </c>
      <c r="G70" s="66">
        <v>2</v>
      </c>
      <c r="H70" s="29">
        <v>3</v>
      </c>
      <c r="I70" s="29">
        <v>6</v>
      </c>
      <c r="J70" s="73">
        <v>11</v>
      </c>
      <c r="K70" s="47">
        <f t="shared" si="4"/>
        <v>18.181818181818183</v>
      </c>
      <c r="L70" s="47">
        <f t="shared" si="4"/>
        <v>27.27272727272727</v>
      </c>
      <c r="M70" s="47">
        <f t="shared" si="4"/>
        <v>54.54545454545454</v>
      </c>
      <c r="N70" s="68">
        <f t="shared" si="2"/>
        <v>100</v>
      </c>
      <c r="O70" s="46">
        <v>11.1</v>
      </c>
      <c r="P70" s="47">
        <v>20.6</v>
      </c>
      <c r="Q70" s="47">
        <v>28.5</v>
      </c>
      <c r="R70" s="48">
        <f t="shared" si="3"/>
        <v>60.2</v>
      </c>
      <c r="S70" s="29">
        <v>2</v>
      </c>
      <c r="T70" s="286"/>
      <c r="U70" s="295"/>
      <c r="V70" s="38" t="s">
        <v>476</v>
      </c>
      <c r="W70" s="29" t="s">
        <v>869</v>
      </c>
      <c r="X70" s="29" t="s">
        <v>18</v>
      </c>
      <c r="Y70" s="39">
        <v>20.6</v>
      </c>
      <c r="Z70" s="29" t="s">
        <v>111</v>
      </c>
      <c r="AA70" s="29" t="s">
        <v>20</v>
      </c>
      <c r="AB70" s="29" t="s">
        <v>12</v>
      </c>
      <c r="AC70" s="29">
        <v>15.8</v>
      </c>
      <c r="AD70" s="38" t="s">
        <v>501</v>
      </c>
      <c r="AE70" s="29" t="s">
        <v>117</v>
      </c>
      <c r="AF70" s="29" t="s">
        <v>11</v>
      </c>
      <c r="AG70" s="39">
        <v>11.1</v>
      </c>
      <c r="AH70" s="29" t="s">
        <v>559</v>
      </c>
      <c r="AI70" s="29" t="s">
        <v>113</v>
      </c>
      <c r="AJ70" s="29" t="s">
        <v>12</v>
      </c>
      <c r="AK70" s="29">
        <v>12.7</v>
      </c>
      <c r="AL70" s="38"/>
      <c r="AO70" s="39"/>
      <c r="AP70" s="38"/>
      <c r="AS70" s="39"/>
      <c r="AW70" s="39"/>
      <c r="BA70" s="40"/>
    </row>
    <row r="71" spans="1:53" s="171" customFormat="1" x14ac:dyDescent="0.15">
      <c r="A71" s="171">
        <v>1991</v>
      </c>
      <c r="B71" s="283">
        <v>33358</v>
      </c>
      <c r="C71" s="410" t="s">
        <v>282</v>
      </c>
      <c r="D71" s="410"/>
      <c r="E71" s="171">
        <f>365-E70</f>
        <v>246</v>
      </c>
      <c r="F71" s="171">
        <v>1</v>
      </c>
      <c r="G71" s="233">
        <v>5</v>
      </c>
      <c r="I71" s="171">
        <v>5</v>
      </c>
      <c r="J71" s="241">
        <v>10</v>
      </c>
      <c r="K71" s="214">
        <f t="shared" si="4"/>
        <v>50</v>
      </c>
      <c r="L71" s="214">
        <f t="shared" si="4"/>
        <v>0</v>
      </c>
      <c r="M71" s="214">
        <f t="shared" si="4"/>
        <v>50</v>
      </c>
      <c r="N71" s="235">
        <f t="shared" si="2"/>
        <v>100</v>
      </c>
      <c r="O71" s="213">
        <v>41.3</v>
      </c>
      <c r="P71" s="214"/>
      <c r="Q71" s="214">
        <v>15.9</v>
      </c>
      <c r="R71" s="215">
        <f t="shared" si="3"/>
        <v>57.199999999999996</v>
      </c>
      <c r="S71" s="171">
        <v>2</v>
      </c>
      <c r="T71" s="285">
        <v>33348</v>
      </c>
      <c r="U71" s="283">
        <v>33358</v>
      </c>
      <c r="V71" s="178" t="s">
        <v>558</v>
      </c>
      <c r="W71" s="171" t="s">
        <v>74</v>
      </c>
      <c r="X71" s="171" t="s">
        <v>11</v>
      </c>
      <c r="Y71" s="179">
        <v>41.3</v>
      </c>
      <c r="Z71" s="171" t="s">
        <v>111</v>
      </c>
      <c r="AA71" s="171" t="s">
        <v>20</v>
      </c>
      <c r="AB71" s="171" t="s">
        <v>12</v>
      </c>
      <c r="AC71" s="171">
        <v>15.9</v>
      </c>
      <c r="AD71" s="178"/>
      <c r="AG71" s="179"/>
      <c r="AH71" s="253"/>
      <c r="AL71" s="178"/>
      <c r="AO71" s="179"/>
      <c r="AP71" s="178"/>
      <c r="AS71" s="179"/>
      <c r="AW71" s="179"/>
      <c r="BA71" s="180"/>
    </row>
    <row r="72" spans="1:53" s="171" customFormat="1" x14ac:dyDescent="0.15">
      <c r="A72" s="171">
        <v>1992</v>
      </c>
      <c r="B72" s="283"/>
      <c r="C72" s="410" t="s">
        <v>282</v>
      </c>
      <c r="D72" s="410"/>
      <c r="E72" s="171">
        <v>0</v>
      </c>
      <c r="G72" s="233">
        <v>5</v>
      </c>
      <c r="I72" s="171">
        <v>5</v>
      </c>
      <c r="J72" s="241">
        <v>10</v>
      </c>
      <c r="K72" s="214">
        <f t="shared" ref="K72:M115" si="5">G72/$J72*100</f>
        <v>50</v>
      </c>
      <c r="L72" s="214">
        <f t="shared" si="5"/>
        <v>0</v>
      </c>
      <c r="M72" s="214">
        <f t="shared" si="5"/>
        <v>50</v>
      </c>
      <c r="N72" s="235">
        <f t="shared" si="2"/>
        <v>100</v>
      </c>
      <c r="O72" s="213">
        <v>41.3</v>
      </c>
      <c r="P72" s="214"/>
      <c r="Q72" s="214">
        <v>15.9</v>
      </c>
      <c r="R72" s="215">
        <f t="shared" si="3"/>
        <v>57.199999999999996</v>
      </c>
      <c r="S72" s="171">
        <v>2</v>
      </c>
      <c r="T72" s="285"/>
      <c r="U72" s="283"/>
      <c r="V72" s="178" t="s">
        <v>558</v>
      </c>
      <c r="W72" s="171" t="s">
        <v>74</v>
      </c>
      <c r="X72" s="171" t="s">
        <v>11</v>
      </c>
      <c r="Y72" s="179">
        <v>41.3</v>
      </c>
      <c r="Z72" s="171" t="s">
        <v>111</v>
      </c>
      <c r="AA72" s="171" t="s">
        <v>20</v>
      </c>
      <c r="AB72" s="171" t="s">
        <v>12</v>
      </c>
      <c r="AC72" s="171">
        <v>15.9</v>
      </c>
      <c r="AD72" s="178"/>
      <c r="AG72" s="179"/>
      <c r="AH72" s="253"/>
      <c r="AL72" s="178"/>
      <c r="AO72" s="179"/>
      <c r="AP72" s="178"/>
      <c r="AS72" s="179"/>
      <c r="AW72" s="179"/>
      <c r="BA72" s="180"/>
    </row>
    <row r="73" spans="1:53" s="171" customFormat="1" x14ac:dyDescent="0.15">
      <c r="A73" s="171">
        <v>1992</v>
      </c>
      <c r="B73" s="283"/>
      <c r="C73" s="410" t="s">
        <v>282</v>
      </c>
      <c r="D73" s="410"/>
      <c r="E73" s="171">
        <v>366</v>
      </c>
      <c r="G73" s="233">
        <v>5</v>
      </c>
      <c r="I73" s="171">
        <v>5</v>
      </c>
      <c r="J73" s="241">
        <v>10</v>
      </c>
      <c r="K73" s="214">
        <f t="shared" si="5"/>
        <v>50</v>
      </c>
      <c r="L73" s="214">
        <f t="shared" si="5"/>
        <v>0</v>
      </c>
      <c r="M73" s="214">
        <f t="shared" si="5"/>
        <v>50</v>
      </c>
      <c r="N73" s="235">
        <f t="shared" ref="N73:N115" si="6">K73+L73+M73</f>
        <v>100</v>
      </c>
      <c r="O73" s="213">
        <v>41.3</v>
      </c>
      <c r="P73" s="214"/>
      <c r="Q73" s="214">
        <v>15.9</v>
      </c>
      <c r="R73" s="215">
        <f t="shared" si="3"/>
        <v>57.199999999999996</v>
      </c>
      <c r="S73" s="171">
        <v>2</v>
      </c>
      <c r="T73" s="285"/>
      <c r="U73" s="283"/>
      <c r="V73" s="178" t="s">
        <v>558</v>
      </c>
      <c r="W73" s="171" t="s">
        <v>74</v>
      </c>
      <c r="X73" s="171" t="s">
        <v>11</v>
      </c>
      <c r="Y73" s="179">
        <v>41.3</v>
      </c>
      <c r="Z73" s="171" t="s">
        <v>111</v>
      </c>
      <c r="AA73" s="171" t="s">
        <v>20</v>
      </c>
      <c r="AB73" s="171" t="s">
        <v>12</v>
      </c>
      <c r="AC73" s="171">
        <v>15.9</v>
      </c>
      <c r="AD73" s="178"/>
      <c r="AG73" s="179"/>
      <c r="AH73" s="253"/>
      <c r="AL73" s="178"/>
      <c r="AO73" s="179"/>
      <c r="AP73" s="178"/>
      <c r="AS73" s="179"/>
      <c r="AW73" s="179"/>
      <c r="BA73" s="180"/>
    </row>
    <row r="74" spans="1:53" s="171" customFormat="1" x14ac:dyDescent="0.15">
      <c r="A74" s="171">
        <v>1993</v>
      </c>
      <c r="B74" s="283"/>
      <c r="C74" s="410" t="s">
        <v>282</v>
      </c>
      <c r="D74" s="410"/>
      <c r="E74" s="171">
        <v>0</v>
      </c>
      <c r="G74" s="233">
        <v>5</v>
      </c>
      <c r="I74" s="171">
        <v>5</v>
      </c>
      <c r="J74" s="241">
        <v>10</v>
      </c>
      <c r="K74" s="214">
        <f t="shared" si="5"/>
        <v>50</v>
      </c>
      <c r="L74" s="214">
        <f t="shared" si="5"/>
        <v>0</v>
      </c>
      <c r="M74" s="214">
        <f t="shared" si="5"/>
        <v>50</v>
      </c>
      <c r="N74" s="235">
        <f t="shared" si="6"/>
        <v>100</v>
      </c>
      <c r="O74" s="213">
        <v>41.3</v>
      </c>
      <c r="P74" s="214"/>
      <c r="Q74" s="214">
        <v>15.9</v>
      </c>
      <c r="R74" s="215">
        <f t="shared" ref="R74:R114" si="7">O74+P74+Q74</f>
        <v>57.199999999999996</v>
      </c>
      <c r="S74" s="171">
        <v>2</v>
      </c>
      <c r="T74" s="285"/>
      <c r="U74" s="283"/>
      <c r="V74" s="178" t="s">
        <v>558</v>
      </c>
      <c r="W74" s="171" t="s">
        <v>74</v>
      </c>
      <c r="X74" s="171" t="s">
        <v>11</v>
      </c>
      <c r="Y74" s="179">
        <v>41.3</v>
      </c>
      <c r="Z74" s="171" t="s">
        <v>111</v>
      </c>
      <c r="AA74" s="171" t="s">
        <v>20</v>
      </c>
      <c r="AB74" s="171" t="s">
        <v>12</v>
      </c>
      <c r="AC74" s="171">
        <v>15.9</v>
      </c>
      <c r="AD74" s="178"/>
      <c r="AG74" s="179"/>
      <c r="AH74" s="253"/>
      <c r="AL74" s="178"/>
      <c r="AO74" s="179"/>
      <c r="AP74" s="178"/>
      <c r="AS74" s="179"/>
      <c r="AW74" s="179"/>
      <c r="BA74" s="180"/>
    </row>
    <row r="75" spans="1:53" s="171" customFormat="1" x14ac:dyDescent="0.15">
      <c r="A75" s="171">
        <v>1993</v>
      </c>
      <c r="B75" s="283"/>
      <c r="C75" s="410" t="s">
        <v>282</v>
      </c>
      <c r="D75" s="410"/>
      <c r="E75" s="171">
        <f>365-E74</f>
        <v>365</v>
      </c>
      <c r="G75" s="233">
        <v>5</v>
      </c>
      <c r="I75" s="171">
        <v>5</v>
      </c>
      <c r="J75" s="241">
        <v>10</v>
      </c>
      <c r="K75" s="214">
        <f t="shared" si="5"/>
        <v>50</v>
      </c>
      <c r="L75" s="214">
        <f t="shared" si="5"/>
        <v>0</v>
      </c>
      <c r="M75" s="214">
        <f t="shared" si="5"/>
        <v>50</v>
      </c>
      <c r="N75" s="235">
        <f t="shared" si="6"/>
        <v>100</v>
      </c>
      <c r="O75" s="213">
        <v>41.3</v>
      </c>
      <c r="P75" s="214"/>
      <c r="Q75" s="214">
        <v>15.9</v>
      </c>
      <c r="R75" s="215">
        <f t="shared" si="7"/>
        <v>57.199999999999996</v>
      </c>
      <c r="S75" s="171">
        <v>2</v>
      </c>
      <c r="T75" s="285"/>
      <c r="U75" s="283"/>
      <c r="V75" s="178" t="s">
        <v>558</v>
      </c>
      <c r="W75" s="171" t="s">
        <v>74</v>
      </c>
      <c r="X75" s="171" t="s">
        <v>11</v>
      </c>
      <c r="Y75" s="179">
        <v>41.3</v>
      </c>
      <c r="Z75" s="171" t="s">
        <v>111</v>
      </c>
      <c r="AA75" s="171" t="s">
        <v>20</v>
      </c>
      <c r="AB75" s="171" t="s">
        <v>12</v>
      </c>
      <c r="AC75" s="171">
        <v>15.9</v>
      </c>
      <c r="AD75" s="178"/>
      <c r="AG75" s="179"/>
      <c r="AH75" s="253"/>
      <c r="AL75" s="178"/>
      <c r="AO75" s="179"/>
      <c r="AP75" s="178"/>
      <c r="AS75" s="179"/>
      <c r="AW75" s="179"/>
      <c r="BA75" s="180"/>
    </row>
    <row r="76" spans="1:53" s="171" customFormat="1" x14ac:dyDescent="0.15">
      <c r="A76" s="171">
        <v>1994</v>
      </c>
      <c r="B76" s="283"/>
      <c r="C76" s="410" t="s">
        <v>282</v>
      </c>
      <c r="D76" s="410"/>
      <c r="E76" s="171">
        <v>174</v>
      </c>
      <c r="G76" s="233">
        <v>5</v>
      </c>
      <c r="I76" s="171">
        <v>5</v>
      </c>
      <c r="J76" s="241">
        <v>10</v>
      </c>
      <c r="K76" s="214">
        <f t="shared" si="5"/>
        <v>50</v>
      </c>
      <c r="L76" s="214">
        <f t="shared" si="5"/>
        <v>0</v>
      </c>
      <c r="M76" s="214">
        <f t="shared" si="5"/>
        <v>50</v>
      </c>
      <c r="N76" s="235">
        <f t="shared" si="6"/>
        <v>100</v>
      </c>
      <c r="O76" s="213">
        <v>41.3</v>
      </c>
      <c r="P76" s="214"/>
      <c r="Q76" s="214">
        <v>15.9</v>
      </c>
      <c r="R76" s="215">
        <f t="shared" si="7"/>
        <v>57.199999999999996</v>
      </c>
      <c r="S76" s="171">
        <v>2</v>
      </c>
      <c r="T76" s="285"/>
      <c r="U76" s="283"/>
      <c r="V76" s="178" t="s">
        <v>558</v>
      </c>
      <c r="W76" s="171" t="s">
        <v>74</v>
      </c>
      <c r="X76" s="171" t="s">
        <v>11</v>
      </c>
      <c r="Y76" s="179">
        <v>41.3</v>
      </c>
      <c r="Z76" s="171" t="s">
        <v>111</v>
      </c>
      <c r="AA76" s="171" t="s">
        <v>20</v>
      </c>
      <c r="AB76" s="171" t="s">
        <v>12</v>
      </c>
      <c r="AC76" s="171">
        <v>15.9</v>
      </c>
      <c r="AD76" s="178"/>
      <c r="AG76" s="179"/>
      <c r="AH76" s="253"/>
      <c r="AL76" s="178"/>
      <c r="AO76" s="179"/>
      <c r="AP76" s="178"/>
      <c r="AS76" s="179"/>
      <c r="AW76" s="179"/>
      <c r="BA76" s="180"/>
    </row>
    <row r="77" spans="1:53" s="171" customFormat="1" x14ac:dyDescent="0.15">
      <c r="A77" s="171">
        <v>1994</v>
      </c>
      <c r="B77" s="305">
        <v>34509</v>
      </c>
      <c r="C77" s="410" t="s">
        <v>282</v>
      </c>
      <c r="D77" s="410"/>
      <c r="E77" s="171">
        <f>365-E76</f>
        <v>191</v>
      </c>
      <c r="F77" s="244">
        <v>0</v>
      </c>
      <c r="G77" s="233">
        <v>5</v>
      </c>
      <c r="I77" s="171">
        <v>4</v>
      </c>
      <c r="J77" s="241">
        <v>9</v>
      </c>
      <c r="K77" s="214">
        <f t="shared" si="5"/>
        <v>55.555555555555557</v>
      </c>
      <c r="L77" s="214">
        <f t="shared" si="5"/>
        <v>0</v>
      </c>
      <c r="M77" s="214">
        <f t="shared" si="5"/>
        <v>44.444444444444443</v>
      </c>
      <c r="N77" s="235">
        <f t="shared" si="6"/>
        <v>100</v>
      </c>
      <c r="O77" s="213">
        <v>41.3</v>
      </c>
      <c r="P77" s="214"/>
      <c r="Q77" s="214">
        <v>15.9</v>
      </c>
      <c r="R77" s="215">
        <f t="shared" si="7"/>
        <v>57.199999999999996</v>
      </c>
      <c r="S77" s="171">
        <v>2</v>
      </c>
      <c r="T77" s="285"/>
      <c r="U77" s="283"/>
      <c r="V77" s="178" t="s">
        <v>558</v>
      </c>
      <c r="W77" s="171" t="s">
        <v>74</v>
      </c>
      <c r="X77" s="171" t="s">
        <v>11</v>
      </c>
      <c r="Y77" s="179">
        <v>41.3</v>
      </c>
      <c r="Z77" s="171" t="s">
        <v>111</v>
      </c>
      <c r="AA77" s="171" t="s">
        <v>20</v>
      </c>
      <c r="AB77" s="171" t="s">
        <v>12</v>
      </c>
      <c r="AC77" s="171">
        <v>15.9</v>
      </c>
      <c r="AD77" s="178"/>
      <c r="AG77" s="179"/>
      <c r="AH77" s="253"/>
      <c r="AL77" s="178"/>
      <c r="AO77" s="179"/>
      <c r="AP77" s="178"/>
      <c r="AS77" s="179"/>
      <c r="AW77" s="179"/>
      <c r="BA77" s="180"/>
    </row>
    <row r="78" spans="1:53" s="171" customFormat="1" x14ac:dyDescent="0.15">
      <c r="A78" s="171">
        <v>1995</v>
      </c>
      <c r="B78" s="283"/>
      <c r="C78" s="410" t="s">
        <v>282</v>
      </c>
      <c r="D78" s="410"/>
      <c r="E78" s="171">
        <v>112</v>
      </c>
      <c r="G78" s="233">
        <v>5</v>
      </c>
      <c r="I78" s="171">
        <v>4</v>
      </c>
      <c r="J78" s="241">
        <v>9</v>
      </c>
      <c r="K78" s="214">
        <f t="shared" si="5"/>
        <v>55.555555555555557</v>
      </c>
      <c r="L78" s="214">
        <f t="shared" si="5"/>
        <v>0</v>
      </c>
      <c r="M78" s="214">
        <f t="shared" si="5"/>
        <v>44.444444444444443</v>
      </c>
      <c r="N78" s="235">
        <f t="shared" si="6"/>
        <v>100</v>
      </c>
      <c r="O78" s="213">
        <v>41.3</v>
      </c>
      <c r="P78" s="214"/>
      <c r="Q78" s="214">
        <v>15.9</v>
      </c>
      <c r="R78" s="215">
        <f t="shared" si="7"/>
        <v>57.199999999999996</v>
      </c>
      <c r="S78" s="171">
        <v>2</v>
      </c>
      <c r="T78" s="285"/>
      <c r="U78" s="283"/>
      <c r="V78" s="178" t="s">
        <v>558</v>
      </c>
      <c r="W78" s="171" t="s">
        <v>74</v>
      </c>
      <c r="X78" s="171" t="s">
        <v>11</v>
      </c>
      <c r="Y78" s="179">
        <v>41.3</v>
      </c>
      <c r="Z78" s="171" t="s">
        <v>111</v>
      </c>
      <c r="AA78" s="171" t="s">
        <v>20</v>
      </c>
      <c r="AB78" s="171" t="s">
        <v>12</v>
      </c>
      <c r="AC78" s="171">
        <v>15.9</v>
      </c>
      <c r="AD78" s="178"/>
      <c r="AG78" s="179"/>
      <c r="AH78" s="253"/>
      <c r="AL78" s="178"/>
      <c r="AO78" s="179"/>
      <c r="AP78" s="178"/>
      <c r="AS78" s="179"/>
      <c r="AW78" s="179"/>
      <c r="BA78" s="180"/>
    </row>
    <row r="79" spans="1:53" s="29" customFormat="1" x14ac:dyDescent="0.15">
      <c r="A79" s="29">
        <v>1995</v>
      </c>
      <c r="B79" s="295">
        <v>34812</v>
      </c>
      <c r="C79" s="411" t="s">
        <v>283</v>
      </c>
      <c r="D79" s="411"/>
      <c r="E79" s="29">
        <f>365-E78</f>
        <v>253</v>
      </c>
      <c r="F79" s="29">
        <v>1</v>
      </c>
      <c r="G79" s="66">
        <v>5</v>
      </c>
      <c r="H79" s="29">
        <v>5</v>
      </c>
      <c r="J79" s="73">
        <v>10</v>
      </c>
      <c r="K79" s="47">
        <f t="shared" si="5"/>
        <v>50</v>
      </c>
      <c r="L79" s="47">
        <f t="shared" si="5"/>
        <v>50</v>
      </c>
      <c r="M79" s="47">
        <f t="shared" si="5"/>
        <v>0</v>
      </c>
      <c r="N79" s="68">
        <f t="shared" si="6"/>
        <v>100</v>
      </c>
      <c r="O79" s="46">
        <v>39.700000000000003</v>
      </c>
      <c r="P79" s="47">
        <v>23.8</v>
      </c>
      <c r="Q79" s="47"/>
      <c r="R79" s="48">
        <f t="shared" si="7"/>
        <v>63.5</v>
      </c>
      <c r="S79" s="29">
        <v>2</v>
      </c>
      <c r="T79" s="286">
        <v>34797</v>
      </c>
      <c r="U79" s="295">
        <v>34812</v>
      </c>
      <c r="V79" s="38" t="s">
        <v>558</v>
      </c>
      <c r="W79" s="29" t="s">
        <v>74</v>
      </c>
      <c r="X79" s="29" t="s">
        <v>11</v>
      </c>
      <c r="Y79" s="39">
        <v>39.700000000000003</v>
      </c>
      <c r="Z79" s="38" t="s">
        <v>476</v>
      </c>
      <c r="AA79" s="29" t="s">
        <v>869</v>
      </c>
      <c r="AB79" s="29" t="s">
        <v>18</v>
      </c>
      <c r="AC79" s="29">
        <v>23.8</v>
      </c>
      <c r="AD79" s="38"/>
      <c r="AG79" s="39"/>
      <c r="AH79" s="94"/>
      <c r="AL79" s="38"/>
      <c r="AO79" s="39"/>
      <c r="AP79" s="38"/>
      <c r="AS79" s="39"/>
      <c r="AW79" s="39"/>
      <c r="BA79" s="40"/>
    </row>
    <row r="80" spans="1:53" s="29" customFormat="1" x14ac:dyDescent="0.15">
      <c r="A80" s="29">
        <v>1996</v>
      </c>
      <c r="B80" s="295"/>
      <c r="C80" s="411" t="s">
        <v>283</v>
      </c>
      <c r="D80" s="411"/>
      <c r="E80" s="29">
        <v>0</v>
      </c>
      <c r="G80" s="66">
        <v>5</v>
      </c>
      <c r="H80" s="29">
        <v>5</v>
      </c>
      <c r="J80" s="73">
        <v>10</v>
      </c>
      <c r="K80" s="47">
        <f t="shared" si="5"/>
        <v>50</v>
      </c>
      <c r="L80" s="47">
        <f t="shared" si="5"/>
        <v>50</v>
      </c>
      <c r="M80" s="47">
        <f t="shared" si="5"/>
        <v>0</v>
      </c>
      <c r="N80" s="68">
        <f t="shared" si="6"/>
        <v>100</v>
      </c>
      <c r="O80" s="46">
        <v>39.700000000000003</v>
      </c>
      <c r="P80" s="47">
        <v>23.8</v>
      </c>
      <c r="Q80" s="47"/>
      <c r="R80" s="48">
        <f t="shared" si="7"/>
        <v>63.5</v>
      </c>
      <c r="S80" s="29">
        <v>2</v>
      </c>
      <c r="T80" s="286"/>
      <c r="U80" s="295"/>
      <c r="V80" s="38" t="s">
        <v>558</v>
      </c>
      <c r="W80" s="29" t="s">
        <v>74</v>
      </c>
      <c r="X80" s="29" t="s">
        <v>11</v>
      </c>
      <c r="Y80" s="39">
        <v>39.700000000000003</v>
      </c>
      <c r="Z80" s="38" t="s">
        <v>476</v>
      </c>
      <c r="AA80" s="29" t="s">
        <v>869</v>
      </c>
      <c r="AB80" s="29" t="s">
        <v>18</v>
      </c>
      <c r="AC80" s="29">
        <v>23.8</v>
      </c>
      <c r="AD80" s="38"/>
      <c r="AG80" s="39"/>
      <c r="AH80" s="94"/>
      <c r="AL80" s="38"/>
      <c r="AO80" s="39"/>
      <c r="AP80" s="38"/>
      <c r="AS80" s="39"/>
      <c r="AW80" s="39"/>
      <c r="BA80" s="40"/>
    </row>
    <row r="81" spans="1:53" s="29" customFormat="1" x14ac:dyDescent="0.15">
      <c r="A81" s="29">
        <v>1996</v>
      </c>
      <c r="B81" s="295"/>
      <c r="C81" s="411" t="s">
        <v>283</v>
      </c>
      <c r="D81" s="411"/>
      <c r="E81" s="29">
        <v>366</v>
      </c>
      <c r="G81" s="66">
        <v>5</v>
      </c>
      <c r="H81" s="29">
        <v>5</v>
      </c>
      <c r="J81" s="73">
        <v>10</v>
      </c>
      <c r="K81" s="47">
        <f t="shared" si="5"/>
        <v>50</v>
      </c>
      <c r="L81" s="47">
        <f t="shared" si="5"/>
        <v>50</v>
      </c>
      <c r="M81" s="47">
        <f t="shared" si="5"/>
        <v>0</v>
      </c>
      <c r="N81" s="68">
        <f t="shared" si="6"/>
        <v>100</v>
      </c>
      <c r="O81" s="46">
        <v>39.700000000000003</v>
      </c>
      <c r="P81" s="47">
        <v>23.8</v>
      </c>
      <c r="Q81" s="47"/>
      <c r="R81" s="48">
        <f t="shared" si="7"/>
        <v>63.5</v>
      </c>
      <c r="S81" s="29">
        <v>2</v>
      </c>
      <c r="T81" s="286"/>
      <c r="U81" s="295"/>
      <c r="V81" s="38" t="s">
        <v>558</v>
      </c>
      <c r="W81" s="29" t="s">
        <v>74</v>
      </c>
      <c r="X81" s="29" t="s">
        <v>11</v>
      </c>
      <c r="Y81" s="39">
        <v>39.700000000000003</v>
      </c>
      <c r="Z81" s="38" t="s">
        <v>476</v>
      </c>
      <c r="AA81" s="29" t="s">
        <v>869</v>
      </c>
      <c r="AB81" s="29" t="s">
        <v>18</v>
      </c>
      <c r="AC81" s="29">
        <v>23.8</v>
      </c>
      <c r="AD81" s="38"/>
      <c r="AG81" s="39"/>
      <c r="AH81" s="94"/>
      <c r="AL81" s="38"/>
      <c r="AO81" s="39"/>
      <c r="AP81" s="38"/>
      <c r="AS81" s="39"/>
      <c r="AW81" s="39"/>
      <c r="BA81" s="40"/>
    </row>
    <row r="82" spans="1:53" s="29" customFormat="1" x14ac:dyDescent="0.15">
      <c r="A82" s="29">
        <v>1997</v>
      </c>
      <c r="B82" s="295"/>
      <c r="C82" s="411" t="s">
        <v>283</v>
      </c>
      <c r="D82" s="411"/>
      <c r="E82" s="29">
        <v>0</v>
      </c>
      <c r="G82" s="66">
        <v>5</v>
      </c>
      <c r="H82" s="29">
        <v>5</v>
      </c>
      <c r="J82" s="73">
        <v>10</v>
      </c>
      <c r="K82" s="47">
        <f t="shared" si="5"/>
        <v>50</v>
      </c>
      <c r="L82" s="47">
        <f t="shared" si="5"/>
        <v>50</v>
      </c>
      <c r="M82" s="47">
        <f t="shared" si="5"/>
        <v>0</v>
      </c>
      <c r="N82" s="68">
        <f t="shared" si="6"/>
        <v>100</v>
      </c>
      <c r="O82" s="46">
        <v>39.700000000000003</v>
      </c>
      <c r="P82" s="47">
        <v>23.8</v>
      </c>
      <c r="Q82" s="47"/>
      <c r="R82" s="48">
        <f t="shared" si="7"/>
        <v>63.5</v>
      </c>
      <c r="S82" s="29">
        <v>2</v>
      </c>
      <c r="T82" s="286"/>
      <c r="U82" s="295"/>
      <c r="V82" s="38" t="s">
        <v>558</v>
      </c>
      <c r="W82" s="29" t="s">
        <v>74</v>
      </c>
      <c r="X82" s="29" t="s">
        <v>11</v>
      </c>
      <c r="Y82" s="39">
        <v>39.700000000000003</v>
      </c>
      <c r="Z82" s="38" t="s">
        <v>476</v>
      </c>
      <c r="AA82" s="29" t="s">
        <v>869</v>
      </c>
      <c r="AB82" s="29" t="s">
        <v>18</v>
      </c>
      <c r="AC82" s="29">
        <v>23.8</v>
      </c>
      <c r="AD82" s="38"/>
      <c r="AG82" s="39"/>
      <c r="AH82" s="94"/>
      <c r="AL82" s="38"/>
      <c r="AO82" s="39"/>
      <c r="AP82" s="38"/>
      <c r="AS82" s="39"/>
      <c r="AW82" s="39"/>
      <c r="BA82" s="40"/>
    </row>
    <row r="83" spans="1:53" s="29" customFormat="1" x14ac:dyDescent="0.15">
      <c r="A83" s="29">
        <v>1997</v>
      </c>
      <c r="B83" s="295"/>
      <c r="C83" s="411" t="s">
        <v>283</v>
      </c>
      <c r="D83" s="411"/>
      <c r="E83" s="29">
        <f>365-E82</f>
        <v>365</v>
      </c>
      <c r="G83" s="66">
        <v>5</v>
      </c>
      <c r="H83" s="29">
        <v>5</v>
      </c>
      <c r="J83" s="73">
        <v>10</v>
      </c>
      <c r="K83" s="47">
        <f t="shared" si="5"/>
        <v>50</v>
      </c>
      <c r="L83" s="47">
        <f t="shared" si="5"/>
        <v>50</v>
      </c>
      <c r="M83" s="47">
        <f t="shared" si="5"/>
        <v>0</v>
      </c>
      <c r="N83" s="68">
        <f t="shared" si="6"/>
        <v>100</v>
      </c>
      <c r="O83" s="46">
        <v>39.700000000000003</v>
      </c>
      <c r="P83" s="47">
        <v>23.8</v>
      </c>
      <c r="Q83" s="47"/>
      <c r="R83" s="48">
        <f t="shared" si="7"/>
        <v>63.5</v>
      </c>
      <c r="S83" s="29">
        <v>2</v>
      </c>
      <c r="T83" s="286"/>
      <c r="U83" s="295"/>
      <c r="V83" s="38" t="s">
        <v>558</v>
      </c>
      <c r="W83" s="29" t="s">
        <v>74</v>
      </c>
      <c r="X83" s="29" t="s">
        <v>11</v>
      </c>
      <c r="Y83" s="39">
        <v>39.700000000000003</v>
      </c>
      <c r="Z83" s="38" t="s">
        <v>476</v>
      </c>
      <c r="AA83" s="29" t="s">
        <v>869</v>
      </c>
      <c r="AB83" s="29" t="s">
        <v>18</v>
      </c>
      <c r="AC83" s="29">
        <v>23.8</v>
      </c>
      <c r="AD83" s="38"/>
      <c r="AG83" s="39"/>
      <c r="AH83" s="94"/>
      <c r="AL83" s="38"/>
      <c r="AO83" s="39"/>
      <c r="AP83" s="38"/>
      <c r="AS83" s="39"/>
      <c r="AW83" s="39"/>
      <c r="BA83" s="40"/>
    </row>
    <row r="84" spans="1:53" s="29" customFormat="1" x14ac:dyDescent="0.15">
      <c r="A84" s="29">
        <v>1998</v>
      </c>
      <c r="B84" s="295"/>
      <c r="C84" s="411" t="s">
        <v>283</v>
      </c>
      <c r="D84" s="411"/>
      <c r="E84" s="29">
        <v>0</v>
      </c>
      <c r="G84" s="66">
        <v>5</v>
      </c>
      <c r="H84" s="29">
        <v>5</v>
      </c>
      <c r="J84" s="73">
        <v>10</v>
      </c>
      <c r="K84" s="47">
        <f t="shared" si="5"/>
        <v>50</v>
      </c>
      <c r="L84" s="47">
        <f t="shared" si="5"/>
        <v>50</v>
      </c>
      <c r="M84" s="47">
        <f t="shared" si="5"/>
        <v>0</v>
      </c>
      <c r="N84" s="68">
        <f t="shared" si="6"/>
        <v>100</v>
      </c>
      <c r="O84" s="46">
        <v>39.700000000000003</v>
      </c>
      <c r="P84" s="47">
        <v>23.8</v>
      </c>
      <c r="Q84" s="47"/>
      <c r="R84" s="48">
        <f t="shared" si="7"/>
        <v>63.5</v>
      </c>
      <c r="S84" s="29">
        <v>2</v>
      </c>
      <c r="T84" s="286"/>
      <c r="U84" s="295"/>
      <c r="V84" s="38" t="s">
        <v>558</v>
      </c>
      <c r="W84" s="29" t="s">
        <v>74</v>
      </c>
      <c r="X84" s="29" t="s">
        <v>11</v>
      </c>
      <c r="Y84" s="39">
        <v>39.700000000000003</v>
      </c>
      <c r="Z84" s="38" t="s">
        <v>476</v>
      </c>
      <c r="AA84" s="29" t="s">
        <v>869</v>
      </c>
      <c r="AB84" s="29" t="s">
        <v>18</v>
      </c>
      <c r="AC84" s="29">
        <v>23.8</v>
      </c>
      <c r="AD84" s="38"/>
      <c r="AG84" s="39"/>
      <c r="AH84" s="94"/>
      <c r="AL84" s="38"/>
      <c r="AO84" s="39"/>
      <c r="AP84" s="38"/>
      <c r="AS84" s="39"/>
      <c r="AW84" s="39"/>
      <c r="BA84" s="40"/>
    </row>
    <row r="85" spans="1:53" s="29" customFormat="1" x14ac:dyDescent="0.15">
      <c r="A85" s="29">
        <v>1998</v>
      </c>
      <c r="B85" s="295"/>
      <c r="C85" s="411" t="s">
        <v>283</v>
      </c>
      <c r="D85" s="411"/>
      <c r="E85" s="29">
        <f>365-E84</f>
        <v>365</v>
      </c>
      <c r="G85" s="66">
        <v>5</v>
      </c>
      <c r="H85" s="29">
        <v>5</v>
      </c>
      <c r="J85" s="73">
        <v>10</v>
      </c>
      <c r="K85" s="47">
        <f t="shared" si="5"/>
        <v>50</v>
      </c>
      <c r="L85" s="47">
        <f t="shared" si="5"/>
        <v>50</v>
      </c>
      <c r="M85" s="47">
        <f t="shared" si="5"/>
        <v>0</v>
      </c>
      <c r="N85" s="68">
        <f t="shared" si="6"/>
        <v>100</v>
      </c>
      <c r="O85" s="46">
        <v>39.700000000000003</v>
      </c>
      <c r="P85" s="47">
        <v>23.8</v>
      </c>
      <c r="Q85" s="47"/>
      <c r="R85" s="48">
        <f t="shared" si="7"/>
        <v>63.5</v>
      </c>
      <c r="S85" s="29">
        <v>2</v>
      </c>
      <c r="T85" s="286"/>
      <c r="U85" s="295"/>
      <c r="V85" s="38" t="s">
        <v>558</v>
      </c>
      <c r="W85" s="29" t="s">
        <v>74</v>
      </c>
      <c r="X85" s="29" t="s">
        <v>11</v>
      </c>
      <c r="Y85" s="39">
        <v>39.700000000000003</v>
      </c>
      <c r="Z85" s="38" t="s">
        <v>476</v>
      </c>
      <c r="AA85" s="29" t="s">
        <v>869</v>
      </c>
      <c r="AB85" s="29" t="s">
        <v>18</v>
      </c>
      <c r="AC85" s="29">
        <v>23.8</v>
      </c>
      <c r="AD85" s="38"/>
      <c r="AG85" s="39"/>
      <c r="AH85" s="94"/>
      <c r="AL85" s="38"/>
      <c r="AO85" s="39"/>
      <c r="AP85" s="38"/>
      <c r="AS85" s="39"/>
      <c r="AW85" s="39"/>
      <c r="BA85" s="40"/>
    </row>
    <row r="86" spans="1:53" s="29" customFormat="1" x14ac:dyDescent="0.15">
      <c r="A86" s="29">
        <v>1999</v>
      </c>
      <c r="B86" s="295"/>
      <c r="C86" s="411" t="s">
        <v>283</v>
      </c>
      <c r="D86" s="411"/>
      <c r="E86" s="29">
        <v>147</v>
      </c>
      <c r="G86" s="66">
        <v>5</v>
      </c>
      <c r="H86" s="29">
        <v>5</v>
      </c>
      <c r="J86" s="73">
        <v>10</v>
      </c>
      <c r="K86" s="47">
        <f t="shared" si="5"/>
        <v>50</v>
      </c>
      <c r="L86" s="47">
        <f t="shared" si="5"/>
        <v>50</v>
      </c>
      <c r="M86" s="47">
        <f t="shared" si="5"/>
        <v>0</v>
      </c>
      <c r="N86" s="68">
        <f t="shared" si="6"/>
        <v>100</v>
      </c>
      <c r="O86" s="46">
        <v>39.700000000000003</v>
      </c>
      <c r="P86" s="47">
        <v>23.8</v>
      </c>
      <c r="Q86" s="47"/>
      <c r="R86" s="48">
        <f t="shared" si="7"/>
        <v>63.5</v>
      </c>
      <c r="S86" s="29">
        <v>2</v>
      </c>
      <c r="T86" s="286"/>
      <c r="U86" s="295"/>
      <c r="V86" s="38" t="s">
        <v>558</v>
      </c>
      <c r="W86" s="29" t="s">
        <v>74</v>
      </c>
      <c r="X86" s="29" t="s">
        <v>11</v>
      </c>
      <c r="Y86" s="39">
        <v>39.700000000000003</v>
      </c>
      <c r="Z86" s="38" t="s">
        <v>476</v>
      </c>
      <c r="AA86" s="29" t="s">
        <v>869</v>
      </c>
      <c r="AB86" s="29" t="s">
        <v>18</v>
      </c>
      <c r="AC86" s="29">
        <v>23.8</v>
      </c>
      <c r="AD86" s="38"/>
      <c r="AG86" s="39"/>
      <c r="AH86" s="94"/>
      <c r="AL86" s="38"/>
      <c r="AO86" s="39"/>
      <c r="AP86" s="38"/>
      <c r="AS86" s="39"/>
      <c r="AW86" s="39"/>
      <c r="BA86" s="40"/>
    </row>
    <row r="87" spans="1:53" s="171" customFormat="1" x14ac:dyDescent="0.15">
      <c r="A87" s="171">
        <v>1999</v>
      </c>
      <c r="B87" s="283">
        <v>36308</v>
      </c>
      <c r="C87" s="410" t="s">
        <v>284</v>
      </c>
      <c r="D87" s="410"/>
      <c r="E87" s="171">
        <f>365-E86</f>
        <v>218</v>
      </c>
      <c r="F87" s="171">
        <v>1</v>
      </c>
      <c r="G87" s="233">
        <v>6</v>
      </c>
      <c r="H87" s="171">
        <v>6</v>
      </c>
      <c r="J87" s="241">
        <v>12</v>
      </c>
      <c r="K87" s="214">
        <f t="shared" si="5"/>
        <v>50</v>
      </c>
      <c r="L87" s="214">
        <f t="shared" si="5"/>
        <v>50</v>
      </c>
      <c r="M87" s="214">
        <f t="shared" si="5"/>
        <v>0</v>
      </c>
      <c r="N87" s="235">
        <f t="shared" si="6"/>
        <v>100</v>
      </c>
      <c r="O87" s="213">
        <v>41.3</v>
      </c>
      <c r="P87" s="214">
        <v>19</v>
      </c>
      <c r="Q87" s="214"/>
      <c r="R87" s="215">
        <f t="shared" si="7"/>
        <v>60.3</v>
      </c>
      <c r="S87" s="171">
        <v>2</v>
      </c>
      <c r="T87" s="285">
        <v>36288</v>
      </c>
      <c r="U87" s="283">
        <v>36308</v>
      </c>
      <c r="V87" s="178" t="s">
        <v>558</v>
      </c>
      <c r="W87" s="171" t="s">
        <v>74</v>
      </c>
      <c r="X87" s="171" t="s">
        <v>11</v>
      </c>
      <c r="Y87" s="179">
        <v>41.3</v>
      </c>
      <c r="Z87" s="178" t="s">
        <v>476</v>
      </c>
      <c r="AA87" s="171" t="s">
        <v>869</v>
      </c>
      <c r="AB87" s="171" t="s">
        <v>18</v>
      </c>
      <c r="AC87" s="171">
        <v>19</v>
      </c>
      <c r="AD87" s="178"/>
      <c r="AG87" s="179"/>
      <c r="AH87" s="253"/>
      <c r="AL87" s="178"/>
      <c r="AO87" s="179"/>
      <c r="AP87" s="178"/>
      <c r="AS87" s="179"/>
      <c r="AW87" s="179"/>
      <c r="BA87" s="180"/>
    </row>
    <row r="88" spans="1:53" s="171" customFormat="1" x14ac:dyDescent="0.15">
      <c r="A88" s="171">
        <v>2000</v>
      </c>
      <c r="B88" s="283"/>
      <c r="C88" s="410" t="s">
        <v>284</v>
      </c>
      <c r="D88" s="410"/>
      <c r="E88" s="171">
        <v>0</v>
      </c>
      <c r="G88" s="233">
        <v>6</v>
      </c>
      <c r="H88" s="171">
        <v>6</v>
      </c>
      <c r="J88" s="241">
        <v>12</v>
      </c>
      <c r="K88" s="214">
        <f t="shared" si="5"/>
        <v>50</v>
      </c>
      <c r="L88" s="214">
        <f t="shared" si="5"/>
        <v>50</v>
      </c>
      <c r="M88" s="214">
        <f t="shared" si="5"/>
        <v>0</v>
      </c>
      <c r="N88" s="235">
        <f t="shared" si="6"/>
        <v>100</v>
      </c>
      <c r="O88" s="213">
        <v>41.3</v>
      </c>
      <c r="P88" s="214">
        <v>19</v>
      </c>
      <c r="Q88" s="214"/>
      <c r="R88" s="215">
        <f t="shared" si="7"/>
        <v>60.3</v>
      </c>
      <c r="S88" s="171">
        <v>2</v>
      </c>
      <c r="T88" s="285"/>
      <c r="U88" s="283"/>
      <c r="V88" s="178" t="s">
        <v>558</v>
      </c>
      <c r="W88" s="171" t="s">
        <v>74</v>
      </c>
      <c r="X88" s="171" t="s">
        <v>11</v>
      </c>
      <c r="Y88" s="179">
        <v>41.3</v>
      </c>
      <c r="Z88" s="178" t="s">
        <v>476</v>
      </c>
      <c r="AA88" s="171" t="s">
        <v>869</v>
      </c>
      <c r="AB88" s="171" t="s">
        <v>18</v>
      </c>
      <c r="AC88" s="171">
        <v>19</v>
      </c>
      <c r="AD88" s="178"/>
      <c r="AG88" s="179"/>
      <c r="AH88" s="253"/>
      <c r="AL88" s="178"/>
      <c r="AO88" s="179"/>
      <c r="AP88" s="178"/>
      <c r="AS88" s="179"/>
      <c r="AW88" s="179"/>
      <c r="BA88" s="180"/>
    </row>
    <row r="89" spans="1:53" s="171" customFormat="1" x14ac:dyDescent="0.15">
      <c r="A89" s="171">
        <v>2000</v>
      </c>
      <c r="B89" s="283"/>
      <c r="C89" s="410" t="s">
        <v>284</v>
      </c>
      <c r="D89" s="410"/>
      <c r="E89" s="171">
        <v>366</v>
      </c>
      <c r="G89" s="233">
        <v>6</v>
      </c>
      <c r="H89" s="171">
        <v>6</v>
      </c>
      <c r="J89" s="241">
        <v>12</v>
      </c>
      <c r="K89" s="214">
        <f t="shared" si="5"/>
        <v>50</v>
      </c>
      <c r="L89" s="214">
        <f t="shared" si="5"/>
        <v>50</v>
      </c>
      <c r="M89" s="214">
        <f t="shared" si="5"/>
        <v>0</v>
      </c>
      <c r="N89" s="235">
        <f t="shared" si="6"/>
        <v>100</v>
      </c>
      <c r="O89" s="213">
        <v>41.3</v>
      </c>
      <c r="P89" s="214">
        <v>19</v>
      </c>
      <c r="Q89" s="214"/>
      <c r="R89" s="215">
        <f t="shared" si="7"/>
        <v>60.3</v>
      </c>
      <c r="S89" s="171">
        <v>2</v>
      </c>
      <c r="T89" s="285"/>
      <c r="U89" s="283"/>
      <c r="V89" s="178" t="s">
        <v>558</v>
      </c>
      <c r="W89" s="171" t="s">
        <v>74</v>
      </c>
      <c r="X89" s="171" t="s">
        <v>11</v>
      </c>
      <c r="Y89" s="179">
        <v>41.3</v>
      </c>
      <c r="Z89" s="178" t="s">
        <v>476</v>
      </c>
      <c r="AA89" s="171" t="s">
        <v>869</v>
      </c>
      <c r="AB89" s="171" t="s">
        <v>18</v>
      </c>
      <c r="AC89" s="171">
        <v>19</v>
      </c>
      <c r="AD89" s="178"/>
      <c r="AG89" s="179"/>
      <c r="AH89" s="253"/>
      <c r="AL89" s="178"/>
      <c r="AO89" s="179"/>
      <c r="AP89" s="178"/>
      <c r="AS89" s="179"/>
      <c r="AW89" s="179"/>
      <c r="BA89" s="180"/>
    </row>
    <row r="90" spans="1:53" s="171" customFormat="1" x14ac:dyDescent="0.15">
      <c r="A90" s="171">
        <v>2001</v>
      </c>
      <c r="B90" s="283"/>
      <c r="C90" s="410" t="s">
        <v>284</v>
      </c>
      <c r="D90" s="410"/>
      <c r="E90" s="171">
        <v>0</v>
      </c>
      <c r="G90" s="233">
        <v>6</v>
      </c>
      <c r="H90" s="171">
        <v>6</v>
      </c>
      <c r="J90" s="241">
        <v>12</v>
      </c>
      <c r="K90" s="214">
        <f t="shared" si="5"/>
        <v>50</v>
      </c>
      <c r="L90" s="214">
        <f t="shared" si="5"/>
        <v>50</v>
      </c>
      <c r="M90" s="214">
        <f t="shared" si="5"/>
        <v>0</v>
      </c>
      <c r="N90" s="235">
        <f t="shared" si="6"/>
        <v>100</v>
      </c>
      <c r="O90" s="213">
        <v>41.3</v>
      </c>
      <c r="P90" s="214">
        <v>19</v>
      </c>
      <c r="Q90" s="214"/>
      <c r="R90" s="215">
        <f t="shared" si="7"/>
        <v>60.3</v>
      </c>
      <c r="S90" s="171">
        <v>2</v>
      </c>
      <c r="T90" s="285"/>
      <c r="U90" s="283"/>
      <c r="V90" s="178" t="s">
        <v>558</v>
      </c>
      <c r="W90" s="171" t="s">
        <v>74</v>
      </c>
      <c r="X90" s="171" t="s">
        <v>11</v>
      </c>
      <c r="Y90" s="179">
        <v>41.3</v>
      </c>
      <c r="Z90" s="178" t="s">
        <v>476</v>
      </c>
      <c r="AA90" s="171" t="s">
        <v>869</v>
      </c>
      <c r="AB90" s="171" t="s">
        <v>18</v>
      </c>
      <c r="AC90" s="171">
        <v>19</v>
      </c>
      <c r="AD90" s="178"/>
      <c r="AG90" s="179"/>
      <c r="AH90" s="253"/>
      <c r="AL90" s="178"/>
      <c r="AO90" s="179"/>
      <c r="AP90" s="178"/>
      <c r="AS90" s="179"/>
      <c r="AW90" s="179"/>
      <c r="BA90" s="180"/>
    </row>
    <row r="91" spans="1:53" s="171" customFormat="1" x14ac:dyDescent="0.15">
      <c r="A91" s="171">
        <v>2001</v>
      </c>
      <c r="B91" s="283"/>
      <c r="C91" s="410" t="s">
        <v>284</v>
      </c>
      <c r="D91" s="410"/>
      <c r="E91" s="171">
        <f>365-E90</f>
        <v>365</v>
      </c>
      <c r="G91" s="233">
        <v>6</v>
      </c>
      <c r="H91" s="171">
        <v>6</v>
      </c>
      <c r="J91" s="241">
        <v>12</v>
      </c>
      <c r="K91" s="214">
        <f t="shared" si="5"/>
        <v>50</v>
      </c>
      <c r="L91" s="214">
        <f t="shared" si="5"/>
        <v>50</v>
      </c>
      <c r="M91" s="214">
        <f t="shared" si="5"/>
        <v>0</v>
      </c>
      <c r="N91" s="235">
        <f t="shared" si="6"/>
        <v>100</v>
      </c>
      <c r="O91" s="213">
        <v>41.3</v>
      </c>
      <c r="P91" s="214">
        <v>19</v>
      </c>
      <c r="Q91" s="214"/>
      <c r="R91" s="215">
        <f t="shared" si="7"/>
        <v>60.3</v>
      </c>
      <c r="S91" s="171">
        <v>2</v>
      </c>
      <c r="T91" s="285"/>
      <c r="U91" s="283"/>
      <c r="V91" s="178" t="s">
        <v>558</v>
      </c>
      <c r="W91" s="171" t="s">
        <v>74</v>
      </c>
      <c r="X91" s="171" t="s">
        <v>11</v>
      </c>
      <c r="Y91" s="179">
        <v>41.3</v>
      </c>
      <c r="Z91" s="178" t="s">
        <v>476</v>
      </c>
      <c r="AA91" s="171" t="s">
        <v>869</v>
      </c>
      <c r="AB91" s="171" t="s">
        <v>18</v>
      </c>
      <c r="AC91" s="171">
        <v>19</v>
      </c>
      <c r="AD91" s="178"/>
      <c r="AG91" s="179"/>
      <c r="AH91" s="253"/>
      <c r="AL91" s="178"/>
      <c r="AO91" s="179"/>
      <c r="AP91" s="178"/>
      <c r="AS91" s="179"/>
      <c r="AW91" s="179"/>
      <c r="BA91" s="180"/>
    </row>
    <row r="92" spans="1:53" s="171" customFormat="1" x14ac:dyDescent="0.15">
      <c r="A92" s="171">
        <v>2002</v>
      </c>
      <c r="B92" s="283"/>
      <c r="C92" s="410" t="s">
        <v>284</v>
      </c>
      <c r="D92" s="410"/>
      <c r="E92" s="171">
        <v>0</v>
      </c>
      <c r="G92" s="233">
        <v>6</v>
      </c>
      <c r="H92" s="171">
        <v>6</v>
      </c>
      <c r="J92" s="241">
        <v>12</v>
      </c>
      <c r="K92" s="214">
        <f t="shared" si="5"/>
        <v>50</v>
      </c>
      <c r="L92" s="214">
        <f t="shared" si="5"/>
        <v>50</v>
      </c>
      <c r="M92" s="214">
        <f t="shared" si="5"/>
        <v>0</v>
      </c>
      <c r="N92" s="235">
        <f t="shared" si="6"/>
        <v>100</v>
      </c>
      <c r="O92" s="213">
        <v>41.3</v>
      </c>
      <c r="P92" s="214">
        <v>19</v>
      </c>
      <c r="Q92" s="214"/>
      <c r="R92" s="215">
        <f t="shared" si="7"/>
        <v>60.3</v>
      </c>
      <c r="S92" s="171">
        <v>2</v>
      </c>
      <c r="T92" s="285"/>
      <c r="U92" s="283"/>
      <c r="V92" s="178" t="s">
        <v>558</v>
      </c>
      <c r="W92" s="171" t="s">
        <v>74</v>
      </c>
      <c r="X92" s="171" t="s">
        <v>11</v>
      </c>
      <c r="Y92" s="179">
        <v>41.3</v>
      </c>
      <c r="Z92" s="178" t="s">
        <v>476</v>
      </c>
      <c r="AA92" s="171" t="s">
        <v>869</v>
      </c>
      <c r="AB92" s="171" t="s">
        <v>18</v>
      </c>
      <c r="AC92" s="171">
        <v>19</v>
      </c>
      <c r="AD92" s="178"/>
      <c r="AG92" s="179"/>
      <c r="AH92" s="253"/>
      <c r="AL92" s="178"/>
      <c r="AO92" s="179"/>
      <c r="AP92" s="178"/>
      <c r="AS92" s="179"/>
      <c r="AW92" s="179"/>
      <c r="BA92" s="180"/>
    </row>
    <row r="93" spans="1:53" s="171" customFormat="1" x14ac:dyDescent="0.15">
      <c r="A93" s="171">
        <v>2002</v>
      </c>
      <c r="B93" s="283"/>
      <c r="C93" s="410" t="s">
        <v>284</v>
      </c>
      <c r="D93" s="410"/>
      <c r="E93" s="171">
        <f>365-E92</f>
        <v>365</v>
      </c>
      <c r="G93" s="233">
        <v>6</v>
      </c>
      <c r="H93" s="171">
        <v>6</v>
      </c>
      <c r="J93" s="241">
        <v>12</v>
      </c>
      <c r="K93" s="214">
        <f t="shared" si="5"/>
        <v>50</v>
      </c>
      <c r="L93" s="214">
        <f t="shared" si="5"/>
        <v>50</v>
      </c>
      <c r="M93" s="214">
        <f t="shared" si="5"/>
        <v>0</v>
      </c>
      <c r="N93" s="235">
        <f t="shared" si="6"/>
        <v>100</v>
      </c>
      <c r="O93" s="213">
        <v>41.3</v>
      </c>
      <c r="P93" s="214">
        <v>19</v>
      </c>
      <c r="Q93" s="214"/>
      <c r="R93" s="215">
        <f t="shared" si="7"/>
        <v>60.3</v>
      </c>
      <c r="S93" s="171">
        <v>2</v>
      </c>
      <c r="T93" s="285"/>
      <c r="U93" s="283"/>
      <c r="V93" s="178" t="s">
        <v>558</v>
      </c>
      <c r="W93" s="171" t="s">
        <v>74</v>
      </c>
      <c r="X93" s="171" t="s">
        <v>11</v>
      </c>
      <c r="Y93" s="179">
        <v>41.3</v>
      </c>
      <c r="Z93" s="178" t="s">
        <v>476</v>
      </c>
      <c r="AA93" s="171" t="s">
        <v>869</v>
      </c>
      <c r="AB93" s="171" t="s">
        <v>18</v>
      </c>
      <c r="AC93" s="171">
        <v>19</v>
      </c>
      <c r="AD93" s="178"/>
      <c r="AG93" s="179"/>
      <c r="AH93" s="253"/>
      <c r="AL93" s="178"/>
      <c r="AO93" s="179"/>
      <c r="AP93" s="178"/>
      <c r="AS93" s="179"/>
      <c r="AW93" s="179"/>
      <c r="BA93" s="180"/>
    </row>
    <row r="94" spans="1:53" s="171" customFormat="1" x14ac:dyDescent="0.15">
      <c r="A94" s="171">
        <v>2003</v>
      </c>
      <c r="B94" s="283"/>
      <c r="C94" s="410" t="s">
        <v>284</v>
      </c>
      <c r="D94" s="410"/>
      <c r="E94" s="171">
        <v>142</v>
      </c>
      <c r="G94" s="233">
        <v>6</v>
      </c>
      <c r="H94" s="171">
        <v>6</v>
      </c>
      <c r="J94" s="241">
        <v>12</v>
      </c>
      <c r="K94" s="214">
        <f t="shared" si="5"/>
        <v>50</v>
      </c>
      <c r="L94" s="214">
        <f t="shared" si="5"/>
        <v>50</v>
      </c>
      <c r="M94" s="214">
        <f t="shared" si="5"/>
        <v>0</v>
      </c>
      <c r="N94" s="235">
        <f t="shared" si="6"/>
        <v>100</v>
      </c>
      <c r="O94" s="213">
        <v>41.3</v>
      </c>
      <c r="P94" s="214">
        <v>19</v>
      </c>
      <c r="Q94" s="214"/>
      <c r="R94" s="215">
        <f t="shared" si="7"/>
        <v>60.3</v>
      </c>
      <c r="S94" s="171">
        <v>2</v>
      </c>
      <c r="T94" s="285"/>
      <c r="U94" s="283"/>
      <c r="V94" s="178" t="s">
        <v>558</v>
      </c>
      <c r="W94" s="171" t="s">
        <v>74</v>
      </c>
      <c r="X94" s="171" t="s">
        <v>11</v>
      </c>
      <c r="Y94" s="179">
        <v>41.3</v>
      </c>
      <c r="Z94" s="178" t="s">
        <v>476</v>
      </c>
      <c r="AA94" s="171" t="s">
        <v>869</v>
      </c>
      <c r="AB94" s="171" t="s">
        <v>18</v>
      </c>
      <c r="AC94" s="171">
        <v>19</v>
      </c>
      <c r="AD94" s="178"/>
      <c r="AG94" s="179"/>
      <c r="AH94" s="253"/>
      <c r="AL94" s="178"/>
      <c r="AO94" s="179"/>
      <c r="AP94" s="178"/>
      <c r="AS94" s="179"/>
      <c r="AW94" s="179"/>
      <c r="BA94" s="180"/>
    </row>
    <row r="95" spans="1:53" s="29" customFormat="1" x14ac:dyDescent="0.15">
      <c r="A95" s="29">
        <v>2003</v>
      </c>
      <c r="B95" s="295">
        <v>37764</v>
      </c>
      <c r="C95" s="411" t="s">
        <v>285</v>
      </c>
      <c r="D95" s="411"/>
      <c r="E95" s="29">
        <f>365-E94</f>
        <v>223</v>
      </c>
      <c r="F95" s="29">
        <v>1</v>
      </c>
      <c r="G95" s="66">
        <v>6</v>
      </c>
      <c r="H95" s="29">
        <v>6</v>
      </c>
      <c r="J95" s="73">
        <v>12</v>
      </c>
      <c r="K95" s="47">
        <f t="shared" si="5"/>
        <v>50</v>
      </c>
      <c r="L95" s="47">
        <f t="shared" si="5"/>
        <v>50</v>
      </c>
      <c r="M95" s="47">
        <f t="shared" si="5"/>
        <v>0</v>
      </c>
      <c r="N95" s="68">
        <f t="shared" si="6"/>
        <v>100</v>
      </c>
      <c r="O95" s="46">
        <v>34.9</v>
      </c>
      <c r="P95" s="47">
        <v>19</v>
      </c>
      <c r="Q95" s="47"/>
      <c r="R95" s="48">
        <f t="shared" si="7"/>
        <v>53.9</v>
      </c>
      <c r="S95" s="29">
        <v>2</v>
      </c>
      <c r="T95" s="286">
        <v>37751</v>
      </c>
      <c r="U95" s="295">
        <v>37764</v>
      </c>
      <c r="V95" s="38" t="s">
        <v>558</v>
      </c>
      <c r="W95" s="29" t="s">
        <v>74</v>
      </c>
      <c r="X95" s="29" t="s">
        <v>11</v>
      </c>
      <c r="Y95" s="39">
        <v>34.9</v>
      </c>
      <c r="Z95" s="38" t="s">
        <v>476</v>
      </c>
      <c r="AA95" s="29" t="s">
        <v>869</v>
      </c>
      <c r="AB95" s="29" t="s">
        <v>18</v>
      </c>
      <c r="AC95" s="29">
        <v>19</v>
      </c>
      <c r="AD95" s="38"/>
      <c r="AG95" s="39"/>
      <c r="AH95" s="94"/>
      <c r="AL95" s="38"/>
      <c r="AO95" s="39"/>
      <c r="AP95" s="38"/>
      <c r="AS95" s="39"/>
      <c r="AW95" s="39"/>
      <c r="BA95" s="40"/>
    </row>
    <row r="96" spans="1:53" s="29" customFormat="1" x14ac:dyDescent="0.15">
      <c r="A96" s="29">
        <v>2004</v>
      </c>
      <c r="B96" s="295"/>
      <c r="C96" s="411" t="s">
        <v>285</v>
      </c>
      <c r="D96" s="411"/>
      <c r="E96" s="29">
        <v>258</v>
      </c>
      <c r="G96" s="66">
        <v>6</v>
      </c>
      <c r="H96" s="29">
        <v>6</v>
      </c>
      <c r="J96" s="73">
        <v>12</v>
      </c>
      <c r="K96" s="47">
        <f t="shared" si="5"/>
        <v>50</v>
      </c>
      <c r="L96" s="47">
        <f t="shared" si="5"/>
        <v>50</v>
      </c>
      <c r="M96" s="47">
        <f t="shared" si="5"/>
        <v>0</v>
      </c>
      <c r="N96" s="68">
        <f t="shared" si="6"/>
        <v>100</v>
      </c>
      <c r="O96" s="46">
        <v>34.9</v>
      </c>
      <c r="P96" s="47">
        <v>19</v>
      </c>
      <c r="Q96" s="47"/>
      <c r="R96" s="48">
        <f t="shared" si="7"/>
        <v>53.9</v>
      </c>
      <c r="S96" s="29">
        <v>2</v>
      </c>
      <c r="T96" s="286"/>
      <c r="U96" s="295"/>
      <c r="V96" s="38" t="s">
        <v>558</v>
      </c>
      <c r="W96" s="29" t="s">
        <v>74</v>
      </c>
      <c r="X96" s="29" t="s">
        <v>11</v>
      </c>
      <c r="Y96" s="39">
        <v>34.9</v>
      </c>
      <c r="Z96" s="38" t="s">
        <v>476</v>
      </c>
      <c r="AA96" s="29" t="s">
        <v>869</v>
      </c>
      <c r="AB96" s="29" t="s">
        <v>18</v>
      </c>
      <c r="AC96" s="29">
        <v>19</v>
      </c>
      <c r="AD96" s="38"/>
      <c r="AG96" s="39"/>
      <c r="AH96" s="94"/>
      <c r="AL96" s="38"/>
      <c r="AO96" s="39"/>
      <c r="AP96" s="38"/>
      <c r="AS96" s="39"/>
      <c r="AW96" s="39"/>
      <c r="BA96" s="40"/>
    </row>
    <row r="97" spans="1:53" s="171" customFormat="1" x14ac:dyDescent="0.15">
      <c r="A97" s="171">
        <v>2004</v>
      </c>
      <c r="B97" s="283">
        <v>38245</v>
      </c>
      <c r="C97" s="410" t="s">
        <v>1169</v>
      </c>
      <c r="D97" s="410"/>
      <c r="E97" s="171">
        <f>366-E96</f>
        <v>108</v>
      </c>
      <c r="F97" s="171">
        <v>2</v>
      </c>
      <c r="G97" s="233">
        <v>7</v>
      </c>
      <c r="H97" s="171">
        <v>5</v>
      </c>
      <c r="J97" s="241">
        <v>12</v>
      </c>
      <c r="K97" s="214">
        <f t="shared" si="5"/>
        <v>58.333333333333336</v>
      </c>
      <c r="L97" s="214">
        <f t="shared" si="5"/>
        <v>41.666666666666671</v>
      </c>
      <c r="M97" s="214">
        <f t="shared" si="5"/>
        <v>0</v>
      </c>
      <c r="N97" s="235">
        <f t="shared" si="6"/>
        <v>100</v>
      </c>
      <c r="O97" s="213">
        <v>34.9</v>
      </c>
      <c r="P97" s="214">
        <v>19</v>
      </c>
      <c r="Q97" s="214"/>
      <c r="R97" s="215">
        <f t="shared" si="7"/>
        <v>53.9</v>
      </c>
      <c r="S97" s="171">
        <v>2</v>
      </c>
      <c r="T97" s="285"/>
      <c r="U97" s="283">
        <v>38245</v>
      </c>
      <c r="V97" s="178" t="s">
        <v>558</v>
      </c>
      <c r="W97" s="171" t="s">
        <v>74</v>
      </c>
      <c r="X97" s="171" t="s">
        <v>11</v>
      </c>
      <c r="Y97" s="179">
        <v>34.9</v>
      </c>
      <c r="Z97" s="178" t="s">
        <v>476</v>
      </c>
      <c r="AA97" s="171" t="s">
        <v>869</v>
      </c>
      <c r="AB97" s="171" t="s">
        <v>18</v>
      </c>
      <c r="AC97" s="171">
        <v>19</v>
      </c>
      <c r="AD97" s="178"/>
      <c r="AG97" s="179"/>
      <c r="AH97" s="253"/>
      <c r="AL97" s="178"/>
      <c r="AO97" s="179"/>
      <c r="AP97" s="178"/>
      <c r="AS97" s="179"/>
      <c r="AW97" s="179"/>
      <c r="BA97" s="180"/>
    </row>
    <row r="98" spans="1:53" s="171" customFormat="1" x14ac:dyDescent="0.15">
      <c r="A98" s="171">
        <v>2005</v>
      </c>
      <c r="B98" s="283"/>
      <c r="C98" s="410" t="s">
        <v>1169</v>
      </c>
      <c r="D98" s="410"/>
      <c r="E98" s="171">
        <v>0</v>
      </c>
      <c r="G98" s="233">
        <v>7</v>
      </c>
      <c r="H98" s="171">
        <v>5</v>
      </c>
      <c r="J98" s="241">
        <v>12</v>
      </c>
      <c r="K98" s="214">
        <f t="shared" si="5"/>
        <v>58.333333333333336</v>
      </c>
      <c r="L98" s="214">
        <f t="shared" si="5"/>
        <v>41.666666666666671</v>
      </c>
      <c r="M98" s="214">
        <f t="shared" si="5"/>
        <v>0</v>
      </c>
      <c r="N98" s="235">
        <f t="shared" si="6"/>
        <v>100</v>
      </c>
      <c r="O98" s="213">
        <v>34.9</v>
      </c>
      <c r="P98" s="214">
        <v>19</v>
      </c>
      <c r="Q98" s="214"/>
      <c r="R98" s="215">
        <f t="shared" si="7"/>
        <v>53.9</v>
      </c>
      <c r="S98" s="171">
        <v>2</v>
      </c>
      <c r="T98" s="285"/>
      <c r="U98" s="283"/>
      <c r="V98" s="178" t="s">
        <v>558</v>
      </c>
      <c r="W98" s="171" t="s">
        <v>74</v>
      </c>
      <c r="X98" s="171" t="s">
        <v>11</v>
      </c>
      <c r="Y98" s="179">
        <v>34.9</v>
      </c>
      <c r="Z98" s="178" t="s">
        <v>476</v>
      </c>
      <c r="AA98" s="171" t="s">
        <v>869</v>
      </c>
      <c r="AB98" s="171" t="s">
        <v>18</v>
      </c>
      <c r="AC98" s="171">
        <v>19</v>
      </c>
      <c r="AD98" s="178"/>
      <c r="AG98" s="179"/>
      <c r="AH98" s="253"/>
      <c r="AL98" s="178"/>
      <c r="AO98" s="179"/>
      <c r="AP98" s="178"/>
      <c r="AS98" s="179"/>
      <c r="AW98" s="179"/>
      <c r="BA98" s="180"/>
    </row>
    <row r="99" spans="1:53" s="171" customFormat="1" x14ac:dyDescent="0.15">
      <c r="A99" s="171">
        <v>2005</v>
      </c>
      <c r="B99" s="283"/>
      <c r="C99" s="410" t="s">
        <v>1169</v>
      </c>
      <c r="D99" s="410"/>
      <c r="E99" s="171">
        <v>365</v>
      </c>
      <c r="G99" s="233">
        <v>7</v>
      </c>
      <c r="H99" s="171">
        <v>5</v>
      </c>
      <c r="J99" s="241">
        <v>12</v>
      </c>
      <c r="K99" s="214">
        <f t="shared" si="5"/>
        <v>58.333333333333336</v>
      </c>
      <c r="L99" s="214">
        <f t="shared" si="5"/>
        <v>41.666666666666671</v>
      </c>
      <c r="M99" s="214">
        <f t="shared" si="5"/>
        <v>0</v>
      </c>
      <c r="N99" s="235">
        <f t="shared" si="6"/>
        <v>100</v>
      </c>
      <c r="O99" s="213">
        <v>34.9</v>
      </c>
      <c r="P99" s="214">
        <v>19</v>
      </c>
      <c r="Q99" s="214"/>
      <c r="R99" s="215">
        <f t="shared" si="7"/>
        <v>53.9</v>
      </c>
      <c r="S99" s="171">
        <v>2</v>
      </c>
      <c r="T99" s="285"/>
      <c r="U99" s="283"/>
      <c r="V99" s="178" t="s">
        <v>558</v>
      </c>
      <c r="W99" s="171" t="s">
        <v>74</v>
      </c>
      <c r="X99" s="171" t="s">
        <v>11</v>
      </c>
      <c r="Y99" s="179">
        <v>34.9</v>
      </c>
      <c r="Z99" s="178" t="s">
        <v>476</v>
      </c>
      <c r="AA99" s="171" t="s">
        <v>869</v>
      </c>
      <c r="AB99" s="171" t="s">
        <v>18</v>
      </c>
      <c r="AC99" s="171">
        <v>19</v>
      </c>
      <c r="AD99" s="178"/>
      <c r="AG99" s="179"/>
      <c r="AH99" s="253"/>
      <c r="AL99" s="178"/>
      <c r="AO99" s="179"/>
      <c r="AP99" s="178"/>
      <c r="AS99" s="179"/>
      <c r="AW99" s="179"/>
      <c r="BA99" s="180"/>
    </row>
    <row r="100" spans="1:53" s="171" customFormat="1" x14ac:dyDescent="0.15">
      <c r="A100" s="171">
        <v>2006</v>
      </c>
      <c r="B100" s="283"/>
      <c r="C100" s="410" t="s">
        <v>1169</v>
      </c>
      <c r="D100" s="410"/>
      <c r="E100" s="171">
        <v>165</v>
      </c>
      <c r="G100" s="233">
        <v>7</v>
      </c>
      <c r="H100" s="171">
        <v>5</v>
      </c>
      <c r="J100" s="241">
        <v>12</v>
      </c>
      <c r="K100" s="214">
        <f t="shared" si="5"/>
        <v>58.333333333333336</v>
      </c>
      <c r="L100" s="214">
        <f t="shared" si="5"/>
        <v>41.666666666666671</v>
      </c>
      <c r="M100" s="214">
        <f t="shared" si="5"/>
        <v>0</v>
      </c>
      <c r="N100" s="235">
        <f t="shared" si="6"/>
        <v>100</v>
      </c>
      <c r="O100" s="213">
        <v>34.9</v>
      </c>
      <c r="P100" s="214">
        <v>19</v>
      </c>
      <c r="Q100" s="214"/>
      <c r="R100" s="215">
        <f t="shared" si="7"/>
        <v>53.9</v>
      </c>
      <c r="S100" s="171">
        <v>2</v>
      </c>
      <c r="T100" s="285"/>
      <c r="U100" s="283"/>
      <c r="V100" s="178" t="s">
        <v>558</v>
      </c>
      <c r="W100" s="171" t="s">
        <v>74</v>
      </c>
      <c r="X100" s="171" t="s">
        <v>11</v>
      </c>
      <c r="Y100" s="179">
        <v>34.9</v>
      </c>
      <c r="Z100" s="178" t="s">
        <v>476</v>
      </c>
      <c r="AA100" s="171" t="s">
        <v>869</v>
      </c>
      <c r="AB100" s="171" t="s">
        <v>18</v>
      </c>
      <c r="AC100" s="171">
        <v>19</v>
      </c>
      <c r="AD100" s="178"/>
      <c r="AG100" s="179"/>
      <c r="AH100" s="253"/>
      <c r="AL100" s="178"/>
      <c r="AO100" s="179"/>
      <c r="AP100" s="178"/>
      <c r="AS100" s="179"/>
      <c r="AW100" s="179"/>
      <c r="BA100" s="180"/>
    </row>
    <row r="101" spans="1:53" s="29" customFormat="1" x14ac:dyDescent="0.15">
      <c r="A101" s="29">
        <v>2006</v>
      </c>
      <c r="B101" s="295">
        <v>38883</v>
      </c>
      <c r="C101" s="411" t="s">
        <v>286</v>
      </c>
      <c r="D101" s="411"/>
      <c r="E101" s="29">
        <f>365-E100</f>
        <v>200</v>
      </c>
      <c r="F101" s="29">
        <v>2</v>
      </c>
      <c r="G101" s="66">
        <v>6</v>
      </c>
      <c r="H101" s="29">
        <v>6</v>
      </c>
      <c r="J101" s="73">
        <v>12</v>
      </c>
      <c r="K101" s="47">
        <f t="shared" si="5"/>
        <v>50</v>
      </c>
      <c r="L101" s="47">
        <f t="shared" si="5"/>
        <v>50</v>
      </c>
      <c r="M101" s="47">
        <f t="shared" si="5"/>
        <v>0</v>
      </c>
      <c r="N101" s="68">
        <f t="shared" si="6"/>
        <v>100</v>
      </c>
      <c r="O101" s="46">
        <v>36.5</v>
      </c>
      <c r="P101" s="47">
        <v>19</v>
      </c>
      <c r="Q101" s="47"/>
      <c r="R101" s="48">
        <f t="shared" si="7"/>
        <v>55.5</v>
      </c>
      <c r="S101" s="29">
        <v>2</v>
      </c>
      <c r="T101" s="286"/>
      <c r="U101" s="295">
        <v>38883</v>
      </c>
      <c r="V101" s="38" t="s">
        <v>558</v>
      </c>
      <c r="W101" s="29" t="s">
        <v>74</v>
      </c>
      <c r="X101" s="29" t="s">
        <v>11</v>
      </c>
      <c r="Y101" s="39">
        <v>34.9</v>
      </c>
      <c r="Z101" s="38" t="s">
        <v>476</v>
      </c>
      <c r="AA101" s="29" t="s">
        <v>869</v>
      </c>
      <c r="AB101" s="29" t="s">
        <v>18</v>
      </c>
      <c r="AC101" s="29">
        <v>19</v>
      </c>
      <c r="AD101" s="38"/>
      <c r="AG101" s="39"/>
      <c r="AH101" s="94"/>
      <c r="AL101" s="38"/>
      <c r="AO101" s="39"/>
      <c r="AP101" s="38"/>
      <c r="AS101" s="39"/>
      <c r="AW101" s="39"/>
      <c r="BA101" s="40"/>
    </row>
    <row r="102" spans="1:53" s="29" customFormat="1" x14ac:dyDescent="0.15">
      <c r="A102" s="29">
        <v>2007</v>
      </c>
      <c r="B102" s="295"/>
      <c r="C102" s="411" t="s">
        <v>286</v>
      </c>
      <c r="D102" s="411"/>
      <c r="E102" s="29">
        <v>143</v>
      </c>
      <c r="G102" s="66">
        <v>6</v>
      </c>
      <c r="H102" s="29">
        <v>6</v>
      </c>
      <c r="J102" s="73">
        <v>12</v>
      </c>
      <c r="K102" s="47">
        <f t="shared" si="5"/>
        <v>50</v>
      </c>
      <c r="L102" s="47">
        <f t="shared" si="5"/>
        <v>50</v>
      </c>
      <c r="M102" s="47">
        <f t="shared" si="5"/>
        <v>0</v>
      </c>
      <c r="N102" s="68">
        <f t="shared" si="6"/>
        <v>100</v>
      </c>
      <c r="O102" s="46">
        <v>36.5</v>
      </c>
      <c r="P102" s="47">
        <v>19</v>
      </c>
      <c r="Q102" s="47"/>
      <c r="R102" s="48">
        <f t="shared" si="7"/>
        <v>55.5</v>
      </c>
      <c r="S102" s="29">
        <v>2</v>
      </c>
      <c r="T102" s="286"/>
      <c r="U102" s="295"/>
      <c r="V102" s="38" t="s">
        <v>558</v>
      </c>
      <c r="W102" s="29" t="s">
        <v>74</v>
      </c>
      <c r="X102" s="29" t="s">
        <v>11</v>
      </c>
      <c r="Y102" s="39">
        <v>34.9</v>
      </c>
      <c r="Z102" s="38" t="s">
        <v>476</v>
      </c>
      <c r="AA102" s="29" t="s">
        <v>869</v>
      </c>
      <c r="AB102" s="29" t="s">
        <v>18</v>
      </c>
      <c r="AC102" s="29">
        <v>19</v>
      </c>
      <c r="AD102" s="38"/>
      <c r="AG102" s="39"/>
      <c r="AH102" s="94"/>
      <c r="AL102" s="38"/>
      <c r="AO102" s="39"/>
      <c r="AP102" s="38"/>
      <c r="AS102" s="39"/>
      <c r="AW102" s="39"/>
      <c r="BA102" s="40"/>
    </row>
    <row r="103" spans="1:53" s="171" customFormat="1" x14ac:dyDescent="0.15">
      <c r="A103" s="171">
        <v>2007</v>
      </c>
      <c r="B103" s="283">
        <v>39226</v>
      </c>
      <c r="C103" s="410" t="s">
        <v>287</v>
      </c>
      <c r="D103" s="410"/>
      <c r="E103" s="171">
        <v>222</v>
      </c>
      <c r="F103" s="171">
        <v>1</v>
      </c>
      <c r="G103" s="233">
        <v>6</v>
      </c>
      <c r="I103" s="171">
        <v>6</v>
      </c>
      <c r="J103" s="241">
        <v>12</v>
      </c>
      <c r="K103" s="214">
        <f t="shared" si="5"/>
        <v>50</v>
      </c>
      <c r="L103" s="214">
        <f t="shared" si="5"/>
        <v>0</v>
      </c>
      <c r="M103" s="214">
        <f t="shared" si="5"/>
        <v>50</v>
      </c>
      <c r="N103" s="235">
        <f t="shared" si="6"/>
        <v>100</v>
      </c>
      <c r="O103" s="213">
        <v>39.700000000000003</v>
      </c>
      <c r="P103" s="214"/>
      <c r="Q103" s="214">
        <v>28.6</v>
      </c>
      <c r="R103" s="215">
        <f t="shared" si="7"/>
        <v>68.300000000000011</v>
      </c>
      <c r="S103" s="171">
        <v>2</v>
      </c>
      <c r="T103" s="285">
        <v>39214</v>
      </c>
      <c r="U103" s="283">
        <v>39226</v>
      </c>
      <c r="V103" s="178" t="s">
        <v>558</v>
      </c>
      <c r="W103" s="171" t="s">
        <v>74</v>
      </c>
      <c r="X103" s="171" t="s">
        <v>11</v>
      </c>
      <c r="Y103" s="179">
        <v>39.700000000000003</v>
      </c>
      <c r="Z103" s="178" t="s">
        <v>560</v>
      </c>
      <c r="AA103" s="171" t="s">
        <v>115</v>
      </c>
      <c r="AB103" s="171" t="s">
        <v>12</v>
      </c>
      <c r="AC103" s="171">
        <v>28.6</v>
      </c>
      <c r="AD103" s="178"/>
      <c r="AG103" s="179"/>
      <c r="AH103" s="253"/>
      <c r="AL103" s="178"/>
      <c r="AO103" s="179"/>
      <c r="AP103" s="178"/>
      <c r="AS103" s="179"/>
      <c r="AW103" s="179"/>
      <c r="BA103" s="180"/>
    </row>
    <row r="104" spans="1:53" s="171" customFormat="1" x14ac:dyDescent="0.15">
      <c r="A104" s="171">
        <v>2008</v>
      </c>
      <c r="B104" s="283"/>
      <c r="C104" s="410" t="s">
        <v>287</v>
      </c>
      <c r="D104" s="410"/>
      <c r="E104" s="171">
        <v>0</v>
      </c>
      <c r="G104" s="233">
        <v>6</v>
      </c>
      <c r="I104" s="171">
        <v>6</v>
      </c>
      <c r="J104" s="241">
        <v>12</v>
      </c>
      <c r="K104" s="214">
        <f t="shared" si="5"/>
        <v>50</v>
      </c>
      <c r="L104" s="214">
        <f t="shared" si="5"/>
        <v>0</v>
      </c>
      <c r="M104" s="214">
        <f t="shared" si="5"/>
        <v>50</v>
      </c>
      <c r="N104" s="235">
        <f t="shared" si="6"/>
        <v>100</v>
      </c>
      <c r="O104" s="213">
        <v>39.700000000000003</v>
      </c>
      <c r="P104" s="214"/>
      <c r="Q104" s="214">
        <v>28.6</v>
      </c>
      <c r="R104" s="215">
        <f t="shared" si="7"/>
        <v>68.300000000000011</v>
      </c>
      <c r="S104" s="171">
        <v>2</v>
      </c>
      <c r="T104" s="285"/>
      <c r="U104" s="283"/>
      <c r="V104" s="178" t="s">
        <v>558</v>
      </c>
      <c r="W104" s="171" t="s">
        <v>74</v>
      </c>
      <c r="X104" s="171" t="s">
        <v>11</v>
      </c>
      <c r="Y104" s="179">
        <v>39.700000000000003</v>
      </c>
      <c r="Z104" s="171" t="s">
        <v>560</v>
      </c>
      <c r="AA104" s="171" t="s">
        <v>115</v>
      </c>
      <c r="AB104" s="171" t="s">
        <v>12</v>
      </c>
      <c r="AC104" s="171">
        <v>28.6</v>
      </c>
      <c r="AD104" s="178"/>
      <c r="AG104" s="179"/>
      <c r="AH104" s="253"/>
      <c r="AL104" s="178"/>
      <c r="AO104" s="179"/>
      <c r="AP104" s="178"/>
      <c r="AS104" s="179"/>
      <c r="AW104" s="179"/>
      <c r="BA104" s="180"/>
    </row>
    <row r="105" spans="1:53" s="171" customFormat="1" x14ac:dyDescent="0.15">
      <c r="A105" s="171">
        <v>2008</v>
      </c>
      <c r="B105" s="283"/>
      <c r="C105" s="410" t="s">
        <v>287</v>
      </c>
      <c r="D105" s="410"/>
      <c r="E105" s="171">
        <v>366</v>
      </c>
      <c r="G105" s="233">
        <v>6</v>
      </c>
      <c r="I105" s="171">
        <v>6</v>
      </c>
      <c r="J105" s="241">
        <v>12</v>
      </c>
      <c r="K105" s="214">
        <f t="shared" si="5"/>
        <v>50</v>
      </c>
      <c r="L105" s="214">
        <f t="shared" si="5"/>
        <v>0</v>
      </c>
      <c r="M105" s="214">
        <f t="shared" si="5"/>
        <v>50</v>
      </c>
      <c r="N105" s="235">
        <f t="shared" si="6"/>
        <v>100</v>
      </c>
      <c r="O105" s="213">
        <v>39.700000000000003</v>
      </c>
      <c r="P105" s="214"/>
      <c r="Q105" s="214">
        <v>28.6</v>
      </c>
      <c r="R105" s="215">
        <f t="shared" si="7"/>
        <v>68.300000000000011</v>
      </c>
      <c r="S105" s="171">
        <v>2</v>
      </c>
      <c r="T105" s="285"/>
      <c r="U105" s="283"/>
      <c r="V105" s="178" t="s">
        <v>558</v>
      </c>
      <c r="W105" s="171" t="s">
        <v>74</v>
      </c>
      <c r="X105" s="171" t="s">
        <v>11</v>
      </c>
      <c r="Y105" s="179">
        <v>39.700000000000003</v>
      </c>
      <c r="Z105" s="171" t="s">
        <v>560</v>
      </c>
      <c r="AA105" s="171" t="s">
        <v>115</v>
      </c>
      <c r="AB105" s="171" t="s">
        <v>12</v>
      </c>
      <c r="AC105" s="171">
        <v>28.6</v>
      </c>
      <c r="AD105" s="178"/>
      <c r="AG105" s="179"/>
      <c r="AH105" s="253"/>
      <c r="AL105" s="178"/>
      <c r="AO105" s="179"/>
      <c r="AP105" s="178"/>
      <c r="AS105" s="179"/>
      <c r="AW105" s="179"/>
      <c r="BA105" s="180"/>
    </row>
    <row r="106" spans="1:53" s="171" customFormat="1" x14ac:dyDescent="0.15">
      <c r="A106" s="171">
        <v>2009</v>
      </c>
      <c r="B106" s="283"/>
      <c r="C106" s="410" t="s">
        <v>287</v>
      </c>
      <c r="D106" s="410"/>
      <c r="E106" s="171">
        <v>31</v>
      </c>
      <c r="G106" s="233">
        <v>6</v>
      </c>
      <c r="I106" s="171">
        <v>6</v>
      </c>
      <c r="J106" s="241">
        <v>12</v>
      </c>
      <c r="K106" s="214">
        <f t="shared" si="5"/>
        <v>50</v>
      </c>
      <c r="L106" s="214">
        <f t="shared" si="5"/>
        <v>0</v>
      </c>
      <c r="M106" s="214">
        <f t="shared" si="5"/>
        <v>50</v>
      </c>
      <c r="N106" s="235">
        <f t="shared" si="6"/>
        <v>100</v>
      </c>
      <c r="O106" s="213">
        <v>39.700000000000003</v>
      </c>
      <c r="P106" s="214"/>
      <c r="Q106" s="214">
        <v>28.6</v>
      </c>
      <c r="R106" s="215">
        <f t="shared" si="7"/>
        <v>68.300000000000011</v>
      </c>
      <c r="S106" s="171">
        <v>2</v>
      </c>
      <c r="T106" s="285"/>
      <c r="U106" s="283"/>
      <c r="V106" s="178" t="s">
        <v>558</v>
      </c>
      <c r="W106" s="171" t="s">
        <v>74</v>
      </c>
      <c r="X106" s="171" t="s">
        <v>11</v>
      </c>
      <c r="Y106" s="179">
        <v>39.700000000000003</v>
      </c>
      <c r="Z106" s="171" t="s">
        <v>560</v>
      </c>
      <c r="AA106" s="171" t="s">
        <v>115</v>
      </c>
      <c r="AB106" s="171" t="s">
        <v>12</v>
      </c>
      <c r="AC106" s="171">
        <v>28.6</v>
      </c>
      <c r="AD106" s="178"/>
      <c r="AG106" s="179"/>
      <c r="AH106" s="253"/>
      <c r="AL106" s="178"/>
      <c r="AO106" s="179"/>
      <c r="AP106" s="178"/>
      <c r="AS106" s="179"/>
      <c r="AW106" s="179"/>
      <c r="BA106" s="180"/>
    </row>
    <row r="107" spans="1:53" s="29" customFormat="1" x14ac:dyDescent="0.15">
      <c r="A107" s="29">
        <v>2009</v>
      </c>
      <c r="B107" s="295">
        <v>39845</v>
      </c>
      <c r="C107" s="411" t="s">
        <v>1170</v>
      </c>
      <c r="D107" s="411"/>
      <c r="E107" s="29">
        <v>98</v>
      </c>
      <c r="F107" s="29">
        <v>2</v>
      </c>
      <c r="G107" s="66"/>
      <c r="I107" s="29">
        <v>8</v>
      </c>
      <c r="J107" s="73">
        <v>10</v>
      </c>
      <c r="K107" s="47">
        <f t="shared" si="5"/>
        <v>0</v>
      </c>
      <c r="L107" s="47">
        <f t="shared" si="5"/>
        <v>0</v>
      </c>
      <c r="M107" s="47">
        <f t="shared" si="5"/>
        <v>80</v>
      </c>
      <c r="N107" s="68">
        <f t="shared" si="6"/>
        <v>80</v>
      </c>
      <c r="O107" s="46"/>
      <c r="P107" s="47"/>
      <c r="Q107" s="47">
        <v>42.9</v>
      </c>
      <c r="R107" s="48">
        <f t="shared" si="7"/>
        <v>42.9</v>
      </c>
      <c r="S107" s="29">
        <v>5</v>
      </c>
      <c r="T107" s="286"/>
      <c r="U107" s="295">
        <v>39845</v>
      </c>
      <c r="V107" s="38" t="s">
        <v>560</v>
      </c>
      <c r="W107" s="29" t="s">
        <v>115</v>
      </c>
      <c r="X107" s="29" t="s">
        <v>12</v>
      </c>
      <c r="Y107" s="39">
        <v>28.6</v>
      </c>
      <c r="Z107" s="29" t="s">
        <v>561</v>
      </c>
      <c r="AA107" s="29" t="s">
        <v>113</v>
      </c>
      <c r="AB107" s="29" t="s">
        <v>12</v>
      </c>
      <c r="AC107" s="29">
        <v>14.3</v>
      </c>
      <c r="AD107" s="38"/>
      <c r="AG107" s="39"/>
      <c r="AH107" s="94"/>
      <c r="AL107" s="38"/>
      <c r="AO107" s="39"/>
      <c r="AP107" s="38"/>
      <c r="AS107" s="39"/>
      <c r="AW107" s="39"/>
      <c r="BA107" s="40"/>
    </row>
    <row r="108" spans="1:53" s="171" customFormat="1" x14ac:dyDescent="0.15">
      <c r="A108" s="171">
        <v>2009</v>
      </c>
      <c r="B108" s="283">
        <v>39943</v>
      </c>
      <c r="C108" s="410" t="s">
        <v>1171</v>
      </c>
      <c r="D108" s="410"/>
      <c r="E108" s="171">
        <f>365-E106-E107</f>
        <v>236</v>
      </c>
      <c r="F108" s="171">
        <v>1</v>
      </c>
      <c r="G108" s="233"/>
      <c r="I108" s="171">
        <v>10</v>
      </c>
      <c r="J108" s="241">
        <v>12</v>
      </c>
      <c r="K108" s="214">
        <f t="shared" si="5"/>
        <v>0</v>
      </c>
      <c r="L108" s="214">
        <f t="shared" si="5"/>
        <v>0</v>
      </c>
      <c r="M108" s="214">
        <f t="shared" si="5"/>
        <v>83.333333333333343</v>
      </c>
      <c r="N108" s="235">
        <f t="shared" si="6"/>
        <v>83.333333333333343</v>
      </c>
      <c r="O108" s="213"/>
      <c r="P108" s="214"/>
      <c r="Q108" s="214">
        <v>53.9</v>
      </c>
      <c r="R108" s="215">
        <f t="shared" si="7"/>
        <v>53.9</v>
      </c>
      <c r="S108" s="171">
        <v>2</v>
      </c>
      <c r="T108" s="285">
        <v>39928</v>
      </c>
      <c r="U108" s="283">
        <v>39943</v>
      </c>
      <c r="V108" s="178" t="s">
        <v>560</v>
      </c>
      <c r="W108" s="171" t="s">
        <v>115</v>
      </c>
      <c r="X108" s="171" t="s">
        <v>12</v>
      </c>
      <c r="Y108" s="179">
        <v>31.7</v>
      </c>
      <c r="Z108" s="171" t="s">
        <v>561</v>
      </c>
      <c r="AA108" s="171" t="s">
        <v>113</v>
      </c>
      <c r="AB108" s="171" t="s">
        <v>12</v>
      </c>
      <c r="AC108" s="171">
        <v>22.2</v>
      </c>
      <c r="AD108" s="178"/>
      <c r="AG108" s="179"/>
      <c r="AH108" s="253"/>
      <c r="AL108" s="178"/>
      <c r="AO108" s="179"/>
      <c r="AP108" s="178"/>
      <c r="AS108" s="179"/>
      <c r="AW108" s="179"/>
      <c r="BA108" s="180"/>
    </row>
    <row r="109" spans="1:53" s="171" customFormat="1" x14ac:dyDescent="0.15">
      <c r="A109" s="171">
        <v>2010</v>
      </c>
      <c r="B109" s="283"/>
      <c r="C109" s="410" t="s">
        <v>1171</v>
      </c>
      <c r="D109" s="410"/>
      <c r="E109" s="171">
        <v>244</v>
      </c>
      <c r="G109" s="233"/>
      <c r="I109" s="171">
        <v>10</v>
      </c>
      <c r="J109" s="241">
        <v>12</v>
      </c>
      <c r="K109" s="214">
        <f t="shared" si="5"/>
        <v>0</v>
      </c>
      <c r="L109" s="214">
        <f t="shared" si="5"/>
        <v>0</v>
      </c>
      <c r="M109" s="214">
        <f t="shared" si="5"/>
        <v>83.333333333333343</v>
      </c>
      <c r="N109" s="235">
        <f t="shared" si="6"/>
        <v>83.333333333333343</v>
      </c>
      <c r="O109" s="213"/>
      <c r="P109" s="214"/>
      <c r="Q109" s="214">
        <v>53.9</v>
      </c>
      <c r="R109" s="215">
        <f t="shared" si="7"/>
        <v>53.9</v>
      </c>
      <c r="S109" s="171">
        <v>2</v>
      </c>
      <c r="T109" s="285"/>
      <c r="U109" s="283"/>
      <c r="V109" s="178" t="s">
        <v>560</v>
      </c>
      <c r="W109" s="171" t="s">
        <v>115</v>
      </c>
      <c r="X109" s="171" t="s">
        <v>12</v>
      </c>
      <c r="Y109" s="179">
        <v>31.7</v>
      </c>
      <c r="Z109" s="171" t="s">
        <v>561</v>
      </c>
      <c r="AA109" s="171" t="s">
        <v>113</v>
      </c>
      <c r="AB109" s="171" t="s">
        <v>12</v>
      </c>
      <c r="AC109" s="171">
        <v>22.2</v>
      </c>
      <c r="AD109" s="178"/>
      <c r="AG109" s="179"/>
      <c r="AH109" s="253"/>
      <c r="AL109" s="178"/>
      <c r="AO109" s="179"/>
      <c r="AP109" s="178"/>
      <c r="AS109" s="179"/>
      <c r="AW109" s="179"/>
      <c r="BA109" s="180"/>
    </row>
    <row r="110" spans="1:53" s="171" customFormat="1" x14ac:dyDescent="0.15">
      <c r="A110" s="171">
        <v>2010</v>
      </c>
      <c r="B110" s="305">
        <v>40423</v>
      </c>
      <c r="C110" s="410" t="s">
        <v>1171</v>
      </c>
      <c r="D110" s="410"/>
      <c r="E110" s="171">
        <f>365-E109</f>
        <v>121</v>
      </c>
      <c r="F110" s="244">
        <v>0</v>
      </c>
      <c r="G110" s="233"/>
      <c r="I110" s="171">
        <v>10</v>
      </c>
      <c r="J110" s="241">
        <v>10</v>
      </c>
      <c r="K110" s="214">
        <f t="shared" si="5"/>
        <v>0</v>
      </c>
      <c r="L110" s="214">
        <f t="shared" si="5"/>
        <v>0</v>
      </c>
      <c r="M110" s="214">
        <f t="shared" si="5"/>
        <v>100</v>
      </c>
      <c r="N110" s="235">
        <f t="shared" si="6"/>
        <v>100</v>
      </c>
      <c r="O110" s="213"/>
      <c r="P110" s="214"/>
      <c r="Q110" s="214">
        <v>53.9</v>
      </c>
      <c r="R110" s="215">
        <f t="shared" si="7"/>
        <v>53.9</v>
      </c>
      <c r="S110" s="171">
        <v>2</v>
      </c>
      <c r="T110" s="285"/>
      <c r="U110" s="283"/>
      <c r="V110" s="178" t="s">
        <v>560</v>
      </c>
      <c r="W110" s="171" t="s">
        <v>115</v>
      </c>
      <c r="X110" s="171" t="s">
        <v>12</v>
      </c>
      <c r="Y110" s="179">
        <v>31.7</v>
      </c>
      <c r="Z110" s="171" t="s">
        <v>561</v>
      </c>
      <c r="AA110" s="171" t="s">
        <v>113</v>
      </c>
      <c r="AB110" s="171" t="s">
        <v>12</v>
      </c>
      <c r="AC110" s="171">
        <v>22.2</v>
      </c>
      <c r="AD110" s="178"/>
      <c r="AG110" s="179"/>
      <c r="AH110" s="253"/>
      <c r="AL110" s="178"/>
      <c r="AO110" s="179"/>
      <c r="AP110" s="178"/>
      <c r="AS110" s="179"/>
      <c r="AW110" s="179"/>
      <c r="BA110" s="180"/>
    </row>
    <row r="111" spans="1:53" s="171" customFormat="1" x14ac:dyDescent="0.15">
      <c r="A111" s="171">
        <v>2011</v>
      </c>
      <c r="B111" s="305"/>
      <c r="C111" s="410" t="s">
        <v>1171</v>
      </c>
      <c r="D111" s="410"/>
      <c r="E111" s="171">
        <v>364</v>
      </c>
      <c r="F111" s="244"/>
      <c r="G111" s="233"/>
      <c r="I111" s="171">
        <v>10</v>
      </c>
      <c r="J111" s="241">
        <v>10</v>
      </c>
      <c r="K111" s="214">
        <f t="shared" si="5"/>
        <v>0</v>
      </c>
      <c r="L111" s="214">
        <f t="shared" si="5"/>
        <v>0</v>
      </c>
      <c r="M111" s="214">
        <f t="shared" si="5"/>
        <v>100</v>
      </c>
      <c r="N111" s="235">
        <f t="shared" si="6"/>
        <v>100</v>
      </c>
      <c r="O111" s="213"/>
      <c r="P111" s="214"/>
      <c r="Q111" s="214">
        <v>53.9</v>
      </c>
      <c r="R111" s="215">
        <f t="shared" si="7"/>
        <v>53.9</v>
      </c>
      <c r="S111" s="171">
        <v>2</v>
      </c>
      <c r="T111" s="285"/>
      <c r="U111" s="283"/>
      <c r="V111" s="178" t="s">
        <v>560</v>
      </c>
      <c r="W111" s="171" t="s">
        <v>115</v>
      </c>
      <c r="X111" s="171" t="s">
        <v>12</v>
      </c>
      <c r="Y111" s="179">
        <v>31.7</v>
      </c>
      <c r="Z111" s="171" t="s">
        <v>561</v>
      </c>
      <c r="AA111" s="171" t="s">
        <v>113</v>
      </c>
      <c r="AB111" s="171" t="s">
        <v>12</v>
      </c>
      <c r="AC111" s="171">
        <v>22.2</v>
      </c>
      <c r="AD111" s="178"/>
      <c r="AG111" s="179"/>
      <c r="AH111" s="253"/>
      <c r="AL111" s="178"/>
      <c r="AO111" s="179"/>
      <c r="AP111" s="178"/>
      <c r="AS111" s="179"/>
      <c r="AW111" s="179"/>
      <c r="BA111" s="180"/>
    </row>
    <row r="112" spans="1:53" s="171" customFormat="1" x14ac:dyDescent="0.15">
      <c r="A112" s="171">
        <v>2011</v>
      </c>
      <c r="B112" s="305">
        <v>40908</v>
      </c>
      <c r="C112" s="410" t="s">
        <v>1171</v>
      </c>
      <c r="D112" s="410"/>
      <c r="E112" s="171">
        <f>365-E111</f>
        <v>1</v>
      </c>
      <c r="F112" s="244">
        <v>0</v>
      </c>
      <c r="G112" s="233"/>
      <c r="I112" s="171">
        <v>9</v>
      </c>
      <c r="J112" s="241">
        <v>9</v>
      </c>
      <c r="K112" s="214">
        <f t="shared" si="5"/>
        <v>0</v>
      </c>
      <c r="L112" s="214">
        <f t="shared" si="5"/>
        <v>0</v>
      </c>
      <c r="M112" s="214">
        <f t="shared" si="5"/>
        <v>100</v>
      </c>
      <c r="N112" s="235">
        <f t="shared" si="6"/>
        <v>100</v>
      </c>
      <c r="O112" s="213"/>
      <c r="P112" s="214"/>
      <c r="Q112" s="214">
        <v>53.9</v>
      </c>
      <c r="R112" s="215">
        <f t="shared" si="7"/>
        <v>53.9</v>
      </c>
      <c r="S112" s="171">
        <v>2</v>
      </c>
      <c r="T112" s="285"/>
      <c r="U112" s="283"/>
      <c r="V112" s="178" t="s">
        <v>560</v>
      </c>
      <c r="W112" s="171" t="s">
        <v>115</v>
      </c>
      <c r="X112" s="171" t="s">
        <v>12</v>
      </c>
      <c r="Y112" s="179">
        <v>31.7</v>
      </c>
      <c r="Z112" s="171" t="s">
        <v>561</v>
      </c>
      <c r="AA112" s="171" t="s">
        <v>113</v>
      </c>
      <c r="AB112" s="171" t="s">
        <v>12</v>
      </c>
      <c r="AC112" s="171">
        <v>22.2</v>
      </c>
      <c r="AD112" s="178"/>
      <c r="AG112" s="179"/>
      <c r="AH112" s="253"/>
      <c r="AL112" s="178"/>
      <c r="AO112" s="179"/>
      <c r="AP112" s="178"/>
      <c r="AS112" s="179"/>
      <c r="AW112" s="179"/>
      <c r="BA112" s="180"/>
    </row>
    <row r="113" spans="1:53" s="171" customFormat="1" x14ac:dyDescent="0.15">
      <c r="A113" s="171">
        <v>2012</v>
      </c>
      <c r="B113" s="283"/>
      <c r="C113" s="410" t="s">
        <v>1171</v>
      </c>
      <c r="D113" s="410"/>
      <c r="E113" s="171">
        <v>0</v>
      </c>
      <c r="G113" s="233"/>
      <c r="I113" s="171">
        <v>9</v>
      </c>
      <c r="J113" s="241">
        <v>9</v>
      </c>
      <c r="K113" s="214">
        <f t="shared" si="5"/>
        <v>0</v>
      </c>
      <c r="L113" s="214">
        <f t="shared" si="5"/>
        <v>0</v>
      </c>
      <c r="M113" s="214">
        <f t="shared" si="5"/>
        <v>100</v>
      </c>
      <c r="N113" s="235">
        <f t="shared" si="6"/>
        <v>100</v>
      </c>
      <c r="O113" s="213"/>
      <c r="P113" s="214"/>
      <c r="Q113" s="214">
        <v>53.9</v>
      </c>
      <c r="R113" s="215">
        <f t="shared" si="7"/>
        <v>53.9</v>
      </c>
      <c r="S113" s="171">
        <v>2</v>
      </c>
      <c r="T113" s="285"/>
      <c r="U113" s="283"/>
      <c r="V113" s="178" t="s">
        <v>560</v>
      </c>
      <c r="W113" s="171" t="s">
        <v>115</v>
      </c>
      <c r="X113" s="171" t="s">
        <v>12</v>
      </c>
      <c r="Y113" s="179">
        <v>31.7</v>
      </c>
      <c r="Z113" s="171" t="s">
        <v>561</v>
      </c>
      <c r="AA113" s="171" t="s">
        <v>113</v>
      </c>
      <c r="AB113" s="171" t="s">
        <v>12</v>
      </c>
      <c r="AC113" s="171">
        <v>22.2</v>
      </c>
      <c r="AD113" s="178"/>
      <c r="AG113" s="179"/>
      <c r="AH113" s="253"/>
      <c r="AL113" s="178"/>
      <c r="AO113" s="179"/>
      <c r="AP113" s="178"/>
      <c r="AS113" s="179"/>
      <c r="AW113" s="179"/>
      <c r="BA113" s="180"/>
    </row>
    <row r="114" spans="1:53" s="171" customFormat="1" x14ac:dyDescent="0.15">
      <c r="A114" s="171">
        <v>2012</v>
      </c>
      <c r="B114" s="283"/>
      <c r="C114" s="410" t="s">
        <v>1171</v>
      </c>
      <c r="D114" s="410"/>
      <c r="E114" s="171">
        <v>366</v>
      </c>
      <c r="G114" s="233"/>
      <c r="I114" s="171">
        <v>9</v>
      </c>
      <c r="J114" s="241">
        <v>9</v>
      </c>
      <c r="K114" s="214">
        <f t="shared" si="5"/>
        <v>0</v>
      </c>
      <c r="L114" s="214">
        <f t="shared" si="5"/>
        <v>0</v>
      </c>
      <c r="M114" s="214">
        <f t="shared" si="5"/>
        <v>100</v>
      </c>
      <c r="N114" s="235">
        <f t="shared" si="6"/>
        <v>100</v>
      </c>
      <c r="O114" s="213"/>
      <c r="P114" s="214"/>
      <c r="Q114" s="214">
        <v>53.9</v>
      </c>
      <c r="R114" s="215">
        <f t="shared" si="7"/>
        <v>53.9</v>
      </c>
      <c r="S114" s="171">
        <v>2</v>
      </c>
      <c r="T114" s="285"/>
      <c r="U114" s="283"/>
      <c r="V114" s="178" t="s">
        <v>560</v>
      </c>
      <c r="W114" s="171" t="s">
        <v>115</v>
      </c>
      <c r="X114" s="171" t="s">
        <v>12</v>
      </c>
      <c r="Y114" s="179">
        <v>31.7</v>
      </c>
      <c r="Z114" s="171" t="s">
        <v>561</v>
      </c>
      <c r="AA114" s="171" t="s">
        <v>113</v>
      </c>
      <c r="AB114" s="171" t="s">
        <v>12</v>
      </c>
      <c r="AC114" s="171">
        <v>22.2</v>
      </c>
      <c r="AD114" s="178"/>
      <c r="AG114" s="179"/>
      <c r="AH114" s="253"/>
      <c r="AL114" s="178"/>
      <c r="AO114" s="179"/>
      <c r="AP114" s="178"/>
      <c r="AS114" s="179"/>
      <c r="AW114" s="179"/>
      <c r="BA114" s="180"/>
    </row>
    <row r="115" spans="1:53" s="171" customFormat="1" x14ac:dyDescent="0.15">
      <c r="A115" s="171">
        <v>2013</v>
      </c>
      <c r="B115" s="283"/>
      <c r="C115" s="410" t="s">
        <v>1171</v>
      </c>
      <c r="D115" s="410"/>
      <c r="E115" s="171">
        <v>142</v>
      </c>
      <c r="G115" s="233"/>
      <c r="I115" s="171">
        <v>9</v>
      </c>
      <c r="J115" s="241">
        <v>9</v>
      </c>
      <c r="K115" s="214">
        <f t="shared" si="5"/>
        <v>0</v>
      </c>
      <c r="L115" s="214">
        <f t="shared" si="5"/>
        <v>0</v>
      </c>
      <c r="M115" s="214">
        <f t="shared" si="5"/>
        <v>100</v>
      </c>
      <c r="N115" s="235">
        <f t="shared" si="6"/>
        <v>100</v>
      </c>
      <c r="O115" s="213"/>
      <c r="P115" s="214"/>
      <c r="Q115" s="214">
        <v>53.9</v>
      </c>
      <c r="R115" s="215">
        <f>O115+P115+Q115</f>
        <v>53.9</v>
      </c>
      <c r="S115" s="171">
        <v>2</v>
      </c>
      <c r="T115" s="285"/>
      <c r="U115" s="283"/>
      <c r="V115" s="178" t="s">
        <v>560</v>
      </c>
      <c r="W115" s="171" t="s">
        <v>297</v>
      </c>
      <c r="X115" s="171" t="s">
        <v>12</v>
      </c>
      <c r="Y115" s="179">
        <v>31.7</v>
      </c>
      <c r="Z115" s="171" t="s">
        <v>561</v>
      </c>
      <c r="AA115" s="171" t="s">
        <v>113</v>
      </c>
      <c r="AB115" s="171" t="s">
        <v>12</v>
      </c>
      <c r="AC115" s="171">
        <v>22.2</v>
      </c>
      <c r="AD115" s="178"/>
      <c r="AG115" s="179"/>
      <c r="AH115" s="253"/>
      <c r="AL115" s="178"/>
      <c r="AO115" s="179"/>
      <c r="AP115" s="178"/>
      <c r="AS115" s="179"/>
      <c r="AW115" s="179"/>
      <c r="BA115" s="180"/>
    </row>
    <row r="116" spans="1:53" s="29" customFormat="1" x14ac:dyDescent="0.15">
      <c r="A116" s="29">
        <v>2013</v>
      </c>
      <c r="B116" s="295">
        <v>41417</v>
      </c>
      <c r="C116" s="411" t="s">
        <v>1242</v>
      </c>
      <c r="D116" s="411"/>
      <c r="E116" s="29">
        <f>365-E115</f>
        <v>223</v>
      </c>
      <c r="F116" s="29">
        <v>1</v>
      </c>
      <c r="G116" s="66">
        <v>5</v>
      </c>
      <c r="H116" s="29">
        <v>4</v>
      </c>
      <c r="J116" s="73">
        <v>9</v>
      </c>
      <c r="K116" s="47">
        <f t="shared" ref="K116:M118" si="8">G116/$J116*100</f>
        <v>55.555555555555557</v>
      </c>
      <c r="L116" s="47">
        <f t="shared" si="8"/>
        <v>44.444444444444443</v>
      </c>
      <c r="M116" s="47">
        <f t="shared" si="8"/>
        <v>0</v>
      </c>
      <c r="N116" s="68">
        <f>K116+L116+M116</f>
        <v>100</v>
      </c>
      <c r="O116" s="46">
        <v>30.2</v>
      </c>
      <c r="P116" s="47">
        <v>30.2</v>
      </c>
      <c r="Q116" s="47"/>
      <c r="R116" s="48">
        <f>O116+P116+Q116</f>
        <v>60.4</v>
      </c>
      <c r="S116" s="29">
        <v>2</v>
      </c>
      <c r="T116" s="286">
        <v>41391</v>
      </c>
      <c r="U116" s="295">
        <v>41417</v>
      </c>
      <c r="V116" s="38" t="s">
        <v>476</v>
      </c>
      <c r="W116" s="29" t="s">
        <v>869</v>
      </c>
      <c r="X116" s="29" t="s">
        <v>18</v>
      </c>
      <c r="Y116" s="39">
        <v>30.2</v>
      </c>
      <c r="Z116" s="29" t="s">
        <v>558</v>
      </c>
      <c r="AA116" s="29" t="s">
        <v>74</v>
      </c>
      <c r="AB116" s="29" t="s">
        <v>11</v>
      </c>
      <c r="AC116" s="29">
        <v>30.2</v>
      </c>
      <c r="AD116" s="38"/>
      <c r="AG116" s="39"/>
      <c r="AH116" s="94"/>
      <c r="AL116" s="38"/>
      <c r="AO116" s="39"/>
      <c r="AP116" s="38"/>
      <c r="AS116" s="39"/>
      <c r="AW116" s="39"/>
      <c r="BA116" s="40"/>
    </row>
    <row r="117" spans="1:53" s="29" customFormat="1" x14ac:dyDescent="0.15">
      <c r="A117" s="29">
        <v>2014</v>
      </c>
      <c r="B117" s="303"/>
      <c r="C117" s="411" t="s">
        <v>1242</v>
      </c>
      <c r="D117" s="411"/>
      <c r="E117" s="29">
        <v>364</v>
      </c>
      <c r="F117" s="84"/>
      <c r="G117" s="66">
        <v>5</v>
      </c>
      <c r="H117" s="29">
        <v>4</v>
      </c>
      <c r="J117" s="73">
        <v>9</v>
      </c>
      <c r="K117" s="47">
        <f t="shared" si="8"/>
        <v>55.555555555555557</v>
      </c>
      <c r="L117" s="47">
        <f t="shared" si="8"/>
        <v>44.444444444444443</v>
      </c>
      <c r="M117" s="47">
        <f t="shared" si="8"/>
        <v>0</v>
      </c>
      <c r="N117" s="68">
        <f>K117+L117+M117</f>
        <v>100</v>
      </c>
      <c r="O117" s="46">
        <v>30.2</v>
      </c>
      <c r="P117" s="47">
        <v>30.2</v>
      </c>
      <c r="Q117" s="47"/>
      <c r="R117" s="48">
        <f>O117+P117+Q117</f>
        <v>60.4</v>
      </c>
      <c r="S117" s="29">
        <v>2</v>
      </c>
      <c r="T117" s="286"/>
      <c r="U117" s="295"/>
      <c r="V117" s="38" t="s">
        <v>476</v>
      </c>
      <c r="W117" s="29" t="s">
        <v>869</v>
      </c>
      <c r="X117" s="29" t="s">
        <v>18</v>
      </c>
      <c r="Y117" s="39">
        <v>30.2</v>
      </c>
      <c r="Z117" s="29" t="s">
        <v>558</v>
      </c>
      <c r="AA117" s="29" t="s">
        <v>74</v>
      </c>
      <c r="AB117" s="29" t="s">
        <v>11</v>
      </c>
      <c r="AC117" s="29">
        <v>30.2</v>
      </c>
      <c r="AD117" s="38"/>
      <c r="AG117" s="39"/>
      <c r="AH117" s="94"/>
      <c r="AL117" s="38"/>
      <c r="AO117" s="39"/>
      <c r="AP117" s="38"/>
      <c r="AS117" s="39"/>
      <c r="AW117" s="39"/>
      <c r="BA117" s="40"/>
    </row>
    <row r="118" spans="1:53" s="29" customFormat="1" x14ac:dyDescent="0.15">
      <c r="A118" s="29">
        <v>2014</v>
      </c>
      <c r="B118" s="303">
        <v>42004</v>
      </c>
      <c r="C118" s="411" t="s">
        <v>1242</v>
      </c>
      <c r="D118" s="411"/>
      <c r="E118" s="29">
        <v>1</v>
      </c>
      <c r="F118" s="84">
        <v>0</v>
      </c>
      <c r="G118" s="66">
        <v>5</v>
      </c>
      <c r="H118" s="29">
        <v>5</v>
      </c>
      <c r="J118" s="73">
        <v>10</v>
      </c>
      <c r="K118" s="47">
        <f t="shared" si="8"/>
        <v>50</v>
      </c>
      <c r="L118" s="47">
        <f t="shared" si="8"/>
        <v>50</v>
      </c>
      <c r="M118" s="47">
        <f t="shared" si="8"/>
        <v>0</v>
      </c>
      <c r="N118" s="68">
        <f>K118+L118+M118</f>
        <v>100</v>
      </c>
      <c r="O118" s="46">
        <v>30.2</v>
      </c>
      <c r="P118" s="47">
        <v>30.2</v>
      </c>
      <c r="Q118" s="47"/>
      <c r="R118" s="48">
        <f>O118+P118+Q118</f>
        <v>60.4</v>
      </c>
      <c r="S118" s="29">
        <v>2</v>
      </c>
      <c r="T118" s="286"/>
      <c r="U118" s="295"/>
      <c r="V118" s="38" t="s">
        <v>476</v>
      </c>
      <c r="W118" s="29" t="s">
        <v>869</v>
      </c>
      <c r="X118" s="29" t="s">
        <v>18</v>
      </c>
      <c r="Y118" s="39">
        <v>30.2</v>
      </c>
      <c r="Z118" s="29" t="s">
        <v>558</v>
      </c>
      <c r="AA118" s="29" t="s">
        <v>74</v>
      </c>
      <c r="AB118" s="29" t="s">
        <v>11</v>
      </c>
      <c r="AC118" s="29">
        <v>30.2</v>
      </c>
      <c r="AD118" s="38"/>
      <c r="AG118" s="39"/>
      <c r="AH118" s="94"/>
      <c r="AL118" s="38"/>
      <c r="AO118" s="39"/>
      <c r="AP118" s="38"/>
      <c r="AS118" s="39"/>
      <c r="AW118" s="39"/>
      <c r="BA118" s="40"/>
    </row>
    <row r="119" spans="1:53" s="29" customFormat="1" x14ac:dyDescent="0.15">
      <c r="A119" s="29">
        <v>2015</v>
      </c>
      <c r="B119" s="303"/>
      <c r="C119" s="411" t="s">
        <v>1242</v>
      </c>
      <c r="D119" s="411"/>
      <c r="E119" s="29">
        <v>0</v>
      </c>
      <c r="F119" s="84"/>
      <c r="G119" s="66">
        <v>5</v>
      </c>
      <c r="H119" s="29">
        <v>5</v>
      </c>
      <c r="J119" s="73">
        <v>10</v>
      </c>
      <c r="K119" s="47">
        <f t="shared" ref="K119:K121" si="9">G119/$J119*100</f>
        <v>50</v>
      </c>
      <c r="L119" s="47">
        <f t="shared" ref="L119:L121" si="10">H119/$J119*100</f>
        <v>50</v>
      </c>
      <c r="M119" s="47">
        <f t="shared" ref="M119:M121" si="11">I119/$J119*100</f>
        <v>0</v>
      </c>
      <c r="N119" s="68">
        <f t="shared" ref="N119:N121" si="12">K119+L119+M119</f>
        <v>100</v>
      </c>
      <c r="O119" s="46">
        <v>30.2</v>
      </c>
      <c r="P119" s="47">
        <v>30.2</v>
      </c>
      <c r="Q119" s="47"/>
      <c r="R119" s="48">
        <f t="shared" ref="R119:R120" si="13">O119+P119+Q119</f>
        <v>60.4</v>
      </c>
      <c r="S119" s="29">
        <v>2</v>
      </c>
      <c r="T119" s="286"/>
      <c r="U119" s="295"/>
      <c r="V119" s="38" t="s">
        <v>476</v>
      </c>
      <c r="W119" s="29" t="s">
        <v>869</v>
      </c>
      <c r="X119" s="29" t="s">
        <v>18</v>
      </c>
      <c r="Y119" s="39">
        <v>30.2</v>
      </c>
      <c r="Z119" s="29" t="s">
        <v>558</v>
      </c>
      <c r="AA119" s="29" t="s">
        <v>74</v>
      </c>
      <c r="AB119" s="29" t="s">
        <v>11</v>
      </c>
      <c r="AC119" s="29">
        <v>30.2</v>
      </c>
      <c r="AD119" s="38"/>
      <c r="AG119" s="39"/>
      <c r="AH119" s="94"/>
      <c r="AL119" s="38"/>
      <c r="AO119" s="39"/>
      <c r="AP119" s="38"/>
      <c r="AS119" s="39"/>
      <c r="AW119" s="39"/>
      <c r="BA119" s="40"/>
    </row>
    <row r="120" spans="1:53" s="29" customFormat="1" x14ac:dyDescent="0.15">
      <c r="A120" s="29">
        <v>2015</v>
      </c>
      <c r="B120" s="303"/>
      <c r="C120" s="411" t="s">
        <v>1242</v>
      </c>
      <c r="D120" s="411"/>
      <c r="E120" s="29">
        <v>365</v>
      </c>
      <c r="F120" s="84"/>
      <c r="G120" s="66">
        <v>5</v>
      </c>
      <c r="H120" s="29">
        <v>5</v>
      </c>
      <c r="J120" s="73">
        <v>10</v>
      </c>
      <c r="K120" s="47">
        <f t="shared" si="9"/>
        <v>50</v>
      </c>
      <c r="L120" s="47">
        <f t="shared" si="10"/>
        <v>50</v>
      </c>
      <c r="M120" s="47">
        <f t="shared" si="11"/>
        <v>0</v>
      </c>
      <c r="N120" s="68">
        <f t="shared" si="12"/>
        <v>100</v>
      </c>
      <c r="O120" s="46">
        <v>30.2</v>
      </c>
      <c r="P120" s="47">
        <v>30.2</v>
      </c>
      <c r="Q120" s="47"/>
      <c r="R120" s="48">
        <f t="shared" si="13"/>
        <v>60.4</v>
      </c>
      <c r="S120" s="29">
        <v>2</v>
      </c>
      <c r="T120" s="286"/>
      <c r="U120" s="295"/>
      <c r="V120" s="38" t="s">
        <v>476</v>
      </c>
      <c r="W120" s="29" t="s">
        <v>869</v>
      </c>
      <c r="X120" s="29" t="s">
        <v>18</v>
      </c>
      <c r="Y120" s="39">
        <v>30.2</v>
      </c>
      <c r="Z120" s="29" t="s">
        <v>558</v>
      </c>
      <c r="AA120" s="29" t="s">
        <v>74</v>
      </c>
      <c r="AB120" s="29" t="s">
        <v>11</v>
      </c>
      <c r="AC120" s="29">
        <v>30.2</v>
      </c>
      <c r="AD120" s="38"/>
      <c r="AG120" s="39"/>
      <c r="AH120" s="94"/>
      <c r="AL120" s="38"/>
      <c r="AO120" s="39"/>
      <c r="AP120" s="38"/>
      <c r="AS120" s="39"/>
      <c r="AW120" s="39"/>
      <c r="BA120" s="40"/>
    </row>
    <row r="121" spans="1:53" s="29" customFormat="1" x14ac:dyDescent="0.15">
      <c r="A121" s="29">
        <v>2016</v>
      </c>
      <c r="B121" s="303"/>
      <c r="C121" s="411" t="s">
        <v>1242</v>
      </c>
      <c r="D121" s="411"/>
      <c r="E121" s="29">
        <v>97</v>
      </c>
      <c r="F121" s="84"/>
      <c r="G121" s="66">
        <v>5</v>
      </c>
      <c r="H121" s="29">
        <v>5</v>
      </c>
      <c r="J121" s="73">
        <v>10</v>
      </c>
      <c r="K121" s="47">
        <f t="shared" si="9"/>
        <v>50</v>
      </c>
      <c r="L121" s="47">
        <f t="shared" si="10"/>
        <v>50</v>
      </c>
      <c r="M121" s="47">
        <f t="shared" si="11"/>
        <v>0</v>
      </c>
      <c r="N121" s="68">
        <f t="shared" si="12"/>
        <v>100</v>
      </c>
      <c r="O121" s="46">
        <v>30.2</v>
      </c>
      <c r="P121" s="47">
        <v>30.2</v>
      </c>
      <c r="Q121" s="47"/>
      <c r="R121" s="48">
        <f t="shared" ref="R121" si="14">O121+P121+Q121</f>
        <v>60.4</v>
      </c>
      <c r="S121" s="37">
        <v>2</v>
      </c>
      <c r="T121" s="286"/>
      <c r="U121" s="295"/>
      <c r="V121" s="38" t="s">
        <v>476</v>
      </c>
      <c r="W121" s="29" t="s">
        <v>869</v>
      </c>
      <c r="X121" s="29" t="s">
        <v>18</v>
      </c>
      <c r="Y121" s="39">
        <v>30.2</v>
      </c>
      <c r="Z121" s="29" t="s">
        <v>558</v>
      </c>
      <c r="AA121" s="29" t="s">
        <v>74</v>
      </c>
      <c r="AB121" s="29" t="s">
        <v>11</v>
      </c>
      <c r="AC121" s="29">
        <v>30.2</v>
      </c>
      <c r="AD121" s="38"/>
      <c r="AG121" s="39"/>
      <c r="AH121" s="94"/>
      <c r="AK121" s="39"/>
      <c r="AO121" s="39"/>
      <c r="AS121" s="39"/>
      <c r="AW121" s="39"/>
      <c r="BA121" s="40"/>
    </row>
    <row r="122" spans="1:53" s="171" customFormat="1" x14ac:dyDescent="0.15">
      <c r="A122" s="171">
        <v>2016</v>
      </c>
      <c r="B122" s="283">
        <v>42467</v>
      </c>
      <c r="C122" s="410" t="s">
        <v>1341</v>
      </c>
      <c r="D122" s="410"/>
      <c r="E122" s="171">
        <v>269</v>
      </c>
      <c r="F122" s="180">
        <v>1</v>
      </c>
      <c r="G122" s="171">
        <v>5</v>
      </c>
      <c r="H122" s="171">
        <v>5</v>
      </c>
      <c r="J122" s="241">
        <v>10</v>
      </c>
      <c r="K122" s="214">
        <f t="shared" ref="K122:K125" si="15">G122/$J122*100</f>
        <v>50</v>
      </c>
      <c r="L122" s="214">
        <f t="shared" ref="L122:L125" si="16">H122/$J122*100</f>
        <v>50</v>
      </c>
      <c r="M122" s="214">
        <f t="shared" ref="M122:M124" si="17">I122/$J122*100</f>
        <v>0</v>
      </c>
      <c r="N122" s="235">
        <f t="shared" ref="N122:N124" si="18">K122+L122+M122</f>
        <v>100</v>
      </c>
      <c r="O122" s="213">
        <v>33.299999999999997</v>
      </c>
      <c r="P122" s="214">
        <v>12.7</v>
      </c>
      <c r="Q122" s="214"/>
      <c r="R122" s="215">
        <f t="shared" ref="R122:R125" si="19">O122+P122+Q122</f>
        <v>46</v>
      </c>
      <c r="S122" s="171">
        <v>6</v>
      </c>
      <c r="T122" s="285"/>
      <c r="U122" s="283">
        <v>42467</v>
      </c>
      <c r="V122" s="178" t="s">
        <v>476</v>
      </c>
      <c r="W122" s="171" t="s">
        <v>869</v>
      </c>
      <c r="X122" s="171" t="s">
        <v>18</v>
      </c>
      <c r="Y122" s="179">
        <v>30.2</v>
      </c>
      <c r="Z122" s="171" t="s">
        <v>558</v>
      </c>
      <c r="AA122" s="171" t="s">
        <v>74</v>
      </c>
      <c r="AB122" s="171" t="s">
        <v>11</v>
      </c>
      <c r="AC122" s="171">
        <v>30.2</v>
      </c>
      <c r="AD122" s="178"/>
      <c r="AG122" s="179"/>
      <c r="AH122" s="253"/>
      <c r="AK122" s="179"/>
      <c r="AO122" s="179"/>
      <c r="AS122" s="179"/>
      <c r="AW122" s="179"/>
      <c r="BA122" s="180"/>
    </row>
    <row r="123" spans="1:53" s="171" customFormat="1" x14ac:dyDescent="0.15">
      <c r="A123" s="171">
        <v>2017</v>
      </c>
      <c r="B123" s="283"/>
      <c r="C123" s="410" t="s">
        <v>1341</v>
      </c>
      <c r="D123" s="410"/>
      <c r="E123" s="171">
        <v>10</v>
      </c>
      <c r="F123" s="180"/>
      <c r="G123" s="171">
        <v>5</v>
      </c>
      <c r="H123" s="171">
        <v>5</v>
      </c>
      <c r="J123" s="241">
        <v>10</v>
      </c>
      <c r="K123" s="214">
        <f t="shared" si="15"/>
        <v>50</v>
      </c>
      <c r="L123" s="214">
        <f t="shared" si="16"/>
        <v>50</v>
      </c>
      <c r="M123" s="214">
        <f t="shared" si="17"/>
        <v>0</v>
      </c>
      <c r="N123" s="235">
        <f t="shared" si="18"/>
        <v>100</v>
      </c>
      <c r="O123" s="213">
        <v>33.299999999999997</v>
      </c>
      <c r="P123" s="214">
        <v>12.7</v>
      </c>
      <c r="Q123" s="214"/>
      <c r="R123" s="215">
        <f t="shared" si="19"/>
        <v>46</v>
      </c>
      <c r="S123" s="171">
        <v>6</v>
      </c>
      <c r="T123" s="285"/>
      <c r="U123" s="283"/>
      <c r="V123" s="178" t="s">
        <v>476</v>
      </c>
      <c r="W123" s="171" t="s">
        <v>869</v>
      </c>
      <c r="X123" s="171" t="s">
        <v>18</v>
      </c>
      <c r="Y123" s="179">
        <v>30.2</v>
      </c>
      <c r="Z123" s="171" t="s">
        <v>558</v>
      </c>
      <c r="AA123" s="171" t="s">
        <v>74</v>
      </c>
      <c r="AB123" s="171" t="s">
        <v>11</v>
      </c>
      <c r="AC123" s="171">
        <v>30.2</v>
      </c>
      <c r="AD123" s="178"/>
      <c r="AG123" s="179"/>
      <c r="AH123" s="253"/>
      <c r="AK123" s="179"/>
      <c r="AO123" s="179"/>
      <c r="AS123" s="179"/>
      <c r="AW123" s="179"/>
      <c r="BA123" s="180"/>
    </row>
    <row r="124" spans="1:53" s="29" customFormat="1" x14ac:dyDescent="0.15">
      <c r="A124" s="29">
        <v>2017</v>
      </c>
      <c r="B124" s="295">
        <v>42746</v>
      </c>
      <c r="C124" s="411" t="s">
        <v>1448</v>
      </c>
      <c r="D124" s="411"/>
      <c r="E124" s="29">
        <v>323</v>
      </c>
      <c r="F124" s="40">
        <v>1</v>
      </c>
      <c r="G124" s="29">
        <v>11</v>
      </c>
      <c r="J124" s="73">
        <v>11</v>
      </c>
      <c r="K124" s="47">
        <f t="shared" si="15"/>
        <v>100</v>
      </c>
      <c r="L124" s="47">
        <f t="shared" si="16"/>
        <v>0</v>
      </c>
      <c r="M124" s="47">
        <f t="shared" si="17"/>
        <v>0</v>
      </c>
      <c r="N124" s="68">
        <f t="shared" si="18"/>
        <v>100</v>
      </c>
      <c r="O124" s="46">
        <v>50.7</v>
      </c>
      <c r="P124" s="47"/>
      <c r="Q124" s="47"/>
      <c r="R124" s="48">
        <f t="shared" si="19"/>
        <v>50.7</v>
      </c>
      <c r="S124" s="29">
        <v>3</v>
      </c>
      <c r="T124" s="286">
        <v>42672</v>
      </c>
      <c r="U124" s="295">
        <v>42746</v>
      </c>
      <c r="V124" s="38" t="s">
        <v>558</v>
      </c>
      <c r="W124" s="29" t="s">
        <v>74</v>
      </c>
      <c r="X124" s="29" t="s">
        <v>11</v>
      </c>
      <c r="Y124" s="39">
        <v>33.299999999999997</v>
      </c>
      <c r="Z124" s="29" t="s">
        <v>404</v>
      </c>
      <c r="AA124" s="29" t="s">
        <v>75</v>
      </c>
      <c r="AB124" s="29" t="s">
        <v>11</v>
      </c>
      <c r="AC124" s="29">
        <v>11.1</v>
      </c>
      <c r="AD124" s="38" t="s">
        <v>1373</v>
      </c>
      <c r="AE124" s="29" t="s">
        <v>87</v>
      </c>
      <c r="AF124" s="29" t="s">
        <v>11</v>
      </c>
      <c r="AG124" s="39">
        <v>6.3</v>
      </c>
      <c r="AH124" s="94"/>
      <c r="AK124" s="39"/>
      <c r="AO124" s="39"/>
      <c r="AS124" s="39"/>
      <c r="AW124" s="39"/>
      <c r="BA124" s="40"/>
    </row>
    <row r="125" spans="1:53" s="171" customFormat="1" x14ac:dyDescent="0.15">
      <c r="A125" s="171">
        <v>2017</v>
      </c>
      <c r="B125" s="283">
        <v>43069</v>
      </c>
      <c r="C125" s="410" t="s">
        <v>1374</v>
      </c>
      <c r="D125" s="410"/>
      <c r="E125" s="171">
        <v>32</v>
      </c>
      <c r="F125" s="180">
        <v>1</v>
      </c>
      <c r="G125" s="171">
        <v>5</v>
      </c>
      <c r="H125" s="171">
        <v>3</v>
      </c>
      <c r="I125" s="171">
        <v>3</v>
      </c>
      <c r="J125" s="241">
        <v>11</v>
      </c>
      <c r="K125" s="214">
        <f t="shared" si="15"/>
        <v>45.454545454545453</v>
      </c>
      <c r="L125" s="214">
        <f t="shared" si="16"/>
        <v>27.27272727272727</v>
      </c>
      <c r="M125" s="214">
        <f t="shared" ref="M125" si="20">I125/$J125*100</f>
        <v>27.27272727272727</v>
      </c>
      <c r="N125" s="235">
        <f t="shared" ref="N125" si="21">K125+L125+M125</f>
        <v>99.999999999999986</v>
      </c>
      <c r="O125" s="213">
        <v>25.4</v>
      </c>
      <c r="P125" s="214">
        <v>12.7</v>
      </c>
      <c r="Q125" s="214">
        <v>17.5</v>
      </c>
      <c r="R125" s="215">
        <f t="shared" si="19"/>
        <v>55.599999999999994</v>
      </c>
      <c r="S125" s="171">
        <v>2</v>
      </c>
      <c r="T125" s="285">
        <v>43036</v>
      </c>
      <c r="U125" s="283">
        <v>43069</v>
      </c>
      <c r="V125" s="178" t="s">
        <v>558</v>
      </c>
      <c r="W125" s="171" t="s">
        <v>74</v>
      </c>
      <c r="X125" s="171" t="s">
        <v>11</v>
      </c>
      <c r="Y125" s="179">
        <v>25.4</v>
      </c>
      <c r="Z125" s="171" t="s">
        <v>561</v>
      </c>
      <c r="AA125" s="171" t="s">
        <v>113</v>
      </c>
      <c r="AB125" s="171" t="s">
        <v>12</v>
      </c>
      <c r="AC125" s="171">
        <v>17.5</v>
      </c>
      <c r="AD125" s="178" t="s">
        <v>476</v>
      </c>
      <c r="AE125" s="171" t="s">
        <v>869</v>
      </c>
      <c r="AF125" s="171" t="s">
        <v>18</v>
      </c>
      <c r="AG125" s="179">
        <v>12.7</v>
      </c>
      <c r="AH125" s="253"/>
      <c r="AK125" s="179"/>
      <c r="AO125" s="179"/>
      <c r="AS125" s="179"/>
      <c r="AW125" s="179"/>
      <c r="BA125" s="180"/>
    </row>
    <row r="126" spans="1:53" s="171" customFormat="1" x14ac:dyDescent="0.15">
      <c r="A126" s="171">
        <v>2018</v>
      </c>
      <c r="B126" s="283"/>
      <c r="C126" s="410" t="s">
        <v>1374</v>
      </c>
      <c r="D126" s="410"/>
      <c r="E126" s="171">
        <v>0</v>
      </c>
      <c r="F126" s="180"/>
      <c r="G126" s="171">
        <v>5</v>
      </c>
      <c r="H126" s="171">
        <v>3</v>
      </c>
      <c r="I126" s="171">
        <v>3</v>
      </c>
      <c r="J126" s="241">
        <v>11</v>
      </c>
      <c r="K126" s="214">
        <f t="shared" ref="K126:K127" si="22">G126/$J126*100</f>
        <v>45.454545454545453</v>
      </c>
      <c r="L126" s="214">
        <f t="shared" ref="L126:L127" si="23">H126/$J126*100</f>
        <v>27.27272727272727</v>
      </c>
      <c r="M126" s="214">
        <f t="shared" ref="M126:M127" si="24">I126/$J126*100</f>
        <v>27.27272727272727</v>
      </c>
      <c r="N126" s="235">
        <f t="shared" ref="N126:N127" si="25">K126+L126+M126</f>
        <v>99.999999999999986</v>
      </c>
      <c r="O126" s="213">
        <v>25.4</v>
      </c>
      <c r="P126" s="214">
        <v>12.7</v>
      </c>
      <c r="Q126" s="214">
        <v>17.5</v>
      </c>
      <c r="R126" s="215">
        <f t="shared" ref="R126:R131" si="26">O126+P126+Q126</f>
        <v>55.599999999999994</v>
      </c>
      <c r="S126" s="171">
        <v>2</v>
      </c>
      <c r="T126" s="285"/>
      <c r="U126" s="283"/>
      <c r="V126" s="178" t="s">
        <v>558</v>
      </c>
      <c r="W126" s="171" t="s">
        <v>74</v>
      </c>
      <c r="X126" s="171" t="s">
        <v>11</v>
      </c>
      <c r="Y126" s="179">
        <v>25.4</v>
      </c>
      <c r="Z126" s="171" t="s">
        <v>561</v>
      </c>
      <c r="AA126" s="171" t="s">
        <v>113</v>
      </c>
      <c r="AB126" s="171" t="s">
        <v>12</v>
      </c>
      <c r="AC126" s="171">
        <v>17.5</v>
      </c>
      <c r="AD126" s="178" t="s">
        <v>476</v>
      </c>
      <c r="AE126" s="171" t="s">
        <v>869</v>
      </c>
      <c r="AF126" s="171" t="s">
        <v>18</v>
      </c>
      <c r="AG126" s="179">
        <v>12.7</v>
      </c>
      <c r="AH126" s="253"/>
      <c r="AK126" s="179"/>
      <c r="AO126" s="179"/>
      <c r="AS126" s="179"/>
      <c r="AW126" s="179"/>
      <c r="BA126" s="180"/>
    </row>
    <row r="127" spans="1:53" s="171" customFormat="1" x14ac:dyDescent="0.15">
      <c r="A127" s="171">
        <v>2018</v>
      </c>
      <c r="B127" s="283"/>
      <c r="C127" s="410" t="s">
        <v>1374</v>
      </c>
      <c r="D127" s="410"/>
      <c r="E127" s="171">
        <v>365</v>
      </c>
      <c r="F127" s="180"/>
      <c r="G127" s="171">
        <v>5</v>
      </c>
      <c r="H127" s="171">
        <v>3</v>
      </c>
      <c r="I127" s="171">
        <v>3</v>
      </c>
      <c r="J127" s="241">
        <v>11</v>
      </c>
      <c r="K127" s="214">
        <f t="shared" si="22"/>
        <v>45.454545454545453</v>
      </c>
      <c r="L127" s="214">
        <f t="shared" si="23"/>
        <v>27.27272727272727</v>
      </c>
      <c r="M127" s="214">
        <f t="shared" si="24"/>
        <v>27.27272727272727</v>
      </c>
      <c r="N127" s="235">
        <f t="shared" si="25"/>
        <v>99.999999999999986</v>
      </c>
      <c r="O127" s="213">
        <v>25.4</v>
      </c>
      <c r="P127" s="214">
        <v>12.7</v>
      </c>
      <c r="Q127" s="214">
        <v>17.5</v>
      </c>
      <c r="R127" s="215">
        <f t="shared" si="26"/>
        <v>55.599999999999994</v>
      </c>
      <c r="S127" s="171">
        <v>2</v>
      </c>
      <c r="T127" s="285"/>
      <c r="U127" s="283"/>
      <c r="V127" s="178" t="s">
        <v>558</v>
      </c>
      <c r="W127" s="171" t="s">
        <v>74</v>
      </c>
      <c r="X127" s="171" t="s">
        <v>11</v>
      </c>
      <c r="Y127" s="179">
        <v>25.4</v>
      </c>
      <c r="Z127" s="171" t="s">
        <v>561</v>
      </c>
      <c r="AA127" s="171" t="s">
        <v>113</v>
      </c>
      <c r="AB127" s="171" t="s">
        <v>12</v>
      </c>
      <c r="AC127" s="171">
        <v>17.5</v>
      </c>
      <c r="AD127" s="178" t="s">
        <v>476</v>
      </c>
      <c r="AE127" s="171" t="s">
        <v>869</v>
      </c>
      <c r="AF127" s="171" t="s">
        <v>18</v>
      </c>
      <c r="AG127" s="179">
        <v>12.7</v>
      </c>
      <c r="AH127" s="253"/>
      <c r="AK127" s="179"/>
      <c r="AO127" s="179"/>
      <c r="AS127" s="179"/>
      <c r="AW127" s="179"/>
      <c r="BA127" s="180"/>
    </row>
    <row r="128" spans="1:53" s="171" customFormat="1" x14ac:dyDescent="0.15">
      <c r="A128" s="171">
        <v>2019</v>
      </c>
      <c r="B128" s="283"/>
      <c r="C128" s="410" t="s">
        <v>1374</v>
      </c>
      <c r="D128" s="410"/>
      <c r="E128" s="171">
        <v>0</v>
      </c>
      <c r="F128" s="180"/>
      <c r="G128" s="171">
        <v>5</v>
      </c>
      <c r="H128" s="171">
        <v>3</v>
      </c>
      <c r="I128" s="171">
        <v>3</v>
      </c>
      <c r="J128" s="241">
        <v>11</v>
      </c>
      <c r="K128" s="214">
        <f t="shared" ref="K128:K131" si="27">G128/$J128*100</f>
        <v>45.454545454545453</v>
      </c>
      <c r="L128" s="214">
        <f t="shared" ref="L128:L131" si="28">H128/$J128*100</f>
        <v>27.27272727272727</v>
      </c>
      <c r="M128" s="214">
        <f t="shared" ref="M128:M131" si="29">I128/$J128*100</f>
        <v>27.27272727272727</v>
      </c>
      <c r="N128" s="235">
        <f t="shared" ref="N128:N131" si="30">K128+L128+M128</f>
        <v>99.999999999999986</v>
      </c>
      <c r="O128" s="213">
        <v>25.4</v>
      </c>
      <c r="P128" s="214">
        <v>12.7</v>
      </c>
      <c r="Q128" s="214">
        <v>17.5</v>
      </c>
      <c r="R128" s="215">
        <f t="shared" si="26"/>
        <v>55.599999999999994</v>
      </c>
      <c r="S128" s="171">
        <v>2</v>
      </c>
      <c r="T128" s="285"/>
      <c r="U128" s="283"/>
      <c r="V128" s="178" t="s">
        <v>558</v>
      </c>
      <c r="W128" s="171" t="s">
        <v>74</v>
      </c>
      <c r="X128" s="171" t="s">
        <v>11</v>
      </c>
      <c r="Y128" s="179">
        <v>25.4</v>
      </c>
      <c r="Z128" s="171" t="s">
        <v>561</v>
      </c>
      <c r="AA128" s="171" t="s">
        <v>113</v>
      </c>
      <c r="AB128" s="171" t="s">
        <v>12</v>
      </c>
      <c r="AC128" s="171">
        <v>17.5</v>
      </c>
      <c r="AD128" s="178" t="s">
        <v>476</v>
      </c>
      <c r="AE128" s="171" t="s">
        <v>869</v>
      </c>
      <c r="AF128" s="171" t="s">
        <v>18</v>
      </c>
      <c r="AG128" s="179">
        <v>12.7</v>
      </c>
      <c r="AH128" s="253"/>
      <c r="AK128" s="179"/>
      <c r="AO128" s="179"/>
      <c r="AS128" s="179"/>
      <c r="AW128" s="179"/>
      <c r="BA128" s="180"/>
    </row>
    <row r="129" spans="1:53" s="171" customFormat="1" x14ac:dyDescent="0.15">
      <c r="A129" s="171">
        <v>2019</v>
      </c>
      <c r="B129" s="283"/>
      <c r="C129" s="410" t="s">
        <v>1374</v>
      </c>
      <c r="D129" s="410"/>
      <c r="E129" s="171">
        <v>365</v>
      </c>
      <c r="F129" s="180"/>
      <c r="G129" s="171">
        <v>5</v>
      </c>
      <c r="H129" s="171">
        <v>3</v>
      </c>
      <c r="I129" s="171">
        <v>3</v>
      </c>
      <c r="J129" s="241">
        <v>11</v>
      </c>
      <c r="K129" s="214">
        <f t="shared" si="27"/>
        <v>45.454545454545453</v>
      </c>
      <c r="L129" s="214">
        <f t="shared" si="28"/>
        <v>27.27272727272727</v>
      </c>
      <c r="M129" s="214">
        <f t="shared" si="29"/>
        <v>27.27272727272727</v>
      </c>
      <c r="N129" s="235">
        <f t="shared" si="30"/>
        <v>99.999999999999986</v>
      </c>
      <c r="O129" s="213">
        <v>25.4</v>
      </c>
      <c r="P129" s="214">
        <v>12.7</v>
      </c>
      <c r="Q129" s="214">
        <v>17.5</v>
      </c>
      <c r="R129" s="215">
        <f t="shared" si="26"/>
        <v>55.599999999999994</v>
      </c>
      <c r="S129" s="190">
        <v>2</v>
      </c>
      <c r="T129" s="285"/>
      <c r="U129" s="283"/>
      <c r="V129" s="178" t="s">
        <v>558</v>
      </c>
      <c r="W129" s="171" t="s">
        <v>74</v>
      </c>
      <c r="X129" s="171" t="s">
        <v>11</v>
      </c>
      <c r="Y129" s="179">
        <v>25.4</v>
      </c>
      <c r="Z129" s="171" t="s">
        <v>561</v>
      </c>
      <c r="AA129" s="171" t="s">
        <v>113</v>
      </c>
      <c r="AB129" s="171" t="s">
        <v>12</v>
      </c>
      <c r="AC129" s="179">
        <v>17.5</v>
      </c>
      <c r="AD129" s="171" t="s">
        <v>476</v>
      </c>
      <c r="AE129" s="171" t="s">
        <v>869</v>
      </c>
      <c r="AF129" s="171" t="s">
        <v>18</v>
      </c>
      <c r="AG129" s="179">
        <v>12.7</v>
      </c>
      <c r="AH129" s="253"/>
      <c r="AK129" s="179"/>
      <c r="AO129" s="179"/>
      <c r="AS129" s="179"/>
      <c r="AW129" s="179"/>
      <c r="BA129" s="180"/>
    </row>
    <row r="130" spans="1:53" s="171" customFormat="1" x14ac:dyDescent="0.15">
      <c r="A130" s="171">
        <v>2020</v>
      </c>
      <c r="B130" s="283"/>
      <c r="C130" s="410" t="s">
        <v>1374</v>
      </c>
      <c r="D130" s="410"/>
      <c r="E130" s="171">
        <v>0</v>
      </c>
      <c r="F130" s="180"/>
      <c r="G130" s="171">
        <v>5</v>
      </c>
      <c r="H130" s="171">
        <v>3</v>
      </c>
      <c r="I130" s="171">
        <v>3</v>
      </c>
      <c r="J130" s="241">
        <v>11</v>
      </c>
      <c r="K130" s="214">
        <f t="shared" si="27"/>
        <v>45.454545454545453</v>
      </c>
      <c r="L130" s="214">
        <f t="shared" si="28"/>
        <v>27.27272727272727</v>
      </c>
      <c r="M130" s="214">
        <f t="shared" si="29"/>
        <v>27.27272727272727</v>
      </c>
      <c r="N130" s="235">
        <f t="shared" si="30"/>
        <v>99.999999999999986</v>
      </c>
      <c r="O130" s="213">
        <v>25.4</v>
      </c>
      <c r="P130" s="214">
        <v>12.7</v>
      </c>
      <c r="Q130" s="214">
        <v>17.5</v>
      </c>
      <c r="R130" s="215">
        <f t="shared" si="26"/>
        <v>55.599999999999994</v>
      </c>
      <c r="S130" s="190">
        <v>2</v>
      </c>
      <c r="T130" s="285"/>
      <c r="U130" s="283"/>
      <c r="V130" s="178" t="s">
        <v>558</v>
      </c>
      <c r="W130" s="171" t="s">
        <v>74</v>
      </c>
      <c r="X130" s="171" t="s">
        <v>11</v>
      </c>
      <c r="Y130" s="179">
        <v>25.4</v>
      </c>
      <c r="Z130" s="171" t="s">
        <v>561</v>
      </c>
      <c r="AA130" s="171" t="s">
        <v>113</v>
      </c>
      <c r="AB130" s="171" t="s">
        <v>12</v>
      </c>
      <c r="AC130" s="179">
        <v>17.5</v>
      </c>
      <c r="AD130" s="171" t="s">
        <v>476</v>
      </c>
      <c r="AE130" s="171" t="s">
        <v>869</v>
      </c>
      <c r="AF130" s="171" t="s">
        <v>18</v>
      </c>
      <c r="AG130" s="179">
        <v>12.7</v>
      </c>
      <c r="AH130" s="253"/>
      <c r="AK130" s="179"/>
      <c r="AO130" s="179"/>
      <c r="AS130" s="179"/>
      <c r="AW130" s="179"/>
      <c r="BA130" s="180"/>
    </row>
    <row r="131" spans="1:53" s="171" customFormat="1" x14ac:dyDescent="0.15">
      <c r="A131" s="171">
        <v>2020</v>
      </c>
      <c r="B131" s="283"/>
      <c r="C131" s="410" t="s">
        <v>1374</v>
      </c>
      <c r="D131" s="410"/>
      <c r="E131" s="171">
        <v>366</v>
      </c>
      <c r="F131" s="180"/>
      <c r="G131" s="171">
        <v>5</v>
      </c>
      <c r="H131" s="171">
        <v>3</v>
      </c>
      <c r="I131" s="171">
        <v>3</v>
      </c>
      <c r="J131" s="241">
        <v>11</v>
      </c>
      <c r="K131" s="214">
        <f t="shared" si="27"/>
        <v>45.454545454545453</v>
      </c>
      <c r="L131" s="214">
        <f t="shared" si="28"/>
        <v>27.27272727272727</v>
      </c>
      <c r="M131" s="214">
        <f t="shared" si="29"/>
        <v>27.27272727272727</v>
      </c>
      <c r="N131" s="235">
        <f t="shared" si="30"/>
        <v>99.999999999999986</v>
      </c>
      <c r="O131" s="213">
        <v>25.4</v>
      </c>
      <c r="P131" s="214">
        <v>12.7</v>
      </c>
      <c r="Q131" s="214">
        <v>17.5</v>
      </c>
      <c r="R131" s="215">
        <f t="shared" si="26"/>
        <v>55.599999999999994</v>
      </c>
      <c r="S131" s="190">
        <v>2</v>
      </c>
      <c r="T131" s="285"/>
      <c r="U131" s="283"/>
      <c r="V131" s="178" t="s">
        <v>558</v>
      </c>
      <c r="W131" s="171" t="s">
        <v>74</v>
      </c>
      <c r="X131" s="171" t="s">
        <v>11</v>
      </c>
      <c r="Y131" s="179">
        <v>25.4</v>
      </c>
      <c r="Z131" s="171" t="s">
        <v>561</v>
      </c>
      <c r="AA131" s="171" t="s">
        <v>113</v>
      </c>
      <c r="AB131" s="171" t="s">
        <v>12</v>
      </c>
      <c r="AC131" s="179">
        <v>17.5</v>
      </c>
      <c r="AD131" s="171" t="s">
        <v>476</v>
      </c>
      <c r="AE131" s="171" t="s">
        <v>869</v>
      </c>
      <c r="AF131" s="171" t="s">
        <v>18</v>
      </c>
      <c r="AG131" s="179">
        <v>12.7</v>
      </c>
      <c r="AH131" s="253"/>
      <c r="AK131" s="179"/>
      <c r="AO131" s="179"/>
      <c r="AS131" s="179"/>
      <c r="AW131" s="179"/>
      <c r="BA131" s="180"/>
    </row>
    <row r="132" spans="1:53" x14ac:dyDescent="0.15">
      <c r="C132" s="415"/>
      <c r="D132" s="415"/>
      <c r="I132" s="11"/>
    </row>
    <row r="133" spans="1:53" x14ac:dyDescent="0.15">
      <c r="C133" s="415"/>
      <c r="D133" s="415"/>
      <c r="I133" s="11"/>
    </row>
    <row r="134" spans="1:53" ht="18" customHeight="1" x14ac:dyDescent="0.15">
      <c r="B134" s="16" t="s">
        <v>1264</v>
      </c>
      <c r="AH134" s="1"/>
    </row>
    <row r="135" spans="1:53" ht="8.25" customHeight="1" x14ac:dyDescent="0.15">
      <c r="B135" s="16"/>
      <c r="AH135" s="1"/>
    </row>
    <row r="136" spans="1:53" s="195" customFormat="1" ht="9" customHeight="1" x14ac:dyDescent="0.15">
      <c r="A136" s="193"/>
      <c r="B136" s="194" t="s">
        <v>1215</v>
      </c>
      <c r="C136" s="194"/>
      <c r="D136" s="194"/>
      <c r="E136" s="194"/>
      <c r="F136" s="194"/>
      <c r="G136" s="194" t="s">
        <v>1216</v>
      </c>
      <c r="H136" s="194"/>
      <c r="I136" s="194"/>
      <c r="J136" s="194"/>
      <c r="K136" s="194"/>
      <c r="L136" s="194"/>
      <c r="M136" s="194"/>
      <c r="N136" s="194"/>
      <c r="R136" s="388" t="s">
        <v>1217</v>
      </c>
      <c r="S136" s="388"/>
      <c r="T136" s="388"/>
      <c r="U136" s="388"/>
      <c r="V136" s="388"/>
      <c r="W136" s="388"/>
      <c r="X136" s="196"/>
      <c r="Y136" s="196"/>
      <c r="AA136" s="196"/>
      <c r="AB136" s="196"/>
      <c r="AC136" s="196"/>
      <c r="AD136" s="196"/>
    </row>
    <row r="137" spans="1:53" s="200" customFormat="1" ht="9" customHeight="1" x14ac:dyDescent="0.15">
      <c r="A137" s="197"/>
      <c r="B137" s="198" t="s">
        <v>1219</v>
      </c>
      <c r="C137" s="199"/>
      <c r="D137" s="199"/>
      <c r="E137" s="199"/>
      <c r="F137" s="199"/>
      <c r="G137" s="198" t="s">
        <v>1218</v>
      </c>
      <c r="H137" s="199"/>
      <c r="I137" s="199"/>
      <c r="J137" s="199"/>
      <c r="K137" s="199"/>
      <c r="L137" s="199"/>
      <c r="M137" s="199"/>
      <c r="N137" s="199"/>
      <c r="R137" s="201" t="s">
        <v>1220</v>
      </c>
      <c r="S137" s="202"/>
      <c r="T137" s="203"/>
      <c r="U137" s="203"/>
      <c r="V137" s="203"/>
      <c r="W137" s="201" t="s">
        <v>1221</v>
      </c>
      <c r="X137" s="203"/>
      <c r="Y137" s="203"/>
      <c r="AA137" s="203"/>
      <c r="AB137" s="203"/>
      <c r="AC137" s="203"/>
      <c r="AD137" s="203"/>
    </row>
    <row r="138" spans="1:53" s="186" customFormat="1" ht="12" customHeight="1" x14ac:dyDescent="0.15">
      <c r="A138" s="204" t="s">
        <v>3</v>
      </c>
      <c r="B138" s="205" t="s">
        <v>8</v>
      </c>
      <c r="C138" s="205" t="s">
        <v>9</v>
      </c>
      <c r="D138" s="205" t="s">
        <v>10</v>
      </c>
      <c r="E138" s="206" t="s">
        <v>1195</v>
      </c>
      <c r="F138" s="205"/>
      <c r="G138" s="186" t="s">
        <v>3</v>
      </c>
      <c r="H138" s="389" t="s">
        <v>0</v>
      </c>
      <c r="I138" s="389"/>
      <c r="J138" s="389" t="s">
        <v>1</v>
      </c>
      <c r="K138" s="389"/>
      <c r="L138" s="389" t="s">
        <v>2</v>
      </c>
      <c r="M138" s="389"/>
      <c r="N138" s="390" t="s">
        <v>1195</v>
      </c>
      <c r="O138" s="390"/>
      <c r="P138" s="207"/>
      <c r="Q138" s="207"/>
      <c r="R138" s="208" t="s">
        <v>3</v>
      </c>
      <c r="S138" s="209" t="s">
        <v>135</v>
      </c>
      <c r="T138" s="207" t="s">
        <v>133</v>
      </c>
      <c r="U138" s="205" t="s">
        <v>134</v>
      </c>
      <c r="V138" s="207"/>
      <c r="W138" s="210" t="s">
        <v>26</v>
      </c>
    </row>
    <row r="139" spans="1:53" s="140" customFormat="1" x14ac:dyDescent="0.15">
      <c r="A139" s="140">
        <v>1959</v>
      </c>
      <c r="B139" s="143">
        <f>K6*($E6/365)+K7*($E7/365)</f>
        <v>7.6712328767123275</v>
      </c>
      <c r="C139" s="143">
        <f>L6*($E6/365)+L7*($E7/365)</f>
        <v>0</v>
      </c>
      <c r="D139" s="143">
        <f>M6*($E6/365)+M7*($E7/365)</f>
        <v>92.328767123287676</v>
      </c>
      <c r="E139" s="144">
        <f>B139+C139+D139</f>
        <v>100</v>
      </c>
      <c r="G139" s="140">
        <v>1959</v>
      </c>
      <c r="H139" s="417">
        <f>(O6/$R6*100*($E6/365))+(O7/$R7*100*($E7/365))</f>
        <v>8.3686176836861783</v>
      </c>
      <c r="I139" s="417"/>
      <c r="J139" s="417">
        <f>(P6/$R6*100*($E6/365))+(P7/$R7*100*($E7/365))</f>
        <v>0</v>
      </c>
      <c r="K139" s="417"/>
      <c r="L139" s="417">
        <f>(Q6/$R6*100*($E6/365))+(Q7/$R7*100*($E7/365))</f>
        <v>91.631382316313818</v>
      </c>
      <c r="M139" s="417"/>
      <c r="N139" s="412">
        <f>H139+J139+L139</f>
        <v>100</v>
      </c>
      <c r="O139" s="412"/>
      <c r="R139" s="140">
        <v>1959</v>
      </c>
      <c r="S139" s="143">
        <f>(O6*($E6/365)) + (O7*($E7/365))</f>
        <v>4.602739726027397</v>
      </c>
      <c r="T139" s="143">
        <f>(P6*($E6/365)) + (P7*($E7/365))</f>
        <v>0</v>
      </c>
      <c r="U139" s="143">
        <f>(Q6*($E6/365)) + (Q7*($E7/365))</f>
        <v>15.000000000000002</v>
      </c>
      <c r="V139" s="143"/>
      <c r="W139" s="143">
        <f>S139+T139+U139</f>
        <v>19.602739726027398</v>
      </c>
      <c r="AH139" s="158"/>
    </row>
    <row r="140" spans="1:53" x14ac:dyDescent="0.15">
      <c r="A140" s="1">
        <v>1960</v>
      </c>
      <c r="B140" s="5">
        <f>K8*($E8/366)+K9*($E9/366)</f>
        <v>66.666666666666657</v>
      </c>
      <c r="C140" s="5">
        <f>L8*($E8/366)+L9*($E9/366)</f>
        <v>0</v>
      </c>
      <c r="D140" s="5">
        <f>M8*($E8/366)+M9*($E9/366)</f>
        <v>33.333333333333329</v>
      </c>
      <c r="E140" s="24">
        <f>B140+C140+D140</f>
        <v>99.999999999999986</v>
      </c>
      <c r="G140" s="1">
        <v>1960</v>
      </c>
      <c r="H140" s="409">
        <f>(O8*100*($E8/366)/($O8+$P8+$Q8))+(O9*100*($E9/366)/($O9+$P9+$Q9))</f>
        <v>72.727272727272734</v>
      </c>
      <c r="I140" s="409"/>
      <c r="J140" s="409">
        <f>(P8*100*($E8/366)/($O8+$P8+$Q8))+(P9*100*($E9/366)/($O9+$P9+$Q9))</f>
        <v>0</v>
      </c>
      <c r="K140" s="409"/>
      <c r="L140" s="409">
        <f>(Q8*100*($E8/366)/($O8+$P8+$Q8))+(Q9*100*($E9/366)/($O9+$P9+$Q9))</f>
        <v>27.272727272727273</v>
      </c>
      <c r="M140" s="409"/>
      <c r="N140" s="379">
        <f>H140+J140+L140</f>
        <v>100</v>
      </c>
      <c r="O140" s="379"/>
      <c r="R140" s="1">
        <v>1960</v>
      </c>
      <c r="S140" s="5">
        <f>(O8*($E8/366)) + (O9*($E9/366))</f>
        <v>40</v>
      </c>
      <c r="T140" s="5">
        <f>(P8*($E8/366)) + (P9*($E9/366))</f>
        <v>0</v>
      </c>
      <c r="U140" s="5">
        <f>(Q8*($E8/366)) + (Q9*($E9/366))</f>
        <v>15</v>
      </c>
      <c r="V140" s="5"/>
      <c r="W140" s="5">
        <f>S140+T140+U140</f>
        <v>55</v>
      </c>
    </row>
    <row r="141" spans="1:53" x14ac:dyDescent="0.15">
      <c r="A141" s="1">
        <v>1961</v>
      </c>
      <c r="B141" s="5">
        <f>K10*($E10/365)+K11*($E11/365)</f>
        <v>66.666666666666657</v>
      </c>
      <c r="C141" s="5">
        <f>L10*($E10/365)+L11*($E11/365)</f>
        <v>0</v>
      </c>
      <c r="D141" s="5">
        <f>M10*($E10/365)+M11*($E11/365)</f>
        <v>33.333333333333329</v>
      </c>
      <c r="E141" s="24">
        <f t="shared" ref="E141:E193" si="31">B141+C141+D141</f>
        <v>99.999999999999986</v>
      </c>
      <c r="G141" s="1">
        <v>1961</v>
      </c>
      <c r="H141" s="409">
        <f>(O10*100*($E10/365)/($O10+$P10+$Q10))+(O11*100*($E11/365)/($O11+$P11+$Q11))</f>
        <v>72.727272727272734</v>
      </c>
      <c r="I141" s="409"/>
      <c r="J141" s="409">
        <f>(P10*100*($E10/365)/($O10+$P10+$Q10))+(P11*100*($E11/365)/($O11+$P11+$Q11))</f>
        <v>0</v>
      </c>
      <c r="K141" s="409"/>
      <c r="L141" s="409">
        <f>(Q10*100*($E10/365)/($O10+$P10+$Q10))+(Q11*100*($E11/365)/($O11+$P11+$Q11))</f>
        <v>27.272727272727273</v>
      </c>
      <c r="M141" s="409"/>
      <c r="N141" s="379">
        <f>H141+J141+L141</f>
        <v>100</v>
      </c>
      <c r="O141" s="379"/>
      <c r="R141" s="1">
        <v>1961</v>
      </c>
      <c r="S141" s="5">
        <f>(O10*($E10/365)) + (O11*($E11/365))</f>
        <v>40</v>
      </c>
      <c r="T141" s="5">
        <f>(P10*($E10/365)) + (P11*($E11/365))</f>
        <v>0</v>
      </c>
      <c r="U141" s="5">
        <f>(Q10*($E10/365)) + (Q11*($E11/365))</f>
        <v>15</v>
      </c>
      <c r="V141" s="5"/>
      <c r="W141" s="5">
        <f t="shared" ref="W141:W193" si="32">S141+T141+U141</f>
        <v>55</v>
      </c>
    </row>
    <row r="142" spans="1:53" x14ac:dyDescent="0.15">
      <c r="A142" s="1">
        <v>1962</v>
      </c>
      <c r="B142" s="5">
        <f>K12*($E12/365)+K13*($E13/365)</f>
        <v>66.666666666666657</v>
      </c>
      <c r="C142" s="5">
        <f>L12*($E12/365)+L13*($E13/365)</f>
        <v>0</v>
      </c>
      <c r="D142" s="5">
        <f>M12*($E12/365)+M13*($E13/365)</f>
        <v>33.333333333333329</v>
      </c>
      <c r="E142" s="24">
        <f t="shared" si="31"/>
        <v>99.999999999999986</v>
      </c>
      <c r="G142" s="1">
        <v>1962</v>
      </c>
      <c r="H142" s="409">
        <f>(O12*100*($E12/365)/($O12+$P12+$Q12))+(O13*100*($E13/365)/($O13+$P13+$Q13))</f>
        <v>72.727272727272734</v>
      </c>
      <c r="I142" s="409"/>
      <c r="J142" s="409">
        <f>(P12*100*($E12/365)/($O12+$P12+$Q12))+(P13*100*($E13/365)/($O13+$P13+$Q13))</f>
        <v>0</v>
      </c>
      <c r="K142" s="409"/>
      <c r="L142" s="409">
        <f>(Q12*100*($E12/365)/($O12+$P12+$Q12))+(Q13*100*($E13/365)/($O13+$P13+$Q13))</f>
        <v>27.272727272727273</v>
      </c>
      <c r="M142" s="409"/>
      <c r="N142" s="379">
        <f t="shared" ref="N142:N192" si="33">H142+J142+L142</f>
        <v>100</v>
      </c>
      <c r="O142" s="379"/>
      <c r="R142" s="1">
        <v>1962</v>
      </c>
      <c r="S142" s="5">
        <f>(O12*($E12/365)) + (O13*($E13/365))</f>
        <v>40</v>
      </c>
      <c r="T142" s="5">
        <f>(P12*($E12/365)) + (P13*($E13/365))</f>
        <v>0</v>
      </c>
      <c r="U142" s="5">
        <f>(Q12*($E12/365)) + (Q13*($E13/365))</f>
        <v>15</v>
      </c>
      <c r="V142" s="5"/>
      <c r="W142" s="5">
        <f t="shared" si="32"/>
        <v>55</v>
      </c>
    </row>
    <row r="143" spans="1:53" x14ac:dyDescent="0.15">
      <c r="A143" s="1">
        <v>1963</v>
      </c>
      <c r="B143" s="5">
        <f>K14*($E14/365)+K15*($E15/365)</f>
        <v>65.414220482713617</v>
      </c>
      <c r="C143" s="5">
        <f>L14*($E14/365)+L15*($E15/365)</f>
        <v>0</v>
      </c>
      <c r="D143" s="5">
        <f>M14*($E14/365)+M15*($E15/365)</f>
        <v>34.585779517286362</v>
      </c>
      <c r="E143" s="24">
        <f t="shared" si="31"/>
        <v>99.999999999999972</v>
      </c>
      <c r="F143" s="4"/>
      <c r="G143" s="1">
        <v>1963</v>
      </c>
      <c r="H143" s="409">
        <f>(O14*100*($E14/365)/($O14+$P14+$Q14))+(O15*100*($E15/365)/($O15+$P15+$Q15))</f>
        <v>73.032320168972348</v>
      </c>
      <c r="I143" s="409"/>
      <c r="J143" s="409">
        <f>(P14*100*($E14/365)/($O14+$P14+$Q14))+(P15*100*($E15/365)/($O15+$P15+$Q15))</f>
        <v>0</v>
      </c>
      <c r="K143" s="409"/>
      <c r="L143" s="409">
        <f>(Q14*100*($E14/365)/($O14+$P14+$Q14))+(Q15*100*($E15/365)/($O15+$P15+$Q15))</f>
        <v>26.967679831027638</v>
      </c>
      <c r="M143" s="409"/>
      <c r="N143" s="379">
        <f t="shared" si="33"/>
        <v>99.999999999999986</v>
      </c>
      <c r="O143" s="379"/>
      <c r="P143" s="4"/>
      <c r="Q143" s="4"/>
      <c r="R143" s="1">
        <v>1963</v>
      </c>
      <c r="S143" s="5">
        <f>(O14*($E14/365)) + (O15*($E15/365))</f>
        <v>40</v>
      </c>
      <c r="T143" s="5">
        <f>(P14*($E14/365)) + (P15*($E15/365))</f>
        <v>0</v>
      </c>
      <c r="U143" s="5">
        <f>(Q14*($E14/365)) + (Q15*($E15/365))</f>
        <v>14.776438356164382</v>
      </c>
      <c r="V143" s="5"/>
      <c r="W143" s="5">
        <f t="shared" si="32"/>
        <v>54.776438356164384</v>
      </c>
    </row>
    <row r="144" spans="1:53" x14ac:dyDescent="0.15">
      <c r="A144" s="1">
        <v>1964</v>
      </c>
      <c r="B144" s="5">
        <f>K16*($E16/366)+K17*($E17/366)</f>
        <v>57.142857142857139</v>
      </c>
      <c r="C144" s="5">
        <f>L16*($E16/366)+L17*($E17/366)</f>
        <v>0</v>
      </c>
      <c r="D144" s="5">
        <f>M16*($E16/366)+M17*($E17/366)</f>
        <v>42.857142857142854</v>
      </c>
      <c r="E144" s="24">
        <f t="shared" si="31"/>
        <v>100</v>
      </c>
      <c r="F144" s="4"/>
      <c r="G144" s="1">
        <v>1964</v>
      </c>
      <c r="H144" s="409">
        <f>(O16*100*($E16/366)/($O16+$P16+$Q16))+(O17*100*($E17/366)/($O17+$P17+$Q17))</f>
        <v>75.046904315196997</v>
      </c>
      <c r="I144" s="409"/>
      <c r="J144" s="409">
        <f>(P16*100*($E16/366)/($O16+$P16+$Q16))+(P17*100*($E17/366)/($O17+$P17+$Q17))</f>
        <v>0</v>
      </c>
      <c r="K144" s="409"/>
      <c r="L144" s="409">
        <f>(Q16*100*($E16/366)/($O16+$P16+$Q16))+(Q17*100*($E17/366)/($O17+$P17+$Q17))</f>
        <v>24.953095684803003</v>
      </c>
      <c r="M144" s="409"/>
      <c r="N144" s="379">
        <f t="shared" si="33"/>
        <v>100</v>
      </c>
      <c r="O144" s="379"/>
      <c r="P144" s="4"/>
      <c r="Q144" s="4"/>
      <c r="R144" s="1">
        <v>1964</v>
      </c>
      <c r="S144" s="5">
        <f>(O16*($E16/366)) + (O17*($E17/366))</f>
        <v>40</v>
      </c>
      <c r="T144" s="5">
        <f>(P16*($E16/366)) + (P17*($E17/366))</f>
        <v>0</v>
      </c>
      <c r="U144" s="5">
        <f>(Q16*($E16/366)) + (Q17*($E17/366))</f>
        <v>13.3</v>
      </c>
      <c r="V144" s="5"/>
      <c r="W144" s="5">
        <f t="shared" si="32"/>
        <v>53.3</v>
      </c>
    </row>
    <row r="145" spans="1:23" x14ac:dyDescent="0.15">
      <c r="A145" s="1">
        <v>1965</v>
      </c>
      <c r="B145" s="5">
        <f>K18*($E18/365)+K19*($E19/365)</f>
        <v>57.142857142857139</v>
      </c>
      <c r="C145" s="5">
        <f>L18*($E18/365)+L19*($E19/365)</f>
        <v>0</v>
      </c>
      <c r="D145" s="5">
        <f>M18*($E18/365)+M19*($E19/365)</f>
        <v>42.857142857142854</v>
      </c>
      <c r="E145" s="24">
        <f t="shared" si="31"/>
        <v>100</v>
      </c>
      <c r="F145" s="4"/>
      <c r="G145" s="1">
        <v>1965</v>
      </c>
      <c r="H145" s="409">
        <f>(O18*100*($E18/365)/($O18+$P18+$Q18))+(O19*100*($E19/365)/($O19+$P19+$Q19))</f>
        <v>75.046904315196997</v>
      </c>
      <c r="I145" s="409"/>
      <c r="J145" s="409">
        <f>(P18*100*($E18/366)/($O18+$P18+$Q18))+(P19*100*($E19/366)/($O19+$P19+$Q19))</f>
        <v>0</v>
      </c>
      <c r="K145" s="409"/>
      <c r="L145" s="409">
        <f>(Q18*100*($E18/365)/($O18+$P18+$Q18))+(Q19*100*($E19/365)/($O19+$P19+$Q19))</f>
        <v>24.953095684803003</v>
      </c>
      <c r="M145" s="409"/>
      <c r="N145" s="379">
        <f>H145+J145+L145</f>
        <v>100</v>
      </c>
      <c r="O145" s="379"/>
      <c r="P145" s="4"/>
      <c r="Q145" s="4"/>
      <c r="R145" s="1">
        <v>1965</v>
      </c>
      <c r="S145" s="5">
        <f>(O18*($E18/365)) + (O19*($E19/365))</f>
        <v>40</v>
      </c>
      <c r="T145" s="5">
        <f>(P18*($E18/365)) + (P19*($E19/365))</f>
        <v>0</v>
      </c>
      <c r="U145" s="5">
        <f>(Q18*($E18/365)) + (Q19*($E19/365))</f>
        <v>13.3</v>
      </c>
      <c r="V145" s="5"/>
      <c r="W145" s="5">
        <f t="shared" si="32"/>
        <v>53.3</v>
      </c>
    </row>
    <row r="146" spans="1:23" x14ac:dyDescent="0.15">
      <c r="A146" s="1">
        <v>1966</v>
      </c>
      <c r="B146" s="5">
        <f>K20*($E20/365)+K21*($E21/365)</f>
        <v>57.142857142857139</v>
      </c>
      <c r="C146" s="5">
        <f>L20*($E20/365)+L21*($E21/365)</f>
        <v>0</v>
      </c>
      <c r="D146" s="5">
        <f>M20*($E20/365)+M21*($E21/365)</f>
        <v>42.857142857142854</v>
      </c>
      <c r="E146" s="24">
        <f t="shared" si="31"/>
        <v>100</v>
      </c>
      <c r="F146" s="4"/>
      <c r="G146" s="1">
        <v>1966</v>
      </c>
      <c r="H146" s="409">
        <f>(O20*100*($E20/365)/($O20+$P20+$Q20))+(O21*100*($E21/365)/($O21+$P21+$Q21))</f>
        <v>75.046904315196997</v>
      </c>
      <c r="I146" s="409"/>
      <c r="J146" s="409">
        <f>(P20*100*($E20/365)/($O20+$P20+$Q20))+(P21*100*($E21/365)/($O21+$P21+$Q21))</f>
        <v>0</v>
      </c>
      <c r="K146" s="409"/>
      <c r="L146" s="409">
        <f>(Q20*100*($E20/365)/($O20+$P20+$Q20))+(Q21*100*($E21/365)/($O21+$P21+$Q21))</f>
        <v>24.953095684803003</v>
      </c>
      <c r="M146" s="409"/>
      <c r="N146" s="379">
        <f>H146+J146+L146</f>
        <v>100</v>
      </c>
      <c r="O146" s="379"/>
      <c r="P146" s="4"/>
      <c r="Q146" s="4"/>
      <c r="R146" s="1">
        <v>1966</v>
      </c>
      <c r="S146" s="5">
        <f>(O20*($E20/365)) + (O21*($E21/365))</f>
        <v>40</v>
      </c>
      <c r="T146" s="5">
        <f>(P20*($E20/365)) + (P21*($E21/365))</f>
        <v>0</v>
      </c>
      <c r="U146" s="5">
        <f>(Q20*($E20/365)) + (Q21*($E21/365))</f>
        <v>13.3</v>
      </c>
      <c r="V146" s="5"/>
      <c r="W146" s="5">
        <f t="shared" si="32"/>
        <v>53.3</v>
      </c>
    </row>
    <row r="147" spans="1:23" x14ac:dyDescent="0.15">
      <c r="A147" s="1">
        <v>1967</v>
      </c>
      <c r="B147" s="5">
        <f>K22*($E22/365)+K23*($E23/365)</f>
        <v>57.142857142857139</v>
      </c>
      <c r="C147" s="5">
        <f>L22*($E22/365)+L23*($E23/365)</f>
        <v>0</v>
      </c>
      <c r="D147" s="5">
        <f>M22*($E22/365)+M23*($E23/365)</f>
        <v>42.857142857142861</v>
      </c>
      <c r="E147" s="24">
        <f t="shared" si="31"/>
        <v>100</v>
      </c>
      <c r="F147" s="4"/>
      <c r="G147" s="1">
        <v>1967</v>
      </c>
      <c r="H147" s="409">
        <f>(O22*100*($E22/365)/($O22+$P22+$Q22))+(O23*100*($E23/365)/($O23+$P23+$Q23))</f>
        <v>73.273021665938472</v>
      </c>
      <c r="I147" s="409"/>
      <c r="J147" s="409">
        <f>(P22*100*($E22/365)/($O22+$P22+$Q22))+(P23*100*($E23/365)/($O23+$P23+$Q23))</f>
        <v>0</v>
      </c>
      <c r="K147" s="409"/>
      <c r="L147" s="409">
        <f>(Q22*100*($E22/365)/($O22+$P22+$Q22))+(Q23*100*($E23/365)/($O23+$P23+$Q23))</f>
        <v>26.726978334061531</v>
      </c>
      <c r="M147" s="409"/>
      <c r="N147" s="379">
        <f t="shared" si="33"/>
        <v>100</v>
      </c>
      <c r="O147" s="379"/>
      <c r="P147" s="4"/>
      <c r="Q147" s="4"/>
      <c r="R147" s="1">
        <v>1967</v>
      </c>
      <c r="S147" s="5">
        <f>(O22*($E22/365)) + (O23*($E23/365))</f>
        <v>39.054520547945202</v>
      </c>
      <c r="T147" s="5">
        <f>(P22*($E22/365)) + (P23*($E23/365))</f>
        <v>0</v>
      </c>
      <c r="U147" s="5">
        <f>(Q22*($E22/365)) + (Q23*($E23/365))</f>
        <v>14.245479452054795</v>
      </c>
      <c r="V147" s="5"/>
      <c r="W147" s="5">
        <f t="shared" si="32"/>
        <v>53.3</v>
      </c>
    </row>
    <row r="148" spans="1:23" x14ac:dyDescent="0.15">
      <c r="A148" s="1">
        <v>1968</v>
      </c>
      <c r="B148" s="5">
        <f>K24*($E24/366)+K25*($E25/366)</f>
        <v>57.142857142857139</v>
      </c>
      <c r="C148" s="5">
        <f>L24*($E24/366)+L25*($E25/366)</f>
        <v>0</v>
      </c>
      <c r="D148" s="5">
        <f>M24*($E24/366)+M25*($E25/366)</f>
        <v>42.857142857142854</v>
      </c>
      <c r="E148" s="24">
        <f t="shared" si="31"/>
        <v>100</v>
      </c>
      <c r="F148" s="4"/>
      <c r="G148" s="1">
        <v>1968</v>
      </c>
      <c r="H148" s="409">
        <f>(O24*100*($E24/366)/($O24+$P24+$Q24))+(O25*100*($E25/366)/($O25+$P25+$Q25))</f>
        <v>71.857410881801115</v>
      </c>
      <c r="I148" s="409"/>
      <c r="J148" s="409">
        <f>(P24*100*($E24/366)/($O24+$P24+$Q24))+(P25*100*($E25/366)/($O25+$P25+$Q25))</f>
        <v>0</v>
      </c>
      <c r="K148" s="409"/>
      <c r="L148" s="409">
        <f>(Q24*100*($E24/366)/($O24+$P24+$Q24))+(Q25*100*($E25/366)/($O25+$P25+$Q25))</f>
        <v>28.142589118198877</v>
      </c>
      <c r="M148" s="409"/>
      <c r="N148" s="379">
        <f t="shared" si="33"/>
        <v>100</v>
      </c>
      <c r="O148" s="379"/>
      <c r="P148" s="4"/>
      <c r="Q148" s="4"/>
      <c r="R148" s="1">
        <v>1968</v>
      </c>
      <c r="S148" s="5">
        <f>(O24*($E24/366)) + (O25*($E25/366))</f>
        <v>38.299999999999997</v>
      </c>
      <c r="T148" s="5">
        <f>(P24*($E24/366)) + (P25*($E25/366))</f>
        <v>0</v>
      </c>
      <c r="U148" s="5">
        <f>(Q24*($E24/366)) + (Q25*($E25/366))</f>
        <v>15</v>
      </c>
      <c r="V148" s="5"/>
      <c r="W148" s="5">
        <f t="shared" si="32"/>
        <v>53.3</v>
      </c>
    </row>
    <row r="149" spans="1:23" x14ac:dyDescent="0.15">
      <c r="A149" s="1">
        <v>1969</v>
      </c>
      <c r="B149" s="5">
        <f>K26*($E26/365)+K27*($E27/365)</f>
        <v>57.142857142857139</v>
      </c>
      <c r="C149" s="5">
        <f>L26*($E26/365)+L27*($E27/365)</f>
        <v>0</v>
      </c>
      <c r="D149" s="5">
        <f>M26*($E26/365)+M27*($E27/365)</f>
        <v>42.857142857142854</v>
      </c>
      <c r="E149" s="24">
        <f t="shared" si="31"/>
        <v>100</v>
      </c>
      <c r="F149" s="4"/>
      <c r="G149" s="1">
        <v>1969</v>
      </c>
      <c r="H149" s="409">
        <f>(O26*100*($E26/365)/($O26+$P26+$Q26))+(O27*100*($E27/365)/($O27+$P27+$Q27))</f>
        <v>71.857410881801115</v>
      </c>
      <c r="I149" s="409"/>
      <c r="J149" s="409">
        <f>(P26*100*($E26/365)/($O26+$P26+$Q26))+(P27*100*($E27/365)/($O27+$P27+$Q27))</f>
        <v>0</v>
      </c>
      <c r="K149" s="409"/>
      <c r="L149" s="409">
        <f>(Q26*100*($E26/365)/($O26+$P26+$Q26))+(Q27*100*($E27/365)/($O27+$P27+$Q27))</f>
        <v>28.142589118198877</v>
      </c>
      <c r="M149" s="409"/>
      <c r="N149" s="379">
        <f t="shared" si="33"/>
        <v>100</v>
      </c>
      <c r="O149" s="379"/>
      <c r="P149" s="4"/>
      <c r="Q149" s="4"/>
      <c r="R149" s="1">
        <v>1969</v>
      </c>
      <c r="S149" s="5">
        <f>(O26*($E26/365)) + (O27*($E27/365))</f>
        <v>38.299999999999997</v>
      </c>
      <c r="T149" s="5">
        <f>(P26*($E26/365)) + (P27*($E27/365))</f>
        <v>0</v>
      </c>
      <c r="U149" s="5">
        <f>(Q26*($E26/365)) + (Q27*($E27/365))</f>
        <v>15</v>
      </c>
      <c r="V149" s="5"/>
      <c r="W149" s="5">
        <f t="shared" si="32"/>
        <v>53.3</v>
      </c>
    </row>
    <row r="150" spans="1:23" x14ac:dyDescent="0.15">
      <c r="A150" s="1">
        <v>1970</v>
      </c>
      <c r="B150" s="5">
        <f>K28*($E28/365)+K29*($E29/365)</f>
        <v>57.142857142857146</v>
      </c>
      <c r="C150" s="5">
        <f>L28*($E28/365)+L29*($E29/365)</f>
        <v>0</v>
      </c>
      <c r="D150" s="5">
        <f>M28*($E28/365)+M29*($E29/365)</f>
        <v>42.857142857142854</v>
      </c>
      <c r="E150" s="24">
        <f t="shared" si="31"/>
        <v>100</v>
      </c>
      <c r="F150" s="4"/>
      <c r="G150" s="1">
        <v>1970</v>
      </c>
      <c r="H150" s="409">
        <f>(O28*100*($E28/365)/($O28+$P28+$Q28))+(O29*100*($E29/365)/($O29+$P29+$Q29))</f>
        <v>71.85741088180113</v>
      </c>
      <c r="I150" s="409"/>
      <c r="J150" s="409">
        <f>(P28*100*($E28/365)/($O28+$P28+$Q28))+(P29*100*($E29/365)/($O29+$P29+$Q29))</f>
        <v>0</v>
      </c>
      <c r="K150" s="409"/>
      <c r="L150" s="409">
        <f>(Q28*100*($E28/365)/($O28+$P28+$Q28))+(Q29*100*($E29/365)/($O29+$P29+$Q29))</f>
        <v>28.142589118198877</v>
      </c>
      <c r="M150" s="409"/>
      <c r="N150" s="379">
        <f t="shared" si="33"/>
        <v>100</v>
      </c>
      <c r="O150" s="379"/>
      <c r="P150" s="4"/>
      <c r="Q150" s="4"/>
      <c r="R150" s="1">
        <v>1970</v>
      </c>
      <c r="S150" s="5">
        <f>(O28*($E28/365)) + (O29*($E29/365))</f>
        <v>38.299999999999997</v>
      </c>
      <c r="T150" s="5">
        <f>(P28*($E28/365)) + (P29*($E29/365))</f>
        <v>0</v>
      </c>
      <c r="U150" s="5">
        <f>(Q28*($E28/365)) + (Q29*($E29/365))</f>
        <v>15.000000000000002</v>
      </c>
      <c r="V150" s="5"/>
      <c r="W150" s="5">
        <f t="shared" si="32"/>
        <v>53.3</v>
      </c>
    </row>
    <row r="151" spans="1:23" x14ac:dyDescent="0.15">
      <c r="A151" s="1">
        <v>1971</v>
      </c>
      <c r="B151" s="5">
        <f>K30*($E30/365)+K31*($E31/365)</f>
        <v>25.675146771037181</v>
      </c>
      <c r="C151" s="5">
        <f>L30*($E30/365)+L31*($E31/365)</f>
        <v>39.334637964774949</v>
      </c>
      <c r="D151" s="5">
        <f>M30*($E30/365)+M31*($E31/365)</f>
        <v>34.99021526418786</v>
      </c>
      <c r="E151" s="24">
        <f t="shared" si="31"/>
        <v>100</v>
      </c>
      <c r="F151" s="4"/>
      <c r="G151" s="1">
        <v>1971</v>
      </c>
      <c r="H151" s="409">
        <f>(O30*100*($E30/365)/($O30+$P30+$Q30))+(O31*100*($E31/365)/($O31+$P31+$Q31))</f>
        <v>32.286617492096944</v>
      </c>
      <c r="I151" s="409"/>
      <c r="J151" s="409">
        <f>(P30*100*($E30/365)/($O30+$P30+$Q30))+(P31*100*($E31/365)/($O31+$P31+$Q31))</f>
        <v>37.814387416793032</v>
      </c>
      <c r="K151" s="409"/>
      <c r="L151" s="409">
        <f>(Q30*100*($E30/365)/($O30+$P30+$Q30))+(Q31*100*($E31/365)/($O31+$P31+$Q31))</f>
        <v>29.898995091110024</v>
      </c>
      <c r="M151" s="409"/>
      <c r="N151" s="379">
        <f t="shared" si="33"/>
        <v>100</v>
      </c>
      <c r="O151" s="379"/>
      <c r="P151" s="4"/>
      <c r="Q151" s="4"/>
      <c r="R151" s="1">
        <v>1971</v>
      </c>
      <c r="S151" s="5">
        <f>(O30*($E30/365)) + (O31*($E31/365))</f>
        <v>17.208767123287668</v>
      </c>
      <c r="T151" s="5">
        <f>(P30*($E30/365)) + (P31*($E31/365))</f>
        <v>20.155068493150683</v>
      </c>
      <c r="U151" s="5">
        <f>(Q30*($E30/365)) + (Q31*($E31/365))</f>
        <v>15.936164383561643</v>
      </c>
      <c r="V151" s="5"/>
      <c r="W151" s="5">
        <f t="shared" si="32"/>
        <v>53.3</v>
      </c>
    </row>
    <row r="152" spans="1:23" x14ac:dyDescent="0.15">
      <c r="A152" s="1">
        <v>1972</v>
      </c>
      <c r="B152" s="5">
        <f>K32*($E32/366)+K33*($E33/366)</f>
        <v>0</v>
      </c>
      <c r="C152" s="5">
        <f>L32*($E32/366)+L33*($E33/366)</f>
        <v>71.428571428571431</v>
      </c>
      <c r="D152" s="5">
        <f>M32*($E32/366)+M33*($E33/366)</f>
        <v>28.571428571428569</v>
      </c>
      <c r="E152" s="24">
        <f t="shared" si="31"/>
        <v>100</v>
      </c>
      <c r="F152" s="4"/>
      <c r="G152" s="1">
        <v>1972</v>
      </c>
      <c r="H152" s="409">
        <f>(O32*100*($E32/366)/($O32+$P32+$Q32))+(O33*100*($E33/366)/($O33+$P33+$Q33))</f>
        <v>0</v>
      </c>
      <c r="I152" s="409"/>
      <c r="J152" s="409">
        <f>(P32*100*($E32/366)/($O32+$P32+$Q32))+(P33*100*($E33/366)/($O33+$P33+$Q33))</f>
        <v>68.667917448405262</v>
      </c>
      <c r="K152" s="409"/>
      <c r="L152" s="409">
        <f>(Q32*100*($E32/366)/($O32+$P32+$Q32))+(Q33*100*($E33/366)/($O33+$P33+$Q33))</f>
        <v>31.332082551594748</v>
      </c>
      <c r="M152" s="409"/>
      <c r="N152" s="379">
        <f t="shared" si="33"/>
        <v>100.00000000000001</v>
      </c>
      <c r="O152" s="379"/>
      <c r="P152" s="4"/>
      <c r="Q152" s="4"/>
      <c r="R152" s="1">
        <v>1972</v>
      </c>
      <c r="S152" s="5">
        <f>(O32*($E32/366)) + (O33*($E33/366))</f>
        <v>0</v>
      </c>
      <c r="T152" s="5">
        <f>(P32*($E32/366)) + (P33*($E33/366))</f>
        <v>36.6</v>
      </c>
      <c r="U152" s="5">
        <f>(Q32*($E32/366)) + (Q33*($E33/366))</f>
        <v>16.7</v>
      </c>
      <c r="V152" s="5"/>
      <c r="W152" s="5">
        <f t="shared" si="32"/>
        <v>53.3</v>
      </c>
    </row>
    <row r="153" spans="1:23" x14ac:dyDescent="0.15">
      <c r="A153" s="1">
        <v>1973</v>
      </c>
      <c r="B153" s="5">
        <f>K34*($E34/365)+K35*($E35/365)</f>
        <v>0</v>
      </c>
      <c r="C153" s="5">
        <f>L34*($E34/365)+L35*($E35/365)</f>
        <v>71.428571428571431</v>
      </c>
      <c r="D153" s="5">
        <f>M34*($E34/365)+M35*($E35/365)</f>
        <v>28.571428571428569</v>
      </c>
      <c r="E153" s="24">
        <f t="shared" si="31"/>
        <v>100</v>
      </c>
      <c r="F153" s="4"/>
      <c r="G153" s="1">
        <v>1973</v>
      </c>
      <c r="H153" s="409">
        <f>(O34*100*($E34/365)/($O34+$P34+$Q34))+(O35*100*($E35/365)/($O35+$P35+$Q35))</f>
        <v>0</v>
      </c>
      <c r="I153" s="409"/>
      <c r="J153" s="409">
        <f>(P34*100*($E34/365)/($O34+$P34+$Q34))+(P35*100*($E35/365)/($O35+$P35+$Q35))</f>
        <v>68.667917448405262</v>
      </c>
      <c r="K153" s="409"/>
      <c r="L153" s="409">
        <f>(Q34*100*($E34/365)/($O34+$P34+$Q34))+(Q35*100*($E35/365)/($O35+$P35+$Q35))</f>
        <v>31.332082551594748</v>
      </c>
      <c r="M153" s="409"/>
      <c r="N153" s="379">
        <f t="shared" si="33"/>
        <v>100.00000000000001</v>
      </c>
      <c r="O153" s="379"/>
      <c r="P153" s="4"/>
      <c r="Q153" s="4"/>
      <c r="R153" s="1">
        <v>1973</v>
      </c>
      <c r="S153" s="5">
        <f>(O34*($E34/365)) + (O35*($E35/365))</f>
        <v>0</v>
      </c>
      <c r="T153" s="5">
        <f>(P34*($E34/365)) + (P35*($E35/365))</f>
        <v>36.6</v>
      </c>
      <c r="U153" s="5">
        <f>(Q34*($E34/365)) + (Q35*($E35/365))</f>
        <v>16.7</v>
      </c>
      <c r="V153" s="5"/>
      <c r="W153" s="5">
        <f t="shared" si="32"/>
        <v>53.3</v>
      </c>
    </row>
    <row r="154" spans="1:23" x14ac:dyDescent="0.15">
      <c r="A154" s="1">
        <v>1974</v>
      </c>
      <c r="B154" s="5">
        <f>K36*($E36/365)+K37*($E37/365)</f>
        <v>17.123287671232877</v>
      </c>
      <c r="C154" s="5">
        <f>L36*($E36/365)+L37*($E37/365)</f>
        <v>64.090019569471622</v>
      </c>
      <c r="D154" s="5">
        <f>M36*($E36/365)+M37*($E37/365)</f>
        <v>18.786692759295498</v>
      </c>
      <c r="E154" s="24">
        <f t="shared" si="31"/>
        <v>100</v>
      </c>
      <c r="F154" s="4"/>
      <c r="G154" s="1">
        <v>1974</v>
      </c>
      <c r="H154" s="409">
        <f>(O36*100*($E36/365)/($O36+$P36+$Q36))+(O37*100*($E37/365)/($O37+$P37+$Q37))</f>
        <v>20.401174168297455</v>
      </c>
      <c r="I154" s="409"/>
      <c r="J154" s="409">
        <f>(P36*100*($E36/365)/($O36+$P36+$Q36))+(P37*100*($E37/365)/($O37+$P37+$Q37))</f>
        <v>58.996908537503252</v>
      </c>
      <c r="K154" s="409"/>
      <c r="L154" s="409">
        <f>(Q36*100*($E36/365)/($O36+$P36+$Q36))+(Q37*100*($E37/365)/($O37+$P37+$Q37))</f>
        <v>20.601917294199286</v>
      </c>
      <c r="M154" s="409"/>
      <c r="N154" s="379">
        <f t="shared" si="33"/>
        <v>99.999999999999986</v>
      </c>
      <c r="O154" s="379"/>
      <c r="P154" s="4"/>
      <c r="Q154" s="4"/>
      <c r="R154" s="1">
        <v>1974</v>
      </c>
      <c r="S154" s="5">
        <f>(O36*($E36/365)) + (O37*($E37/365))</f>
        <v>14.28082191780822</v>
      </c>
      <c r="T154" s="5">
        <f>(P36*($E36/365)) + (P37*($E37/365))</f>
        <v>33.757534246575339</v>
      </c>
      <c r="U154" s="5">
        <f>(Q36*($E36/365)) + (Q37*($E37/365))</f>
        <v>10.980821917808218</v>
      </c>
      <c r="V154" s="5"/>
      <c r="W154" s="5">
        <f t="shared" si="32"/>
        <v>59.019178082191772</v>
      </c>
    </row>
    <row r="155" spans="1:23" x14ac:dyDescent="0.15">
      <c r="A155" s="1">
        <v>1975</v>
      </c>
      <c r="B155" s="5">
        <f>K38*($E38/365)+K39*($E39/365)</f>
        <v>50</v>
      </c>
      <c r="C155" s="5">
        <f>L38*($E38/365)+L39*($E39/365)</f>
        <v>50</v>
      </c>
      <c r="D155" s="5">
        <f>M38*($E38/365)+M39*($E39/365)</f>
        <v>0</v>
      </c>
      <c r="E155" s="24">
        <f t="shared" si="31"/>
        <v>100</v>
      </c>
      <c r="F155" s="4"/>
      <c r="G155" s="1">
        <v>1975</v>
      </c>
      <c r="H155" s="409">
        <f>(O38*100*($E38/365)/($O38+$P38+$Q38))+(O39*100*($E39/365)/($O39+$P39+$Q39))</f>
        <v>59.571428571428569</v>
      </c>
      <c r="I155" s="409"/>
      <c r="J155" s="409">
        <f>(P38*100*($E38/365)/($O38+$P38+$Q38))+(P39*100*($E39/365)/($O39+$P39+$Q39))</f>
        <v>40.428571428571431</v>
      </c>
      <c r="K155" s="409"/>
      <c r="L155" s="409">
        <f>(Q38*100*($E38/365)/($O38+$P38+$Q38))+(Q39*100*($E39/365)/($O39+$P39+$Q39))</f>
        <v>0</v>
      </c>
      <c r="M155" s="409"/>
      <c r="N155" s="379">
        <f t="shared" si="33"/>
        <v>100</v>
      </c>
      <c r="O155" s="379"/>
      <c r="P155" s="4"/>
      <c r="Q155" s="4"/>
      <c r="R155" s="1">
        <v>1975</v>
      </c>
      <c r="S155" s="5">
        <f>(O38*($E38/365)) + (O39*($E39/365))</f>
        <v>41.7</v>
      </c>
      <c r="T155" s="5">
        <f>(P38*($E38/365)) + (P39*($E39/365))</f>
        <v>28.3</v>
      </c>
      <c r="U155" s="5">
        <f>(Q38*($E38/365)) + (Q39*($E39/365))</f>
        <v>0</v>
      </c>
      <c r="V155" s="5"/>
      <c r="W155" s="5">
        <f t="shared" si="32"/>
        <v>70</v>
      </c>
    </row>
    <row r="156" spans="1:23" x14ac:dyDescent="0.15">
      <c r="A156" s="1">
        <v>1976</v>
      </c>
      <c r="B156" s="5">
        <f>K40*($E40/366)+K41*($E41/366)</f>
        <v>50</v>
      </c>
      <c r="C156" s="5">
        <f>L40*($E40/366)+L41*($E41/366)</f>
        <v>50</v>
      </c>
      <c r="D156" s="5">
        <f>M40*($E40/366)+M41*($E41/366)</f>
        <v>0</v>
      </c>
      <c r="E156" s="24">
        <f t="shared" si="31"/>
        <v>100</v>
      </c>
      <c r="F156" s="4"/>
      <c r="G156" s="1">
        <v>1976</v>
      </c>
      <c r="H156" s="409">
        <f>(O40*100*($E40/366)/($O40+$P40+$Q40))+(O41*100*($E41/366)/($O41+$P41+$Q41))</f>
        <v>59.571428571428569</v>
      </c>
      <c r="I156" s="409"/>
      <c r="J156" s="409">
        <f>(P40*100*($E40/366)/($O40+$P40+$Q40))+(P41*100*($E41/366)/($O41+$P41+$Q41))</f>
        <v>40.428571428571431</v>
      </c>
      <c r="K156" s="409"/>
      <c r="L156" s="409">
        <f>(Q40*100*($E40/366)/($O40+$P40+$Q40))+(Q41*100*($E41/366)/($O41+$P41+$Q41))</f>
        <v>0</v>
      </c>
      <c r="M156" s="409"/>
      <c r="N156" s="379">
        <f t="shared" si="33"/>
        <v>100</v>
      </c>
      <c r="O156" s="379"/>
      <c r="P156" s="4"/>
      <c r="Q156" s="4"/>
      <c r="R156" s="1">
        <v>1976</v>
      </c>
      <c r="S156" s="5">
        <f>(O40*($E40/366)) + (O41*($E41/366))</f>
        <v>41.7</v>
      </c>
      <c r="T156" s="5">
        <f>(P40*($E40/366)) + (P41*($E41/366))</f>
        <v>28.3</v>
      </c>
      <c r="U156" s="5">
        <f>(Q40*($E40/366)) + (Q41*($E41/366))</f>
        <v>0</v>
      </c>
      <c r="V156" s="5"/>
      <c r="W156" s="5">
        <f t="shared" si="32"/>
        <v>70</v>
      </c>
    </row>
    <row r="157" spans="1:23" x14ac:dyDescent="0.15">
      <c r="A157" s="1">
        <v>1977</v>
      </c>
      <c r="B157" s="5">
        <f>K42*($E42/365)+K43*($E43/365)</f>
        <v>50</v>
      </c>
      <c r="C157" s="5">
        <f>L42*($E42/365)+L43*($E43/365)</f>
        <v>50</v>
      </c>
      <c r="D157" s="5">
        <f>M42*($E42/365)+M43*($E43/365)</f>
        <v>0</v>
      </c>
      <c r="E157" s="24">
        <f t="shared" si="31"/>
        <v>100</v>
      </c>
      <c r="F157" s="4"/>
      <c r="G157" s="1">
        <v>1977</v>
      </c>
      <c r="H157" s="409">
        <f>(O42*100*($E42/365)/($O42+$P42+$Q42))+(O43*100*($E43/365)/($O43+$P43+$Q43))</f>
        <v>59.571428571428569</v>
      </c>
      <c r="I157" s="409"/>
      <c r="J157" s="409">
        <f>(P42*100*($E42/365)/($O42+$P42+$Q42))+(P43*100*($E43/365)/($O43+$P43+$Q43))</f>
        <v>40.428571428571431</v>
      </c>
      <c r="K157" s="409"/>
      <c r="L157" s="409">
        <f>(Q42*100*($E42/365)/($O42+$P42+$Q42))+(Q43*100*($E43/365)/($O43+$P43+$Q43))</f>
        <v>0</v>
      </c>
      <c r="M157" s="409"/>
      <c r="N157" s="379">
        <f t="shared" si="33"/>
        <v>100</v>
      </c>
      <c r="O157" s="379"/>
      <c r="P157" s="4"/>
      <c r="Q157" s="4"/>
      <c r="R157" s="1">
        <v>1977</v>
      </c>
      <c r="S157" s="5">
        <f>(O42*($E42/365)) + (O43*($E43/365))</f>
        <v>41.7</v>
      </c>
      <c r="T157" s="5">
        <f>(P42*($E42/365)) + (P43*($E43/365))</f>
        <v>28.3</v>
      </c>
      <c r="U157" s="5">
        <f>(Q42*($E42/365)) + (Q43*($E43/365))</f>
        <v>0</v>
      </c>
      <c r="V157" s="5"/>
      <c r="W157" s="5">
        <f t="shared" si="32"/>
        <v>70</v>
      </c>
    </row>
    <row r="158" spans="1:23" x14ac:dyDescent="0.15">
      <c r="A158" s="1">
        <v>1978</v>
      </c>
      <c r="B158" s="5">
        <f>K44*($E44/365)+K45*($E45/365)</f>
        <v>33.150684931506852</v>
      </c>
      <c r="C158" s="5">
        <f>L44*($E44/365)+L45*($E45/365)</f>
        <v>44.38356164383562</v>
      </c>
      <c r="D158" s="5">
        <f>M44*($E44/365)+M45*($E45/365)</f>
        <v>22.465753424657532</v>
      </c>
      <c r="E158" s="24">
        <f t="shared" si="31"/>
        <v>100.00000000000001</v>
      </c>
      <c r="F158" s="4"/>
      <c r="G158" s="1">
        <v>1978</v>
      </c>
      <c r="H158" s="409">
        <f>(O44*100*($E44/365)/($O44+$P44+$Q44))+(O45*100*($E45/365)/($O45+$P45+$Q45))</f>
        <v>39.496673189823881</v>
      </c>
      <c r="I158" s="409"/>
      <c r="J158" s="409">
        <f>(P44*100*($E44/365)/($O44+$P44+$Q44))+(P45*100*($E45/365)/($O45+$P45+$Q45))</f>
        <v>36.924405423035566</v>
      </c>
      <c r="K158" s="409"/>
      <c r="L158" s="409">
        <f>(Q44*100*($E44/365)/($O44+$P44+$Q44))+(Q45*100*($E45/365)/($O45+$P45+$Q45))</f>
        <v>23.578921387140568</v>
      </c>
      <c r="M158" s="409"/>
      <c r="N158" s="379">
        <f t="shared" si="33"/>
        <v>100.00000000000001</v>
      </c>
      <c r="O158" s="379"/>
      <c r="P158" s="4"/>
      <c r="Q158" s="4"/>
      <c r="R158" s="1">
        <v>1978</v>
      </c>
      <c r="S158" s="5">
        <f>(O44*($E44/365)) + (O45*($E45/365))</f>
        <v>27.647671232876718</v>
      </c>
      <c r="T158" s="5">
        <f>(P44*($E44/365)) + (P45*($E45/365))</f>
        <v>25.503013698630138</v>
      </c>
      <c r="U158" s="5">
        <f>(Q44*($E44/365)) + (Q45*($E45/365))</f>
        <v>15.703561643835616</v>
      </c>
      <c r="V158" s="5"/>
      <c r="W158" s="5">
        <f t="shared" si="32"/>
        <v>68.854246575342472</v>
      </c>
    </row>
    <row r="159" spans="1:23" x14ac:dyDescent="0.15">
      <c r="A159" s="1">
        <v>1979</v>
      </c>
      <c r="B159" s="5">
        <f>K46*($E46/365)+K47*($E47/365)</f>
        <v>0</v>
      </c>
      <c r="C159" s="5">
        <f>L46*($E46/365)+L47*($E47/365)</f>
        <v>26.210045662100452</v>
      </c>
      <c r="D159" s="5">
        <f>M46*($E46/365)+M47*($E47/365)</f>
        <v>73.78995433789953</v>
      </c>
      <c r="E159" s="24">
        <f t="shared" si="31"/>
        <v>99.999999999999986</v>
      </c>
      <c r="F159" s="4"/>
      <c r="G159" s="1">
        <v>1979</v>
      </c>
      <c r="H159" s="409">
        <f>(O46*100*($E46/365)/($O46+$P46+$Q46))+(O47*100*($E47/365)/($O47+$P47+$Q47))</f>
        <v>0</v>
      </c>
      <c r="I159" s="409"/>
      <c r="J159" s="409">
        <f>(P46*100*($E46/365)/($O46+$P46+$Q46))+(P47*100*($E47/365)/($O47+$P47+$Q47))</f>
        <v>23.612653749640049</v>
      </c>
      <c r="K159" s="409"/>
      <c r="L159" s="409">
        <f>(Q46*100*($E46/365)/($O46+$P46+$Q46))+(Q47*100*($E47/365)/($O47+$P47+$Q47))</f>
        <v>76.387346250359954</v>
      </c>
      <c r="M159" s="409"/>
      <c r="N159" s="379">
        <f t="shared" si="33"/>
        <v>100</v>
      </c>
      <c r="O159" s="379"/>
      <c r="P159" s="4"/>
      <c r="Q159" s="4"/>
      <c r="R159" s="1">
        <v>1979</v>
      </c>
      <c r="S159" s="5">
        <f>(O46*($E46/365)) + (O47*($E47/365))</f>
        <v>0</v>
      </c>
      <c r="T159" s="5">
        <f>(P46*($E46/365)) + (P47*($E47/365))</f>
        <v>15.726027397260275</v>
      </c>
      <c r="U159" s="5">
        <f>(Q46*($E46/365)) + (Q47*($E47/365))</f>
        <v>41.620821917808222</v>
      </c>
      <c r="V159" s="5"/>
      <c r="W159" s="5">
        <f t="shared" si="32"/>
        <v>57.346849315068496</v>
      </c>
    </row>
    <row r="160" spans="1:23" x14ac:dyDescent="0.15">
      <c r="A160" s="1">
        <v>1980</v>
      </c>
      <c r="B160" s="5">
        <f>K48*($E48/366)+K49*($E49/366)</f>
        <v>35.846994535519123</v>
      </c>
      <c r="C160" s="5">
        <f>L48*($E48/366)+L49*($E49/366)</f>
        <v>26.885245901639344</v>
      </c>
      <c r="D160" s="5">
        <f>M48*($E48/366)+M49*($E49/366)</f>
        <v>37.267759562841533</v>
      </c>
      <c r="E160" s="24">
        <f t="shared" si="31"/>
        <v>100</v>
      </c>
      <c r="F160" s="4"/>
      <c r="G160" s="1">
        <v>1980</v>
      </c>
      <c r="H160" s="409">
        <f>(O48*100*($E48/366)/($O48+$P48+$Q48))+(O49*100*($E49/366)/($O49+$P49+$Q49))</f>
        <v>38.438872816886324</v>
      </c>
      <c r="I160" s="409"/>
      <c r="J160" s="409">
        <f>(P48*100*($E48/366)/($O48+$P48+$Q48))+(P49*100*($E49/366)/($O49+$P49+$Q49))</f>
        <v>31.080574306225227</v>
      </c>
      <c r="K160" s="409"/>
      <c r="L160" s="409">
        <f>(Q48*100*($E48/366)/($O48+$P48+$Q48))+(Q49*100*($E49/366)/($O49+$P49+$Q49))</f>
        <v>30.48055287688846</v>
      </c>
      <c r="M160" s="409"/>
      <c r="N160" s="379">
        <f t="shared" si="33"/>
        <v>100</v>
      </c>
      <c r="O160" s="379"/>
      <c r="P160" s="4"/>
      <c r="Q160" s="4"/>
      <c r="R160" s="1">
        <v>1980</v>
      </c>
      <c r="S160" s="5">
        <f>(O48*($E48/366)) + (O49*($E49/366))</f>
        <v>31.366120218579233</v>
      </c>
      <c r="T160" s="5">
        <f>(P48*($E48/366)) + (P49*($E49/366))</f>
        <v>25.361748633879781</v>
      </c>
      <c r="U160" s="5">
        <f>(Q48*($E48/366)) + (Q49*($E49/366))</f>
        <v>18.819125683060111</v>
      </c>
      <c r="V160" s="5"/>
      <c r="W160" s="5">
        <f t="shared" si="32"/>
        <v>75.546994535519119</v>
      </c>
    </row>
    <row r="161" spans="1:23" x14ac:dyDescent="0.15">
      <c r="A161" s="1">
        <v>1981</v>
      </c>
      <c r="B161" s="5">
        <f>K50*($E50/365)+K51*($E51/365)</f>
        <v>40</v>
      </c>
      <c r="C161" s="5">
        <f>L50*($E50/365)+L51*($E51/365)</f>
        <v>30</v>
      </c>
      <c r="D161" s="5">
        <f>M50*($E50/365)+M51*($E51/365)</f>
        <v>30</v>
      </c>
      <c r="E161" s="24">
        <f t="shared" si="31"/>
        <v>100</v>
      </c>
      <c r="F161" s="4"/>
      <c r="G161" s="1">
        <v>1981</v>
      </c>
      <c r="H161" s="409">
        <f>(O50*100*($E50/365)/($O50+$P50+$Q50))+(O51*100*($E51/365)/($O51+$P51+$Q51))</f>
        <v>42.892156862745104</v>
      </c>
      <c r="I161" s="409"/>
      <c r="J161" s="409">
        <f>(P50*100*($E50/365)/($O50+$P50+$Q50))+(P51*100*($E51/365)/($O51+$P51+$Q51))</f>
        <v>34.681372549019613</v>
      </c>
      <c r="K161" s="409"/>
      <c r="L161" s="409">
        <f>(Q50*100*($E50/365)/($O50+$P50+$Q50))+(Q51*100*($E51/365)/($O51+$P51+$Q51))</f>
        <v>22.426470588235297</v>
      </c>
      <c r="M161" s="409"/>
      <c r="N161" s="379">
        <f t="shared" si="33"/>
        <v>100.00000000000003</v>
      </c>
      <c r="O161" s="379"/>
      <c r="P161" s="4"/>
      <c r="Q161" s="4"/>
      <c r="R161" s="1">
        <v>1981</v>
      </c>
      <c r="S161" s="5">
        <f>(O50*($E50/365)) + (O51*($E51/365))</f>
        <v>35</v>
      </c>
      <c r="T161" s="5">
        <f>(P50*($E50/365)) + (P51*($E51/365))</f>
        <v>28.3</v>
      </c>
      <c r="U161" s="5">
        <f>(Q50*($E50/365)) + (Q51*($E51/365))</f>
        <v>18.3</v>
      </c>
      <c r="V161" s="5"/>
      <c r="W161" s="5">
        <f t="shared" si="32"/>
        <v>81.599999999999994</v>
      </c>
    </row>
    <row r="162" spans="1:23" x14ac:dyDescent="0.15">
      <c r="A162" s="1">
        <v>1982</v>
      </c>
      <c r="B162" s="5">
        <f>K52*($E52/365)+K53*($E53/365)</f>
        <v>40</v>
      </c>
      <c r="C162" s="5">
        <f>L52*($E52/365)+L53*($E53/365)</f>
        <v>30</v>
      </c>
      <c r="D162" s="5">
        <f>M52*($E52/365)+M53*($E53/365)</f>
        <v>30</v>
      </c>
      <c r="E162" s="24">
        <f t="shared" si="31"/>
        <v>100</v>
      </c>
      <c r="F162" s="4"/>
      <c r="G162" s="1">
        <v>1982</v>
      </c>
      <c r="H162" s="409">
        <f>(O52*100*($E52/365)/($O52+$P52+$Q52))+(O53*100*($E53/365)/($O53+$P53+$Q53))</f>
        <v>42.892156862745104</v>
      </c>
      <c r="I162" s="409"/>
      <c r="J162" s="409">
        <f>(P52*100*($E52/365)/($O52+$P52+$Q52))+(P53*100*($E53/365)/($O53+$P53+$Q53))</f>
        <v>34.681372549019613</v>
      </c>
      <c r="K162" s="409"/>
      <c r="L162" s="409">
        <f>(Q52*100*($E52/365)/($O52+$P52+$Q52))+(Q53*100*($E53/365)/($O53+$P53+$Q53))</f>
        <v>22.426470588235297</v>
      </c>
      <c r="M162" s="409"/>
      <c r="N162" s="379">
        <f t="shared" si="33"/>
        <v>100.00000000000003</v>
      </c>
      <c r="O162" s="379"/>
      <c r="P162" s="4"/>
      <c r="Q162" s="4"/>
      <c r="R162" s="1">
        <v>1982</v>
      </c>
      <c r="S162" s="5">
        <f>(O52*($E52/365)) + (O53*($E53/365))</f>
        <v>35</v>
      </c>
      <c r="T162" s="5">
        <f>(P52*($E52/365)) + (P53*($E53/365))</f>
        <v>28.3</v>
      </c>
      <c r="U162" s="5">
        <f>(Q52*($E52/365)) + (Q53*($E53/365))</f>
        <v>18.3</v>
      </c>
      <c r="V162" s="5"/>
      <c r="W162" s="5">
        <f t="shared" si="32"/>
        <v>81.599999999999994</v>
      </c>
    </row>
    <row r="163" spans="1:23" x14ac:dyDescent="0.15">
      <c r="A163" s="1">
        <v>1983</v>
      </c>
      <c r="B163" s="5">
        <f>K54*($E54/365)+K55*($E55/365)</f>
        <v>52.054794520547944</v>
      </c>
      <c r="C163" s="5">
        <f>L54*($E54/365)+L55*($E55/365)</f>
        <v>36.027397260273972</v>
      </c>
      <c r="D163" s="5">
        <f>M54*($E54/365)+M55*($E55/365)</f>
        <v>11.917808219178081</v>
      </c>
      <c r="E163" s="24">
        <f t="shared" si="31"/>
        <v>100</v>
      </c>
      <c r="F163" s="4"/>
      <c r="G163" s="1">
        <v>1983</v>
      </c>
      <c r="H163" s="409">
        <f>(O54*100*($E54/365)/($O54+$P54+$Q54))+(O55*100*($E55/365)/($O55+$P55+$Q55))</f>
        <v>54.514888147039642</v>
      </c>
      <c r="I163" s="409"/>
      <c r="J163" s="409">
        <f>(P54*100*($E54/365)/($O54+$P54+$Q54))+(P55*100*($E55/365)/($O55+$P55+$Q55))</f>
        <v>36.575966002839493</v>
      </c>
      <c r="K163" s="409"/>
      <c r="L163" s="409">
        <f>(Q54*100*($E54/365)/($O54+$P54+$Q54))+(Q55*100*($E55/365)/($O55+$P55+$Q55))</f>
        <v>8.9091458501208702</v>
      </c>
      <c r="M163" s="409"/>
      <c r="N163" s="379">
        <f t="shared" si="33"/>
        <v>100</v>
      </c>
      <c r="O163" s="379"/>
      <c r="Q163" s="4"/>
      <c r="R163" s="1">
        <v>1983</v>
      </c>
      <c r="S163" s="5">
        <f>(O54*($E54/365)) + (O55*($E55/365))</f>
        <v>36.989041095890407</v>
      </c>
      <c r="T163" s="5">
        <f>(P54*($E54/365)) + (P55*($E55/365))</f>
        <v>25.286301369863011</v>
      </c>
      <c r="U163" s="5">
        <f>(Q54*($E54/365)) + (Q55*($E55/365))</f>
        <v>7.2698630136986298</v>
      </c>
      <c r="V163" s="5"/>
      <c r="W163" s="5">
        <f t="shared" si="32"/>
        <v>69.545205479452051</v>
      </c>
    </row>
    <row r="164" spans="1:23" x14ac:dyDescent="0.15">
      <c r="A164" s="1">
        <v>1984</v>
      </c>
      <c r="B164" s="5">
        <f>K56*($E56/366)+K57*($E57/366)</f>
        <v>60</v>
      </c>
      <c r="C164" s="5">
        <f>L56*($E56/366)+L57*($E57/366)</f>
        <v>40</v>
      </c>
      <c r="D164" s="5">
        <f>M56*($E56/366)+M57*($E57/366)</f>
        <v>0</v>
      </c>
      <c r="E164" s="24">
        <f t="shared" si="31"/>
        <v>100</v>
      </c>
      <c r="F164" s="4"/>
      <c r="G164" s="1">
        <v>1984</v>
      </c>
      <c r="H164" s="409">
        <f>(O56*100*($E56/366)/($O56+$P56+$Q56))+(O57*100*($E57/366)/($O57+$P57+$Q57))</f>
        <v>62.175324675324674</v>
      </c>
      <c r="I164" s="409"/>
      <c r="J164" s="409">
        <f>(P56*100*($E56/366)/($O56+$P56+$Q56))+(P57*100*($E57/366)/($O57+$P57+$Q57))</f>
        <v>37.824675324675326</v>
      </c>
      <c r="K164" s="409"/>
      <c r="L164" s="409">
        <f>(Q56*100*($E56/366)/($O56+$P56+$Q56))+(Q57*100*($E57/366)/($O57+$P57+$Q57))</f>
        <v>0</v>
      </c>
      <c r="M164" s="409"/>
      <c r="N164" s="379">
        <f t="shared" si="33"/>
        <v>100</v>
      </c>
      <c r="O164" s="379"/>
      <c r="Q164" s="4"/>
      <c r="R164" s="1">
        <v>1984</v>
      </c>
      <c r="S164" s="5">
        <f>(O56*($E56/366)) + (O57*($E57/366))</f>
        <v>38.299999999999997</v>
      </c>
      <c r="T164" s="5">
        <f>(P56*($E56/366)) + (P57*($E57/366))</f>
        <v>23.3</v>
      </c>
      <c r="U164" s="5">
        <f>(Q56*($E56/366)) + (Q57*($E57/366))</f>
        <v>0</v>
      </c>
      <c r="V164" s="5"/>
      <c r="W164" s="5">
        <f t="shared" si="32"/>
        <v>61.599999999999994</v>
      </c>
    </row>
    <row r="165" spans="1:23" x14ac:dyDescent="0.15">
      <c r="A165" s="1">
        <v>1985</v>
      </c>
      <c r="B165" s="5">
        <f>K58*($E58/365)+K59*($E59/365)</f>
        <v>60</v>
      </c>
      <c r="C165" s="5">
        <f>L58*($E58/365)+L59*($E59/365)</f>
        <v>40</v>
      </c>
      <c r="D165" s="5">
        <f>M58*($E58/365)+M59*($E59/365)</f>
        <v>0</v>
      </c>
      <c r="E165" s="24">
        <f t="shared" si="31"/>
        <v>100</v>
      </c>
      <c r="G165" s="1">
        <v>1985</v>
      </c>
      <c r="H165" s="409">
        <f>(O58*100*($E58/365)/($O58+$P58+$Q58))+(O59*100*($E59/365)/($O59+$P59+$Q59))</f>
        <v>62.175324675324674</v>
      </c>
      <c r="I165" s="409"/>
      <c r="J165" s="409">
        <f>(P58*100*($E58/365)/($O58+$P58+$Q58))+(P59*100*($E59/365)/($O59+$P59+$Q59))</f>
        <v>37.824675324675326</v>
      </c>
      <c r="K165" s="409"/>
      <c r="L165" s="409">
        <f>(Q58*100*($E58/365)/($O58+$P58+$Q58))+(Q59*100*($E59/365)/($O59+$P59+$Q59))</f>
        <v>0</v>
      </c>
      <c r="M165" s="409"/>
      <c r="N165" s="379">
        <f t="shared" si="33"/>
        <v>100</v>
      </c>
      <c r="O165" s="379"/>
      <c r="R165" s="1">
        <v>1985</v>
      </c>
      <c r="S165" s="5">
        <f>(O58*($E58/365)) + (O59*($E59/365))</f>
        <v>38.299999999999997</v>
      </c>
      <c r="T165" s="5">
        <f>(P58*($E58/365)) + (P59*($E59/365))</f>
        <v>23.3</v>
      </c>
      <c r="U165" s="5">
        <f>(Q58*($E58/365)) + (Q59*($E59/365))</f>
        <v>0</v>
      </c>
      <c r="V165" s="5"/>
      <c r="W165" s="5">
        <f t="shared" si="32"/>
        <v>61.599999999999994</v>
      </c>
    </row>
    <row r="166" spans="1:23" x14ac:dyDescent="0.15">
      <c r="A166" s="1">
        <v>1986</v>
      </c>
      <c r="B166" s="5">
        <f>K60*($E60/365)+K61*($E61/365)</f>
        <v>60</v>
      </c>
      <c r="C166" s="5">
        <f>L60*($E60/365)+L61*($E61/365)</f>
        <v>40</v>
      </c>
      <c r="D166" s="5">
        <f>M60*($E60/365)+M61*($E61/365)</f>
        <v>0</v>
      </c>
      <c r="E166" s="24">
        <f t="shared" si="31"/>
        <v>100</v>
      </c>
      <c r="G166" s="1">
        <v>1986</v>
      </c>
      <c r="H166" s="409">
        <f>(O60*100*($E60/365)/($O60+$P60+$Q60))+(O61*100*($E61/365)/($O61+$P61+$Q61))</f>
        <v>62.175324675324674</v>
      </c>
      <c r="I166" s="409"/>
      <c r="J166" s="409">
        <f>(P60*100*($E60/365)/($O60+$P60+$Q60))+(P61*100*($E61/365)/($O61+$P61+$Q61))</f>
        <v>37.824675324675326</v>
      </c>
      <c r="K166" s="409"/>
      <c r="L166" s="409">
        <f>(Q60*100*($E60/365)/($O60+$P60+$Q60))+(Q61*100*($E61/365)/($O61+$P61+$Q61))</f>
        <v>0</v>
      </c>
      <c r="M166" s="409"/>
      <c r="N166" s="379">
        <f t="shared" si="33"/>
        <v>100</v>
      </c>
      <c r="O166" s="379"/>
      <c r="R166" s="1">
        <v>1986</v>
      </c>
      <c r="S166" s="5">
        <f>(O60*($E60/365)) + (O61*($E61/365))</f>
        <v>38.299999999999997</v>
      </c>
      <c r="T166" s="5">
        <f>(P60*($E60/365)) + (P61*($E61/365))</f>
        <v>23.3</v>
      </c>
      <c r="U166" s="5">
        <f>(Q60*($E60/365)) + (Q61*($E61/365))</f>
        <v>0</v>
      </c>
      <c r="V166" s="5"/>
      <c r="W166" s="5">
        <f t="shared" si="32"/>
        <v>61.599999999999994</v>
      </c>
    </row>
    <row r="167" spans="1:23" x14ac:dyDescent="0.15">
      <c r="A167" s="1">
        <v>1987</v>
      </c>
      <c r="B167" s="5">
        <f>K62*($E62/365)+K63*($E63/365)</f>
        <v>48.537982565379828</v>
      </c>
      <c r="C167" s="5">
        <f>L62*($E62/365)+L63*($E63/365)</f>
        <v>38.236612702366131</v>
      </c>
      <c r="D167" s="5">
        <f>M62*($E62/365)+M63*($E63/365)</f>
        <v>13.225404732254047</v>
      </c>
      <c r="E167" s="24">
        <f t="shared" si="31"/>
        <v>100</v>
      </c>
      <c r="G167" s="1">
        <v>1987</v>
      </c>
      <c r="H167" s="409">
        <f>(O62*100*($E62/365)/($O62+$P62+$Q62))+(O63*100*($E63/365)/($O63+$P63+$Q63))</f>
        <v>53.361537093043935</v>
      </c>
      <c r="I167" s="409"/>
      <c r="J167" s="409">
        <f>(P62*100*($E62/365)/($O62+$P62+$Q62))+(P63*100*($E63/365)/($O63+$P63+$Q63))</f>
        <v>34.850897048157321</v>
      </c>
      <c r="K167" s="409"/>
      <c r="L167" s="409">
        <f>(Q62*100*($E62/365)/($O62+$P62+$Q62))+(Q63*100*($E63/365)/($O63+$P63+$Q63))</f>
        <v>11.787565858798736</v>
      </c>
      <c r="M167" s="409"/>
      <c r="N167" s="379">
        <f t="shared" si="33"/>
        <v>100</v>
      </c>
      <c r="O167" s="379"/>
      <c r="R167" s="1">
        <v>1987</v>
      </c>
      <c r="S167" s="5">
        <f>(O62*($E62/365)) + (O63*($E63/365))</f>
        <v>33.596164383561643</v>
      </c>
      <c r="T167" s="5">
        <f>(P62*($E62/365)) + (P63*($E63/365))</f>
        <v>21.990684931506848</v>
      </c>
      <c r="U167" s="5">
        <f>(Q62*($E62/365)) + (Q63*($E63/365))</f>
        <v>7.6619178082191786</v>
      </c>
      <c r="V167" s="5"/>
      <c r="W167" s="5">
        <f t="shared" si="32"/>
        <v>63.248767123287671</v>
      </c>
    </row>
    <row r="168" spans="1:23" x14ac:dyDescent="0.15">
      <c r="A168" s="1">
        <v>1988</v>
      </c>
      <c r="B168" s="5">
        <f>K64*($E64/366)+K65*($E65/366)</f>
        <v>27.024341778440142</v>
      </c>
      <c r="C168" s="5">
        <f>L64*($E64/366)+L65*($E65/366)</f>
        <v>35.585361814870012</v>
      </c>
      <c r="D168" s="5">
        <f>M64*($E64/366)+M65*($E65/366)</f>
        <v>37.390296406689842</v>
      </c>
      <c r="E168" s="24">
        <f t="shared" si="31"/>
        <v>100</v>
      </c>
      <c r="G168" s="1">
        <v>1988</v>
      </c>
      <c r="H168" s="409">
        <f>(O64*100*($E64/366)/($O64+$P64+$Q64))+(O65*100*($E65/366)/($O65+$P65+$Q65))</f>
        <v>32.699453551912569</v>
      </c>
      <c r="I168" s="409"/>
      <c r="J168" s="409">
        <f>(P64*100*($E64/366)/($O64+$P64+$Q64))+(P65*100*($E65/366)/($O65+$P65+$Q65))</f>
        <v>34.328130818798911</v>
      </c>
      <c r="K168" s="409"/>
      <c r="L168" s="409">
        <f>(Q64*100*($E64/366)/($O64+$P64+$Q64))+(Q65*100*($E65/366)/($O65+$P65+$Q65))</f>
        <v>32.97241562928852</v>
      </c>
      <c r="M168" s="409"/>
      <c r="N168" s="379">
        <f t="shared" si="33"/>
        <v>100</v>
      </c>
      <c r="O168" s="379"/>
      <c r="R168" s="1">
        <v>1988</v>
      </c>
      <c r="S168" s="5">
        <f>(O64*($E64/366)) + (O65*($E65/366))</f>
        <v>21.254644808743173</v>
      </c>
      <c r="T168" s="5">
        <f>(P64*($E64/366)) + (P65*($E65/366))</f>
        <v>20.6</v>
      </c>
      <c r="U168" s="5">
        <f>(Q64*($E64/366)) + (Q65*($E65/366))</f>
        <v>19.061748633879784</v>
      </c>
      <c r="V168" s="5"/>
      <c r="W168" s="5">
        <f t="shared" si="32"/>
        <v>60.916393442622962</v>
      </c>
    </row>
    <row r="169" spans="1:23" x14ac:dyDescent="0.15">
      <c r="A169" s="1">
        <v>1989</v>
      </c>
      <c r="B169" s="5">
        <f>K66*($E66/365)+K67*($E67/365)</f>
        <v>4.7322540473225407</v>
      </c>
      <c r="C169" s="5">
        <f>L66*($E66/365)+L67*($E67/365)</f>
        <v>31.755915317559147</v>
      </c>
      <c r="D169" s="5">
        <f>M66*($E66/365)+M67*($E67/365)</f>
        <v>63.511830635118294</v>
      </c>
      <c r="E169" s="24">
        <f t="shared" si="31"/>
        <v>99.999999999999972</v>
      </c>
      <c r="G169" s="1">
        <v>1989</v>
      </c>
      <c r="H169" s="409">
        <f>(O66*100*($E66/365)/($O66+$P66+$Q66))+(O67*100*($E67/365)/($O67+$P67+$Q67))</f>
        <v>4.7990715878578252</v>
      </c>
      <c r="I169" s="409"/>
      <c r="J169" s="409">
        <f>(P66*100*($E66/365)/($O66+$P66+$Q66))+(P67*100*($E67/365)/($O67+$P67+$Q67))</f>
        <v>39.941733712629912</v>
      </c>
      <c r="K169" s="409"/>
      <c r="L169" s="409">
        <f>(Q66*100*($E66/365)/($O66+$P66+$Q66))+(Q67*100*($E67/365)/($O67+$P67+$Q67))</f>
        <v>55.259194699512257</v>
      </c>
      <c r="M169" s="409"/>
      <c r="N169" s="379">
        <f t="shared" si="33"/>
        <v>100</v>
      </c>
      <c r="O169" s="379"/>
      <c r="R169" s="1">
        <v>1989</v>
      </c>
      <c r="S169" s="5">
        <f>(O66*($E66/365)) + (O67*($E67/365))</f>
        <v>2.8890410958904109</v>
      </c>
      <c r="T169" s="5">
        <f>(P66*($E66/365)) + (P67*($E67/365))</f>
        <v>20.6</v>
      </c>
      <c r="U169" s="5">
        <f>(Q66*($E66/365)) + (Q67*($E67/365))</f>
        <v>28.499999999999996</v>
      </c>
      <c r="V169" s="5"/>
      <c r="W169" s="5">
        <f t="shared" si="32"/>
        <v>51.989041095890414</v>
      </c>
    </row>
    <row r="170" spans="1:23" x14ac:dyDescent="0.15">
      <c r="A170" s="1">
        <v>1990</v>
      </c>
      <c r="B170" s="5">
        <f>K68*($E68/365)+K69*($E69/365)</f>
        <v>18.181818181818183</v>
      </c>
      <c r="C170" s="5">
        <f>L68*($E68/365)+L69*($E69/365)</f>
        <v>27.27272727272727</v>
      </c>
      <c r="D170" s="5">
        <f>M68*($E68/365)+M69*($E69/365)</f>
        <v>54.54545454545454</v>
      </c>
      <c r="E170" s="24">
        <f t="shared" si="31"/>
        <v>100</v>
      </c>
      <c r="G170" s="1">
        <v>1990</v>
      </c>
      <c r="H170" s="409">
        <f>(O68*100*($E68/365)/($O68+$P68+$Q68))+(O69*100*($E69/365)/($O69+$P69+$Q69))</f>
        <v>18.438538205980066</v>
      </c>
      <c r="I170" s="409"/>
      <c r="J170" s="409">
        <f>(P68*100*($E68/365)/($O68+$P68+$Q68))+(P69*100*($E69/365)/($O69+$P69+$Q69))</f>
        <v>34.219269102990033</v>
      </c>
      <c r="K170" s="409"/>
      <c r="L170" s="409">
        <f>(Q68*100*($E68/365)/($O68+$P68+$Q68))+(Q69*100*($E69/365)/($O69+$P69+$Q69))</f>
        <v>47.342192691029901</v>
      </c>
      <c r="M170" s="409"/>
      <c r="N170" s="379">
        <f t="shared" si="33"/>
        <v>100</v>
      </c>
      <c r="O170" s="379"/>
      <c r="R170" s="1">
        <v>1990</v>
      </c>
      <c r="S170" s="5">
        <f>(O68*($E68/365)) + (O69*($E69/365))</f>
        <v>11.1</v>
      </c>
      <c r="T170" s="5">
        <f>(P68*($E68/365)) + (P69*($E69/365))</f>
        <v>20.6</v>
      </c>
      <c r="U170" s="5">
        <f>(Q68*($E68/365)) + (Q69*($E69/365))</f>
        <v>28.5</v>
      </c>
      <c r="V170" s="5"/>
      <c r="W170" s="5">
        <f t="shared" si="32"/>
        <v>60.2</v>
      </c>
    </row>
    <row r="171" spans="1:23" x14ac:dyDescent="0.15">
      <c r="A171" s="1">
        <v>1991</v>
      </c>
      <c r="B171" s="5">
        <f>K70*($E70/365)+K71*($E71/365)</f>
        <v>39.62640099626401</v>
      </c>
      <c r="C171" s="5">
        <f>L70*($E70/365)+L71*($E71/365)</f>
        <v>8.8916562889165611</v>
      </c>
      <c r="D171" s="5">
        <f>M70*($E70/365)+M71*($E71/365)</f>
        <v>51.481942714819425</v>
      </c>
      <c r="E171" s="24">
        <f t="shared" si="31"/>
        <v>100</v>
      </c>
      <c r="G171" s="1">
        <v>1991</v>
      </c>
      <c r="H171" s="409">
        <f>(O70*100*($E70/365)/($O70+$P70+$Q70))+(O71*100*($E71/365)/($O71+$P71+$Q71))</f>
        <v>54.67417577643765</v>
      </c>
      <c r="I171" s="409"/>
      <c r="J171" s="409">
        <f>(P70*100*($E70/365)/($O70+$P70+$Q70))+(P71*100*($E71/365)/($O71+$P71+$Q71))</f>
        <v>11.156419241796749</v>
      </c>
      <c r="K171" s="409"/>
      <c r="L171" s="409">
        <f>(Q70*100*($E70/365)/($O70+$P70+$Q70))+(Q71*100*($E71/365)/($O71+$P71+$Q71))</f>
        <v>34.169404981765609</v>
      </c>
      <c r="M171" s="409"/>
      <c r="N171" s="379">
        <f t="shared" si="33"/>
        <v>100.00000000000001</v>
      </c>
      <c r="O171" s="379"/>
      <c r="R171" s="1">
        <v>1991</v>
      </c>
      <c r="S171" s="5">
        <f>(O70*($E70/365)) + (O71*($E71/365))</f>
        <v>31.453972602739725</v>
      </c>
      <c r="T171" s="5">
        <f>(P70*($E70/365)) + (P71*($E71/365))</f>
        <v>6.7161643835616438</v>
      </c>
      <c r="U171" s="5">
        <f>(Q70*($E70/365)) + (Q71*($E71/365))</f>
        <v>20.007945205479452</v>
      </c>
      <c r="V171" s="5"/>
      <c r="W171" s="5">
        <f t="shared" si="32"/>
        <v>58.178082191780824</v>
      </c>
    </row>
    <row r="172" spans="1:23" x14ac:dyDescent="0.15">
      <c r="A172" s="1">
        <v>1992</v>
      </c>
      <c r="B172" s="5">
        <f>K72*($E72/366)+K73*($E73/366)</f>
        <v>50</v>
      </c>
      <c r="C172" s="5">
        <f>L72*($E72/366)+L73*($E73/366)</f>
        <v>0</v>
      </c>
      <c r="D172" s="5">
        <f>M72*($E72/366)+M73*($E73/366)</f>
        <v>50</v>
      </c>
      <c r="E172" s="24">
        <f t="shared" si="31"/>
        <v>100</v>
      </c>
      <c r="G172" s="1">
        <v>1992</v>
      </c>
      <c r="H172" s="409">
        <f>(O72*100*($E72/366)/($O72+$P72+$Q72))+(O73*100*($E73/366)/($O73+$P73+$Q73))</f>
        <v>72.202797202797214</v>
      </c>
      <c r="I172" s="409"/>
      <c r="J172" s="409">
        <f>(P72*100*($E72/366)/($O72+$P72+$Q72))+(P73*100*($E73/366)/($O73+$P73+$Q73))</f>
        <v>0</v>
      </c>
      <c r="K172" s="409"/>
      <c r="L172" s="409">
        <f>(Q72*100*($E72/366)/($O72+$P72+$Q72))+(Q73*100*($E73/366)/($O73+$P73+$Q73))</f>
        <v>27.7972027972028</v>
      </c>
      <c r="M172" s="409"/>
      <c r="N172" s="379">
        <f t="shared" si="33"/>
        <v>100.00000000000001</v>
      </c>
      <c r="O172" s="379"/>
      <c r="R172" s="1">
        <v>1992</v>
      </c>
      <c r="S172" s="5">
        <f>(O72*($E72/366)) + (O73*($E73/366))</f>
        <v>41.3</v>
      </c>
      <c r="T172" s="5">
        <f>(P72*($E72/366)) + (P73*($E73/366))</f>
        <v>0</v>
      </c>
      <c r="U172" s="5">
        <f>(Q72*($E72/366)) + (Q73*($E73/366))</f>
        <v>15.9</v>
      </c>
      <c r="V172" s="5"/>
      <c r="W172" s="5">
        <f t="shared" si="32"/>
        <v>57.199999999999996</v>
      </c>
    </row>
    <row r="173" spans="1:23" x14ac:dyDescent="0.15">
      <c r="A173" s="1">
        <v>1993</v>
      </c>
      <c r="B173" s="5">
        <f>K74*($E74/365)+K75*($E75/365)</f>
        <v>50</v>
      </c>
      <c r="C173" s="5">
        <f>L74*($E74/365)+L75*($E75/365)</f>
        <v>0</v>
      </c>
      <c r="D173" s="5">
        <f>M74*($E74/365)+M75*($E75/365)</f>
        <v>50</v>
      </c>
      <c r="E173" s="24">
        <f t="shared" si="31"/>
        <v>100</v>
      </c>
      <c r="G173" s="1">
        <v>1993</v>
      </c>
      <c r="H173" s="409">
        <f>(O74*100*($E74/365)/($O74+$P74+$Q74))+(O75*100*($E75/365)/($O75+$P75+$Q75))</f>
        <v>72.202797202797214</v>
      </c>
      <c r="I173" s="409"/>
      <c r="J173" s="409">
        <f>(P74*100*($E74/365)/($O74+$P74+$Q74))+(P75*100*($E75/365)/($O75+$P75+$Q75))</f>
        <v>0</v>
      </c>
      <c r="K173" s="409"/>
      <c r="L173" s="409">
        <f>(Q74*100*($E74/365)/($O74+$P74+$Q74))+(Q75*100*($E75/365)/($O75+$P75+$Q75))</f>
        <v>27.7972027972028</v>
      </c>
      <c r="M173" s="409"/>
      <c r="N173" s="379">
        <f t="shared" si="33"/>
        <v>100.00000000000001</v>
      </c>
      <c r="O173" s="379"/>
      <c r="R173" s="1">
        <v>1993</v>
      </c>
      <c r="S173" s="5">
        <f>(O74*($E74/365)) + (O75*($E75/365))</f>
        <v>41.3</v>
      </c>
      <c r="T173" s="5">
        <f>(P74*($E74/365)) + (P75*($E75/365))</f>
        <v>0</v>
      </c>
      <c r="U173" s="5">
        <f>(Q74*($E74/365)) + (Q75*($E75/365))</f>
        <v>15.9</v>
      </c>
      <c r="V173" s="5"/>
      <c r="W173" s="5">
        <f t="shared" si="32"/>
        <v>57.199999999999996</v>
      </c>
    </row>
    <row r="174" spans="1:23" x14ac:dyDescent="0.15">
      <c r="A174" s="1">
        <v>1994</v>
      </c>
      <c r="B174" s="5">
        <f>K76*($E76/365)+K77*($E77/365)</f>
        <v>52.907153729071538</v>
      </c>
      <c r="C174" s="5">
        <f>L76*($E76/365)+L77*($E77/365)</f>
        <v>0</v>
      </c>
      <c r="D174" s="5">
        <f>M76*($E76/365)+M77*($E77/365)</f>
        <v>47.092846270928462</v>
      </c>
      <c r="E174" s="24">
        <f t="shared" si="31"/>
        <v>100</v>
      </c>
      <c r="G174" s="1">
        <v>1994</v>
      </c>
      <c r="H174" s="409">
        <f>(O76*100*($E76/365)/($O76+$P76+$Q76))+(O77*100*($E77/365)/($O77+$P77+$Q77))</f>
        <v>72.2027972027972</v>
      </c>
      <c r="I174" s="409"/>
      <c r="J174" s="409">
        <f>(P76*100*($E76/365)/($O76+$P76+$Q76))+(P77*100*($E77/365)/($O77+$P77+$Q77))</f>
        <v>0</v>
      </c>
      <c r="K174" s="409"/>
      <c r="L174" s="409">
        <f>(Q76*100*($E76/365)/($O76+$P76+$Q76))+(Q77*100*($E77/365)/($O77+$P77+$Q77))</f>
        <v>27.7972027972028</v>
      </c>
      <c r="M174" s="409"/>
      <c r="N174" s="379">
        <f t="shared" si="33"/>
        <v>100</v>
      </c>
      <c r="O174" s="379"/>
      <c r="R174" s="1">
        <v>1994</v>
      </c>
      <c r="S174" s="5">
        <f>(O76*($E76/365)) + (O77*($E77/365))</f>
        <v>41.3</v>
      </c>
      <c r="T174" s="5">
        <f>(P76*($E76/365)) + (P77*($E77/365))</f>
        <v>0</v>
      </c>
      <c r="U174" s="5">
        <f>(Q76*($E76/365)) + (Q77*($E77/365))</f>
        <v>15.9</v>
      </c>
      <c r="V174" s="5"/>
      <c r="W174" s="5">
        <f t="shared" si="32"/>
        <v>57.199999999999996</v>
      </c>
    </row>
    <row r="175" spans="1:23" x14ac:dyDescent="0.15">
      <c r="A175" s="1">
        <v>1995</v>
      </c>
      <c r="B175" s="5">
        <f>K78*($E78/365)+K79*($E79/365)</f>
        <v>51.704718417047189</v>
      </c>
      <c r="C175" s="5">
        <f>L78*($E78/365)+L79*($E79/365)</f>
        <v>34.657534246575345</v>
      </c>
      <c r="D175" s="5">
        <f>M78*($E78/365)+M79*($E79/365)</f>
        <v>13.637747336377474</v>
      </c>
      <c r="E175" s="24">
        <f t="shared" si="31"/>
        <v>100.00000000000001</v>
      </c>
      <c r="G175" s="1">
        <v>1995</v>
      </c>
      <c r="H175" s="409">
        <f>(O78*100*($E78/365)/($O78+$P78+$Q78))+(O79*100*($E79/365)/($O79+$P79+$Q79))</f>
        <v>65.490941374449108</v>
      </c>
      <c r="I175" s="409"/>
      <c r="J175" s="409">
        <f>(P78*100*($E78/365)/($O78+$P78+$Q78))+(P79*100*($E79/365)/($O79+$P79+$Q79))</f>
        <v>25.979505986409233</v>
      </c>
      <c r="K175" s="409"/>
      <c r="L175" s="409">
        <f>(Q78*100*($E78/365)/($O78+$P78+$Q78))+(Q79*100*($E79/365)/($O79+$P79+$Q79))</f>
        <v>8.5295526391416807</v>
      </c>
      <c r="M175" s="409"/>
      <c r="N175" s="379">
        <f t="shared" si="33"/>
        <v>100.00000000000003</v>
      </c>
      <c r="O175" s="379"/>
      <c r="R175" s="1">
        <v>1995</v>
      </c>
      <c r="S175" s="5">
        <f>(O78*($E78/365)) + (O79*($E79/365))</f>
        <v>40.190958904109593</v>
      </c>
      <c r="T175" s="5">
        <f>(P78*($E78/365)) + (P79*($E79/365))</f>
        <v>16.496986301369866</v>
      </c>
      <c r="U175" s="5">
        <f>(Q78*($E78/365)) + (Q79*($E79/365))</f>
        <v>4.8789041095890413</v>
      </c>
      <c r="V175" s="5"/>
      <c r="W175" s="5">
        <f t="shared" si="32"/>
        <v>61.566849315068502</v>
      </c>
    </row>
    <row r="176" spans="1:23" x14ac:dyDescent="0.15">
      <c r="A176" s="1">
        <v>1996</v>
      </c>
      <c r="B176" s="5">
        <f>K80*($E80/366)+K81*($E81/366)</f>
        <v>50</v>
      </c>
      <c r="C176" s="5">
        <f>L80*($E80/366)+L81*($E81/366)</f>
        <v>50</v>
      </c>
      <c r="D176" s="5">
        <f>M80*($E80/366)+M81*($E81/366)</f>
        <v>0</v>
      </c>
      <c r="E176" s="24">
        <f t="shared" si="31"/>
        <v>100</v>
      </c>
      <c r="G176" s="1">
        <v>1996</v>
      </c>
      <c r="H176" s="409">
        <f>(O80*100*($E80/366)/($O80+$P80+$Q80))+(O81*100*($E81/366)/($O81+$P81+$Q81))</f>
        <v>62.519685039370088</v>
      </c>
      <c r="I176" s="409"/>
      <c r="J176" s="409">
        <f>(P80*100*($E80/366)/($O80+$P80+$Q80))+(P81*100*($E81/366)/($O81+$P81+$Q81))</f>
        <v>37.480314960629919</v>
      </c>
      <c r="K176" s="409"/>
      <c r="L176" s="409">
        <f>(Q80*100*($E80/366)/($O80+$P80+$Q80))+(Q81*100*($E81/366)/($O81+$P81+$Q81))</f>
        <v>0</v>
      </c>
      <c r="M176" s="409"/>
      <c r="N176" s="379">
        <f t="shared" si="33"/>
        <v>100</v>
      </c>
      <c r="O176" s="379"/>
      <c r="R176" s="1">
        <v>1996</v>
      </c>
      <c r="S176" s="5">
        <f>(O80*($E80/366)) + (O81*($E81/366))</f>
        <v>39.700000000000003</v>
      </c>
      <c r="T176" s="5">
        <f>(P80*($E80/366)) + (P81*($E81/366))</f>
        <v>23.8</v>
      </c>
      <c r="U176" s="5">
        <f>(Q80*($E80/366)) + (Q81*($E81/366))</f>
        <v>0</v>
      </c>
      <c r="V176" s="5"/>
      <c r="W176" s="5">
        <f t="shared" si="32"/>
        <v>63.5</v>
      </c>
    </row>
    <row r="177" spans="1:23" x14ac:dyDescent="0.15">
      <c r="A177" s="1">
        <v>1997</v>
      </c>
      <c r="B177" s="5">
        <f>K82*($E82/365)+K83*($E83/365)</f>
        <v>50</v>
      </c>
      <c r="C177" s="5">
        <f>L82*($E82/365)+L83*($E83/365)</f>
        <v>50</v>
      </c>
      <c r="D177" s="5">
        <f>M82*($E82/365)+M83*($E83/365)</f>
        <v>0</v>
      </c>
      <c r="E177" s="24">
        <f t="shared" si="31"/>
        <v>100</v>
      </c>
      <c r="G177" s="1">
        <v>1997</v>
      </c>
      <c r="H177" s="409">
        <f>(O82*100*($E82/365)/($O82+$P82+$Q82))+(O83*100*($E83/365)/($O83+$P83+$Q83))</f>
        <v>62.519685039370088</v>
      </c>
      <c r="I177" s="409"/>
      <c r="J177" s="409">
        <f>(P82*100*($E82/365)/($O82+$P82+$Q82))+(P83*100*($E83/365)/($O83+$P83+$Q83))</f>
        <v>37.480314960629919</v>
      </c>
      <c r="K177" s="409"/>
      <c r="L177" s="409">
        <f>(Q82*100*($E82/365)/($O82+$P82+$Q82))+(Q83*100*($E83/365)/($O83+$P83+$Q83))</f>
        <v>0</v>
      </c>
      <c r="M177" s="409"/>
      <c r="N177" s="379">
        <f t="shared" si="33"/>
        <v>100</v>
      </c>
      <c r="O177" s="379"/>
      <c r="R177" s="1">
        <v>1997</v>
      </c>
      <c r="S177" s="5">
        <f>(O82*($E82/365)) + (O83*($E83/365))</f>
        <v>39.700000000000003</v>
      </c>
      <c r="T177" s="5">
        <f>(P82*($E82/365)) + (P83*($E83/365))</f>
        <v>23.8</v>
      </c>
      <c r="U177" s="5">
        <f>(Q82*($E82/365)) + (Q83*($E83/365))</f>
        <v>0</v>
      </c>
      <c r="V177" s="5"/>
      <c r="W177" s="5">
        <f t="shared" si="32"/>
        <v>63.5</v>
      </c>
    </row>
    <row r="178" spans="1:23" x14ac:dyDescent="0.15">
      <c r="A178" s="1">
        <v>1998</v>
      </c>
      <c r="B178" s="5">
        <f>K84*($E84/365)+K85*($E85/365)</f>
        <v>50</v>
      </c>
      <c r="C178" s="5">
        <f>L84*($E84/365)+L85*($E85/365)</f>
        <v>50</v>
      </c>
      <c r="D178" s="5">
        <f>M84*($E84/365)+M85*($E85/365)</f>
        <v>0</v>
      </c>
      <c r="E178" s="24">
        <f t="shared" si="31"/>
        <v>100</v>
      </c>
      <c r="G178" s="1">
        <v>1998</v>
      </c>
      <c r="H178" s="409">
        <f>(O84*100*($E84/365)/($O84+$P84+$Q84))+(O85*100*($E85/365)/($O85+$P85+$Q85))</f>
        <v>62.519685039370088</v>
      </c>
      <c r="I178" s="409"/>
      <c r="J178" s="409">
        <f>(P84*100*($E84/365)/($O84+$P84+$Q84))+(P85*100*($E85/365)/($O85+$P85+$Q85))</f>
        <v>37.480314960629919</v>
      </c>
      <c r="K178" s="409"/>
      <c r="L178" s="409">
        <f>(Q84*100*($E84/365)/($O84+$P84+$Q84))+(Q85*100*($E85/365)/($O85+$P85+$Q85))</f>
        <v>0</v>
      </c>
      <c r="M178" s="409"/>
      <c r="N178" s="379">
        <f t="shared" si="33"/>
        <v>100</v>
      </c>
      <c r="O178" s="379"/>
      <c r="R178" s="1">
        <v>1998</v>
      </c>
      <c r="S178" s="5">
        <f>(O84*($E84/365)) + (O85*($E85/365))</f>
        <v>39.700000000000003</v>
      </c>
      <c r="T178" s="5">
        <f>(P84*($E84/365)) + (P85*($E85/365))</f>
        <v>23.8</v>
      </c>
      <c r="U178" s="5">
        <f>(Q84*($E84/365)) + (Q85*($E85/365))</f>
        <v>0</v>
      </c>
      <c r="V178" s="5"/>
      <c r="W178" s="5">
        <f t="shared" si="32"/>
        <v>63.5</v>
      </c>
    </row>
    <row r="179" spans="1:23" x14ac:dyDescent="0.15">
      <c r="A179" s="1">
        <v>1999</v>
      </c>
      <c r="B179" s="5">
        <f>K86*($E86/365)+K87*($E87/365)</f>
        <v>50</v>
      </c>
      <c r="C179" s="5">
        <f>L86*($E86/365)+L87*($E87/365)</f>
        <v>50</v>
      </c>
      <c r="D179" s="5">
        <f>M86*($E86/365)+M87*($E87/365)</f>
        <v>0</v>
      </c>
      <c r="E179" s="24">
        <f t="shared" si="31"/>
        <v>100</v>
      </c>
      <c r="G179" s="1">
        <v>1999</v>
      </c>
      <c r="H179" s="409">
        <f>(O86*100*($E86/365)/($O86+$P86+$Q86))+(O87*100*($E87/365)/($O87+$P87+$Q87))</f>
        <v>66.086041943591653</v>
      </c>
      <c r="I179" s="409"/>
      <c r="J179" s="409">
        <f>(P86*100*($E86/365)/($O86+$P86+$Q86))+(P87*100*($E87/365)/($O87+$P87+$Q87))</f>
        <v>33.913958056408354</v>
      </c>
      <c r="K179" s="409"/>
      <c r="L179" s="409">
        <f>(Q86*100*($E86/365)/($O86+$P86+$Q86))+(Q87*100*($E87/365)/($O87+$P87+$Q87))</f>
        <v>0</v>
      </c>
      <c r="M179" s="409"/>
      <c r="N179" s="379">
        <f t="shared" si="33"/>
        <v>100</v>
      </c>
      <c r="O179" s="379"/>
      <c r="R179" s="1">
        <v>1999</v>
      </c>
      <c r="S179" s="5">
        <f>(O86*($E86/365)) + (O87*($E87/365))</f>
        <v>40.655616438356162</v>
      </c>
      <c r="T179" s="5">
        <f>(P86*($E86/365)) + (P87*($E87/365))</f>
        <v>20.933150684931505</v>
      </c>
      <c r="U179" s="5">
        <f>(Q86*($E86/365)) + (Q87*($E87/365))</f>
        <v>0</v>
      </c>
      <c r="V179" s="5"/>
      <c r="W179" s="5">
        <f t="shared" si="32"/>
        <v>61.588767123287667</v>
      </c>
    </row>
    <row r="180" spans="1:23" x14ac:dyDescent="0.15">
      <c r="A180" s="1">
        <v>2000</v>
      </c>
      <c r="B180" s="5">
        <f>K88*($E88/366)+K89*($E89/366)</f>
        <v>50</v>
      </c>
      <c r="C180" s="5">
        <f>L88*($E88/366)+L89*($E89/366)</f>
        <v>50</v>
      </c>
      <c r="D180" s="5">
        <f>M88*($E88/366)+M89*($E89/366)</f>
        <v>0</v>
      </c>
      <c r="E180" s="24">
        <f t="shared" si="31"/>
        <v>100</v>
      </c>
      <c r="G180" s="1">
        <v>2000</v>
      </c>
      <c r="H180" s="409">
        <f>(O88*100*($E88/366)/($O88+$P88+$Q88))+(O89*100*($E89/366)/($O89+$P89+$Q89))</f>
        <v>68.490878938640137</v>
      </c>
      <c r="I180" s="409"/>
      <c r="J180" s="409">
        <f>(P88*100*($E88/3656)/($O88+$P88+$Q88))+(P89*100*($E89/366)/($O89+$P89+$Q89))</f>
        <v>31.50912106135987</v>
      </c>
      <c r="K180" s="409"/>
      <c r="L180" s="409">
        <f>(Q88*100*($E88/366)/($O88+$P88+$Q88))+(Q89*100*($E89/366)/($O89+$P89+$Q89))</f>
        <v>0</v>
      </c>
      <c r="M180" s="409"/>
      <c r="N180" s="379">
        <f t="shared" si="33"/>
        <v>100</v>
      </c>
      <c r="O180" s="379"/>
      <c r="R180" s="1">
        <v>2000</v>
      </c>
      <c r="S180" s="5">
        <f>(O88*($E88/366)) + (O89*($E89/366))</f>
        <v>41.3</v>
      </c>
      <c r="T180" s="5">
        <f>(P88*($E88/366)) + (P89*($E89/366))</f>
        <v>19</v>
      </c>
      <c r="U180" s="5">
        <f>(Q88*($E88/366)) + (Q89*($E89/366))</f>
        <v>0</v>
      </c>
      <c r="V180" s="5"/>
      <c r="W180" s="5">
        <f t="shared" si="32"/>
        <v>60.3</v>
      </c>
    </row>
    <row r="181" spans="1:23" x14ac:dyDescent="0.15">
      <c r="A181" s="1">
        <v>2001</v>
      </c>
      <c r="B181" s="5">
        <f>K90*($E90/365)+K91*($E91/365)</f>
        <v>50</v>
      </c>
      <c r="C181" s="5">
        <f>L90*($E90/365)+L91*($E91/365)</f>
        <v>50</v>
      </c>
      <c r="D181" s="5">
        <f>M90*($E90/365)+M91*($E91/365)</f>
        <v>0</v>
      </c>
      <c r="E181" s="24">
        <f t="shared" si="31"/>
        <v>100</v>
      </c>
      <c r="G181" s="1">
        <v>2001</v>
      </c>
      <c r="H181" s="409">
        <f>(O90*100*($E90/365)/($O90+$P90+$Q90))+(O91*100*($E91/365)/($O91+$P91+$Q91))</f>
        <v>68.490878938640137</v>
      </c>
      <c r="I181" s="409"/>
      <c r="J181" s="409">
        <f>(P90*100*($E90/365)/($O90+$P90+$Q90))+(P91*100*($E91/365)/($O91+$P91+$Q91))</f>
        <v>31.50912106135987</v>
      </c>
      <c r="K181" s="409"/>
      <c r="L181" s="409">
        <f>(Q90*100*($E90/365)/($O90+$P90+$Q90))+(Q91*100*($E91/365)/($O91+$P91+$Q91))</f>
        <v>0</v>
      </c>
      <c r="M181" s="409"/>
      <c r="N181" s="379">
        <f t="shared" si="33"/>
        <v>100</v>
      </c>
      <c r="O181" s="379"/>
      <c r="R181" s="1">
        <v>2001</v>
      </c>
      <c r="S181" s="5">
        <f>(O90*($E90/365)) + (O91*($E91/365))</f>
        <v>41.3</v>
      </c>
      <c r="T181" s="5">
        <f>(P90*($E90/365)) + (P91*($E91/365))</f>
        <v>19</v>
      </c>
      <c r="U181" s="5">
        <f>(Q90*($E90/365)) + (Q91*($E91/365))</f>
        <v>0</v>
      </c>
      <c r="V181" s="5"/>
      <c r="W181" s="5">
        <f t="shared" si="32"/>
        <v>60.3</v>
      </c>
    </row>
    <row r="182" spans="1:23" x14ac:dyDescent="0.15">
      <c r="A182" s="1">
        <v>2002</v>
      </c>
      <c r="B182" s="5">
        <f>K92*($E92/365)+K93*($E93/365)</f>
        <v>50</v>
      </c>
      <c r="C182" s="5">
        <f>L92*($E92/365)+L93*($E93/365)</f>
        <v>50</v>
      </c>
      <c r="D182" s="5">
        <f>M92*($E92/365)+M93*($E93/365)</f>
        <v>0</v>
      </c>
      <c r="E182" s="24">
        <f t="shared" si="31"/>
        <v>100</v>
      </c>
      <c r="G182" s="1">
        <v>2002</v>
      </c>
      <c r="H182" s="409">
        <f>(O92*100*($E92/365)/($O92+$P92+$Q92))+(O93*100*($E93/365)/($O93+$P93+$Q93))</f>
        <v>68.490878938640137</v>
      </c>
      <c r="I182" s="409"/>
      <c r="J182" s="409">
        <f>(P92*100*($E92/365)/($O92+$P92+$Q92))+(P93*100*($E93/365)/($O93+$P93+$Q93))</f>
        <v>31.50912106135987</v>
      </c>
      <c r="K182" s="409"/>
      <c r="L182" s="409">
        <f>(Q92*100*($E92/365)/($O92+$P92+$Q92))+(Q93*100*($E93/365)/($O93+$P93+$Q93))</f>
        <v>0</v>
      </c>
      <c r="M182" s="409"/>
      <c r="N182" s="379">
        <f t="shared" si="33"/>
        <v>100</v>
      </c>
      <c r="O182" s="379"/>
      <c r="R182" s="1">
        <v>2002</v>
      </c>
      <c r="S182" s="5">
        <f>(O92*($E92/365)) + (O93*($E93/365))</f>
        <v>41.3</v>
      </c>
      <c r="T182" s="5">
        <f>(P92*($E92/365)) + (P93*($E93/365))</f>
        <v>19</v>
      </c>
      <c r="U182" s="5">
        <f>(Q92*($E92/365)) + (Q93*($E93/365))</f>
        <v>0</v>
      </c>
      <c r="V182" s="5"/>
      <c r="W182" s="5">
        <f t="shared" si="32"/>
        <v>60.3</v>
      </c>
    </row>
    <row r="183" spans="1:23" x14ac:dyDescent="0.15">
      <c r="A183" s="1">
        <v>2003</v>
      </c>
      <c r="B183" s="5">
        <f>K94*($E94/365)+K95*($E95/365)</f>
        <v>50</v>
      </c>
      <c r="C183" s="5">
        <f>L94*($E94/365)+L95*($E95/365)</f>
        <v>50</v>
      </c>
      <c r="D183" s="5">
        <f>M94*($E94/365)+M95*($E95/365)</f>
        <v>0</v>
      </c>
      <c r="E183" s="24">
        <f t="shared" si="31"/>
        <v>100</v>
      </c>
      <c r="G183" s="1">
        <v>2003</v>
      </c>
      <c r="H183" s="409">
        <f>(O94*100*($E94/365)/($O94+$P94+$Q94))+(O95*100*($E95/365)/($O95+$P95+$Q95))</f>
        <v>66.205072265766844</v>
      </c>
      <c r="I183" s="409"/>
      <c r="J183" s="409">
        <f>(P94*100*($E94/365)/($O94+$P94+$Q94))+(P95*100*($E95/365)/($O95+$P95+$Q95))</f>
        <v>33.79492773423317</v>
      </c>
      <c r="K183" s="409"/>
      <c r="L183" s="409">
        <f>(Q94*100*($E94/365)/($O94+$P94+$Q94))+(Q95*100*($E95/365)/($O95+$P95+$Q95))</f>
        <v>0</v>
      </c>
      <c r="M183" s="409"/>
      <c r="N183" s="379">
        <f t="shared" si="33"/>
        <v>100.00000000000001</v>
      </c>
      <c r="O183" s="379"/>
      <c r="R183" s="1">
        <v>2003</v>
      </c>
      <c r="S183" s="5">
        <f>(O94*($E94/365)) + (O95*($E95/365))</f>
        <v>37.38986301369863</v>
      </c>
      <c r="T183" s="5">
        <f>(P94*($E94/365)) + (P95*($E95/365))</f>
        <v>19</v>
      </c>
      <c r="U183" s="5">
        <f>(Q94*($E94/365)) + (Q95*($E95/365))</f>
        <v>0</v>
      </c>
      <c r="V183" s="5"/>
      <c r="W183" s="5">
        <f t="shared" si="32"/>
        <v>56.38986301369863</v>
      </c>
    </row>
    <row r="184" spans="1:23" x14ac:dyDescent="0.15">
      <c r="A184" s="1">
        <v>2004</v>
      </c>
      <c r="B184" s="5">
        <f>K96*($E96/366)+K97*($E97/366)</f>
        <v>52.459016393442624</v>
      </c>
      <c r="C184" s="5">
        <f>L96*($E96/366)+L97*($E97/366)</f>
        <v>47.540983606557376</v>
      </c>
      <c r="D184" s="5">
        <f>M96*($E96/366)+M97*($E97/366)</f>
        <v>0</v>
      </c>
      <c r="E184" s="24">
        <f t="shared" si="31"/>
        <v>100</v>
      </c>
      <c r="G184" s="1">
        <v>2004</v>
      </c>
      <c r="H184" s="409">
        <f>(O96*100*($E96/366)/($O96+$P96+$Q96))+(O97*100*($E97/366)/($O97+$P97+$Q97))</f>
        <v>64.749536178107604</v>
      </c>
      <c r="I184" s="409"/>
      <c r="J184" s="409">
        <f>(P96*100*($E96/366)/($O96+$P96+$Q96))+(P97*100*($E97/366)/($O97+$P97+$Q97))</f>
        <v>35.250463821892396</v>
      </c>
      <c r="K184" s="409"/>
      <c r="L184" s="409">
        <f>(Q96*100*($E96/366)/($O96+$P96+$Q96))+(Q97*100*($E97/366)/($O97+$P97+$Q97))</f>
        <v>0</v>
      </c>
      <c r="M184" s="409"/>
      <c r="N184" s="379">
        <f t="shared" si="33"/>
        <v>100</v>
      </c>
      <c r="O184" s="379"/>
      <c r="R184" s="1">
        <v>2004</v>
      </c>
      <c r="S184" s="5">
        <f>(O96*($E96/366)) + (O97*($E97/366))</f>
        <v>34.9</v>
      </c>
      <c r="T184" s="5">
        <f>(P96*($E96/366)) + (P97*($E97/366))</f>
        <v>19</v>
      </c>
      <c r="U184" s="5">
        <f>(Q96*($E96/366)) + (Q97*($E97/366))</f>
        <v>0</v>
      </c>
      <c r="V184" s="5"/>
      <c r="W184" s="5">
        <f t="shared" si="32"/>
        <v>53.9</v>
      </c>
    </row>
    <row r="185" spans="1:23" x14ac:dyDescent="0.15">
      <c r="A185" s="1">
        <v>2005</v>
      </c>
      <c r="B185" s="5">
        <f>K98*($E98/365)+K99*($E99/365)</f>
        <v>58.333333333333336</v>
      </c>
      <c r="C185" s="5">
        <f>L98*($E98/365)+L99*($E99/365)</f>
        <v>41.666666666666671</v>
      </c>
      <c r="D185" s="5">
        <f>M98*($E98/365)+M99*($E99/365)</f>
        <v>0</v>
      </c>
      <c r="E185" s="24">
        <f t="shared" si="31"/>
        <v>100</v>
      </c>
      <c r="G185" s="1">
        <v>2005</v>
      </c>
      <c r="H185" s="409">
        <f>(O98*100*($E98/365)/($O98+$P98+$Q98))+(O99*100*($E99/365)/($O99+$P99+$Q99))</f>
        <v>64.749536178107604</v>
      </c>
      <c r="I185" s="409"/>
      <c r="J185" s="409">
        <f>(P98*100*($E98/365)/($O98+$P98+$Q98))+(P99*100*($E99/365)/($O99+$P99+$Q99))</f>
        <v>35.250463821892396</v>
      </c>
      <c r="K185" s="409"/>
      <c r="L185" s="409">
        <f>(Q98*100*($E98/365)/($O98+$P98+$Q98))+(Q99*100*($E99/365)/($O99+$P99+$Q99))</f>
        <v>0</v>
      </c>
      <c r="M185" s="409"/>
      <c r="N185" s="379">
        <f t="shared" si="33"/>
        <v>100</v>
      </c>
      <c r="O185" s="379"/>
      <c r="R185" s="1">
        <v>2005</v>
      </c>
      <c r="S185" s="5">
        <f>(O98*($E98/365)) + (O99*($E99/365))</f>
        <v>34.9</v>
      </c>
      <c r="T185" s="5">
        <f>(P98*($E98/365)) + (P99*($E99/365))</f>
        <v>19</v>
      </c>
      <c r="U185" s="5">
        <f>(Q98*($E98/365)) + (Q99*($E99/365))</f>
        <v>0</v>
      </c>
      <c r="V185" s="5"/>
      <c r="W185" s="5">
        <f t="shared" si="32"/>
        <v>53.9</v>
      </c>
    </row>
    <row r="186" spans="1:23" x14ac:dyDescent="0.15">
      <c r="A186" s="1">
        <v>2006</v>
      </c>
      <c r="B186" s="5">
        <f>K100*($E100/365)+K101*($E101/365)</f>
        <v>53.767123287671232</v>
      </c>
      <c r="C186" s="5">
        <f>L100*($E100/365)+L101*($E101/365)</f>
        <v>46.232876712328768</v>
      </c>
      <c r="D186" s="5">
        <f>M100*($E100/365)+M101*($E101/365)</f>
        <v>0</v>
      </c>
      <c r="E186" s="24">
        <f t="shared" si="31"/>
        <v>100</v>
      </c>
      <c r="G186" s="1">
        <v>2006</v>
      </c>
      <c r="H186" s="409">
        <f>(O100*100*($E100/365)/($O100+$P100+$Q100))+(O101*100*($E101/365)/($O101+$P101+$Q101))</f>
        <v>65.306374308331257</v>
      </c>
      <c r="I186" s="409"/>
      <c r="J186" s="409">
        <f>(P100*100*($E100/365)/($O100+$P100+$Q100))+(P101*100*($E101/365)/($O101+$P101+$Q101))</f>
        <v>34.693625691668743</v>
      </c>
      <c r="K186" s="409"/>
      <c r="L186" s="409">
        <f>(Q100*100*($E100/365)/($O100+$P100+$Q100))+(Q101*100*($E101/365)/($O101+$P101+$Q101))</f>
        <v>0</v>
      </c>
      <c r="M186" s="409"/>
      <c r="N186" s="379">
        <f t="shared" si="33"/>
        <v>100</v>
      </c>
      <c r="O186" s="379"/>
      <c r="R186" s="1">
        <v>2006</v>
      </c>
      <c r="S186" s="5">
        <f>(O100*($E100/365)) + (O101*($E101/365))</f>
        <v>35.776712328767118</v>
      </c>
      <c r="T186" s="5">
        <f>(P100*($E100/365)) + (P101*($E101/365))</f>
        <v>19</v>
      </c>
      <c r="U186" s="5">
        <f>(Q100*($E100/365)) + (Q101*($E101/365))</f>
        <v>0</v>
      </c>
      <c r="V186" s="5"/>
      <c r="W186" s="5">
        <f t="shared" si="32"/>
        <v>54.776712328767118</v>
      </c>
    </row>
    <row r="187" spans="1:23" x14ac:dyDescent="0.15">
      <c r="A187" s="1">
        <v>2007</v>
      </c>
      <c r="B187" s="5">
        <f>K102*($E102/365)+K103*($E103/365)</f>
        <v>50</v>
      </c>
      <c r="C187" s="5">
        <f>L102*($E102/365)+L103*($E103/365)</f>
        <v>19.589041095890412</v>
      </c>
      <c r="D187" s="5">
        <f>M102*($E102/365)+M103*($E103/365)</f>
        <v>30.410958904109592</v>
      </c>
      <c r="E187" s="24">
        <f t="shared" si="31"/>
        <v>100</v>
      </c>
      <c r="G187" s="1">
        <v>2007</v>
      </c>
      <c r="H187" s="409">
        <f>(O102*100*($E102/365)/($O102+$P102+$Q102))+(O103*100*($E103/365)/($O103+$P103+$Q103))</f>
        <v>61.119062061319227</v>
      </c>
      <c r="I187" s="409"/>
      <c r="J187" s="409">
        <f>(P102*100*($E102/365)/($O102+$P102+$Q102))+(P103*100*($E103/365)/($O103+$P103+$Q103))</f>
        <v>13.412316426015057</v>
      </c>
      <c r="K187" s="409"/>
      <c r="L187" s="409">
        <f>(Q102*100*($E102/365)/($O102+$P102+$Q102))+(Q103*100*($E103/365)/($O103+$P103+$Q103))</f>
        <v>25.468621512665717</v>
      </c>
      <c r="M187" s="409"/>
      <c r="N187" s="379">
        <f t="shared" si="33"/>
        <v>100</v>
      </c>
      <c r="O187" s="379"/>
      <c r="R187" s="1">
        <v>2007</v>
      </c>
      <c r="S187" s="5">
        <f>(O102*($E102/365)) + (O103*($E103/365))</f>
        <v>38.446301369863022</v>
      </c>
      <c r="T187" s="5">
        <f>(P102*($E102/365)) + (P103*($E103/365))</f>
        <v>7.4438356164383563</v>
      </c>
      <c r="U187" s="5">
        <f>(Q102*($E102/365)) + (Q103*($E103/365))</f>
        <v>17.395068493150688</v>
      </c>
      <c r="V187" s="5"/>
      <c r="W187" s="5">
        <f t="shared" si="32"/>
        <v>63.285205479452067</v>
      </c>
    </row>
    <row r="188" spans="1:23" x14ac:dyDescent="0.15">
      <c r="A188" s="1">
        <v>2008</v>
      </c>
      <c r="B188" s="5">
        <f>K104*($E104/366)+K105*($E105/366)</f>
        <v>50</v>
      </c>
      <c r="C188" s="5">
        <f>L104*($E104/366)+L105*($E105/366)</f>
        <v>0</v>
      </c>
      <c r="D188" s="5">
        <f>M104*($E104/366)+M105*($E105/366)</f>
        <v>50</v>
      </c>
      <c r="E188" s="24">
        <f t="shared" si="31"/>
        <v>100</v>
      </c>
      <c r="G188" s="1">
        <v>2008</v>
      </c>
      <c r="H188" s="409">
        <f>(O104*100*($E104/366)/($O104+$P104+$Q104))+(O105*100*($E105/366)/($O105+$P105+$Q105))</f>
        <v>58.125915080527086</v>
      </c>
      <c r="I188" s="409"/>
      <c r="J188" s="409">
        <f>(P104*100*($E104/366)/($O104+$P104+$Q104))+(P105*100*($E105/366)/($O105+$P105+$Q105))</f>
        <v>0</v>
      </c>
      <c r="K188" s="409"/>
      <c r="L188" s="409">
        <f>(Q104*100*($E104/366)/($O104+$P104+$Q104))+(Q105*100*($E105/366)/($O105+$P105+$Q105))</f>
        <v>41.874084919472907</v>
      </c>
      <c r="M188" s="409"/>
      <c r="N188" s="379">
        <f t="shared" si="33"/>
        <v>100</v>
      </c>
      <c r="O188" s="379"/>
      <c r="R188" s="1">
        <v>2008</v>
      </c>
      <c r="S188" s="5">
        <f>(O104*($E104/366)) + (O105*($E105/366))</f>
        <v>39.700000000000003</v>
      </c>
      <c r="T188" s="5">
        <f>(P104*($E104/366)) + (P105*($E105/366))</f>
        <v>0</v>
      </c>
      <c r="U188" s="5">
        <f>(Q104*($E104/366)) + (Q105*($E105/366))</f>
        <v>28.6</v>
      </c>
      <c r="V188" s="5"/>
      <c r="W188" s="5">
        <f t="shared" si="32"/>
        <v>68.300000000000011</v>
      </c>
    </row>
    <row r="189" spans="1:23" x14ac:dyDescent="0.15">
      <c r="A189" s="1">
        <v>2009</v>
      </c>
      <c r="B189" s="5">
        <f>K106*($E106/365)+K107*($E107/365)+K108*($E108/365)</f>
        <v>4.2465753424657535</v>
      </c>
      <c r="C189" s="5">
        <f>L106*($E106/365)+L107*($E107/365)+L108*($E108/365)</f>
        <v>0</v>
      </c>
      <c r="D189" s="5">
        <f>M106*($E106/365)+M107*($E107/365)+M108*($E108/365)</f>
        <v>79.607305936073061</v>
      </c>
      <c r="E189" s="24">
        <f t="shared" si="31"/>
        <v>83.853881278538807</v>
      </c>
      <c r="G189" s="1">
        <v>2009</v>
      </c>
      <c r="H189" s="409">
        <f>(O106*100*($E106/365)/($O106+$P106+$Q106))+(O107*100*($E107/365)/($O107+$P107+$Q107))+(O108*100*($E108/365)/($O108+$P108+$Q108))</f>
        <v>4.9367215547844916</v>
      </c>
      <c r="I189" s="409"/>
      <c r="J189" s="409">
        <f>(P106*100*($E106/365)/($O106+$P106+$Q106))+(P107*100*($E107/365)/($O107+$P107+$Q107))+(O108*100*(E108/365)/(O108+P108+Q108))</f>
        <v>0</v>
      </c>
      <c r="K189" s="409"/>
      <c r="L189" s="409">
        <f>(Q106*100*($E106/365)/($O106+$P106+$Q106))+(Q107*100*($E107/365)/($O107+$P107+$Q107))+(O108*100*(E108/365)/(O108+P108+Q108))</f>
        <v>30.405744198640168</v>
      </c>
      <c r="M189" s="409"/>
      <c r="N189" s="379">
        <f t="shared" si="33"/>
        <v>35.342465753424662</v>
      </c>
      <c r="O189" s="379"/>
      <c r="R189" s="1">
        <v>2009</v>
      </c>
      <c r="S189" s="5">
        <f>(O106*($E106/365)) + (O107*($E107/365))+(O108*($E108/365))</f>
        <v>3.3717808219178083</v>
      </c>
      <c r="T189" s="5">
        <f>(P106*($E106/365)) + (P107*($E107/365))+(P108*($E108/365))</f>
        <v>0</v>
      </c>
      <c r="U189" s="5">
        <f>(Q106*($E106/365)) + (Q107*($E107/365))+(Q108*($E108/365))</f>
        <v>48.79780821917808</v>
      </c>
      <c r="V189" s="5"/>
      <c r="W189" s="5">
        <f t="shared" si="32"/>
        <v>52.16958904109589</v>
      </c>
    </row>
    <row r="190" spans="1:23" x14ac:dyDescent="0.15">
      <c r="A190" s="1">
        <v>2010</v>
      </c>
      <c r="B190" s="5">
        <f>K109*($E109/365)+K110*($E110/365)</f>
        <v>0</v>
      </c>
      <c r="C190" s="5">
        <f>L109*($E109/365)+L110*($E110/365)</f>
        <v>0</v>
      </c>
      <c r="D190" s="5">
        <f>M109*($E109/365)+M110*($E110/365)</f>
        <v>88.858447488584488</v>
      </c>
      <c r="E190" s="24">
        <f t="shared" si="31"/>
        <v>88.858447488584488</v>
      </c>
      <c r="G190" s="1">
        <v>2010</v>
      </c>
      <c r="H190" s="409">
        <f>(O109*100*($E109/365)/($O109+$P109+$Q109))+(O110*100*($E110/365)/($O110+$P110+$Q110))</f>
        <v>0</v>
      </c>
      <c r="I190" s="409"/>
      <c r="J190" s="409">
        <f>(P109*100*($E109/365)/($O109+$P109+$Q109))+(P110*100*($E110/365)/($O110+$P110+$Q110))</f>
        <v>0</v>
      </c>
      <c r="K190" s="409"/>
      <c r="L190" s="409">
        <f>(Q109*100*($E109/365)/($O109+$P109+$Q109))+(Q110*100*($E110/365)/($O110+$P110+$Q110))</f>
        <v>100</v>
      </c>
      <c r="M190" s="409"/>
      <c r="N190" s="379">
        <f t="shared" si="33"/>
        <v>100</v>
      </c>
      <c r="O190" s="379"/>
      <c r="R190" s="1">
        <v>2010</v>
      </c>
      <c r="S190" s="5">
        <f>(O109*($E109/365)) + (O110*($E110/365))</f>
        <v>0</v>
      </c>
      <c r="T190" s="5">
        <f>(P109*($E109/365)) + (P110*($E110/365))</f>
        <v>0</v>
      </c>
      <c r="U190" s="5">
        <f>(Q109*($E109/365)) + (Q110*($E110/365))</f>
        <v>53.9</v>
      </c>
      <c r="V190" s="5"/>
      <c r="W190" s="5">
        <f t="shared" si="32"/>
        <v>53.9</v>
      </c>
    </row>
    <row r="191" spans="1:23" x14ac:dyDescent="0.15">
      <c r="A191" s="1">
        <v>2011</v>
      </c>
      <c r="B191" s="5">
        <f>K111*($E111/365)+K112*($E112/365)</f>
        <v>0</v>
      </c>
      <c r="C191" s="5">
        <f>L111*($E111/365)+L112*($E112/365)</f>
        <v>0</v>
      </c>
      <c r="D191" s="5">
        <f>M111*($E111/365)+M112*($E112/365)</f>
        <v>100.00000000000001</v>
      </c>
      <c r="E191" s="24">
        <f t="shared" si="31"/>
        <v>100.00000000000001</v>
      </c>
      <c r="G191" s="1">
        <v>2011</v>
      </c>
      <c r="H191" s="409">
        <f>(O111*100*($E111/365)/($O111+$P111+$Q111))+(O112*100*($E112/365)/($O112+$P112+$Q112))</f>
        <v>0</v>
      </c>
      <c r="I191" s="409"/>
      <c r="J191" s="409">
        <f>(P111*100*($E111/365)/($O111+$P111+$Q111))+(P112*100*($E112/365)/($O112+$P112+$Q112))</f>
        <v>0</v>
      </c>
      <c r="K191" s="409"/>
      <c r="L191" s="409">
        <f>(Q111*100*($E111/365)/($O111+$P111+$Q111))+(Q112*100*($E112/365)/($O112+$P112+$Q112))</f>
        <v>100.00000000000001</v>
      </c>
      <c r="M191" s="409"/>
      <c r="N191" s="379">
        <f t="shared" si="33"/>
        <v>100.00000000000001</v>
      </c>
      <c r="O191" s="379"/>
      <c r="R191" s="1">
        <v>2011</v>
      </c>
      <c r="S191" s="5">
        <f>(O111*($E111/365)) + (O112*($E112/365))</f>
        <v>0</v>
      </c>
      <c r="T191" s="5">
        <f>(P111*($E111/365)) + (P112*($E112/365))</f>
        <v>0</v>
      </c>
      <c r="U191" s="5">
        <f>(Q111*($E111/365)) + (Q112*($E112/365))</f>
        <v>53.9</v>
      </c>
      <c r="V191" s="5"/>
      <c r="W191" s="5">
        <f t="shared" si="32"/>
        <v>53.9</v>
      </c>
    </row>
    <row r="192" spans="1:23" x14ac:dyDescent="0.15">
      <c r="A192" s="1">
        <v>2012</v>
      </c>
      <c r="B192" s="5">
        <f>K113*($E113/366)+K114*($E114/366)</f>
        <v>0</v>
      </c>
      <c r="C192" s="5">
        <f>L113*($E113/366)+L114*($E114/366)</f>
        <v>0</v>
      </c>
      <c r="D192" s="5">
        <f>M113*($E113/366)+M114*($E114/366)</f>
        <v>100</v>
      </c>
      <c r="E192" s="24">
        <f t="shared" si="31"/>
        <v>100</v>
      </c>
      <c r="G192" s="1">
        <v>2012</v>
      </c>
      <c r="H192" s="409">
        <f>(O113*100*($E113/366)/($O113+$P113+$Q113))+(O114*100*($E114/366)/($O114+$P114+$Q114))</f>
        <v>0</v>
      </c>
      <c r="I192" s="409"/>
      <c r="J192" s="409">
        <f>(P113*100*($E113/366)/($O113+$P113+$Q113))+(P114*100*($E114/366)/($O114+$P114+$Q114))</f>
        <v>0</v>
      </c>
      <c r="K192" s="409"/>
      <c r="L192" s="409">
        <f>(Q113*100*($E113/366)/($O113+$P113+$Q113))+(Q114*100*($E114/366)/($O114+$P114+$Q114))</f>
        <v>100</v>
      </c>
      <c r="M192" s="409"/>
      <c r="N192" s="379">
        <f t="shared" si="33"/>
        <v>100</v>
      </c>
      <c r="O192" s="379"/>
      <c r="R192" s="1">
        <v>2012</v>
      </c>
      <c r="S192" s="5">
        <f>(O113*($E113/366)) + (O114*($E114/366))</f>
        <v>0</v>
      </c>
      <c r="T192" s="5">
        <f>(P113*($E113/366)) + (P114*($E114/366))</f>
        <v>0</v>
      </c>
      <c r="U192" s="5">
        <f>(Q113*($E113/366)) + (Q114*($E114/366))</f>
        <v>53.9</v>
      </c>
      <c r="V192" s="5"/>
      <c r="W192" s="5">
        <f t="shared" si="32"/>
        <v>53.9</v>
      </c>
    </row>
    <row r="193" spans="1:23" x14ac:dyDescent="0.15">
      <c r="A193" s="1">
        <v>2013</v>
      </c>
      <c r="B193" s="5">
        <f>K115*($E115/365)+K116*($E116/365)</f>
        <v>33.942161339421617</v>
      </c>
      <c r="C193" s="5">
        <f>L115*($E115/365)+L116*($E116/365)</f>
        <v>27.153729071537292</v>
      </c>
      <c r="D193" s="5">
        <f>M115*($E115/365)+M116*($E116/365)</f>
        <v>38.904109589041099</v>
      </c>
      <c r="E193" s="24">
        <f t="shared" si="31"/>
        <v>100</v>
      </c>
      <c r="G193" s="1">
        <v>2013</v>
      </c>
      <c r="H193" s="409">
        <f>(O115*100*($E115/365)/($O115+$P115+$Q115))+(O116*100*($E116/365)/($O116+$P116+$Q116))</f>
        <v>30.547945205479458</v>
      </c>
      <c r="I193" s="409"/>
      <c r="J193" s="409">
        <f>(P115*100*($E115/365)/($O115+$P115+$Q115))+(P116*100*($E116/365)/($O116+$P116+$Q116))</f>
        <v>30.547945205479458</v>
      </c>
      <c r="K193" s="409"/>
      <c r="L193" s="409">
        <f>(Q115*100*($E115/365)/($O115+$P115+$Q115))+(Q116*100*($E116/365)/($O116+$P116+$Q116))</f>
        <v>38.904109589041099</v>
      </c>
      <c r="M193" s="409"/>
      <c r="N193" s="379">
        <f>H193+J193+L193</f>
        <v>100.00000000000001</v>
      </c>
      <c r="O193" s="379"/>
      <c r="R193" s="1">
        <v>2013</v>
      </c>
      <c r="S193" s="5">
        <f>(O115*($E115/365)) + (O116*($E116/365))</f>
        <v>18.450958904109591</v>
      </c>
      <c r="T193" s="5">
        <f>(P115*($E115/365)) + (P116*($E116/365))</f>
        <v>18.450958904109591</v>
      </c>
      <c r="U193" s="5">
        <f>(Q115*($E115/365)) + (Q116*($E116/365))</f>
        <v>20.969315068493152</v>
      </c>
      <c r="W193" s="5">
        <f t="shared" si="32"/>
        <v>57.871232876712334</v>
      </c>
    </row>
    <row r="194" spans="1:23" x14ac:dyDescent="0.15">
      <c r="A194" s="1">
        <v>2014</v>
      </c>
      <c r="B194" s="5">
        <f>K117*($E117/365)+K118*($E118/365)</f>
        <v>55.540334855403351</v>
      </c>
      <c r="C194" s="5">
        <f>L117*($E117/365)+L118*($E118/365)</f>
        <v>44.459665144596656</v>
      </c>
      <c r="D194" s="5">
        <f>M117*($E117/365)+M118*($E118/365)</f>
        <v>0</v>
      </c>
      <c r="E194" s="24">
        <f>B194+C194+D194</f>
        <v>100</v>
      </c>
      <c r="G194" s="1">
        <v>2014</v>
      </c>
      <c r="H194" s="409">
        <f>(O117*100*($E117/365)/($O117+$P117+$Q117))+(O118*100*($E118/365)/($O118+$P118+$Q118))</f>
        <v>50</v>
      </c>
      <c r="I194" s="409"/>
      <c r="J194" s="409">
        <f>(P117*100*($E117/365)/($O117+$P117+$Q117))+(P118*100*($E118/365)/($O118+$P118+$Q118))</f>
        <v>50</v>
      </c>
      <c r="K194" s="409"/>
      <c r="L194" s="409">
        <f>(Q117*100*($E117/365)/($O117+$P117+$Q117))+(Q118*100*($E118/365)/($O118+$P118+$Q118))</f>
        <v>0</v>
      </c>
      <c r="M194" s="409"/>
      <c r="N194" s="379">
        <f>H194+J194+L194</f>
        <v>100</v>
      </c>
      <c r="O194" s="379"/>
      <c r="R194" s="1">
        <v>2014</v>
      </c>
      <c r="S194" s="5">
        <f>(O117*($E117/365)) + (O118*($E118/365))</f>
        <v>30.2</v>
      </c>
      <c r="T194" s="5">
        <f>(P117*($E117/365)) + (P118*($E118/365))</f>
        <v>30.2</v>
      </c>
      <c r="U194" s="5">
        <f>(Q117*($E117/365)) + (Q118*($E118/365))</f>
        <v>0</v>
      </c>
      <c r="W194" s="5">
        <f>S194+T194+U194</f>
        <v>60.4</v>
      </c>
    </row>
    <row r="195" spans="1:23" x14ac:dyDescent="0.15">
      <c r="A195" s="1">
        <v>2015</v>
      </c>
      <c r="B195" s="5">
        <f>K119*($E119/365)+K120*($E120/365)</f>
        <v>50</v>
      </c>
      <c r="C195" s="5">
        <f>L119*($E119/365)+L120*($E120/365)</f>
        <v>50</v>
      </c>
      <c r="D195" s="5">
        <f>M119*($E119/365)+M120*($E120/365)</f>
        <v>0</v>
      </c>
      <c r="E195" s="24">
        <f>B195+C195+D195</f>
        <v>100</v>
      </c>
      <c r="G195" s="1">
        <v>2015</v>
      </c>
      <c r="H195" s="409">
        <f>(O119*100*($E119/365)/($O119+$P119+$Q119))+(O120*100*($E120/365)/($O120+$P120+$Q120))</f>
        <v>50</v>
      </c>
      <c r="I195" s="409"/>
      <c r="J195" s="409">
        <f>(P119*100*($E119/365)/($O119+$P119+$Q119))+(P120*100*($E120/365)/($O120+$P120+$Q120))</f>
        <v>50</v>
      </c>
      <c r="K195" s="409"/>
      <c r="L195" s="409">
        <f>(Q119*100*($E119/365)/($O119+$P119+$Q119))+(Q120*100*($E120/365)/($O120+$P120+$Q120))</f>
        <v>0</v>
      </c>
      <c r="M195" s="409"/>
      <c r="N195" s="379">
        <f>H195+J195+L195</f>
        <v>100</v>
      </c>
      <c r="O195" s="379"/>
      <c r="R195" s="1">
        <v>2015</v>
      </c>
      <c r="S195" s="5">
        <f>(O119*($E119/365)) + (O120*($E120/365))</f>
        <v>30.2</v>
      </c>
      <c r="T195" s="5">
        <f>(P119*($E119/365)) + (P120*($E120/365))</f>
        <v>30.2</v>
      </c>
      <c r="U195" s="5">
        <f>(Q119*($E119/365)) + (Q120*($E120/365))</f>
        <v>0</v>
      </c>
      <c r="W195" s="5">
        <f>S195+T195+U195</f>
        <v>60.4</v>
      </c>
    </row>
    <row r="196" spans="1:23" x14ac:dyDescent="0.15">
      <c r="A196" s="1">
        <v>2016</v>
      </c>
      <c r="B196" s="5">
        <f>K121*($E121/366)+K122*($E122/366)</f>
        <v>50</v>
      </c>
      <c r="C196" s="5">
        <f>L121*($E121/366)+L122*($E122/366)</f>
        <v>50</v>
      </c>
      <c r="D196" s="5">
        <f>M121*($E121/365)+M122*($E122/366)</f>
        <v>0</v>
      </c>
      <c r="E196" s="24">
        <f>B196+C196+D196</f>
        <v>100</v>
      </c>
      <c r="G196" s="1">
        <v>2016</v>
      </c>
      <c r="H196" s="409">
        <f>(O121*100*($E121/366)/($O121+$P121+$Q121))+(O122*100*($E122/366)/($O122+$P122+$Q122))</f>
        <v>66.456996911380372</v>
      </c>
      <c r="I196" s="409"/>
      <c r="J196" s="409">
        <f>(P121*100*($E121/366)/($O121+$P121+$Q121))+(P122*100*($E122/366)/($O122+$P122+$Q122))</f>
        <v>33.543003088619628</v>
      </c>
      <c r="K196" s="409"/>
      <c r="L196" s="409">
        <f>(Q121*100*($E121/366)/($O121+$P121+$Q121))+(Q122*100*($E122/366)/($O122+$P122+$Q122))</f>
        <v>0</v>
      </c>
      <c r="M196" s="409"/>
      <c r="N196" s="379">
        <f>H196+J196+L196</f>
        <v>100</v>
      </c>
      <c r="O196" s="379"/>
      <c r="R196" s="1">
        <v>2016</v>
      </c>
      <c r="S196" s="5">
        <f>(O121*($E121/366)) + (O122*($E122/366))</f>
        <v>32.478415300546445</v>
      </c>
      <c r="T196" s="5">
        <f>(P121*($E121/366)) + (P122*($E122/366))</f>
        <v>17.337978142076501</v>
      </c>
      <c r="U196" s="5">
        <f>(Q121*($E121/366)) + (Q122*($E122/366))</f>
        <v>0</v>
      </c>
      <c r="W196" s="5">
        <f>S196+T196+U196</f>
        <v>49.816393442622946</v>
      </c>
    </row>
    <row r="197" spans="1:23" x14ac:dyDescent="0.15">
      <c r="A197" s="1">
        <v>2017</v>
      </c>
      <c r="B197" s="5">
        <f>K123*($E123/365)+K124*($E124/365)+K125*($E125/365)</f>
        <v>93.848069738480703</v>
      </c>
      <c r="C197" s="5">
        <f t="shared" ref="C197:D197" si="34">L123*($E123/365)+L124*($E124/365)+L125*($E125/365)</f>
        <v>3.7608966376089663</v>
      </c>
      <c r="D197" s="5">
        <f t="shared" si="34"/>
        <v>2.391033623910336</v>
      </c>
      <c r="E197" s="24">
        <f>B197+C197+D197</f>
        <v>100</v>
      </c>
      <c r="G197" s="1">
        <v>2017</v>
      </c>
      <c r="H197" s="409">
        <f>(O123*100*($E123/365)/($O123+$P123+$Q123))+(O124*100*($E124/365)/($O124+$P124+$Q124))+(O125*100*($E125/365)/($O125+$P125+$Q125))</f>
        <v>94.481598759110639</v>
      </c>
      <c r="I197" s="409"/>
      <c r="J197" s="409">
        <f>(P123*100*($E123/365)/($O123+$P123+$Q123))+(P124*100*($E124/365)/($O124+$P124+$Q124))+(P125*100*($E125/365)/($O125+$P125+$Q125))</f>
        <v>2.758964954302193</v>
      </c>
      <c r="K197" s="409"/>
      <c r="L197" s="409">
        <f>(Q123*100*($E123/365)/($O123+$P123+$Q123))+(Q124*100*($E124/365)/($O124+$P124+$Q124))+(Q125*100*($E125/365)/($O125+$P125+$Q125))</f>
        <v>2.7594362865871687</v>
      </c>
      <c r="M197" s="409"/>
      <c r="N197" s="379">
        <f>H197+J197+L197</f>
        <v>100</v>
      </c>
      <c r="O197" s="379"/>
      <c r="R197" s="1">
        <v>2017</v>
      </c>
      <c r="S197" s="5">
        <f>(O123*($E123/365)) + (O124*($E124/365))+ (O125*($E125/365))</f>
        <v>48.005205479452052</v>
      </c>
      <c r="T197" s="5">
        <f t="shared" ref="T197:U197" si="35">(P123*($E123/365)) + (P124*($E124/365))+ (P125*($E125/365))</f>
        <v>1.4613698630136986</v>
      </c>
      <c r="U197" s="5">
        <f t="shared" si="35"/>
        <v>1.5342465753424657</v>
      </c>
      <c r="W197" s="5">
        <f>S197+T197+U197</f>
        <v>51.000821917808217</v>
      </c>
    </row>
    <row r="198" spans="1:23" x14ac:dyDescent="0.15">
      <c r="A198" s="1">
        <v>2018</v>
      </c>
      <c r="B198" s="5">
        <f>K126*($E126/365)+K127*($E127/365)</f>
        <v>45.454545454545453</v>
      </c>
      <c r="C198" s="5">
        <f>L126*($E126/365)+L127*($E127/365)</f>
        <v>27.27272727272727</v>
      </c>
      <c r="D198" s="5">
        <f>M126*($E126/365)+M127*($E127/365)</f>
        <v>27.27272727272727</v>
      </c>
      <c r="E198" s="24">
        <f t="shared" ref="E198" si="36">B198+C198+D198</f>
        <v>99.999999999999986</v>
      </c>
      <c r="G198" s="1">
        <v>2018</v>
      </c>
      <c r="H198" s="409">
        <f>(O126*100*($E126/365)/($O126+$P126+$Q126))+(O127*100*($E127/365)/($O127+$P127+$Q127))</f>
        <v>45.683453237410077</v>
      </c>
      <c r="I198" s="409"/>
      <c r="J198" s="409">
        <f>(P126*100*($E126/365)/($O126+$P126+$Q126))+(P127*100*($E127/365)/($O127+$P127+$Q127))</f>
        <v>22.841726618705039</v>
      </c>
      <c r="K198" s="409"/>
      <c r="L198" s="409">
        <f>(Q126*100*($E126/365)/($O126+$P126+$Q126))+(Q127*100*($E127/365)/($O127+$P127+$Q127))</f>
        <v>31.474820143884894</v>
      </c>
      <c r="M198" s="409"/>
      <c r="N198" s="379">
        <f t="shared" ref="N198" si="37">H198+J198+L198</f>
        <v>100.00000000000001</v>
      </c>
      <c r="O198" s="379"/>
      <c r="R198" s="1">
        <v>2018</v>
      </c>
      <c r="S198" s="5">
        <f xml:space="preserve"> (O126*($E126/365))+ (O127*($E127/365))</f>
        <v>25.4</v>
      </c>
      <c r="T198" s="5">
        <f t="shared" ref="T198:U198" si="38" xml:space="preserve"> (P126*($E126/365))+ (P127*($E127/365))</f>
        <v>12.7</v>
      </c>
      <c r="U198" s="5">
        <f t="shared" si="38"/>
        <v>17.5</v>
      </c>
      <c r="W198" s="5">
        <f t="shared" ref="W198" si="39">S198+T198+U198</f>
        <v>55.599999999999994</v>
      </c>
    </row>
    <row r="199" spans="1:23" x14ac:dyDescent="0.15">
      <c r="A199" s="1">
        <v>2019</v>
      </c>
      <c r="B199" s="5">
        <f>K128*($E128/365)+K129*($E129/365)</f>
        <v>45.454545454545453</v>
      </c>
      <c r="C199" s="5">
        <f>L128*($E128/365)+L129*($E129/365)</f>
        <v>27.27272727272727</v>
      </c>
      <c r="D199" s="5">
        <f>M128*($E128/365)+M129*($E129/365)</f>
        <v>27.27272727272727</v>
      </c>
      <c r="E199" s="24">
        <f t="shared" ref="E199:E200" si="40">B199+C199+D199</f>
        <v>99.999999999999986</v>
      </c>
      <c r="G199" s="1">
        <v>2019</v>
      </c>
      <c r="H199" s="409">
        <f>(O128*100*($E128/365)/($O128+$P128+$Q128))+(O129*100*($E129/365)/($O129+$P129+$Q129))</f>
        <v>45.683453237410077</v>
      </c>
      <c r="I199" s="409"/>
      <c r="J199" s="409">
        <f>(P128*100*($E128/365)/($O128+$P128+$Q128))+(P129*100*($E129/365)/($O129+$P129+$Q129))</f>
        <v>22.841726618705039</v>
      </c>
      <c r="K199" s="409"/>
      <c r="L199" s="409">
        <f>(Q128*100*($E128/365)/($O128+$P128+$Q128))+(Q129*100*($E129/365)/($O129+$P129+$Q129))</f>
        <v>31.474820143884894</v>
      </c>
      <c r="M199" s="409"/>
      <c r="N199" s="379">
        <f t="shared" ref="N199" si="41">H199+J199+L199</f>
        <v>100.00000000000001</v>
      </c>
      <c r="O199" s="379"/>
      <c r="R199" s="1">
        <v>2019</v>
      </c>
      <c r="S199" s="5">
        <f xml:space="preserve"> (O128*($E128/365))+ (O129*($E129/365))</f>
        <v>25.4</v>
      </c>
      <c r="T199" s="5">
        <f xml:space="preserve"> (P128*($E128/365))+ (P129*($E129/365))</f>
        <v>12.7</v>
      </c>
      <c r="U199" s="5">
        <f xml:space="preserve"> (Q128*($E128/365))+ (Q129*($E129/365))</f>
        <v>17.5</v>
      </c>
      <c r="W199" s="5">
        <f t="shared" ref="W199:W200" si="42">S199+T199+U199</f>
        <v>55.599999999999994</v>
      </c>
    </row>
    <row r="200" spans="1:23" x14ac:dyDescent="0.15">
      <c r="A200" s="1">
        <v>2020</v>
      </c>
      <c r="B200" s="5">
        <f>K130*($E130/366)+K131*($E131/366)</f>
        <v>45.454545454545453</v>
      </c>
      <c r="C200" s="5">
        <f>L130*($E130/366)+L131*($E131/366)</f>
        <v>27.27272727272727</v>
      </c>
      <c r="D200" s="5">
        <f>M130*($E130/366)+M131*($E131/366)</f>
        <v>27.27272727272727</v>
      </c>
      <c r="E200" s="24">
        <f t="shared" si="40"/>
        <v>99.999999999999986</v>
      </c>
      <c r="G200" s="1">
        <v>2020</v>
      </c>
      <c r="H200" s="409">
        <f>(O130*100*($E130/366)/($O130+$P130+$Q130))+(O131*100*($E131/366)/($O131+$P131+$Q131))</f>
        <v>45.683453237410077</v>
      </c>
      <c r="I200" s="409"/>
      <c r="J200" s="409">
        <f>(P130*100*($E130/366)/($O130+$P130+$Q130))+(P131*100*($E131/366)/($O131+$P131+$Q131))</f>
        <v>22.841726618705039</v>
      </c>
      <c r="K200" s="409"/>
      <c r="L200" s="409">
        <f>(Q130*100*($E130/366)/($O130+$P130+$Q130))+(Q131*100*($E131/366)/($O131+$P131+$Q131))</f>
        <v>31.474820143884894</v>
      </c>
      <c r="M200" s="409"/>
      <c r="N200" s="379">
        <f t="shared" ref="N200" si="43">H200+J200+L200</f>
        <v>100.00000000000001</v>
      </c>
      <c r="O200" s="379"/>
      <c r="R200" s="1">
        <v>2020</v>
      </c>
      <c r="S200" s="5">
        <f xml:space="preserve"> (O130*($E130/366))+ (O131*($E131/366))</f>
        <v>25.4</v>
      </c>
      <c r="T200" s="5">
        <f xml:space="preserve"> (P130*($E130/366))+ (P131*($E131/366))</f>
        <v>12.7</v>
      </c>
      <c r="U200" s="5">
        <f xml:space="preserve"> (Q130*($E130/366))+ (Q131*($E131/366))</f>
        <v>17.5</v>
      </c>
      <c r="W200" s="5">
        <f t="shared" si="42"/>
        <v>55.599999999999994</v>
      </c>
    </row>
  </sheetData>
  <mergeCells count="402">
    <mergeCell ref="H200:I200"/>
    <mergeCell ref="J200:K200"/>
    <mergeCell ref="L200:M200"/>
    <mergeCell ref="N200:O200"/>
    <mergeCell ref="H148:I148"/>
    <mergeCell ref="J148:K148"/>
    <mergeCell ref="L148:M148"/>
    <mergeCell ref="N148:O148"/>
    <mergeCell ref="H149:I149"/>
    <mergeCell ref="J149:K149"/>
    <mergeCell ref="L149:M149"/>
    <mergeCell ref="N149:O149"/>
    <mergeCell ref="H153:I153"/>
    <mergeCell ref="J153:K153"/>
    <mergeCell ref="L153:M153"/>
    <mergeCell ref="N153:O153"/>
    <mergeCell ref="H151:I151"/>
    <mergeCell ref="J151:K151"/>
    <mergeCell ref="L151:M151"/>
    <mergeCell ref="N151:O151"/>
    <mergeCell ref="H152:I152"/>
    <mergeCell ref="J152:K152"/>
    <mergeCell ref="L152:M152"/>
    <mergeCell ref="N152:O152"/>
    <mergeCell ref="N147:O147"/>
    <mergeCell ref="H146:I146"/>
    <mergeCell ref="J146:K146"/>
    <mergeCell ref="L146:M146"/>
    <mergeCell ref="N146:O146"/>
    <mergeCell ref="C128:D128"/>
    <mergeCell ref="C129:D129"/>
    <mergeCell ref="C130:D130"/>
    <mergeCell ref="C131:D131"/>
    <mergeCell ref="H144:I144"/>
    <mergeCell ref="J144:K144"/>
    <mergeCell ref="L144:M144"/>
    <mergeCell ref="N144:O144"/>
    <mergeCell ref="H141:I141"/>
    <mergeCell ref="J141:K141"/>
    <mergeCell ref="L141:M141"/>
    <mergeCell ref="N141:O141"/>
    <mergeCell ref="C125:D125"/>
    <mergeCell ref="C126:D126"/>
    <mergeCell ref="C127:D127"/>
    <mergeCell ref="H198:I198"/>
    <mergeCell ref="J198:K198"/>
    <mergeCell ref="L198:M198"/>
    <mergeCell ref="N198:O198"/>
    <mergeCell ref="J197:K197"/>
    <mergeCell ref="L197:M197"/>
    <mergeCell ref="H197:I197"/>
    <mergeCell ref="N197:O197"/>
    <mergeCell ref="C133:D133"/>
    <mergeCell ref="C132:D132"/>
    <mergeCell ref="H142:I142"/>
    <mergeCell ref="J142:K142"/>
    <mergeCell ref="L142:M142"/>
    <mergeCell ref="N142:O142"/>
    <mergeCell ref="H150:I150"/>
    <mergeCell ref="J150:K150"/>
    <mergeCell ref="L150:M150"/>
    <mergeCell ref="N150:O150"/>
    <mergeCell ref="H147:I147"/>
    <mergeCell ref="J147:K147"/>
    <mergeCell ref="L147:M147"/>
    <mergeCell ref="C115:D115"/>
    <mergeCell ref="C118:D118"/>
    <mergeCell ref="C116:D116"/>
    <mergeCell ref="C117:D117"/>
    <mergeCell ref="C119:D119"/>
    <mergeCell ref="C120:D120"/>
    <mergeCell ref="C121:D121"/>
    <mergeCell ref="C123:D123"/>
    <mergeCell ref="C124:D124"/>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10:D110"/>
    <mergeCell ref="C94:D94"/>
    <mergeCell ref="C91:D91"/>
    <mergeCell ref="C92:D92"/>
    <mergeCell ref="C95:D95"/>
    <mergeCell ref="C96:D96"/>
    <mergeCell ref="C99:D99"/>
    <mergeCell ref="C100:D100"/>
    <mergeCell ref="C97:D97"/>
    <mergeCell ref="C98:D98"/>
    <mergeCell ref="C83:D83"/>
    <mergeCell ref="C84:D84"/>
    <mergeCell ref="C87:D87"/>
    <mergeCell ref="C88:D88"/>
    <mergeCell ref="C85:D85"/>
    <mergeCell ref="C86:D86"/>
    <mergeCell ref="C89:D89"/>
    <mergeCell ref="C90:D90"/>
    <mergeCell ref="C93:D93"/>
    <mergeCell ref="C76:D76"/>
    <mergeCell ref="C73:D73"/>
    <mergeCell ref="C74:D74"/>
    <mergeCell ref="C77:D77"/>
    <mergeCell ref="C78:D78"/>
    <mergeCell ref="C81:D81"/>
    <mergeCell ref="C82:D82"/>
    <mergeCell ref="C79:D79"/>
    <mergeCell ref="C80:D80"/>
    <mergeCell ref="C65:D65"/>
    <mergeCell ref="C66:D66"/>
    <mergeCell ref="C69:D69"/>
    <mergeCell ref="C70:D70"/>
    <mergeCell ref="C67:D67"/>
    <mergeCell ref="C68:D68"/>
    <mergeCell ref="C71:D71"/>
    <mergeCell ref="C72:D72"/>
    <mergeCell ref="C75:D75"/>
    <mergeCell ref="C58:D58"/>
    <mergeCell ref="C55:D55"/>
    <mergeCell ref="C56:D56"/>
    <mergeCell ref="C59:D59"/>
    <mergeCell ref="C60:D60"/>
    <mergeCell ref="C63:D63"/>
    <mergeCell ref="C64:D64"/>
    <mergeCell ref="C61:D61"/>
    <mergeCell ref="C62:D62"/>
    <mergeCell ref="C47:D47"/>
    <mergeCell ref="C48:D48"/>
    <mergeCell ref="C51:D51"/>
    <mergeCell ref="C52:D52"/>
    <mergeCell ref="C49:D49"/>
    <mergeCell ref="C50:D50"/>
    <mergeCell ref="C53:D53"/>
    <mergeCell ref="C54:D54"/>
    <mergeCell ref="C57:D57"/>
    <mergeCell ref="C46:D46"/>
    <mergeCell ref="AP4:AS4"/>
    <mergeCell ref="C8:D8"/>
    <mergeCell ref="K4:N4"/>
    <mergeCell ref="O4:R4"/>
    <mergeCell ref="S4:S5"/>
    <mergeCell ref="T4:T5"/>
    <mergeCell ref="C11:D11"/>
    <mergeCell ref="C12:D12"/>
    <mergeCell ref="C13:D13"/>
    <mergeCell ref="C9:D9"/>
    <mergeCell ref="C10:D10"/>
    <mergeCell ref="C7:D7"/>
    <mergeCell ref="C6:D6"/>
    <mergeCell ref="Z4:AC4"/>
    <mergeCell ref="C43:D43"/>
    <mergeCell ref="C44:D44"/>
    <mergeCell ref="C36:D36"/>
    <mergeCell ref="C39:D39"/>
    <mergeCell ref="C40:D40"/>
    <mergeCell ref="C37:D37"/>
    <mergeCell ref="C38:D38"/>
    <mergeCell ref="C41:D41"/>
    <mergeCell ref="C42:D42"/>
    <mergeCell ref="A4:A5"/>
    <mergeCell ref="B4:B5"/>
    <mergeCell ref="C4:D5"/>
    <mergeCell ref="E4:E5"/>
    <mergeCell ref="F4:F5"/>
    <mergeCell ref="G4:J4"/>
    <mergeCell ref="C18:D18"/>
    <mergeCell ref="C32:D32"/>
    <mergeCell ref="C35:D35"/>
    <mergeCell ref="C14:D14"/>
    <mergeCell ref="C15:D15"/>
    <mergeCell ref="C16:D16"/>
    <mergeCell ref="C17:D17"/>
    <mergeCell ref="C21:D21"/>
    <mergeCell ref="C22:D22"/>
    <mergeCell ref="C23:D23"/>
    <mergeCell ref="C24:D24"/>
    <mergeCell ref="C27:D27"/>
    <mergeCell ref="C28:D28"/>
    <mergeCell ref="C25:D25"/>
    <mergeCell ref="C26:D26"/>
    <mergeCell ref="C29:D29"/>
    <mergeCell ref="C30:D30"/>
    <mergeCell ref="C33:D33"/>
    <mergeCell ref="C45:D45"/>
    <mergeCell ref="C19:D19"/>
    <mergeCell ref="C20:D20"/>
    <mergeCell ref="C34:D34"/>
    <mergeCell ref="C31:D31"/>
    <mergeCell ref="G3:M3"/>
    <mergeCell ref="O3:Q3"/>
    <mergeCell ref="H145:I145"/>
    <mergeCell ref="J145:K145"/>
    <mergeCell ref="L145:M145"/>
    <mergeCell ref="N145:O145"/>
    <mergeCell ref="J138:K138"/>
    <mergeCell ref="L138:M138"/>
    <mergeCell ref="N138:O138"/>
    <mergeCell ref="H140:I140"/>
    <mergeCell ref="H138:I138"/>
    <mergeCell ref="H139:I139"/>
    <mergeCell ref="J139:K139"/>
    <mergeCell ref="L139:M139"/>
    <mergeCell ref="N139:O139"/>
    <mergeCell ref="H143:I143"/>
    <mergeCell ref="J143:K143"/>
    <mergeCell ref="L143:M143"/>
    <mergeCell ref="N143:O143"/>
    <mergeCell ref="H155:I155"/>
    <mergeCell ref="J155:K155"/>
    <mergeCell ref="L155:M155"/>
    <mergeCell ref="N155:O155"/>
    <mergeCell ref="H156:I156"/>
    <mergeCell ref="J156:K156"/>
    <mergeCell ref="L156:M156"/>
    <mergeCell ref="N156:O156"/>
    <mergeCell ref="H154:I154"/>
    <mergeCell ref="J154:K154"/>
    <mergeCell ref="L154:M154"/>
    <mergeCell ref="N154:O154"/>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N169:O169"/>
    <mergeCell ref="H169:I169"/>
    <mergeCell ref="H165:I165"/>
    <mergeCell ref="J165:K165"/>
    <mergeCell ref="L165:M165"/>
    <mergeCell ref="N165:O165"/>
    <mergeCell ref="H166:I166"/>
    <mergeCell ref="J166:K166"/>
    <mergeCell ref="L166:M166"/>
    <mergeCell ref="N166:O166"/>
    <mergeCell ref="H170:I170"/>
    <mergeCell ref="H171:I171"/>
    <mergeCell ref="J181:K181"/>
    <mergeCell ref="J180:K180"/>
    <mergeCell ref="H167:I167"/>
    <mergeCell ref="J167:K167"/>
    <mergeCell ref="J170:K170"/>
    <mergeCell ref="J171:K171"/>
    <mergeCell ref="J172:K172"/>
    <mergeCell ref="J173:K173"/>
    <mergeCell ref="J174:K174"/>
    <mergeCell ref="H172:I172"/>
    <mergeCell ref="H173:I173"/>
    <mergeCell ref="H174:I174"/>
    <mergeCell ref="H175:I175"/>
    <mergeCell ref="H176:I176"/>
    <mergeCell ref="H177:I177"/>
    <mergeCell ref="H178:I178"/>
    <mergeCell ref="H179:I179"/>
    <mergeCell ref="H180:I180"/>
    <mergeCell ref="H181:I181"/>
    <mergeCell ref="H168:I168"/>
    <mergeCell ref="J168:K168"/>
    <mergeCell ref="J169:K169"/>
    <mergeCell ref="AT4:AW4"/>
    <mergeCell ref="AX4:BA4"/>
    <mergeCell ref="R136:W136"/>
    <mergeCell ref="N172:O172"/>
    <mergeCell ref="N173:O173"/>
    <mergeCell ref="L140:M140"/>
    <mergeCell ref="J140:K140"/>
    <mergeCell ref="J178:K178"/>
    <mergeCell ref="J179:K179"/>
    <mergeCell ref="N178:O178"/>
    <mergeCell ref="AD4:AG4"/>
    <mergeCell ref="AH4:AK4"/>
    <mergeCell ref="AL4:AO4"/>
    <mergeCell ref="U4:U5"/>
    <mergeCell ref="V4:Y4"/>
    <mergeCell ref="N179:O179"/>
    <mergeCell ref="L179:M179"/>
    <mergeCell ref="N170:O170"/>
    <mergeCell ref="N171:O171"/>
    <mergeCell ref="L167:M167"/>
    <mergeCell ref="N167:O167"/>
    <mergeCell ref="L168:M168"/>
    <mergeCell ref="N168:O168"/>
    <mergeCell ref="L169:M169"/>
    <mergeCell ref="L170:M170"/>
    <mergeCell ref="L171:M171"/>
    <mergeCell ref="L172:M172"/>
    <mergeCell ref="L173:M173"/>
    <mergeCell ref="L174:M174"/>
    <mergeCell ref="L175:M175"/>
    <mergeCell ref="J185:K185"/>
    <mergeCell ref="N180:O180"/>
    <mergeCell ref="L180:M180"/>
    <mergeCell ref="L181:M181"/>
    <mergeCell ref="N181:O181"/>
    <mergeCell ref="N182:O182"/>
    <mergeCell ref="N183:O183"/>
    <mergeCell ref="N184:O184"/>
    <mergeCell ref="N185:O185"/>
    <mergeCell ref="L185:M185"/>
    <mergeCell ref="J175:K175"/>
    <mergeCell ref="J176:K176"/>
    <mergeCell ref="J177:K177"/>
    <mergeCell ref="N186:O186"/>
    <mergeCell ref="J182:K182"/>
    <mergeCell ref="J186:K186"/>
    <mergeCell ref="N194:O194"/>
    <mergeCell ref="N193:O193"/>
    <mergeCell ref="J193:K193"/>
    <mergeCell ref="N187:O187"/>
    <mergeCell ref="N188:O188"/>
    <mergeCell ref="N189:O189"/>
    <mergeCell ref="N190:O190"/>
    <mergeCell ref="L190:M190"/>
    <mergeCell ref="L191:M191"/>
    <mergeCell ref="L189:M189"/>
    <mergeCell ref="N191:O191"/>
    <mergeCell ref="J189:K189"/>
    <mergeCell ref="J190:K190"/>
    <mergeCell ref="N192:O192"/>
    <mergeCell ref="L194:M194"/>
    <mergeCell ref="J194:K194"/>
    <mergeCell ref="J192:K192"/>
    <mergeCell ref="J184:K184"/>
    <mergeCell ref="J187:K187"/>
    <mergeCell ref="J188:K188"/>
    <mergeCell ref="L192:M192"/>
    <mergeCell ref="J191:K191"/>
    <mergeCell ref="L182:M182"/>
    <mergeCell ref="L183:M183"/>
    <mergeCell ref="L184:M184"/>
    <mergeCell ref="H196:I196"/>
    <mergeCell ref="J196:K196"/>
    <mergeCell ref="L196:M196"/>
    <mergeCell ref="H194:I194"/>
    <mergeCell ref="H190:I190"/>
    <mergeCell ref="H191:I191"/>
    <mergeCell ref="H192:I192"/>
    <mergeCell ref="H188:I188"/>
    <mergeCell ref="H189:I189"/>
    <mergeCell ref="H184:I184"/>
    <mergeCell ref="H185:I185"/>
    <mergeCell ref="H186:I186"/>
    <mergeCell ref="H187:I187"/>
    <mergeCell ref="H182:I182"/>
    <mergeCell ref="H183:I183"/>
    <mergeCell ref="H199:I199"/>
    <mergeCell ref="J199:K199"/>
    <mergeCell ref="L199:M199"/>
    <mergeCell ref="N199:O199"/>
    <mergeCell ref="N196:O196"/>
    <mergeCell ref="C122:D122"/>
    <mergeCell ref="H195:I195"/>
    <mergeCell ref="J195:K195"/>
    <mergeCell ref="L195:M195"/>
    <mergeCell ref="N195:O195"/>
    <mergeCell ref="H193:I193"/>
    <mergeCell ref="L193:M193"/>
    <mergeCell ref="N140:O140"/>
    <mergeCell ref="N175:O175"/>
    <mergeCell ref="N176:O176"/>
    <mergeCell ref="N177:O177"/>
    <mergeCell ref="N174:O174"/>
    <mergeCell ref="L176:M176"/>
    <mergeCell ref="L177:M177"/>
    <mergeCell ref="L178:M178"/>
    <mergeCell ref="L186:M186"/>
    <mergeCell ref="L187:M187"/>
    <mergeCell ref="L188:M188"/>
    <mergeCell ref="J183:K18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A203"/>
  <sheetViews>
    <sheetView zoomScale="181" zoomScaleNormal="120" workbookViewId="0">
      <pane xSplit="1" ySplit="5" topLeftCell="B82" activePane="bottomRight" state="frozen"/>
      <selection pane="topRight" activeCell="B1" sqref="B1"/>
      <selection pane="bottomLeft" activeCell="A6" sqref="A6"/>
      <selection pane="bottomRight" activeCell="U223" sqref="U223"/>
    </sheetView>
  </sheetViews>
  <sheetFormatPr baseColWidth="10" defaultColWidth="10.6640625" defaultRowHeight="11" x14ac:dyDescent="0.15"/>
  <cols>
    <col min="1" max="1" width="5.83203125" style="1" customWidth="1"/>
    <col min="2" max="6" width="7.83203125" style="1" customWidth="1"/>
    <col min="7" max="7" width="4.5" style="1" customWidth="1"/>
    <col min="8" max="8" width="4.5" style="4" customWidth="1"/>
    <col min="9"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58</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1230</v>
      </c>
      <c r="D6" s="416"/>
      <c r="E6" s="140">
        <v>173</v>
      </c>
      <c r="G6" s="160">
        <v>12</v>
      </c>
      <c r="H6" s="143"/>
      <c r="I6" s="153"/>
      <c r="J6" s="161">
        <v>12</v>
      </c>
      <c r="K6" s="131">
        <f t="shared" ref="K6:M8" si="0">G6/$J6*100</f>
        <v>100</v>
      </c>
      <c r="L6" s="131">
        <f t="shared" si="0"/>
        <v>0</v>
      </c>
      <c r="M6" s="131">
        <f t="shared" si="0"/>
        <v>0</v>
      </c>
      <c r="N6" s="132">
        <f>K6+L6+M6</f>
        <v>100</v>
      </c>
      <c r="O6" s="162">
        <v>53.1</v>
      </c>
      <c r="P6" s="131"/>
      <c r="Q6" s="131"/>
      <c r="R6" s="163">
        <f>O6+P6+Q6</f>
        <v>53.1</v>
      </c>
      <c r="S6" s="140">
        <v>1</v>
      </c>
      <c r="T6" s="308"/>
      <c r="U6" s="296"/>
      <c r="V6" s="139" t="s">
        <v>553</v>
      </c>
      <c r="W6" s="140" t="s">
        <v>22</v>
      </c>
      <c r="X6" s="140" t="s">
        <v>11</v>
      </c>
      <c r="Y6" s="141">
        <v>53.1</v>
      </c>
      <c r="AD6" s="139"/>
      <c r="AG6" s="141"/>
      <c r="AL6" s="139"/>
      <c r="AO6" s="141"/>
      <c r="AP6" s="139"/>
      <c r="AS6" s="141"/>
      <c r="AW6" s="141"/>
      <c r="BA6" s="142"/>
    </row>
    <row r="7" spans="1:53" s="140" customFormat="1" x14ac:dyDescent="0.15">
      <c r="A7" s="146">
        <v>1959</v>
      </c>
      <c r="B7" s="296">
        <v>21724</v>
      </c>
      <c r="C7" s="416" t="s">
        <v>740</v>
      </c>
      <c r="D7" s="416"/>
      <c r="E7" s="140">
        <f>365-E6</f>
        <v>192</v>
      </c>
      <c r="F7" s="140">
        <v>5</v>
      </c>
      <c r="G7" s="160">
        <v>14</v>
      </c>
      <c r="H7" s="143"/>
      <c r="I7" s="153"/>
      <c r="J7" s="161">
        <v>14</v>
      </c>
      <c r="K7" s="131">
        <f t="shared" si="0"/>
        <v>100</v>
      </c>
      <c r="L7" s="131">
        <f t="shared" si="0"/>
        <v>0</v>
      </c>
      <c r="M7" s="131">
        <f t="shared" si="0"/>
        <v>0</v>
      </c>
      <c r="N7" s="132">
        <f>K7+L7+M7</f>
        <v>100</v>
      </c>
      <c r="O7" s="162">
        <v>53.1</v>
      </c>
      <c r="P7" s="131"/>
      <c r="Q7" s="131"/>
      <c r="R7" s="163">
        <f>O7+P7+Q7</f>
        <v>53.1</v>
      </c>
      <c r="S7" s="140">
        <v>1</v>
      </c>
      <c r="T7" s="308"/>
      <c r="U7" s="296">
        <v>21724</v>
      </c>
      <c r="V7" s="139" t="s">
        <v>553</v>
      </c>
      <c r="W7" s="140" t="s">
        <v>22</v>
      </c>
      <c r="X7" s="140" t="s">
        <v>11</v>
      </c>
      <c r="Y7" s="141">
        <v>53.1</v>
      </c>
      <c r="AD7" s="139"/>
      <c r="AG7" s="141"/>
      <c r="AL7" s="139"/>
      <c r="AO7" s="141"/>
      <c r="AP7" s="139"/>
      <c r="AS7" s="141"/>
      <c r="AW7" s="141"/>
      <c r="BA7" s="142"/>
    </row>
    <row r="8" spans="1:53" s="29" customFormat="1" x14ac:dyDescent="0.15">
      <c r="A8" s="52">
        <v>1960</v>
      </c>
      <c r="B8" s="295"/>
      <c r="C8" s="411" t="s">
        <v>740</v>
      </c>
      <c r="D8" s="411"/>
      <c r="E8" s="29">
        <v>0</v>
      </c>
      <c r="G8" s="30">
        <v>14</v>
      </c>
      <c r="H8" s="104"/>
      <c r="I8" s="31"/>
      <c r="J8" s="32">
        <v>14</v>
      </c>
      <c r="K8" s="33">
        <f t="shared" si="0"/>
        <v>100</v>
      </c>
      <c r="L8" s="33">
        <f t="shared" si="0"/>
        <v>0</v>
      </c>
      <c r="M8" s="33">
        <f t="shared" si="0"/>
        <v>0</v>
      </c>
      <c r="N8" s="34">
        <f>K8+L8+M8</f>
        <v>100</v>
      </c>
      <c r="O8" s="35">
        <v>53.1</v>
      </c>
      <c r="P8" s="33"/>
      <c r="Q8" s="33"/>
      <c r="R8" s="36">
        <f>O8+P8+Q8</f>
        <v>53.1</v>
      </c>
      <c r="S8" s="29">
        <v>1</v>
      </c>
      <c r="T8" s="286"/>
      <c r="U8" s="295"/>
      <c r="V8" s="38" t="s">
        <v>553</v>
      </c>
      <c r="W8" s="29" t="s">
        <v>22</v>
      </c>
      <c r="X8" s="29" t="s">
        <v>11</v>
      </c>
      <c r="Y8" s="39">
        <v>53.1</v>
      </c>
      <c r="AD8" s="38"/>
      <c r="AG8" s="39"/>
      <c r="AL8" s="38"/>
      <c r="AO8" s="39"/>
      <c r="AP8" s="38"/>
      <c r="AS8" s="39"/>
      <c r="AW8" s="39"/>
      <c r="BA8" s="40"/>
    </row>
    <row r="9" spans="1:53" s="29" customFormat="1" x14ac:dyDescent="0.15">
      <c r="A9" s="52">
        <v>1960</v>
      </c>
      <c r="B9" s="295"/>
      <c r="C9" s="411" t="s">
        <v>740</v>
      </c>
      <c r="D9" s="411"/>
      <c r="E9" s="29">
        <v>366</v>
      </c>
      <c r="G9" s="30">
        <v>14</v>
      </c>
      <c r="H9" s="104"/>
      <c r="I9" s="31"/>
      <c r="J9" s="32">
        <v>14</v>
      </c>
      <c r="K9" s="33">
        <f t="shared" ref="K9:M58" si="1">G9/$J9*100</f>
        <v>100</v>
      </c>
      <c r="L9" s="33">
        <f t="shared" si="1"/>
        <v>0</v>
      </c>
      <c r="M9" s="33">
        <f t="shared" si="1"/>
        <v>0</v>
      </c>
      <c r="N9" s="34">
        <f t="shared" ref="N9:N58" si="2">K9+L9+M9</f>
        <v>100</v>
      </c>
      <c r="O9" s="35">
        <v>53.1</v>
      </c>
      <c r="P9" s="33"/>
      <c r="Q9" s="33"/>
      <c r="R9" s="36">
        <f t="shared" ref="R9:R72" si="3">O9+P9+Q9</f>
        <v>53.1</v>
      </c>
      <c r="S9" s="29">
        <v>1</v>
      </c>
      <c r="T9" s="286"/>
      <c r="U9" s="295"/>
      <c r="V9" s="38" t="s">
        <v>553</v>
      </c>
      <c r="W9" s="29" t="s">
        <v>22</v>
      </c>
      <c r="X9" s="29" t="s">
        <v>11</v>
      </c>
      <c r="Y9" s="39">
        <v>53.1</v>
      </c>
      <c r="AD9" s="38"/>
      <c r="AG9" s="39"/>
      <c r="AL9" s="38"/>
      <c r="AO9" s="39"/>
      <c r="AP9" s="38"/>
      <c r="AS9" s="39"/>
      <c r="AW9" s="39"/>
      <c r="BA9" s="40"/>
    </row>
    <row r="10" spans="1:53" s="29" customFormat="1" x14ac:dyDescent="0.15">
      <c r="A10" s="52">
        <v>1961</v>
      </c>
      <c r="B10" s="295"/>
      <c r="C10" s="411" t="s">
        <v>740</v>
      </c>
      <c r="D10" s="411"/>
      <c r="E10" s="29">
        <v>283</v>
      </c>
      <c r="G10" s="30">
        <v>14</v>
      </c>
      <c r="H10" s="104"/>
      <c r="I10" s="31"/>
      <c r="J10" s="32">
        <v>14</v>
      </c>
      <c r="K10" s="33">
        <f t="shared" si="1"/>
        <v>100</v>
      </c>
      <c r="L10" s="33">
        <f t="shared" si="1"/>
        <v>0</v>
      </c>
      <c r="M10" s="33">
        <f t="shared" si="1"/>
        <v>0</v>
      </c>
      <c r="N10" s="34">
        <f t="shared" si="2"/>
        <v>100</v>
      </c>
      <c r="O10" s="35">
        <v>53.1</v>
      </c>
      <c r="P10" s="33"/>
      <c r="Q10" s="33"/>
      <c r="R10" s="36">
        <f t="shared" si="3"/>
        <v>53.1</v>
      </c>
      <c r="S10" s="29">
        <v>1</v>
      </c>
      <c r="T10" s="286"/>
      <c r="U10" s="295"/>
      <c r="V10" s="38" t="s">
        <v>553</v>
      </c>
      <c r="W10" s="29" t="s">
        <v>22</v>
      </c>
      <c r="X10" s="29" t="s">
        <v>11</v>
      </c>
      <c r="Y10" s="39">
        <v>53.1</v>
      </c>
      <c r="AD10" s="38"/>
      <c r="AG10" s="39"/>
      <c r="AL10" s="38"/>
      <c r="AO10" s="39"/>
      <c r="AP10" s="38"/>
      <c r="AS10" s="39"/>
      <c r="AW10" s="39"/>
      <c r="BA10" s="40"/>
    </row>
    <row r="11" spans="1:53" s="171" customFormat="1" x14ac:dyDescent="0.15">
      <c r="A11" s="216">
        <v>1961</v>
      </c>
      <c r="B11" s="283">
        <v>22565</v>
      </c>
      <c r="C11" s="410" t="s">
        <v>741</v>
      </c>
      <c r="D11" s="410"/>
      <c r="E11" s="171">
        <f>365-E10</f>
        <v>82</v>
      </c>
      <c r="F11" s="171">
        <v>1</v>
      </c>
      <c r="G11" s="172">
        <v>15</v>
      </c>
      <c r="H11" s="254"/>
      <c r="I11" s="117"/>
      <c r="J11" s="173">
        <v>15</v>
      </c>
      <c r="K11" s="174">
        <f t="shared" si="1"/>
        <v>100</v>
      </c>
      <c r="L11" s="174">
        <f t="shared" si="1"/>
        <v>0</v>
      </c>
      <c r="M11" s="174">
        <f t="shared" si="1"/>
        <v>0</v>
      </c>
      <c r="N11" s="175">
        <f t="shared" si="2"/>
        <v>100</v>
      </c>
      <c r="O11" s="176">
        <v>48.6</v>
      </c>
      <c r="P11" s="174"/>
      <c r="Q11" s="174"/>
      <c r="R11" s="177">
        <f t="shared" si="3"/>
        <v>48.6</v>
      </c>
      <c r="S11" s="171">
        <v>4</v>
      </c>
      <c r="T11" s="285">
        <v>22558</v>
      </c>
      <c r="U11" s="283">
        <v>22565</v>
      </c>
      <c r="V11" s="178" t="s">
        <v>553</v>
      </c>
      <c r="W11" s="171" t="s">
        <v>22</v>
      </c>
      <c r="X11" s="171" t="s">
        <v>11</v>
      </c>
      <c r="Y11" s="179">
        <v>48.6</v>
      </c>
      <c r="AD11" s="178"/>
      <c r="AG11" s="179"/>
      <c r="AL11" s="178"/>
      <c r="AO11" s="179"/>
      <c r="AP11" s="178"/>
      <c r="AS11" s="179"/>
      <c r="AW11" s="179"/>
      <c r="BA11" s="180"/>
    </row>
    <row r="12" spans="1:53" s="171" customFormat="1" x14ac:dyDescent="0.15">
      <c r="A12" s="216">
        <v>1962</v>
      </c>
      <c r="B12" s="283"/>
      <c r="C12" s="410" t="s">
        <v>741</v>
      </c>
      <c r="D12" s="410"/>
      <c r="E12" s="171">
        <v>0</v>
      </c>
      <c r="G12" s="172">
        <v>15</v>
      </c>
      <c r="H12" s="254"/>
      <c r="I12" s="117"/>
      <c r="J12" s="173">
        <v>15</v>
      </c>
      <c r="K12" s="174">
        <f t="shared" si="1"/>
        <v>100</v>
      </c>
      <c r="L12" s="174">
        <f t="shared" si="1"/>
        <v>0</v>
      </c>
      <c r="M12" s="174">
        <f t="shared" si="1"/>
        <v>0</v>
      </c>
      <c r="N12" s="175">
        <f t="shared" si="2"/>
        <v>100</v>
      </c>
      <c r="O12" s="176">
        <v>48.6</v>
      </c>
      <c r="P12" s="174"/>
      <c r="Q12" s="174"/>
      <c r="R12" s="177">
        <f t="shared" si="3"/>
        <v>48.6</v>
      </c>
      <c r="S12" s="171">
        <v>4</v>
      </c>
      <c r="T12" s="285"/>
      <c r="U12" s="283"/>
      <c r="V12" s="178" t="s">
        <v>553</v>
      </c>
      <c r="W12" s="171" t="s">
        <v>22</v>
      </c>
      <c r="X12" s="171" t="s">
        <v>11</v>
      </c>
      <c r="Y12" s="179">
        <v>48.6</v>
      </c>
      <c r="AD12" s="178"/>
      <c r="AG12" s="179"/>
      <c r="AL12" s="178"/>
      <c r="AO12" s="179"/>
      <c r="AP12" s="178"/>
      <c r="AS12" s="179"/>
      <c r="AW12" s="179"/>
      <c r="BA12" s="180"/>
    </row>
    <row r="13" spans="1:53" s="171" customFormat="1" x14ac:dyDescent="0.15">
      <c r="A13" s="216">
        <v>1962</v>
      </c>
      <c r="B13" s="283"/>
      <c r="C13" s="410" t="s">
        <v>741</v>
      </c>
      <c r="D13" s="410"/>
      <c r="E13" s="171">
        <v>365</v>
      </c>
      <c r="G13" s="172">
        <v>15</v>
      </c>
      <c r="H13" s="254"/>
      <c r="I13" s="117"/>
      <c r="J13" s="173">
        <v>15</v>
      </c>
      <c r="K13" s="174">
        <f t="shared" si="1"/>
        <v>100</v>
      </c>
      <c r="L13" s="174">
        <f t="shared" si="1"/>
        <v>0</v>
      </c>
      <c r="M13" s="174">
        <f t="shared" si="1"/>
        <v>0</v>
      </c>
      <c r="N13" s="175">
        <f t="shared" si="2"/>
        <v>100</v>
      </c>
      <c r="O13" s="176">
        <v>48.6</v>
      </c>
      <c r="P13" s="174"/>
      <c r="Q13" s="174"/>
      <c r="R13" s="177">
        <f t="shared" si="3"/>
        <v>48.6</v>
      </c>
      <c r="S13" s="171">
        <v>4</v>
      </c>
      <c r="T13" s="285"/>
      <c r="U13" s="283"/>
      <c r="V13" s="178" t="s">
        <v>553</v>
      </c>
      <c r="W13" s="171" t="s">
        <v>22</v>
      </c>
      <c r="X13" s="171" t="s">
        <v>11</v>
      </c>
      <c r="Y13" s="179">
        <v>48.6</v>
      </c>
      <c r="AD13" s="178"/>
      <c r="AG13" s="179"/>
      <c r="AL13" s="178"/>
      <c r="AO13" s="179"/>
      <c r="AP13" s="178"/>
      <c r="AS13" s="179"/>
      <c r="AW13" s="179"/>
      <c r="BA13" s="180"/>
    </row>
    <row r="14" spans="1:53" s="171" customFormat="1" x14ac:dyDescent="0.15">
      <c r="A14" s="216">
        <v>1963</v>
      </c>
      <c r="B14" s="283"/>
      <c r="C14" s="410" t="s">
        <v>741</v>
      </c>
      <c r="D14" s="410"/>
      <c r="E14" s="171">
        <v>0</v>
      </c>
      <c r="G14" s="172">
        <v>15</v>
      </c>
      <c r="H14" s="254"/>
      <c r="I14" s="117"/>
      <c r="J14" s="173">
        <v>15</v>
      </c>
      <c r="K14" s="174">
        <f t="shared" si="1"/>
        <v>100</v>
      </c>
      <c r="L14" s="174">
        <f t="shared" si="1"/>
        <v>0</v>
      </c>
      <c r="M14" s="174">
        <f t="shared" si="1"/>
        <v>0</v>
      </c>
      <c r="N14" s="175">
        <f t="shared" si="2"/>
        <v>100</v>
      </c>
      <c r="O14" s="176">
        <v>48.6</v>
      </c>
      <c r="P14" s="174"/>
      <c r="Q14" s="174"/>
      <c r="R14" s="177">
        <f t="shared" si="3"/>
        <v>48.6</v>
      </c>
      <c r="S14" s="171">
        <v>4</v>
      </c>
      <c r="T14" s="285"/>
      <c r="U14" s="283"/>
      <c r="V14" s="178" t="s">
        <v>553</v>
      </c>
      <c r="W14" s="171" t="s">
        <v>22</v>
      </c>
      <c r="X14" s="171" t="s">
        <v>11</v>
      </c>
      <c r="Y14" s="179">
        <v>48.6</v>
      </c>
      <c r="AD14" s="178"/>
      <c r="AG14" s="179"/>
      <c r="AL14" s="178"/>
      <c r="AO14" s="179"/>
      <c r="AP14" s="178"/>
      <c r="AS14" s="179"/>
      <c r="AW14" s="179"/>
      <c r="BA14" s="180"/>
    </row>
    <row r="15" spans="1:53" s="171" customFormat="1" x14ac:dyDescent="0.15">
      <c r="A15" s="216">
        <v>1963</v>
      </c>
      <c r="B15" s="283"/>
      <c r="C15" s="410" t="s">
        <v>741</v>
      </c>
      <c r="D15" s="410"/>
      <c r="E15" s="171">
        <v>365</v>
      </c>
      <c r="G15" s="172">
        <v>15</v>
      </c>
      <c r="H15" s="254"/>
      <c r="I15" s="117"/>
      <c r="J15" s="173">
        <v>15</v>
      </c>
      <c r="K15" s="174">
        <f t="shared" si="1"/>
        <v>100</v>
      </c>
      <c r="L15" s="174">
        <f t="shared" si="1"/>
        <v>0</v>
      </c>
      <c r="M15" s="174">
        <f t="shared" si="1"/>
        <v>0</v>
      </c>
      <c r="N15" s="175">
        <f t="shared" si="2"/>
        <v>100</v>
      </c>
      <c r="O15" s="176">
        <v>48.6</v>
      </c>
      <c r="P15" s="174"/>
      <c r="Q15" s="174"/>
      <c r="R15" s="177">
        <f t="shared" si="3"/>
        <v>48.6</v>
      </c>
      <c r="S15" s="171">
        <v>4</v>
      </c>
      <c r="T15" s="285"/>
      <c r="U15" s="283"/>
      <c r="V15" s="178" t="s">
        <v>553</v>
      </c>
      <c r="W15" s="171" t="s">
        <v>22</v>
      </c>
      <c r="X15" s="171" t="s">
        <v>11</v>
      </c>
      <c r="Y15" s="179">
        <v>48.6</v>
      </c>
      <c r="AD15" s="178"/>
      <c r="AG15" s="179"/>
      <c r="AL15" s="178"/>
      <c r="AO15" s="179"/>
      <c r="AP15" s="178"/>
      <c r="AS15" s="179"/>
      <c r="AW15" s="179"/>
      <c r="BA15" s="180"/>
    </row>
    <row r="16" spans="1:53" s="171" customFormat="1" x14ac:dyDescent="0.15">
      <c r="A16" s="216">
        <v>1964</v>
      </c>
      <c r="B16" s="283"/>
      <c r="C16" s="410" t="s">
        <v>741</v>
      </c>
      <c r="D16" s="410"/>
      <c r="E16" s="171">
        <v>0</v>
      </c>
      <c r="G16" s="172">
        <v>15</v>
      </c>
      <c r="H16" s="254"/>
      <c r="I16" s="117"/>
      <c r="J16" s="173">
        <v>15</v>
      </c>
      <c r="K16" s="174">
        <f t="shared" si="1"/>
        <v>100</v>
      </c>
      <c r="L16" s="174">
        <f t="shared" si="1"/>
        <v>0</v>
      </c>
      <c r="M16" s="174">
        <f t="shared" si="1"/>
        <v>0</v>
      </c>
      <c r="N16" s="175">
        <f t="shared" si="2"/>
        <v>100</v>
      </c>
      <c r="O16" s="176">
        <v>48.6</v>
      </c>
      <c r="P16" s="174"/>
      <c r="Q16" s="174"/>
      <c r="R16" s="177">
        <f t="shared" si="3"/>
        <v>48.6</v>
      </c>
      <c r="S16" s="171">
        <v>4</v>
      </c>
      <c r="T16" s="285"/>
      <c r="U16" s="283"/>
      <c r="V16" s="178" t="s">
        <v>553</v>
      </c>
      <c r="W16" s="171" t="s">
        <v>22</v>
      </c>
      <c r="X16" s="171" t="s">
        <v>11</v>
      </c>
      <c r="Y16" s="179">
        <v>48.6</v>
      </c>
      <c r="AD16" s="178"/>
      <c r="AG16" s="179"/>
      <c r="AL16" s="178"/>
      <c r="AO16" s="179"/>
      <c r="AP16" s="178"/>
      <c r="AS16" s="179"/>
      <c r="AW16" s="179"/>
      <c r="BA16" s="180"/>
    </row>
    <row r="17" spans="1:53" s="171" customFormat="1" x14ac:dyDescent="0.15">
      <c r="A17" s="216">
        <v>1964</v>
      </c>
      <c r="B17" s="283"/>
      <c r="C17" s="410" t="s">
        <v>741</v>
      </c>
      <c r="D17" s="410"/>
      <c r="E17" s="171">
        <v>366</v>
      </c>
      <c r="G17" s="172">
        <v>15</v>
      </c>
      <c r="H17" s="254"/>
      <c r="I17" s="117"/>
      <c r="J17" s="173">
        <v>15</v>
      </c>
      <c r="K17" s="174">
        <f t="shared" si="1"/>
        <v>100</v>
      </c>
      <c r="L17" s="174">
        <f t="shared" si="1"/>
        <v>0</v>
      </c>
      <c r="M17" s="174">
        <f t="shared" si="1"/>
        <v>0</v>
      </c>
      <c r="N17" s="175">
        <f t="shared" si="2"/>
        <v>100</v>
      </c>
      <c r="O17" s="176">
        <v>48.6</v>
      </c>
      <c r="P17" s="174"/>
      <c r="Q17" s="174"/>
      <c r="R17" s="177">
        <f t="shared" si="3"/>
        <v>48.6</v>
      </c>
      <c r="S17" s="171">
        <v>4</v>
      </c>
      <c r="T17" s="285"/>
      <c r="U17" s="283"/>
      <c r="V17" s="178" t="s">
        <v>553</v>
      </c>
      <c r="W17" s="171" t="s">
        <v>22</v>
      </c>
      <c r="X17" s="171" t="s">
        <v>11</v>
      </c>
      <c r="Y17" s="179">
        <v>48.6</v>
      </c>
      <c r="AD17" s="178"/>
      <c r="AG17" s="179"/>
      <c r="AL17" s="178"/>
      <c r="AO17" s="179"/>
      <c r="AP17" s="178"/>
      <c r="AS17" s="179"/>
      <c r="AW17" s="179"/>
      <c r="BA17" s="180"/>
    </row>
    <row r="18" spans="1:53" s="171" customFormat="1" x14ac:dyDescent="0.15">
      <c r="A18" s="216">
        <v>1965</v>
      </c>
      <c r="B18" s="283"/>
      <c r="C18" s="410" t="s">
        <v>741</v>
      </c>
      <c r="D18" s="410"/>
      <c r="E18" s="171">
        <v>90</v>
      </c>
      <c r="G18" s="172">
        <v>15</v>
      </c>
      <c r="H18" s="254"/>
      <c r="I18" s="117"/>
      <c r="J18" s="173">
        <v>15</v>
      </c>
      <c r="K18" s="174">
        <f t="shared" si="1"/>
        <v>100</v>
      </c>
      <c r="L18" s="174">
        <f t="shared" si="1"/>
        <v>0</v>
      </c>
      <c r="M18" s="174">
        <f t="shared" si="1"/>
        <v>0</v>
      </c>
      <c r="N18" s="175">
        <f t="shared" si="2"/>
        <v>100</v>
      </c>
      <c r="O18" s="176">
        <v>48.6</v>
      </c>
      <c r="P18" s="174"/>
      <c r="Q18" s="174"/>
      <c r="R18" s="177">
        <f t="shared" si="3"/>
        <v>48.6</v>
      </c>
      <c r="S18" s="171">
        <v>4</v>
      </c>
      <c r="T18" s="285"/>
      <c r="U18" s="283"/>
      <c r="V18" s="178" t="s">
        <v>553</v>
      </c>
      <c r="W18" s="171" t="s">
        <v>22</v>
      </c>
      <c r="X18" s="171" t="s">
        <v>11</v>
      </c>
      <c r="Y18" s="179">
        <v>48.6</v>
      </c>
      <c r="AD18" s="178"/>
      <c r="AG18" s="179"/>
      <c r="AL18" s="178"/>
      <c r="AO18" s="179"/>
      <c r="AP18" s="178"/>
      <c r="AS18" s="179"/>
      <c r="AW18" s="179"/>
      <c r="BA18" s="180"/>
    </row>
    <row r="19" spans="1:53" s="29" customFormat="1" x14ac:dyDescent="0.15">
      <c r="A19" s="52">
        <v>1965</v>
      </c>
      <c r="B19" s="295">
        <v>23833</v>
      </c>
      <c r="C19" s="411" t="s">
        <v>742</v>
      </c>
      <c r="D19" s="411"/>
      <c r="E19" s="29">
        <f>365-E18</f>
        <v>275</v>
      </c>
      <c r="F19" s="29">
        <v>1</v>
      </c>
      <c r="G19" s="30">
        <v>15</v>
      </c>
      <c r="H19" s="104"/>
      <c r="I19" s="31"/>
      <c r="J19" s="32">
        <v>15</v>
      </c>
      <c r="K19" s="33">
        <f t="shared" si="1"/>
        <v>100</v>
      </c>
      <c r="L19" s="33">
        <f t="shared" si="1"/>
        <v>0</v>
      </c>
      <c r="M19" s="33">
        <f t="shared" si="1"/>
        <v>0</v>
      </c>
      <c r="N19" s="34">
        <f t="shared" si="2"/>
        <v>100</v>
      </c>
      <c r="O19" s="35">
        <v>50</v>
      </c>
      <c r="P19" s="33"/>
      <c r="Q19" s="33"/>
      <c r="R19" s="36">
        <f t="shared" si="3"/>
        <v>50</v>
      </c>
      <c r="S19" s="29">
        <v>4</v>
      </c>
      <c r="T19" s="286">
        <v>23839</v>
      </c>
      <c r="U19" s="295">
        <v>23853</v>
      </c>
      <c r="V19" s="38" t="s">
        <v>553</v>
      </c>
      <c r="W19" s="29" t="s">
        <v>22</v>
      </c>
      <c r="X19" s="29" t="s">
        <v>11</v>
      </c>
      <c r="Y19" s="39">
        <v>50</v>
      </c>
      <c r="AD19" s="38"/>
      <c r="AG19" s="39"/>
      <c r="AL19" s="38"/>
      <c r="AO19" s="39"/>
      <c r="AP19" s="38"/>
      <c r="AS19" s="39"/>
      <c r="AW19" s="39"/>
      <c r="BA19" s="40"/>
    </row>
    <row r="20" spans="1:53" s="29" customFormat="1" x14ac:dyDescent="0.15">
      <c r="A20" s="52">
        <v>1966</v>
      </c>
      <c r="B20" s="295"/>
      <c r="C20" s="411" t="s">
        <v>742</v>
      </c>
      <c r="D20" s="411"/>
      <c r="E20" s="29">
        <v>313</v>
      </c>
      <c r="G20" s="30">
        <v>15</v>
      </c>
      <c r="H20" s="104"/>
      <c r="I20" s="31"/>
      <c r="J20" s="32">
        <v>15</v>
      </c>
      <c r="K20" s="33">
        <f t="shared" si="1"/>
        <v>100</v>
      </c>
      <c r="L20" s="33">
        <f t="shared" si="1"/>
        <v>0</v>
      </c>
      <c r="M20" s="33">
        <f t="shared" si="1"/>
        <v>0</v>
      </c>
      <c r="N20" s="34">
        <f t="shared" si="2"/>
        <v>100</v>
      </c>
      <c r="O20" s="35">
        <v>50</v>
      </c>
      <c r="P20" s="33"/>
      <c r="Q20" s="33"/>
      <c r="R20" s="36">
        <f t="shared" si="3"/>
        <v>50</v>
      </c>
      <c r="S20" s="29">
        <v>4</v>
      </c>
      <c r="T20" s="286"/>
      <c r="U20" s="295"/>
      <c r="V20" s="38" t="s">
        <v>553</v>
      </c>
      <c r="W20" s="29" t="s">
        <v>22</v>
      </c>
      <c r="X20" s="29" t="s">
        <v>11</v>
      </c>
      <c r="Y20" s="39">
        <v>50</v>
      </c>
      <c r="AD20" s="38"/>
      <c r="AG20" s="39"/>
      <c r="AL20" s="38"/>
      <c r="AO20" s="39"/>
      <c r="AP20" s="38"/>
      <c r="AS20" s="39"/>
      <c r="AW20" s="39"/>
      <c r="BA20" s="40"/>
    </row>
    <row r="21" spans="1:53" s="171" customFormat="1" x14ac:dyDescent="0.15">
      <c r="A21" s="216">
        <v>1966</v>
      </c>
      <c r="B21" s="283">
        <v>24421</v>
      </c>
      <c r="C21" s="410" t="s">
        <v>743</v>
      </c>
      <c r="D21" s="410"/>
      <c r="E21" s="171">
        <f>365-E20</f>
        <v>52</v>
      </c>
      <c r="F21" s="171">
        <v>3</v>
      </c>
      <c r="G21" s="172">
        <v>15</v>
      </c>
      <c r="H21" s="254"/>
      <c r="I21" s="117"/>
      <c r="J21" s="173">
        <v>15</v>
      </c>
      <c r="K21" s="174">
        <f t="shared" si="1"/>
        <v>100</v>
      </c>
      <c r="L21" s="174">
        <f t="shared" si="1"/>
        <v>0</v>
      </c>
      <c r="M21" s="174">
        <f t="shared" si="1"/>
        <v>0</v>
      </c>
      <c r="N21" s="175">
        <f t="shared" si="2"/>
        <v>100</v>
      </c>
      <c r="O21" s="176">
        <v>50</v>
      </c>
      <c r="P21" s="174"/>
      <c r="Q21" s="174"/>
      <c r="R21" s="177">
        <f t="shared" si="3"/>
        <v>50</v>
      </c>
      <c r="S21" s="171">
        <v>4</v>
      </c>
      <c r="T21" s="285"/>
      <c r="U21" s="283">
        <v>24421</v>
      </c>
      <c r="V21" s="178" t="s">
        <v>553</v>
      </c>
      <c r="W21" s="171" t="s">
        <v>22</v>
      </c>
      <c r="X21" s="171" t="s">
        <v>11</v>
      </c>
      <c r="Y21" s="179">
        <v>50</v>
      </c>
      <c r="AD21" s="178"/>
      <c r="AG21" s="179"/>
      <c r="AL21" s="178"/>
      <c r="AO21" s="179"/>
      <c r="AP21" s="178"/>
      <c r="AS21" s="179"/>
      <c r="AW21" s="179"/>
      <c r="BA21" s="180"/>
    </row>
    <row r="22" spans="1:53" s="171" customFormat="1" x14ac:dyDescent="0.15">
      <c r="A22" s="216">
        <v>1967</v>
      </c>
      <c r="B22" s="283"/>
      <c r="C22" s="410" t="s">
        <v>743</v>
      </c>
      <c r="D22" s="410"/>
      <c r="E22" s="171">
        <v>0</v>
      </c>
      <c r="G22" s="172">
        <v>15</v>
      </c>
      <c r="H22" s="254"/>
      <c r="I22" s="117"/>
      <c r="J22" s="173">
        <v>15</v>
      </c>
      <c r="K22" s="174">
        <f t="shared" si="1"/>
        <v>100</v>
      </c>
      <c r="L22" s="174">
        <f t="shared" si="1"/>
        <v>0</v>
      </c>
      <c r="M22" s="174">
        <f t="shared" si="1"/>
        <v>0</v>
      </c>
      <c r="N22" s="175">
        <f t="shared" si="2"/>
        <v>100</v>
      </c>
      <c r="O22" s="176">
        <v>50</v>
      </c>
      <c r="P22" s="174"/>
      <c r="Q22" s="174"/>
      <c r="R22" s="177">
        <f t="shared" si="3"/>
        <v>50</v>
      </c>
      <c r="S22" s="171">
        <v>4</v>
      </c>
      <c r="T22" s="285"/>
      <c r="U22" s="283"/>
      <c r="V22" s="178" t="s">
        <v>553</v>
      </c>
      <c r="W22" s="171" t="s">
        <v>22</v>
      </c>
      <c r="X22" s="171" t="s">
        <v>11</v>
      </c>
      <c r="Y22" s="179">
        <v>50</v>
      </c>
      <c r="AD22" s="178"/>
      <c r="AG22" s="179"/>
      <c r="AL22" s="178"/>
      <c r="AO22" s="179"/>
      <c r="AP22" s="178"/>
      <c r="AS22" s="179"/>
      <c r="AW22" s="179"/>
      <c r="BA22" s="180"/>
    </row>
    <row r="23" spans="1:53" s="171" customFormat="1" x14ac:dyDescent="0.15">
      <c r="A23" s="216">
        <v>1967</v>
      </c>
      <c r="B23" s="283"/>
      <c r="C23" s="410" t="s">
        <v>743</v>
      </c>
      <c r="D23" s="410"/>
      <c r="E23" s="171">
        <v>365</v>
      </c>
      <c r="G23" s="172">
        <v>15</v>
      </c>
      <c r="H23" s="254"/>
      <c r="I23" s="117"/>
      <c r="J23" s="173">
        <v>15</v>
      </c>
      <c r="K23" s="174">
        <f t="shared" si="1"/>
        <v>100</v>
      </c>
      <c r="L23" s="174">
        <f t="shared" si="1"/>
        <v>0</v>
      </c>
      <c r="M23" s="174">
        <f t="shared" si="1"/>
        <v>0</v>
      </c>
      <c r="N23" s="175">
        <f t="shared" si="2"/>
        <v>100</v>
      </c>
      <c r="O23" s="176">
        <v>50</v>
      </c>
      <c r="P23" s="174"/>
      <c r="Q23" s="174"/>
      <c r="R23" s="177">
        <f t="shared" si="3"/>
        <v>50</v>
      </c>
      <c r="S23" s="171">
        <v>4</v>
      </c>
      <c r="T23" s="285"/>
      <c r="U23" s="283"/>
      <c r="V23" s="178" t="s">
        <v>553</v>
      </c>
      <c r="W23" s="171" t="s">
        <v>22</v>
      </c>
      <c r="X23" s="171" t="s">
        <v>11</v>
      </c>
      <c r="Y23" s="179">
        <v>50</v>
      </c>
      <c r="AD23" s="178"/>
      <c r="AG23" s="179"/>
      <c r="AL23" s="178"/>
      <c r="AO23" s="179"/>
      <c r="AP23" s="178"/>
      <c r="AS23" s="179"/>
      <c r="AW23" s="179"/>
      <c r="BA23" s="180"/>
    </row>
    <row r="24" spans="1:53" s="171" customFormat="1" x14ac:dyDescent="0.15">
      <c r="A24" s="216">
        <v>1968</v>
      </c>
      <c r="B24" s="283"/>
      <c r="C24" s="410" t="s">
        <v>743</v>
      </c>
      <c r="D24" s="410"/>
      <c r="E24" s="171">
        <v>0</v>
      </c>
      <c r="G24" s="172">
        <v>15</v>
      </c>
      <c r="H24" s="254"/>
      <c r="I24" s="117"/>
      <c r="J24" s="173">
        <v>15</v>
      </c>
      <c r="K24" s="174">
        <f t="shared" si="1"/>
        <v>100</v>
      </c>
      <c r="L24" s="174">
        <f t="shared" si="1"/>
        <v>0</v>
      </c>
      <c r="M24" s="174">
        <f t="shared" si="1"/>
        <v>0</v>
      </c>
      <c r="N24" s="175">
        <f t="shared" si="2"/>
        <v>100</v>
      </c>
      <c r="O24" s="176">
        <v>50</v>
      </c>
      <c r="P24" s="174"/>
      <c r="Q24" s="174"/>
      <c r="R24" s="177">
        <f t="shared" si="3"/>
        <v>50</v>
      </c>
      <c r="S24" s="171">
        <v>4</v>
      </c>
      <c r="T24" s="285"/>
      <c r="U24" s="283"/>
      <c r="V24" s="178" t="s">
        <v>553</v>
      </c>
      <c r="W24" s="171" t="s">
        <v>22</v>
      </c>
      <c r="X24" s="171" t="s">
        <v>11</v>
      </c>
      <c r="Y24" s="179">
        <v>50</v>
      </c>
      <c r="AD24" s="178"/>
      <c r="AG24" s="179"/>
      <c r="AL24" s="178"/>
      <c r="AO24" s="179"/>
      <c r="AP24" s="178"/>
      <c r="AS24" s="179"/>
      <c r="AW24" s="179"/>
      <c r="BA24" s="180"/>
    </row>
    <row r="25" spans="1:53" s="171" customFormat="1" x14ac:dyDescent="0.15">
      <c r="A25" s="216">
        <v>1968</v>
      </c>
      <c r="B25" s="283"/>
      <c r="C25" s="410" t="s">
        <v>743</v>
      </c>
      <c r="D25" s="410"/>
      <c r="E25" s="171">
        <v>366</v>
      </c>
      <c r="G25" s="172">
        <v>15</v>
      </c>
      <c r="H25" s="254"/>
      <c r="I25" s="117"/>
      <c r="J25" s="173">
        <v>15</v>
      </c>
      <c r="K25" s="174">
        <f t="shared" si="1"/>
        <v>100</v>
      </c>
      <c r="L25" s="174">
        <f t="shared" si="1"/>
        <v>0</v>
      </c>
      <c r="M25" s="174">
        <f t="shared" si="1"/>
        <v>0</v>
      </c>
      <c r="N25" s="175">
        <f t="shared" si="2"/>
        <v>100</v>
      </c>
      <c r="O25" s="176">
        <v>50</v>
      </c>
      <c r="P25" s="174"/>
      <c r="Q25" s="174"/>
      <c r="R25" s="177">
        <f t="shared" si="3"/>
        <v>50</v>
      </c>
      <c r="S25" s="171">
        <v>4</v>
      </c>
      <c r="T25" s="285"/>
      <c r="U25" s="283"/>
      <c r="V25" s="178" t="s">
        <v>553</v>
      </c>
      <c r="W25" s="171" t="s">
        <v>22</v>
      </c>
      <c r="X25" s="171" t="s">
        <v>11</v>
      </c>
      <c r="Y25" s="179">
        <v>50</v>
      </c>
      <c r="AD25" s="178"/>
      <c r="AG25" s="179"/>
      <c r="AL25" s="178"/>
      <c r="AO25" s="179"/>
      <c r="AP25" s="178"/>
      <c r="AS25" s="179"/>
      <c r="AW25" s="179"/>
      <c r="BA25" s="180"/>
    </row>
    <row r="26" spans="1:53" s="171" customFormat="1" x14ac:dyDescent="0.15">
      <c r="A26" s="216">
        <v>1969</v>
      </c>
      <c r="B26" s="283"/>
      <c r="C26" s="410" t="s">
        <v>743</v>
      </c>
      <c r="D26" s="410"/>
      <c r="E26" s="171">
        <v>182</v>
      </c>
      <c r="G26" s="172">
        <v>15</v>
      </c>
      <c r="H26" s="254"/>
      <c r="I26" s="117"/>
      <c r="J26" s="173">
        <v>15</v>
      </c>
      <c r="K26" s="174">
        <f t="shared" si="1"/>
        <v>100</v>
      </c>
      <c r="L26" s="174">
        <f t="shared" si="1"/>
        <v>0</v>
      </c>
      <c r="M26" s="174">
        <f t="shared" si="1"/>
        <v>0</v>
      </c>
      <c r="N26" s="175">
        <f t="shared" si="2"/>
        <v>100</v>
      </c>
      <c r="O26" s="176">
        <v>50</v>
      </c>
      <c r="P26" s="174"/>
      <c r="Q26" s="174"/>
      <c r="R26" s="177">
        <f t="shared" si="3"/>
        <v>50</v>
      </c>
      <c r="S26" s="171">
        <v>4</v>
      </c>
      <c r="T26" s="285"/>
      <c r="U26" s="283"/>
      <c r="V26" s="178" t="s">
        <v>553</v>
      </c>
      <c r="W26" s="171" t="s">
        <v>22</v>
      </c>
      <c r="X26" s="171" t="s">
        <v>11</v>
      </c>
      <c r="Y26" s="179">
        <v>50</v>
      </c>
      <c r="AD26" s="178"/>
      <c r="AG26" s="179"/>
      <c r="AL26" s="178"/>
      <c r="AO26" s="179"/>
      <c r="AP26" s="178"/>
      <c r="AS26" s="179"/>
      <c r="AW26" s="179"/>
      <c r="BA26" s="180"/>
    </row>
    <row r="27" spans="1:53" s="29" customFormat="1" x14ac:dyDescent="0.15">
      <c r="A27" s="52">
        <v>1968.5428571428599</v>
      </c>
      <c r="B27" s="295">
        <v>25386</v>
      </c>
      <c r="C27" s="411" t="s">
        <v>744</v>
      </c>
      <c r="D27" s="411"/>
      <c r="E27" s="29">
        <f>365-E26</f>
        <v>183</v>
      </c>
      <c r="F27" s="29">
        <v>1</v>
      </c>
      <c r="G27" s="30">
        <v>15</v>
      </c>
      <c r="H27" s="104"/>
      <c r="I27" s="31"/>
      <c r="J27" s="32">
        <v>15</v>
      </c>
      <c r="K27" s="33">
        <f t="shared" si="1"/>
        <v>100</v>
      </c>
      <c r="L27" s="33">
        <f t="shared" si="1"/>
        <v>0</v>
      </c>
      <c r="M27" s="33">
        <f t="shared" si="1"/>
        <v>0</v>
      </c>
      <c r="N27" s="34">
        <f t="shared" si="2"/>
        <v>100</v>
      </c>
      <c r="O27" s="35">
        <v>52.1</v>
      </c>
      <c r="P27" s="33"/>
      <c r="Q27" s="33"/>
      <c r="R27" s="36">
        <f t="shared" si="3"/>
        <v>52.1</v>
      </c>
      <c r="S27" s="29">
        <v>1</v>
      </c>
      <c r="T27" s="286">
        <v>25372</v>
      </c>
      <c r="U27" s="295">
        <v>25386</v>
      </c>
      <c r="V27" s="38" t="s">
        <v>553</v>
      </c>
      <c r="W27" s="29" t="s">
        <v>22</v>
      </c>
      <c r="X27" s="29" t="s">
        <v>11</v>
      </c>
      <c r="Y27" s="39">
        <v>52.1</v>
      </c>
      <c r="AD27" s="38"/>
      <c r="AG27" s="39"/>
      <c r="AL27" s="38"/>
      <c r="AO27" s="39"/>
      <c r="AP27" s="38"/>
      <c r="AS27" s="39"/>
      <c r="AW27" s="39"/>
      <c r="BA27" s="40"/>
    </row>
    <row r="28" spans="1:53" s="29" customFormat="1" x14ac:dyDescent="0.15">
      <c r="A28" s="52">
        <v>1970</v>
      </c>
      <c r="B28" s="295"/>
      <c r="C28" s="411" t="s">
        <v>744</v>
      </c>
      <c r="D28" s="411"/>
      <c r="E28" s="29">
        <v>0</v>
      </c>
      <c r="G28" s="30">
        <v>15</v>
      </c>
      <c r="H28" s="104"/>
      <c r="I28" s="31"/>
      <c r="J28" s="32">
        <v>15</v>
      </c>
      <c r="K28" s="33">
        <f t="shared" si="1"/>
        <v>100</v>
      </c>
      <c r="L28" s="33">
        <f t="shared" si="1"/>
        <v>0</v>
      </c>
      <c r="M28" s="33">
        <f t="shared" si="1"/>
        <v>0</v>
      </c>
      <c r="N28" s="34">
        <f t="shared" si="2"/>
        <v>100</v>
      </c>
      <c r="O28" s="35">
        <v>52.1</v>
      </c>
      <c r="P28" s="33"/>
      <c r="Q28" s="33"/>
      <c r="R28" s="36">
        <f t="shared" si="3"/>
        <v>52.1</v>
      </c>
      <c r="S28" s="29">
        <v>1</v>
      </c>
      <c r="T28" s="286"/>
      <c r="U28" s="295"/>
      <c r="V28" s="38" t="s">
        <v>553</v>
      </c>
      <c r="W28" s="29" t="s">
        <v>22</v>
      </c>
      <c r="X28" s="29" t="s">
        <v>11</v>
      </c>
      <c r="Y28" s="39">
        <v>52.1</v>
      </c>
      <c r="AD28" s="38"/>
      <c r="AG28" s="39"/>
      <c r="AL28" s="38"/>
      <c r="AO28" s="39"/>
      <c r="AP28" s="38"/>
      <c r="AS28" s="39"/>
      <c r="AW28" s="39"/>
      <c r="BA28" s="40"/>
    </row>
    <row r="29" spans="1:53" s="29" customFormat="1" x14ac:dyDescent="0.15">
      <c r="A29" s="52">
        <v>1970</v>
      </c>
      <c r="B29" s="295"/>
      <c r="C29" s="411" t="s">
        <v>744</v>
      </c>
      <c r="D29" s="411"/>
      <c r="E29" s="29">
        <v>365</v>
      </c>
      <c r="G29" s="30">
        <v>15</v>
      </c>
      <c r="H29" s="104"/>
      <c r="I29" s="31"/>
      <c r="J29" s="32">
        <v>15</v>
      </c>
      <c r="K29" s="33">
        <f t="shared" si="1"/>
        <v>100</v>
      </c>
      <c r="L29" s="33">
        <f t="shared" si="1"/>
        <v>0</v>
      </c>
      <c r="M29" s="33">
        <f t="shared" si="1"/>
        <v>0</v>
      </c>
      <c r="N29" s="34">
        <f t="shared" si="2"/>
        <v>100</v>
      </c>
      <c r="O29" s="35">
        <v>52.1</v>
      </c>
      <c r="P29" s="33"/>
      <c r="Q29" s="33"/>
      <c r="R29" s="36">
        <f t="shared" si="3"/>
        <v>52.1</v>
      </c>
      <c r="S29" s="29">
        <v>1</v>
      </c>
      <c r="T29" s="286"/>
      <c r="U29" s="295"/>
      <c r="V29" s="38" t="s">
        <v>553</v>
      </c>
      <c r="W29" s="29" t="s">
        <v>22</v>
      </c>
      <c r="X29" s="29" t="s">
        <v>11</v>
      </c>
      <c r="Y29" s="39">
        <v>52.1</v>
      </c>
      <c r="AD29" s="38"/>
      <c r="AG29" s="39"/>
      <c r="AL29" s="38"/>
      <c r="AO29" s="39"/>
      <c r="AP29" s="38"/>
      <c r="AS29" s="39"/>
      <c r="AW29" s="39"/>
      <c r="BA29" s="40"/>
    </row>
    <row r="30" spans="1:53" s="29" customFormat="1" x14ac:dyDescent="0.15">
      <c r="A30" s="52">
        <v>1971</v>
      </c>
      <c r="B30" s="295"/>
      <c r="C30" s="411" t="s">
        <v>744</v>
      </c>
      <c r="D30" s="411"/>
      <c r="E30" s="29">
        <v>0</v>
      </c>
      <c r="G30" s="30">
        <v>15</v>
      </c>
      <c r="H30" s="104"/>
      <c r="I30" s="31"/>
      <c r="J30" s="32">
        <v>15</v>
      </c>
      <c r="K30" s="33">
        <f t="shared" si="1"/>
        <v>100</v>
      </c>
      <c r="L30" s="33">
        <f t="shared" si="1"/>
        <v>0</v>
      </c>
      <c r="M30" s="33">
        <f t="shared" si="1"/>
        <v>0</v>
      </c>
      <c r="N30" s="34">
        <f t="shared" si="2"/>
        <v>100</v>
      </c>
      <c r="O30" s="35">
        <v>52.1</v>
      </c>
      <c r="P30" s="33"/>
      <c r="Q30" s="33"/>
      <c r="R30" s="36">
        <f t="shared" si="3"/>
        <v>52.1</v>
      </c>
      <c r="S30" s="29">
        <v>1</v>
      </c>
      <c r="T30" s="286"/>
      <c r="U30" s="295"/>
      <c r="V30" s="38" t="s">
        <v>553</v>
      </c>
      <c r="W30" s="29" t="s">
        <v>22</v>
      </c>
      <c r="X30" s="29" t="s">
        <v>11</v>
      </c>
      <c r="Y30" s="39">
        <v>52.1</v>
      </c>
      <c r="AD30" s="38"/>
      <c r="AG30" s="39"/>
      <c r="AL30" s="38"/>
      <c r="AO30" s="39"/>
      <c r="AP30" s="38"/>
      <c r="AS30" s="39"/>
      <c r="AW30" s="39"/>
      <c r="BA30" s="40"/>
    </row>
    <row r="31" spans="1:53" s="29" customFormat="1" x14ac:dyDescent="0.15">
      <c r="A31" s="52">
        <v>1971</v>
      </c>
      <c r="B31" s="295"/>
      <c r="C31" s="411" t="s">
        <v>744</v>
      </c>
      <c r="D31" s="411"/>
      <c r="E31" s="29">
        <v>365</v>
      </c>
      <c r="G31" s="30">
        <v>15</v>
      </c>
      <c r="H31" s="104"/>
      <c r="I31" s="31"/>
      <c r="J31" s="32">
        <v>15</v>
      </c>
      <c r="K31" s="33">
        <f t="shared" si="1"/>
        <v>100</v>
      </c>
      <c r="L31" s="33">
        <f t="shared" si="1"/>
        <v>0</v>
      </c>
      <c r="M31" s="33">
        <f t="shared" si="1"/>
        <v>0</v>
      </c>
      <c r="N31" s="34">
        <f t="shared" si="2"/>
        <v>100</v>
      </c>
      <c r="O31" s="35">
        <v>52.1</v>
      </c>
      <c r="P31" s="33"/>
      <c r="Q31" s="33"/>
      <c r="R31" s="36">
        <f t="shared" si="3"/>
        <v>52.1</v>
      </c>
      <c r="S31" s="29">
        <v>1</v>
      </c>
      <c r="T31" s="286"/>
      <c r="U31" s="295"/>
      <c r="V31" s="38" t="s">
        <v>553</v>
      </c>
      <c r="W31" s="29" t="s">
        <v>22</v>
      </c>
      <c r="X31" s="29" t="s">
        <v>11</v>
      </c>
      <c r="Y31" s="39">
        <v>52.1</v>
      </c>
      <c r="AD31" s="38"/>
      <c r="AG31" s="39"/>
      <c r="AL31" s="38"/>
      <c r="AO31" s="39"/>
      <c r="AP31" s="38"/>
      <c r="AS31" s="39"/>
      <c r="AW31" s="39"/>
      <c r="BA31" s="40"/>
    </row>
    <row r="32" spans="1:53" s="29" customFormat="1" x14ac:dyDescent="0.15">
      <c r="A32" s="52">
        <v>1972</v>
      </c>
      <c r="B32" s="295"/>
      <c r="C32" s="411" t="s">
        <v>744</v>
      </c>
      <c r="D32" s="411"/>
      <c r="E32" s="29">
        <v>0</v>
      </c>
      <c r="G32" s="30">
        <v>15</v>
      </c>
      <c r="H32" s="104"/>
      <c r="I32" s="31"/>
      <c r="J32" s="32">
        <v>15</v>
      </c>
      <c r="K32" s="33">
        <f t="shared" si="1"/>
        <v>100</v>
      </c>
      <c r="L32" s="33">
        <f t="shared" si="1"/>
        <v>0</v>
      </c>
      <c r="M32" s="33">
        <f t="shared" si="1"/>
        <v>0</v>
      </c>
      <c r="N32" s="34">
        <f t="shared" si="2"/>
        <v>100</v>
      </c>
      <c r="O32" s="35">
        <v>52.1</v>
      </c>
      <c r="P32" s="33"/>
      <c r="Q32" s="33"/>
      <c r="R32" s="36">
        <f t="shared" si="3"/>
        <v>52.1</v>
      </c>
      <c r="S32" s="29">
        <v>1</v>
      </c>
      <c r="T32" s="286"/>
      <c r="U32" s="295"/>
      <c r="V32" s="38" t="s">
        <v>553</v>
      </c>
      <c r="W32" s="29" t="s">
        <v>22</v>
      </c>
      <c r="X32" s="29" t="s">
        <v>11</v>
      </c>
      <c r="Y32" s="39">
        <v>52.1</v>
      </c>
      <c r="AD32" s="38"/>
      <c r="AG32" s="39"/>
      <c r="AL32" s="38"/>
      <c r="AO32" s="39"/>
      <c r="AP32" s="38"/>
      <c r="AS32" s="39"/>
      <c r="AW32" s="39"/>
      <c r="BA32" s="40"/>
    </row>
    <row r="33" spans="1:53" s="29" customFormat="1" x14ac:dyDescent="0.15">
      <c r="A33" s="52">
        <v>1972</v>
      </c>
      <c r="B33" s="295"/>
      <c r="C33" s="411" t="s">
        <v>744</v>
      </c>
      <c r="D33" s="411"/>
      <c r="E33" s="29">
        <v>366</v>
      </c>
      <c r="G33" s="30">
        <v>15</v>
      </c>
      <c r="H33" s="104"/>
      <c r="I33" s="31"/>
      <c r="J33" s="32">
        <v>15</v>
      </c>
      <c r="K33" s="33">
        <f t="shared" si="1"/>
        <v>100</v>
      </c>
      <c r="L33" s="33">
        <f t="shared" si="1"/>
        <v>0</v>
      </c>
      <c r="M33" s="33">
        <f t="shared" si="1"/>
        <v>0</v>
      </c>
      <c r="N33" s="34">
        <f t="shared" si="2"/>
        <v>100</v>
      </c>
      <c r="O33" s="35">
        <v>52.1</v>
      </c>
      <c r="P33" s="33"/>
      <c r="Q33" s="33"/>
      <c r="R33" s="36">
        <f t="shared" si="3"/>
        <v>52.1</v>
      </c>
      <c r="S33" s="29">
        <v>1</v>
      </c>
      <c r="T33" s="286"/>
      <c r="U33" s="295"/>
      <c r="V33" s="38" t="s">
        <v>553</v>
      </c>
      <c r="W33" s="29" t="s">
        <v>22</v>
      </c>
      <c r="X33" s="29" t="s">
        <v>11</v>
      </c>
      <c r="Y33" s="39">
        <v>52.1</v>
      </c>
      <c r="AD33" s="38"/>
      <c r="AG33" s="39"/>
      <c r="AL33" s="38"/>
      <c r="AO33" s="39"/>
      <c r="AP33" s="38"/>
      <c r="AS33" s="39"/>
      <c r="AW33" s="39"/>
      <c r="BA33" s="40"/>
    </row>
    <row r="34" spans="1:53" s="29" customFormat="1" x14ac:dyDescent="0.15">
      <c r="A34" s="52">
        <v>1973</v>
      </c>
      <c r="B34" s="295"/>
      <c r="C34" s="411" t="s">
        <v>744</v>
      </c>
      <c r="D34" s="411"/>
      <c r="E34" s="29">
        <v>72</v>
      </c>
      <c r="G34" s="30">
        <v>15</v>
      </c>
      <c r="H34" s="104"/>
      <c r="I34" s="31"/>
      <c r="J34" s="32">
        <v>15</v>
      </c>
      <c r="K34" s="33">
        <f t="shared" si="1"/>
        <v>100</v>
      </c>
      <c r="L34" s="33">
        <f t="shared" si="1"/>
        <v>0</v>
      </c>
      <c r="M34" s="33">
        <f t="shared" si="1"/>
        <v>0</v>
      </c>
      <c r="N34" s="34">
        <f t="shared" si="2"/>
        <v>100</v>
      </c>
      <c r="O34" s="35">
        <v>52.1</v>
      </c>
      <c r="P34" s="33"/>
      <c r="Q34" s="33"/>
      <c r="R34" s="36">
        <f t="shared" si="3"/>
        <v>52.1</v>
      </c>
      <c r="S34" s="29">
        <v>1</v>
      </c>
      <c r="T34" s="286"/>
      <c r="U34" s="295"/>
      <c r="V34" s="38" t="s">
        <v>553</v>
      </c>
      <c r="W34" s="29" t="s">
        <v>22</v>
      </c>
      <c r="X34" s="29" t="s">
        <v>11</v>
      </c>
      <c r="Y34" s="39">
        <v>52.1</v>
      </c>
      <c r="AD34" s="38"/>
      <c r="AG34" s="39"/>
      <c r="AL34" s="38"/>
      <c r="AO34" s="39"/>
      <c r="AP34" s="38"/>
      <c r="AS34" s="39"/>
      <c r="AW34" s="39"/>
      <c r="BA34" s="40"/>
    </row>
    <row r="35" spans="1:53" s="171" customFormat="1" x14ac:dyDescent="0.15">
      <c r="A35" s="216">
        <v>1973</v>
      </c>
      <c r="B35" s="283">
        <v>26737</v>
      </c>
      <c r="C35" s="410" t="s">
        <v>745</v>
      </c>
      <c r="D35" s="410"/>
      <c r="E35" s="171">
        <f>365-E34</f>
        <v>293</v>
      </c>
      <c r="F35" s="171">
        <v>1</v>
      </c>
      <c r="G35" s="172"/>
      <c r="H35" s="117">
        <v>11</v>
      </c>
      <c r="I35" s="117">
        <v>5</v>
      </c>
      <c r="J35" s="173">
        <v>16</v>
      </c>
      <c r="K35" s="174">
        <f t="shared" si="1"/>
        <v>0</v>
      </c>
      <c r="L35" s="174">
        <f t="shared" si="1"/>
        <v>68.75</v>
      </c>
      <c r="M35" s="174">
        <f t="shared" si="1"/>
        <v>31.25</v>
      </c>
      <c r="N35" s="175">
        <f t="shared" si="2"/>
        <v>100</v>
      </c>
      <c r="O35" s="176"/>
      <c r="P35" s="174">
        <v>37.5</v>
      </c>
      <c r="Q35" s="174">
        <v>13.2</v>
      </c>
      <c r="R35" s="177">
        <f t="shared" si="3"/>
        <v>50.7</v>
      </c>
      <c r="S35" s="171">
        <v>2</v>
      </c>
      <c r="T35" s="285">
        <v>26723</v>
      </c>
      <c r="U35" s="283">
        <v>26737</v>
      </c>
      <c r="V35" s="178" t="s">
        <v>554</v>
      </c>
      <c r="W35" s="171" t="s">
        <v>17</v>
      </c>
      <c r="X35" s="171" t="s">
        <v>18</v>
      </c>
      <c r="Y35" s="179">
        <v>37.5</v>
      </c>
      <c r="Z35" s="171" t="s">
        <v>451</v>
      </c>
      <c r="AA35" s="171" t="s">
        <v>20</v>
      </c>
      <c r="AB35" s="171" t="s">
        <v>12</v>
      </c>
      <c r="AC35" s="171">
        <v>13.2</v>
      </c>
      <c r="AD35" s="178"/>
      <c r="AG35" s="179"/>
      <c r="AL35" s="178"/>
      <c r="AO35" s="179"/>
      <c r="AP35" s="178"/>
      <c r="AS35" s="179"/>
      <c r="AW35" s="179"/>
      <c r="BA35" s="180"/>
    </row>
    <row r="36" spans="1:53" s="171" customFormat="1" x14ac:dyDescent="0.15">
      <c r="A36" s="216">
        <v>1974</v>
      </c>
      <c r="B36" s="283"/>
      <c r="C36" s="410" t="s">
        <v>745</v>
      </c>
      <c r="D36" s="410"/>
      <c r="E36" s="171">
        <v>0</v>
      </c>
      <c r="G36" s="172"/>
      <c r="H36" s="117">
        <v>11</v>
      </c>
      <c r="I36" s="117">
        <v>5</v>
      </c>
      <c r="J36" s="173">
        <v>16</v>
      </c>
      <c r="K36" s="174">
        <f t="shared" si="1"/>
        <v>0</v>
      </c>
      <c r="L36" s="174">
        <f t="shared" si="1"/>
        <v>68.75</v>
      </c>
      <c r="M36" s="174">
        <f t="shared" si="1"/>
        <v>31.25</v>
      </c>
      <c r="N36" s="175">
        <f t="shared" si="2"/>
        <v>100</v>
      </c>
      <c r="O36" s="176"/>
      <c r="P36" s="174">
        <v>37.5</v>
      </c>
      <c r="Q36" s="174">
        <v>13.2</v>
      </c>
      <c r="R36" s="177">
        <f t="shared" si="3"/>
        <v>50.7</v>
      </c>
      <c r="S36" s="171">
        <v>2</v>
      </c>
      <c r="T36" s="285"/>
      <c r="U36" s="283"/>
      <c r="V36" s="178" t="s">
        <v>554</v>
      </c>
      <c r="W36" s="171" t="s">
        <v>17</v>
      </c>
      <c r="X36" s="171" t="s">
        <v>18</v>
      </c>
      <c r="Y36" s="179">
        <v>37.5</v>
      </c>
      <c r="Z36" s="171" t="s">
        <v>451</v>
      </c>
      <c r="AA36" s="171" t="s">
        <v>20</v>
      </c>
      <c r="AB36" s="171" t="s">
        <v>12</v>
      </c>
      <c r="AC36" s="171">
        <v>13.2</v>
      </c>
      <c r="AD36" s="178"/>
      <c r="AG36" s="179"/>
      <c r="AL36" s="178"/>
      <c r="AO36" s="179"/>
      <c r="AP36" s="178"/>
      <c r="AS36" s="179"/>
      <c r="AW36" s="179"/>
      <c r="BA36" s="180"/>
    </row>
    <row r="37" spans="1:53" s="171" customFormat="1" x14ac:dyDescent="0.15">
      <c r="A37" s="216">
        <v>1974</v>
      </c>
      <c r="B37" s="283"/>
      <c r="C37" s="410" t="s">
        <v>745</v>
      </c>
      <c r="D37" s="410"/>
      <c r="E37" s="171">
        <v>365</v>
      </c>
      <c r="G37" s="172"/>
      <c r="H37" s="117">
        <v>11</v>
      </c>
      <c r="I37" s="117">
        <v>5</v>
      </c>
      <c r="J37" s="173">
        <v>16</v>
      </c>
      <c r="K37" s="174">
        <f t="shared" si="1"/>
        <v>0</v>
      </c>
      <c r="L37" s="174">
        <f t="shared" si="1"/>
        <v>68.75</v>
      </c>
      <c r="M37" s="174">
        <f t="shared" si="1"/>
        <v>31.25</v>
      </c>
      <c r="N37" s="175">
        <f t="shared" si="2"/>
        <v>100</v>
      </c>
      <c r="O37" s="176"/>
      <c r="P37" s="174">
        <v>37.5</v>
      </c>
      <c r="Q37" s="174">
        <v>13.2</v>
      </c>
      <c r="R37" s="177">
        <f t="shared" si="3"/>
        <v>50.7</v>
      </c>
      <c r="S37" s="171">
        <v>2</v>
      </c>
      <c r="T37" s="285"/>
      <c r="U37" s="283"/>
      <c r="V37" s="178" t="s">
        <v>554</v>
      </c>
      <c r="W37" s="171" t="s">
        <v>17</v>
      </c>
      <c r="X37" s="171" t="s">
        <v>18</v>
      </c>
      <c r="Y37" s="179">
        <v>37.5</v>
      </c>
      <c r="Z37" s="171" t="s">
        <v>451</v>
      </c>
      <c r="AA37" s="171" t="s">
        <v>20</v>
      </c>
      <c r="AB37" s="171" t="s">
        <v>12</v>
      </c>
      <c r="AC37" s="171">
        <v>13.2</v>
      </c>
      <c r="AD37" s="178"/>
      <c r="AG37" s="179"/>
      <c r="AL37" s="178"/>
      <c r="AO37" s="179"/>
      <c r="AP37" s="178"/>
      <c r="AS37" s="179"/>
      <c r="AW37" s="179"/>
      <c r="BA37" s="180"/>
    </row>
    <row r="38" spans="1:53" s="171" customFormat="1" x14ac:dyDescent="0.15">
      <c r="A38" s="216">
        <v>1975</v>
      </c>
      <c r="B38" s="283"/>
      <c r="C38" s="410" t="s">
        <v>745</v>
      </c>
      <c r="D38" s="410"/>
      <c r="E38" s="171">
        <v>0</v>
      </c>
      <c r="G38" s="172"/>
      <c r="H38" s="117">
        <v>11</v>
      </c>
      <c r="I38" s="117">
        <v>5</v>
      </c>
      <c r="J38" s="173">
        <v>16</v>
      </c>
      <c r="K38" s="174">
        <f t="shared" si="1"/>
        <v>0</v>
      </c>
      <c r="L38" s="174">
        <f t="shared" si="1"/>
        <v>68.75</v>
      </c>
      <c r="M38" s="174">
        <f t="shared" si="1"/>
        <v>31.25</v>
      </c>
      <c r="N38" s="175">
        <f t="shared" si="2"/>
        <v>100</v>
      </c>
      <c r="O38" s="176"/>
      <c r="P38" s="174">
        <v>37.5</v>
      </c>
      <c r="Q38" s="174">
        <v>13.2</v>
      </c>
      <c r="R38" s="177">
        <f t="shared" si="3"/>
        <v>50.7</v>
      </c>
      <c r="S38" s="171">
        <v>2</v>
      </c>
      <c r="T38" s="285"/>
      <c r="U38" s="283"/>
      <c r="V38" s="178" t="s">
        <v>554</v>
      </c>
      <c r="W38" s="171" t="s">
        <v>17</v>
      </c>
      <c r="X38" s="171" t="s">
        <v>18</v>
      </c>
      <c r="Y38" s="179">
        <v>37.5</v>
      </c>
      <c r="Z38" s="171" t="s">
        <v>451</v>
      </c>
      <c r="AA38" s="171" t="s">
        <v>20</v>
      </c>
      <c r="AB38" s="171" t="s">
        <v>12</v>
      </c>
      <c r="AC38" s="171">
        <v>13.2</v>
      </c>
      <c r="AD38" s="178"/>
      <c r="AG38" s="179"/>
      <c r="AL38" s="178"/>
      <c r="AO38" s="179"/>
      <c r="AP38" s="178"/>
      <c r="AS38" s="179"/>
      <c r="AW38" s="179"/>
      <c r="BA38" s="180"/>
    </row>
    <row r="39" spans="1:53" s="171" customFormat="1" x14ac:dyDescent="0.15">
      <c r="A39" s="216">
        <v>1975</v>
      </c>
      <c r="B39" s="283"/>
      <c r="C39" s="410" t="s">
        <v>745</v>
      </c>
      <c r="D39" s="410"/>
      <c r="E39" s="171">
        <v>365</v>
      </c>
      <c r="G39" s="172"/>
      <c r="H39" s="117">
        <v>11</v>
      </c>
      <c r="I39" s="117">
        <v>5</v>
      </c>
      <c r="J39" s="173">
        <v>16</v>
      </c>
      <c r="K39" s="174">
        <f t="shared" si="1"/>
        <v>0</v>
      </c>
      <c r="L39" s="174">
        <f t="shared" si="1"/>
        <v>68.75</v>
      </c>
      <c r="M39" s="174">
        <f t="shared" si="1"/>
        <v>31.25</v>
      </c>
      <c r="N39" s="175">
        <f t="shared" si="2"/>
        <v>100</v>
      </c>
      <c r="O39" s="176"/>
      <c r="P39" s="174">
        <v>37.5</v>
      </c>
      <c r="Q39" s="174">
        <v>13.2</v>
      </c>
      <c r="R39" s="177">
        <f t="shared" si="3"/>
        <v>50.7</v>
      </c>
      <c r="S39" s="171">
        <v>2</v>
      </c>
      <c r="T39" s="285"/>
      <c r="U39" s="283"/>
      <c r="V39" s="178" t="s">
        <v>554</v>
      </c>
      <c r="W39" s="171" t="s">
        <v>17</v>
      </c>
      <c r="X39" s="171" t="s">
        <v>18</v>
      </c>
      <c r="Y39" s="179">
        <v>37.5</v>
      </c>
      <c r="Z39" s="171" t="s">
        <v>451</v>
      </c>
      <c r="AA39" s="171" t="s">
        <v>20</v>
      </c>
      <c r="AB39" s="171" t="s">
        <v>12</v>
      </c>
      <c r="AC39" s="171">
        <v>13.2</v>
      </c>
      <c r="AD39" s="178"/>
      <c r="AG39" s="179"/>
      <c r="AL39" s="178"/>
      <c r="AO39" s="179"/>
      <c r="AP39" s="178"/>
      <c r="AS39" s="179"/>
      <c r="AW39" s="179"/>
      <c r="BA39" s="180"/>
    </row>
    <row r="40" spans="1:53" s="171" customFormat="1" x14ac:dyDescent="0.15">
      <c r="A40" s="216">
        <v>1976</v>
      </c>
      <c r="B40" s="283"/>
      <c r="C40" s="410" t="s">
        <v>745</v>
      </c>
      <c r="D40" s="410"/>
      <c r="E40" s="171">
        <v>0</v>
      </c>
      <c r="G40" s="172"/>
      <c r="H40" s="117">
        <v>11</v>
      </c>
      <c r="I40" s="117">
        <v>5</v>
      </c>
      <c r="J40" s="173">
        <v>16</v>
      </c>
      <c r="K40" s="174">
        <f t="shared" si="1"/>
        <v>0</v>
      </c>
      <c r="L40" s="174">
        <f t="shared" si="1"/>
        <v>68.75</v>
      </c>
      <c r="M40" s="174">
        <f t="shared" si="1"/>
        <v>31.25</v>
      </c>
      <c r="N40" s="175">
        <f t="shared" si="2"/>
        <v>100</v>
      </c>
      <c r="O40" s="176"/>
      <c r="P40" s="174">
        <v>37.5</v>
      </c>
      <c r="Q40" s="174">
        <v>13.2</v>
      </c>
      <c r="R40" s="177">
        <f t="shared" si="3"/>
        <v>50.7</v>
      </c>
      <c r="S40" s="171">
        <v>2</v>
      </c>
      <c r="T40" s="285"/>
      <c r="U40" s="283"/>
      <c r="V40" s="178" t="s">
        <v>554</v>
      </c>
      <c r="W40" s="171" t="s">
        <v>17</v>
      </c>
      <c r="X40" s="171" t="s">
        <v>18</v>
      </c>
      <c r="Y40" s="179">
        <v>37.5</v>
      </c>
      <c r="Z40" s="171" t="s">
        <v>451</v>
      </c>
      <c r="AA40" s="171" t="s">
        <v>20</v>
      </c>
      <c r="AB40" s="171" t="s">
        <v>12</v>
      </c>
      <c r="AC40" s="171">
        <v>13.2</v>
      </c>
      <c r="AD40" s="178"/>
      <c r="AG40" s="179"/>
      <c r="AL40" s="178"/>
      <c r="AO40" s="179"/>
      <c r="AP40" s="178"/>
      <c r="AS40" s="179"/>
      <c r="AW40" s="179"/>
      <c r="BA40" s="180"/>
    </row>
    <row r="41" spans="1:53" s="171" customFormat="1" x14ac:dyDescent="0.15">
      <c r="A41" s="216">
        <v>1976</v>
      </c>
      <c r="B41" s="283"/>
      <c r="C41" s="410" t="s">
        <v>745</v>
      </c>
      <c r="D41" s="410"/>
      <c r="E41" s="171">
        <v>366</v>
      </c>
      <c r="G41" s="172"/>
      <c r="H41" s="117">
        <v>11</v>
      </c>
      <c r="I41" s="117">
        <v>5</v>
      </c>
      <c r="J41" s="173">
        <v>16</v>
      </c>
      <c r="K41" s="174">
        <f t="shared" si="1"/>
        <v>0</v>
      </c>
      <c r="L41" s="174">
        <f t="shared" si="1"/>
        <v>68.75</v>
      </c>
      <c r="M41" s="174">
        <f t="shared" si="1"/>
        <v>31.25</v>
      </c>
      <c r="N41" s="175">
        <f t="shared" si="2"/>
        <v>100</v>
      </c>
      <c r="O41" s="176"/>
      <c r="P41" s="174">
        <v>37.5</v>
      </c>
      <c r="Q41" s="174">
        <v>13.2</v>
      </c>
      <c r="R41" s="177">
        <f t="shared" si="3"/>
        <v>50.7</v>
      </c>
      <c r="S41" s="171">
        <v>2</v>
      </c>
      <c r="T41" s="285"/>
      <c r="U41" s="283"/>
      <c r="V41" s="178" t="s">
        <v>554</v>
      </c>
      <c r="W41" s="171" t="s">
        <v>17</v>
      </c>
      <c r="X41" s="171" t="s">
        <v>18</v>
      </c>
      <c r="Y41" s="179">
        <v>37.5</v>
      </c>
      <c r="Z41" s="171" t="s">
        <v>451</v>
      </c>
      <c r="AA41" s="171" t="s">
        <v>20</v>
      </c>
      <c r="AB41" s="171" t="s">
        <v>12</v>
      </c>
      <c r="AC41" s="171">
        <v>13.2</v>
      </c>
      <c r="AD41" s="178"/>
      <c r="AG41" s="179"/>
      <c r="AL41" s="178"/>
      <c r="AO41" s="179"/>
      <c r="AP41" s="178"/>
      <c r="AS41" s="179"/>
      <c r="AW41" s="179"/>
      <c r="BA41" s="180"/>
    </row>
    <row r="42" spans="1:53" s="171" customFormat="1" x14ac:dyDescent="0.15">
      <c r="A42" s="216">
        <v>1977</v>
      </c>
      <c r="B42" s="283"/>
      <c r="C42" s="410" t="s">
        <v>745</v>
      </c>
      <c r="D42" s="410"/>
      <c r="E42" s="171">
        <v>185</v>
      </c>
      <c r="G42" s="172"/>
      <c r="H42" s="117">
        <v>11</v>
      </c>
      <c r="I42" s="117">
        <v>5</v>
      </c>
      <c r="J42" s="173">
        <v>16</v>
      </c>
      <c r="K42" s="174">
        <f t="shared" si="1"/>
        <v>0</v>
      </c>
      <c r="L42" s="174">
        <f t="shared" si="1"/>
        <v>68.75</v>
      </c>
      <c r="M42" s="174">
        <f t="shared" si="1"/>
        <v>31.25</v>
      </c>
      <c r="N42" s="175">
        <f t="shared" si="2"/>
        <v>100</v>
      </c>
      <c r="O42" s="176"/>
      <c r="P42" s="174">
        <v>37.5</v>
      </c>
      <c r="Q42" s="174">
        <v>13.2</v>
      </c>
      <c r="R42" s="177">
        <f t="shared" si="3"/>
        <v>50.7</v>
      </c>
      <c r="S42" s="171">
        <v>2</v>
      </c>
      <c r="T42" s="285"/>
      <c r="U42" s="283"/>
      <c r="V42" s="178" t="s">
        <v>554</v>
      </c>
      <c r="W42" s="171" t="s">
        <v>17</v>
      </c>
      <c r="X42" s="171" t="s">
        <v>18</v>
      </c>
      <c r="Y42" s="179">
        <v>37.5</v>
      </c>
      <c r="Z42" s="171" t="s">
        <v>451</v>
      </c>
      <c r="AA42" s="171" t="s">
        <v>20</v>
      </c>
      <c r="AB42" s="171" t="s">
        <v>12</v>
      </c>
      <c r="AC42" s="171">
        <v>13.2</v>
      </c>
      <c r="AD42" s="178"/>
      <c r="AG42" s="179"/>
      <c r="AL42" s="178"/>
      <c r="AO42" s="179"/>
      <c r="AP42" s="178"/>
      <c r="AS42" s="179"/>
      <c r="AW42" s="179"/>
      <c r="BA42" s="180"/>
    </row>
    <row r="43" spans="1:53" s="29" customFormat="1" x14ac:dyDescent="0.15">
      <c r="A43" s="52">
        <v>1977</v>
      </c>
      <c r="B43" s="295">
        <v>28311</v>
      </c>
      <c r="C43" s="411" t="s">
        <v>746</v>
      </c>
      <c r="D43" s="411"/>
      <c r="E43" s="29">
        <f>365-E42</f>
        <v>180</v>
      </c>
      <c r="F43" s="29">
        <v>1</v>
      </c>
      <c r="G43" s="30">
        <v>15</v>
      </c>
      <c r="H43" s="31"/>
      <c r="I43" s="31"/>
      <c r="J43" s="32">
        <v>15</v>
      </c>
      <c r="K43" s="33">
        <f t="shared" si="1"/>
        <v>100</v>
      </c>
      <c r="L43" s="33">
        <f t="shared" si="1"/>
        <v>0</v>
      </c>
      <c r="M43" s="33">
        <f t="shared" si="1"/>
        <v>0</v>
      </c>
      <c r="N43" s="34">
        <f t="shared" si="2"/>
        <v>100</v>
      </c>
      <c r="O43" s="35">
        <v>56.8</v>
      </c>
      <c r="P43" s="33"/>
      <c r="Q43" s="33"/>
      <c r="R43" s="36">
        <f t="shared" si="3"/>
        <v>56.8</v>
      </c>
      <c r="S43" s="29">
        <v>1</v>
      </c>
      <c r="T43" s="286">
        <v>28292</v>
      </c>
      <c r="U43" s="295">
        <v>28311</v>
      </c>
      <c r="V43" s="38" t="s">
        <v>553</v>
      </c>
      <c r="W43" s="29" t="s">
        <v>22</v>
      </c>
      <c r="X43" s="29" t="s">
        <v>11</v>
      </c>
      <c r="Y43" s="39">
        <v>56.8</v>
      </c>
      <c r="AD43" s="38"/>
      <c r="AG43" s="39"/>
      <c r="AL43" s="38"/>
      <c r="AO43" s="39"/>
      <c r="AP43" s="38"/>
      <c r="AS43" s="39"/>
      <c r="AW43" s="39"/>
      <c r="BA43" s="40"/>
    </row>
    <row r="44" spans="1:53" s="29" customFormat="1" x14ac:dyDescent="0.15">
      <c r="A44" s="52">
        <v>1978</v>
      </c>
      <c r="B44" s="295"/>
      <c r="C44" s="411" t="s">
        <v>746</v>
      </c>
      <c r="D44" s="411"/>
      <c r="E44" s="29">
        <v>0</v>
      </c>
      <c r="G44" s="30">
        <v>15</v>
      </c>
      <c r="H44" s="31"/>
      <c r="I44" s="31"/>
      <c r="J44" s="32">
        <v>15</v>
      </c>
      <c r="K44" s="33">
        <f t="shared" si="1"/>
        <v>100</v>
      </c>
      <c r="L44" s="33">
        <f t="shared" si="1"/>
        <v>0</v>
      </c>
      <c r="M44" s="33">
        <f t="shared" si="1"/>
        <v>0</v>
      </c>
      <c r="N44" s="34">
        <f t="shared" si="2"/>
        <v>100</v>
      </c>
      <c r="O44" s="35">
        <v>56.8</v>
      </c>
      <c r="P44" s="33"/>
      <c r="Q44" s="33"/>
      <c r="R44" s="36">
        <f t="shared" si="3"/>
        <v>56.8</v>
      </c>
      <c r="S44" s="29">
        <v>1</v>
      </c>
      <c r="T44" s="286"/>
      <c r="U44" s="295"/>
      <c r="V44" s="38" t="s">
        <v>553</v>
      </c>
      <c r="W44" s="29" t="s">
        <v>22</v>
      </c>
      <c r="X44" s="29" t="s">
        <v>11</v>
      </c>
      <c r="Y44" s="39">
        <v>56.8</v>
      </c>
      <c r="AD44" s="38"/>
      <c r="AG44" s="39"/>
      <c r="AL44" s="38"/>
      <c r="AO44" s="39"/>
      <c r="AP44" s="38"/>
      <c r="AS44" s="39"/>
      <c r="AW44" s="39"/>
      <c r="BA44" s="40"/>
    </row>
    <row r="45" spans="1:53" s="29" customFormat="1" x14ac:dyDescent="0.15">
      <c r="A45" s="52">
        <v>1978</v>
      </c>
      <c r="B45" s="295"/>
      <c r="C45" s="411" t="s">
        <v>746</v>
      </c>
      <c r="D45" s="411"/>
      <c r="E45" s="29">
        <v>365</v>
      </c>
      <c r="G45" s="30">
        <v>15</v>
      </c>
      <c r="H45" s="31"/>
      <c r="I45" s="31"/>
      <c r="J45" s="32">
        <v>15</v>
      </c>
      <c r="K45" s="33">
        <f t="shared" si="1"/>
        <v>100</v>
      </c>
      <c r="L45" s="33">
        <f t="shared" si="1"/>
        <v>0</v>
      </c>
      <c r="M45" s="33">
        <f t="shared" si="1"/>
        <v>0</v>
      </c>
      <c r="N45" s="34">
        <f t="shared" si="2"/>
        <v>100</v>
      </c>
      <c r="O45" s="35">
        <v>56.8</v>
      </c>
      <c r="P45" s="33"/>
      <c r="Q45" s="33"/>
      <c r="R45" s="36">
        <f t="shared" si="3"/>
        <v>56.8</v>
      </c>
      <c r="S45" s="29">
        <v>1</v>
      </c>
      <c r="T45" s="286"/>
      <c r="U45" s="295"/>
      <c r="V45" s="38" t="s">
        <v>553</v>
      </c>
      <c r="W45" s="29" t="s">
        <v>22</v>
      </c>
      <c r="X45" s="29" t="s">
        <v>11</v>
      </c>
      <c r="Y45" s="39">
        <v>56.8</v>
      </c>
      <c r="AD45" s="38"/>
      <c r="AG45" s="39"/>
      <c r="AL45" s="38"/>
      <c r="AO45" s="39"/>
      <c r="AP45" s="38"/>
      <c r="AS45" s="39"/>
      <c r="AW45" s="39"/>
      <c r="BA45" s="40"/>
    </row>
    <row r="46" spans="1:53" s="29" customFormat="1" x14ac:dyDescent="0.15">
      <c r="A46" s="52">
        <v>1979</v>
      </c>
      <c r="B46" s="295"/>
      <c r="C46" s="411" t="s">
        <v>746</v>
      </c>
      <c r="D46" s="411"/>
      <c r="E46" s="29">
        <v>344</v>
      </c>
      <c r="G46" s="30">
        <v>15</v>
      </c>
      <c r="H46" s="31"/>
      <c r="I46" s="31"/>
      <c r="J46" s="32">
        <v>15</v>
      </c>
      <c r="K46" s="33">
        <f t="shared" si="1"/>
        <v>100</v>
      </c>
      <c r="L46" s="33">
        <f t="shared" si="1"/>
        <v>0</v>
      </c>
      <c r="M46" s="33">
        <f t="shared" si="1"/>
        <v>0</v>
      </c>
      <c r="N46" s="34">
        <f t="shared" si="2"/>
        <v>100</v>
      </c>
      <c r="O46" s="35">
        <v>56.8</v>
      </c>
      <c r="P46" s="33"/>
      <c r="Q46" s="33"/>
      <c r="R46" s="36">
        <f t="shared" si="3"/>
        <v>56.8</v>
      </c>
      <c r="S46" s="29">
        <v>1</v>
      </c>
      <c r="T46" s="286"/>
      <c r="U46" s="295"/>
      <c r="V46" s="38" t="s">
        <v>553</v>
      </c>
      <c r="W46" s="29" t="s">
        <v>22</v>
      </c>
      <c r="X46" s="29" t="s">
        <v>11</v>
      </c>
      <c r="Y46" s="39">
        <v>56.8</v>
      </c>
      <c r="AD46" s="38"/>
      <c r="AG46" s="39"/>
      <c r="AL46" s="38"/>
      <c r="AO46" s="39"/>
      <c r="AP46" s="38"/>
      <c r="AS46" s="39"/>
      <c r="AW46" s="39"/>
      <c r="BA46" s="40"/>
    </row>
    <row r="47" spans="1:53" s="171" customFormat="1" x14ac:dyDescent="0.15">
      <c r="A47" s="216">
        <v>1979</v>
      </c>
      <c r="B47" s="283">
        <v>29200</v>
      </c>
      <c r="C47" s="410" t="s">
        <v>747</v>
      </c>
      <c r="D47" s="410"/>
      <c r="E47" s="171">
        <f>365-E46</f>
        <v>21</v>
      </c>
      <c r="F47" s="171">
        <v>2</v>
      </c>
      <c r="G47" s="172">
        <v>15</v>
      </c>
      <c r="H47" s="117"/>
      <c r="I47" s="117"/>
      <c r="J47" s="173">
        <v>15</v>
      </c>
      <c r="K47" s="174">
        <f t="shared" si="1"/>
        <v>100</v>
      </c>
      <c r="L47" s="174">
        <f t="shared" si="1"/>
        <v>0</v>
      </c>
      <c r="M47" s="174">
        <f t="shared" si="1"/>
        <v>0</v>
      </c>
      <c r="N47" s="175">
        <f t="shared" si="2"/>
        <v>100</v>
      </c>
      <c r="O47" s="176">
        <v>56.8</v>
      </c>
      <c r="P47" s="174"/>
      <c r="Q47" s="174"/>
      <c r="R47" s="177">
        <f t="shared" si="3"/>
        <v>56.8</v>
      </c>
      <c r="S47" s="171">
        <v>1</v>
      </c>
      <c r="T47" s="285"/>
      <c r="U47" s="283">
        <v>29200</v>
      </c>
      <c r="V47" s="178" t="s">
        <v>553</v>
      </c>
      <c r="W47" s="171" t="s">
        <v>22</v>
      </c>
      <c r="X47" s="171" t="s">
        <v>11</v>
      </c>
      <c r="Y47" s="179">
        <v>56.8</v>
      </c>
      <c r="AD47" s="178"/>
      <c r="AG47" s="179"/>
      <c r="AL47" s="178"/>
      <c r="AO47" s="179"/>
      <c r="AP47" s="178"/>
      <c r="AS47" s="179"/>
      <c r="AW47" s="179"/>
      <c r="BA47" s="180"/>
    </row>
    <row r="48" spans="1:53" s="171" customFormat="1" x14ac:dyDescent="0.15">
      <c r="A48" s="216">
        <v>1980</v>
      </c>
      <c r="B48" s="283"/>
      <c r="C48" s="410" t="s">
        <v>747</v>
      </c>
      <c r="D48" s="410"/>
      <c r="E48" s="171">
        <v>0</v>
      </c>
      <c r="G48" s="172">
        <v>15</v>
      </c>
      <c r="H48" s="117"/>
      <c r="I48" s="117"/>
      <c r="J48" s="173">
        <v>15</v>
      </c>
      <c r="K48" s="174">
        <f t="shared" si="1"/>
        <v>100</v>
      </c>
      <c r="L48" s="174">
        <f t="shared" si="1"/>
        <v>0</v>
      </c>
      <c r="M48" s="174">
        <f t="shared" si="1"/>
        <v>0</v>
      </c>
      <c r="N48" s="175">
        <f t="shared" si="2"/>
        <v>100</v>
      </c>
      <c r="O48" s="176">
        <v>56.8</v>
      </c>
      <c r="P48" s="174"/>
      <c r="Q48" s="174"/>
      <c r="R48" s="177">
        <f t="shared" si="3"/>
        <v>56.8</v>
      </c>
      <c r="S48" s="171">
        <v>1</v>
      </c>
      <c r="T48" s="285"/>
      <c r="U48" s="283"/>
      <c r="V48" s="178" t="s">
        <v>553</v>
      </c>
      <c r="W48" s="171" t="s">
        <v>22</v>
      </c>
      <c r="X48" s="171" t="s">
        <v>11</v>
      </c>
      <c r="Y48" s="179">
        <v>56.8</v>
      </c>
      <c r="AD48" s="178"/>
      <c r="AG48" s="179"/>
      <c r="AL48" s="178"/>
      <c r="AO48" s="179"/>
      <c r="AP48" s="178"/>
      <c r="AS48" s="179"/>
      <c r="AW48" s="179"/>
      <c r="BA48" s="180"/>
    </row>
    <row r="49" spans="1:53" s="171" customFormat="1" x14ac:dyDescent="0.15">
      <c r="A49" s="216">
        <v>1980</v>
      </c>
      <c r="B49" s="283"/>
      <c r="C49" s="410" t="s">
        <v>747</v>
      </c>
      <c r="D49" s="410"/>
      <c r="E49" s="171">
        <v>366</v>
      </c>
      <c r="G49" s="172">
        <v>15</v>
      </c>
      <c r="H49" s="117"/>
      <c r="I49" s="117"/>
      <c r="J49" s="173">
        <v>15</v>
      </c>
      <c r="K49" s="174">
        <f t="shared" si="1"/>
        <v>100</v>
      </c>
      <c r="L49" s="174">
        <f t="shared" si="1"/>
        <v>0</v>
      </c>
      <c r="M49" s="174">
        <f t="shared" si="1"/>
        <v>0</v>
      </c>
      <c r="N49" s="175">
        <f t="shared" si="2"/>
        <v>100</v>
      </c>
      <c r="O49" s="176">
        <v>56.8</v>
      </c>
      <c r="P49" s="174"/>
      <c r="Q49" s="174"/>
      <c r="R49" s="177">
        <f t="shared" si="3"/>
        <v>56.8</v>
      </c>
      <c r="S49" s="171">
        <v>1</v>
      </c>
      <c r="T49" s="285"/>
      <c r="U49" s="283"/>
      <c r="V49" s="178" t="s">
        <v>553</v>
      </c>
      <c r="W49" s="171" t="s">
        <v>22</v>
      </c>
      <c r="X49" s="171" t="s">
        <v>11</v>
      </c>
      <c r="Y49" s="179">
        <v>56.8</v>
      </c>
      <c r="AD49" s="178"/>
      <c r="AG49" s="179"/>
      <c r="AL49" s="178"/>
      <c r="AO49" s="179"/>
      <c r="AP49" s="178"/>
      <c r="AS49" s="179"/>
      <c r="AW49" s="179"/>
      <c r="BA49" s="180"/>
    </row>
    <row r="50" spans="1:53" s="171" customFormat="1" x14ac:dyDescent="0.15">
      <c r="A50" s="216">
        <v>1981</v>
      </c>
      <c r="B50" s="283"/>
      <c r="C50" s="410" t="s">
        <v>747</v>
      </c>
      <c r="D50" s="410"/>
      <c r="E50" s="171">
        <v>180</v>
      </c>
      <c r="G50" s="172">
        <v>15</v>
      </c>
      <c r="H50" s="117"/>
      <c r="I50" s="117"/>
      <c r="J50" s="173">
        <v>15</v>
      </c>
      <c r="K50" s="174">
        <f t="shared" si="1"/>
        <v>100</v>
      </c>
      <c r="L50" s="174">
        <f t="shared" si="1"/>
        <v>0</v>
      </c>
      <c r="M50" s="174">
        <f t="shared" si="1"/>
        <v>0</v>
      </c>
      <c r="N50" s="175">
        <f t="shared" si="2"/>
        <v>100</v>
      </c>
      <c r="O50" s="176">
        <v>56.8</v>
      </c>
      <c r="P50" s="174"/>
      <c r="Q50" s="174"/>
      <c r="R50" s="177">
        <f t="shared" si="3"/>
        <v>56.8</v>
      </c>
      <c r="S50" s="171">
        <v>1</v>
      </c>
      <c r="T50" s="285"/>
      <c r="U50" s="283"/>
      <c r="V50" s="178" t="s">
        <v>553</v>
      </c>
      <c r="W50" s="171" t="s">
        <v>22</v>
      </c>
      <c r="X50" s="171" t="s">
        <v>11</v>
      </c>
      <c r="Y50" s="179">
        <v>56.8</v>
      </c>
      <c r="AD50" s="178"/>
      <c r="AG50" s="179"/>
      <c r="AL50" s="178"/>
      <c r="AO50" s="179"/>
      <c r="AP50" s="178"/>
      <c r="AS50" s="179"/>
      <c r="AW50" s="179"/>
      <c r="BA50" s="180"/>
    </row>
    <row r="51" spans="1:53" s="29" customFormat="1" x14ac:dyDescent="0.15">
      <c r="A51" s="52">
        <v>1981</v>
      </c>
      <c r="B51" s="295">
        <v>29767</v>
      </c>
      <c r="C51" s="411" t="s">
        <v>748</v>
      </c>
      <c r="D51" s="411"/>
      <c r="E51" s="29">
        <f>365-E50</f>
        <v>185</v>
      </c>
      <c r="F51" s="29">
        <v>1</v>
      </c>
      <c r="G51" s="30"/>
      <c r="H51" s="31">
        <v>10</v>
      </c>
      <c r="I51" s="31">
        <v>4</v>
      </c>
      <c r="J51" s="32">
        <v>15</v>
      </c>
      <c r="K51" s="33">
        <f t="shared" si="1"/>
        <v>0</v>
      </c>
      <c r="L51" s="33">
        <f t="shared" si="1"/>
        <v>66.666666666666657</v>
      </c>
      <c r="M51" s="33">
        <f t="shared" si="1"/>
        <v>26.666666666666668</v>
      </c>
      <c r="N51" s="34">
        <f t="shared" si="2"/>
        <v>93.333333333333329</v>
      </c>
      <c r="O51" s="35"/>
      <c r="P51" s="33">
        <v>39.200000000000003</v>
      </c>
      <c r="Q51" s="33">
        <v>9</v>
      </c>
      <c r="R51" s="36">
        <f t="shared" si="3"/>
        <v>48.2</v>
      </c>
      <c r="S51" s="29">
        <v>5</v>
      </c>
      <c r="T51" s="286">
        <v>29748</v>
      </c>
      <c r="U51" s="295">
        <v>29767</v>
      </c>
      <c r="V51" s="38" t="s">
        <v>554</v>
      </c>
      <c r="W51" s="29" t="s">
        <v>17</v>
      </c>
      <c r="X51" s="29" t="s">
        <v>18</v>
      </c>
      <c r="Y51" s="39">
        <v>39.200000000000003</v>
      </c>
      <c r="Z51" s="29" t="s">
        <v>451</v>
      </c>
      <c r="AA51" s="29" t="s">
        <v>20</v>
      </c>
      <c r="AB51" s="29" t="s">
        <v>12</v>
      </c>
      <c r="AC51" s="29">
        <v>9</v>
      </c>
      <c r="AD51" s="38"/>
      <c r="AG51" s="39"/>
      <c r="AL51" s="38"/>
      <c r="AO51" s="39"/>
      <c r="AP51" s="38"/>
      <c r="AS51" s="39"/>
      <c r="AW51" s="39"/>
      <c r="BA51" s="40"/>
    </row>
    <row r="52" spans="1:53" s="29" customFormat="1" x14ac:dyDescent="0.15">
      <c r="A52" s="52">
        <v>1982</v>
      </c>
      <c r="B52" s="295"/>
      <c r="C52" s="411" t="s">
        <v>748</v>
      </c>
      <c r="D52" s="411"/>
      <c r="E52" s="29">
        <v>67</v>
      </c>
      <c r="G52" s="30"/>
      <c r="H52" s="31">
        <v>10</v>
      </c>
      <c r="I52" s="31">
        <v>4</v>
      </c>
      <c r="J52" s="32">
        <v>15</v>
      </c>
      <c r="K52" s="33">
        <f t="shared" si="1"/>
        <v>0</v>
      </c>
      <c r="L52" s="33">
        <f t="shared" si="1"/>
        <v>66.666666666666657</v>
      </c>
      <c r="M52" s="33">
        <f t="shared" si="1"/>
        <v>26.666666666666668</v>
      </c>
      <c r="N52" s="34">
        <f t="shared" si="2"/>
        <v>93.333333333333329</v>
      </c>
      <c r="O52" s="35"/>
      <c r="P52" s="33">
        <v>39.200000000000003</v>
      </c>
      <c r="Q52" s="33">
        <v>9</v>
      </c>
      <c r="R52" s="36">
        <f t="shared" si="3"/>
        <v>48.2</v>
      </c>
      <c r="S52" s="29">
        <v>5</v>
      </c>
      <c r="T52" s="286"/>
      <c r="U52" s="295"/>
      <c r="V52" s="38" t="s">
        <v>554</v>
      </c>
      <c r="W52" s="29" t="s">
        <v>17</v>
      </c>
      <c r="X52" s="29" t="s">
        <v>18</v>
      </c>
      <c r="Y52" s="39">
        <v>39.200000000000003</v>
      </c>
      <c r="Z52" s="29" t="s">
        <v>451</v>
      </c>
      <c r="AA52" s="29" t="s">
        <v>20</v>
      </c>
      <c r="AB52" s="29" t="s">
        <v>12</v>
      </c>
      <c r="AC52" s="29">
        <v>9</v>
      </c>
      <c r="AD52" s="38"/>
      <c r="AG52" s="39"/>
      <c r="AL52" s="38"/>
      <c r="AO52" s="39"/>
      <c r="AP52" s="38"/>
      <c r="AS52" s="39"/>
      <c r="AW52" s="39"/>
      <c r="BA52" s="40"/>
    </row>
    <row r="53" spans="1:53" s="171" customFormat="1" x14ac:dyDescent="0.15">
      <c r="A53" s="216">
        <v>1982</v>
      </c>
      <c r="B53" s="283">
        <v>30019</v>
      </c>
      <c r="C53" s="410" t="s">
        <v>749</v>
      </c>
      <c r="D53" s="410"/>
      <c r="E53" s="171">
        <v>280</v>
      </c>
      <c r="F53" s="171">
        <v>5</v>
      </c>
      <c r="G53" s="172">
        <v>16</v>
      </c>
      <c r="H53" s="117"/>
      <c r="I53" s="117"/>
      <c r="J53" s="173">
        <v>16</v>
      </c>
      <c r="K53" s="174">
        <f t="shared" si="1"/>
        <v>100</v>
      </c>
      <c r="L53" s="174">
        <f t="shared" si="1"/>
        <v>0</v>
      </c>
      <c r="M53" s="174">
        <f t="shared" si="1"/>
        <v>0</v>
      </c>
      <c r="N53" s="175">
        <f t="shared" si="2"/>
        <v>100</v>
      </c>
      <c r="O53" s="176">
        <v>47</v>
      </c>
      <c r="P53" s="174"/>
      <c r="Q53" s="174"/>
      <c r="R53" s="177">
        <f t="shared" si="3"/>
        <v>47</v>
      </c>
      <c r="S53" s="171">
        <v>4</v>
      </c>
      <c r="T53" s="285"/>
      <c r="U53" s="283">
        <v>30019</v>
      </c>
      <c r="V53" s="178" t="s">
        <v>553</v>
      </c>
      <c r="W53" s="171" t="s">
        <v>22</v>
      </c>
      <c r="X53" s="171" t="s">
        <v>11</v>
      </c>
      <c r="Y53" s="179">
        <v>47</v>
      </c>
      <c r="AD53" s="178"/>
      <c r="AG53" s="179"/>
      <c r="AL53" s="178"/>
      <c r="AO53" s="179"/>
      <c r="AP53" s="178"/>
      <c r="AS53" s="179"/>
      <c r="AW53" s="179"/>
      <c r="BA53" s="180"/>
    </row>
    <row r="54" spans="1:53" s="29" customFormat="1" x14ac:dyDescent="0.15">
      <c r="A54" s="52">
        <v>1982</v>
      </c>
      <c r="B54" s="295">
        <v>30299</v>
      </c>
      <c r="C54" s="411" t="s">
        <v>750</v>
      </c>
      <c r="D54" s="411"/>
      <c r="E54" s="29">
        <f>365-E53-E52</f>
        <v>18</v>
      </c>
      <c r="F54" s="29">
        <v>5</v>
      </c>
      <c r="G54" s="30"/>
      <c r="H54" s="31">
        <v>12</v>
      </c>
      <c r="I54" s="31">
        <v>4</v>
      </c>
      <c r="J54" s="32">
        <v>17</v>
      </c>
      <c r="K54" s="33">
        <f t="shared" si="1"/>
        <v>0</v>
      </c>
      <c r="L54" s="33">
        <f t="shared" si="1"/>
        <v>70.588235294117652</v>
      </c>
      <c r="M54" s="33">
        <f t="shared" si="1"/>
        <v>23.52941176470588</v>
      </c>
      <c r="N54" s="34">
        <f t="shared" si="2"/>
        <v>94.117647058823536</v>
      </c>
      <c r="O54" s="35"/>
      <c r="P54" s="33">
        <v>42.2</v>
      </c>
      <c r="Q54" s="33">
        <v>9.6</v>
      </c>
      <c r="R54" s="36">
        <f t="shared" si="3"/>
        <v>51.800000000000004</v>
      </c>
      <c r="S54" s="29">
        <v>2</v>
      </c>
      <c r="T54" s="286">
        <v>30279</v>
      </c>
      <c r="U54" s="295">
        <v>30299</v>
      </c>
      <c r="V54" s="38" t="s">
        <v>554</v>
      </c>
      <c r="W54" s="29" t="s">
        <v>17</v>
      </c>
      <c r="X54" s="29" t="s">
        <v>18</v>
      </c>
      <c r="Y54" s="39">
        <v>42.2</v>
      </c>
      <c r="Z54" s="29" t="s">
        <v>451</v>
      </c>
      <c r="AA54" s="29" t="s">
        <v>20</v>
      </c>
      <c r="AB54" s="29" t="s">
        <v>12</v>
      </c>
      <c r="AC54" s="29">
        <v>9.6</v>
      </c>
      <c r="AD54" s="38"/>
      <c r="AG54" s="39"/>
      <c r="AL54" s="38"/>
      <c r="AO54" s="39"/>
      <c r="AP54" s="38"/>
      <c r="AS54" s="39"/>
      <c r="AW54" s="39"/>
      <c r="BA54" s="40"/>
    </row>
    <row r="55" spans="1:53" s="29" customFormat="1" x14ac:dyDescent="0.15">
      <c r="A55" s="52">
        <v>1983</v>
      </c>
      <c r="B55" s="295"/>
      <c r="C55" s="411" t="s">
        <v>750</v>
      </c>
      <c r="D55" s="411"/>
      <c r="E55" s="29">
        <v>0</v>
      </c>
      <c r="G55" s="30"/>
      <c r="H55" s="31">
        <v>12</v>
      </c>
      <c r="I55" s="31">
        <v>4</v>
      </c>
      <c r="J55" s="32">
        <v>17</v>
      </c>
      <c r="K55" s="33">
        <f t="shared" si="1"/>
        <v>0</v>
      </c>
      <c r="L55" s="33">
        <f t="shared" si="1"/>
        <v>70.588235294117652</v>
      </c>
      <c r="M55" s="33">
        <f t="shared" si="1"/>
        <v>23.52941176470588</v>
      </c>
      <c r="N55" s="34">
        <f t="shared" si="2"/>
        <v>94.117647058823536</v>
      </c>
      <c r="O55" s="35"/>
      <c r="P55" s="33">
        <v>42.2</v>
      </c>
      <c r="Q55" s="33">
        <v>9.6</v>
      </c>
      <c r="R55" s="36">
        <f t="shared" si="3"/>
        <v>51.800000000000004</v>
      </c>
      <c r="S55" s="29">
        <v>2</v>
      </c>
      <c r="T55" s="286"/>
      <c r="U55" s="295"/>
      <c r="V55" s="38" t="s">
        <v>554</v>
      </c>
      <c r="W55" s="29" t="s">
        <v>17</v>
      </c>
      <c r="X55" s="29" t="s">
        <v>18</v>
      </c>
      <c r="Y55" s="39">
        <v>42.2</v>
      </c>
      <c r="Z55" s="29" t="s">
        <v>451</v>
      </c>
      <c r="AA55" s="29" t="s">
        <v>20</v>
      </c>
      <c r="AB55" s="29" t="s">
        <v>12</v>
      </c>
      <c r="AC55" s="29">
        <v>9.6</v>
      </c>
      <c r="AD55" s="38"/>
      <c r="AG55" s="39"/>
      <c r="AL55" s="38"/>
      <c r="AO55" s="39"/>
      <c r="AP55" s="38"/>
      <c r="AS55" s="39"/>
      <c r="AW55" s="39"/>
      <c r="BA55" s="40"/>
    </row>
    <row r="56" spans="1:53" s="29" customFormat="1" x14ac:dyDescent="0.15">
      <c r="A56" s="52">
        <v>1983</v>
      </c>
      <c r="B56" s="295"/>
      <c r="C56" s="411" t="s">
        <v>750</v>
      </c>
      <c r="D56" s="411"/>
      <c r="E56" s="29">
        <v>365</v>
      </c>
      <c r="G56" s="30"/>
      <c r="H56" s="31">
        <v>12</v>
      </c>
      <c r="I56" s="31">
        <v>4</v>
      </c>
      <c r="J56" s="32">
        <v>17</v>
      </c>
      <c r="K56" s="33">
        <f t="shared" si="1"/>
        <v>0</v>
      </c>
      <c r="L56" s="33">
        <f t="shared" si="1"/>
        <v>70.588235294117652</v>
      </c>
      <c r="M56" s="33">
        <f t="shared" si="1"/>
        <v>23.52941176470588</v>
      </c>
      <c r="N56" s="34">
        <f t="shared" si="2"/>
        <v>94.117647058823536</v>
      </c>
      <c r="O56" s="35"/>
      <c r="P56" s="33">
        <v>42.2</v>
      </c>
      <c r="Q56" s="33">
        <v>9.6</v>
      </c>
      <c r="R56" s="36">
        <f t="shared" si="3"/>
        <v>51.800000000000004</v>
      </c>
      <c r="S56" s="29">
        <v>2</v>
      </c>
      <c r="T56" s="286"/>
      <c r="U56" s="295"/>
      <c r="V56" s="38" t="s">
        <v>554</v>
      </c>
      <c r="W56" s="29" t="s">
        <v>17</v>
      </c>
      <c r="X56" s="29" t="s">
        <v>18</v>
      </c>
      <c r="Y56" s="39">
        <v>42.2</v>
      </c>
      <c r="Z56" s="29" t="s">
        <v>451</v>
      </c>
      <c r="AA56" s="29" t="s">
        <v>20</v>
      </c>
      <c r="AB56" s="29" t="s">
        <v>12</v>
      </c>
      <c r="AC56" s="29">
        <v>9.6</v>
      </c>
      <c r="AD56" s="38"/>
      <c r="AG56" s="39"/>
      <c r="AL56" s="38"/>
      <c r="AO56" s="39"/>
      <c r="AP56" s="38"/>
      <c r="AS56" s="39"/>
      <c r="AW56" s="39"/>
      <c r="BA56" s="40"/>
    </row>
    <row r="57" spans="1:53" s="29" customFormat="1" x14ac:dyDescent="0.15">
      <c r="A57" s="52">
        <v>1984</v>
      </c>
      <c r="B57" s="295"/>
      <c r="C57" s="411" t="s">
        <v>750</v>
      </c>
      <c r="D57" s="411"/>
      <c r="E57" s="29">
        <v>0</v>
      </c>
      <c r="G57" s="30"/>
      <c r="H57" s="31">
        <v>12</v>
      </c>
      <c r="I57" s="31">
        <v>4</v>
      </c>
      <c r="J57" s="32">
        <v>17</v>
      </c>
      <c r="K57" s="33">
        <f t="shared" si="1"/>
        <v>0</v>
      </c>
      <c r="L57" s="33">
        <f t="shared" si="1"/>
        <v>70.588235294117652</v>
      </c>
      <c r="M57" s="33">
        <f t="shared" si="1"/>
        <v>23.52941176470588</v>
      </c>
      <c r="N57" s="34">
        <f t="shared" si="2"/>
        <v>94.117647058823536</v>
      </c>
      <c r="O57" s="35"/>
      <c r="P57" s="33">
        <v>42.2</v>
      </c>
      <c r="Q57" s="33">
        <v>9.6</v>
      </c>
      <c r="R57" s="36">
        <f t="shared" si="3"/>
        <v>51.800000000000004</v>
      </c>
      <c r="S57" s="29">
        <v>2</v>
      </c>
      <c r="T57" s="286"/>
      <c r="U57" s="295"/>
      <c r="V57" s="38" t="s">
        <v>554</v>
      </c>
      <c r="W57" s="29" t="s">
        <v>17</v>
      </c>
      <c r="X57" s="29" t="s">
        <v>18</v>
      </c>
      <c r="Y57" s="39">
        <v>42.2</v>
      </c>
      <c r="Z57" s="29" t="s">
        <v>451</v>
      </c>
      <c r="AA57" s="29" t="s">
        <v>20</v>
      </c>
      <c r="AB57" s="29" t="s">
        <v>12</v>
      </c>
      <c r="AC57" s="29">
        <v>9.6</v>
      </c>
      <c r="AD57" s="38"/>
      <c r="AG57" s="39"/>
      <c r="AL57" s="38"/>
      <c r="AO57" s="39"/>
      <c r="AP57" s="38"/>
      <c r="AS57" s="39"/>
      <c r="AW57" s="39"/>
      <c r="BA57" s="40"/>
    </row>
    <row r="58" spans="1:53" s="29" customFormat="1" x14ac:dyDescent="0.15">
      <c r="A58" s="52">
        <v>1984</v>
      </c>
      <c r="B58" s="295"/>
      <c r="C58" s="411" t="s">
        <v>750</v>
      </c>
      <c r="D58" s="411"/>
      <c r="E58" s="29">
        <v>366</v>
      </c>
      <c r="G58" s="30"/>
      <c r="H58" s="31">
        <v>12</v>
      </c>
      <c r="I58" s="31">
        <v>4</v>
      </c>
      <c r="J58" s="32">
        <v>17</v>
      </c>
      <c r="K58" s="33">
        <f t="shared" si="1"/>
        <v>0</v>
      </c>
      <c r="L58" s="33">
        <f t="shared" si="1"/>
        <v>70.588235294117652</v>
      </c>
      <c r="M58" s="33">
        <f t="shared" si="1"/>
        <v>23.52941176470588</v>
      </c>
      <c r="N58" s="34">
        <f t="shared" si="2"/>
        <v>94.117647058823536</v>
      </c>
      <c r="O58" s="35"/>
      <c r="P58" s="33">
        <v>42.2</v>
      </c>
      <c r="Q58" s="33">
        <v>9.6</v>
      </c>
      <c r="R58" s="36">
        <f t="shared" si="3"/>
        <v>51.800000000000004</v>
      </c>
      <c r="S58" s="29">
        <v>2</v>
      </c>
      <c r="T58" s="286"/>
      <c r="U58" s="295"/>
      <c r="V58" s="38" t="s">
        <v>554</v>
      </c>
      <c r="W58" s="29" t="s">
        <v>17</v>
      </c>
      <c r="X58" s="29" t="s">
        <v>18</v>
      </c>
      <c r="Y58" s="39">
        <v>42.2</v>
      </c>
      <c r="Z58" s="29" t="s">
        <v>451</v>
      </c>
      <c r="AA58" s="29" t="s">
        <v>20</v>
      </c>
      <c r="AB58" s="29" t="s">
        <v>12</v>
      </c>
      <c r="AC58" s="29">
        <v>9.6</v>
      </c>
      <c r="AD58" s="38"/>
      <c r="AG58" s="39"/>
      <c r="AL58" s="38"/>
      <c r="AO58" s="39"/>
      <c r="AP58" s="38"/>
      <c r="AS58" s="39"/>
      <c r="AW58" s="39"/>
      <c r="BA58" s="40"/>
    </row>
    <row r="59" spans="1:53" s="29" customFormat="1" x14ac:dyDescent="0.15">
      <c r="A59" s="52">
        <v>1985</v>
      </c>
      <c r="B59" s="295"/>
      <c r="C59" s="411" t="s">
        <v>750</v>
      </c>
      <c r="D59" s="411"/>
      <c r="E59" s="29">
        <v>0</v>
      </c>
      <c r="G59" s="30"/>
      <c r="H59" s="31">
        <v>12</v>
      </c>
      <c r="I59" s="31">
        <v>4</v>
      </c>
      <c r="J59" s="32">
        <v>17</v>
      </c>
      <c r="K59" s="33">
        <f>G59/$J59*100</f>
        <v>0</v>
      </c>
      <c r="L59" s="33">
        <f t="shared" ref="L59:M109" si="4">H59/$J59*100</f>
        <v>70.588235294117652</v>
      </c>
      <c r="M59" s="33">
        <f t="shared" si="4"/>
        <v>23.52941176470588</v>
      </c>
      <c r="N59" s="34">
        <f>K59+L59+M59</f>
        <v>94.117647058823536</v>
      </c>
      <c r="O59" s="35"/>
      <c r="P59" s="33">
        <v>42.2</v>
      </c>
      <c r="Q59" s="33">
        <v>9.6</v>
      </c>
      <c r="R59" s="36">
        <f t="shared" si="3"/>
        <v>51.800000000000004</v>
      </c>
      <c r="S59" s="29">
        <v>2</v>
      </c>
      <c r="T59" s="286"/>
      <c r="U59" s="295"/>
      <c r="V59" s="38" t="s">
        <v>554</v>
      </c>
      <c r="W59" s="29" t="s">
        <v>17</v>
      </c>
      <c r="X59" s="29" t="s">
        <v>18</v>
      </c>
      <c r="Y59" s="39">
        <v>42.2</v>
      </c>
      <c r="Z59" s="29" t="s">
        <v>451</v>
      </c>
      <c r="AA59" s="29" t="s">
        <v>20</v>
      </c>
      <c r="AB59" s="29" t="s">
        <v>12</v>
      </c>
      <c r="AC59" s="29">
        <v>9.6</v>
      </c>
      <c r="AD59" s="38"/>
      <c r="AG59" s="39"/>
      <c r="AL59" s="38"/>
      <c r="AO59" s="39"/>
      <c r="AP59" s="38"/>
      <c r="AS59" s="39"/>
      <c r="AW59" s="39"/>
      <c r="BA59" s="40"/>
    </row>
    <row r="60" spans="1:53" s="29" customFormat="1" x14ac:dyDescent="0.15">
      <c r="A60" s="52">
        <v>1985</v>
      </c>
      <c r="B60" s="295"/>
      <c r="C60" s="411" t="s">
        <v>750</v>
      </c>
      <c r="D60" s="411"/>
      <c r="E60" s="29">
        <v>365</v>
      </c>
      <c r="G60" s="30"/>
      <c r="H60" s="31">
        <v>12</v>
      </c>
      <c r="I60" s="31">
        <v>4</v>
      </c>
      <c r="J60" s="32">
        <v>17</v>
      </c>
      <c r="K60" s="33">
        <f t="shared" ref="K60:K65" si="5">G60/$J60*100</f>
        <v>0</v>
      </c>
      <c r="L60" s="33">
        <f t="shared" si="4"/>
        <v>70.588235294117652</v>
      </c>
      <c r="M60" s="33">
        <f t="shared" si="4"/>
        <v>23.52941176470588</v>
      </c>
      <c r="N60" s="34">
        <f t="shared" ref="N60:N65" si="6">K60+L60+M60</f>
        <v>94.117647058823536</v>
      </c>
      <c r="O60" s="35"/>
      <c r="P60" s="33">
        <v>42.2</v>
      </c>
      <c r="Q60" s="33">
        <v>9.6</v>
      </c>
      <c r="R60" s="36">
        <f t="shared" si="3"/>
        <v>51.800000000000004</v>
      </c>
      <c r="S60" s="29">
        <v>2</v>
      </c>
      <c r="T60" s="286"/>
      <c r="U60" s="295"/>
      <c r="V60" s="38" t="s">
        <v>554</v>
      </c>
      <c r="W60" s="29" t="s">
        <v>17</v>
      </c>
      <c r="X60" s="29" t="s">
        <v>18</v>
      </c>
      <c r="Y60" s="39">
        <v>42.2</v>
      </c>
      <c r="Z60" s="29" t="s">
        <v>451</v>
      </c>
      <c r="AA60" s="29" t="s">
        <v>20</v>
      </c>
      <c r="AB60" s="29" t="s">
        <v>12</v>
      </c>
      <c r="AC60" s="29">
        <v>9.6</v>
      </c>
      <c r="AD60" s="38"/>
      <c r="AG60" s="39"/>
      <c r="AL60" s="38"/>
      <c r="AO60" s="39"/>
      <c r="AP60" s="38"/>
      <c r="AS60" s="39"/>
      <c r="AW60" s="39"/>
      <c r="BA60" s="40"/>
    </row>
    <row r="61" spans="1:53" s="29" customFormat="1" x14ac:dyDescent="0.15">
      <c r="A61" s="52">
        <v>1986</v>
      </c>
      <c r="B61" s="295"/>
      <c r="C61" s="411" t="s">
        <v>750</v>
      </c>
      <c r="D61" s="411"/>
      <c r="E61" s="29">
        <v>0</v>
      </c>
      <c r="G61" s="30"/>
      <c r="H61" s="31">
        <v>12</v>
      </c>
      <c r="I61" s="31">
        <v>4</v>
      </c>
      <c r="J61" s="32">
        <v>17</v>
      </c>
      <c r="K61" s="33">
        <f t="shared" si="5"/>
        <v>0</v>
      </c>
      <c r="L61" s="33">
        <f t="shared" si="4"/>
        <v>70.588235294117652</v>
      </c>
      <c r="M61" s="33">
        <f t="shared" si="4"/>
        <v>23.52941176470588</v>
      </c>
      <c r="N61" s="34">
        <f t="shared" si="6"/>
        <v>94.117647058823536</v>
      </c>
      <c r="O61" s="35"/>
      <c r="P61" s="33">
        <v>42.2</v>
      </c>
      <c r="Q61" s="33">
        <v>9.6</v>
      </c>
      <c r="R61" s="36">
        <f t="shared" si="3"/>
        <v>51.800000000000004</v>
      </c>
      <c r="S61" s="29">
        <v>2</v>
      </c>
      <c r="T61" s="286"/>
      <c r="U61" s="295"/>
      <c r="V61" s="38" t="s">
        <v>554</v>
      </c>
      <c r="W61" s="29" t="s">
        <v>17</v>
      </c>
      <c r="X61" s="29" t="s">
        <v>18</v>
      </c>
      <c r="Y61" s="39">
        <v>42.2</v>
      </c>
      <c r="Z61" s="29" t="s">
        <v>451</v>
      </c>
      <c r="AA61" s="29" t="s">
        <v>20</v>
      </c>
      <c r="AB61" s="29" t="s">
        <v>12</v>
      </c>
      <c r="AC61" s="29">
        <v>9.6</v>
      </c>
      <c r="AD61" s="38"/>
      <c r="AG61" s="39"/>
      <c r="AL61" s="38"/>
      <c r="AO61" s="39"/>
      <c r="AP61" s="38"/>
      <c r="AS61" s="39"/>
      <c r="AW61" s="39"/>
      <c r="BA61" s="40"/>
    </row>
    <row r="62" spans="1:53" s="29" customFormat="1" x14ac:dyDescent="0.15">
      <c r="A62" s="52">
        <v>1986</v>
      </c>
      <c r="B62" s="295"/>
      <c r="C62" s="411" t="s">
        <v>750</v>
      </c>
      <c r="D62" s="411"/>
      <c r="E62" s="29">
        <v>365</v>
      </c>
      <c r="G62" s="30"/>
      <c r="H62" s="31">
        <v>12</v>
      </c>
      <c r="I62" s="31">
        <v>4</v>
      </c>
      <c r="J62" s="32">
        <v>17</v>
      </c>
      <c r="K62" s="33">
        <f t="shared" si="5"/>
        <v>0</v>
      </c>
      <c r="L62" s="33">
        <f t="shared" si="4"/>
        <v>70.588235294117652</v>
      </c>
      <c r="M62" s="33">
        <f t="shared" si="4"/>
        <v>23.52941176470588</v>
      </c>
      <c r="N62" s="34">
        <f t="shared" si="6"/>
        <v>94.117647058823536</v>
      </c>
      <c r="O62" s="35"/>
      <c r="P62" s="33">
        <v>42.2</v>
      </c>
      <c r="Q62" s="33">
        <v>9.6</v>
      </c>
      <c r="R62" s="36">
        <f t="shared" si="3"/>
        <v>51.800000000000004</v>
      </c>
      <c r="S62" s="29">
        <v>2</v>
      </c>
      <c r="T62" s="286"/>
      <c r="U62" s="295"/>
      <c r="V62" s="38" t="s">
        <v>554</v>
      </c>
      <c r="W62" s="29" t="s">
        <v>17</v>
      </c>
      <c r="X62" s="29" t="s">
        <v>18</v>
      </c>
      <c r="Y62" s="39">
        <v>42.2</v>
      </c>
      <c r="Z62" s="29" t="s">
        <v>451</v>
      </c>
      <c r="AA62" s="29" t="s">
        <v>20</v>
      </c>
      <c r="AB62" s="29" t="s">
        <v>12</v>
      </c>
      <c r="AC62" s="29">
        <v>9.6</v>
      </c>
      <c r="AD62" s="38"/>
      <c r="AG62" s="39"/>
      <c r="AL62" s="38"/>
      <c r="AO62" s="39"/>
      <c r="AP62" s="38"/>
      <c r="AS62" s="39"/>
      <c r="AW62" s="39"/>
      <c r="BA62" s="40"/>
    </row>
    <row r="63" spans="1:53" s="29" customFormat="1" x14ac:dyDescent="0.15">
      <c r="A63" s="52">
        <v>1987</v>
      </c>
      <c r="B63" s="295"/>
      <c r="C63" s="411" t="s">
        <v>750</v>
      </c>
      <c r="D63" s="411"/>
      <c r="E63" s="29">
        <v>68</v>
      </c>
      <c r="G63" s="30"/>
      <c r="H63" s="31">
        <v>12</v>
      </c>
      <c r="I63" s="31">
        <v>4</v>
      </c>
      <c r="J63" s="32">
        <v>17</v>
      </c>
      <c r="K63" s="33">
        <f t="shared" si="5"/>
        <v>0</v>
      </c>
      <c r="L63" s="33">
        <f t="shared" si="4"/>
        <v>70.588235294117652</v>
      </c>
      <c r="M63" s="33">
        <f t="shared" si="4"/>
        <v>23.52941176470588</v>
      </c>
      <c r="N63" s="34">
        <f t="shared" si="6"/>
        <v>94.117647058823536</v>
      </c>
      <c r="O63" s="35"/>
      <c r="P63" s="33">
        <v>42.2</v>
      </c>
      <c r="Q63" s="33">
        <v>9.6</v>
      </c>
      <c r="R63" s="36">
        <f t="shared" si="3"/>
        <v>51.800000000000004</v>
      </c>
      <c r="S63" s="29">
        <v>2</v>
      </c>
      <c r="T63" s="286"/>
      <c r="U63" s="295"/>
      <c r="V63" s="38" t="s">
        <v>554</v>
      </c>
      <c r="W63" s="29" t="s">
        <v>17</v>
      </c>
      <c r="X63" s="29" t="s">
        <v>18</v>
      </c>
      <c r="Y63" s="39">
        <v>42.2</v>
      </c>
      <c r="Z63" s="29" t="s">
        <v>451</v>
      </c>
      <c r="AA63" s="29" t="s">
        <v>20</v>
      </c>
      <c r="AB63" s="29" t="s">
        <v>12</v>
      </c>
      <c r="AC63" s="29">
        <v>9.6</v>
      </c>
      <c r="AD63" s="38"/>
      <c r="AG63" s="39"/>
      <c r="AL63" s="38"/>
      <c r="AO63" s="39"/>
      <c r="AP63" s="38"/>
      <c r="AS63" s="39"/>
      <c r="AW63" s="39"/>
      <c r="BA63" s="40"/>
    </row>
    <row r="64" spans="1:53" s="171" customFormat="1" x14ac:dyDescent="0.15">
      <c r="A64" s="216">
        <v>1987</v>
      </c>
      <c r="B64" s="283">
        <v>31846</v>
      </c>
      <c r="C64" s="410" t="s">
        <v>751</v>
      </c>
      <c r="D64" s="410"/>
      <c r="E64" s="171">
        <f>365-E63</f>
        <v>297</v>
      </c>
      <c r="F64" s="171">
        <v>4</v>
      </c>
      <c r="G64" s="172">
        <v>16</v>
      </c>
      <c r="H64" s="117"/>
      <c r="I64" s="117"/>
      <c r="J64" s="173">
        <v>16</v>
      </c>
      <c r="K64" s="174">
        <f t="shared" si="5"/>
        <v>100</v>
      </c>
      <c r="L64" s="174">
        <f t="shared" si="4"/>
        <v>0</v>
      </c>
      <c r="M64" s="174">
        <f t="shared" si="4"/>
        <v>0</v>
      </c>
      <c r="N64" s="175">
        <f t="shared" si="6"/>
        <v>100</v>
      </c>
      <c r="O64" s="176">
        <v>48.8</v>
      </c>
      <c r="P64" s="174"/>
      <c r="Q64" s="174"/>
      <c r="R64" s="177">
        <f t="shared" si="3"/>
        <v>48.8</v>
      </c>
      <c r="S64" s="171">
        <v>4</v>
      </c>
      <c r="T64" s="285">
        <v>31825</v>
      </c>
      <c r="U64" s="283">
        <v>31846</v>
      </c>
      <c r="V64" s="178" t="s">
        <v>553</v>
      </c>
      <c r="W64" s="171" t="s">
        <v>22</v>
      </c>
      <c r="X64" s="171" t="s">
        <v>11</v>
      </c>
      <c r="Y64" s="179">
        <v>48.8</v>
      </c>
      <c r="AD64" s="178"/>
      <c r="AG64" s="179"/>
      <c r="AL64" s="178"/>
      <c r="AO64" s="179"/>
      <c r="AP64" s="178"/>
      <c r="AS64" s="179"/>
      <c r="AW64" s="179"/>
      <c r="BA64" s="180"/>
    </row>
    <row r="65" spans="1:53" s="171" customFormat="1" x14ac:dyDescent="0.15">
      <c r="A65" s="216">
        <v>1988</v>
      </c>
      <c r="B65" s="283"/>
      <c r="C65" s="410" t="s">
        <v>751</v>
      </c>
      <c r="D65" s="410"/>
      <c r="E65" s="171">
        <v>0</v>
      </c>
      <c r="G65" s="172">
        <v>16</v>
      </c>
      <c r="H65" s="117"/>
      <c r="I65" s="117"/>
      <c r="J65" s="173">
        <v>16</v>
      </c>
      <c r="K65" s="174">
        <f t="shared" si="5"/>
        <v>100</v>
      </c>
      <c r="L65" s="174">
        <f t="shared" si="4"/>
        <v>0</v>
      </c>
      <c r="M65" s="174">
        <f t="shared" si="4"/>
        <v>0</v>
      </c>
      <c r="N65" s="175">
        <f t="shared" si="6"/>
        <v>100</v>
      </c>
      <c r="O65" s="176">
        <v>48.8</v>
      </c>
      <c r="P65" s="174"/>
      <c r="Q65" s="174"/>
      <c r="R65" s="177">
        <f t="shared" si="3"/>
        <v>48.8</v>
      </c>
      <c r="S65" s="171">
        <v>4</v>
      </c>
      <c r="T65" s="285"/>
      <c r="U65" s="283"/>
      <c r="V65" s="178" t="s">
        <v>553</v>
      </c>
      <c r="W65" s="171" t="s">
        <v>22</v>
      </c>
      <c r="X65" s="171" t="s">
        <v>11</v>
      </c>
      <c r="Y65" s="179">
        <v>48.8</v>
      </c>
      <c r="AD65" s="178"/>
      <c r="AG65" s="179"/>
      <c r="AL65" s="178"/>
      <c r="AO65" s="179"/>
      <c r="AP65" s="178"/>
      <c r="AS65" s="179"/>
      <c r="AW65" s="179"/>
      <c r="BA65" s="180"/>
    </row>
    <row r="66" spans="1:53" s="171" customFormat="1" x14ac:dyDescent="0.15">
      <c r="A66" s="216">
        <v>1988</v>
      </c>
      <c r="B66" s="283"/>
      <c r="C66" s="410" t="s">
        <v>751</v>
      </c>
      <c r="D66" s="410"/>
      <c r="E66" s="171">
        <v>366</v>
      </c>
      <c r="G66" s="172">
        <v>16</v>
      </c>
      <c r="H66" s="117"/>
      <c r="I66" s="117"/>
      <c r="J66" s="173">
        <v>16</v>
      </c>
      <c r="K66" s="174">
        <f>G66/$J66*100</f>
        <v>100</v>
      </c>
      <c r="L66" s="174">
        <f t="shared" si="4"/>
        <v>0</v>
      </c>
      <c r="M66" s="174">
        <f t="shared" si="4"/>
        <v>0</v>
      </c>
      <c r="N66" s="175">
        <f>K66+L66+M66</f>
        <v>100</v>
      </c>
      <c r="O66" s="176">
        <v>48.8</v>
      </c>
      <c r="P66" s="174"/>
      <c r="Q66" s="174"/>
      <c r="R66" s="177">
        <f t="shared" si="3"/>
        <v>48.8</v>
      </c>
      <c r="S66" s="171">
        <v>4</v>
      </c>
      <c r="T66" s="285"/>
      <c r="U66" s="283"/>
      <c r="V66" s="178" t="s">
        <v>553</v>
      </c>
      <c r="W66" s="171" t="s">
        <v>22</v>
      </c>
      <c r="X66" s="171" t="s">
        <v>11</v>
      </c>
      <c r="Y66" s="179">
        <v>48.8</v>
      </c>
      <c r="AD66" s="178"/>
      <c r="AG66" s="179"/>
      <c r="AL66" s="178"/>
      <c r="AO66" s="179"/>
      <c r="AP66" s="178"/>
      <c r="AS66" s="179"/>
      <c r="AW66" s="179"/>
      <c r="BA66" s="180"/>
    </row>
    <row r="67" spans="1:53" s="171" customFormat="1" x14ac:dyDescent="0.15">
      <c r="A67" s="216">
        <v>1989</v>
      </c>
      <c r="B67" s="283"/>
      <c r="C67" s="410" t="s">
        <v>751</v>
      </c>
      <c r="D67" s="410"/>
      <c r="E67" s="171">
        <v>192</v>
      </c>
      <c r="G67" s="172">
        <v>16</v>
      </c>
      <c r="H67" s="117"/>
      <c r="I67" s="117"/>
      <c r="J67" s="173">
        <v>16</v>
      </c>
      <c r="K67" s="174">
        <f t="shared" ref="K67:K92" si="7">G67/$J67*100</f>
        <v>100</v>
      </c>
      <c r="L67" s="174">
        <f t="shared" si="4"/>
        <v>0</v>
      </c>
      <c r="M67" s="174">
        <f t="shared" si="4"/>
        <v>0</v>
      </c>
      <c r="N67" s="175">
        <f t="shared" ref="N67:N92" si="8">K67+L67+M67</f>
        <v>100</v>
      </c>
      <c r="O67" s="176">
        <v>48.8</v>
      </c>
      <c r="P67" s="174"/>
      <c r="Q67" s="174"/>
      <c r="R67" s="177">
        <f t="shared" si="3"/>
        <v>48.8</v>
      </c>
      <c r="S67" s="171">
        <v>4</v>
      </c>
      <c r="T67" s="285"/>
      <c r="U67" s="283"/>
      <c r="V67" s="178" t="s">
        <v>553</v>
      </c>
      <c r="W67" s="171" t="s">
        <v>22</v>
      </c>
      <c r="X67" s="171" t="s">
        <v>11</v>
      </c>
      <c r="Y67" s="179">
        <v>48.8</v>
      </c>
      <c r="AD67" s="178"/>
      <c r="AG67" s="179"/>
      <c r="AL67" s="178"/>
      <c r="AO67" s="179"/>
      <c r="AP67" s="178"/>
      <c r="AS67" s="179"/>
      <c r="AW67" s="179"/>
      <c r="BA67" s="180"/>
    </row>
    <row r="68" spans="1:53" s="29" customFormat="1" x14ac:dyDescent="0.15">
      <c r="A68" s="52">
        <v>1989</v>
      </c>
      <c r="B68" s="295">
        <v>32701</v>
      </c>
      <c r="C68" s="411" t="s">
        <v>752</v>
      </c>
      <c r="D68" s="411"/>
      <c r="E68" s="29">
        <f>365-E67</f>
        <v>173</v>
      </c>
      <c r="F68" s="29">
        <v>1</v>
      </c>
      <c r="G68" s="30">
        <v>16</v>
      </c>
      <c r="H68" s="31"/>
      <c r="I68" s="31"/>
      <c r="J68" s="32">
        <v>16</v>
      </c>
      <c r="K68" s="33">
        <f t="shared" si="7"/>
        <v>100</v>
      </c>
      <c r="L68" s="33">
        <f t="shared" si="4"/>
        <v>0</v>
      </c>
      <c r="M68" s="33">
        <f t="shared" si="4"/>
        <v>0</v>
      </c>
      <c r="N68" s="34">
        <f t="shared" si="8"/>
        <v>100</v>
      </c>
      <c r="O68" s="35">
        <v>50</v>
      </c>
      <c r="P68" s="33"/>
      <c r="Q68" s="33"/>
      <c r="R68" s="36">
        <f t="shared" si="3"/>
        <v>50</v>
      </c>
      <c r="S68" s="29">
        <v>5</v>
      </c>
      <c r="T68" s="286">
        <v>32674</v>
      </c>
      <c r="U68" s="295">
        <v>32701</v>
      </c>
      <c r="V68" s="38" t="s">
        <v>553</v>
      </c>
      <c r="W68" s="29" t="s">
        <v>22</v>
      </c>
      <c r="X68" s="29" t="s">
        <v>11</v>
      </c>
      <c r="Y68" s="39">
        <v>46.4</v>
      </c>
      <c r="Z68" s="29" t="s">
        <v>555</v>
      </c>
      <c r="AA68" s="29" t="s">
        <v>93</v>
      </c>
      <c r="AB68" s="29" t="s">
        <v>11</v>
      </c>
      <c r="AC68" s="29">
        <v>3.6</v>
      </c>
      <c r="AD68" s="38"/>
      <c r="AG68" s="39"/>
      <c r="AL68" s="38"/>
      <c r="AO68" s="39"/>
      <c r="AP68" s="38"/>
      <c r="AS68" s="39"/>
      <c r="AW68" s="39"/>
      <c r="BA68" s="40"/>
    </row>
    <row r="69" spans="1:53" s="85" customFormat="1" x14ac:dyDescent="0.15">
      <c r="A69" s="85">
        <v>1990</v>
      </c>
      <c r="B69" s="312"/>
      <c r="C69" s="440" t="s">
        <v>752</v>
      </c>
      <c r="D69" s="440"/>
      <c r="E69" s="85">
        <v>0</v>
      </c>
      <c r="G69" s="105">
        <v>16</v>
      </c>
      <c r="H69" s="106"/>
      <c r="I69" s="106"/>
      <c r="J69" s="107">
        <v>16</v>
      </c>
      <c r="K69" s="108">
        <f t="shared" si="7"/>
        <v>100</v>
      </c>
      <c r="L69" s="108">
        <f t="shared" si="4"/>
        <v>0</v>
      </c>
      <c r="M69" s="108">
        <f t="shared" si="4"/>
        <v>0</v>
      </c>
      <c r="N69" s="109">
        <f t="shared" si="8"/>
        <v>100</v>
      </c>
      <c r="O69" s="110">
        <v>50</v>
      </c>
      <c r="P69" s="108"/>
      <c r="Q69" s="108"/>
      <c r="R69" s="111">
        <f t="shared" si="3"/>
        <v>50</v>
      </c>
      <c r="S69" s="85">
        <v>5</v>
      </c>
      <c r="T69" s="313"/>
      <c r="U69" s="312"/>
      <c r="V69" s="101" t="s">
        <v>553</v>
      </c>
      <c r="W69" s="85" t="s">
        <v>22</v>
      </c>
      <c r="X69" s="85" t="s">
        <v>11</v>
      </c>
      <c r="Y69" s="102">
        <v>46.4</v>
      </c>
      <c r="Z69" s="85" t="s">
        <v>555</v>
      </c>
      <c r="AA69" s="85" t="s">
        <v>93</v>
      </c>
      <c r="AB69" s="85" t="s">
        <v>11</v>
      </c>
      <c r="AC69" s="85">
        <v>3.6</v>
      </c>
      <c r="AD69" s="101"/>
      <c r="AG69" s="102"/>
      <c r="AL69" s="101"/>
      <c r="AO69" s="102"/>
      <c r="AP69" s="101"/>
      <c r="AS69" s="102"/>
      <c r="AW69" s="102"/>
      <c r="BA69" s="103"/>
    </row>
    <row r="70" spans="1:53" s="29" customFormat="1" x14ac:dyDescent="0.15">
      <c r="A70" s="29">
        <v>1990</v>
      </c>
      <c r="B70" s="295"/>
      <c r="C70" s="411" t="s">
        <v>752</v>
      </c>
      <c r="D70" s="411"/>
      <c r="E70" s="29">
        <f>365-E69</f>
        <v>365</v>
      </c>
      <c r="G70" s="30">
        <v>16</v>
      </c>
      <c r="H70" s="31"/>
      <c r="I70" s="31"/>
      <c r="J70" s="32">
        <v>16</v>
      </c>
      <c r="K70" s="33">
        <f t="shared" si="7"/>
        <v>100</v>
      </c>
      <c r="L70" s="33">
        <f t="shared" si="4"/>
        <v>0</v>
      </c>
      <c r="M70" s="33">
        <f t="shared" si="4"/>
        <v>0</v>
      </c>
      <c r="N70" s="34">
        <f t="shared" si="8"/>
        <v>100</v>
      </c>
      <c r="O70" s="35">
        <v>50</v>
      </c>
      <c r="P70" s="33"/>
      <c r="Q70" s="33"/>
      <c r="R70" s="36">
        <f t="shared" si="3"/>
        <v>50</v>
      </c>
      <c r="S70" s="29">
        <v>5</v>
      </c>
      <c r="T70" s="286"/>
      <c r="U70" s="295"/>
      <c r="V70" s="38" t="s">
        <v>553</v>
      </c>
      <c r="W70" s="29" t="s">
        <v>22</v>
      </c>
      <c r="X70" s="29" t="s">
        <v>11</v>
      </c>
      <c r="Y70" s="39">
        <v>46.4</v>
      </c>
      <c r="Z70" s="29" t="s">
        <v>555</v>
      </c>
      <c r="AA70" s="29" t="s">
        <v>93</v>
      </c>
      <c r="AB70" s="29" t="s">
        <v>11</v>
      </c>
      <c r="AC70" s="29">
        <v>3.6</v>
      </c>
      <c r="AD70" s="38"/>
      <c r="AG70" s="39"/>
      <c r="AL70" s="38"/>
      <c r="AO70" s="39"/>
      <c r="AP70" s="38"/>
      <c r="AS70" s="39"/>
      <c r="AW70" s="39"/>
      <c r="BA70" s="40"/>
    </row>
    <row r="71" spans="1:53" s="29" customFormat="1" x14ac:dyDescent="0.15">
      <c r="A71" s="29">
        <v>1991</v>
      </c>
      <c r="B71" s="295"/>
      <c r="C71" s="411" t="s">
        <v>752</v>
      </c>
      <c r="D71" s="411"/>
      <c r="E71" s="29">
        <v>0</v>
      </c>
      <c r="G71" s="30">
        <v>16</v>
      </c>
      <c r="H71" s="31"/>
      <c r="I71" s="31"/>
      <c r="J71" s="32">
        <v>16</v>
      </c>
      <c r="K71" s="33">
        <f t="shared" si="7"/>
        <v>100</v>
      </c>
      <c r="L71" s="33">
        <f t="shared" si="4"/>
        <v>0</v>
      </c>
      <c r="M71" s="33">
        <f t="shared" si="4"/>
        <v>0</v>
      </c>
      <c r="N71" s="34">
        <f t="shared" si="8"/>
        <v>100</v>
      </c>
      <c r="O71" s="35">
        <v>50</v>
      </c>
      <c r="P71" s="33"/>
      <c r="Q71" s="33"/>
      <c r="R71" s="36">
        <f t="shared" si="3"/>
        <v>50</v>
      </c>
      <c r="S71" s="29">
        <v>5</v>
      </c>
      <c r="T71" s="286"/>
      <c r="U71" s="295"/>
      <c r="V71" s="38" t="s">
        <v>553</v>
      </c>
      <c r="W71" s="29" t="s">
        <v>22</v>
      </c>
      <c r="X71" s="29" t="s">
        <v>11</v>
      </c>
      <c r="Y71" s="39">
        <v>46.4</v>
      </c>
      <c r="Z71" s="29" t="s">
        <v>555</v>
      </c>
      <c r="AA71" s="29" t="s">
        <v>93</v>
      </c>
      <c r="AB71" s="29" t="s">
        <v>11</v>
      </c>
      <c r="AC71" s="29">
        <v>3.6</v>
      </c>
      <c r="AD71" s="38"/>
      <c r="AG71" s="39"/>
      <c r="AL71" s="38"/>
      <c r="AO71" s="39"/>
      <c r="AP71" s="38"/>
      <c r="AS71" s="39"/>
      <c r="AW71" s="39"/>
      <c r="BA71" s="40"/>
    </row>
    <row r="72" spans="1:53" s="29" customFormat="1" x14ac:dyDescent="0.15">
      <c r="A72" s="29">
        <v>1991</v>
      </c>
      <c r="B72" s="295"/>
      <c r="C72" s="411" t="s">
        <v>752</v>
      </c>
      <c r="D72" s="411"/>
      <c r="E72" s="29">
        <f>365-E71</f>
        <v>365</v>
      </c>
      <c r="G72" s="30">
        <v>16</v>
      </c>
      <c r="H72" s="31"/>
      <c r="I72" s="31"/>
      <c r="J72" s="32">
        <v>16</v>
      </c>
      <c r="K72" s="33">
        <f t="shared" si="7"/>
        <v>100</v>
      </c>
      <c r="L72" s="33">
        <f t="shared" si="4"/>
        <v>0</v>
      </c>
      <c r="M72" s="33">
        <f t="shared" si="4"/>
        <v>0</v>
      </c>
      <c r="N72" s="34">
        <f t="shared" si="8"/>
        <v>100</v>
      </c>
      <c r="O72" s="35">
        <v>50</v>
      </c>
      <c r="P72" s="33"/>
      <c r="Q72" s="33"/>
      <c r="R72" s="36">
        <f t="shared" si="3"/>
        <v>50</v>
      </c>
      <c r="S72" s="29">
        <v>5</v>
      </c>
      <c r="T72" s="286"/>
      <c r="U72" s="295"/>
      <c r="V72" s="38" t="s">
        <v>553</v>
      </c>
      <c r="W72" s="29" t="s">
        <v>22</v>
      </c>
      <c r="X72" s="29" t="s">
        <v>11</v>
      </c>
      <c r="Y72" s="39">
        <v>46.4</v>
      </c>
      <c r="Z72" s="29" t="s">
        <v>555</v>
      </c>
      <c r="AA72" s="29" t="s">
        <v>93</v>
      </c>
      <c r="AB72" s="29" t="s">
        <v>11</v>
      </c>
      <c r="AC72" s="29">
        <v>3.6</v>
      </c>
      <c r="AD72" s="38"/>
      <c r="AG72" s="39"/>
      <c r="AL72" s="38"/>
      <c r="AO72" s="39"/>
      <c r="AP72" s="38"/>
      <c r="AS72" s="39"/>
      <c r="AW72" s="39"/>
      <c r="BA72" s="40"/>
    </row>
    <row r="73" spans="1:53" s="29" customFormat="1" x14ac:dyDescent="0.15">
      <c r="A73" s="29">
        <v>1992</v>
      </c>
      <c r="B73" s="295"/>
      <c r="C73" s="411" t="s">
        <v>752</v>
      </c>
      <c r="D73" s="411"/>
      <c r="E73" s="29">
        <v>41</v>
      </c>
      <c r="G73" s="30">
        <v>16</v>
      </c>
      <c r="H73" s="31"/>
      <c r="I73" s="31"/>
      <c r="J73" s="32">
        <v>16</v>
      </c>
      <c r="K73" s="33">
        <f t="shared" si="7"/>
        <v>100</v>
      </c>
      <c r="L73" s="33">
        <f t="shared" si="4"/>
        <v>0</v>
      </c>
      <c r="M73" s="33">
        <f t="shared" si="4"/>
        <v>0</v>
      </c>
      <c r="N73" s="34">
        <f t="shared" si="8"/>
        <v>100</v>
      </c>
      <c r="O73" s="35">
        <v>50</v>
      </c>
      <c r="P73" s="33"/>
      <c r="Q73" s="33"/>
      <c r="R73" s="36">
        <f t="shared" ref="R73:R117" si="9">O73+P73+Q73</f>
        <v>50</v>
      </c>
      <c r="S73" s="29">
        <v>5</v>
      </c>
      <c r="T73" s="286"/>
      <c r="U73" s="295"/>
      <c r="V73" s="38" t="s">
        <v>553</v>
      </c>
      <c r="W73" s="29" t="s">
        <v>22</v>
      </c>
      <c r="X73" s="29" t="s">
        <v>11</v>
      </c>
      <c r="Y73" s="39">
        <v>46.4</v>
      </c>
      <c r="Z73" s="29" t="s">
        <v>555</v>
      </c>
      <c r="AA73" s="29" t="s">
        <v>93</v>
      </c>
      <c r="AB73" s="29" t="s">
        <v>11</v>
      </c>
      <c r="AC73" s="29">
        <v>3.6</v>
      </c>
      <c r="AD73" s="38"/>
      <c r="AG73" s="39"/>
      <c r="AL73" s="38"/>
      <c r="AO73" s="39"/>
      <c r="AP73" s="38"/>
      <c r="AS73" s="39"/>
      <c r="AW73" s="39"/>
      <c r="BA73" s="40"/>
    </row>
    <row r="74" spans="1:53" s="171" customFormat="1" x14ac:dyDescent="0.15">
      <c r="A74" s="171">
        <v>1992</v>
      </c>
      <c r="B74" s="283">
        <v>33933</v>
      </c>
      <c r="C74" s="410" t="s">
        <v>753</v>
      </c>
      <c r="D74" s="410"/>
      <c r="E74" s="171">
        <f>366-E73</f>
        <v>325</v>
      </c>
      <c r="F74" s="171">
        <v>2</v>
      </c>
      <c r="G74" s="172">
        <v>15</v>
      </c>
      <c r="H74" s="117"/>
      <c r="I74" s="117"/>
      <c r="J74" s="173">
        <v>15</v>
      </c>
      <c r="K74" s="174">
        <f t="shared" si="7"/>
        <v>100</v>
      </c>
      <c r="L74" s="174">
        <f t="shared" si="4"/>
        <v>0</v>
      </c>
      <c r="M74" s="174">
        <f t="shared" si="4"/>
        <v>0</v>
      </c>
      <c r="N74" s="175">
        <f t="shared" si="8"/>
        <v>100</v>
      </c>
      <c r="O74" s="176">
        <v>50</v>
      </c>
      <c r="P74" s="174"/>
      <c r="Q74" s="174"/>
      <c r="R74" s="177">
        <f t="shared" si="9"/>
        <v>50</v>
      </c>
      <c r="S74" s="171">
        <v>5</v>
      </c>
      <c r="T74" s="285">
        <v>33645</v>
      </c>
      <c r="U74" s="298">
        <v>33933</v>
      </c>
      <c r="V74" s="178" t="s">
        <v>553</v>
      </c>
      <c r="W74" s="171" t="s">
        <v>22</v>
      </c>
      <c r="X74" s="171" t="s">
        <v>11</v>
      </c>
      <c r="Y74" s="179">
        <v>46.4</v>
      </c>
      <c r="Z74" s="171" t="s">
        <v>555</v>
      </c>
      <c r="AA74" s="171" t="s">
        <v>93</v>
      </c>
      <c r="AB74" s="171" t="s">
        <v>11</v>
      </c>
      <c r="AC74" s="171">
        <v>3.6</v>
      </c>
      <c r="AD74" s="178"/>
      <c r="AG74" s="179"/>
      <c r="AL74" s="178"/>
      <c r="AO74" s="179"/>
      <c r="AP74" s="178"/>
      <c r="AS74" s="179"/>
      <c r="AW74" s="179"/>
      <c r="BA74" s="180"/>
    </row>
    <row r="75" spans="1:53" s="171" customFormat="1" x14ac:dyDescent="0.15">
      <c r="A75" s="171">
        <v>1993</v>
      </c>
      <c r="B75" s="283"/>
      <c r="C75" s="410" t="s">
        <v>753</v>
      </c>
      <c r="D75" s="410"/>
      <c r="E75" s="171">
        <v>11</v>
      </c>
      <c r="G75" s="172">
        <v>15</v>
      </c>
      <c r="H75" s="117"/>
      <c r="I75" s="117"/>
      <c r="J75" s="173">
        <v>15</v>
      </c>
      <c r="K75" s="174">
        <f t="shared" si="7"/>
        <v>100</v>
      </c>
      <c r="L75" s="174">
        <f t="shared" si="4"/>
        <v>0</v>
      </c>
      <c r="M75" s="174">
        <f t="shared" si="4"/>
        <v>0</v>
      </c>
      <c r="N75" s="175">
        <f t="shared" si="8"/>
        <v>100</v>
      </c>
      <c r="O75" s="176">
        <v>50</v>
      </c>
      <c r="P75" s="174"/>
      <c r="Q75" s="174"/>
      <c r="R75" s="177">
        <f t="shared" si="9"/>
        <v>50</v>
      </c>
      <c r="S75" s="171">
        <v>5</v>
      </c>
      <c r="T75" s="285"/>
      <c r="U75" s="283"/>
      <c r="V75" s="178" t="s">
        <v>553</v>
      </c>
      <c r="W75" s="171" t="s">
        <v>22</v>
      </c>
      <c r="X75" s="171" t="s">
        <v>11</v>
      </c>
      <c r="Y75" s="179">
        <v>46.4</v>
      </c>
      <c r="Z75" s="171" t="s">
        <v>555</v>
      </c>
      <c r="AA75" s="171" t="s">
        <v>93</v>
      </c>
      <c r="AB75" s="171" t="s">
        <v>11</v>
      </c>
      <c r="AC75" s="171">
        <v>3.6</v>
      </c>
      <c r="AD75" s="178"/>
      <c r="AG75" s="179"/>
      <c r="AL75" s="178"/>
      <c r="AO75" s="179"/>
      <c r="AP75" s="178"/>
      <c r="AS75" s="179"/>
      <c r="AW75" s="179"/>
      <c r="BA75" s="180"/>
    </row>
    <row r="76" spans="1:53" s="29" customFormat="1" x14ac:dyDescent="0.15">
      <c r="A76" s="29">
        <v>1993</v>
      </c>
      <c r="B76" s="295">
        <v>33981</v>
      </c>
      <c r="C76" s="411" t="s">
        <v>754</v>
      </c>
      <c r="D76" s="411"/>
      <c r="E76" s="29">
        <f>365-E75</f>
        <v>354</v>
      </c>
      <c r="F76" s="29">
        <v>4</v>
      </c>
      <c r="G76" s="30">
        <v>9</v>
      </c>
      <c r="H76" s="31"/>
      <c r="I76" s="31">
        <v>6</v>
      </c>
      <c r="J76" s="32">
        <v>15</v>
      </c>
      <c r="K76" s="33">
        <f t="shared" si="7"/>
        <v>60</v>
      </c>
      <c r="L76" s="33">
        <f t="shared" si="4"/>
        <v>0</v>
      </c>
      <c r="M76" s="33">
        <f t="shared" si="4"/>
        <v>40</v>
      </c>
      <c r="N76" s="34">
        <f t="shared" si="8"/>
        <v>100</v>
      </c>
      <c r="O76" s="35">
        <v>41</v>
      </c>
      <c r="P76" s="33"/>
      <c r="Q76" s="33">
        <v>19.899999999999999</v>
      </c>
      <c r="R76" s="36">
        <f t="shared" si="9"/>
        <v>60.9</v>
      </c>
      <c r="S76" s="29">
        <v>2</v>
      </c>
      <c r="T76" s="286"/>
      <c r="U76" s="295">
        <v>33981</v>
      </c>
      <c r="V76" s="38" t="s">
        <v>553</v>
      </c>
      <c r="W76" s="29" t="s">
        <v>22</v>
      </c>
      <c r="X76" s="29" t="s">
        <v>11</v>
      </c>
      <c r="Y76" s="39">
        <v>41</v>
      </c>
      <c r="Z76" s="29" t="s">
        <v>451</v>
      </c>
      <c r="AA76" s="29" t="s">
        <v>20</v>
      </c>
      <c r="AB76" s="29" t="s">
        <v>12</v>
      </c>
      <c r="AC76" s="29">
        <v>19.899999999999999</v>
      </c>
      <c r="AD76" s="38"/>
      <c r="AG76" s="39"/>
      <c r="AL76" s="38"/>
      <c r="AO76" s="39"/>
      <c r="AP76" s="38"/>
      <c r="AS76" s="39"/>
      <c r="AW76" s="39"/>
      <c r="BA76" s="40"/>
    </row>
    <row r="77" spans="1:53" s="29" customFormat="1" x14ac:dyDescent="0.15">
      <c r="A77" s="29">
        <v>1994</v>
      </c>
      <c r="B77" s="295"/>
      <c r="C77" s="411" t="s">
        <v>754</v>
      </c>
      <c r="D77" s="411"/>
      <c r="E77" s="29">
        <v>348</v>
      </c>
      <c r="G77" s="30">
        <v>9</v>
      </c>
      <c r="H77" s="31"/>
      <c r="I77" s="31">
        <v>6</v>
      </c>
      <c r="J77" s="32">
        <v>15</v>
      </c>
      <c r="K77" s="33">
        <f t="shared" si="7"/>
        <v>60</v>
      </c>
      <c r="L77" s="33">
        <f t="shared" si="4"/>
        <v>0</v>
      </c>
      <c r="M77" s="33">
        <f t="shared" si="4"/>
        <v>40</v>
      </c>
      <c r="N77" s="34">
        <f t="shared" si="8"/>
        <v>100</v>
      </c>
      <c r="O77" s="35">
        <v>41</v>
      </c>
      <c r="P77" s="33"/>
      <c r="Q77" s="33">
        <v>19.899999999999999</v>
      </c>
      <c r="R77" s="36">
        <f t="shared" si="9"/>
        <v>60.9</v>
      </c>
      <c r="S77" s="29">
        <v>2</v>
      </c>
      <c r="T77" s="286"/>
      <c r="U77" s="295"/>
      <c r="V77" s="38" t="s">
        <v>553</v>
      </c>
      <c r="W77" s="29" t="s">
        <v>22</v>
      </c>
      <c r="X77" s="29" t="s">
        <v>11</v>
      </c>
      <c r="Y77" s="39">
        <v>41</v>
      </c>
      <c r="Z77" s="29" t="s">
        <v>451</v>
      </c>
      <c r="AA77" s="29" t="s">
        <v>20</v>
      </c>
      <c r="AB77" s="29" t="s">
        <v>12</v>
      </c>
      <c r="AC77" s="29">
        <v>19.899999999999999</v>
      </c>
      <c r="AD77" s="38"/>
      <c r="AG77" s="39"/>
      <c r="AL77" s="38"/>
      <c r="AO77" s="39"/>
      <c r="AP77" s="38"/>
      <c r="AS77" s="39"/>
      <c r="AW77" s="39"/>
      <c r="BA77" s="40"/>
    </row>
    <row r="78" spans="1:53" s="171" customFormat="1" x14ac:dyDescent="0.15">
      <c r="A78" s="171">
        <v>1994</v>
      </c>
      <c r="B78" s="283">
        <v>34683</v>
      </c>
      <c r="C78" s="410" t="s">
        <v>755</v>
      </c>
      <c r="D78" s="410"/>
      <c r="E78" s="171">
        <f>365-E77</f>
        <v>17</v>
      </c>
      <c r="F78" s="171">
        <v>4</v>
      </c>
      <c r="G78" s="172"/>
      <c r="H78" s="117">
        <v>8</v>
      </c>
      <c r="I78" s="117">
        <v>7</v>
      </c>
      <c r="J78" s="173">
        <v>15</v>
      </c>
      <c r="K78" s="174">
        <f t="shared" si="7"/>
        <v>0</v>
      </c>
      <c r="L78" s="174">
        <f t="shared" si="4"/>
        <v>53.333333333333336</v>
      </c>
      <c r="M78" s="174">
        <f t="shared" si="4"/>
        <v>46.666666666666664</v>
      </c>
      <c r="N78" s="175">
        <f t="shared" si="8"/>
        <v>100</v>
      </c>
      <c r="O78" s="176"/>
      <c r="P78" s="174">
        <v>27.1</v>
      </c>
      <c r="Q78" s="174">
        <v>22.3</v>
      </c>
      <c r="R78" s="177">
        <f t="shared" si="9"/>
        <v>49.400000000000006</v>
      </c>
      <c r="S78" s="171">
        <v>5</v>
      </c>
      <c r="T78" s="285"/>
      <c r="U78" s="283">
        <v>34683</v>
      </c>
      <c r="V78" s="178" t="s">
        <v>554</v>
      </c>
      <c r="W78" s="171" t="s">
        <v>17</v>
      </c>
      <c r="X78" s="171" t="s">
        <v>18</v>
      </c>
      <c r="Y78" s="179">
        <v>27.1</v>
      </c>
      <c r="Z78" s="171" t="s">
        <v>451</v>
      </c>
      <c r="AA78" s="171" t="s">
        <v>20</v>
      </c>
      <c r="AB78" s="171" t="s">
        <v>12</v>
      </c>
      <c r="AC78" s="171">
        <v>19.899999999999999</v>
      </c>
      <c r="AD78" s="178" t="s">
        <v>556</v>
      </c>
      <c r="AE78" s="171" t="s">
        <v>297</v>
      </c>
      <c r="AF78" s="171" t="s">
        <v>12</v>
      </c>
      <c r="AG78" s="179">
        <v>2.4</v>
      </c>
      <c r="AL78" s="178"/>
      <c r="AO78" s="179"/>
      <c r="AP78" s="178"/>
      <c r="AS78" s="179"/>
      <c r="AW78" s="179"/>
      <c r="BA78" s="180"/>
    </row>
    <row r="79" spans="1:53" s="171" customFormat="1" x14ac:dyDescent="0.15">
      <c r="A79" s="171">
        <v>1995</v>
      </c>
      <c r="B79" s="283"/>
      <c r="C79" s="410" t="s">
        <v>755</v>
      </c>
      <c r="D79" s="410"/>
      <c r="E79" s="171">
        <v>0</v>
      </c>
      <c r="G79" s="172"/>
      <c r="H79" s="117">
        <v>8</v>
      </c>
      <c r="I79" s="117">
        <v>7</v>
      </c>
      <c r="J79" s="173">
        <v>15</v>
      </c>
      <c r="K79" s="174">
        <f t="shared" si="7"/>
        <v>0</v>
      </c>
      <c r="L79" s="174">
        <f t="shared" si="4"/>
        <v>53.333333333333336</v>
      </c>
      <c r="M79" s="174">
        <f t="shared" si="4"/>
        <v>46.666666666666664</v>
      </c>
      <c r="N79" s="175">
        <f t="shared" si="8"/>
        <v>100</v>
      </c>
      <c r="O79" s="176"/>
      <c r="P79" s="174">
        <v>27.1</v>
      </c>
      <c r="Q79" s="174">
        <v>22.3</v>
      </c>
      <c r="R79" s="177">
        <f t="shared" si="9"/>
        <v>49.400000000000006</v>
      </c>
      <c r="S79" s="171">
        <v>5</v>
      </c>
      <c r="T79" s="285"/>
      <c r="U79" s="283"/>
      <c r="V79" s="178" t="s">
        <v>554</v>
      </c>
      <c r="W79" s="171" t="s">
        <v>17</v>
      </c>
      <c r="X79" s="171" t="s">
        <v>18</v>
      </c>
      <c r="Y79" s="179">
        <v>27.1</v>
      </c>
      <c r="Z79" s="171" t="s">
        <v>451</v>
      </c>
      <c r="AA79" s="171" t="s">
        <v>20</v>
      </c>
      <c r="AB79" s="171" t="s">
        <v>12</v>
      </c>
      <c r="AC79" s="171">
        <v>19.899999999999999</v>
      </c>
      <c r="AD79" s="178" t="s">
        <v>556</v>
      </c>
      <c r="AE79" s="171" t="s">
        <v>297</v>
      </c>
      <c r="AF79" s="171" t="s">
        <v>12</v>
      </c>
      <c r="AG79" s="179">
        <v>2.4</v>
      </c>
      <c r="AL79" s="178"/>
      <c r="AO79" s="179"/>
      <c r="AP79" s="178"/>
      <c r="AS79" s="179"/>
      <c r="AW79" s="179"/>
      <c r="BA79" s="180"/>
    </row>
    <row r="80" spans="1:53" s="171" customFormat="1" x14ac:dyDescent="0.15">
      <c r="A80" s="171">
        <v>1995</v>
      </c>
      <c r="B80" s="283"/>
      <c r="C80" s="410" t="s">
        <v>755</v>
      </c>
      <c r="D80" s="410"/>
      <c r="E80" s="171">
        <f>365-E79</f>
        <v>365</v>
      </c>
      <c r="G80" s="172"/>
      <c r="H80" s="117">
        <v>8</v>
      </c>
      <c r="I80" s="117">
        <v>7</v>
      </c>
      <c r="J80" s="173">
        <v>15</v>
      </c>
      <c r="K80" s="174">
        <f t="shared" si="7"/>
        <v>0</v>
      </c>
      <c r="L80" s="174">
        <f t="shared" si="4"/>
        <v>53.333333333333336</v>
      </c>
      <c r="M80" s="174">
        <f t="shared" si="4"/>
        <v>46.666666666666664</v>
      </c>
      <c r="N80" s="175">
        <f t="shared" si="8"/>
        <v>100</v>
      </c>
      <c r="O80" s="176"/>
      <c r="P80" s="174">
        <v>27.1</v>
      </c>
      <c r="Q80" s="174">
        <v>22.3</v>
      </c>
      <c r="R80" s="177">
        <f t="shared" si="9"/>
        <v>49.400000000000006</v>
      </c>
      <c r="S80" s="171">
        <v>5</v>
      </c>
      <c r="T80" s="285"/>
      <c r="U80" s="283"/>
      <c r="V80" s="178" t="s">
        <v>554</v>
      </c>
      <c r="W80" s="171" t="s">
        <v>17</v>
      </c>
      <c r="X80" s="171" t="s">
        <v>18</v>
      </c>
      <c r="Y80" s="179">
        <v>27.1</v>
      </c>
      <c r="Z80" s="171" t="s">
        <v>451</v>
      </c>
      <c r="AA80" s="171" t="s">
        <v>20</v>
      </c>
      <c r="AB80" s="171" t="s">
        <v>12</v>
      </c>
      <c r="AC80" s="171">
        <v>19.899999999999999</v>
      </c>
      <c r="AD80" s="178" t="s">
        <v>556</v>
      </c>
      <c r="AE80" s="171" t="s">
        <v>297</v>
      </c>
      <c r="AF80" s="171" t="s">
        <v>12</v>
      </c>
      <c r="AG80" s="179">
        <v>2.4</v>
      </c>
      <c r="AL80" s="178"/>
      <c r="AO80" s="179"/>
      <c r="AP80" s="178"/>
      <c r="AS80" s="179"/>
      <c r="AW80" s="179"/>
      <c r="BA80" s="180"/>
    </row>
    <row r="81" spans="1:53" s="171" customFormat="1" x14ac:dyDescent="0.15">
      <c r="A81" s="171">
        <v>1996</v>
      </c>
      <c r="B81" s="283"/>
      <c r="C81" s="410" t="s">
        <v>755</v>
      </c>
      <c r="D81" s="410"/>
      <c r="E81" s="171">
        <v>0</v>
      </c>
      <c r="G81" s="172"/>
      <c r="H81" s="117">
        <v>8</v>
      </c>
      <c r="I81" s="117">
        <v>7</v>
      </c>
      <c r="J81" s="173">
        <v>15</v>
      </c>
      <c r="K81" s="174">
        <f t="shared" si="7"/>
        <v>0</v>
      </c>
      <c r="L81" s="174">
        <f t="shared" si="4"/>
        <v>53.333333333333336</v>
      </c>
      <c r="M81" s="174">
        <f t="shared" si="4"/>
        <v>46.666666666666664</v>
      </c>
      <c r="N81" s="175">
        <f t="shared" si="8"/>
        <v>100</v>
      </c>
      <c r="O81" s="176"/>
      <c r="P81" s="174">
        <v>27.1</v>
      </c>
      <c r="Q81" s="174">
        <v>22.3</v>
      </c>
      <c r="R81" s="177">
        <f t="shared" si="9"/>
        <v>49.400000000000006</v>
      </c>
      <c r="S81" s="171">
        <v>5</v>
      </c>
      <c r="T81" s="285"/>
      <c r="U81" s="283"/>
      <c r="V81" s="178" t="s">
        <v>554</v>
      </c>
      <c r="W81" s="171" t="s">
        <v>17</v>
      </c>
      <c r="X81" s="171" t="s">
        <v>18</v>
      </c>
      <c r="Y81" s="179">
        <v>27.1</v>
      </c>
      <c r="Z81" s="171" t="s">
        <v>451</v>
      </c>
      <c r="AA81" s="171" t="s">
        <v>20</v>
      </c>
      <c r="AB81" s="171" t="s">
        <v>12</v>
      </c>
      <c r="AC81" s="171">
        <v>19.899999999999999</v>
      </c>
      <c r="AD81" s="178" t="s">
        <v>556</v>
      </c>
      <c r="AE81" s="171" t="s">
        <v>297</v>
      </c>
      <c r="AF81" s="171" t="s">
        <v>12</v>
      </c>
      <c r="AG81" s="179">
        <v>2.4</v>
      </c>
      <c r="AL81" s="178"/>
      <c r="AO81" s="179"/>
      <c r="AP81" s="178"/>
      <c r="AS81" s="179"/>
      <c r="AW81" s="179"/>
      <c r="BA81" s="180"/>
    </row>
    <row r="82" spans="1:53" s="171" customFormat="1" x14ac:dyDescent="0.15">
      <c r="A82" s="171">
        <v>1996</v>
      </c>
      <c r="B82" s="283"/>
      <c r="C82" s="410" t="s">
        <v>755</v>
      </c>
      <c r="D82" s="410"/>
      <c r="E82" s="171">
        <v>366</v>
      </c>
      <c r="G82" s="172"/>
      <c r="H82" s="117">
        <v>8</v>
      </c>
      <c r="I82" s="117">
        <v>7</v>
      </c>
      <c r="J82" s="173">
        <v>15</v>
      </c>
      <c r="K82" s="174">
        <f t="shared" si="7"/>
        <v>0</v>
      </c>
      <c r="L82" s="174">
        <f t="shared" si="4"/>
        <v>53.333333333333336</v>
      </c>
      <c r="M82" s="174">
        <f t="shared" si="4"/>
        <v>46.666666666666664</v>
      </c>
      <c r="N82" s="175">
        <f t="shared" si="8"/>
        <v>100</v>
      </c>
      <c r="O82" s="176"/>
      <c r="P82" s="174">
        <v>27.1</v>
      </c>
      <c r="Q82" s="174">
        <v>22.3</v>
      </c>
      <c r="R82" s="177">
        <f t="shared" si="9"/>
        <v>49.400000000000006</v>
      </c>
      <c r="S82" s="171">
        <v>5</v>
      </c>
      <c r="T82" s="285"/>
      <c r="U82" s="283"/>
      <c r="V82" s="178" t="s">
        <v>554</v>
      </c>
      <c r="W82" s="171" t="s">
        <v>17</v>
      </c>
      <c r="X82" s="171" t="s">
        <v>18</v>
      </c>
      <c r="Y82" s="179">
        <v>27.1</v>
      </c>
      <c r="Z82" s="171" t="s">
        <v>451</v>
      </c>
      <c r="AA82" s="171" t="s">
        <v>20</v>
      </c>
      <c r="AB82" s="171" t="s">
        <v>12</v>
      </c>
      <c r="AC82" s="171">
        <v>19.899999999999999</v>
      </c>
      <c r="AD82" s="178" t="s">
        <v>556</v>
      </c>
      <c r="AE82" s="171" t="s">
        <v>297</v>
      </c>
      <c r="AF82" s="171" t="s">
        <v>12</v>
      </c>
      <c r="AG82" s="179">
        <v>2.4</v>
      </c>
      <c r="AL82" s="178"/>
      <c r="AO82" s="179"/>
      <c r="AP82" s="178"/>
      <c r="AS82" s="179"/>
      <c r="AW82" s="179"/>
      <c r="BA82" s="180"/>
    </row>
    <row r="83" spans="1:53" s="171" customFormat="1" x14ac:dyDescent="0.15">
      <c r="A83" s="171">
        <v>1997</v>
      </c>
      <c r="B83" s="283"/>
      <c r="C83" s="410" t="s">
        <v>755</v>
      </c>
      <c r="D83" s="410"/>
      <c r="E83" s="171">
        <v>176</v>
      </c>
      <c r="G83" s="172"/>
      <c r="H83" s="117">
        <v>8</v>
      </c>
      <c r="I83" s="117">
        <v>7</v>
      </c>
      <c r="J83" s="173">
        <v>15</v>
      </c>
      <c r="K83" s="174">
        <f t="shared" si="7"/>
        <v>0</v>
      </c>
      <c r="L83" s="174">
        <f t="shared" si="4"/>
        <v>53.333333333333336</v>
      </c>
      <c r="M83" s="174">
        <f t="shared" si="4"/>
        <v>46.666666666666664</v>
      </c>
      <c r="N83" s="175">
        <f t="shared" si="8"/>
        <v>100</v>
      </c>
      <c r="O83" s="176"/>
      <c r="P83" s="174">
        <v>27.1</v>
      </c>
      <c r="Q83" s="174">
        <v>22.3</v>
      </c>
      <c r="R83" s="177">
        <f t="shared" si="9"/>
        <v>49.400000000000006</v>
      </c>
      <c r="S83" s="171">
        <v>5</v>
      </c>
      <c r="T83" s="285"/>
      <c r="U83" s="283"/>
      <c r="V83" s="178" t="s">
        <v>554</v>
      </c>
      <c r="W83" s="171" t="s">
        <v>17</v>
      </c>
      <c r="X83" s="171" t="s">
        <v>18</v>
      </c>
      <c r="Y83" s="179">
        <v>27.1</v>
      </c>
      <c r="Z83" s="171" t="s">
        <v>451</v>
      </c>
      <c r="AA83" s="171" t="s">
        <v>20</v>
      </c>
      <c r="AB83" s="171" t="s">
        <v>12</v>
      </c>
      <c r="AC83" s="171">
        <v>19.899999999999999</v>
      </c>
      <c r="AD83" s="178" t="s">
        <v>556</v>
      </c>
      <c r="AE83" s="171" t="s">
        <v>297</v>
      </c>
      <c r="AF83" s="171" t="s">
        <v>12</v>
      </c>
      <c r="AG83" s="179">
        <v>2.4</v>
      </c>
      <c r="AL83" s="178"/>
      <c r="AO83" s="179"/>
      <c r="AP83" s="178"/>
      <c r="AS83" s="179"/>
      <c r="AW83" s="179"/>
      <c r="BA83" s="180"/>
    </row>
    <row r="84" spans="1:53" s="29" customFormat="1" x14ac:dyDescent="0.15">
      <c r="A84" s="29">
        <v>1997</v>
      </c>
      <c r="B84" s="295">
        <v>35607</v>
      </c>
      <c r="C84" s="411" t="s">
        <v>756</v>
      </c>
      <c r="D84" s="411"/>
      <c r="E84" s="29">
        <f>365-E83</f>
        <v>189</v>
      </c>
      <c r="F84" s="29">
        <v>1</v>
      </c>
      <c r="G84" s="30">
        <v>15</v>
      </c>
      <c r="H84" s="31"/>
      <c r="I84" s="31"/>
      <c r="J84" s="32">
        <v>15</v>
      </c>
      <c r="K84" s="33">
        <f t="shared" si="7"/>
        <v>100</v>
      </c>
      <c r="L84" s="33">
        <f t="shared" si="4"/>
        <v>0</v>
      </c>
      <c r="M84" s="33">
        <f t="shared" si="4"/>
        <v>0</v>
      </c>
      <c r="N84" s="34">
        <f t="shared" si="8"/>
        <v>100</v>
      </c>
      <c r="O84" s="35">
        <v>48.8</v>
      </c>
      <c r="P84" s="33"/>
      <c r="Q84" s="33"/>
      <c r="R84" s="36">
        <f t="shared" si="9"/>
        <v>48.8</v>
      </c>
      <c r="S84" s="29">
        <v>5</v>
      </c>
      <c r="T84" s="286">
        <v>35587</v>
      </c>
      <c r="U84" s="295">
        <v>35607</v>
      </c>
      <c r="V84" s="38" t="s">
        <v>553</v>
      </c>
      <c r="W84" s="29" t="s">
        <v>22</v>
      </c>
      <c r="X84" s="29" t="s">
        <v>11</v>
      </c>
      <c r="Y84" s="39">
        <v>46.4</v>
      </c>
      <c r="Z84" s="29" t="s">
        <v>555</v>
      </c>
      <c r="AA84" s="29" t="s">
        <v>93</v>
      </c>
      <c r="AB84" s="29" t="s">
        <v>11</v>
      </c>
      <c r="AC84" s="29">
        <v>2.4</v>
      </c>
      <c r="AD84" s="38"/>
      <c r="AG84" s="39"/>
      <c r="AL84" s="38"/>
      <c r="AO84" s="39"/>
      <c r="AP84" s="38"/>
      <c r="AS84" s="39"/>
      <c r="AW84" s="39"/>
      <c r="BA84" s="40"/>
    </row>
    <row r="85" spans="1:53" s="29" customFormat="1" x14ac:dyDescent="0.15">
      <c r="A85" s="29">
        <v>1998</v>
      </c>
      <c r="B85" s="295"/>
      <c r="C85" s="411" t="s">
        <v>756</v>
      </c>
      <c r="D85" s="411"/>
      <c r="E85" s="29">
        <v>0</v>
      </c>
      <c r="G85" s="30">
        <v>15</v>
      </c>
      <c r="H85" s="31"/>
      <c r="I85" s="31"/>
      <c r="J85" s="32">
        <v>15</v>
      </c>
      <c r="K85" s="33">
        <f t="shared" si="7"/>
        <v>100</v>
      </c>
      <c r="L85" s="33">
        <f t="shared" si="4"/>
        <v>0</v>
      </c>
      <c r="M85" s="33">
        <f t="shared" si="4"/>
        <v>0</v>
      </c>
      <c r="N85" s="34">
        <f t="shared" si="8"/>
        <v>100</v>
      </c>
      <c r="O85" s="35">
        <v>48.8</v>
      </c>
      <c r="P85" s="33"/>
      <c r="Q85" s="33"/>
      <c r="R85" s="36">
        <f t="shared" si="9"/>
        <v>48.8</v>
      </c>
      <c r="S85" s="29">
        <v>5</v>
      </c>
      <c r="T85" s="286"/>
      <c r="U85" s="295"/>
      <c r="V85" s="38" t="s">
        <v>553</v>
      </c>
      <c r="W85" s="29" t="s">
        <v>22</v>
      </c>
      <c r="X85" s="29" t="s">
        <v>11</v>
      </c>
      <c r="Y85" s="39">
        <v>46.4</v>
      </c>
      <c r="Z85" s="29" t="s">
        <v>555</v>
      </c>
      <c r="AA85" s="29" t="s">
        <v>93</v>
      </c>
      <c r="AB85" s="29" t="s">
        <v>11</v>
      </c>
      <c r="AC85" s="29">
        <v>2.4</v>
      </c>
      <c r="AD85" s="38"/>
      <c r="AG85" s="39"/>
      <c r="AL85" s="38"/>
      <c r="AO85" s="39"/>
      <c r="AP85" s="38"/>
      <c r="AS85" s="39"/>
      <c r="AW85" s="39"/>
      <c r="BA85" s="40"/>
    </row>
    <row r="86" spans="1:53" s="29" customFormat="1" x14ac:dyDescent="0.15">
      <c r="A86" s="29">
        <v>1998</v>
      </c>
      <c r="B86" s="295"/>
      <c r="C86" s="411" t="s">
        <v>756</v>
      </c>
      <c r="D86" s="411"/>
      <c r="E86" s="29">
        <f>365-E85</f>
        <v>365</v>
      </c>
      <c r="G86" s="30">
        <v>15</v>
      </c>
      <c r="H86" s="31"/>
      <c r="I86" s="31"/>
      <c r="J86" s="32">
        <v>15</v>
      </c>
      <c r="K86" s="33">
        <f t="shared" si="7"/>
        <v>100</v>
      </c>
      <c r="L86" s="33">
        <f t="shared" si="4"/>
        <v>0</v>
      </c>
      <c r="M86" s="33">
        <f t="shared" si="4"/>
        <v>0</v>
      </c>
      <c r="N86" s="34">
        <f t="shared" si="8"/>
        <v>100</v>
      </c>
      <c r="O86" s="35">
        <v>48.8</v>
      </c>
      <c r="P86" s="33"/>
      <c r="Q86" s="33"/>
      <c r="R86" s="36">
        <f t="shared" si="9"/>
        <v>48.8</v>
      </c>
      <c r="S86" s="29">
        <v>5</v>
      </c>
      <c r="T86" s="286"/>
      <c r="U86" s="295"/>
      <c r="V86" s="38" t="s">
        <v>553</v>
      </c>
      <c r="W86" s="29" t="s">
        <v>22</v>
      </c>
      <c r="X86" s="29" t="s">
        <v>11</v>
      </c>
      <c r="Y86" s="39">
        <v>46.4</v>
      </c>
      <c r="Z86" s="29" t="s">
        <v>555</v>
      </c>
      <c r="AA86" s="29" t="s">
        <v>93</v>
      </c>
      <c r="AB86" s="29" t="s">
        <v>11</v>
      </c>
      <c r="AC86" s="29">
        <v>2.4</v>
      </c>
      <c r="AD86" s="38"/>
      <c r="AG86" s="39"/>
      <c r="AL86" s="38"/>
      <c r="AO86" s="39"/>
      <c r="AP86" s="38"/>
      <c r="AS86" s="39"/>
      <c r="AW86" s="39"/>
      <c r="BA86" s="40"/>
    </row>
    <row r="87" spans="1:53" s="29" customFormat="1" x14ac:dyDescent="0.15">
      <c r="A87" s="29">
        <v>1999</v>
      </c>
      <c r="B87" s="295"/>
      <c r="C87" s="411" t="s">
        <v>756</v>
      </c>
      <c r="D87" s="411"/>
      <c r="E87" s="29">
        <v>0</v>
      </c>
      <c r="G87" s="30">
        <v>15</v>
      </c>
      <c r="H87" s="31"/>
      <c r="I87" s="31"/>
      <c r="J87" s="32">
        <v>15</v>
      </c>
      <c r="K87" s="33">
        <f t="shared" si="7"/>
        <v>100</v>
      </c>
      <c r="L87" s="33">
        <f t="shared" si="4"/>
        <v>0</v>
      </c>
      <c r="M87" s="33">
        <f t="shared" si="4"/>
        <v>0</v>
      </c>
      <c r="N87" s="34">
        <f t="shared" si="8"/>
        <v>100</v>
      </c>
      <c r="O87" s="35">
        <v>48.8</v>
      </c>
      <c r="P87" s="33"/>
      <c r="Q87" s="33"/>
      <c r="R87" s="36">
        <f t="shared" si="9"/>
        <v>48.8</v>
      </c>
      <c r="S87" s="29">
        <v>5</v>
      </c>
      <c r="T87" s="286"/>
      <c r="U87" s="295"/>
      <c r="V87" s="38" t="s">
        <v>553</v>
      </c>
      <c r="W87" s="29" t="s">
        <v>22</v>
      </c>
      <c r="X87" s="29" t="s">
        <v>11</v>
      </c>
      <c r="Y87" s="39">
        <v>46.4</v>
      </c>
      <c r="Z87" s="29" t="s">
        <v>555</v>
      </c>
      <c r="AA87" s="29" t="s">
        <v>93</v>
      </c>
      <c r="AB87" s="29" t="s">
        <v>11</v>
      </c>
      <c r="AC87" s="29">
        <v>2.4</v>
      </c>
      <c r="AD87" s="38"/>
      <c r="AG87" s="39"/>
      <c r="AL87" s="38"/>
      <c r="AO87" s="39"/>
      <c r="AP87" s="38"/>
      <c r="AS87" s="39"/>
      <c r="AW87" s="39"/>
      <c r="BA87" s="40"/>
    </row>
    <row r="88" spans="1:53" s="29" customFormat="1" x14ac:dyDescent="0.15">
      <c r="A88" s="29">
        <v>1999</v>
      </c>
      <c r="B88" s="295"/>
      <c r="C88" s="411" t="s">
        <v>756</v>
      </c>
      <c r="D88" s="411"/>
      <c r="E88" s="29">
        <f>365-E87</f>
        <v>365</v>
      </c>
      <c r="G88" s="30">
        <v>15</v>
      </c>
      <c r="H88" s="31"/>
      <c r="I88" s="31"/>
      <c r="J88" s="32">
        <v>15</v>
      </c>
      <c r="K88" s="33">
        <f t="shared" si="7"/>
        <v>100</v>
      </c>
      <c r="L88" s="33">
        <f t="shared" si="4"/>
        <v>0</v>
      </c>
      <c r="M88" s="33">
        <f t="shared" si="4"/>
        <v>0</v>
      </c>
      <c r="N88" s="34">
        <f t="shared" si="8"/>
        <v>100</v>
      </c>
      <c r="O88" s="35">
        <v>48.8</v>
      </c>
      <c r="P88" s="33"/>
      <c r="Q88" s="33"/>
      <c r="R88" s="36">
        <f t="shared" si="9"/>
        <v>48.8</v>
      </c>
      <c r="S88" s="29">
        <v>5</v>
      </c>
      <c r="T88" s="286"/>
      <c r="U88" s="295"/>
      <c r="V88" s="38" t="s">
        <v>553</v>
      </c>
      <c r="W88" s="29" t="s">
        <v>22</v>
      </c>
      <c r="X88" s="29" t="s">
        <v>11</v>
      </c>
      <c r="Y88" s="39">
        <v>46.4</v>
      </c>
      <c r="Z88" s="29" t="s">
        <v>555</v>
      </c>
      <c r="AA88" s="29" t="s">
        <v>93</v>
      </c>
      <c r="AB88" s="29" t="s">
        <v>11</v>
      </c>
      <c r="AC88" s="29">
        <v>2.4</v>
      </c>
      <c r="AD88" s="38"/>
      <c r="AG88" s="39"/>
      <c r="AL88" s="38"/>
      <c r="AO88" s="39"/>
      <c r="AP88" s="38"/>
      <c r="AS88" s="39"/>
      <c r="AW88" s="39"/>
      <c r="BA88" s="40"/>
    </row>
    <row r="89" spans="1:53" s="29" customFormat="1" x14ac:dyDescent="0.15">
      <c r="A89" s="29">
        <v>2000</v>
      </c>
      <c r="B89" s="295"/>
      <c r="C89" s="411" t="s">
        <v>756</v>
      </c>
      <c r="D89" s="411"/>
      <c r="E89" s="29">
        <v>0</v>
      </c>
      <c r="G89" s="30">
        <v>15</v>
      </c>
      <c r="H89" s="31"/>
      <c r="I89" s="31"/>
      <c r="J89" s="32">
        <v>15</v>
      </c>
      <c r="K89" s="33">
        <f t="shared" si="7"/>
        <v>100</v>
      </c>
      <c r="L89" s="33">
        <f t="shared" si="4"/>
        <v>0</v>
      </c>
      <c r="M89" s="33">
        <f t="shared" si="4"/>
        <v>0</v>
      </c>
      <c r="N89" s="34">
        <f t="shared" si="8"/>
        <v>100</v>
      </c>
      <c r="O89" s="35">
        <v>48.8</v>
      </c>
      <c r="P89" s="33"/>
      <c r="Q89" s="33"/>
      <c r="R89" s="36">
        <f t="shared" si="9"/>
        <v>48.8</v>
      </c>
      <c r="S89" s="29">
        <v>5</v>
      </c>
      <c r="T89" s="286"/>
      <c r="U89" s="295"/>
      <c r="V89" s="38" t="s">
        <v>553</v>
      </c>
      <c r="W89" s="29" t="s">
        <v>22</v>
      </c>
      <c r="X89" s="29" t="s">
        <v>11</v>
      </c>
      <c r="Y89" s="39">
        <v>46.4</v>
      </c>
      <c r="Z89" s="29" t="s">
        <v>555</v>
      </c>
      <c r="AA89" s="29" t="s">
        <v>93</v>
      </c>
      <c r="AB89" s="29" t="s">
        <v>11</v>
      </c>
      <c r="AC89" s="29">
        <v>2.4</v>
      </c>
      <c r="AD89" s="38"/>
      <c r="AG89" s="39"/>
      <c r="AL89" s="38"/>
      <c r="AO89" s="39"/>
      <c r="AP89" s="38"/>
      <c r="AS89" s="39"/>
      <c r="AW89" s="39"/>
      <c r="BA89" s="40"/>
    </row>
    <row r="90" spans="1:53" s="29" customFormat="1" x14ac:dyDescent="0.15">
      <c r="A90" s="29">
        <v>2000</v>
      </c>
      <c r="B90" s="295"/>
      <c r="C90" s="411" t="s">
        <v>756</v>
      </c>
      <c r="D90" s="411"/>
      <c r="E90" s="29">
        <v>366</v>
      </c>
      <c r="G90" s="30">
        <v>15</v>
      </c>
      <c r="H90" s="31"/>
      <c r="I90" s="31"/>
      <c r="J90" s="32">
        <v>15</v>
      </c>
      <c r="K90" s="33">
        <f t="shared" si="7"/>
        <v>100</v>
      </c>
      <c r="L90" s="33">
        <f t="shared" si="4"/>
        <v>0</v>
      </c>
      <c r="M90" s="33">
        <f t="shared" si="4"/>
        <v>0</v>
      </c>
      <c r="N90" s="34">
        <f t="shared" si="8"/>
        <v>100</v>
      </c>
      <c r="O90" s="35">
        <v>48.8</v>
      </c>
      <c r="P90" s="33"/>
      <c r="Q90" s="33"/>
      <c r="R90" s="36">
        <f t="shared" si="9"/>
        <v>48.8</v>
      </c>
      <c r="S90" s="29">
        <v>5</v>
      </c>
      <c r="T90" s="286"/>
      <c r="U90" s="295"/>
      <c r="V90" s="38" t="s">
        <v>553</v>
      </c>
      <c r="W90" s="29" t="s">
        <v>22</v>
      </c>
      <c r="X90" s="29" t="s">
        <v>11</v>
      </c>
      <c r="Y90" s="39">
        <v>46.4</v>
      </c>
      <c r="Z90" s="29" t="s">
        <v>555</v>
      </c>
      <c r="AA90" s="29" t="s">
        <v>93</v>
      </c>
      <c r="AB90" s="29" t="s">
        <v>11</v>
      </c>
      <c r="AC90" s="29">
        <v>2.4</v>
      </c>
      <c r="AD90" s="38"/>
      <c r="AG90" s="39"/>
      <c r="AL90" s="38"/>
      <c r="AO90" s="39"/>
      <c r="AP90" s="38"/>
      <c r="AS90" s="39"/>
      <c r="AW90" s="39"/>
      <c r="BA90" s="40"/>
    </row>
    <row r="91" spans="1:53" s="29" customFormat="1" x14ac:dyDescent="0.15">
      <c r="A91" s="29">
        <v>2001</v>
      </c>
      <c r="B91" s="295"/>
      <c r="C91" s="411" t="s">
        <v>756</v>
      </c>
      <c r="D91" s="411"/>
      <c r="E91" s="29">
        <v>0</v>
      </c>
      <c r="G91" s="30">
        <v>15</v>
      </c>
      <c r="H91" s="31"/>
      <c r="I91" s="31"/>
      <c r="J91" s="32">
        <v>15</v>
      </c>
      <c r="K91" s="33">
        <f t="shared" si="7"/>
        <v>100</v>
      </c>
      <c r="L91" s="33">
        <f t="shared" si="4"/>
        <v>0</v>
      </c>
      <c r="M91" s="33">
        <f t="shared" si="4"/>
        <v>0</v>
      </c>
      <c r="N91" s="34">
        <f t="shared" si="8"/>
        <v>100</v>
      </c>
      <c r="O91" s="35">
        <v>48.8</v>
      </c>
      <c r="P91" s="33"/>
      <c r="Q91" s="33"/>
      <c r="R91" s="36">
        <f t="shared" si="9"/>
        <v>48.8</v>
      </c>
      <c r="S91" s="29">
        <v>5</v>
      </c>
      <c r="T91" s="286"/>
      <c r="U91" s="295"/>
      <c r="V91" s="38" t="s">
        <v>553</v>
      </c>
      <c r="W91" s="29" t="s">
        <v>22</v>
      </c>
      <c r="X91" s="29" t="s">
        <v>11</v>
      </c>
      <c r="Y91" s="39">
        <v>46.4</v>
      </c>
      <c r="Z91" s="29" t="s">
        <v>555</v>
      </c>
      <c r="AA91" s="29" t="s">
        <v>93</v>
      </c>
      <c r="AB91" s="29" t="s">
        <v>11</v>
      </c>
      <c r="AC91" s="29">
        <v>2.4</v>
      </c>
      <c r="AD91" s="38"/>
      <c r="AG91" s="39"/>
      <c r="AL91" s="38"/>
      <c r="AO91" s="39"/>
      <c r="AP91" s="38"/>
      <c r="AS91" s="39"/>
      <c r="AW91" s="39"/>
      <c r="BA91" s="40"/>
    </row>
    <row r="92" spans="1:53" s="29" customFormat="1" x14ac:dyDescent="0.15">
      <c r="A92" s="29">
        <v>2001</v>
      </c>
      <c r="B92" s="295"/>
      <c r="C92" s="411" t="s">
        <v>756</v>
      </c>
      <c r="D92" s="411"/>
      <c r="E92" s="29">
        <f>365-E91</f>
        <v>365</v>
      </c>
      <c r="G92" s="30">
        <v>15</v>
      </c>
      <c r="H92" s="31"/>
      <c r="I92" s="31"/>
      <c r="J92" s="32">
        <v>15</v>
      </c>
      <c r="K92" s="33">
        <f t="shared" si="7"/>
        <v>100</v>
      </c>
      <c r="L92" s="33">
        <f t="shared" si="4"/>
        <v>0</v>
      </c>
      <c r="M92" s="33">
        <f t="shared" si="4"/>
        <v>0</v>
      </c>
      <c r="N92" s="34">
        <f t="shared" si="8"/>
        <v>100</v>
      </c>
      <c r="O92" s="35">
        <v>48.8</v>
      </c>
      <c r="P92" s="33"/>
      <c r="Q92" s="33"/>
      <c r="R92" s="36">
        <f t="shared" si="9"/>
        <v>48.8</v>
      </c>
      <c r="S92" s="29">
        <v>5</v>
      </c>
      <c r="T92" s="286"/>
      <c r="U92" s="295"/>
      <c r="V92" s="38" t="s">
        <v>553</v>
      </c>
      <c r="W92" s="29" t="s">
        <v>22</v>
      </c>
      <c r="X92" s="29" t="s">
        <v>11</v>
      </c>
      <c r="Y92" s="39">
        <v>46.4</v>
      </c>
      <c r="Z92" s="29" t="s">
        <v>555</v>
      </c>
      <c r="AA92" s="29" t="s">
        <v>93</v>
      </c>
      <c r="AB92" s="29" t="s">
        <v>11</v>
      </c>
      <c r="AC92" s="29">
        <v>2.4</v>
      </c>
      <c r="AD92" s="38"/>
      <c r="AG92" s="39"/>
      <c r="AL92" s="38"/>
      <c r="AO92" s="39"/>
      <c r="AP92" s="38"/>
      <c r="AS92" s="39"/>
      <c r="AW92" s="39"/>
      <c r="BA92" s="40"/>
    </row>
    <row r="93" spans="1:53" s="29" customFormat="1" x14ac:dyDescent="0.15">
      <c r="A93" s="29">
        <v>2002</v>
      </c>
      <c r="B93" s="295"/>
      <c r="C93" s="411" t="s">
        <v>756</v>
      </c>
      <c r="D93" s="411"/>
      <c r="E93" s="29">
        <v>156</v>
      </c>
      <c r="G93" s="30">
        <v>15</v>
      </c>
      <c r="H93" s="31"/>
      <c r="I93" s="31"/>
      <c r="J93" s="32">
        <v>15</v>
      </c>
      <c r="K93" s="33">
        <f>G93/$J93*100</f>
        <v>100</v>
      </c>
      <c r="L93" s="33">
        <f t="shared" si="4"/>
        <v>0</v>
      </c>
      <c r="M93" s="33">
        <f t="shared" si="4"/>
        <v>0</v>
      </c>
      <c r="N93" s="34">
        <f>K93+L93+M93</f>
        <v>100</v>
      </c>
      <c r="O93" s="35">
        <v>48.8</v>
      </c>
      <c r="P93" s="33"/>
      <c r="Q93" s="33"/>
      <c r="R93" s="36">
        <f t="shared" si="9"/>
        <v>48.8</v>
      </c>
      <c r="S93" s="29">
        <v>5</v>
      </c>
      <c r="T93" s="286"/>
      <c r="U93" s="295"/>
      <c r="V93" s="38" t="s">
        <v>553</v>
      </c>
      <c r="W93" s="29" t="s">
        <v>22</v>
      </c>
      <c r="X93" s="29" t="s">
        <v>11</v>
      </c>
      <c r="Y93" s="39">
        <v>46.4</v>
      </c>
      <c r="Z93" s="29" t="s">
        <v>555</v>
      </c>
      <c r="AA93" s="29" t="s">
        <v>93</v>
      </c>
      <c r="AB93" s="29" t="s">
        <v>11</v>
      </c>
      <c r="AC93" s="29">
        <v>2.4</v>
      </c>
      <c r="AD93" s="38"/>
      <c r="AG93" s="39"/>
      <c r="AL93" s="38"/>
      <c r="AO93" s="39"/>
      <c r="AP93" s="38"/>
      <c r="AS93" s="39"/>
      <c r="AW93" s="39"/>
      <c r="BA93" s="40"/>
    </row>
    <row r="94" spans="1:53" s="171" customFormat="1" x14ac:dyDescent="0.15">
      <c r="A94" s="171">
        <v>2002</v>
      </c>
      <c r="B94" s="283">
        <v>37413</v>
      </c>
      <c r="C94" s="410" t="s">
        <v>757</v>
      </c>
      <c r="D94" s="410"/>
      <c r="E94" s="171">
        <f>365-E93</f>
        <v>209</v>
      </c>
      <c r="F94" s="171">
        <v>1</v>
      </c>
      <c r="G94" s="172">
        <v>15</v>
      </c>
      <c r="H94" s="117"/>
      <c r="I94" s="117"/>
      <c r="J94" s="173">
        <v>15</v>
      </c>
      <c r="K94" s="174">
        <f t="shared" ref="K94:M119" si="10">G94/$J94*100</f>
        <v>100</v>
      </c>
      <c r="L94" s="174">
        <f t="shared" si="4"/>
        <v>0</v>
      </c>
      <c r="M94" s="174">
        <f t="shared" si="4"/>
        <v>0</v>
      </c>
      <c r="N94" s="175">
        <f t="shared" ref="N94:N119" si="11">K94+L94+M94</f>
        <v>100</v>
      </c>
      <c r="O94" s="176">
        <v>53.6</v>
      </c>
      <c r="P94" s="174"/>
      <c r="Q94" s="174"/>
      <c r="R94" s="177">
        <f t="shared" si="9"/>
        <v>53.6</v>
      </c>
      <c r="S94" s="171">
        <v>2</v>
      </c>
      <c r="T94" s="285">
        <v>37393</v>
      </c>
      <c r="U94" s="283">
        <v>37413</v>
      </c>
      <c r="V94" s="178" t="s">
        <v>553</v>
      </c>
      <c r="W94" s="171" t="s">
        <v>22</v>
      </c>
      <c r="X94" s="171" t="s">
        <v>11</v>
      </c>
      <c r="Y94" s="179">
        <v>48.8</v>
      </c>
      <c r="Z94" s="171" t="s">
        <v>555</v>
      </c>
      <c r="AA94" s="171" t="s">
        <v>93</v>
      </c>
      <c r="AB94" s="171" t="s">
        <v>11</v>
      </c>
      <c r="AC94" s="171">
        <v>4.8</v>
      </c>
      <c r="AD94" s="178"/>
      <c r="AG94" s="179"/>
      <c r="AL94" s="178"/>
      <c r="AO94" s="179"/>
      <c r="AP94" s="178"/>
      <c r="AS94" s="179"/>
      <c r="AW94" s="179"/>
      <c r="BA94" s="180"/>
    </row>
    <row r="95" spans="1:53" s="171" customFormat="1" x14ac:dyDescent="0.15">
      <c r="A95" s="171">
        <v>2003</v>
      </c>
      <c r="B95" s="283"/>
      <c r="C95" s="410" t="s">
        <v>757</v>
      </c>
      <c r="D95" s="410"/>
      <c r="E95" s="171">
        <v>0</v>
      </c>
      <c r="G95" s="172">
        <v>15</v>
      </c>
      <c r="H95" s="117"/>
      <c r="I95" s="117"/>
      <c r="J95" s="173">
        <v>15</v>
      </c>
      <c r="K95" s="174">
        <f t="shared" si="10"/>
        <v>100</v>
      </c>
      <c r="L95" s="174">
        <f t="shared" si="4"/>
        <v>0</v>
      </c>
      <c r="M95" s="174">
        <f t="shared" si="4"/>
        <v>0</v>
      </c>
      <c r="N95" s="175">
        <f t="shared" si="11"/>
        <v>100</v>
      </c>
      <c r="O95" s="176">
        <v>53.6</v>
      </c>
      <c r="P95" s="174"/>
      <c r="Q95" s="174"/>
      <c r="R95" s="177">
        <f t="shared" si="9"/>
        <v>53.6</v>
      </c>
      <c r="S95" s="171">
        <v>2</v>
      </c>
      <c r="T95" s="285"/>
      <c r="U95" s="283"/>
      <c r="V95" s="178" t="s">
        <v>553</v>
      </c>
      <c r="W95" s="171" t="s">
        <v>22</v>
      </c>
      <c r="X95" s="171" t="s">
        <v>11</v>
      </c>
      <c r="Y95" s="179">
        <v>48.8</v>
      </c>
      <c r="Z95" s="171" t="s">
        <v>555</v>
      </c>
      <c r="AA95" s="171" t="s">
        <v>93</v>
      </c>
      <c r="AB95" s="171" t="s">
        <v>11</v>
      </c>
      <c r="AC95" s="171">
        <v>4.8</v>
      </c>
      <c r="AD95" s="178"/>
      <c r="AG95" s="179"/>
      <c r="AL95" s="178"/>
      <c r="AO95" s="179"/>
      <c r="AP95" s="178"/>
      <c r="AS95" s="179"/>
      <c r="AW95" s="179"/>
      <c r="BA95" s="180"/>
    </row>
    <row r="96" spans="1:53" s="171" customFormat="1" x14ac:dyDescent="0.15">
      <c r="A96" s="171">
        <v>2003</v>
      </c>
      <c r="B96" s="283"/>
      <c r="C96" s="410" t="s">
        <v>757</v>
      </c>
      <c r="D96" s="410"/>
      <c r="E96" s="171">
        <f>365-E95</f>
        <v>365</v>
      </c>
      <c r="G96" s="172">
        <v>15</v>
      </c>
      <c r="H96" s="117"/>
      <c r="I96" s="117"/>
      <c r="J96" s="173">
        <v>15</v>
      </c>
      <c r="K96" s="174">
        <f t="shared" si="10"/>
        <v>100</v>
      </c>
      <c r="L96" s="174">
        <f t="shared" si="4"/>
        <v>0</v>
      </c>
      <c r="M96" s="174">
        <f t="shared" si="4"/>
        <v>0</v>
      </c>
      <c r="N96" s="175">
        <f t="shared" si="11"/>
        <v>100</v>
      </c>
      <c r="O96" s="176">
        <v>53.6</v>
      </c>
      <c r="P96" s="174"/>
      <c r="Q96" s="174"/>
      <c r="R96" s="177">
        <f t="shared" si="9"/>
        <v>53.6</v>
      </c>
      <c r="S96" s="171">
        <v>2</v>
      </c>
      <c r="T96" s="285"/>
      <c r="U96" s="283"/>
      <c r="V96" s="178" t="s">
        <v>553</v>
      </c>
      <c r="W96" s="171" t="s">
        <v>22</v>
      </c>
      <c r="X96" s="171" t="s">
        <v>11</v>
      </c>
      <c r="Y96" s="179">
        <v>48.8</v>
      </c>
      <c r="Z96" s="171" t="s">
        <v>555</v>
      </c>
      <c r="AA96" s="171" t="s">
        <v>93</v>
      </c>
      <c r="AB96" s="171" t="s">
        <v>11</v>
      </c>
      <c r="AC96" s="171">
        <v>4.8</v>
      </c>
      <c r="AD96" s="178"/>
      <c r="AG96" s="179"/>
      <c r="AL96" s="178"/>
      <c r="AO96" s="179"/>
      <c r="AP96" s="178"/>
      <c r="AS96" s="179"/>
      <c r="AW96" s="179"/>
      <c r="BA96" s="180"/>
    </row>
    <row r="97" spans="1:53" s="171" customFormat="1" x14ac:dyDescent="0.15">
      <c r="A97" s="171">
        <v>2004</v>
      </c>
      <c r="B97" s="283"/>
      <c r="C97" s="410" t="s">
        <v>757</v>
      </c>
      <c r="D97" s="410"/>
      <c r="E97" s="171">
        <v>0</v>
      </c>
      <c r="G97" s="172">
        <v>15</v>
      </c>
      <c r="H97" s="117"/>
      <c r="I97" s="117"/>
      <c r="J97" s="173">
        <v>15</v>
      </c>
      <c r="K97" s="174">
        <f t="shared" si="10"/>
        <v>100</v>
      </c>
      <c r="L97" s="174">
        <f t="shared" si="4"/>
        <v>0</v>
      </c>
      <c r="M97" s="174">
        <f t="shared" si="4"/>
        <v>0</v>
      </c>
      <c r="N97" s="175">
        <f t="shared" si="11"/>
        <v>100</v>
      </c>
      <c r="O97" s="176">
        <v>53.6</v>
      </c>
      <c r="P97" s="174"/>
      <c r="Q97" s="174"/>
      <c r="R97" s="177">
        <f t="shared" si="9"/>
        <v>53.6</v>
      </c>
      <c r="S97" s="171">
        <v>2</v>
      </c>
      <c r="T97" s="285"/>
      <c r="U97" s="283"/>
      <c r="V97" s="178" t="s">
        <v>553</v>
      </c>
      <c r="W97" s="171" t="s">
        <v>22</v>
      </c>
      <c r="X97" s="171" t="s">
        <v>11</v>
      </c>
      <c r="Y97" s="179">
        <v>48.8</v>
      </c>
      <c r="Z97" s="171" t="s">
        <v>555</v>
      </c>
      <c r="AA97" s="171" t="s">
        <v>93</v>
      </c>
      <c r="AB97" s="171" t="s">
        <v>11</v>
      </c>
      <c r="AC97" s="171">
        <v>4.8</v>
      </c>
      <c r="AD97" s="178"/>
      <c r="AG97" s="179"/>
      <c r="AL97" s="178"/>
      <c r="AO97" s="179"/>
      <c r="AP97" s="178"/>
      <c r="AS97" s="179"/>
      <c r="AW97" s="179"/>
      <c r="BA97" s="180"/>
    </row>
    <row r="98" spans="1:53" s="171" customFormat="1" x14ac:dyDescent="0.15">
      <c r="A98" s="171">
        <v>2004</v>
      </c>
      <c r="B98" s="283"/>
      <c r="C98" s="410" t="s">
        <v>757</v>
      </c>
      <c r="D98" s="410"/>
      <c r="E98" s="171">
        <v>366</v>
      </c>
      <c r="G98" s="172">
        <v>15</v>
      </c>
      <c r="H98" s="117"/>
      <c r="I98" s="117"/>
      <c r="J98" s="173">
        <v>15</v>
      </c>
      <c r="K98" s="174">
        <f t="shared" si="10"/>
        <v>100</v>
      </c>
      <c r="L98" s="174">
        <f t="shared" si="4"/>
        <v>0</v>
      </c>
      <c r="M98" s="174">
        <f t="shared" si="4"/>
        <v>0</v>
      </c>
      <c r="N98" s="175">
        <f t="shared" si="11"/>
        <v>100</v>
      </c>
      <c r="O98" s="176">
        <v>53.6</v>
      </c>
      <c r="P98" s="174"/>
      <c r="Q98" s="174"/>
      <c r="R98" s="177">
        <f t="shared" si="9"/>
        <v>53.6</v>
      </c>
      <c r="S98" s="171">
        <v>2</v>
      </c>
      <c r="T98" s="285"/>
      <c r="U98" s="283"/>
      <c r="V98" s="178" t="s">
        <v>553</v>
      </c>
      <c r="W98" s="171" t="s">
        <v>22</v>
      </c>
      <c r="X98" s="171" t="s">
        <v>11</v>
      </c>
      <c r="Y98" s="179">
        <v>48.8</v>
      </c>
      <c r="Z98" s="171" t="s">
        <v>555</v>
      </c>
      <c r="AA98" s="171" t="s">
        <v>93</v>
      </c>
      <c r="AB98" s="171" t="s">
        <v>11</v>
      </c>
      <c r="AC98" s="171">
        <v>4.8</v>
      </c>
      <c r="AD98" s="178"/>
      <c r="AG98" s="179"/>
      <c r="AL98" s="178"/>
      <c r="AO98" s="179"/>
      <c r="AP98" s="178"/>
      <c r="AS98" s="179"/>
      <c r="AW98" s="179"/>
      <c r="BA98" s="180"/>
    </row>
    <row r="99" spans="1:53" s="171" customFormat="1" x14ac:dyDescent="0.15">
      <c r="A99" s="171">
        <v>2005</v>
      </c>
      <c r="B99" s="283"/>
      <c r="C99" s="410" t="s">
        <v>757</v>
      </c>
      <c r="D99" s="410"/>
      <c r="E99" s="171">
        <v>0</v>
      </c>
      <c r="G99" s="172">
        <v>15</v>
      </c>
      <c r="H99" s="117"/>
      <c r="I99" s="117"/>
      <c r="J99" s="173">
        <v>15</v>
      </c>
      <c r="K99" s="174">
        <f t="shared" si="10"/>
        <v>100</v>
      </c>
      <c r="L99" s="174">
        <f t="shared" si="4"/>
        <v>0</v>
      </c>
      <c r="M99" s="174">
        <f t="shared" si="4"/>
        <v>0</v>
      </c>
      <c r="N99" s="175">
        <f t="shared" si="11"/>
        <v>100</v>
      </c>
      <c r="O99" s="176">
        <v>53.6</v>
      </c>
      <c r="P99" s="174"/>
      <c r="Q99" s="174"/>
      <c r="R99" s="177">
        <f t="shared" si="9"/>
        <v>53.6</v>
      </c>
      <c r="S99" s="171">
        <v>2</v>
      </c>
      <c r="T99" s="285"/>
      <c r="U99" s="283"/>
      <c r="V99" s="178" t="s">
        <v>553</v>
      </c>
      <c r="W99" s="171" t="s">
        <v>22</v>
      </c>
      <c r="X99" s="171" t="s">
        <v>11</v>
      </c>
      <c r="Y99" s="179">
        <v>48.8</v>
      </c>
      <c r="Z99" s="171" t="s">
        <v>555</v>
      </c>
      <c r="AA99" s="171" t="s">
        <v>93</v>
      </c>
      <c r="AB99" s="171" t="s">
        <v>11</v>
      </c>
      <c r="AC99" s="171">
        <v>4.8</v>
      </c>
      <c r="AD99" s="178"/>
      <c r="AG99" s="179"/>
      <c r="AL99" s="178"/>
      <c r="AO99" s="179"/>
      <c r="AP99" s="178"/>
      <c r="AS99" s="179"/>
      <c r="AW99" s="179"/>
      <c r="BA99" s="180"/>
    </row>
    <row r="100" spans="1:53" s="171" customFormat="1" x14ac:dyDescent="0.15">
      <c r="A100" s="171">
        <v>2005</v>
      </c>
      <c r="B100" s="283"/>
      <c r="C100" s="410" t="s">
        <v>757</v>
      </c>
      <c r="D100" s="410"/>
      <c r="E100" s="171">
        <f>365-E99</f>
        <v>365</v>
      </c>
      <c r="G100" s="172">
        <v>15</v>
      </c>
      <c r="H100" s="117"/>
      <c r="I100" s="117"/>
      <c r="J100" s="173">
        <v>15</v>
      </c>
      <c r="K100" s="174">
        <f t="shared" si="10"/>
        <v>100</v>
      </c>
      <c r="L100" s="174">
        <f t="shared" si="4"/>
        <v>0</v>
      </c>
      <c r="M100" s="174">
        <f t="shared" si="4"/>
        <v>0</v>
      </c>
      <c r="N100" s="175">
        <f t="shared" si="11"/>
        <v>100</v>
      </c>
      <c r="O100" s="176">
        <v>53.6</v>
      </c>
      <c r="P100" s="174"/>
      <c r="Q100" s="174"/>
      <c r="R100" s="177">
        <f t="shared" si="9"/>
        <v>53.6</v>
      </c>
      <c r="S100" s="171">
        <v>2</v>
      </c>
      <c r="T100" s="285"/>
      <c r="U100" s="283"/>
      <c r="V100" s="178" t="s">
        <v>553</v>
      </c>
      <c r="W100" s="171" t="s">
        <v>22</v>
      </c>
      <c r="X100" s="171" t="s">
        <v>11</v>
      </c>
      <c r="Y100" s="179">
        <v>48.8</v>
      </c>
      <c r="Z100" s="171" t="s">
        <v>555</v>
      </c>
      <c r="AA100" s="171" t="s">
        <v>93</v>
      </c>
      <c r="AB100" s="171" t="s">
        <v>11</v>
      </c>
      <c r="AC100" s="171">
        <v>4.8</v>
      </c>
      <c r="AD100" s="178"/>
      <c r="AG100" s="179"/>
      <c r="AL100" s="178"/>
      <c r="AO100" s="179"/>
      <c r="AP100" s="178"/>
      <c r="AS100" s="179"/>
      <c r="AW100" s="179"/>
      <c r="BA100" s="180"/>
    </row>
    <row r="101" spans="1:53" s="171" customFormat="1" x14ac:dyDescent="0.15">
      <c r="A101" s="171">
        <v>2006</v>
      </c>
      <c r="B101" s="283"/>
      <c r="C101" s="410" t="s">
        <v>757</v>
      </c>
      <c r="D101" s="410"/>
      <c r="E101" s="171">
        <v>0</v>
      </c>
      <c r="G101" s="172">
        <v>15</v>
      </c>
      <c r="H101" s="117"/>
      <c r="I101" s="117"/>
      <c r="J101" s="173">
        <v>15</v>
      </c>
      <c r="K101" s="174">
        <f t="shared" si="10"/>
        <v>100</v>
      </c>
      <c r="L101" s="174">
        <f t="shared" si="4"/>
        <v>0</v>
      </c>
      <c r="M101" s="174">
        <f t="shared" si="4"/>
        <v>0</v>
      </c>
      <c r="N101" s="175">
        <f t="shared" si="11"/>
        <v>100</v>
      </c>
      <c r="O101" s="176">
        <v>53.6</v>
      </c>
      <c r="P101" s="174"/>
      <c r="Q101" s="174"/>
      <c r="R101" s="177">
        <f t="shared" si="9"/>
        <v>53.6</v>
      </c>
      <c r="S101" s="171">
        <v>2</v>
      </c>
      <c r="T101" s="285"/>
      <c r="U101" s="283"/>
      <c r="V101" s="178" t="s">
        <v>553</v>
      </c>
      <c r="W101" s="171" t="s">
        <v>22</v>
      </c>
      <c r="X101" s="171" t="s">
        <v>11</v>
      </c>
      <c r="Y101" s="179">
        <v>48.8</v>
      </c>
      <c r="Z101" s="171" t="s">
        <v>555</v>
      </c>
      <c r="AA101" s="171" t="s">
        <v>93</v>
      </c>
      <c r="AB101" s="171" t="s">
        <v>11</v>
      </c>
      <c r="AC101" s="171">
        <v>4.8</v>
      </c>
      <c r="AD101" s="178"/>
      <c r="AG101" s="179"/>
      <c r="AL101" s="178"/>
      <c r="AO101" s="179"/>
      <c r="AP101" s="178"/>
      <c r="AS101" s="179"/>
      <c r="AW101" s="179"/>
      <c r="BA101" s="180"/>
    </row>
    <row r="102" spans="1:53" s="171" customFormat="1" x14ac:dyDescent="0.15">
      <c r="A102" s="171">
        <v>2006</v>
      </c>
      <c r="B102" s="283"/>
      <c r="C102" s="410" t="s">
        <v>757</v>
      </c>
      <c r="D102" s="410"/>
      <c r="E102" s="171">
        <f>365-E101</f>
        <v>365</v>
      </c>
      <c r="G102" s="172">
        <v>15</v>
      </c>
      <c r="H102" s="117"/>
      <c r="I102" s="117"/>
      <c r="J102" s="173">
        <v>15</v>
      </c>
      <c r="K102" s="174">
        <f t="shared" si="10"/>
        <v>100</v>
      </c>
      <c r="L102" s="174">
        <f t="shared" si="4"/>
        <v>0</v>
      </c>
      <c r="M102" s="174">
        <f t="shared" si="4"/>
        <v>0</v>
      </c>
      <c r="N102" s="175">
        <f t="shared" si="11"/>
        <v>100</v>
      </c>
      <c r="O102" s="176">
        <v>53.6</v>
      </c>
      <c r="P102" s="174"/>
      <c r="Q102" s="174"/>
      <c r="R102" s="177">
        <f t="shared" si="9"/>
        <v>53.6</v>
      </c>
      <c r="S102" s="171">
        <v>2</v>
      </c>
      <c r="T102" s="285"/>
      <c r="U102" s="283"/>
      <c r="V102" s="178" t="s">
        <v>553</v>
      </c>
      <c r="W102" s="171" t="s">
        <v>22</v>
      </c>
      <c r="X102" s="171" t="s">
        <v>11</v>
      </c>
      <c r="Y102" s="179">
        <v>48.8</v>
      </c>
      <c r="Z102" s="171" t="s">
        <v>555</v>
      </c>
      <c r="AA102" s="171" t="s">
        <v>93</v>
      </c>
      <c r="AB102" s="171" t="s">
        <v>11</v>
      </c>
      <c r="AC102" s="171">
        <v>4.8</v>
      </c>
      <c r="AD102" s="178"/>
      <c r="AG102" s="179"/>
      <c r="AL102" s="178"/>
      <c r="AO102" s="179"/>
      <c r="AP102" s="178"/>
      <c r="AS102" s="179"/>
      <c r="AW102" s="179"/>
      <c r="BA102" s="180"/>
    </row>
    <row r="103" spans="1:53" s="171" customFormat="1" x14ac:dyDescent="0.15">
      <c r="A103" s="171">
        <v>2007</v>
      </c>
      <c r="B103" s="283"/>
      <c r="C103" s="410" t="s">
        <v>757</v>
      </c>
      <c r="D103" s="410"/>
      <c r="E103" s="171">
        <v>164</v>
      </c>
      <c r="G103" s="172">
        <v>15</v>
      </c>
      <c r="H103" s="117"/>
      <c r="I103" s="117"/>
      <c r="J103" s="173">
        <v>15</v>
      </c>
      <c r="K103" s="174">
        <f t="shared" si="10"/>
        <v>100</v>
      </c>
      <c r="L103" s="174">
        <f t="shared" si="4"/>
        <v>0</v>
      </c>
      <c r="M103" s="174">
        <f t="shared" si="4"/>
        <v>0</v>
      </c>
      <c r="N103" s="175">
        <f t="shared" si="11"/>
        <v>100</v>
      </c>
      <c r="O103" s="176">
        <v>53.6</v>
      </c>
      <c r="P103" s="174"/>
      <c r="Q103" s="174"/>
      <c r="R103" s="177">
        <f t="shared" si="9"/>
        <v>53.6</v>
      </c>
      <c r="S103" s="171">
        <v>2</v>
      </c>
      <c r="T103" s="285"/>
      <c r="U103" s="283"/>
      <c r="V103" s="178" t="s">
        <v>553</v>
      </c>
      <c r="W103" s="171" t="s">
        <v>22</v>
      </c>
      <c r="X103" s="171" t="s">
        <v>11</v>
      </c>
      <c r="Y103" s="179">
        <v>48.8</v>
      </c>
      <c r="Z103" s="171" t="s">
        <v>555</v>
      </c>
      <c r="AA103" s="171" t="s">
        <v>93</v>
      </c>
      <c r="AB103" s="171" t="s">
        <v>11</v>
      </c>
      <c r="AC103" s="171">
        <v>4.8</v>
      </c>
      <c r="AD103" s="178"/>
      <c r="AG103" s="179"/>
      <c r="AL103" s="178"/>
      <c r="AO103" s="179"/>
      <c r="AP103" s="178"/>
      <c r="AS103" s="179"/>
      <c r="AW103" s="179"/>
      <c r="BA103" s="180"/>
    </row>
    <row r="104" spans="1:53" s="29" customFormat="1" x14ac:dyDescent="0.15">
      <c r="A104" s="29">
        <v>2007</v>
      </c>
      <c r="B104" s="295">
        <v>39247</v>
      </c>
      <c r="C104" s="411" t="s">
        <v>758</v>
      </c>
      <c r="D104" s="411"/>
      <c r="E104" s="29">
        <v>201</v>
      </c>
      <c r="F104" s="29">
        <v>1</v>
      </c>
      <c r="G104" s="30">
        <v>13</v>
      </c>
      <c r="H104" s="31"/>
      <c r="I104" s="31">
        <v>2</v>
      </c>
      <c r="J104" s="32">
        <v>15</v>
      </c>
      <c r="K104" s="33">
        <f t="shared" si="10"/>
        <v>86.666666666666671</v>
      </c>
      <c r="L104" s="33">
        <f t="shared" si="4"/>
        <v>0</v>
      </c>
      <c r="M104" s="33">
        <f t="shared" si="4"/>
        <v>13.333333333333334</v>
      </c>
      <c r="N104" s="34">
        <f t="shared" si="11"/>
        <v>100</v>
      </c>
      <c r="O104" s="35">
        <v>48.2</v>
      </c>
      <c r="P104" s="33"/>
      <c r="Q104" s="33">
        <v>3.6</v>
      </c>
      <c r="R104" s="36">
        <f t="shared" si="9"/>
        <v>51.800000000000004</v>
      </c>
      <c r="S104" s="29">
        <v>3</v>
      </c>
      <c r="T104" s="286">
        <v>39226</v>
      </c>
      <c r="U104" s="295">
        <v>39247</v>
      </c>
      <c r="V104" s="38" t="s">
        <v>553</v>
      </c>
      <c r="W104" s="29" t="s">
        <v>22</v>
      </c>
      <c r="X104" s="29" t="s">
        <v>11</v>
      </c>
      <c r="Y104" s="39">
        <v>47</v>
      </c>
      <c r="Z104" s="29" t="s">
        <v>557</v>
      </c>
      <c r="AA104" s="29" t="s">
        <v>216</v>
      </c>
      <c r="AB104" s="29" t="s">
        <v>12</v>
      </c>
      <c r="AC104" s="29">
        <v>3.6</v>
      </c>
      <c r="AD104" s="38" t="s">
        <v>555</v>
      </c>
      <c r="AE104" s="29" t="s">
        <v>93</v>
      </c>
      <c r="AF104" s="29" t="s">
        <v>11</v>
      </c>
      <c r="AG104" s="39">
        <v>1.2</v>
      </c>
      <c r="AL104" s="38"/>
      <c r="AO104" s="39"/>
      <c r="AP104" s="38"/>
      <c r="AS104" s="39"/>
      <c r="AW104" s="39"/>
      <c r="BA104" s="40"/>
    </row>
    <row r="105" spans="1:53" s="29" customFormat="1" x14ac:dyDescent="0.15">
      <c r="A105" s="29">
        <v>2008</v>
      </c>
      <c r="B105" s="295"/>
      <c r="C105" s="411" t="s">
        <v>758</v>
      </c>
      <c r="D105" s="411"/>
      <c r="E105" s="29">
        <v>188</v>
      </c>
      <c r="G105" s="30">
        <v>13</v>
      </c>
      <c r="H105" s="31"/>
      <c r="I105" s="31">
        <v>2</v>
      </c>
      <c r="J105" s="32">
        <v>15</v>
      </c>
      <c r="K105" s="33">
        <f t="shared" si="10"/>
        <v>86.666666666666671</v>
      </c>
      <c r="L105" s="33">
        <f t="shared" si="4"/>
        <v>0</v>
      </c>
      <c r="M105" s="33">
        <f t="shared" si="4"/>
        <v>13.333333333333334</v>
      </c>
      <c r="N105" s="34">
        <f t="shared" si="11"/>
        <v>100</v>
      </c>
      <c r="O105" s="35">
        <v>48.2</v>
      </c>
      <c r="P105" s="33"/>
      <c r="Q105" s="33">
        <v>3.6</v>
      </c>
      <c r="R105" s="36">
        <f t="shared" si="9"/>
        <v>51.800000000000004</v>
      </c>
      <c r="S105" s="29">
        <v>3</v>
      </c>
      <c r="T105" s="286"/>
      <c r="U105" s="295"/>
      <c r="V105" s="38" t="s">
        <v>553</v>
      </c>
      <c r="W105" s="29" t="s">
        <v>22</v>
      </c>
      <c r="X105" s="29" t="s">
        <v>11</v>
      </c>
      <c r="Y105" s="39">
        <v>47</v>
      </c>
      <c r="Z105" s="29" t="s">
        <v>557</v>
      </c>
      <c r="AA105" s="29" t="s">
        <v>216</v>
      </c>
      <c r="AB105" s="29" t="s">
        <v>12</v>
      </c>
      <c r="AC105" s="29">
        <v>3.6</v>
      </c>
      <c r="AD105" s="38" t="s">
        <v>555</v>
      </c>
      <c r="AE105" s="29" t="s">
        <v>93</v>
      </c>
      <c r="AF105" s="29" t="s">
        <v>11</v>
      </c>
      <c r="AG105" s="39">
        <v>1.2</v>
      </c>
      <c r="AL105" s="38"/>
      <c r="AO105" s="39"/>
      <c r="AP105" s="38"/>
      <c r="AS105" s="39"/>
      <c r="AW105" s="39"/>
      <c r="BA105" s="40"/>
    </row>
    <row r="106" spans="1:53" s="171" customFormat="1" x14ac:dyDescent="0.15">
      <c r="A106" s="171">
        <v>2008</v>
      </c>
      <c r="B106" s="283">
        <v>39636</v>
      </c>
      <c r="C106" s="410" t="s">
        <v>288</v>
      </c>
      <c r="D106" s="410"/>
      <c r="E106" s="171">
        <f>366-E105</f>
        <v>178</v>
      </c>
      <c r="F106" s="171">
        <v>2</v>
      </c>
      <c r="G106" s="172">
        <v>13</v>
      </c>
      <c r="H106" s="117"/>
      <c r="I106" s="117">
        <v>2</v>
      </c>
      <c r="J106" s="173">
        <v>15</v>
      </c>
      <c r="K106" s="174">
        <f t="shared" si="10"/>
        <v>86.666666666666671</v>
      </c>
      <c r="L106" s="174">
        <f t="shared" si="4"/>
        <v>0</v>
      </c>
      <c r="M106" s="174">
        <f t="shared" si="4"/>
        <v>13.333333333333334</v>
      </c>
      <c r="N106" s="175">
        <f t="shared" si="11"/>
        <v>100</v>
      </c>
      <c r="O106" s="176">
        <v>48.2</v>
      </c>
      <c r="P106" s="174"/>
      <c r="Q106" s="174">
        <v>3.6</v>
      </c>
      <c r="R106" s="177">
        <f t="shared" si="9"/>
        <v>51.800000000000004</v>
      </c>
      <c r="S106" s="171">
        <v>3</v>
      </c>
      <c r="T106" s="285"/>
      <c r="U106" s="283">
        <v>39636</v>
      </c>
      <c r="V106" s="178" t="s">
        <v>553</v>
      </c>
      <c r="W106" s="171" t="s">
        <v>22</v>
      </c>
      <c r="X106" s="171" t="s">
        <v>11</v>
      </c>
      <c r="Y106" s="179">
        <v>47</v>
      </c>
      <c r="Z106" s="171" t="s">
        <v>557</v>
      </c>
      <c r="AA106" s="171" t="s">
        <v>216</v>
      </c>
      <c r="AB106" s="171" t="s">
        <v>12</v>
      </c>
      <c r="AC106" s="171">
        <v>3.6</v>
      </c>
      <c r="AD106" s="178" t="s">
        <v>555</v>
      </c>
      <c r="AE106" s="171" t="s">
        <v>93</v>
      </c>
      <c r="AF106" s="171" t="s">
        <v>11</v>
      </c>
      <c r="AG106" s="179">
        <v>1.2</v>
      </c>
      <c r="AL106" s="178"/>
      <c r="AO106" s="179"/>
      <c r="AP106" s="178"/>
      <c r="AS106" s="179"/>
      <c r="AW106" s="179"/>
      <c r="BA106" s="180"/>
    </row>
    <row r="107" spans="1:53" s="171" customFormat="1" x14ac:dyDescent="0.15">
      <c r="A107" s="171">
        <v>2009</v>
      </c>
      <c r="B107" s="283"/>
      <c r="C107" s="410" t="s">
        <v>288</v>
      </c>
      <c r="D107" s="410"/>
      <c r="E107" s="171">
        <v>344</v>
      </c>
      <c r="G107" s="172">
        <v>13</v>
      </c>
      <c r="H107" s="117"/>
      <c r="I107" s="117">
        <v>2</v>
      </c>
      <c r="J107" s="173">
        <v>15</v>
      </c>
      <c r="K107" s="174">
        <f t="shared" si="10"/>
        <v>86.666666666666671</v>
      </c>
      <c r="L107" s="174">
        <f t="shared" si="4"/>
        <v>0</v>
      </c>
      <c r="M107" s="174">
        <f t="shared" si="4"/>
        <v>13.333333333333334</v>
      </c>
      <c r="N107" s="175">
        <f t="shared" si="11"/>
        <v>100</v>
      </c>
      <c r="O107" s="176">
        <v>48.2</v>
      </c>
      <c r="P107" s="174"/>
      <c r="Q107" s="174">
        <v>3.6</v>
      </c>
      <c r="R107" s="177">
        <f t="shared" si="9"/>
        <v>51.800000000000004</v>
      </c>
      <c r="S107" s="171">
        <v>3</v>
      </c>
      <c r="T107" s="285"/>
      <c r="U107" s="283"/>
      <c r="V107" s="178" t="s">
        <v>553</v>
      </c>
      <c r="W107" s="171" t="s">
        <v>22</v>
      </c>
      <c r="X107" s="171" t="s">
        <v>11</v>
      </c>
      <c r="Y107" s="179">
        <v>47</v>
      </c>
      <c r="Z107" s="171" t="s">
        <v>557</v>
      </c>
      <c r="AA107" s="171" t="s">
        <v>216</v>
      </c>
      <c r="AB107" s="171" t="s">
        <v>12</v>
      </c>
      <c r="AC107" s="171">
        <v>3.6</v>
      </c>
      <c r="AD107" s="178" t="s">
        <v>555</v>
      </c>
      <c r="AE107" s="171" t="s">
        <v>93</v>
      </c>
      <c r="AF107" s="171" t="s">
        <v>11</v>
      </c>
      <c r="AG107" s="179">
        <v>1.2</v>
      </c>
      <c r="AL107" s="178"/>
      <c r="AO107" s="179"/>
      <c r="AP107" s="178"/>
      <c r="AS107" s="179"/>
      <c r="AW107" s="179"/>
      <c r="BA107" s="180"/>
    </row>
    <row r="108" spans="1:53" s="29" customFormat="1" x14ac:dyDescent="0.15">
      <c r="A108" s="29">
        <v>2009</v>
      </c>
      <c r="B108" s="295">
        <v>40158</v>
      </c>
      <c r="C108" s="411" t="s">
        <v>759</v>
      </c>
      <c r="D108" s="411"/>
      <c r="E108" s="29">
        <v>21</v>
      </c>
      <c r="F108" s="29">
        <v>4</v>
      </c>
      <c r="G108" s="30">
        <v>12</v>
      </c>
      <c r="H108" s="31"/>
      <c r="I108" s="31">
        <v>2</v>
      </c>
      <c r="J108" s="32">
        <v>15</v>
      </c>
      <c r="K108" s="33">
        <f t="shared" si="10"/>
        <v>80</v>
      </c>
      <c r="L108" s="33">
        <f t="shared" si="4"/>
        <v>0</v>
      </c>
      <c r="M108" s="33">
        <f t="shared" si="4"/>
        <v>13.333333333333334</v>
      </c>
      <c r="N108" s="34">
        <f t="shared" si="11"/>
        <v>93.333333333333329</v>
      </c>
      <c r="O108" s="35">
        <v>47</v>
      </c>
      <c r="P108" s="33"/>
      <c r="Q108" s="33">
        <v>3.6</v>
      </c>
      <c r="R108" s="36">
        <f t="shared" si="9"/>
        <v>50.6</v>
      </c>
      <c r="S108" s="29">
        <v>2</v>
      </c>
      <c r="T108" s="286"/>
      <c r="U108" s="295">
        <v>40158</v>
      </c>
      <c r="V108" s="38" t="s">
        <v>553</v>
      </c>
      <c r="W108" s="29" t="s">
        <v>22</v>
      </c>
      <c r="X108" s="29" t="s">
        <v>11</v>
      </c>
      <c r="Y108" s="39">
        <v>47</v>
      </c>
      <c r="Z108" s="29" t="s">
        <v>557</v>
      </c>
      <c r="AA108" s="29" t="s">
        <v>216</v>
      </c>
      <c r="AB108" s="29" t="s">
        <v>12</v>
      </c>
      <c r="AC108" s="29">
        <v>3.6</v>
      </c>
      <c r="AD108" s="38"/>
      <c r="AG108" s="39"/>
      <c r="AL108" s="38"/>
      <c r="AO108" s="39"/>
      <c r="AP108" s="38"/>
      <c r="AS108" s="39"/>
      <c r="AW108" s="39"/>
      <c r="BA108" s="40"/>
    </row>
    <row r="109" spans="1:53" s="29" customFormat="1" x14ac:dyDescent="0.15">
      <c r="A109" s="29">
        <v>2010</v>
      </c>
      <c r="B109" s="295"/>
      <c r="C109" s="411" t="s">
        <v>759</v>
      </c>
      <c r="D109" s="411"/>
      <c r="E109" s="29">
        <v>0</v>
      </c>
      <c r="G109" s="30">
        <v>12</v>
      </c>
      <c r="H109" s="31"/>
      <c r="I109" s="31">
        <v>2</v>
      </c>
      <c r="J109" s="32">
        <v>15</v>
      </c>
      <c r="K109" s="33">
        <f t="shared" si="10"/>
        <v>80</v>
      </c>
      <c r="L109" s="33">
        <f t="shared" si="4"/>
        <v>0</v>
      </c>
      <c r="M109" s="33">
        <f t="shared" si="4"/>
        <v>13.333333333333334</v>
      </c>
      <c r="N109" s="34">
        <f t="shared" si="11"/>
        <v>93.333333333333329</v>
      </c>
      <c r="O109" s="35">
        <v>47</v>
      </c>
      <c r="P109" s="33"/>
      <c r="Q109" s="33">
        <v>3.6</v>
      </c>
      <c r="R109" s="36">
        <f t="shared" si="9"/>
        <v>50.6</v>
      </c>
      <c r="S109" s="29">
        <v>2</v>
      </c>
      <c r="T109" s="286"/>
      <c r="U109" s="295"/>
      <c r="V109" s="38" t="s">
        <v>553</v>
      </c>
      <c r="W109" s="29" t="s">
        <v>22</v>
      </c>
      <c r="X109" s="29" t="s">
        <v>11</v>
      </c>
      <c r="Y109" s="39">
        <v>47</v>
      </c>
      <c r="Z109" s="29" t="s">
        <v>557</v>
      </c>
      <c r="AA109" s="29" t="s">
        <v>216</v>
      </c>
      <c r="AB109" s="29" t="s">
        <v>12</v>
      </c>
      <c r="AC109" s="29">
        <v>3.6</v>
      </c>
      <c r="AD109" s="38"/>
      <c r="AG109" s="39"/>
      <c r="AL109" s="38"/>
      <c r="AO109" s="39"/>
      <c r="AP109" s="38"/>
      <c r="AS109" s="39"/>
      <c r="AW109" s="39"/>
      <c r="BA109" s="40"/>
    </row>
    <row r="110" spans="1:53" s="29" customFormat="1" x14ac:dyDescent="0.15">
      <c r="A110" s="29">
        <v>2010</v>
      </c>
      <c r="B110" s="295"/>
      <c r="C110" s="411" t="s">
        <v>759</v>
      </c>
      <c r="D110" s="411"/>
      <c r="E110" s="29">
        <v>365</v>
      </c>
      <c r="G110" s="30">
        <v>12</v>
      </c>
      <c r="H110" s="31"/>
      <c r="I110" s="31">
        <v>2</v>
      </c>
      <c r="J110" s="32">
        <v>15</v>
      </c>
      <c r="K110" s="33">
        <f t="shared" si="10"/>
        <v>80</v>
      </c>
      <c r="L110" s="33">
        <f t="shared" si="10"/>
        <v>0</v>
      </c>
      <c r="M110" s="33">
        <f t="shared" si="10"/>
        <v>13.333333333333334</v>
      </c>
      <c r="N110" s="34">
        <f t="shared" si="11"/>
        <v>93.333333333333329</v>
      </c>
      <c r="O110" s="35">
        <v>47</v>
      </c>
      <c r="P110" s="33"/>
      <c r="Q110" s="33">
        <v>3.6</v>
      </c>
      <c r="R110" s="36">
        <f t="shared" si="9"/>
        <v>50.6</v>
      </c>
      <c r="S110" s="29">
        <v>2</v>
      </c>
      <c r="T110" s="286"/>
      <c r="U110" s="295"/>
      <c r="V110" s="38" t="s">
        <v>553</v>
      </c>
      <c r="W110" s="29" t="s">
        <v>22</v>
      </c>
      <c r="X110" s="29" t="s">
        <v>11</v>
      </c>
      <c r="Y110" s="39">
        <v>47</v>
      </c>
      <c r="Z110" s="29" t="s">
        <v>557</v>
      </c>
      <c r="AA110" s="29" t="s">
        <v>216</v>
      </c>
      <c r="AB110" s="29" t="s">
        <v>12</v>
      </c>
      <c r="AC110" s="29">
        <v>3.6</v>
      </c>
      <c r="AD110" s="38"/>
      <c r="AG110" s="39"/>
      <c r="AL110" s="38"/>
      <c r="AO110" s="39"/>
      <c r="AP110" s="38"/>
      <c r="AS110" s="39"/>
      <c r="AW110" s="39"/>
      <c r="BA110" s="40"/>
    </row>
    <row r="111" spans="1:53" s="29" customFormat="1" x14ac:dyDescent="0.15">
      <c r="A111" s="29">
        <v>2011</v>
      </c>
      <c r="B111" s="295"/>
      <c r="C111" s="411" t="s">
        <v>759</v>
      </c>
      <c r="D111" s="411"/>
      <c r="E111" s="29">
        <v>18</v>
      </c>
      <c r="G111" s="30">
        <v>12</v>
      </c>
      <c r="H111" s="31"/>
      <c r="I111" s="31">
        <v>2</v>
      </c>
      <c r="J111" s="32">
        <v>15</v>
      </c>
      <c r="K111" s="33">
        <f t="shared" si="10"/>
        <v>80</v>
      </c>
      <c r="L111" s="33">
        <f t="shared" si="10"/>
        <v>0</v>
      </c>
      <c r="M111" s="33">
        <f t="shared" si="10"/>
        <v>13.333333333333334</v>
      </c>
      <c r="N111" s="34">
        <f t="shared" si="11"/>
        <v>93.333333333333329</v>
      </c>
      <c r="O111" s="35">
        <v>47</v>
      </c>
      <c r="P111" s="33"/>
      <c r="Q111" s="33">
        <v>3.6</v>
      </c>
      <c r="R111" s="36">
        <f t="shared" si="9"/>
        <v>50.6</v>
      </c>
      <c r="S111" s="29">
        <v>2</v>
      </c>
      <c r="T111" s="286"/>
      <c r="U111" s="295"/>
      <c r="V111" s="38" t="s">
        <v>553</v>
      </c>
      <c r="W111" s="29" t="s">
        <v>22</v>
      </c>
      <c r="X111" s="29" t="s">
        <v>11</v>
      </c>
      <c r="Y111" s="39">
        <v>47</v>
      </c>
      <c r="Z111" s="29" t="s">
        <v>557</v>
      </c>
      <c r="AA111" s="29" t="s">
        <v>216</v>
      </c>
      <c r="AB111" s="29" t="s">
        <v>12</v>
      </c>
      <c r="AC111" s="29">
        <v>3.6</v>
      </c>
      <c r="AD111" s="38"/>
      <c r="AG111" s="39"/>
      <c r="AL111" s="38"/>
      <c r="AO111" s="39"/>
      <c r="AP111" s="38"/>
      <c r="AS111" s="39"/>
      <c r="AW111" s="39"/>
      <c r="BA111" s="40"/>
    </row>
    <row r="112" spans="1:53" s="29" customFormat="1" x14ac:dyDescent="0.15">
      <c r="A112" s="29">
        <v>2011</v>
      </c>
      <c r="B112" s="303">
        <v>40562</v>
      </c>
      <c r="C112" s="411" t="s">
        <v>759</v>
      </c>
      <c r="D112" s="411"/>
      <c r="E112" s="29">
        <v>1</v>
      </c>
      <c r="F112" s="84">
        <v>0</v>
      </c>
      <c r="G112" s="30">
        <v>11</v>
      </c>
      <c r="H112" s="31"/>
      <c r="I112" s="31">
        <v>2</v>
      </c>
      <c r="J112" s="32">
        <v>14</v>
      </c>
      <c r="K112" s="33">
        <f t="shared" si="10"/>
        <v>78.571428571428569</v>
      </c>
      <c r="L112" s="33">
        <f t="shared" si="10"/>
        <v>0</v>
      </c>
      <c r="M112" s="33">
        <f t="shared" si="10"/>
        <v>14.285714285714285</v>
      </c>
      <c r="N112" s="34">
        <f t="shared" si="11"/>
        <v>92.857142857142861</v>
      </c>
      <c r="O112" s="35">
        <v>47</v>
      </c>
      <c r="P112" s="33"/>
      <c r="Q112" s="33">
        <v>3.6</v>
      </c>
      <c r="R112" s="36">
        <f t="shared" si="9"/>
        <v>50.6</v>
      </c>
      <c r="S112" s="29">
        <v>2</v>
      </c>
      <c r="T112" s="286"/>
      <c r="U112" s="295"/>
      <c r="V112" s="38" t="s">
        <v>553</v>
      </c>
      <c r="W112" s="29" t="s">
        <v>22</v>
      </c>
      <c r="X112" s="29" t="s">
        <v>11</v>
      </c>
      <c r="Y112" s="39">
        <v>47</v>
      </c>
      <c r="Z112" s="29" t="s">
        <v>557</v>
      </c>
      <c r="AA112" s="29" t="s">
        <v>216</v>
      </c>
      <c r="AB112" s="29" t="s">
        <v>12</v>
      </c>
      <c r="AC112" s="29">
        <v>3.6</v>
      </c>
      <c r="AD112" s="38"/>
      <c r="AG112" s="39"/>
      <c r="AL112" s="38"/>
      <c r="AO112" s="39"/>
      <c r="AP112" s="38"/>
      <c r="AS112" s="39"/>
      <c r="AW112" s="39"/>
      <c r="BA112" s="40"/>
    </row>
    <row r="113" spans="1:53" s="29" customFormat="1" x14ac:dyDescent="0.15">
      <c r="A113" s="29">
        <v>2011</v>
      </c>
      <c r="B113" s="303">
        <v>40563</v>
      </c>
      <c r="C113" s="411" t="s">
        <v>759</v>
      </c>
      <c r="D113" s="411"/>
      <c r="E113" s="29">
        <v>3</v>
      </c>
      <c r="F113" s="84">
        <v>0</v>
      </c>
      <c r="G113" s="30">
        <v>7</v>
      </c>
      <c r="H113" s="31"/>
      <c r="I113" s="31">
        <v>2</v>
      </c>
      <c r="J113" s="32">
        <v>9</v>
      </c>
      <c r="K113" s="33">
        <f t="shared" si="10"/>
        <v>77.777777777777786</v>
      </c>
      <c r="L113" s="33">
        <f t="shared" si="10"/>
        <v>0</v>
      </c>
      <c r="M113" s="33">
        <f t="shared" si="10"/>
        <v>22.222222222222221</v>
      </c>
      <c r="N113" s="34">
        <f t="shared" si="11"/>
        <v>100</v>
      </c>
      <c r="O113" s="35">
        <v>47</v>
      </c>
      <c r="P113" s="33"/>
      <c r="Q113" s="33">
        <v>3.6</v>
      </c>
      <c r="R113" s="36">
        <f t="shared" si="9"/>
        <v>50.6</v>
      </c>
      <c r="S113" s="29">
        <v>2</v>
      </c>
      <c r="T113" s="286"/>
      <c r="U113" s="295"/>
      <c r="V113" s="38" t="s">
        <v>553</v>
      </c>
      <c r="W113" s="29" t="s">
        <v>22</v>
      </c>
      <c r="X113" s="29" t="s">
        <v>11</v>
      </c>
      <c r="Y113" s="39">
        <v>47</v>
      </c>
      <c r="Z113" s="29" t="s">
        <v>557</v>
      </c>
      <c r="AA113" s="29" t="s">
        <v>216</v>
      </c>
      <c r="AB113" s="29" t="s">
        <v>12</v>
      </c>
      <c r="AC113" s="29">
        <v>3.6</v>
      </c>
      <c r="AD113" s="38"/>
      <c r="AG113" s="39"/>
      <c r="AL113" s="38"/>
      <c r="AO113" s="39"/>
      <c r="AP113" s="38"/>
      <c r="AS113" s="39"/>
      <c r="AW113" s="39"/>
      <c r="BA113" s="40"/>
    </row>
    <row r="114" spans="1:53" s="171" customFormat="1" x14ac:dyDescent="0.15">
      <c r="A114" s="171">
        <v>2011</v>
      </c>
      <c r="B114" s="283">
        <v>40566</v>
      </c>
      <c r="C114" s="410" t="s">
        <v>760</v>
      </c>
      <c r="D114" s="410"/>
      <c r="E114" s="171">
        <f>365-E111-E112-E113-E115</f>
        <v>45</v>
      </c>
      <c r="F114" s="171">
        <v>4</v>
      </c>
      <c r="G114" s="172">
        <v>7</v>
      </c>
      <c r="H114" s="117"/>
      <c r="I114" s="117"/>
      <c r="J114" s="173">
        <v>7</v>
      </c>
      <c r="K114" s="174">
        <f t="shared" si="10"/>
        <v>100</v>
      </c>
      <c r="L114" s="174">
        <f t="shared" si="10"/>
        <v>0</v>
      </c>
      <c r="M114" s="174">
        <f t="shared" si="10"/>
        <v>0</v>
      </c>
      <c r="N114" s="175">
        <f t="shared" si="11"/>
        <v>100</v>
      </c>
      <c r="O114" s="176">
        <v>47</v>
      </c>
      <c r="P114" s="174"/>
      <c r="Q114" s="174"/>
      <c r="R114" s="177">
        <f t="shared" si="9"/>
        <v>47</v>
      </c>
      <c r="S114" s="171">
        <v>4</v>
      </c>
      <c r="T114" s="285"/>
      <c r="U114" s="283">
        <v>40566</v>
      </c>
      <c r="V114" s="178" t="s">
        <v>553</v>
      </c>
      <c r="W114" s="171" t="s">
        <v>22</v>
      </c>
      <c r="X114" s="171" t="s">
        <v>11</v>
      </c>
      <c r="Y114" s="179">
        <v>47</v>
      </c>
      <c r="AD114" s="178"/>
      <c r="AG114" s="179"/>
      <c r="AL114" s="178"/>
      <c r="AO114" s="179"/>
      <c r="AP114" s="178"/>
      <c r="AS114" s="179"/>
      <c r="AW114" s="179"/>
      <c r="BA114" s="180"/>
    </row>
    <row r="115" spans="1:53" s="29" customFormat="1" x14ac:dyDescent="0.15">
      <c r="A115" s="29">
        <v>2011</v>
      </c>
      <c r="B115" s="295">
        <v>40611</v>
      </c>
      <c r="C115" s="411" t="s">
        <v>289</v>
      </c>
      <c r="D115" s="411"/>
      <c r="E115" s="29">
        <v>298</v>
      </c>
      <c r="F115" s="29">
        <v>1</v>
      </c>
      <c r="G115" s="30"/>
      <c r="H115" s="31">
        <v>10</v>
      </c>
      <c r="I115" s="31">
        <v>5</v>
      </c>
      <c r="J115" s="32">
        <v>15</v>
      </c>
      <c r="K115" s="33">
        <f t="shared" si="10"/>
        <v>0</v>
      </c>
      <c r="L115" s="33">
        <f t="shared" si="10"/>
        <v>66.666666666666657</v>
      </c>
      <c r="M115" s="33">
        <f t="shared" si="10"/>
        <v>33.333333333333329</v>
      </c>
      <c r="N115" s="34">
        <f t="shared" si="11"/>
        <v>99.999999999999986</v>
      </c>
      <c r="O115" s="35"/>
      <c r="P115" s="33">
        <v>45.8</v>
      </c>
      <c r="Q115" s="33">
        <v>22.3</v>
      </c>
      <c r="R115" s="36">
        <f t="shared" si="9"/>
        <v>68.099999999999994</v>
      </c>
      <c r="S115" s="29">
        <v>2</v>
      </c>
      <c r="T115" s="286">
        <v>40599</v>
      </c>
      <c r="U115" s="295">
        <v>40611</v>
      </c>
      <c r="V115" s="38" t="s">
        <v>554</v>
      </c>
      <c r="W115" s="29" t="s">
        <v>17</v>
      </c>
      <c r="X115" s="29" t="s">
        <v>18</v>
      </c>
      <c r="Y115" s="39">
        <v>45.8</v>
      </c>
      <c r="Z115" s="29" t="s">
        <v>451</v>
      </c>
      <c r="AA115" s="29" t="s">
        <v>20</v>
      </c>
      <c r="AB115" s="29" t="s">
        <v>12</v>
      </c>
      <c r="AC115" s="29">
        <v>22.3</v>
      </c>
      <c r="AD115" s="38"/>
      <c r="AG115" s="39"/>
      <c r="AL115" s="38"/>
      <c r="AO115" s="39"/>
      <c r="AP115" s="38"/>
      <c r="AS115" s="39"/>
      <c r="AW115" s="39"/>
      <c r="BA115" s="40"/>
    </row>
    <row r="116" spans="1:53" s="29" customFormat="1" x14ac:dyDescent="0.15">
      <c r="A116" s="29">
        <v>2012</v>
      </c>
      <c r="B116" s="295"/>
      <c r="C116" s="411" t="s">
        <v>289</v>
      </c>
      <c r="D116" s="411"/>
      <c r="E116" s="29">
        <v>0</v>
      </c>
      <c r="G116" s="30"/>
      <c r="H116" s="31">
        <v>10</v>
      </c>
      <c r="I116" s="31">
        <v>5</v>
      </c>
      <c r="J116" s="32">
        <v>15</v>
      </c>
      <c r="K116" s="33">
        <f t="shared" si="10"/>
        <v>0</v>
      </c>
      <c r="L116" s="33">
        <f t="shared" si="10"/>
        <v>66.666666666666657</v>
      </c>
      <c r="M116" s="33">
        <f t="shared" si="10"/>
        <v>33.333333333333329</v>
      </c>
      <c r="N116" s="34">
        <f t="shared" si="11"/>
        <v>99.999999999999986</v>
      </c>
      <c r="O116" s="35"/>
      <c r="P116" s="33">
        <v>45.8</v>
      </c>
      <c r="Q116" s="33">
        <v>22.3</v>
      </c>
      <c r="R116" s="36">
        <f t="shared" si="9"/>
        <v>68.099999999999994</v>
      </c>
      <c r="S116" s="29">
        <v>2</v>
      </c>
      <c r="T116" s="286"/>
      <c r="U116" s="295"/>
      <c r="V116" s="38" t="s">
        <v>554</v>
      </c>
      <c r="W116" s="29" t="s">
        <v>17</v>
      </c>
      <c r="X116" s="29" t="s">
        <v>18</v>
      </c>
      <c r="Y116" s="39">
        <v>45.8</v>
      </c>
      <c r="Z116" s="29" t="s">
        <v>451</v>
      </c>
      <c r="AA116" s="29" t="s">
        <v>20</v>
      </c>
      <c r="AB116" s="29" t="s">
        <v>12</v>
      </c>
      <c r="AC116" s="29">
        <v>22.3</v>
      </c>
      <c r="AD116" s="38"/>
      <c r="AG116" s="39"/>
      <c r="AL116" s="38"/>
      <c r="AO116" s="39"/>
      <c r="AP116" s="38"/>
      <c r="AS116" s="39"/>
      <c r="AW116" s="39"/>
      <c r="BA116" s="40"/>
    </row>
    <row r="117" spans="1:53" s="29" customFormat="1" x14ac:dyDescent="0.15">
      <c r="A117" s="29">
        <v>2012</v>
      </c>
      <c r="B117" s="295"/>
      <c r="C117" s="411" t="s">
        <v>289</v>
      </c>
      <c r="D117" s="411"/>
      <c r="E117" s="29">
        <v>366</v>
      </c>
      <c r="G117" s="30"/>
      <c r="H117" s="31">
        <v>10</v>
      </c>
      <c r="I117" s="31">
        <v>5</v>
      </c>
      <c r="J117" s="32">
        <v>15</v>
      </c>
      <c r="K117" s="33">
        <f t="shared" si="10"/>
        <v>0</v>
      </c>
      <c r="L117" s="33">
        <f t="shared" si="10"/>
        <v>66.666666666666657</v>
      </c>
      <c r="M117" s="33">
        <f t="shared" si="10"/>
        <v>33.333333333333329</v>
      </c>
      <c r="N117" s="34">
        <f t="shared" si="11"/>
        <v>99.999999999999986</v>
      </c>
      <c r="O117" s="35"/>
      <c r="P117" s="33">
        <v>45.8</v>
      </c>
      <c r="Q117" s="33">
        <v>22.3</v>
      </c>
      <c r="R117" s="36">
        <f t="shared" si="9"/>
        <v>68.099999999999994</v>
      </c>
      <c r="S117" s="29">
        <v>2</v>
      </c>
      <c r="T117" s="286"/>
      <c r="U117" s="295"/>
      <c r="V117" s="38" t="s">
        <v>554</v>
      </c>
      <c r="W117" s="29" t="s">
        <v>17</v>
      </c>
      <c r="X117" s="29" t="s">
        <v>18</v>
      </c>
      <c r="Y117" s="39">
        <v>45.8</v>
      </c>
      <c r="Z117" s="29" t="s">
        <v>451</v>
      </c>
      <c r="AA117" s="29" t="s">
        <v>20</v>
      </c>
      <c r="AB117" s="29" t="s">
        <v>12</v>
      </c>
      <c r="AC117" s="29">
        <v>22.3</v>
      </c>
      <c r="AD117" s="38"/>
      <c r="AG117" s="39"/>
      <c r="AL117" s="38"/>
      <c r="AO117" s="39"/>
      <c r="AP117" s="38"/>
      <c r="AS117" s="39"/>
      <c r="AW117" s="39"/>
      <c r="BA117" s="40"/>
    </row>
    <row r="118" spans="1:53" s="29" customFormat="1" x14ac:dyDescent="0.15">
      <c r="A118" s="29">
        <v>2013</v>
      </c>
      <c r="B118" s="295"/>
      <c r="C118" s="411" t="s">
        <v>289</v>
      </c>
      <c r="D118" s="411"/>
      <c r="E118" s="29">
        <v>0</v>
      </c>
      <c r="G118" s="30"/>
      <c r="H118" s="31">
        <v>10</v>
      </c>
      <c r="I118" s="31">
        <v>5</v>
      </c>
      <c r="J118" s="32">
        <v>15</v>
      </c>
      <c r="K118" s="33">
        <f t="shared" si="10"/>
        <v>0</v>
      </c>
      <c r="L118" s="33">
        <f t="shared" si="10"/>
        <v>66.666666666666657</v>
      </c>
      <c r="M118" s="33">
        <f t="shared" si="10"/>
        <v>33.333333333333329</v>
      </c>
      <c r="N118" s="34">
        <f t="shared" si="11"/>
        <v>99.999999999999986</v>
      </c>
      <c r="O118" s="35"/>
      <c r="P118" s="33">
        <v>45.8</v>
      </c>
      <c r="Q118" s="33">
        <v>22.3</v>
      </c>
      <c r="R118" s="36">
        <f>O118+P118+Q118</f>
        <v>68.099999999999994</v>
      </c>
      <c r="S118" s="29">
        <v>2</v>
      </c>
      <c r="T118" s="286"/>
      <c r="U118" s="295"/>
      <c r="V118" s="38" t="s">
        <v>554</v>
      </c>
      <c r="W118" s="29" t="s">
        <v>17</v>
      </c>
      <c r="X118" s="29" t="s">
        <v>18</v>
      </c>
      <c r="Y118" s="39">
        <v>45.8</v>
      </c>
      <c r="Z118" s="29" t="s">
        <v>451</v>
      </c>
      <c r="AA118" s="29" t="s">
        <v>20</v>
      </c>
      <c r="AB118" s="29" t="s">
        <v>12</v>
      </c>
      <c r="AC118" s="29">
        <v>22.3</v>
      </c>
      <c r="AD118" s="38"/>
      <c r="AG118" s="39"/>
      <c r="AL118" s="38"/>
      <c r="AO118" s="39"/>
      <c r="AP118" s="38"/>
      <c r="AS118" s="39"/>
      <c r="AW118" s="39"/>
      <c r="BA118" s="40"/>
    </row>
    <row r="119" spans="1:53" s="29" customFormat="1" x14ac:dyDescent="0.15">
      <c r="A119" s="29">
        <v>2013</v>
      </c>
      <c r="B119" s="295"/>
      <c r="C119" s="411" t="s">
        <v>289</v>
      </c>
      <c r="D119" s="411"/>
      <c r="E119" s="29">
        <v>365</v>
      </c>
      <c r="G119" s="30"/>
      <c r="H119" s="31">
        <v>10</v>
      </c>
      <c r="I119" s="31">
        <v>5</v>
      </c>
      <c r="J119" s="32">
        <v>15</v>
      </c>
      <c r="K119" s="33">
        <f t="shared" si="10"/>
        <v>0</v>
      </c>
      <c r="L119" s="33">
        <f t="shared" si="10"/>
        <v>66.666666666666657</v>
      </c>
      <c r="M119" s="33">
        <f t="shared" si="10"/>
        <v>33.333333333333329</v>
      </c>
      <c r="N119" s="34">
        <f t="shared" si="11"/>
        <v>99.999999999999986</v>
      </c>
      <c r="O119" s="35"/>
      <c r="P119" s="33">
        <v>45.8</v>
      </c>
      <c r="Q119" s="33">
        <v>22.3</v>
      </c>
      <c r="R119" s="36">
        <f>O119+P119+Q119</f>
        <v>68.099999999999994</v>
      </c>
      <c r="S119" s="29">
        <v>2</v>
      </c>
      <c r="T119" s="286"/>
      <c r="U119" s="295"/>
      <c r="V119" s="38" t="s">
        <v>554</v>
      </c>
      <c r="W119" s="29" t="s">
        <v>17</v>
      </c>
      <c r="X119" s="29" t="s">
        <v>18</v>
      </c>
      <c r="Y119" s="39">
        <v>45.8</v>
      </c>
      <c r="Z119" s="29" t="s">
        <v>451</v>
      </c>
      <c r="AA119" s="29" t="s">
        <v>20</v>
      </c>
      <c r="AB119" s="29" t="s">
        <v>12</v>
      </c>
      <c r="AC119" s="29">
        <v>22.3</v>
      </c>
      <c r="AD119" s="38"/>
      <c r="AG119" s="39"/>
      <c r="AL119" s="38"/>
      <c r="AO119" s="39"/>
      <c r="AP119" s="38"/>
      <c r="AS119" s="39"/>
      <c r="AW119" s="39"/>
      <c r="BA119" s="40"/>
    </row>
    <row r="120" spans="1:53" s="29" customFormat="1" x14ac:dyDescent="0.15">
      <c r="A120" s="29">
        <v>2014</v>
      </c>
      <c r="B120" s="303"/>
      <c r="C120" s="411" t="s">
        <v>289</v>
      </c>
      <c r="D120" s="411"/>
      <c r="E120" s="29">
        <v>0</v>
      </c>
      <c r="F120" s="84"/>
      <c r="G120" s="30"/>
      <c r="H120" s="31">
        <v>10</v>
      </c>
      <c r="I120" s="31">
        <v>5</v>
      </c>
      <c r="J120" s="32">
        <v>15</v>
      </c>
      <c r="K120" s="33">
        <f t="shared" ref="K120:M121" si="12">G120/$J120*100</f>
        <v>0</v>
      </c>
      <c r="L120" s="33">
        <f t="shared" si="12"/>
        <v>66.666666666666657</v>
      </c>
      <c r="M120" s="33">
        <f t="shared" si="12"/>
        <v>33.333333333333329</v>
      </c>
      <c r="N120" s="34">
        <f>K120+L120+M120</f>
        <v>99.999999999999986</v>
      </c>
      <c r="O120" s="35"/>
      <c r="P120" s="33">
        <v>45.8</v>
      </c>
      <c r="Q120" s="33">
        <v>22.3</v>
      </c>
      <c r="R120" s="36">
        <f>O120+P120+Q120</f>
        <v>68.099999999999994</v>
      </c>
      <c r="S120" s="29">
        <v>2</v>
      </c>
      <c r="T120" s="286"/>
      <c r="U120" s="295"/>
      <c r="V120" s="38" t="s">
        <v>554</v>
      </c>
      <c r="W120" s="29" t="s">
        <v>17</v>
      </c>
      <c r="X120" s="29" t="s">
        <v>18</v>
      </c>
      <c r="Y120" s="39">
        <v>45.8</v>
      </c>
      <c r="Z120" s="29" t="s">
        <v>451</v>
      </c>
      <c r="AA120" s="29" t="s">
        <v>20</v>
      </c>
      <c r="AB120" s="29" t="s">
        <v>12</v>
      </c>
      <c r="AC120" s="29">
        <v>22.3</v>
      </c>
      <c r="AD120" s="38"/>
      <c r="AG120" s="39"/>
      <c r="AL120" s="38"/>
      <c r="AO120" s="39"/>
      <c r="AP120" s="38"/>
      <c r="AS120" s="39"/>
      <c r="AW120" s="39"/>
      <c r="BA120" s="40"/>
    </row>
    <row r="121" spans="1:53" s="29" customFormat="1" x14ac:dyDescent="0.15">
      <c r="A121" s="29">
        <v>2014</v>
      </c>
      <c r="B121" s="303"/>
      <c r="C121" s="411" t="s">
        <v>289</v>
      </c>
      <c r="D121" s="411"/>
      <c r="E121" s="29">
        <v>365</v>
      </c>
      <c r="F121" s="84"/>
      <c r="G121" s="30"/>
      <c r="H121" s="31">
        <v>10</v>
      </c>
      <c r="I121" s="31">
        <v>5</v>
      </c>
      <c r="J121" s="32">
        <v>15</v>
      </c>
      <c r="K121" s="33">
        <f t="shared" si="12"/>
        <v>0</v>
      </c>
      <c r="L121" s="33">
        <f t="shared" si="12"/>
        <v>66.666666666666657</v>
      </c>
      <c r="M121" s="33">
        <f t="shared" si="12"/>
        <v>33.333333333333329</v>
      </c>
      <c r="N121" s="34">
        <f>K121+L121+M121</f>
        <v>99.999999999999986</v>
      </c>
      <c r="O121" s="35"/>
      <c r="P121" s="33">
        <v>45.8</v>
      </c>
      <c r="Q121" s="33">
        <v>22.3</v>
      </c>
      <c r="R121" s="36">
        <f>O121+P121+Q121</f>
        <v>68.099999999999994</v>
      </c>
      <c r="S121" s="29">
        <v>2</v>
      </c>
      <c r="T121" s="286"/>
      <c r="U121" s="295"/>
      <c r="V121" s="38" t="s">
        <v>554</v>
      </c>
      <c r="W121" s="29" t="s">
        <v>17</v>
      </c>
      <c r="X121" s="29" t="s">
        <v>18</v>
      </c>
      <c r="Y121" s="39">
        <v>45.8</v>
      </c>
      <c r="Z121" s="29" t="s">
        <v>451</v>
      </c>
      <c r="AA121" s="29" t="s">
        <v>20</v>
      </c>
      <c r="AB121" s="29" t="s">
        <v>12</v>
      </c>
      <c r="AC121" s="29">
        <v>22.3</v>
      </c>
      <c r="AD121" s="38"/>
      <c r="AG121" s="39"/>
      <c r="AL121" s="38"/>
      <c r="AO121" s="39"/>
      <c r="AP121" s="38"/>
      <c r="AS121" s="39"/>
      <c r="AW121" s="39"/>
      <c r="BA121" s="40"/>
    </row>
    <row r="122" spans="1:53" s="29" customFormat="1" x14ac:dyDescent="0.15">
      <c r="A122" s="29">
        <v>2015</v>
      </c>
      <c r="B122" s="303"/>
      <c r="C122" s="411" t="s">
        <v>289</v>
      </c>
      <c r="D122" s="411"/>
      <c r="E122" s="29">
        <v>0</v>
      </c>
      <c r="F122" s="84"/>
      <c r="G122" s="30"/>
      <c r="H122" s="31">
        <v>10</v>
      </c>
      <c r="I122" s="31">
        <v>5</v>
      </c>
      <c r="J122" s="32">
        <v>15</v>
      </c>
      <c r="K122" s="33">
        <f t="shared" ref="K122:K129" si="13">G122/$J122*100</f>
        <v>0</v>
      </c>
      <c r="L122" s="33">
        <f t="shared" ref="L122:L129" si="14">H122/$J122*100</f>
        <v>66.666666666666657</v>
      </c>
      <c r="M122" s="33">
        <f t="shared" ref="M122:M129" si="15">I122/$J122*100</f>
        <v>33.333333333333329</v>
      </c>
      <c r="N122" s="34">
        <f t="shared" ref="N122:N129" si="16">K122+L122+M122</f>
        <v>99.999999999999986</v>
      </c>
      <c r="O122" s="35"/>
      <c r="P122" s="33">
        <v>45.8</v>
      </c>
      <c r="Q122" s="33">
        <v>22.3</v>
      </c>
      <c r="R122" s="36">
        <f t="shared" ref="R122:R127" si="17">O122+P122+Q122</f>
        <v>68.099999999999994</v>
      </c>
      <c r="S122" s="29">
        <v>2</v>
      </c>
      <c r="T122" s="286"/>
      <c r="U122" s="295"/>
      <c r="V122" s="38" t="s">
        <v>554</v>
      </c>
      <c r="W122" s="29" t="s">
        <v>17</v>
      </c>
      <c r="X122" s="29" t="s">
        <v>18</v>
      </c>
      <c r="Y122" s="39">
        <v>45.8</v>
      </c>
      <c r="Z122" s="29" t="s">
        <v>451</v>
      </c>
      <c r="AA122" s="29" t="s">
        <v>20</v>
      </c>
      <c r="AB122" s="29" t="s">
        <v>12</v>
      </c>
      <c r="AC122" s="29">
        <v>22.3</v>
      </c>
      <c r="AD122" s="38"/>
      <c r="AG122" s="39"/>
      <c r="AL122" s="38"/>
      <c r="AO122" s="39"/>
      <c r="AP122" s="38"/>
      <c r="AS122" s="39"/>
      <c r="AW122" s="39"/>
      <c r="BA122" s="40"/>
    </row>
    <row r="123" spans="1:53" s="29" customFormat="1" x14ac:dyDescent="0.15">
      <c r="A123" s="29">
        <v>2015</v>
      </c>
      <c r="B123" s="303"/>
      <c r="C123" s="411" t="s">
        <v>289</v>
      </c>
      <c r="D123" s="411"/>
      <c r="E123" s="29">
        <v>365</v>
      </c>
      <c r="F123" s="84"/>
      <c r="G123" s="30"/>
      <c r="H123" s="31">
        <v>10</v>
      </c>
      <c r="I123" s="31">
        <v>5</v>
      </c>
      <c r="J123" s="32">
        <v>15</v>
      </c>
      <c r="K123" s="33">
        <f t="shared" si="13"/>
        <v>0</v>
      </c>
      <c r="L123" s="33">
        <f t="shared" si="14"/>
        <v>66.666666666666657</v>
      </c>
      <c r="M123" s="33">
        <f t="shared" si="15"/>
        <v>33.333333333333329</v>
      </c>
      <c r="N123" s="34">
        <f t="shared" si="16"/>
        <v>99.999999999999986</v>
      </c>
      <c r="O123" s="35"/>
      <c r="P123" s="33">
        <v>45.8</v>
      </c>
      <c r="Q123" s="33">
        <v>22.3</v>
      </c>
      <c r="R123" s="36">
        <f t="shared" si="17"/>
        <v>68.099999999999994</v>
      </c>
      <c r="S123" s="29">
        <v>2</v>
      </c>
      <c r="T123" s="286"/>
      <c r="U123" s="295"/>
      <c r="V123" s="38" t="s">
        <v>554</v>
      </c>
      <c r="W123" s="29" t="s">
        <v>17</v>
      </c>
      <c r="X123" s="29" t="s">
        <v>18</v>
      </c>
      <c r="Y123" s="39">
        <v>45.8</v>
      </c>
      <c r="Z123" s="29" t="s">
        <v>451</v>
      </c>
      <c r="AA123" s="29" t="s">
        <v>20</v>
      </c>
      <c r="AB123" s="29" t="s">
        <v>12</v>
      </c>
      <c r="AC123" s="29">
        <v>22.3</v>
      </c>
      <c r="AD123" s="38"/>
      <c r="AG123" s="39"/>
      <c r="AL123" s="38"/>
      <c r="AO123" s="39"/>
      <c r="AP123" s="38"/>
      <c r="AS123" s="39"/>
      <c r="AW123" s="39"/>
      <c r="BA123" s="40"/>
    </row>
    <row r="124" spans="1:53" s="29" customFormat="1" x14ac:dyDescent="0.15">
      <c r="A124" s="29">
        <v>2016</v>
      </c>
      <c r="B124" s="303"/>
      <c r="C124" s="411" t="s">
        <v>289</v>
      </c>
      <c r="D124" s="411"/>
      <c r="E124" s="29">
        <v>126</v>
      </c>
      <c r="F124" s="84"/>
      <c r="G124" s="30"/>
      <c r="H124" s="31">
        <v>10</v>
      </c>
      <c r="I124" s="31">
        <v>5</v>
      </c>
      <c r="J124" s="32">
        <v>15</v>
      </c>
      <c r="K124" s="33">
        <f t="shared" si="13"/>
        <v>0</v>
      </c>
      <c r="L124" s="33">
        <f t="shared" si="14"/>
        <v>66.666666666666657</v>
      </c>
      <c r="M124" s="33">
        <f t="shared" si="15"/>
        <v>33.333333333333329</v>
      </c>
      <c r="N124" s="34">
        <f t="shared" si="16"/>
        <v>99.999999999999986</v>
      </c>
      <c r="O124" s="35"/>
      <c r="P124" s="33">
        <v>45.8</v>
      </c>
      <c r="Q124" s="33">
        <v>22.3</v>
      </c>
      <c r="R124" s="36">
        <f t="shared" si="17"/>
        <v>68.099999999999994</v>
      </c>
      <c r="S124" s="29">
        <v>2</v>
      </c>
      <c r="T124" s="286"/>
      <c r="U124" s="295"/>
      <c r="V124" s="38" t="s">
        <v>554</v>
      </c>
      <c r="W124" s="29" t="s">
        <v>17</v>
      </c>
      <c r="X124" s="29" t="s">
        <v>18</v>
      </c>
      <c r="Y124" s="39">
        <v>45.8</v>
      </c>
      <c r="Z124" s="29" t="s">
        <v>451</v>
      </c>
      <c r="AA124" s="29" t="s">
        <v>20</v>
      </c>
      <c r="AB124" s="29" t="s">
        <v>12</v>
      </c>
      <c r="AC124" s="29">
        <v>22.3</v>
      </c>
      <c r="AD124" s="38"/>
      <c r="AG124" s="39"/>
      <c r="AL124" s="38"/>
      <c r="AO124" s="39"/>
      <c r="AP124" s="38"/>
      <c r="AS124" s="39"/>
      <c r="AW124" s="39"/>
      <c r="BA124" s="40"/>
    </row>
    <row r="125" spans="1:53" s="171" customFormat="1" x14ac:dyDescent="0.15">
      <c r="A125" s="171">
        <v>2016</v>
      </c>
      <c r="B125" s="283">
        <v>42496</v>
      </c>
      <c r="C125" s="410" t="s">
        <v>1342</v>
      </c>
      <c r="D125" s="410"/>
      <c r="E125" s="171">
        <v>240</v>
      </c>
      <c r="F125" s="171">
        <v>1</v>
      </c>
      <c r="G125" s="172"/>
      <c r="H125" s="117">
        <v>12</v>
      </c>
      <c r="I125" s="117"/>
      <c r="J125" s="173">
        <v>15</v>
      </c>
      <c r="K125" s="174">
        <f t="shared" si="13"/>
        <v>0</v>
      </c>
      <c r="L125" s="174">
        <f t="shared" si="14"/>
        <v>80</v>
      </c>
      <c r="M125" s="174">
        <f t="shared" si="15"/>
        <v>0</v>
      </c>
      <c r="N125" s="175">
        <f t="shared" si="16"/>
        <v>80</v>
      </c>
      <c r="O125" s="176"/>
      <c r="P125" s="174">
        <v>31.6</v>
      </c>
      <c r="Q125" s="174"/>
      <c r="R125" s="177">
        <f t="shared" si="17"/>
        <v>31.6</v>
      </c>
      <c r="S125" s="171">
        <v>4</v>
      </c>
      <c r="T125" s="285">
        <v>42426</v>
      </c>
      <c r="U125" s="283">
        <v>42496</v>
      </c>
      <c r="V125" s="178" t="s">
        <v>554</v>
      </c>
      <c r="W125" s="171" t="s">
        <v>17</v>
      </c>
      <c r="X125" s="171" t="s">
        <v>18</v>
      </c>
      <c r="Y125" s="179">
        <v>31.6</v>
      </c>
      <c r="AD125" s="178"/>
      <c r="AG125" s="179"/>
      <c r="AL125" s="178"/>
      <c r="AO125" s="179"/>
      <c r="AP125" s="178"/>
      <c r="AS125" s="179"/>
      <c r="AW125" s="179"/>
      <c r="BA125" s="180"/>
    </row>
    <row r="126" spans="1:53" s="171" customFormat="1" x14ac:dyDescent="0.15">
      <c r="A126" s="171">
        <v>2017</v>
      </c>
      <c r="B126" s="283"/>
      <c r="C126" s="410" t="s">
        <v>1342</v>
      </c>
      <c r="D126" s="410"/>
      <c r="E126" s="171">
        <v>164</v>
      </c>
      <c r="G126" s="172"/>
      <c r="H126" s="117">
        <v>12</v>
      </c>
      <c r="I126" s="117"/>
      <c r="J126" s="173">
        <v>15</v>
      </c>
      <c r="K126" s="174">
        <f t="shared" si="13"/>
        <v>0</v>
      </c>
      <c r="L126" s="174">
        <f t="shared" si="14"/>
        <v>80</v>
      </c>
      <c r="M126" s="174">
        <f t="shared" si="15"/>
        <v>0</v>
      </c>
      <c r="N126" s="175">
        <f t="shared" si="16"/>
        <v>80</v>
      </c>
      <c r="O126" s="176"/>
      <c r="P126" s="174">
        <v>31.6</v>
      </c>
      <c r="Q126" s="174"/>
      <c r="R126" s="177">
        <f t="shared" si="17"/>
        <v>31.6</v>
      </c>
      <c r="S126" s="171">
        <v>4</v>
      </c>
      <c r="T126" s="285"/>
      <c r="U126" s="283"/>
      <c r="V126" s="178" t="s">
        <v>554</v>
      </c>
      <c r="W126" s="171" t="s">
        <v>17</v>
      </c>
      <c r="X126" s="171" t="s">
        <v>18</v>
      </c>
      <c r="Y126" s="179">
        <v>31.6</v>
      </c>
      <c r="AD126" s="178"/>
      <c r="AG126" s="179"/>
      <c r="AL126" s="178"/>
      <c r="AO126" s="179"/>
      <c r="AP126" s="178"/>
      <c r="AS126" s="179"/>
      <c r="AW126" s="179"/>
      <c r="BA126" s="180"/>
    </row>
    <row r="127" spans="1:53" s="29" customFormat="1" x14ac:dyDescent="0.15">
      <c r="A127" s="29">
        <v>2017</v>
      </c>
      <c r="B127" s="295">
        <v>42900</v>
      </c>
      <c r="C127" s="411" t="s">
        <v>1375</v>
      </c>
      <c r="D127" s="411"/>
      <c r="E127" s="29">
        <v>201</v>
      </c>
      <c r="F127" s="29">
        <v>2</v>
      </c>
      <c r="G127" s="30"/>
      <c r="H127" s="31">
        <v>12</v>
      </c>
      <c r="I127" s="31"/>
      <c r="J127" s="32">
        <v>15</v>
      </c>
      <c r="K127" s="33">
        <f t="shared" si="13"/>
        <v>0</v>
      </c>
      <c r="L127" s="33">
        <f t="shared" si="14"/>
        <v>80</v>
      </c>
      <c r="M127" s="33">
        <f t="shared" si="15"/>
        <v>0</v>
      </c>
      <c r="N127" s="34">
        <f t="shared" si="16"/>
        <v>80</v>
      </c>
      <c r="O127" s="35"/>
      <c r="P127" s="33">
        <v>31.6</v>
      </c>
      <c r="Q127" s="33"/>
      <c r="R127" s="36">
        <f t="shared" si="17"/>
        <v>31.6</v>
      </c>
      <c r="S127" s="29">
        <v>4</v>
      </c>
      <c r="T127" s="286"/>
      <c r="U127" s="295">
        <v>42900</v>
      </c>
      <c r="V127" s="38" t="s">
        <v>554</v>
      </c>
      <c r="W127" s="29" t="s">
        <v>17</v>
      </c>
      <c r="X127" s="29" t="s">
        <v>18</v>
      </c>
      <c r="Y127" s="39">
        <v>31.6</v>
      </c>
      <c r="AD127" s="38"/>
      <c r="AG127" s="39"/>
      <c r="AK127" s="39"/>
      <c r="AO127" s="39"/>
      <c r="AP127" s="38"/>
      <c r="AS127" s="39"/>
      <c r="AW127" s="39"/>
      <c r="BA127" s="40"/>
    </row>
    <row r="128" spans="1:53" s="29" customFormat="1" x14ac:dyDescent="0.15">
      <c r="A128" s="29">
        <v>2018</v>
      </c>
      <c r="B128" s="295"/>
      <c r="C128" s="411" t="s">
        <v>1375</v>
      </c>
      <c r="D128" s="411"/>
      <c r="E128" s="29">
        <v>283</v>
      </c>
      <c r="G128" s="30"/>
      <c r="H128" s="31">
        <v>12</v>
      </c>
      <c r="I128" s="31"/>
      <c r="J128" s="32">
        <v>15</v>
      </c>
      <c r="K128" s="33">
        <f t="shared" si="13"/>
        <v>0</v>
      </c>
      <c r="L128" s="33">
        <f t="shared" si="14"/>
        <v>80</v>
      </c>
      <c r="M128" s="33">
        <f t="shared" si="15"/>
        <v>0</v>
      </c>
      <c r="N128" s="34">
        <f t="shared" si="16"/>
        <v>80</v>
      </c>
      <c r="O128" s="35"/>
      <c r="P128" s="33">
        <v>31.6</v>
      </c>
      <c r="Q128" s="33"/>
      <c r="R128" s="36">
        <f t="shared" ref="R128:R129" si="18">O128+P128+Q128</f>
        <v>31.6</v>
      </c>
      <c r="S128" s="29">
        <v>4</v>
      </c>
      <c r="T128" s="286"/>
      <c r="U128" s="295"/>
      <c r="V128" s="38" t="s">
        <v>554</v>
      </c>
      <c r="W128" s="29" t="s">
        <v>17</v>
      </c>
      <c r="X128" s="29" t="s">
        <v>18</v>
      </c>
      <c r="Y128" s="39">
        <v>31.6</v>
      </c>
      <c r="AD128" s="38"/>
      <c r="AG128" s="39"/>
      <c r="AK128" s="39"/>
      <c r="AO128" s="39"/>
      <c r="AS128" s="39"/>
      <c r="AW128" s="39"/>
      <c r="BA128" s="40"/>
    </row>
    <row r="129" spans="1:53" s="29" customFormat="1" x14ac:dyDescent="0.15">
      <c r="A129" s="29">
        <v>2018</v>
      </c>
      <c r="B129" s="303">
        <v>43384</v>
      </c>
      <c r="C129" s="411" t="s">
        <v>1375</v>
      </c>
      <c r="D129" s="411"/>
      <c r="E129" s="29">
        <v>82</v>
      </c>
      <c r="F129" s="84">
        <v>0</v>
      </c>
      <c r="G129" s="30"/>
      <c r="H129" s="31">
        <v>13</v>
      </c>
      <c r="I129" s="31"/>
      <c r="J129" s="32">
        <v>15</v>
      </c>
      <c r="K129" s="33">
        <f t="shared" si="13"/>
        <v>0</v>
      </c>
      <c r="L129" s="33">
        <f t="shared" si="14"/>
        <v>86.666666666666671</v>
      </c>
      <c r="M129" s="33">
        <f t="shared" si="15"/>
        <v>0</v>
      </c>
      <c r="N129" s="34">
        <f t="shared" si="16"/>
        <v>86.666666666666671</v>
      </c>
      <c r="O129" s="35"/>
      <c r="P129" s="33">
        <v>31.6</v>
      </c>
      <c r="Q129" s="33"/>
      <c r="R129" s="36">
        <f t="shared" si="18"/>
        <v>31.6</v>
      </c>
      <c r="S129" s="29">
        <v>4</v>
      </c>
      <c r="T129" s="286"/>
      <c r="U129" s="295"/>
      <c r="V129" s="38" t="s">
        <v>554</v>
      </c>
      <c r="W129" s="29" t="s">
        <v>17</v>
      </c>
      <c r="X129" s="29" t="s">
        <v>18</v>
      </c>
      <c r="Y129" s="39">
        <v>31.6</v>
      </c>
      <c r="AD129" s="38"/>
      <c r="AG129" s="39"/>
      <c r="AK129" s="39"/>
      <c r="AO129" s="39"/>
      <c r="AS129" s="39"/>
      <c r="AW129" s="39"/>
      <c r="BA129" s="40"/>
    </row>
    <row r="130" spans="1:53" s="29" customFormat="1" x14ac:dyDescent="0.15">
      <c r="A130" s="29">
        <v>2019</v>
      </c>
      <c r="B130" s="295"/>
      <c r="C130" s="411" t="s">
        <v>1375</v>
      </c>
      <c r="D130" s="411"/>
      <c r="E130" s="29">
        <v>0</v>
      </c>
      <c r="F130" s="343"/>
      <c r="G130" s="31"/>
      <c r="H130" s="31">
        <v>13</v>
      </c>
      <c r="I130" s="31"/>
      <c r="J130" s="32">
        <v>15</v>
      </c>
      <c r="K130" s="33">
        <f t="shared" ref="K130:K134" si="19">G130/$J130*100</f>
        <v>0</v>
      </c>
      <c r="L130" s="33">
        <f t="shared" ref="L130:L134" si="20">H130/$J130*100</f>
        <v>86.666666666666671</v>
      </c>
      <c r="M130" s="33">
        <f t="shared" ref="M130:M134" si="21">I130/$J130*100</f>
        <v>0</v>
      </c>
      <c r="N130" s="34">
        <f t="shared" ref="N130:N134" si="22">K130+L130+M130</f>
        <v>86.666666666666671</v>
      </c>
      <c r="O130" s="35"/>
      <c r="P130" s="33">
        <v>31.6</v>
      </c>
      <c r="Q130" s="33"/>
      <c r="R130" s="36">
        <f t="shared" ref="R130:R132" si="23">O130+P130+Q130</f>
        <v>31.6</v>
      </c>
      <c r="S130" s="29">
        <v>4</v>
      </c>
      <c r="T130" s="286"/>
      <c r="U130" s="295"/>
      <c r="V130" s="38" t="s">
        <v>554</v>
      </c>
      <c r="W130" s="29" t="s">
        <v>17</v>
      </c>
      <c r="X130" s="29" t="s">
        <v>18</v>
      </c>
      <c r="Y130" s="39">
        <v>31.6</v>
      </c>
      <c r="AC130" s="39"/>
      <c r="AG130" s="39"/>
      <c r="AK130" s="39"/>
      <c r="AO130" s="39"/>
      <c r="AS130" s="39"/>
      <c r="AW130" s="39"/>
      <c r="BA130" s="40"/>
    </row>
    <row r="131" spans="1:53" s="29" customFormat="1" x14ac:dyDescent="0.15">
      <c r="A131" s="29">
        <v>2019</v>
      </c>
      <c r="B131" s="303"/>
      <c r="C131" s="411" t="s">
        <v>1375</v>
      </c>
      <c r="D131" s="411"/>
      <c r="E131" s="29">
        <v>365</v>
      </c>
      <c r="F131" s="343"/>
      <c r="G131" s="31"/>
      <c r="H131" s="31">
        <v>13</v>
      </c>
      <c r="I131" s="31"/>
      <c r="J131" s="32">
        <v>15</v>
      </c>
      <c r="K131" s="33">
        <f t="shared" si="19"/>
        <v>0</v>
      </c>
      <c r="L131" s="33">
        <f t="shared" si="20"/>
        <v>86.666666666666671</v>
      </c>
      <c r="M131" s="33">
        <f t="shared" si="21"/>
        <v>0</v>
      </c>
      <c r="N131" s="36">
        <f t="shared" si="22"/>
        <v>86.666666666666671</v>
      </c>
      <c r="O131" s="33"/>
      <c r="P131" s="33">
        <v>31.6</v>
      </c>
      <c r="Q131" s="33"/>
      <c r="R131" s="36">
        <f t="shared" si="23"/>
        <v>31.6</v>
      </c>
      <c r="S131" s="370">
        <v>4</v>
      </c>
      <c r="T131" s="286"/>
      <c r="U131" s="292"/>
      <c r="V131" s="29" t="s">
        <v>554</v>
      </c>
      <c r="W131" s="29" t="s">
        <v>17</v>
      </c>
      <c r="X131" s="29" t="s">
        <v>18</v>
      </c>
      <c r="Y131" s="39">
        <v>31.6</v>
      </c>
      <c r="AC131" s="39"/>
      <c r="AG131" s="39"/>
      <c r="AK131" s="39"/>
      <c r="AO131" s="39"/>
      <c r="AS131" s="39"/>
      <c r="AW131" s="39"/>
      <c r="BA131" s="40"/>
    </row>
    <row r="132" spans="1:53" s="29" customFormat="1" x14ac:dyDescent="0.15">
      <c r="A132" s="29">
        <v>2020</v>
      </c>
      <c r="B132" s="303"/>
      <c r="C132" s="411" t="s">
        <v>1375</v>
      </c>
      <c r="D132" s="411"/>
      <c r="E132" s="29">
        <v>50</v>
      </c>
      <c r="F132" s="343"/>
      <c r="G132" s="31"/>
      <c r="H132" s="31">
        <v>13</v>
      </c>
      <c r="I132" s="31"/>
      <c r="J132" s="32">
        <v>15</v>
      </c>
      <c r="K132" s="33">
        <f t="shared" si="19"/>
        <v>0</v>
      </c>
      <c r="L132" s="33">
        <f t="shared" si="20"/>
        <v>86.666666666666671</v>
      </c>
      <c r="M132" s="33">
        <f t="shared" si="21"/>
        <v>0</v>
      </c>
      <c r="N132" s="36">
        <f t="shared" si="22"/>
        <v>86.666666666666671</v>
      </c>
      <c r="O132" s="33"/>
      <c r="P132" s="33">
        <v>31.6</v>
      </c>
      <c r="Q132" s="33"/>
      <c r="R132" s="36">
        <f t="shared" si="23"/>
        <v>31.6</v>
      </c>
      <c r="S132" s="37">
        <v>4</v>
      </c>
      <c r="T132" s="286"/>
      <c r="U132" s="292"/>
      <c r="V132" s="29" t="s">
        <v>554</v>
      </c>
      <c r="W132" s="29" t="s">
        <v>17</v>
      </c>
      <c r="X132" s="29" t="s">
        <v>18</v>
      </c>
      <c r="Y132" s="39">
        <v>31.6</v>
      </c>
      <c r="AC132" s="39"/>
      <c r="AG132" s="39"/>
      <c r="AK132" s="39"/>
      <c r="AO132" s="39"/>
      <c r="AS132" s="39"/>
      <c r="AW132" s="39"/>
      <c r="BA132" s="40"/>
    </row>
    <row r="133" spans="1:53" s="171" customFormat="1" x14ac:dyDescent="0.15">
      <c r="A133" s="171">
        <v>2020</v>
      </c>
      <c r="B133" s="306">
        <v>43881</v>
      </c>
      <c r="C133" s="410" t="s">
        <v>1489</v>
      </c>
      <c r="D133" s="410"/>
      <c r="E133" s="171">
        <v>128</v>
      </c>
      <c r="F133" s="338">
        <v>1</v>
      </c>
      <c r="G133" s="117"/>
      <c r="H133" s="117">
        <v>13</v>
      </c>
      <c r="I133" s="117"/>
      <c r="J133" s="173">
        <v>15</v>
      </c>
      <c r="K133" s="174">
        <f t="shared" ref="K133" si="24">G133/$J133*100</f>
        <v>0</v>
      </c>
      <c r="L133" s="174">
        <f t="shared" ref="L133" si="25">H133/$J133*100</f>
        <v>86.666666666666671</v>
      </c>
      <c r="M133" s="174">
        <f t="shared" ref="M133" si="26">I133/$J133*100</f>
        <v>0</v>
      </c>
      <c r="N133" s="177">
        <f t="shared" ref="N133" si="27">K133+L133+M133</f>
        <v>86.666666666666671</v>
      </c>
      <c r="O133" s="174"/>
      <c r="P133" s="174">
        <v>31.6</v>
      </c>
      <c r="Q133" s="174"/>
      <c r="R133" s="177">
        <f t="shared" ref="R133" si="28">O133+P133+Q133</f>
        <v>31.6</v>
      </c>
      <c r="S133" s="190">
        <v>6</v>
      </c>
      <c r="T133" s="285">
        <v>43869</v>
      </c>
      <c r="U133" s="298">
        <v>43881</v>
      </c>
      <c r="V133" s="171" t="s">
        <v>554</v>
      </c>
      <c r="W133" s="171" t="s">
        <v>17</v>
      </c>
      <c r="X133" s="171" t="s">
        <v>18</v>
      </c>
      <c r="Y133" s="179">
        <v>31.6</v>
      </c>
      <c r="AC133" s="179"/>
      <c r="AG133" s="179"/>
      <c r="AK133" s="179"/>
      <c r="AO133" s="179"/>
      <c r="AS133" s="179"/>
      <c r="AW133" s="179"/>
      <c r="BA133" s="180"/>
    </row>
    <row r="134" spans="1:53" s="29" customFormat="1" x14ac:dyDescent="0.15">
      <c r="A134" s="29">
        <v>2020</v>
      </c>
      <c r="B134" s="295">
        <v>44009</v>
      </c>
      <c r="C134" s="411" t="s">
        <v>1469</v>
      </c>
      <c r="D134" s="411"/>
      <c r="E134" s="29">
        <v>188</v>
      </c>
      <c r="F134" s="40">
        <v>1</v>
      </c>
      <c r="G134" s="31">
        <v>6</v>
      </c>
      <c r="H134" s="31">
        <v>6</v>
      </c>
      <c r="I134" s="31">
        <v>3</v>
      </c>
      <c r="J134" s="32">
        <v>15</v>
      </c>
      <c r="K134" s="33">
        <f t="shared" si="19"/>
        <v>40</v>
      </c>
      <c r="L134" s="33">
        <f t="shared" si="20"/>
        <v>40</v>
      </c>
      <c r="M134" s="33">
        <f t="shared" si="21"/>
        <v>20</v>
      </c>
      <c r="N134" s="36">
        <f t="shared" si="22"/>
        <v>100</v>
      </c>
      <c r="O134" s="33">
        <v>21.9</v>
      </c>
      <c r="P134" s="33">
        <v>23.1</v>
      </c>
      <c r="Q134" s="33">
        <v>7.5</v>
      </c>
      <c r="R134" s="36">
        <v>52.5</v>
      </c>
      <c r="S134" s="37">
        <v>2</v>
      </c>
      <c r="T134" s="286"/>
      <c r="U134" s="292">
        <v>44009</v>
      </c>
      <c r="V134" s="29" t="s">
        <v>553</v>
      </c>
      <c r="W134" s="29" t="s">
        <v>22</v>
      </c>
      <c r="X134" s="29" t="s">
        <v>11</v>
      </c>
      <c r="Y134" s="39">
        <v>21.9</v>
      </c>
      <c r="Z134" s="29" t="s">
        <v>554</v>
      </c>
      <c r="AA134" s="29" t="s">
        <v>17</v>
      </c>
      <c r="AB134" s="29" t="s">
        <v>18</v>
      </c>
      <c r="AC134" s="39">
        <v>23.1</v>
      </c>
      <c r="AD134" s="29" t="s">
        <v>557</v>
      </c>
      <c r="AE134" s="29" t="s">
        <v>216</v>
      </c>
      <c r="AF134" s="29" t="s">
        <v>12</v>
      </c>
      <c r="AG134" s="39">
        <v>7.5</v>
      </c>
      <c r="AK134" s="39"/>
      <c r="AO134" s="39"/>
      <c r="AS134" s="39"/>
      <c r="AW134" s="39"/>
      <c r="BA134" s="40"/>
    </row>
    <row r="136" spans="1:53" x14ac:dyDescent="0.15">
      <c r="B136" s="415"/>
      <c r="C136" s="415"/>
      <c r="D136" s="415"/>
      <c r="E136" s="415"/>
      <c r="F136" s="415"/>
      <c r="G136" s="415"/>
      <c r="O136" s="415"/>
      <c r="P136" s="415"/>
      <c r="Q136" s="415"/>
    </row>
    <row r="137" spans="1:53" ht="18" customHeight="1" x14ac:dyDescent="0.15">
      <c r="B137" s="16" t="s">
        <v>1264</v>
      </c>
    </row>
    <row r="138" spans="1:53" ht="9" customHeight="1" x14ac:dyDescent="0.15"/>
    <row r="139" spans="1:53" s="195" customFormat="1" ht="9" customHeight="1" x14ac:dyDescent="0.15">
      <c r="A139" s="193"/>
      <c r="B139" s="194" t="s">
        <v>1215</v>
      </c>
      <c r="C139" s="194"/>
      <c r="D139" s="194"/>
      <c r="E139" s="194"/>
      <c r="F139" s="194"/>
      <c r="G139" s="194" t="s">
        <v>1216</v>
      </c>
      <c r="H139" s="194"/>
      <c r="I139" s="194"/>
      <c r="J139" s="194"/>
      <c r="K139" s="194"/>
      <c r="L139" s="194"/>
      <c r="M139" s="194"/>
      <c r="N139" s="194"/>
      <c r="R139" s="388" t="s">
        <v>1217</v>
      </c>
      <c r="S139" s="388"/>
      <c r="T139" s="388"/>
      <c r="U139" s="388"/>
      <c r="V139" s="388"/>
      <c r="W139" s="388"/>
      <c r="X139" s="196"/>
      <c r="Y139" s="196"/>
      <c r="AA139" s="196"/>
      <c r="AB139" s="196"/>
      <c r="AC139" s="196"/>
      <c r="AD139" s="196"/>
    </row>
    <row r="140" spans="1:53" s="200" customFormat="1" ht="9" customHeight="1" x14ac:dyDescent="0.15">
      <c r="A140" s="197"/>
      <c r="B140" s="198" t="s">
        <v>1219</v>
      </c>
      <c r="C140" s="199"/>
      <c r="D140" s="199"/>
      <c r="E140" s="199"/>
      <c r="F140" s="199"/>
      <c r="G140" s="198" t="s">
        <v>1218</v>
      </c>
      <c r="H140" s="199"/>
      <c r="I140" s="199"/>
      <c r="J140" s="199"/>
      <c r="K140" s="199"/>
      <c r="L140" s="199"/>
      <c r="M140" s="199"/>
      <c r="N140" s="199"/>
      <c r="R140" s="201" t="s">
        <v>1220</v>
      </c>
      <c r="S140" s="202"/>
      <c r="T140" s="203"/>
      <c r="U140" s="203"/>
      <c r="V140" s="203"/>
      <c r="W140" s="201" t="s">
        <v>1221</v>
      </c>
      <c r="X140" s="203"/>
      <c r="Y140" s="203"/>
      <c r="AA140" s="203"/>
      <c r="AB140" s="203"/>
      <c r="AC140" s="203"/>
      <c r="AD140" s="203"/>
    </row>
    <row r="141" spans="1:53" s="186" customFormat="1" ht="12" customHeight="1" x14ac:dyDescent="0.15">
      <c r="A141" s="204" t="s">
        <v>3</v>
      </c>
      <c r="B141" s="205" t="s">
        <v>8</v>
      </c>
      <c r="C141" s="205" t="s">
        <v>9</v>
      </c>
      <c r="D141" s="205" t="s">
        <v>10</v>
      </c>
      <c r="E141" s="206" t="s">
        <v>1195</v>
      </c>
      <c r="F141" s="205"/>
      <c r="G141" s="186" t="s">
        <v>3</v>
      </c>
      <c r="H141" s="389" t="s">
        <v>0</v>
      </c>
      <c r="I141" s="389"/>
      <c r="J141" s="389" t="s">
        <v>1</v>
      </c>
      <c r="K141" s="389"/>
      <c r="L141" s="389" t="s">
        <v>2</v>
      </c>
      <c r="M141" s="389"/>
      <c r="N141" s="390" t="s">
        <v>1195</v>
      </c>
      <c r="O141" s="390"/>
      <c r="P141" s="207"/>
      <c r="Q141" s="207"/>
      <c r="R141" s="208" t="s">
        <v>3</v>
      </c>
      <c r="S141" s="209" t="s">
        <v>135</v>
      </c>
      <c r="T141" s="207" t="s">
        <v>133</v>
      </c>
      <c r="U141" s="205" t="s">
        <v>134</v>
      </c>
      <c r="V141" s="207"/>
      <c r="W141" s="210" t="s">
        <v>26</v>
      </c>
    </row>
    <row r="142" spans="1:53" s="140" customFormat="1" x14ac:dyDescent="0.15">
      <c r="A142" s="140">
        <v>1959</v>
      </c>
      <c r="B142" s="143">
        <f>(K6*($E6/365)) + (K7*($E7/365))</f>
        <v>100</v>
      </c>
      <c r="C142" s="143">
        <f>(L6*($E6/365)) + (L7*($E7/365))</f>
        <v>0</v>
      </c>
      <c r="D142" s="143">
        <f>(M6*($E6/365)) + (M7*($E7/365))</f>
        <v>0</v>
      </c>
      <c r="E142" s="144">
        <f>B142+C142+D142</f>
        <v>100</v>
      </c>
      <c r="G142" s="140">
        <v>1959</v>
      </c>
      <c r="H142" s="417">
        <f>(O6/$R6*100*($E6/365))+(O7/$R7*100*($E7/365))</f>
        <v>100</v>
      </c>
      <c r="I142" s="417"/>
      <c r="J142" s="417">
        <f>(P6/$R6*100*($E6/365))+(P7/$R7*100*($E7/365))</f>
        <v>0</v>
      </c>
      <c r="K142" s="417"/>
      <c r="L142" s="417">
        <f>(Q6/$R6*100*($E6/365))+(Q7/$R7*100*($E7/365))</f>
        <v>0</v>
      </c>
      <c r="M142" s="417"/>
      <c r="N142" s="412">
        <f>H142+J142+L142</f>
        <v>100</v>
      </c>
      <c r="O142" s="433"/>
      <c r="P142" s="145"/>
      <c r="Q142" s="145"/>
      <c r="R142" s="140">
        <v>1959</v>
      </c>
      <c r="S142" s="143">
        <f>(O6*($E6/365)) + (O7*($E7/365))</f>
        <v>53.099999999999994</v>
      </c>
      <c r="T142" s="143">
        <f>(P6*($E6/365)) + (P7*($E7/365))</f>
        <v>0</v>
      </c>
      <c r="U142" s="143">
        <f>(Q6*($E6/365)) + (Q7*($E7/365))</f>
        <v>0</v>
      </c>
      <c r="V142" s="153"/>
      <c r="W142" s="143">
        <f>S142+T142+U142</f>
        <v>53.099999999999994</v>
      </c>
    </row>
    <row r="143" spans="1:53" x14ac:dyDescent="0.15">
      <c r="A143" s="1">
        <v>1960</v>
      </c>
      <c r="B143" s="5">
        <f>(K8*($E8/366)) + (K9*($E9/366))</f>
        <v>100</v>
      </c>
      <c r="C143" s="5">
        <f>(L8*($E8/366)) + (L9*($E9/366))</f>
        <v>0</v>
      </c>
      <c r="D143" s="5">
        <f>(M8*($E8/366)) + (M9*($E9/366))</f>
        <v>0</v>
      </c>
      <c r="E143" s="24">
        <f>B143+C143+D143</f>
        <v>100</v>
      </c>
      <c r="G143" s="1">
        <v>1960</v>
      </c>
      <c r="H143" s="409">
        <f>(O8/$R8*100*($E8/366))+(O9/$R9*100*($E9/366))</f>
        <v>100</v>
      </c>
      <c r="I143" s="409"/>
      <c r="J143" s="409">
        <f>(P8/$R8*100*($E8/366))+(P9/$R9*100*($E9/366))</f>
        <v>0</v>
      </c>
      <c r="K143" s="409"/>
      <c r="L143" s="409">
        <f>(Q8/$R8*100*($E8/366))+(Q9/$R9*100*($E9/366))</f>
        <v>0</v>
      </c>
      <c r="M143" s="409"/>
      <c r="N143" s="379">
        <f>H143+J143+L143</f>
        <v>100</v>
      </c>
      <c r="O143" s="431"/>
      <c r="P143" s="4"/>
      <c r="Q143" s="4"/>
      <c r="R143" s="1">
        <v>1960</v>
      </c>
      <c r="S143" s="5">
        <f>(O8*($E8/366)) + (O9*($E9/366))</f>
        <v>53.1</v>
      </c>
      <c r="T143" s="5">
        <f>(P8*($E8/366)) + (P9*($E9/366))</f>
        <v>0</v>
      </c>
      <c r="U143" s="5">
        <f>(Q8*($E8/366)) + (Q9*($E9/366))</f>
        <v>0</v>
      </c>
      <c r="V143" s="9"/>
      <c r="W143" s="5">
        <f>S143+T143+U143</f>
        <v>53.1</v>
      </c>
    </row>
    <row r="144" spans="1:53" x14ac:dyDescent="0.15">
      <c r="A144" s="1">
        <v>1961</v>
      </c>
      <c r="B144" s="5">
        <f>(K10*($E10/365)) + (K11*($E11/365))</f>
        <v>100</v>
      </c>
      <c r="C144" s="5">
        <f>(L10*($E10/365)) + (L11*($E11/365))</f>
        <v>0</v>
      </c>
      <c r="D144" s="5">
        <f>(M10*($E10/365)) + (M11*($E11/365))</f>
        <v>0</v>
      </c>
      <c r="E144" s="24">
        <f>B144+C144+D144</f>
        <v>100</v>
      </c>
      <c r="G144" s="1">
        <v>1961</v>
      </c>
      <c r="H144" s="409">
        <f>(O10/$R10*100*($E10/365))+(O11/$R11*100*($E11/365))</f>
        <v>100</v>
      </c>
      <c r="I144" s="409"/>
      <c r="J144" s="409">
        <f>(P10/$R10*100*($E10/365))+(P11/$R11*100*($E11/365))</f>
        <v>0</v>
      </c>
      <c r="K144" s="409"/>
      <c r="L144" s="409">
        <f>(Q10/$R10*100*($E10/365))+(Q11/$R11*100*($E11/365))</f>
        <v>0</v>
      </c>
      <c r="M144" s="409"/>
      <c r="N144" s="379">
        <f>H144+J144+L144</f>
        <v>100</v>
      </c>
      <c r="O144" s="431"/>
      <c r="P144" s="4"/>
      <c r="Q144" s="4"/>
      <c r="R144" s="1">
        <v>1961</v>
      </c>
      <c r="S144" s="5">
        <f>(O10*($E10/365)) + (O11*($E11/365))</f>
        <v>52.089041095890416</v>
      </c>
      <c r="T144" s="5">
        <f>(P10*($E10/365)) + (P11*($E11/365))</f>
        <v>0</v>
      </c>
      <c r="U144" s="5">
        <f>(Q10*($E10/365)) + (Q11*($E11/365))</f>
        <v>0</v>
      </c>
      <c r="V144" s="9"/>
      <c r="W144" s="5">
        <f t="shared" ref="W144:W196" si="29">S144+T144+U144</f>
        <v>52.089041095890416</v>
      </c>
    </row>
    <row r="145" spans="1:23" x14ac:dyDescent="0.15">
      <c r="A145" s="1">
        <v>1962</v>
      </c>
      <c r="B145" s="5">
        <f>(K12*($E12/365)) + (K13*($E13/365))</f>
        <v>100</v>
      </c>
      <c r="C145" s="5">
        <f>(L12*($E12/365)) + (L13*($E13/365))</f>
        <v>0</v>
      </c>
      <c r="D145" s="5">
        <f>(M12*($E12/365)) + (M13*($E13/365))</f>
        <v>0</v>
      </c>
      <c r="E145" s="24">
        <f t="shared" ref="E145:E196" si="30">B145+C145+D145</f>
        <v>100</v>
      </c>
      <c r="G145" s="1">
        <v>1962</v>
      </c>
      <c r="H145" s="409">
        <f>(O12/$R12*100*($E12/365))+(O13/$R13*100*($E13/365))</f>
        <v>100</v>
      </c>
      <c r="I145" s="409"/>
      <c r="J145" s="409">
        <f>(P12/$R12*100*($E12/365))+(P13/$R13*100*($E13/365))</f>
        <v>0</v>
      </c>
      <c r="K145" s="409"/>
      <c r="L145" s="409">
        <f>(Q12/$R12*100*($E12/365))+(Q13/$R13*100*($E13/365))</f>
        <v>0</v>
      </c>
      <c r="M145" s="409"/>
      <c r="N145" s="379">
        <f t="shared" ref="N145:N194" si="31">H145+J145+L145</f>
        <v>100</v>
      </c>
      <c r="O145" s="431"/>
      <c r="P145" s="4"/>
      <c r="Q145" s="4"/>
      <c r="R145" s="1">
        <v>1962</v>
      </c>
      <c r="S145" s="5">
        <f>(O12*($E12/365)) + (O13*($E13/365))</f>
        <v>48.6</v>
      </c>
      <c r="T145" s="5">
        <f>(P12*($E12/365)) + (P13*($E13/365))</f>
        <v>0</v>
      </c>
      <c r="U145" s="5">
        <f>(Q12*($E12/365)) + (Q13*($E13/365))</f>
        <v>0</v>
      </c>
      <c r="V145" s="9"/>
      <c r="W145" s="5">
        <f t="shared" si="29"/>
        <v>48.6</v>
      </c>
    </row>
    <row r="146" spans="1:23" x14ac:dyDescent="0.15">
      <c r="A146" s="1">
        <v>1963</v>
      </c>
      <c r="B146" s="5">
        <f>(K14*($E14/365)) + (K15*($E15/365))</f>
        <v>100</v>
      </c>
      <c r="C146" s="5">
        <f>(L14*($E14/365)) + (L15*($E15/365))</f>
        <v>0</v>
      </c>
      <c r="D146" s="5">
        <f>(M14*($E14/365)) + (M15*($E15/365))</f>
        <v>0</v>
      </c>
      <c r="E146" s="24">
        <f t="shared" si="30"/>
        <v>100</v>
      </c>
      <c r="G146" s="1">
        <v>1963</v>
      </c>
      <c r="H146" s="409">
        <f>(O14/$R14*100*($E14/365))+(O15/$R15*100*($E15/365))</f>
        <v>100</v>
      </c>
      <c r="I146" s="409"/>
      <c r="J146" s="409">
        <f>(P14/$R14*100*($E14/365))+(P15/$R15*100*($E15/365))</f>
        <v>0</v>
      </c>
      <c r="K146" s="409"/>
      <c r="L146" s="409">
        <f>(Q14/$R14*100*($E14/365))+(Q15/$R15*100*($E15/365))</f>
        <v>0</v>
      </c>
      <c r="M146" s="409"/>
      <c r="N146" s="379">
        <f t="shared" si="31"/>
        <v>100</v>
      </c>
      <c r="O146" s="431"/>
      <c r="P146" s="4"/>
      <c r="Q146" s="4"/>
      <c r="R146" s="1">
        <v>1963</v>
      </c>
      <c r="S146" s="5">
        <f>(O14*($E14/365)) + (O15*($E15/365))</f>
        <v>48.6</v>
      </c>
      <c r="T146" s="5">
        <f>(P14*($E14/365)) + (P15*($E15/365))</f>
        <v>0</v>
      </c>
      <c r="U146" s="5">
        <f>(Q14*($E14/365)) + (Q15*($E15/365))</f>
        <v>0</v>
      </c>
      <c r="V146" s="9"/>
      <c r="W146" s="5">
        <f t="shared" si="29"/>
        <v>48.6</v>
      </c>
    </row>
    <row r="147" spans="1:23" x14ac:dyDescent="0.15">
      <c r="A147" s="1">
        <v>1964</v>
      </c>
      <c r="B147" s="5">
        <f>(K16*($E16/366)) + (K17*($E17/366))</f>
        <v>100</v>
      </c>
      <c r="C147" s="5">
        <f>(L16*($E16/366)) + (L17*($E17/366))</f>
        <v>0</v>
      </c>
      <c r="D147" s="5">
        <f>(M16*($E16/366)) + (M17*($E17/366))</f>
        <v>0</v>
      </c>
      <c r="E147" s="24">
        <f t="shared" si="30"/>
        <v>100</v>
      </c>
      <c r="G147" s="1">
        <v>1964</v>
      </c>
      <c r="H147" s="409">
        <f>(O16/$R16*100*($E16/366))+(O17/$R17*100*($E17/366))</f>
        <v>100</v>
      </c>
      <c r="I147" s="409"/>
      <c r="J147" s="409">
        <f>(P16/$R16*100*($E16/366))+(P17/$R17*100*($E17/366))</f>
        <v>0</v>
      </c>
      <c r="K147" s="409"/>
      <c r="L147" s="409">
        <f>(Q16/$R16*100*($E16/366))+(Q17/$R17*100*($E17/366))</f>
        <v>0</v>
      </c>
      <c r="M147" s="409"/>
      <c r="N147" s="379">
        <f t="shared" si="31"/>
        <v>100</v>
      </c>
      <c r="O147" s="431"/>
      <c r="P147" s="4"/>
      <c r="Q147" s="4"/>
      <c r="R147" s="1">
        <v>1964</v>
      </c>
      <c r="S147" s="5">
        <f>(O16*($E16/366)) + (O17*($E17/366))</f>
        <v>48.6</v>
      </c>
      <c r="T147" s="5">
        <f>(P16*($E16/366)) + (P17*($E17/366))</f>
        <v>0</v>
      </c>
      <c r="U147" s="5">
        <f>(Q16*($E16/366)) + (Q17*($E17/366))</f>
        <v>0</v>
      </c>
      <c r="V147" s="9"/>
      <c r="W147" s="5">
        <f t="shared" si="29"/>
        <v>48.6</v>
      </c>
    </row>
    <row r="148" spans="1:23" x14ac:dyDescent="0.15">
      <c r="A148" s="1">
        <v>1965</v>
      </c>
      <c r="B148" s="5">
        <f>(K18*($E18/365)) + (K19*($E19/365))</f>
        <v>100</v>
      </c>
      <c r="C148" s="5">
        <f>(L18*($E18/365)) + (L19*($E19/365))</f>
        <v>0</v>
      </c>
      <c r="D148" s="5">
        <f>(M18*($E18/365)) + (M19*($E19/365))</f>
        <v>0</v>
      </c>
      <c r="E148" s="24">
        <f t="shared" si="30"/>
        <v>100</v>
      </c>
      <c r="G148" s="1">
        <v>1965</v>
      </c>
      <c r="H148" s="409">
        <f>(O18/$R18*100*($E18/365))+(O19/$R19*100*($E19/365))</f>
        <v>100</v>
      </c>
      <c r="I148" s="409"/>
      <c r="J148" s="409">
        <f>(P18/$R18*100*($E18/365))+(P19/$R19*100*($E19/365))</f>
        <v>0</v>
      </c>
      <c r="K148" s="409"/>
      <c r="L148" s="409">
        <f>(Q18/$R18*100*($E18/365))+(Q19/$R19*100*($E19/365))</f>
        <v>0</v>
      </c>
      <c r="M148" s="409"/>
      <c r="N148" s="379">
        <f t="shared" si="31"/>
        <v>100</v>
      </c>
      <c r="O148" s="431"/>
      <c r="P148" s="4"/>
      <c r="Q148" s="4"/>
      <c r="R148" s="1">
        <v>1965</v>
      </c>
      <c r="S148" s="5">
        <f>(O18*($E18/365)) + (O19*($E19/365))</f>
        <v>49.654794520547945</v>
      </c>
      <c r="T148" s="5">
        <f>(P18*($E18/365)) + (P19*($E19/365))</f>
        <v>0</v>
      </c>
      <c r="U148" s="5">
        <f>(Q18*($E18/365)) + (Q19*($E19/365))</f>
        <v>0</v>
      </c>
      <c r="V148" s="9"/>
      <c r="W148" s="5">
        <f t="shared" si="29"/>
        <v>49.654794520547945</v>
      </c>
    </row>
    <row r="149" spans="1:23" x14ac:dyDescent="0.15">
      <c r="A149" s="1">
        <v>1966</v>
      </c>
      <c r="B149" s="5">
        <f>(K20*($E20/365)) + (K21*($E21/365))</f>
        <v>100</v>
      </c>
      <c r="C149" s="5">
        <f>(L20*($E20/365)) + (L21*($E21/365))</f>
        <v>0</v>
      </c>
      <c r="D149" s="5">
        <f>(M20*($E20/365)) + (M21*($E21/365))</f>
        <v>0</v>
      </c>
      <c r="E149" s="24">
        <f t="shared" si="30"/>
        <v>100</v>
      </c>
      <c r="G149" s="1">
        <v>1966</v>
      </c>
      <c r="H149" s="409">
        <f>(O20/$R20*100*($E20/365))+(O21/$R21*100*($E21/365))</f>
        <v>100</v>
      </c>
      <c r="I149" s="409"/>
      <c r="J149" s="409">
        <f>(P20/$R20*100*($E20/365))+(P21/$R21*100*($E21/365))</f>
        <v>0</v>
      </c>
      <c r="K149" s="409"/>
      <c r="L149" s="409">
        <f>(Q20/$R20*100*($E20/365))+(Q21/$R21*100*($E21/365))</f>
        <v>0</v>
      </c>
      <c r="M149" s="409"/>
      <c r="N149" s="379">
        <f t="shared" si="31"/>
        <v>100</v>
      </c>
      <c r="O149" s="431"/>
      <c r="P149" s="4"/>
      <c r="Q149" s="4"/>
      <c r="R149" s="1">
        <v>1966</v>
      </c>
      <c r="S149" s="5">
        <f>(O20*($E20/365)) + (O21*($E21/365))</f>
        <v>50</v>
      </c>
      <c r="T149" s="5">
        <f>(P20*($E20/365)) + (P21*($E21/365))</f>
        <v>0</v>
      </c>
      <c r="U149" s="5">
        <f>(Q20*($E20/365)) + (Q21*($E21/365))</f>
        <v>0</v>
      </c>
      <c r="V149" s="9"/>
      <c r="W149" s="5">
        <f t="shared" si="29"/>
        <v>50</v>
      </c>
    </row>
    <row r="150" spans="1:23" x14ac:dyDescent="0.15">
      <c r="A150" s="1">
        <v>1967</v>
      </c>
      <c r="B150" s="5">
        <f>(K22*($E22/365)) + (K23*($E23/365))</f>
        <v>100</v>
      </c>
      <c r="C150" s="5">
        <f>(L22*($E22/365)) + (L23*($E23/365))</f>
        <v>0</v>
      </c>
      <c r="D150" s="5">
        <f>(M22*($E22/365)) + (M23*($E23/365))</f>
        <v>0</v>
      </c>
      <c r="E150" s="24">
        <f t="shared" si="30"/>
        <v>100</v>
      </c>
      <c r="G150" s="1">
        <v>1967</v>
      </c>
      <c r="H150" s="409">
        <f>(O22/$R22*100*($E22/365))+(O23/$R23*100*($E23/365))</f>
        <v>100</v>
      </c>
      <c r="I150" s="409"/>
      <c r="J150" s="409">
        <f>(P22/$R22*100*($E22/365))+(P23/$R23*100*($E23/365))</f>
        <v>0</v>
      </c>
      <c r="K150" s="409"/>
      <c r="L150" s="409">
        <f>(Q22/$R22*100*($E22/365))+(Q23/$R23*100*($E23/365))</f>
        <v>0</v>
      </c>
      <c r="M150" s="409"/>
      <c r="N150" s="379">
        <f t="shared" si="31"/>
        <v>100</v>
      </c>
      <c r="O150" s="431"/>
      <c r="P150" s="4"/>
      <c r="Q150" s="4"/>
      <c r="R150" s="1">
        <v>1967</v>
      </c>
      <c r="S150" s="5">
        <f>(O22*($E22/365)) + (O23*($E23/365))</f>
        <v>50</v>
      </c>
      <c r="T150" s="5">
        <f>(P22*($E22/365)) + (P23*($E23/365))</f>
        <v>0</v>
      </c>
      <c r="U150" s="5">
        <f>(Q22*($E22/365)) + (Q23*($E23/365))</f>
        <v>0</v>
      </c>
      <c r="V150" s="9"/>
      <c r="W150" s="5">
        <f t="shared" si="29"/>
        <v>50</v>
      </c>
    </row>
    <row r="151" spans="1:23" x14ac:dyDescent="0.15">
      <c r="A151" s="1">
        <v>1968</v>
      </c>
      <c r="B151" s="5">
        <f>(K24*($E24/366)) + (K25*($E25/366))</f>
        <v>100</v>
      </c>
      <c r="C151" s="5">
        <f>(L24*($E24/366)) + (L25*($E25/366))</f>
        <v>0</v>
      </c>
      <c r="D151" s="5">
        <f>(M24*($E24/366)) + (M25*($E25/366))</f>
        <v>0</v>
      </c>
      <c r="E151" s="24">
        <f t="shared" si="30"/>
        <v>100</v>
      </c>
      <c r="G151" s="1">
        <v>1968</v>
      </c>
      <c r="H151" s="409">
        <f>(O24/$R24*100*($E24/366))+(O25/$R25*100*($E25/366))</f>
        <v>100</v>
      </c>
      <c r="I151" s="409"/>
      <c r="J151" s="409">
        <f>(P24/$R24*100*($E24/366))+(P25/$R25*100*($E25/366))</f>
        <v>0</v>
      </c>
      <c r="K151" s="409"/>
      <c r="L151" s="409">
        <f>(Q24/$R24*100*($E24/366))+(Q25/$R25*100*($E25/366))</f>
        <v>0</v>
      </c>
      <c r="M151" s="409"/>
      <c r="N151" s="379">
        <f t="shared" si="31"/>
        <v>100</v>
      </c>
      <c r="O151" s="431"/>
      <c r="P151" s="4"/>
      <c r="Q151" s="4"/>
      <c r="R151" s="1">
        <v>1968</v>
      </c>
      <c r="S151" s="5">
        <f>(O24*($E24/366)) + (O25*($E25/366))</f>
        <v>50</v>
      </c>
      <c r="T151" s="5">
        <f>(P24*($E24/366)) + (P25*($E25/366))</f>
        <v>0</v>
      </c>
      <c r="U151" s="5">
        <f>(Q24*($E24/366)) + (Q25*($E25/366))</f>
        <v>0</v>
      </c>
      <c r="V151" s="9"/>
      <c r="W151" s="5">
        <f t="shared" si="29"/>
        <v>50</v>
      </c>
    </row>
    <row r="152" spans="1:23" x14ac:dyDescent="0.15">
      <c r="A152" s="1">
        <v>1969</v>
      </c>
      <c r="B152" s="5">
        <f>(K26*($E26/365)) + (K27*($E27/365))</f>
        <v>100</v>
      </c>
      <c r="C152" s="5">
        <f>(L26*($E26/365)) + (L27*($E27/365))</f>
        <v>0</v>
      </c>
      <c r="D152" s="5">
        <f>(M26*($E26/365)) + (M27*($E27/365))</f>
        <v>0</v>
      </c>
      <c r="E152" s="24">
        <f t="shared" si="30"/>
        <v>100</v>
      </c>
      <c r="G152" s="1">
        <v>1969</v>
      </c>
      <c r="H152" s="409">
        <f>(O26/$R26*100*($E26/365))+(O27/$R27*100*($E27/365))</f>
        <v>100</v>
      </c>
      <c r="I152" s="409"/>
      <c r="J152" s="409">
        <f>(P26/$R26*100*($E26/365))+(P27/$R27*100*($E27/365))</f>
        <v>0</v>
      </c>
      <c r="K152" s="409"/>
      <c r="L152" s="409">
        <f>(Q26/$R26*100*($E26/365))+(Q27/$R27*100*($E27/365))</f>
        <v>0</v>
      </c>
      <c r="M152" s="409"/>
      <c r="N152" s="379">
        <f t="shared" si="31"/>
        <v>100</v>
      </c>
      <c r="O152" s="431"/>
      <c r="P152" s="4"/>
      <c r="Q152" s="4"/>
      <c r="R152" s="1">
        <v>1969</v>
      </c>
      <c r="S152" s="5">
        <f>(O26*($E26/365)) + (O27*($E27/365))</f>
        <v>51.052876712328768</v>
      </c>
      <c r="T152" s="5">
        <f>(P26*($E26/365)) + (P27*($E27/365))</f>
        <v>0</v>
      </c>
      <c r="U152" s="5">
        <f>(Q26*($E26/365)) + (Q27*($E27/365))</f>
        <v>0</v>
      </c>
      <c r="V152" s="9"/>
      <c r="W152" s="5">
        <f t="shared" si="29"/>
        <v>51.052876712328768</v>
      </c>
    </row>
    <row r="153" spans="1:23" x14ac:dyDescent="0.15">
      <c r="A153" s="1">
        <v>1970</v>
      </c>
      <c r="B153" s="5">
        <f>(K28*($E28/365)) + (K29*($E29/365))</f>
        <v>100</v>
      </c>
      <c r="C153" s="5">
        <f>(L28*($E28/365)) + (L29*($E29/365))</f>
        <v>0</v>
      </c>
      <c r="D153" s="5">
        <f>(M28*($E28/365)) + (M29*($E29/365))</f>
        <v>0</v>
      </c>
      <c r="E153" s="24">
        <f t="shared" si="30"/>
        <v>100</v>
      </c>
      <c r="G153" s="1">
        <v>1970</v>
      </c>
      <c r="H153" s="409">
        <f>(O28/$R28*100*($E28/365))+(O29/$R29*100*($E29/365))</f>
        <v>100</v>
      </c>
      <c r="I153" s="409"/>
      <c r="J153" s="409">
        <f>(P28/$R28*100*($E28/365))+(P29/$R29*100*($E29/365))</f>
        <v>0</v>
      </c>
      <c r="K153" s="409"/>
      <c r="L153" s="409">
        <f>(Q28/$R28*100*($E28/365))+(Q29/$R29*100*($E29/365))</f>
        <v>0</v>
      </c>
      <c r="M153" s="409"/>
      <c r="N153" s="379">
        <f t="shared" si="31"/>
        <v>100</v>
      </c>
      <c r="O153" s="431"/>
      <c r="P153" s="4"/>
      <c r="Q153" s="4"/>
      <c r="R153" s="1">
        <v>1970</v>
      </c>
      <c r="S153" s="5">
        <f>(O28*($E28/365)) + (O29*($E29/365))</f>
        <v>52.1</v>
      </c>
      <c r="T153" s="5">
        <f>(P28*($E28/365)) + (P29*($E29/365))</f>
        <v>0</v>
      </c>
      <c r="U153" s="5">
        <f>(Q28*($E28/365)) + (Q29*($E29/365))</f>
        <v>0</v>
      </c>
      <c r="V153" s="9"/>
      <c r="W153" s="5">
        <f t="shared" si="29"/>
        <v>52.1</v>
      </c>
    </row>
    <row r="154" spans="1:23" x14ac:dyDescent="0.15">
      <c r="A154" s="1">
        <v>1971</v>
      </c>
      <c r="B154" s="5">
        <f>(K30*($E30/365)) + (K31*($E31/365))</f>
        <v>100</v>
      </c>
      <c r="C154" s="5">
        <f>(L30*($E30/365)) + (L31*($E31/365))</f>
        <v>0</v>
      </c>
      <c r="D154" s="5">
        <f>(M30*($E30/365)) + (M31*($E31/365))</f>
        <v>0</v>
      </c>
      <c r="E154" s="24">
        <f t="shared" si="30"/>
        <v>100</v>
      </c>
      <c r="G154" s="1">
        <v>1971</v>
      </c>
      <c r="H154" s="409">
        <f>(O30/$R30*100*($E30/365))+(O31/$R31*100*($E31/365))</f>
        <v>100</v>
      </c>
      <c r="I154" s="409"/>
      <c r="J154" s="409">
        <f>(P30/$R30*100*($E30/365))+(P31/$R31*100*($E31/365))</f>
        <v>0</v>
      </c>
      <c r="K154" s="409"/>
      <c r="L154" s="409">
        <f>(Q30/$R30*100*($E30/365))+(Q31/$R31*100*($E31/365))</f>
        <v>0</v>
      </c>
      <c r="M154" s="409"/>
      <c r="N154" s="379">
        <f t="shared" si="31"/>
        <v>100</v>
      </c>
      <c r="O154" s="431"/>
      <c r="P154" s="4"/>
      <c r="Q154" s="4"/>
      <c r="R154" s="1">
        <v>1971</v>
      </c>
      <c r="S154" s="5">
        <f>(O30*($E30/365)) + (O31*($E31/365))</f>
        <v>52.1</v>
      </c>
      <c r="T154" s="5">
        <f>(P30*($E30/365)) + (P31*($E31/365))</f>
        <v>0</v>
      </c>
      <c r="U154" s="5">
        <f>(Q30*($E30/365)) + (Q31*($E31/365))</f>
        <v>0</v>
      </c>
      <c r="V154" s="9"/>
      <c r="W154" s="5">
        <f t="shared" si="29"/>
        <v>52.1</v>
      </c>
    </row>
    <row r="155" spans="1:23" x14ac:dyDescent="0.15">
      <c r="A155" s="1">
        <v>1972</v>
      </c>
      <c r="B155" s="5">
        <f>(K32*($E32/366)) + (K33*($E33/366))</f>
        <v>100</v>
      </c>
      <c r="C155" s="5">
        <f>(L32*($E32/366)) + (L33*($E33/366))</f>
        <v>0</v>
      </c>
      <c r="D155" s="5">
        <f>(M32*($E32/366)) + (M33*($E33/366))</f>
        <v>0</v>
      </c>
      <c r="E155" s="24">
        <f t="shared" si="30"/>
        <v>100</v>
      </c>
      <c r="G155" s="1">
        <v>1972</v>
      </c>
      <c r="H155" s="409">
        <f>(O32/$R32*100*($E32/366))+(O33/$R33*100*($E33/366))</f>
        <v>100</v>
      </c>
      <c r="I155" s="409"/>
      <c r="J155" s="409">
        <f>(P32/$R32*100*($E32/366))+(P33/$R33*100*($E33/366))</f>
        <v>0</v>
      </c>
      <c r="K155" s="409"/>
      <c r="L155" s="409">
        <f>(Q32/$R32*100*($E32/366))+(Q33/$R33*100*($E33/366))</f>
        <v>0</v>
      </c>
      <c r="M155" s="409"/>
      <c r="N155" s="379">
        <f t="shared" si="31"/>
        <v>100</v>
      </c>
      <c r="O155" s="431"/>
      <c r="P155" s="4"/>
      <c r="Q155" s="4"/>
      <c r="R155" s="1">
        <v>1972</v>
      </c>
      <c r="S155" s="5">
        <f>(O32*($E32/366)) + (O33*($E33/366))</f>
        <v>52.1</v>
      </c>
      <c r="T155" s="5">
        <f>(P32*($E32/366)) + (P33*($E33/366))</f>
        <v>0</v>
      </c>
      <c r="U155" s="5">
        <f>(Q32*($E32/366)) + (Q33*($E33/366))</f>
        <v>0</v>
      </c>
      <c r="V155" s="9"/>
      <c r="W155" s="5">
        <f t="shared" si="29"/>
        <v>52.1</v>
      </c>
    </row>
    <row r="156" spans="1:23" x14ac:dyDescent="0.15">
      <c r="A156" s="1">
        <v>1973</v>
      </c>
      <c r="B156" s="5">
        <f>(K34*($E34/365)) + (K35*($E35/365))</f>
        <v>19.726027397260275</v>
      </c>
      <c r="C156" s="5">
        <f>(L34*($E34/365)) + (L35*($E35/365))</f>
        <v>55.188356164383563</v>
      </c>
      <c r="D156" s="5">
        <f>(M34*($E34/365)) + (M35*($E35/365))</f>
        <v>25.085616438356166</v>
      </c>
      <c r="E156" s="24">
        <f t="shared" si="30"/>
        <v>100</v>
      </c>
      <c r="G156" s="1">
        <v>1973</v>
      </c>
      <c r="H156" s="409">
        <f>(O34/$R34*100*($E34/365))+(O35/$R35*100*($E35/365))</f>
        <v>19.726027397260275</v>
      </c>
      <c r="I156" s="409"/>
      <c r="J156" s="409">
        <f>(P34/$R34*100*($E34/365))+(P35/$R35*100*($E35/365))</f>
        <v>59.374240090783822</v>
      </c>
      <c r="K156" s="409"/>
      <c r="L156" s="409">
        <f>(Q34/$R34*100*($E34/365))+(Q35/$R35*100*($E35/365))</f>
        <v>20.899732511955907</v>
      </c>
      <c r="M156" s="409"/>
      <c r="N156" s="379">
        <f t="shared" si="31"/>
        <v>100</v>
      </c>
      <c r="O156" s="431"/>
      <c r="P156" s="4"/>
      <c r="Q156" s="4"/>
      <c r="R156" s="1">
        <v>1973</v>
      </c>
      <c r="S156" s="5">
        <f>(O34*($E34/365)) + (O35*($E35/365))</f>
        <v>10.277260273972603</v>
      </c>
      <c r="T156" s="5">
        <f>(P34*($E34/365)) + (P35*($E35/365))</f>
        <v>30.102739726027398</v>
      </c>
      <c r="U156" s="5">
        <f>(Q34*($E34/365)) + (Q35*($E35/365))</f>
        <v>10.596164383561645</v>
      </c>
      <c r="V156" s="9"/>
      <c r="W156" s="5">
        <f t="shared" si="29"/>
        <v>50.976164383561645</v>
      </c>
    </row>
    <row r="157" spans="1:23" x14ac:dyDescent="0.15">
      <c r="A157" s="1">
        <v>1974</v>
      </c>
      <c r="B157" s="5">
        <f>(K36*($E36/365)) + (K37*($E37/365))</f>
        <v>0</v>
      </c>
      <c r="C157" s="5">
        <f>(L36*($E36/365)) + (L37*($E37/365))</f>
        <v>68.75</v>
      </c>
      <c r="D157" s="5">
        <f>(M36*($E36/365)) + (M37*($E37/365))</f>
        <v>31.25</v>
      </c>
      <c r="E157" s="24">
        <f t="shared" si="30"/>
        <v>100</v>
      </c>
      <c r="G157" s="1">
        <v>1974</v>
      </c>
      <c r="H157" s="409">
        <f>(O36/$R36*100*($E36/365))+(O37/$R37*100*($E37/365))</f>
        <v>0</v>
      </c>
      <c r="I157" s="409"/>
      <c r="J157" s="409">
        <f>(P36/$R36*100*($E36/365))+(P37/$R37*100*($E37/365))</f>
        <v>73.964497041420117</v>
      </c>
      <c r="K157" s="409"/>
      <c r="L157" s="409">
        <f>(Q36/$R36*100*($E36/365))+(Q37/$R37*100*($E37/365))</f>
        <v>26.035502958579883</v>
      </c>
      <c r="M157" s="409"/>
      <c r="N157" s="379">
        <f t="shared" si="31"/>
        <v>100</v>
      </c>
      <c r="O157" s="431"/>
      <c r="P157" s="4"/>
      <c r="Q157" s="4"/>
      <c r="R157" s="1">
        <v>1974</v>
      </c>
      <c r="S157" s="5">
        <f>(O36*($E36/365)) + (O37*($E37/365))</f>
        <v>0</v>
      </c>
      <c r="T157" s="5">
        <f>(P36*($E36/365)) + (P37*($E37/365))</f>
        <v>37.5</v>
      </c>
      <c r="U157" s="5">
        <f>(Q36*($E36/365)) + (Q37*($E37/365))</f>
        <v>13.2</v>
      </c>
      <c r="V157" s="9"/>
      <c r="W157" s="5">
        <f t="shared" si="29"/>
        <v>50.7</v>
      </c>
    </row>
    <row r="158" spans="1:23" x14ac:dyDescent="0.15">
      <c r="A158" s="1">
        <v>1975</v>
      </c>
      <c r="B158" s="5">
        <f>(K38*($E38/365)) + (K39*($E39/365))</f>
        <v>0</v>
      </c>
      <c r="C158" s="5">
        <f>(L38*($E38/365)) + (L39*($E39/365))</f>
        <v>68.75</v>
      </c>
      <c r="D158" s="5">
        <f>(M38*($E38/365)) + (M39*($E39/365))</f>
        <v>31.25</v>
      </c>
      <c r="E158" s="24">
        <f t="shared" si="30"/>
        <v>100</v>
      </c>
      <c r="G158" s="1">
        <v>1975</v>
      </c>
      <c r="H158" s="409">
        <f>(O38/$R38*100*($E38/365))+(O39/$R39*100*($E39/365))</f>
        <v>0</v>
      </c>
      <c r="I158" s="409"/>
      <c r="J158" s="409">
        <f>(P38/$R38*100*($E38/365))+(P39/$R39*100*($E39/365))</f>
        <v>73.964497041420117</v>
      </c>
      <c r="K158" s="409"/>
      <c r="L158" s="409">
        <f>(Q38/$R38*100*($E38/365))+(Q39/$R39*100*($E39/365))</f>
        <v>26.035502958579883</v>
      </c>
      <c r="M158" s="409"/>
      <c r="N158" s="379">
        <f t="shared" si="31"/>
        <v>100</v>
      </c>
      <c r="O158" s="431"/>
      <c r="P158" s="4"/>
      <c r="Q158" s="4"/>
      <c r="R158" s="1">
        <v>1975</v>
      </c>
      <c r="S158" s="5">
        <f>(O38*($E38/365)) + (O39*($E39/365))</f>
        <v>0</v>
      </c>
      <c r="T158" s="5">
        <f>(P38*($E38/365)) + (P39*($E39/365))</f>
        <v>37.5</v>
      </c>
      <c r="U158" s="5">
        <f>(Q38*($E38/365)) + (Q39*($E39/365))</f>
        <v>13.2</v>
      </c>
      <c r="V158" s="9"/>
      <c r="W158" s="5">
        <f t="shared" si="29"/>
        <v>50.7</v>
      </c>
    </row>
    <row r="159" spans="1:23" x14ac:dyDescent="0.15">
      <c r="A159" s="1">
        <v>1976</v>
      </c>
      <c r="B159" s="5">
        <f>(K40*($E40/366)) + (K41*($E41/366))</f>
        <v>0</v>
      </c>
      <c r="C159" s="5">
        <f>(L40*($E40/366)) + (L41*($E41/366))</f>
        <v>68.75</v>
      </c>
      <c r="D159" s="5">
        <f>(M40*($E40/366)) + (M41*($E41/366))</f>
        <v>31.25</v>
      </c>
      <c r="E159" s="24">
        <f t="shared" si="30"/>
        <v>100</v>
      </c>
      <c r="G159" s="1">
        <v>1976</v>
      </c>
      <c r="H159" s="409">
        <f>(O40/$R40*100*($E40/366))+(O41/$R41*100*($E41/366))</f>
        <v>0</v>
      </c>
      <c r="I159" s="409"/>
      <c r="J159" s="409">
        <f>(P40/$R40*100*($E40/366))+(P41/$R41*100*($E41/366))</f>
        <v>73.964497041420117</v>
      </c>
      <c r="K159" s="409"/>
      <c r="L159" s="409">
        <f>(Q40/$R40*100*($E40/366))+(Q41/$R41*100*($E41/366))</f>
        <v>26.035502958579883</v>
      </c>
      <c r="M159" s="409"/>
      <c r="N159" s="379">
        <f t="shared" si="31"/>
        <v>100</v>
      </c>
      <c r="O159" s="431"/>
      <c r="P159" s="4"/>
      <c r="Q159" s="4"/>
      <c r="R159" s="1">
        <v>1976</v>
      </c>
      <c r="S159" s="5">
        <f>(O40*($E40/366)) + (O41*($E41/366))</f>
        <v>0</v>
      </c>
      <c r="T159" s="5">
        <f>(P40*($E40/366)) + (P41*($E41/366))</f>
        <v>37.5</v>
      </c>
      <c r="U159" s="5">
        <f>(Q40*($E40/366)) + (Q41*($E41/366))</f>
        <v>13.2</v>
      </c>
      <c r="V159" s="9"/>
      <c r="W159" s="5">
        <f t="shared" si="29"/>
        <v>50.7</v>
      </c>
    </row>
    <row r="160" spans="1:23" x14ac:dyDescent="0.15">
      <c r="A160" s="1">
        <v>1977</v>
      </c>
      <c r="B160" s="5">
        <f>(K42*($E42/365)) + (K43*($E43/365))</f>
        <v>49.315068493150683</v>
      </c>
      <c r="C160" s="5">
        <f>(L42*($E42/365)) + (L43*($E43/365))</f>
        <v>34.845890410958908</v>
      </c>
      <c r="D160" s="5">
        <f>(M42*($E42/365)) + (M43*($E43/365))</f>
        <v>15.839041095890412</v>
      </c>
      <c r="E160" s="24">
        <f t="shared" si="30"/>
        <v>100</v>
      </c>
      <c r="G160" s="1">
        <v>1977</v>
      </c>
      <c r="H160" s="409">
        <f>(O42/$R42*100*($E42/365))+(O43/$R43*100*($E43/365))</f>
        <v>49.315068493150683</v>
      </c>
      <c r="I160" s="409"/>
      <c r="J160" s="409">
        <f>(P42/$R42*100*($E42/365))+(P43/$R43*100*($E43/365))</f>
        <v>37.488854664829375</v>
      </c>
      <c r="K160" s="409"/>
      <c r="L160" s="409">
        <f>(Q42/$R42*100*($E42/365))+(Q43/$R43*100*($E43/365))</f>
        <v>13.196076842019941</v>
      </c>
      <c r="M160" s="409"/>
      <c r="N160" s="379">
        <f t="shared" si="31"/>
        <v>100</v>
      </c>
      <c r="O160" s="431"/>
      <c r="P160" s="4"/>
      <c r="Q160" s="4"/>
      <c r="R160" s="1">
        <v>1977</v>
      </c>
      <c r="S160" s="5">
        <f>(O42*($E42/365)) + (O43*($E43/365))</f>
        <v>28.010958904109586</v>
      </c>
      <c r="T160" s="5">
        <f>(P42*($E42/365)) + (P43*($E43/365))</f>
        <v>19.006849315068493</v>
      </c>
      <c r="U160" s="5">
        <f>(Q42*($E42/365)) + (Q43*($E43/365))</f>
        <v>6.6904109589041099</v>
      </c>
      <c r="V160" s="9"/>
      <c r="W160" s="5">
        <f t="shared" si="29"/>
        <v>53.708219178082189</v>
      </c>
    </row>
    <row r="161" spans="1:23" x14ac:dyDescent="0.15">
      <c r="A161" s="1">
        <v>1978</v>
      </c>
      <c r="B161" s="5">
        <f>(K44*($E44/365)) + (K45*($E45/365))</f>
        <v>100</v>
      </c>
      <c r="C161" s="5">
        <f>(L44*($E44/365)) + (L45*($E45/365))</f>
        <v>0</v>
      </c>
      <c r="D161" s="5">
        <f>(M44*($E44/365)) + (M45*($E45/365))</f>
        <v>0</v>
      </c>
      <c r="E161" s="24">
        <f t="shared" si="30"/>
        <v>100</v>
      </c>
      <c r="G161" s="1">
        <v>1978</v>
      </c>
      <c r="H161" s="409">
        <f>(O44/$R44*100*($E44/365))+(O45/$R45*100*($E45/365))</f>
        <v>100</v>
      </c>
      <c r="I161" s="409"/>
      <c r="J161" s="409">
        <f>(P44/$R44*100*($E44/365))+(P45/$R45*100*($E45/365))</f>
        <v>0</v>
      </c>
      <c r="K161" s="409"/>
      <c r="L161" s="409">
        <f>(Q44/$R44*100*($E44/365))+(Q45/$R45*100*($E45/365))</f>
        <v>0</v>
      </c>
      <c r="M161" s="409"/>
      <c r="N161" s="379">
        <f t="shared" si="31"/>
        <v>100</v>
      </c>
      <c r="O161" s="431"/>
      <c r="P161" s="4"/>
      <c r="Q161" s="4"/>
      <c r="R161" s="1">
        <v>1978</v>
      </c>
      <c r="S161" s="5">
        <f>(O44*($E44/365)) + (O45*($E45/365))</f>
        <v>56.8</v>
      </c>
      <c r="T161" s="5">
        <f>(P44*($E44/365)) + (P45*($E45/365))</f>
        <v>0</v>
      </c>
      <c r="U161" s="5">
        <f>(Q44*($E44/365)) + (Q45*($E45/365))</f>
        <v>0</v>
      </c>
      <c r="V161" s="9"/>
      <c r="W161" s="5">
        <f t="shared" si="29"/>
        <v>56.8</v>
      </c>
    </row>
    <row r="162" spans="1:23" x14ac:dyDescent="0.15">
      <c r="A162" s="1">
        <v>1979</v>
      </c>
      <c r="B162" s="5">
        <f>(K46*($E46/365)) + (K47*($E47/365))</f>
        <v>100</v>
      </c>
      <c r="C162" s="5">
        <f>(L46*($E46/365)) + (L47*($E47/365))</f>
        <v>0</v>
      </c>
      <c r="D162" s="5">
        <f>(M46*($E46/365)) + (M47*($E47/365))</f>
        <v>0</v>
      </c>
      <c r="E162" s="24">
        <f t="shared" si="30"/>
        <v>100</v>
      </c>
      <c r="G162" s="1">
        <v>1979</v>
      </c>
      <c r="H162" s="409">
        <f>(O46/$R46*100*($E46/365))+(O47/$R47*100*($E47/365))</f>
        <v>100</v>
      </c>
      <c r="I162" s="409"/>
      <c r="J162" s="409">
        <f>(P46/$R46*100*($E46/365))+(P47/$R47*100*($E47/365))</f>
        <v>0</v>
      </c>
      <c r="K162" s="409"/>
      <c r="L162" s="409">
        <f>(Q46/$R46*100*($E46/365))+(Q47/$R47*100*($E47/365))</f>
        <v>0</v>
      </c>
      <c r="M162" s="409"/>
      <c r="N162" s="379">
        <f t="shared" si="31"/>
        <v>100</v>
      </c>
      <c r="O162" s="431"/>
      <c r="P162" s="4"/>
      <c r="Q162" s="4"/>
      <c r="R162" s="1">
        <v>1979</v>
      </c>
      <c r="S162" s="5">
        <f>(O46*($E46/365)) + (O47*($E47/365))</f>
        <v>56.8</v>
      </c>
      <c r="T162" s="5">
        <f>(P46*($E46/365)) + (P47*($E47/365))</f>
        <v>0</v>
      </c>
      <c r="U162" s="5">
        <f>(Q46*($E46/365)) + (Q47*($E47/365))</f>
        <v>0</v>
      </c>
      <c r="V162" s="9"/>
      <c r="W162" s="5">
        <f t="shared" si="29"/>
        <v>56.8</v>
      </c>
    </row>
    <row r="163" spans="1:23" x14ac:dyDescent="0.15">
      <c r="A163" s="1">
        <v>1980</v>
      </c>
      <c r="B163" s="5">
        <f>(K48*($E48/366)) + (K49*($E49/366))</f>
        <v>100</v>
      </c>
      <c r="C163" s="5">
        <f>(L48*($E48/366)) + (L49*($E49/366))</f>
        <v>0</v>
      </c>
      <c r="D163" s="5">
        <f>(M48*($E48/366)) + (M49*($E49/366))</f>
        <v>0</v>
      </c>
      <c r="E163" s="24">
        <f t="shared" si="30"/>
        <v>100</v>
      </c>
      <c r="G163" s="1">
        <v>1980</v>
      </c>
      <c r="H163" s="409">
        <f>(O48/$R48*100*($E48/366))+(O49/$R49*100*($E49/366))</f>
        <v>100</v>
      </c>
      <c r="I163" s="409"/>
      <c r="J163" s="409">
        <f>(P48/$R48*100*($E48/366))+(P49/$R49*100*($E49/366))</f>
        <v>0</v>
      </c>
      <c r="K163" s="409"/>
      <c r="L163" s="409">
        <f>(Q48/$R48*100*($E48/366))+(Q49/$R49*100*($E49/366))</f>
        <v>0</v>
      </c>
      <c r="M163" s="409"/>
      <c r="N163" s="379">
        <f t="shared" si="31"/>
        <v>100</v>
      </c>
      <c r="O163" s="431"/>
      <c r="P163" s="4"/>
      <c r="Q163" s="4"/>
      <c r="R163" s="1">
        <v>1980</v>
      </c>
      <c r="S163" s="5">
        <f>(O48*($E48/366)) + (O49*($E49/366))</f>
        <v>56.8</v>
      </c>
      <c r="T163" s="5">
        <f>(P48*($E48/366)) + (P49*($E49/366))</f>
        <v>0</v>
      </c>
      <c r="U163" s="5">
        <f>(Q48*($E48/366)) + (Q49*($E49/366))</f>
        <v>0</v>
      </c>
      <c r="V163" s="9"/>
      <c r="W163" s="5">
        <f t="shared" si="29"/>
        <v>56.8</v>
      </c>
    </row>
    <row r="164" spans="1:23" x14ac:dyDescent="0.15">
      <c r="A164" s="1">
        <v>1981</v>
      </c>
      <c r="B164" s="5">
        <f>(K50*($E50/365)) + (K51*($E51/365))</f>
        <v>49.315068493150683</v>
      </c>
      <c r="C164" s="5">
        <f>(L50*($E50/365)) + (L51*($E51/365))</f>
        <v>33.789954337899538</v>
      </c>
      <c r="D164" s="5">
        <f>(M50*($E50/365)) + (M51*($E51/365))</f>
        <v>13.515981735159819</v>
      </c>
      <c r="E164" s="24">
        <f t="shared" si="30"/>
        <v>96.621004566210047</v>
      </c>
      <c r="G164" s="1">
        <v>1981</v>
      </c>
      <c r="H164" s="409">
        <f>(O50/$R50*100*($E50/365))+(O51/$R51*100*($E51/365))</f>
        <v>49.315068493150683</v>
      </c>
      <c r="I164" s="409"/>
      <c r="J164" s="409">
        <f>(P50/$R50*100*($E50/365))+(P51/$R51*100*($E51/365))</f>
        <v>41.220940146649234</v>
      </c>
      <c r="K164" s="409"/>
      <c r="L164" s="409">
        <f>(Q50/$R50*100*($E50/365))+(Q51/$R51*100*($E51/365))</f>
        <v>9.4639913602000814</v>
      </c>
      <c r="M164" s="409"/>
      <c r="N164" s="379">
        <f t="shared" si="31"/>
        <v>100</v>
      </c>
      <c r="O164" s="431"/>
      <c r="R164" s="1">
        <v>1981</v>
      </c>
      <c r="S164" s="5">
        <f>(O50*($E50/365)) + (O51*($E51/365))</f>
        <v>28.010958904109586</v>
      </c>
      <c r="T164" s="5">
        <f>(P50*($E50/365)) + (P51*($E51/365))</f>
        <v>19.868493150684934</v>
      </c>
      <c r="U164" s="5">
        <f>(Q50*($E50/365)) + (Q51*($E51/365))</f>
        <v>4.5616438356164384</v>
      </c>
      <c r="V164" s="9"/>
      <c r="W164" s="5">
        <f t="shared" si="29"/>
        <v>52.441095890410956</v>
      </c>
    </row>
    <row r="165" spans="1:23" x14ac:dyDescent="0.15">
      <c r="A165" s="1">
        <v>1982</v>
      </c>
      <c r="B165" s="5">
        <f>(K52*($E52/365)) + (K53*($E53/365))+(K54*($E54/365))</f>
        <v>76.712328767123282</v>
      </c>
      <c r="C165" s="5">
        <f>(L52*($E52/365)) + (L53*($E53/365))+(L54*($E54/365))</f>
        <v>15.718506580714475</v>
      </c>
      <c r="D165" s="5">
        <f>(M52*($E52/365)) + (M53*($E53/365))+(M54*($E54/365))</f>
        <v>6.0553317217297877</v>
      </c>
      <c r="E165" s="24">
        <f t="shared" si="30"/>
        <v>98.486167069567543</v>
      </c>
      <c r="G165" s="1">
        <v>1982</v>
      </c>
      <c r="H165" s="409">
        <f>(O52/$R52*100*($E52/365))+(O53/$R53*100*($E53/365))+(O54/$R54*100*($E54/365))</f>
        <v>76.712328767123282</v>
      </c>
      <c r="I165" s="409"/>
      <c r="J165" s="409">
        <f>(P52/$R52*100*($E52/365))+(P53/$R53*100*($E53/365))+(P54/$R54*100*($E54/365))</f>
        <v>18.94622444386555</v>
      </c>
      <c r="K165" s="409"/>
      <c r="L165" s="409">
        <f>(Q52/$R52*100*($E52/365))+(Q53/$R53*100*($E53/365))+(Q54/$R54*100*($E54/365))</f>
        <v>4.3414467890111617</v>
      </c>
      <c r="M165" s="409"/>
      <c r="N165" s="379">
        <f t="shared" si="31"/>
        <v>99.999999999999986</v>
      </c>
      <c r="O165" s="431"/>
      <c r="R165" s="1">
        <v>1982</v>
      </c>
      <c r="S165" s="5">
        <f>(O52*($E52/365)) + (O53*($E53/365))+(O54*($E54/365))</f>
        <v>36.054794520547944</v>
      </c>
      <c r="T165" s="5">
        <f>(P52*($E52/365)) + (P53*($E53/365))+(P54*($E54/365))</f>
        <v>9.2767123287671236</v>
      </c>
      <c r="U165" s="5">
        <f>(Q52*($E52/365)) + (Q53*($E53/365))+(Q54*($E54/365))</f>
        <v>2.1254794520547944</v>
      </c>
      <c r="V165" s="9"/>
      <c r="W165" s="5">
        <f t="shared" si="29"/>
        <v>47.456986301369867</v>
      </c>
    </row>
    <row r="166" spans="1:23" x14ac:dyDescent="0.15">
      <c r="A166" s="1">
        <v>1983</v>
      </c>
      <c r="B166" s="5">
        <f>(K55*($E55/365)) + (K56*($E56/365))</f>
        <v>0</v>
      </c>
      <c r="C166" s="5">
        <f>(L55*($E55/365)) + (L56*($E56/365))</f>
        <v>70.588235294117652</v>
      </c>
      <c r="D166" s="5">
        <f>(M55*($E55/365)) + (M56*($E56/365))</f>
        <v>23.52941176470588</v>
      </c>
      <c r="E166" s="24">
        <f t="shared" si="30"/>
        <v>94.117647058823536</v>
      </c>
      <c r="G166" s="1">
        <v>1983</v>
      </c>
      <c r="H166" s="409">
        <f>(O55/$R55*100*($E55/365))+(O56/$R56*100*($E56/365))</f>
        <v>0</v>
      </c>
      <c r="I166" s="409"/>
      <c r="J166" s="409">
        <f>(P55/$R55*100*($E55/365))+(P56/$R56*100*($E56/365))</f>
        <v>81.467181467181476</v>
      </c>
      <c r="K166" s="409"/>
      <c r="L166" s="409">
        <f>(Q55/$R55*100*($E55/365))+(Q56/$R56*100*($E56/365))</f>
        <v>18.532818532818531</v>
      </c>
      <c r="M166" s="409"/>
      <c r="N166" s="379">
        <f t="shared" si="31"/>
        <v>100</v>
      </c>
      <c r="O166" s="431"/>
      <c r="R166" s="1">
        <v>1983</v>
      </c>
      <c r="S166" s="5">
        <f>(O55*($E55/365)) + (O56*($E56/365))</f>
        <v>0</v>
      </c>
      <c r="T166" s="5">
        <f>(P55*($E55/365)) + (P56*($E56/365))</f>
        <v>42.2</v>
      </c>
      <c r="U166" s="5">
        <f>(Q55*($E55/365)) + (Q56*($E56/365))</f>
        <v>9.6</v>
      </c>
      <c r="V166" s="9"/>
      <c r="W166" s="5">
        <f t="shared" si="29"/>
        <v>51.800000000000004</v>
      </c>
    </row>
    <row r="167" spans="1:23" x14ac:dyDescent="0.15">
      <c r="A167" s="1">
        <v>1984</v>
      </c>
      <c r="B167" s="5">
        <f>(K57*($E57/366)) + (K58*($E58/366))</f>
        <v>0</v>
      </c>
      <c r="C167" s="5">
        <f>(L57*($E57/366)) + (L58*($E58/366))</f>
        <v>70.588235294117652</v>
      </c>
      <c r="D167" s="5">
        <f>(M57*($E57/366)) + (M58*($E58/366))</f>
        <v>23.52941176470588</v>
      </c>
      <c r="E167" s="24">
        <f t="shared" si="30"/>
        <v>94.117647058823536</v>
      </c>
      <c r="G167" s="1">
        <v>1984</v>
      </c>
      <c r="H167" s="409">
        <f>(O57/$R57*100*($E57/366))+(O58/$R58*100*($E58/366))</f>
        <v>0</v>
      </c>
      <c r="I167" s="409"/>
      <c r="J167" s="409">
        <f>(P57/$R57*100*($E57/366))+(P58/$R58*100*($E58/366))</f>
        <v>81.467181467181476</v>
      </c>
      <c r="K167" s="409"/>
      <c r="L167" s="409">
        <f>(Q57/$R57*100*($E57/366))+(Q58/$R58*100*($E58/366))</f>
        <v>18.532818532818531</v>
      </c>
      <c r="M167" s="409"/>
      <c r="N167" s="379">
        <f t="shared" si="31"/>
        <v>100</v>
      </c>
      <c r="O167" s="431"/>
      <c r="R167" s="1">
        <v>1984</v>
      </c>
      <c r="S167" s="5">
        <f>(O57*($E57/366)) + (O58*($E58/366))</f>
        <v>0</v>
      </c>
      <c r="T167" s="5">
        <f>(P57*($E57/366)) + (P58*($E58/366))</f>
        <v>42.2</v>
      </c>
      <c r="U167" s="5">
        <f>(Q57*($E57/366)) + (Q58*($E58/366))</f>
        <v>9.6</v>
      </c>
      <c r="V167" s="9"/>
      <c r="W167" s="5">
        <f t="shared" si="29"/>
        <v>51.800000000000004</v>
      </c>
    </row>
    <row r="168" spans="1:23" x14ac:dyDescent="0.15">
      <c r="A168" s="1">
        <v>1985</v>
      </c>
      <c r="B168" s="5">
        <f>(K59*($E59/365)) + (K60*($E60/365))</f>
        <v>0</v>
      </c>
      <c r="C168" s="5">
        <f>(L59*($E59/365)) + (L60*($E60/365))</f>
        <v>70.588235294117652</v>
      </c>
      <c r="D168" s="5">
        <f>(M59*($E59/365)) + (M60*($E60/365))</f>
        <v>23.52941176470588</v>
      </c>
      <c r="E168" s="24">
        <f t="shared" si="30"/>
        <v>94.117647058823536</v>
      </c>
      <c r="G168" s="1">
        <v>1985</v>
      </c>
      <c r="H168" s="409">
        <f>(O59/$R59*100*($E59/365))+(O60/$R60*100*($E60/365))</f>
        <v>0</v>
      </c>
      <c r="I168" s="409"/>
      <c r="J168" s="409">
        <f>(P59/$R59*100*($E59/365))+(P60/$R60*100*($E60/365))</f>
        <v>81.467181467181476</v>
      </c>
      <c r="K168" s="409"/>
      <c r="L168" s="409">
        <f>(Q59/$R59*100*($E59/365))+(Q60/$R60*100*($E60/365))</f>
        <v>18.532818532818531</v>
      </c>
      <c r="M168" s="409"/>
      <c r="N168" s="379">
        <f t="shared" si="31"/>
        <v>100</v>
      </c>
      <c r="O168" s="431"/>
      <c r="R168" s="1">
        <v>1985</v>
      </c>
      <c r="S168" s="5">
        <f>(O59*($E59/365)) + (O60*($E60/365))</f>
        <v>0</v>
      </c>
      <c r="T168" s="5">
        <f>(P59*($E59/365)) + (P60*($E60/365))</f>
        <v>42.2</v>
      </c>
      <c r="U168" s="5">
        <f>(Q59*($E59/365)) + (Q60*($E60/365))</f>
        <v>9.6</v>
      </c>
      <c r="V168" s="9"/>
      <c r="W168" s="5">
        <f t="shared" si="29"/>
        <v>51.800000000000004</v>
      </c>
    </row>
    <row r="169" spans="1:23" x14ac:dyDescent="0.15">
      <c r="A169" s="1">
        <v>1986</v>
      </c>
      <c r="B169" s="5">
        <f>(K61*($E61/365)) + (K62*($E62/365))</f>
        <v>0</v>
      </c>
      <c r="C169" s="5">
        <f>(L61*($E61/365)) + (L62*($E62/365))</f>
        <v>70.588235294117652</v>
      </c>
      <c r="D169" s="5">
        <f>(M61*($E61/365)) + (M62*($E62/365))</f>
        <v>23.52941176470588</v>
      </c>
      <c r="E169" s="24">
        <f t="shared" si="30"/>
        <v>94.117647058823536</v>
      </c>
      <c r="G169" s="1">
        <v>1986</v>
      </c>
      <c r="H169" s="409">
        <f>(O61/$R61*100*($E61/365))+(O62/$R62*100*($E62/365))</f>
        <v>0</v>
      </c>
      <c r="I169" s="409"/>
      <c r="J169" s="409">
        <f>(P61/$R61*100*($E61/365))+(P62/$R62*100*($E62/365))</f>
        <v>81.467181467181476</v>
      </c>
      <c r="K169" s="409"/>
      <c r="L169" s="409">
        <f>(Q61/$R61*100*($E61/365))+(Q62/$R62*100*($E62/365))</f>
        <v>18.532818532818531</v>
      </c>
      <c r="M169" s="409"/>
      <c r="N169" s="379">
        <f t="shared" si="31"/>
        <v>100</v>
      </c>
      <c r="O169" s="431"/>
      <c r="R169" s="1">
        <v>1986</v>
      </c>
      <c r="S169" s="5">
        <f>(O61*($E61/365)) + (O62*($E62/365))</f>
        <v>0</v>
      </c>
      <c r="T169" s="5">
        <f>(P61*($E61/365)) + (P62*($E62/365))</f>
        <v>42.2</v>
      </c>
      <c r="U169" s="5">
        <f>(Q61*($E61/365)) + (Q62*($E62/365))</f>
        <v>9.6</v>
      </c>
      <c r="V169" s="9"/>
      <c r="W169" s="5">
        <f t="shared" si="29"/>
        <v>51.800000000000004</v>
      </c>
    </row>
    <row r="170" spans="1:23" x14ac:dyDescent="0.15">
      <c r="A170" s="1">
        <v>1987</v>
      </c>
      <c r="B170" s="5">
        <f>(K63*($E63/365)) + (K64*($E64/365))</f>
        <v>81.369863013698634</v>
      </c>
      <c r="C170" s="5">
        <f>(L63*($E63/365)) + (L64*($E64/365))</f>
        <v>13.15068493150685</v>
      </c>
      <c r="D170" s="5">
        <f>(M63*($E63/365)) + (M64*($E64/365))</f>
        <v>4.3835616438356162</v>
      </c>
      <c r="E170" s="24">
        <f t="shared" si="30"/>
        <v>98.904109589041099</v>
      </c>
      <c r="G170" s="1">
        <v>1987</v>
      </c>
      <c r="H170" s="409">
        <f>(O63/$R63*100*($E63/365))+(O64/$R64*100*($E64/365))</f>
        <v>81.369863013698634</v>
      </c>
      <c r="I170" s="409"/>
      <c r="J170" s="409">
        <f>(P63/$R63*100*($E63/365))+(P64/$R64*100*($E64/365))</f>
        <v>15.177447506214632</v>
      </c>
      <c r="K170" s="409"/>
      <c r="L170" s="409">
        <f>(Q63/$R63*100*($E63/365))+(Q64/$R64*100*($E64/365))</f>
        <v>3.4526894800867405</v>
      </c>
      <c r="M170" s="409"/>
      <c r="N170" s="379">
        <f t="shared" si="31"/>
        <v>100.00000000000001</v>
      </c>
      <c r="O170" s="431"/>
      <c r="R170" s="1">
        <v>1987</v>
      </c>
      <c r="S170" s="5">
        <f>(O63*($E63/365)) + (O64*($E64/365))</f>
        <v>39.70849315068493</v>
      </c>
      <c r="T170" s="5">
        <f>(P63*($E63/365)) + (P64*($E64/365))</f>
        <v>7.8619178082191787</v>
      </c>
      <c r="U170" s="5">
        <f>(Q63*($E63/365)) + (Q64*($E64/365))</f>
        <v>1.7884931506849315</v>
      </c>
      <c r="V170" s="9"/>
      <c r="W170" s="5">
        <f t="shared" si="29"/>
        <v>49.358904109589034</v>
      </c>
    </row>
    <row r="171" spans="1:23" x14ac:dyDescent="0.15">
      <c r="A171" s="1">
        <v>1988</v>
      </c>
      <c r="B171" s="5">
        <f>(K65*($E65/366)) + (K66*($E66/366))</f>
        <v>100</v>
      </c>
      <c r="C171" s="5">
        <f>(L65*($E65/366)) + (L66*($E66/366))</f>
        <v>0</v>
      </c>
      <c r="D171" s="5">
        <f>(M65*($E65/366)) + (M66*($E66/366))</f>
        <v>0</v>
      </c>
      <c r="E171" s="24">
        <f t="shared" si="30"/>
        <v>100</v>
      </c>
      <c r="G171" s="1">
        <v>1988</v>
      </c>
      <c r="H171" s="409">
        <f>(O65/$R65*100*($E65/366))+(O66/$R66*100*($E66/366))</f>
        <v>100</v>
      </c>
      <c r="I171" s="409"/>
      <c r="J171" s="409">
        <f>(P65/$R65*100*($E65/366))+(P66/$R66*100*($E66/366))</f>
        <v>0</v>
      </c>
      <c r="K171" s="409"/>
      <c r="L171" s="409">
        <f>(Q65/$R65*100*($E65/366))+(Q66/$R66*100*($E66/366))</f>
        <v>0</v>
      </c>
      <c r="M171" s="409"/>
      <c r="N171" s="379">
        <f t="shared" si="31"/>
        <v>100</v>
      </c>
      <c r="O171" s="431"/>
      <c r="R171" s="1">
        <v>1988</v>
      </c>
      <c r="S171" s="5">
        <f>(O65*($E65/366)) + (O66*($E66/366))</f>
        <v>48.8</v>
      </c>
      <c r="T171" s="5">
        <f>(P65*($E65/366)) + (P66*($E66/366))</f>
        <v>0</v>
      </c>
      <c r="U171" s="5">
        <f>(Q65*($E65/366)) + (Q66*($E66/366))</f>
        <v>0</v>
      </c>
      <c r="V171" s="9"/>
      <c r="W171" s="5">
        <f t="shared" si="29"/>
        <v>48.8</v>
      </c>
    </row>
    <row r="172" spans="1:23" x14ac:dyDescent="0.15">
      <c r="A172" s="1">
        <v>1989</v>
      </c>
      <c r="B172" s="5">
        <f>(K67*($E67/365)) + (K68*($E68/365))</f>
        <v>100</v>
      </c>
      <c r="C172" s="5">
        <f>(L67*($E67/365)) + (L68*($E68/365))</f>
        <v>0</v>
      </c>
      <c r="D172" s="5">
        <f>(M67*($E67/365)) + (M68*($E68/365))</f>
        <v>0</v>
      </c>
      <c r="E172" s="24">
        <f t="shared" si="30"/>
        <v>100</v>
      </c>
      <c r="G172" s="1">
        <v>1989</v>
      </c>
      <c r="H172" s="409">
        <f>(O67/$R67*100*($E67/365))+(O68/$R68*100*($E68/365))</f>
        <v>100</v>
      </c>
      <c r="I172" s="409"/>
      <c r="J172" s="409">
        <f>(P67/$R67*100*($E67/365))+(P68/$R68*100*($E68/365))</f>
        <v>0</v>
      </c>
      <c r="K172" s="409"/>
      <c r="L172" s="409">
        <f>(Q67/$R67*100*($E67/365))+(Q68/$R68*100*($E68/365))</f>
        <v>0</v>
      </c>
      <c r="M172" s="409"/>
      <c r="N172" s="379">
        <f t="shared" si="31"/>
        <v>100</v>
      </c>
      <c r="O172" s="431"/>
      <c r="R172" s="1">
        <v>1989</v>
      </c>
      <c r="S172" s="5">
        <f>(O67*($E67/365)) + (O68*($E68/365))</f>
        <v>49.368767123287668</v>
      </c>
      <c r="T172" s="5">
        <f>(P67*($E67/365)) + (P68*($E68/365))</f>
        <v>0</v>
      </c>
      <c r="U172" s="5">
        <f>(Q67*($E67/365)) + (Q68*($E68/365))</f>
        <v>0</v>
      </c>
      <c r="V172" s="9"/>
      <c r="W172" s="5">
        <f t="shared" si="29"/>
        <v>49.368767123287668</v>
      </c>
    </row>
    <row r="173" spans="1:23" x14ac:dyDescent="0.15">
      <c r="A173" s="1">
        <v>1990</v>
      </c>
      <c r="B173" s="5">
        <f>(K69*($E69/365)) + (K70*($E70/365))</f>
        <v>100</v>
      </c>
      <c r="C173" s="5">
        <f>(L69*($E69/365)) + (L70*($E70/365))</f>
        <v>0</v>
      </c>
      <c r="D173" s="5">
        <f>(M69*($E69/365)) + (M70*($E70/365))</f>
        <v>0</v>
      </c>
      <c r="E173" s="24">
        <f t="shared" si="30"/>
        <v>100</v>
      </c>
      <c r="G173" s="1">
        <v>1990</v>
      </c>
      <c r="H173" s="409">
        <f>(O69/$R69*100*($E69/365))+(O70/$R70*100*($E70/365))</f>
        <v>100</v>
      </c>
      <c r="I173" s="409"/>
      <c r="J173" s="409">
        <f>(P69/$R69*100*($E69/365))+(P70/$R70*100*($E70/365))</f>
        <v>0</v>
      </c>
      <c r="K173" s="409"/>
      <c r="L173" s="409">
        <f>(Q69/$R69*100*($E69/365))+(Q70/$R70*100*($E70/365))</f>
        <v>0</v>
      </c>
      <c r="M173" s="409"/>
      <c r="N173" s="379">
        <f t="shared" si="31"/>
        <v>100</v>
      </c>
      <c r="O173" s="431"/>
      <c r="R173" s="1">
        <v>1990</v>
      </c>
      <c r="S173" s="5">
        <f>(O69*($E69/365)) + (O70*($E70/365))</f>
        <v>50</v>
      </c>
      <c r="T173" s="5">
        <f>(P69*($E69/365)) + (P70*($E70/365))</f>
        <v>0</v>
      </c>
      <c r="U173" s="5">
        <f>(Q69*($E69/365)) + (Q70*($E70/365))</f>
        <v>0</v>
      </c>
      <c r="V173" s="9"/>
      <c r="W173" s="5">
        <f t="shared" si="29"/>
        <v>50</v>
      </c>
    </row>
    <row r="174" spans="1:23" x14ac:dyDescent="0.15">
      <c r="A174" s="1">
        <v>1991</v>
      </c>
      <c r="B174" s="5">
        <f>(K71*($E71/365)) + (K72*($E72/365))</f>
        <v>100</v>
      </c>
      <c r="C174" s="5">
        <f>(L71*($E71/365)) + (L72*($E72/365))</f>
        <v>0</v>
      </c>
      <c r="D174" s="5">
        <f>(M71*($E71/365)) + (M72*($E72/365))</f>
        <v>0</v>
      </c>
      <c r="E174" s="24">
        <f t="shared" si="30"/>
        <v>100</v>
      </c>
      <c r="G174" s="1">
        <v>1991</v>
      </c>
      <c r="H174" s="409">
        <f>(O71/$R71*100*($E71/365))+(O72/$R72*100*($E72/365))</f>
        <v>100</v>
      </c>
      <c r="I174" s="409"/>
      <c r="J174" s="409">
        <f>(P71/$R71*100*($E71/365))+(P72/$R72*100*($E72/365))</f>
        <v>0</v>
      </c>
      <c r="K174" s="409"/>
      <c r="L174" s="409">
        <f>(Q71/$R71*100*($E71/365))+(Q72/$R72*100*($E72/365))</f>
        <v>0</v>
      </c>
      <c r="M174" s="409"/>
      <c r="N174" s="379">
        <f t="shared" si="31"/>
        <v>100</v>
      </c>
      <c r="O174" s="431"/>
      <c r="R174" s="1">
        <v>1991</v>
      </c>
      <c r="S174" s="5">
        <f>(O71*($E71/365)) + (O72*($E72/365))</f>
        <v>50</v>
      </c>
      <c r="T174" s="5">
        <f>(P71*($E71/365)) + (P72*($E72/365))</f>
        <v>0</v>
      </c>
      <c r="U174" s="5">
        <f>(Q71*($E71/365)) + (Q72*($E72/365))</f>
        <v>0</v>
      </c>
      <c r="V174" s="9"/>
      <c r="W174" s="5">
        <f t="shared" si="29"/>
        <v>50</v>
      </c>
    </row>
    <row r="175" spans="1:23" x14ac:dyDescent="0.15">
      <c r="A175" s="1">
        <v>1992</v>
      </c>
      <c r="B175" s="5">
        <f>(K73*($E73/366)) + (K74*($E74/366))</f>
        <v>100</v>
      </c>
      <c r="C175" s="5">
        <f>(L73*($E73/366)) + (L74*($E74/366))</f>
        <v>0</v>
      </c>
      <c r="D175" s="5">
        <f>(M73*($E73/366)) + (M74*($E74/366))</f>
        <v>0</v>
      </c>
      <c r="E175" s="24">
        <f t="shared" si="30"/>
        <v>100</v>
      </c>
      <c r="G175" s="1">
        <v>1992</v>
      </c>
      <c r="H175" s="409">
        <f>(O73/$R73*100*($E73/366))+(O74/$R74*100*($E74/366))</f>
        <v>100</v>
      </c>
      <c r="I175" s="409"/>
      <c r="J175" s="409">
        <f>(P73/$R73*100*($E73/366))+(P74/$R74*100*($E74/366))</f>
        <v>0</v>
      </c>
      <c r="K175" s="409"/>
      <c r="L175" s="409">
        <f>(Q73/$R73*100*($E73/366))+(Q74/$R74*100*($E74/366))</f>
        <v>0</v>
      </c>
      <c r="M175" s="409"/>
      <c r="N175" s="379">
        <f t="shared" si="31"/>
        <v>100</v>
      </c>
      <c r="O175" s="431"/>
      <c r="R175" s="1">
        <v>1992</v>
      </c>
      <c r="S175" s="5">
        <f>(O73*($E73/366)) + (O74*($E74/366))</f>
        <v>50</v>
      </c>
      <c r="T175" s="5">
        <f>(P73*($E73/366)) + (P74*($E74/366))</f>
        <v>0</v>
      </c>
      <c r="U175" s="5">
        <f>(Q73*($E73/366)) + (Q74*($E74/366))</f>
        <v>0</v>
      </c>
      <c r="V175" s="9"/>
      <c r="W175" s="5">
        <f t="shared" si="29"/>
        <v>50</v>
      </c>
    </row>
    <row r="176" spans="1:23" x14ac:dyDescent="0.15">
      <c r="A176" s="1">
        <v>1993</v>
      </c>
      <c r="B176" s="5">
        <f>(K75*($E75/365)) + (K76*($E76/365))</f>
        <v>61.205479452054796</v>
      </c>
      <c r="C176" s="5">
        <f>(L75*($E75/365)) + (L76*($E76/365))</f>
        <v>0</v>
      </c>
      <c r="D176" s="5">
        <f>(M75*($E75/365)) + (M76*($E76/365))</f>
        <v>38.794520547945204</v>
      </c>
      <c r="E176" s="24">
        <f t="shared" si="30"/>
        <v>100</v>
      </c>
      <c r="G176" s="1">
        <v>1993</v>
      </c>
      <c r="H176" s="409">
        <f>(O75/$R75*100*($E75/365))+(O76/$R76*100*($E76/365))</f>
        <v>68.308252918550522</v>
      </c>
      <c r="I176" s="409"/>
      <c r="J176" s="409">
        <f>(P75/$R75*100*($E75/365))+(P76/$R76*100*($E76/365))</f>
        <v>0</v>
      </c>
      <c r="K176" s="409"/>
      <c r="L176" s="409">
        <f>(Q75/$R75*100*($E75/365))+(Q76/$R76*100*($E76/365))</f>
        <v>31.691747081449488</v>
      </c>
      <c r="M176" s="409"/>
      <c r="N176" s="379">
        <f t="shared" si="31"/>
        <v>100.00000000000001</v>
      </c>
      <c r="O176" s="431"/>
      <c r="R176" s="1">
        <v>1993</v>
      </c>
      <c r="S176" s="5">
        <f>(O75*($E75/365)) + (O76*($E76/365))</f>
        <v>41.271232876712332</v>
      </c>
      <c r="T176" s="5">
        <f>(P75*($E75/365)) + (P76*($E76/365))</f>
        <v>0</v>
      </c>
      <c r="U176" s="5">
        <f>(Q75*($E75/365)) + (Q76*($E76/365))</f>
        <v>19.300273972602739</v>
      </c>
      <c r="V176" s="9"/>
      <c r="W176" s="5">
        <f t="shared" si="29"/>
        <v>60.571506849315071</v>
      </c>
    </row>
    <row r="177" spans="1:23" x14ac:dyDescent="0.15">
      <c r="A177" s="1">
        <v>1994</v>
      </c>
      <c r="B177" s="5">
        <f>(K77*($E77/365)) + (K78*($E78/365))</f>
        <v>57.205479452054796</v>
      </c>
      <c r="C177" s="5">
        <f>(L77*($E77/365)) + (L78*($E78/365))</f>
        <v>2.484018264840183</v>
      </c>
      <c r="D177" s="5">
        <f>(M77*($E77/365)) + (M78*($E78/365))</f>
        <v>40.310502283105016</v>
      </c>
      <c r="E177" s="24">
        <f t="shared" si="30"/>
        <v>100</v>
      </c>
      <c r="G177" s="1">
        <v>1994</v>
      </c>
      <c r="H177" s="409">
        <f>(O77/$R77*100*($E77/365))+(O78/$R78*100*($E78/365))</f>
        <v>64.187866927592964</v>
      </c>
      <c r="I177" s="409"/>
      <c r="J177" s="409">
        <f>(P77/$R77*100*($E77/365))+(P78/$R78*100*($E78/365))</f>
        <v>2.5550440907326273</v>
      </c>
      <c r="K177" s="409"/>
      <c r="L177" s="409">
        <f>(Q77/$R77*100*($E77/365))+(Q78/$R78*100*($E78/365))</f>
        <v>33.257088981674414</v>
      </c>
      <c r="M177" s="409"/>
      <c r="N177" s="379">
        <f t="shared" si="31"/>
        <v>100</v>
      </c>
      <c r="O177" s="431"/>
      <c r="R177" s="1">
        <v>1994</v>
      </c>
      <c r="S177" s="5">
        <f>(O77*($E77/365)) + (O78*($E78/365))</f>
        <v>39.090410958904108</v>
      </c>
      <c r="T177" s="5">
        <f>(P77*($E77/365)) + (P78*($E78/365))</f>
        <v>1.2621917808219179</v>
      </c>
      <c r="U177" s="5">
        <f>(Q77*($E77/365)) + (Q78*($E78/365))</f>
        <v>20.011780821917807</v>
      </c>
      <c r="V177" s="9"/>
      <c r="W177" s="5">
        <f t="shared" si="29"/>
        <v>60.364383561643834</v>
      </c>
    </row>
    <row r="178" spans="1:23" x14ac:dyDescent="0.15">
      <c r="A178" s="1">
        <v>1995</v>
      </c>
      <c r="B178" s="5">
        <f>(K79*($E79/365)) + (K80*($E80/365))</f>
        <v>0</v>
      </c>
      <c r="C178" s="5">
        <f>(L79*($E79/365)) + (L80*($E80/365))</f>
        <v>53.333333333333336</v>
      </c>
      <c r="D178" s="5">
        <f>(M79*($E79/365)) + (M80*($E80/365))</f>
        <v>46.666666666666664</v>
      </c>
      <c r="E178" s="24">
        <f t="shared" si="30"/>
        <v>100</v>
      </c>
      <c r="G178" s="1">
        <v>1995</v>
      </c>
      <c r="H178" s="409">
        <f>(O79/$R79*100*($E79/365))+(O80/$R80*100*($E80/365))</f>
        <v>0</v>
      </c>
      <c r="I178" s="409"/>
      <c r="J178" s="409">
        <f>(P79/$R79*100*($E79/365))+(P80/$R80*100*($E80/365))</f>
        <v>54.858299595141702</v>
      </c>
      <c r="K178" s="409"/>
      <c r="L178" s="409">
        <f>(Q79/$R79*100*($E79/365))+(Q80/$R80*100*($E80/365))</f>
        <v>45.141700404858298</v>
      </c>
      <c r="M178" s="409"/>
      <c r="N178" s="379">
        <f t="shared" si="31"/>
        <v>100</v>
      </c>
      <c r="O178" s="431"/>
      <c r="R178" s="1">
        <v>1995</v>
      </c>
      <c r="S178" s="5">
        <f>(O79*($E79/365)) + (O80*($E80/365))</f>
        <v>0</v>
      </c>
      <c r="T178" s="5">
        <f>(P79*($E79/365)) + (P80*($E80/365))</f>
        <v>27.1</v>
      </c>
      <c r="U178" s="5">
        <f>(Q79*($E79/365)) + (Q80*($E80/365))</f>
        <v>22.3</v>
      </c>
      <c r="V178" s="9"/>
      <c r="W178" s="5">
        <f t="shared" si="29"/>
        <v>49.400000000000006</v>
      </c>
    </row>
    <row r="179" spans="1:23" x14ac:dyDescent="0.15">
      <c r="A179" s="1">
        <v>1996</v>
      </c>
      <c r="B179" s="5">
        <f>(K81*($E81/366)) + (K82*($E82/366))</f>
        <v>0</v>
      </c>
      <c r="C179" s="5">
        <f>(L81*($E81/366)) + (L82*($E82/366))</f>
        <v>53.333333333333336</v>
      </c>
      <c r="D179" s="5">
        <f>(M81*($E81/366)) + (M82*($E82/366))</f>
        <v>46.666666666666664</v>
      </c>
      <c r="E179" s="24">
        <f t="shared" si="30"/>
        <v>100</v>
      </c>
      <c r="G179" s="1">
        <v>1996</v>
      </c>
      <c r="H179" s="409">
        <f>(O81/$R81*100*($E81/366))+(O82/$R82*100*($E82/366))</f>
        <v>0</v>
      </c>
      <c r="I179" s="409"/>
      <c r="J179" s="409">
        <f>(P81/$R81*100*($E81/366))+(P82/$R82*100*($E82/366))</f>
        <v>54.858299595141702</v>
      </c>
      <c r="K179" s="409"/>
      <c r="L179" s="409">
        <f>(Q81/$R81*100*($E81/366))+(Q82/$R82*100*($E82/366))</f>
        <v>45.141700404858298</v>
      </c>
      <c r="M179" s="409"/>
      <c r="N179" s="379">
        <f t="shared" si="31"/>
        <v>100</v>
      </c>
      <c r="O179" s="431"/>
      <c r="R179" s="1">
        <v>1996</v>
      </c>
      <c r="S179" s="5">
        <f>(O81*($E81/366)) + (O82*($E82/366))</f>
        <v>0</v>
      </c>
      <c r="T179" s="5">
        <f>(P81*($E81/366)) + (P82*($E82/366))</f>
        <v>27.1</v>
      </c>
      <c r="U179" s="5">
        <f>(Q81*($E81/366)) + (Q82*($E82/366))</f>
        <v>22.3</v>
      </c>
      <c r="V179" s="9"/>
      <c r="W179" s="5">
        <f t="shared" si="29"/>
        <v>49.400000000000006</v>
      </c>
    </row>
    <row r="180" spans="1:23" x14ac:dyDescent="0.15">
      <c r="A180" s="1">
        <v>1997</v>
      </c>
      <c r="B180" s="5">
        <f>(K83*($E83/365)) + (K84*($E84/365))</f>
        <v>51.780821917808218</v>
      </c>
      <c r="C180" s="5">
        <f>(L83*($E83/365)) + (L84*($E84/365))</f>
        <v>25.716894977168952</v>
      </c>
      <c r="D180" s="5">
        <f>(M83*($E83/365)) + (M84*($E84/365))</f>
        <v>22.50228310502283</v>
      </c>
      <c r="E180" s="24">
        <f t="shared" si="30"/>
        <v>100</v>
      </c>
      <c r="G180" s="1">
        <v>1997</v>
      </c>
      <c r="H180" s="409">
        <f>(O83/$R83*100*($E83/365))+(O84/$R84*100*($E84/365))</f>
        <v>51.780821917808218</v>
      </c>
      <c r="I180" s="409"/>
      <c r="J180" s="409">
        <f>(P83/$R83*100*($E83/365))+(P84/$R84*100*($E84/365))</f>
        <v>26.452221174643672</v>
      </c>
      <c r="K180" s="409"/>
      <c r="L180" s="409">
        <f>(Q83/$R83*100*($E83/365))+(Q84/$R84*100*($E84/365))</f>
        <v>21.76695690754811</v>
      </c>
      <c r="M180" s="409"/>
      <c r="N180" s="379">
        <f t="shared" si="31"/>
        <v>100</v>
      </c>
      <c r="O180" s="431"/>
      <c r="R180" s="1">
        <v>1997</v>
      </c>
      <c r="S180" s="5">
        <f>(O83*($E83/365)) + (O84*($E84/365))</f>
        <v>25.269041095890408</v>
      </c>
      <c r="T180" s="5">
        <f>(P83*($E83/365)) + (P84*($E84/365))</f>
        <v>13.067397260273975</v>
      </c>
      <c r="U180" s="5">
        <f>(Q83*($E83/365)) + (Q84*($E84/365))</f>
        <v>10.752876712328767</v>
      </c>
      <c r="V180" s="9"/>
      <c r="W180" s="5">
        <f t="shared" si="29"/>
        <v>49.08931506849315</v>
      </c>
    </row>
    <row r="181" spans="1:23" x14ac:dyDescent="0.15">
      <c r="A181" s="1">
        <v>1998</v>
      </c>
      <c r="B181" s="5">
        <f>(K85*($E85/365)) + (K86*($E86/365))</f>
        <v>100</v>
      </c>
      <c r="C181" s="5">
        <f>(L85*($E85/365)) + (L86*($E86/365))</f>
        <v>0</v>
      </c>
      <c r="D181" s="5">
        <f>(M85*($E85/365)) + (M86*($E86/365))</f>
        <v>0</v>
      </c>
      <c r="E181" s="24">
        <f t="shared" si="30"/>
        <v>100</v>
      </c>
      <c r="G181" s="1">
        <v>1998</v>
      </c>
      <c r="H181" s="409">
        <f>(O85/$R85*100*($E85/365))+(O86/$R86*100*($E86/365))</f>
        <v>100</v>
      </c>
      <c r="I181" s="409"/>
      <c r="J181" s="409">
        <f>(P85/$R85*100*($E85/365))+(P86/$R86*100*($E86/365))</f>
        <v>0</v>
      </c>
      <c r="K181" s="409"/>
      <c r="L181" s="409">
        <f>(Q85/$R85*100*($E85/365))+(Q86/$R86*100*($E86/365))</f>
        <v>0</v>
      </c>
      <c r="M181" s="409"/>
      <c r="N181" s="379">
        <f t="shared" si="31"/>
        <v>100</v>
      </c>
      <c r="O181" s="431"/>
      <c r="R181" s="1">
        <v>1998</v>
      </c>
      <c r="S181" s="5">
        <f>(O85*($E85/365)) + (O86*($E86/365))</f>
        <v>48.8</v>
      </c>
      <c r="T181" s="5">
        <f>(P85*($E85/365)) + (P86*($E86/365))</f>
        <v>0</v>
      </c>
      <c r="U181" s="5">
        <f>(Q85*($E85/365)) + (Q86*($E86/365))</f>
        <v>0</v>
      </c>
      <c r="V181" s="9"/>
      <c r="W181" s="5">
        <f t="shared" si="29"/>
        <v>48.8</v>
      </c>
    </row>
    <row r="182" spans="1:23" x14ac:dyDescent="0.15">
      <c r="A182" s="1">
        <v>1999</v>
      </c>
      <c r="B182" s="5">
        <f>(K87*($E87/365)) + (K88*($E88/365))</f>
        <v>100</v>
      </c>
      <c r="C182" s="5">
        <f>(L87*($E87/365)) + (L88*($E88/365))</f>
        <v>0</v>
      </c>
      <c r="D182" s="5">
        <f>(M87*($E87/365)) + (M88*($E88/365))</f>
        <v>0</v>
      </c>
      <c r="E182" s="24">
        <f t="shared" si="30"/>
        <v>100</v>
      </c>
      <c r="G182" s="1">
        <v>1999</v>
      </c>
      <c r="H182" s="409">
        <f>(O87/$R87*100*($E87/365))+(O88/$R88*100*($E88/365))</f>
        <v>100</v>
      </c>
      <c r="I182" s="409"/>
      <c r="J182" s="409">
        <f>(P87/$R87*100*($E87/365))+(P88/$R88*100*($E88/365))</f>
        <v>0</v>
      </c>
      <c r="K182" s="409"/>
      <c r="L182" s="409">
        <f>(Q87/$R87*100*($E87/365))+(Q88/$R88*100*($E88/365))</f>
        <v>0</v>
      </c>
      <c r="M182" s="409"/>
      <c r="N182" s="379">
        <f t="shared" si="31"/>
        <v>100</v>
      </c>
      <c r="O182" s="431"/>
      <c r="R182" s="1">
        <v>1999</v>
      </c>
      <c r="S182" s="5">
        <f>(O87*($E87/365)) + (O88*($E88/365))</f>
        <v>48.8</v>
      </c>
      <c r="T182" s="5">
        <f>(P87*($E87/365)) + (P88*($E88/365))</f>
        <v>0</v>
      </c>
      <c r="U182" s="5">
        <f>(Q87*($E87/365)) + (Q88*($E88/365))</f>
        <v>0</v>
      </c>
      <c r="V182" s="9"/>
      <c r="W182" s="5">
        <f t="shared" si="29"/>
        <v>48.8</v>
      </c>
    </row>
    <row r="183" spans="1:23" x14ac:dyDescent="0.15">
      <c r="A183" s="1">
        <v>2000</v>
      </c>
      <c r="B183" s="5">
        <f>(K89*($E89/366)) + (K90*($E90/366))</f>
        <v>100</v>
      </c>
      <c r="C183" s="5">
        <f>(L89*($E89/366)) + (L90*($E90/366))</f>
        <v>0</v>
      </c>
      <c r="D183" s="5">
        <f>(M89*($E89/366)) + (M90*($E90/366))</f>
        <v>0</v>
      </c>
      <c r="E183" s="24">
        <f t="shared" si="30"/>
        <v>100</v>
      </c>
      <c r="G183" s="1">
        <v>2000</v>
      </c>
      <c r="H183" s="409">
        <f>(O89/$R89*100*($E89/366))+(O90/$R90*100*($E90/366))</f>
        <v>100</v>
      </c>
      <c r="I183" s="409"/>
      <c r="J183" s="409">
        <f>(P89/$R89*100*($E89/366))+(P90/$R90*100*($E90/366))</f>
        <v>0</v>
      </c>
      <c r="K183" s="409"/>
      <c r="L183" s="409">
        <f>(Q89/$R89*100*($E89/366))+(Q90/$R90*100*($E90/366))</f>
        <v>0</v>
      </c>
      <c r="M183" s="409"/>
      <c r="N183" s="379">
        <f t="shared" si="31"/>
        <v>100</v>
      </c>
      <c r="O183" s="431"/>
      <c r="R183" s="1">
        <v>2000</v>
      </c>
      <c r="S183" s="5">
        <f>(O89*($E89/366)) + (O90*($E90/366))</f>
        <v>48.8</v>
      </c>
      <c r="T183" s="5">
        <f>(P89*($E89/366)) + (P90*($E90/366))</f>
        <v>0</v>
      </c>
      <c r="U183" s="5">
        <f>(Q89*($E89/366)) + (Q90*($E90/366))</f>
        <v>0</v>
      </c>
      <c r="V183" s="9"/>
      <c r="W183" s="5">
        <f t="shared" si="29"/>
        <v>48.8</v>
      </c>
    </row>
    <row r="184" spans="1:23" x14ac:dyDescent="0.15">
      <c r="A184" s="1">
        <v>2001</v>
      </c>
      <c r="B184" s="5">
        <f>(K91*($E91/365)) + (K92*($E92/365))</f>
        <v>100</v>
      </c>
      <c r="C184" s="5">
        <f>(L91*($E91/365)) + (L92*($E92/365))</f>
        <v>0</v>
      </c>
      <c r="D184" s="5">
        <f>(M91*($E91/365)) + (M92*($E92/365))</f>
        <v>0</v>
      </c>
      <c r="E184" s="24">
        <f t="shared" si="30"/>
        <v>100</v>
      </c>
      <c r="G184" s="1">
        <v>2001</v>
      </c>
      <c r="H184" s="409">
        <f>(O91/$R91*100*($E91/365))+(O92/$R92*100*($E92/365))</f>
        <v>100</v>
      </c>
      <c r="I184" s="409"/>
      <c r="J184" s="409">
        <f>(P91/$R91*100*($E91/365))+(P92/$R92*100*($E92/365))</f>
        <v>0</v>
      </c>
      <c r="K184" s="409"/>
      <c r="L184" s="409">
        <f>(Q91/$R91*100*($E91/365))+(Q92/$R92*100*($E92/365))</f>
        <v>0</v>
      </c>
      <c r="M184" s="409"/>
      <c r="N184" s="379">
        <f t="shared" si="31"/>
        <v>100</v>
      </c>
      <c r="O184" s="431"/>
      <c r="R184" s="1">
        <v>2001</v>
      </c>
      <c r="S184" s="5">
        <f>(O91*($E91/365)) + (O92*($E92/365))</f>
        <v>48.8</v>
      </c>
      <c r="T184" s="5">
        <f>(P91*($E91/365)) + (P92*($E92/365))</f>
        <v>0</v>
      </c>
      <c r="U184" s="5">
        <f>(Q91*($E91/365)) + (Q92*($E92/365))</f>
        <v>0</v>
      </c>
      <c r="V184" s="9"/>
      <c r="W184" s="5">
        <f t="shared" si="29"/>
        <v>48.8</v>
      </c>
    </row>
    <row r="185" spans="1:23" x14ac:dyDescent="0.15">
      <c r="A185" s="1">
        <v>2002</v>
      </c>
      <c r="B185" s="5">
        <f>(K93*($E93/365)) + (K94*($E94/365))</f>
        <v>100</v>
      </c>
      <c r="C185" s="5">
        <f>(L93*($E93/365)) + (L94*($E94/365))</f>
        <v>0</v>
      </c>
      <c r="D185" s="5">
        <f>(M93*($E93/365)) + (M94*($E94/365))</f>
        <v>0</v>
      </c>
      <c r="E185" s="24">
        <f t="shared" si="30"/>
        <v>100</v>
      </c>
      <c r="G185" s="1">
        <v>2002</v>
      </c>
      <c r="H185" s="409">
        <f>(O93/$R93*100*($E93/365))+(O94/$R94*100*($E94/365))</f>
        <v>100</v>
      </c>
      <c r="I185" s="409"/>
      <c r="J185" s="409">
        <f>(P93/$R93*100*($E93/365))+(P94/$R94*100*($E94/365))</f>
        <v>0</v>
      </c>
      <c r="K185" s="409"/>
      <c r="L185" s="409">
        <f>(Q93/$R93*100*($E93/365))+(Q94/$R94*100*($E94/365))</f>
        <v>0</v>
      </c>
      <c r="M185" s="409"/>
      <c r="N185" s="379">
        <f t="shared" si="31"/>
        <v>100</v>
      </c>
      <c r="O185" s="431"/>
      <c r="R185" s="1">
        <v>2002</v>
      </c>
      <c r="S185" s="5">
        <f>(O93*($E93/365)) + (O94*($E94/365))</f>
        <v>51.548493150684934</v>
      </c>
      <c r="T185" s="5">
        <f>(P93*($E93/365)) + (P94*($E94/365))</f>
        <v>0</v>
      </c>
      <c r="U185" s="5">
        <f>(Q93*($E93/365)) + (Q94*($E94/365))</f>
        <v>0</v>
      </c>
      <c r="V185" s="9"/>
      <c r="W185" s="5">
        <f t="shared" si="29"/>
        <v>51.548493150684934</v>
      </c>
    </row>
    <row r="186" spans="1:23" x14ac:dyDescent="0.15">
      <c r="A186" s="1">
        <v>2003</v>
      </c>
      <c r="B186" s="5">
        <f>(K95*($E95/365)) + (K96*($E96/365))</f>
        <v>100</v>
      </c>
      <c r="C186" s="5">
        <f>(L95*($E95/365)) + (L96*($E96/365))</f>
        <v>0</v>
      </c>
      <c r="D186" s="5">
        <f>(M95*($E95/365)) + (M96*($E96/365))</f>
        <v>0</v>
      </c>
      <c r="E186" s="24">
        <f t="shared" si="30"/>
        <v>100</v>
      </c>
      <c r="G186" s="1">
        <v>2003</v>
      </c>
      <c r="H186" s="409">
        <f>(O95/$R95*100*($E95/365))+(O96/$R96*100*($E96/365))</f>
        <v>100</v>
      </c>
      <c r="I186" s="409"/>
      <c r="J186" s="409">
        <f>(P95/$R95*100*($E95/365))+(P96/$R96*100*($E96/365))</f>
        <v>0</v>
      </c>
      <c r="K186" s="409"/>
      <c r="L186" s="409">
        <f>(Q95/$R95*100*($E95/365))+(Q96/$R96*100*($E96/365))</f>
        <v>0</v>
      </c>
      <c r="M186" s="409"/>
      <c r="N186" s="379">
        <f t="shared" si="31"/>
        <v>100</v>
      </c>
      <c r="O186" s="431"/>
      <c r="R186" s="1">
        <v>2003</v>
      </c>
      <c r="S186" s="5">
        <f>(O95*($E95/365)) + (O96*($E96/365))</f>
        <v>53.6</v>
      </c>
      <c r="T186" s="5">
        <f>(P95*($E95/365)) + (P96*($E96/365))</f>
        <v>0</v>
      </c>
      <c r="U186" s="5">
        <f>(Q95*($E95/365)) + (Q96*($E96/365))</f>
        <v>0</v>
      </c>
      <c r="V186" s="9"/>
      <c r="W186" s="5">
        <f t="shared" si="29"/>
        <v>53.6</v>
      </c>
    </row>
    <row r="187" spans="1:23" x14ac:dyDescent="0.15">
      <c r="A187" s="1">
        <v>2004</v>
      </c>
      <c r="B187" s="5">
        <f>(K97*($E97/366)) + (K98*($E98/366))</f>
        <v>100</v>
      </c>
      <c r="C187" s="5">
        <f>(L97*($E97/366)) + (L98*($E98/366))</f>
        <v>0</v>
      </c>
      <c r="D187" s="5">
        <f>(M97*($E97/366)) + (M98*($E98/366))</f>
        <v>0</v>
      </c>
      <c r="E187" s="24">
        <f t="shared" si="30"/>
        <v>100</v>
      </c>
      <c r="G187" s="1">
        <v>2004</v>
      </c>
      <c r="H187" s="409">
        <f>(O97/$R97*100*($E97/366))+(O98/$R98*100*($E98/366))</f>
        <v>100</v>
      </c>
      <c r="I187" s="409"/>
      <c r="J187" s="409">
        <f>(P97/$R97*100*($E97/366))+(P98/$R98*100*($E98/366))</f>
        <v>0</v>
      </c>
      <c r="K187" s="409"/>
      <c r="L187" s="409">
        <f>(Q97/$R97*100*($E97/366))+(Q98/$R98*100*($E98/366))</f>
        <v>0</v>
      </c>
      <c r="M187" s="409"/>
      <c r="N187" s="379">
        <f t="shared" si="31"/>
        <v>100</v>
      </c>
      <c r="O187" s="431"/>
      <c r="R187" s="1">
        <v>2004</v>
      </c>
      <c r="S187" s="5">
        <f>(O97*($E97/366)) + (O98*($E98/366))</f>
        <v>53.6</v>
      </c>
      <c r="T187" s="5">
        <f>(P97*($E97/366)) + (P98*($E98/366))</f>
        <v>0</v>
      </c>
      <c r="U187" s="5">
        <f>(Q97*($E97/366)) + (Q98*($E98/366))</f>
        <v>0</v>
      </c>
      <c r="V187" s="9"/>
      <c r="W187" s="5">
        <f t="shared" si="29"/>
        <v>53.6</v>
      </c>
    </row>
    <row r="188" spans="1:23" x14ac:dyDescent="0.15">
      <c r="A188" s="1">
        <v>2005</v>
      </c>
      <c r="B188" s="5">
        <f>(K99*($E99/365)) + (K100*($E100/365))</f>
        <v>100</v>
      </c>
      <c r="C188" s="5">
        <f>(L99*($E99/365)) + (L100*($E100/365))</f>
        <v>0</v>
      </c>
      <c r="D188" s="5">
        <f>(M99*($E99/365)) + (M100*($E100/365))</f>
        <v>0</v>
      </c>
      <c r="E188" s="24">
        <f t="shared" si="30"/>
        <v>100</v>
      </c>
      <c r="G188" s="1">
        <v>2005</v>
      </c>
      <c r="H188" s="409">
        <f>(O99/$R99*100*($E99/365))+(O100/$R100*100*($E100/365))</f>
        <v>100</v>
      </c>
      <c r="I188" s="409"/>
      <c r="J188" s="409">
        <f>(P99/$R99*100*($E99/365))+(P100/$R100*100*($E100/365))</f>
        <v>0</v>
      </c>
      <c r="K188" s="409"/>
      <c r="L188" s="409">
        <f>(Q99/$R99*100*($E99/365))+(Q100/$R100*100*($E100/365))</f>
        <v>0</v>
      </c>
      <c r="M188" s="409"/>
      <c r="N188" s="379">
        <f t="shared" si="31"/>
        <v>100</v>
      </c>
      <c r="O188" s="431"/>
      <c r="R188" s="1">
        <v>2005</v>
      </c>
      <c r="S188" s="5">
        <f>(O99*($E99/365)) + (O100*($E100/365))</f>
        <v>53.6</v>
      </c>
      <c r="T188" s="5">
        <f>(P99*($E99/365)) + (P100*($E100/365))</f>
        <v>0</v>
      </c>
      <c r="U188" s="5">
        <f>(Q99*($E99/365)) + (Q100*($E100/365))</f>
        <v>0</v>
      </c>
      <c r="V188" s="9"/>
      <c r="W188" s="5">
        <f t="shared" si="29"/>
        <v>53.6</v>
      </c>
    </row>
    <row r="189" spans="1:23" x14ac:dyDescent="0.15">
      <c r="A189" s="1">
        <v>2006</v>
      </c>
      <c r="B189" s="5">
        <f>(K101*($E101/365)) + (K102*($E102/365))</f>
        <v>100</v>
      </c>
      <c r="C189" s="5">
        <f>(L101*($E101/365)) + (L102*($E102/365))</f>
        <v>0</v>
      </c>
      <c r="D189" s="5">
        <f>(M101*($E101/365)) + (M102*($E102/365))</f>
        <v>0</v>
      </c>
      <c r="E189" s="24">
        <f t="shared" si="30"/>
        <v>100</v>
      </c>
      <c r="G189" s="1">
        <v>2006</v>
      </c>
      <c r="H189" s="409">
        <f>(O101/$R101*100*($E101/365))+(O102/$R102*100*($E102/365))</f>
        <v>100</v>
      </c>
      <c r="I189" s="409"/>
      <c r="J189" s="409">
        <f>(P101/$R101*100*($E101/365))+(P102/$R102*100*($E102/365))</f>
        <v>0</v>
      </c>
      <c r="K189" s="409"/>
      <c r="L189" s="409">
        <f>(Q101/$R101*100*($E101/365))+(Q102/$R102*100*($E102/365))</f>
        <v>0</v>
      </c>
      <c r="M189" s="409"/>
      <c r="N189" s="379">
        <f t="shared" si="31"/>
        <v>100</v>
      </c>
      <c r="O189" s="431"/>
      <c r="R189" s="1">
        <v>2006</v>
      </c>
      <c r="S189" s="5">
        <f>(O101*($E101/365)) + (O102*($E102/365))</f>
        <v>53.6</v>
      </c>
      <c r="T189" s="5">
        <f>(P101*($E101/365)) + (P102*($E102/365))</f>
        <v>0</v>
      </c>
      <c r="U189" s="5">
        <f>(Q101*($E101/365)) + (Q102*($E102/365))</f>
        <v>0</v>
      </c>
      <c r="V189" s="9"/>
      <c r="W189" s="5">
        <f t="shared" si="29"/>
        <v>53.6</v>
      </c>
    </row>
    <row r="190" spans="1:23" x14ac:dyDescent="0.15">
      <c r="A190" s="1">
        <v>2007</v>
      </c>
      <c r="B190" s="5">
        <f>(K103*($E103/365)) + (K104*($E104/365))</f>
        <v>92.657534246575352</v>
      </c>
      <c r="C190" s="5">
        <f>(L103*($E103/365)) + (L104*($E104/365))</f>
        <v>0</v>
      </c>
      <c r="D190" s="5">
        <f>(M103*($E103/365)) + (M104*($E104/365))</f>
        <v>7.3424657534246576</v>
      </c>
      <c r="E190" s="24">
        <f t="shared" si="30"/>
        <v>100.00000000000001</v>
      </c>
      <c r="G190" s="1">
        <v>2007</v>
      </c>
      <c r="H190" s="409">
        <f>(O103/$R103*100*($E103/365))+(O104/$R104*100*($E104/365))</f>
        <v>96.172846035859735</v>
      </c>
      <c r="I190" s="409"/>
      <c r="J190" s="409">
        <f>(P103/$R103*100*($E103/365))+(P104/$R104*100*($E104/365))</f>
        <v>0</v>
      </c>
      <c r="K190" s="409"/>
      <c r="L190" s="409">
        <f>(Q103/$R103*100*($E103/365))+(Q104/$R104*100*($E104/365))</f>
        <v>3.8271539641402654</v>
      </c>
      <c r="M190" s="409"/>
      <c r="N190" s="379">
        <f t="shared" si="31"/>
        <v>100</v>
      </c>
      <c r="O190" s="431"/>
      <c r="R190" s="1">
        <v>2007</v>
      </c>
      <c r="S190" s="5">
        <f>(O103*($E103/365)) + (O104*($E104/365))</f>
        <v>50.626301369863015</v>
      </c>
      <c r="T190" s="5">
        <f>(P103*($E103/365)) + (P104*($E104/365))</f>
        <v>0</v>
      </c>
      <c r="U190" s="5">
        <f>(Q103*($E103/365)) + (Q104*($E104/365))</f>
        <v>1.9824657534246575</v>
      </c>
      <c r="V190" s="9"/>
      <c r="W190" s="5">
        <f t="shared" si="29"/>
        <v>52.60876712328767</v>
      </c>
    </row>
    <row r="191" spans="1:23" x14ac:dyDescent="0.15">
      <c r="A191" s="1">
        <v>2008</v>
      </c>
      <c r="B191" s="5">
        <f>(K105*($E105/366)) + (K106*($E106/366))</f>
        <v>86.666666666666671</v>
      </c>
      <c r="C191" s="5">
        <f>(L105*($E105/366)) + (L106*($E106/366))</f>
        <v>0</v>
      </c>
      <c r="D191" s="5">
        <f>(M105*($E105/366)) + (M106*($E106/366))</f>
        <v>13.333333333333334</v>
      </c>
      <c r="E191" s="24">
        <f t="shared" si="30"/>
        <v>100</v>
      </c>
      <c r="G191" s="1">
        <v>2008</v>
      </c>
      <c r="H191" s="409">
        <f>(O105/$R105*100*($E105/366))+(O106/$R106*100*($E106/366))</f>
        <v>93.050193050193059</v>
      </c>
      <c r="I191" s="409"/>
      <c r="J191" s="409">
        <f>(P105/$R105*100*($E105/366))+(P106/$R106*100*($E106/366))</f>
        <v>0</v>
      </c>
      <c r="K191" s="409"/>
      <c r="L191" s="409">
        <f>(Q105/$R105*100*($E105/366))+(Q106/$R106*100*($E106/366))</f>
        <v>6.9498069498069501</v>
      </c>
      <c r="M191" s="409"/>
      <c r="N191" s="379">
        <f t="shared" si="31"/>
        <v>100.00000000000001</v>
      </c>
      <c r="O191" s="431"/>
      <c r="R191" s="1">
        <v>2008</v>
      </c>
      <c r="S191" s="5">
        <f>(O105*($E105/366)) + (O106*($E106/366))</f>
        <v>48.2</v>
      </c>
      <c r="T191" s="5">
        <f>(P105*($E105/366)) + (P106*($E106/366))</f>
        <v>0</v>
      </c>
      <c r="U191" s="5">
        <f>(Q105*($E105/366)) + (Q106*($E106/366))</f>
        <v>3.6</v>
      </c>
      <c r="V191" s="9"/>
      <c r="W191" s="5">
        <f t="shared" si="29"/>
        <v>51.800000000000004</v>
      </c>
    </row>
    <row r="192" spans="1:23" x14ac:dyDescent="0.15">
      <c r="A192" s="1">
        <v>2009</v>
      </c>
      <c r="B192" s="5">
        <f>(K107*($E107/365)) + (K108*($E108/365))</f>
        <v>86.283105022831052</v>
      </c>
      <c r="C192" s="5">
        <f>(L107*($E107/365)) + (L108*($E108/365))</f>
        <v>0</v>
      </c>
      <c r="D192" s="5">
        <f>(M107*($E107/365)) + (M108*($E108/365))</f>
        <v>13.333333333333334</v>
      </c>
      <c r="E192" s="24">
        <f t="shared" si="30"/>
        <v>99.61643835616438</v>
      </c>
      <c r="G192" s="1">
        <v>2009</v>
      </c>
      <c r="H192" s="409">
        <f>(O107/$R107*100*($E107/365))+(O108/$R108*100*($E108/365))</f>
        <v>93.040710396279195</v>
      </c>
      <c r="I192" s="409"/>
      <c r="J192" s="409">
        <f>(P107/$R107*100*($E107/365))+(P108/$R108*100*($E108/365))</f>
        <v>0</v>
      </c>
      <c r="K192" s="409"/>
      <c r="L192" s="409">
        <f>(Q107/$R107*100*($E107/365))+(Q108/$R108*100*($E108/365))</f>
        <v>6.959289603720813</v>
      </c>
      <c r="M192" s="409"/>
      <c r="N192" s="379">
        <f t="shared" si="31"/>
        <v>100.00000000000001</v>
      </c>
      <c r="O192" s="431"/>
      <c r="R192" s="1">
        <v>2009</v>
      </c>
      <c r="S192" s="5">
        <f>(O107*($E107/365)) + (O108*($E108/365))</f>
        <v>48.13095890410959</v>
      </c>
      <c r="T192" s="5">
        <f>(P107*($E107/365)) + (P108*($E108/365))</f>
        <v>0</v>
      </c>
      <c r="U192" s="5">
        <f>(Q107*($E107/365)) + (Q108*($E108/365))</f>
        <v>3.6</v>
      </c>
      <c r="V192" s="9"/>
      <c r="W192" s="5">
        <f t="shared" si="29"/>
        <v>51.730958904109592</v>
      </c>
    </row>
    <row r="193" spans="1:23" x14ac:dyDescent="0.15">
      <c r="A193" s="1">
        <v>2010</v>
      </c>
      <c r="B193" s="5">
        <f>(K109*($E109/365)) + (K110*($E110/365))</f>
        <v>80</v>
      </c>
      <c r="C193" s="5">
        <f>(L109*($E109/365)) + (L110*($E110/365))</f>
        <v>0</v>
      </c>
      <c r="D193" s="5">
        <f>(M109*($E109/365)) + (M110*($E110/365))</f>
        <v>13.333333333333334</v>
      </c>
      <c r="E193" s="24">
        <f t="shared" si="30"/>
        <v>93.333333333333329</v>
      </c>
      <c r="G193" s="1">
        <v>2010</v>
      </c>
      <c r="H193" s="409">
        <f>(O109/$R109*100*($E109/365))+(O110/$R110*100*($E110/365))</f>
        <v>92.885375494071141</v>
      </c>
      <c r="I193" s="409"/>
      <c r="J193" s="409">
        <f>(P109/$R109*100*($E109/365))+(P110/$R110*100*($E110/365))</f>
        <v>0</v>
      </c>
      <c r="K193" s="409"/>
      <c r="L193" s="409">
        <f>(Q109/$R109*100*($E109/365))+(Q110/$R110*100*($E110/365))</f>
        <v>7.1146245059288544</v>
      </c>
      <c r="M193" s="409"/>
      <c r="N193" s="379">
        <f t="shared" si="31"/>
        <v>100</v>
      </c>
      <c r="O193" s="431"/>
      <c r="R193" s="1">
        <v>2010</v>
      </c>
      <c r="S193" s="5">
        <f>(O109*($E109/365)) + (O110*($E110/365))</f>
        <v>47</v>
      </c>
      <c r="T193" s="5">
        <f>(P109*($E109/365)) + (P110*($E110/365))</f>
        <v>0</v>
      </c>
      <c r="U193" s="5">
        <f>(Q109*($E109/365)) + (Q110*($E110/365))</f>
        <v>3.6</v>
      </c>
      <c r="V193" s="9"/>
      <c r="W193" s="5">
        <f t="shared" si="29"/>
        <v>50.6</v>
      </c>
    </row>
    <row r="194" spans="1:23" x14ac:dyDescent="0.15">
      <c r="A194" s="1">
        <v>2011</v>
      </c>
      <c r="B194" s="5">
        <f>(K111*($E111/365)) + (K112*($E112/365))+(K113*($E113/365))+(K114*($E114/365))+(K115*($E115/365))</f>
        <v>17.128506196999346</v>
      </c>
      <c r="C194" s="5">
        <f>(L111*($E111/365)) + (L112*($E112/365))+(L113*($E113/365))+(L114*($E114/365))+(L115*($E115/365))</f>
        <v>54.42922374429223</v>
      </c>
      <c r="D194" s="5">
        <f>(M111*($E111/365)) + (M112*($E112/365))+(M113*($E113/365))+(M114*($E114/365))+(M115*($E115/365))</f>
        <v>28.093933463796475</v>
      </c>
      <c r="E194" s="24">
        <f t="shared" si="30"/>
        <v>99.651663405088044</v>
      </c>
      <c r="G194" s="1">
        <v>2011</v>
      </c>
      <c r="H194" s="409">
        <f>(O111/$R111*100*($E111/365))+(O112/$R112*100*($E112/365))+(O113/$R113*100*($E113/365))+(O114/$R114*100*($E114/365))+(O115/$R115*100*($E115/365))</f>
        <v>17.927337701012508</v>
      </c>
      <c r="I194" s="409"/>
      <c r="J194" s="409">
        <f>(P111/$R111*100*($E111/365))+(P112/$R112*100*($E112/365))+(P113/$R113*100*($E113/365))+(P114/$R114*100*($E114/365))+(P115/$R115*100*($E115/365))</f>
        <v>54.908776376400539</v>
      </c>
      <c r="K194" s="409"/>
      <c r="L194" s="409">
        <f>(Q111/$R111*100*($E111/365))+(Q112/$R112*100*($E112/365))+(Q113/$R113*100*($E113/365))+(Q114/$R114*100*($E114/365))+(Q115/$R115*100*($E115/365))</f>
        <v>27.163885922586953</v>
      </c>
      <c r="M194" s="409"/>
      <c r="N194" s="379">
        <f t="shared" si="31"/>
        <v>100</v>
      </c>
      <c r="O194" s="431"/>
      <c r="R194" s="1">
        <v>2011</v>
      </c>
      <c r="S194" s="5">
        <f>(O111*($E111/365)) + (O112*($E112/365))+(O113*($E113/365))+(O114*($E114/365))+(O115*($E115/365))</f>
        <v>8.6273972602739715</v>
      </c>
      <c r="T194" s="5">
        <f>(P111*($E111/365)) + (P112*($E112/365))+(P113*($E113/365))+(P114*($E114/365))+(P115*($E115/365))</f>
        <v>37.392876712328764</v>
      </c>
      <c r="U194" s="5">
        <f>(Q111*($E111/365)) + (Q112*($E112/365))+(Q113*($E113/365))+(Q114*($E114/365))+(Q115*($E115/365))</f>
        <v>18.423561643835619</v>
      </c>
      <c r="V194" s="9"/>
      <c r="W194" s="5">
        <f t="shared" si="29"/>
        <v>64.443835616438349</v>
      </c>
    </row>
    <row r="195" spans="1:23" x14ac:dyDescent="0.15">
      <c r="A195" s="1">
        <v>2012</v>
      </c>
      <c r="B195" s="5">
        <f>(K116*($E116/366))+(K117*($E117/366))</f>
        <v>0</v>
      </c>
      <c r="C195" s="5">
        <f>(L116*($E116/366))+(L117*($E117/366))</f>
        <v>66.666666666666657</v>
      </c>
      <c r="D195" s="5">
        <f>(M116*($E116/366))+(M117*($E117/366))</f>
        <v>33.333333333333329</v>
      </c>
      <c r="E195" s="24">
        <f t="shared" si="30"/>
        <v>99.999999999999986</v>
      </c>
      <c r="G195" s="1">
        <v>2012</v>
      </c>
      <c r="H195" s="409">
        <f>(O116/$R116*100*($E116/366))+(O117/$R117*100*($E117/366))</f>
        <v>0</v>
      </c>
      <c r="I195" s="409"/>
      <c r="J195" s="409">
        <f>(P116/$R116*100*($E116/366))+(P117/$R117*100*($E117/366))</f>
        <v>67.25403817914831</v>
      </c>
      <c r="K195" s="409"/>
      <c r="L195" s="409">
        <f>(Q116/$R116*100*($E116/366))+(Q117/$R117*100*($E117/366))</f>
        <v>32.74596182085169</v>
      </c>
      <c r="M195" s="409"/>
      <c r="N195" s="379">
        <f t="shared" ref="N195:N200" si="32">H195+J195+L195</f>
        <v>100</v>
      </c>
      <c r="O195" s="431"/>
      <c r="R195" s="1">
        <v>2012</v>
      </c>
      <c r="S195" s="5">
        <f>(O116*($E116/366))+(O117*($E117/366))</f>
        <v>0</v>
      </c>
      <c r="T195" s="5">
        <f>(P116*($E116/366))+(P117*($E117/366))</f>
        <v>45.8</v>
      </c>
      <c r="U195" s="5">
        <f>(Q116*($E116/366))+(Q117*($E117/366))</f>
        <v>22.3</v>
      </c>
      <c r="V195" s="9"/>
      <c r="W195" s="5">
        <f t="shared" si="29"/>
        <v>68.099999999999994</v>
      </c>
    </row>
    <row r="196" spans="1:23" x14ac:dyDescent="0.15">
      <c r="A196" s="1">
        <v>2013</v>
      </c>
      <c r="B196" s="5">
        <f>(K118*($E118/365))+(K119*($E119/365))</f>
        <v>0</v>
      </c>
      <c r="C196" s="5">
        <f>(L118*($E118/365))+(L119*($E119/365))</f>
        <v>66.666666666666657</v>
      </c>
      <c r="D196" s="5">
        <f>(M118*($E118/365))+(M119*($E119/365))</f>
        <v>33.333333333333329</v>
      </c>
      <c r="E196" s="24">
        <f t="shared" si="30"/>
        <v>99.999999999999986</v>
      </c>
      <c r="G196" s="1">
        <v>2013</v>
      </c>
      <c r="H196" s="409">
        <f>(O118/$R118*100*($E118/365))+(O119/$R119*100*($E119/365))</f>
        <v>0</v>
      </c>
      <c r="I196" s="409"/>
      <c r="J196" s="409">
        <f>(P118/$R118*100*($E118/365))+(P119/$R119*100*($E119/365))</f>
        <v>67.25403817914831</v>
      </c>
      <c r="K196" s="409"/>
      <c r="L196" s="409">
        <f>(Q118/$R118*100*($E118/365))+(Q119/$R119*100*($E119/365))</f>
        <v>32.74596182085169</v>
      </c>
      <c r="M196" s="409"/>
      <c r="N196" s="379">
        <f t="shared" si="32"/>
        <v>100</v>
      </c>
      <c r="O196" s="431"/>
      <c r="R196" s="1">
        <v>2013</v>
      </c>
      <c r="S196" s="5">
        <f>(O118*($E118/365))+(O119*($E119/365))</f>
        <v>0</v>
      </c>
      <c r="T196" s="5">
        <f>(P118*($E118/365))+(P119*($E119/365))</f>
        <v>45.8</v>
      </c>
      <c r="U196" s="5">
        <f>(Q118*($E118/365))+(Q119*($E119/365))</f>
        <v>22.3</v>
      </c>
      <c r="V196" s="9"/>
      <c r="W196" s="5">
        <f t="shared" si="29"/>
        <v>68.099999999999994</v>
      </c>
    </row>
    <row r="197" spans="1:23" x14ac:dyDescent="0.15">
      <c r="A197" s="1">
        <v>2014</v>
      </c>
      <c r="B197" s="5">
        <f>(K120*($E120/365))+(K121*($E121/365))</f>
        <v>0</v>
      </c>
      <c r="C197" s="5">
        <f>(L120*($E120/365))+(L121*($E121/365))</f>
        <v>66.666666666666657</v>
      </c>
      <c r="D197" s="5">
        <f>(M120*($E120/365))+(M121*($E121/365))</f>
        <v>33.333333333333329</v>
      </c>
      <c r="E197" s="24">
        <f>B197+C197+D197</f>
        <v>99.999999999999986</v>
      </c>
      <c r="G197" s="1">
        <v>2014</v>
      </c>
      <c r="H197" s="409">
        <f>(O120/$R120*100*($E120/365))+(O121/$R121*100*($E121/365))</f>
        <v>0</v>
      </c>
      <c r="I197" s="409"/>
      <c r="J197" s="409">
        <f>(P120/$R120*100*($E120/365))+(P121/$R121*100*($E121/365))</f>
        <v>67.25403817914831</v>
      </c>
      <c r="K197" s="409"/>
      <c r="L197" s="409">
        <f>(Q120/$R120*100*($E120/365))+(Q121/$R121*100*($E121/365))</f>
        <v>32.74596182085169</v>
      </c>
      <c r="M197" s="409"/>
      <c r="N197" s="379">
        <f t="shared" si="32"/>
        <v>100</v>
      </c>
      <c r="O197" s="431"/>
      <c r="R197" s="1">
        <v>2014</v>
      </c>
      <c r="S197" s="5">
        <f>(O120*($E120/365))+(O121*($E121/365))</f>
        <v>0</v>
      </c>
      <c r="T197" s="5">
        <f>(P120*($E120/365))+(P121*($E121/365))</f>
        <v>45.8</v>
      </c>
      <c r="U197" s="5">
        <f>(Q120*($E120/365))+(Q121*($E121/365))</f>
        <v>22.3</v>
      </c>
      <c r="V197" s="9"/>
      <c r="W197" s="5">
        <f>S197+T197+U197</f>
        <v>68.099999999999994</v>
      </c>
    </row>
    <row r="198" spans="1:23" x14ac:dyDescent="0.15">
      <c r="A198" s="1">
        <v>2015</v>
      </c>
      <c r="B198" s="5">
        <f>(K122*($E122/365))+(K123*($E123/365))</f>
        <v>0</v>
      </c>
      <c r="C198" s="5">
        <f>(L122*($E122/365))+(L123*($E123/365))</f>
        <v>66.666666666666657</v>
      </c>
      <c r="D198" s="5">
        <f>(M122*($E122/365))+(M123*($E123/365))</f>
        <v>33.333333333333329</v>
      </c>
      <c r="E198" s="24">
        <f>B198+C198+D198</f>
        <v>99.999999999999986</v>
      </c>
      <c r="G198" s="1">
        <v>2015</v>
      </c>
      <c r="H198" s="409">
        <f>(O122/$R122*100*($E122/365))+(O123/$R123*100*($E123/365))</f>
        <v>0</v>
      </c>
      <c r="I198" s="409"/>
      <c r="J198" s="409">
        <f>(P122/$R122*100*($E122/365))+(P123/$R123*100*($E123/365))</f>
        <v>67.25403817914831</v>
      </c>
      <c r="K198" s="409"/>
      <c r="L198" s="409">
        <f>(Q122/$R122*100*($E122/365))+(Q123/$R123*100*($E123/365))</f>
        <v>32.74596182085169</v>
      </c>
      <c r="M198" s="409"/>
      <c r="N198" s="379">
        <f t="shared" si="32"/>
        <v>100</v>
      </c>
      <c r="O198" s="431"/>
      <c r="R198" s="1">
        <v>2015</v>
      </c>
      <c r="S198" s="5">
        <f>(O122*($E122/365))+(O123*($E123/365))</f>
        <v>0</v>
      </c>
      <c r="T198" s="5">
        <f>(P122*($E122/365))+(P123*($E123/365))</f>
        <v>45.8</v>
      </c>
      <c r="U198" s="5">
        <f>(Q122*($E122/365))+(Q123*($E123/365))</f>
        <v>22.3</v>
      </c>
      <c r="V198" s="9"/>
      <c r="W198" s="5">
        <f>S198+T198+U198</f>
        <v>68.099999999999994</v>
      </c>
    </row>
    <row r="199" spans="1:23" x14ac:dyDescent="0.15">
      <c r="A199" s="1">
        <v>2016</v>
      </c>
      <c r="B199" s="5">
        <f>(K124*($E124/366))+(K125*($E125/366))</f>
        <v>0</v>
      </c>
      <c r="C199" s="5">
        <f>(L124*($E124/366))+(L125*($E125/366))</f>
        <v>75.409836065573757</v>
      </c>
      <c r="D199" s="5">
        <f>(M124*($E124/366))+(M125*($E125/366))</f>
        <v>11.475409836065571</v>
      </c>
      <c r="E199" s="24">
        <f>B199+C199+D199</f>
        <v>86.885245901639323</v>
      </c>
      <c r="G199" s="1">
        <v>2016</v>
      </c>
      <c r="H199" s="409">
        <f>(O124/$R124*100*($E124/366))+(O125/$R125*100*($E125/366))</f>
        <v>0</v>
      </c>
      <c r="I199" s="409"/>
      <c r="J199" s="409">
        <f>(P124/$R124*100*($E124/366))+(P125/$R125*100*($E125/366))</f>
        <v>88.726800028887112</v>
      </c>
      <c r="K199" s="409"/>
      <c r="L199" s="409">
        <f>(Q124/$R124*100*($E124/366))+(Q125/$R125*100*($E125/366))</f>
        <v>11.273199971112877</v>
      </c>
      <c r="M199" s="409"/>
      <c r="N199" s="379">
        <f t="shared" si="32"/>
        <v>99.999999999999986</v>
      </c>
      <c r="O199" s="431"/>
      <c r="R199" s="1">
        <v>2016</v>
      </c>
      <c r="S199" s="5">
        <f>(O124*($E124/366))+(O125*($E125/366))</f>
        <v>0</v>
      </c>
      <c r="T199" s="5">
        <f>(P124*($E124/366))+(P125*($E125/366))</f>
        <v>36.488524590163934</v>
      </c>
      <c r="U199" s="5">
        <f>(Q124*($E124/366))+(Q125*($E125/366))</f>
        <v>7.6770491803278693</v>
      </c>
      <c r="V199" s="9"/>
      <c r="W199" s="5">
        <f>S199+T199+U199</f>
        <v>44.165573770491804</v>
      </c>
    </row>
    <row r="200" spans="1:23" x14ac:dyDescent="0.15">
      <c r="A200" s="1">
        <v>2017</v>
      </c>
      <c r="B200" s="5">
        <f>(K126*($E126/365))+(K127*($E127/365))</f>
        <v>0</v>
      </c>
      <c r="C200" s="5">
        <f t="shared" ref="C200:D200" si="33">(L126*($E126/365))+(L127*($E127/365))</f>
        <v>80</v>
      </c>
      <c r="D200" s="5">
        <f t="shared" si="33"/>
        <v>0</v>
      </c>
      <c r="E200" s="24">
        <f>B200+C200+D200</f>
        <v>80</v>
      </c>
      <c r="G200" s="1">
        <v>2017</v>
      </c>
      <c r="H200" s="409">
        <f>(O126/$R126*100*($E126/365))+(O127/$R127*100*($E127/365))</f>
        <v>0</v>
      </c>
      <c r="I200" s="409"/>
      <c r="J200" s="409">
        <f>(P126/$R126*100*($E126/365))+(P127/$R127*100*($E127/365))</f>
        <v>100</v>
      </c>
      <c r="K200" s="409"/>
      <c r="L200" s="409">
        <f>(Q126/$R126*100*($E126/365))+(Q127/$R127*100*($E127/365))</f>
        <v>0</v>
      </c>
      <c r="M200" s="409"/>
      <c r="N200" s="379">
        <f t="shared" si="32"/>
        <v>100</v>
      </c>
      <c r="O200" s="431"/>
      <c r="R200" s="1">
        <v>2017</v>
      </c>
      <c r="S200" s="5">
        <f>(O126*($E126/365))+(O127*($E127/365))</f>
        <v>0</v>
      </c>
      <c r="T200" s="5">
        <f t="shared" ref="T200:U200" si="34">(P126*($E126/365))+(P127*($E127/365))</f>
        <v>31.599999999999998</v>
      </c>
      <c r="U200" s="5">
        <f t="shared" si="34"/>
        <v>0</v>
      </c>
      <c r="V200" s="9"/>
      <c r="W200" s="5">
        <f>S200+T200+U200</f>
        <v>31.599999999999998</v>
      </c>
    </row>
    <row r="201" spans="1:23" x14ac:dyDescent="0.15">
      <c r="A201" s="1">
        <v>2018</v>
      </c>
      <c r="B201" s="5">
        <f>(K128*($E128/365))+(K129*($E129/365))</f>
        <v>0</v>
      </c>
      <c r="C201" s="5">
        <f>(L128*($E128/365))+(L129*($E129/365))</f>
        <v>81.497716894977174</v>
      </c>
      <c r="D201" s="5">
        <f>(M128*($E128/365))+(M129*($E129/365))</f>
        <v>0</v>
      </c>
      <c r="E201" s="24">
        <f t="shared" ref="E201" si="35">B201+C201+D201</f>
        <v>81.497716894977174</v>
      </c>
      <c r="G201" s="1">
        <v>2018</v>
      </c>
      <c r="H201" s="409">
        <f>(O128/$R128*100*($E128/365))+(O129/$R129*100*($E129/365))</f>
        <v>0</v>
      </c>
      <c r="I201" s="409"/>
      <c r="J201" s="409">
        <f>(P128/$R128*100*($E128/365))+(P129/$R129*100*($E129/365))</f>
        <v>100</v>
      </c>
      <c r="K201" s="409"/>
      <c r="L201" s="409">
        <f>(Q128/$R128*100*($E128/365))+(Q129/$R129*100*($E129/365))</f>
        <v>0</v>
      </c>
      <c r="M201" s="409"/>
      <c r="N201" s="379">
        <f t="shared" ref="N201" si="36">H201+J201+L201</f>
        <v>100</v>
      </c>
      <c r="O201" s="431"/>
      <c r="R201" s="1">
        <v>2018</v>
      </c>
      <c r="S201" s="5">
        <f>(O128*($E128/365))+(O129*($E129/365))</f>
        <v>0</v>
      </c>
      <c r="T201" s="5">
        <f>(P128*($E128/365))+(P129*($E129/365))</f>
        <v>31.6</v>
      </c>
      <c r="U201" s="5">
        <f>(Q128*($E128/365))+(Q129*($E129/365))</f>
        <v>0</v>
      </c>
      <c r="V201" s="9"/>
      <c r="W201" s="5">
        <f t="shared" ref="W201" si="37">S201+T201+U201</f>
        <v>31.6</v>
      </c>
    </row>
    <row r="202" spans="1:23" x14ac:dyDescent="0.15">
      <c r="A202" s="1">
        <v>2019</v>
      </c>
      <c r="B202" s="5">
        <f>(K130*($E130/365))+(K131*($E131/365))</f>
        <v>0</v>
      </c>
      <c r="C202" s="5">
        <f>(L130*($E130/365))+(L131*($E131/365))</f>
        <v>86.666666666666671</v>
      </c>
      <c r="D202" s="5">
        <f>(M130*($E130/365))+(M131*($E131/365))</f>
        <v>0</v>
      </c>
      <c r="E202" s="24">
        <f t="shared" ref="E202:E203" si="38">B202+C202+D202</f>
        <v>86.666666666666671</v>
      </c>
      <c r="G202" s="1">
        <v>2019</v>
      </c>
      <c r="H202" s="409">
        <f>(O130/$R130*100*($E130/365))+(O131/$R131*100*($E131/365))</f>
        <v>0</v>
      </c>
      <c r="I202" s="409"/>
      <c r="J202" s="409">
        <f>(P130/$R130*100*($E130/365))+(P131/$R131*100*($E131/365))</f>
        <v>100</v>
      </c>
      <c r="K202" s="409"/>
      <c r="L202" s="409">
        <f>(Q130/$R130*100*($E130/365))+(Q131/$R131*100*($E131/365))</f>
        <v>0</v>
      </c>
      <c r="M202" s="409"/>
      <c r="N202" s="379">
        <f t="shared" ref="N202" si="39">H202+J202+L202</f>
        <v>100</v>
      </c>
      <c r="O202" s="431"/>
      <c r="R202" s="1">
        <v>2019</v>
      </c>
      <c r="S202" s="5">
        <f>(O130*($E130/365))+(O131*($E131/365))</f>
        <v>0</v>
      </c>
      <c r="T202" s="5">
        <f>(P130*($E130/365))+(P131*($E131/365))</f>
        <v>31.6</v>
      </c>
      <c r="U202" s="5">
        <f>(Q130*($E130/365))+(Q131*($E131/365))</f>
        <v>0</v>
      </c>
      <c r="V202" s="9"/>
      <c r="W202" s="5">
        <f t="shared" ref="W202:W203" si="40">S202+T202+U202</f>
        <v>31.6</v>
      </c>
    </row>
    <row r="203" spans="1:23" x14ac:dyDescent="0.15">
      <c r="A203" s="1">
        <v>2020</v>
      </c>
      <c r="B203" s="5">
        <f>(K132*($E132/366))+ (K133*($E133/366))+(K134*($E134/366))</f>
        <v>20.546448087431695</v>
      </c>
      <c r="C203" s="5">
        <f>(L132*($E132/366))+ (L133*($E133/366))+(L134*($E134/366))</f>
        <v>62.695810564663034</v>
      </c>
      <c r="D203" s="5">
        <f>(M132*($E132/366))+ (M133*($E133/366))+(M134*($E134/366))</f>
        <v>10.273224043715848</v>
      </c>
      <c r="E203" s="24">
        <f t="shared" si="38"/>
        <v>93.515482695810576</v>
      </c>
      <c r="G203" s="1">
        <v>2020</v>
      </c>
      <c r="H203" s="409">
        <f>(O132/$R132*100*($E132/366))+(O133/$R133*100*($E133/366))+(O134/$R134*100*($E134/366))</f>
        <v>21.427010148321621</v>
      </c>
      <c r="I203" s="409"/>
      <c r="J203" s="409">
        <f>(P132/$R132*100*($E132/366))+(P133/$R133*100*($E133/366))+(P134/$R134*100*($E134/366))</f>
        <v>71.234972677595636</v>
      </c>
      <c r="K203" s="409"/>
      <c r="L203" s="409">
        <f>(Q132/$R132*100*($E132/366))+(Q133/$R133*100*($E133/366))+(Q134/$R134*100*($E134/366))</f>
        <v>7.3380171740827471</v>
      </c>
      <c r="M203" s="409"/>
      <c r="N203" s="379">
        <f t="shared" ref="N203" si="41">H203+J203+L203</f>
        <v>100</v>
      </c>
      <c r="O203" s="431"/>
      <c r="R203" s="1">
        <v>2020</v>
      </c>
      <c r="S203" s="5">
        <f>(O132*($E132/366))+(O133*($E133/366))+(O134*($E134/366))</f>
        <v>11.249180327868853</v>
      </c>
      <c r="T203" s="5">
        <f>(P132*($E132/366))+(P133*($E133/366))+(P134*($E134/366))</f>
        <v>27.233879781420768</v>
      </c>
      <c r="U203" s="5">
        <f>(Q132*($E132/366))+(Q133*($E133/366))+(Q134*($E134/366))</f>
        <v>3.8524590163934427</v>
      </c>
      <c r="W203" s="5">
        <f t="shared" si="40"/>
        <v>42.335519125683064</v>
      </c>
    </row>
  </sheetData>
  <mergeCells count="405">
    <mergeCell ref="H203:I203"/>
    <mergeCell ref="J203:K203"/>
    <mergeCell ref="L203:M203"/>
    <mergeCell ref="N203:O203"/>
    <mergeCell ref="C130:D130"/>
    <mergeCell ref="C131:D131"/>
    <mergeCell ref="H202:I202"/>
    <mergeCell ref="J202:K202"/>
    <mergeCell ref="L202:M202"/>
    <mergeCell ref="N202:O202"/>
    <mergeCell ref="H149:I149"/>
    <mergeCell ref="J149:K149"/>
    <mergeCell ref="L149:M149"/>
    <mergeCell ref="J152:K152"/>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C128:D128"/>
    <mergeCell ref="C129:D129"/>
    <mergeCell ref="C133:D133"/>
    <mergeCell ref="C132:D132"/>
    <mergeCell ref="C134:D134"/>
    <mergeCell ref="H201:I201"/>
    <mergeCell ref="J201:K201"/>
    <mergeCell ref="L201:M201"/>
    <mergeCell ref="N201:O201"/>
    <mergeCell ref="H200:I200"/>
    <mergeCell ref="J200:K200"/>
    <mergeCell ref="L200:M200"/>
    <mergeCell ref="N200:O200"/>
    <mergeCell ref="N149:O149"/>
    <mergeCell ref="L150:M150"/>
    <mergeCell ref="N150:O150"/>
    <mergeCell ref="H151:I151"/>
    <mergeCell ref="J151:K151"/>
    <mergeCell ref="L151:M151"/>
    <mergeCell ref="N151:O151"/>
    <mergeCell ref="L154:M154"/>
    <mergeCell ref="N154:O154"/>
    <mergeCell ref="H155:I155"/>
    <mergeCell ref="J155:K155"/>
    <mergeCell ref="L153:M153"/>
    <mergeCell ref="N153:O153"/>
    <mergeCell ref="H152:I152"/>
    <mergeCell ref="N197:O197"/>
    <mergeCell ref="H197:I197"/>
    <mergeCell ref="C99:D99"/>
    <mergeCell ref="C100:D100"/>
    <mergeCell ref="C101:D101"/>
    <mergeCell ref="C102:D102"/>
    <mergeCell ref="C103:D103"/>
    <mergeCell ref="C104:D104"/>
    <mergeCell ref="C105:D105"/>
    <mergeCell ref="C127:D127"/>
    <mergeCell ref="C119:D119"/>
    <mergeCell ref="C106:D106"/>
    <mergeCell ref="C107:D107"/>
    <mergeCell ref="C108:D108"/>
    <mergeCell ref="C115:D115"/>
    <mergeCell ref="C116:D116"/>
    <mergeCell ref="C109:D109"/>
    <mergeCell ref="C110:D110"/>
    <mergeCell ref="C111:D111"/>
    <mergeCell ref="C112:D112"/>
    <mergeCell ref="C120:D120"/>
    <mergeCell ref="C121:D121"/>
    <mergeCell ref="C126:D126"/>
    <mergeCell ref="C113:D113"/>
    <mergeCell ref="C114:D114"/>
    <mergeCell ref="J197:K197"/>
    <mergeCell ref="L197:M197"/>
    <mergeCell ref="L142:M142"/>
    <mergeCell ref="N142:O142"/>
    <mergeCell ref="L141:M141"/>
    <mergeCell ref="N141:O141"/>
    <mergeCell ref="H144:I144"/>
    <mergeCell ref="J144:K144"/>
    <mergeCell ref="L144:M144"/>
    <mergeCell ref="N144:O144"/>
    <mergeCell ref="H145:I145"/>
    <mergeCell ref="J145:K145"/>
    <mergeCell ref="L155:M155"/>
    <mergeCell ref="N155:O155"/>
    <mergeCell ref="L152:M152"/>
    <mergeCell ref="N152:O152"/>
    <mergeCell ref="H153:I153"/>
    <mergeCell ref="L162:M162"/>
    <mergeCell ref="N162:O162"/>
    <mergeCell ref="H163:I163"/>
    <mergeCell ref="J163:K163"/>
    <mergeCell ref="L163:M163"/>
    <mergeCell ref="N163:O163"/>
    <mergeCell ref="H160:I160"/>
    <mergeCell ref="C97:D97"/>
    <mergeCell ref="C98:D9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AH4:AK4"/>
    <mergeCell ref="AL4:AO4"/>
    <mergeCell ref="U4:U5"/>
    <mergeCell ref="V4:Y4"/>
    <mergeCell ref="AP4:AS4"/>
    <mergeCell ref="C8:D8"/>
    <mergeCell ref="K4:N4"/>
    <mergeCell ref="O4:R4"/>
    <mergeCell ref="S4:S5"/>
    <mergeCell ref="T4:T5"/>
    <mergeCell ref="Z4:AC4"/>
    <mergeCell ref="AD4:AG4"/>
    <mergeCell ref="C7:D7"/>
    <mergeCell ref="C6:D6"/>
    <mergeCell ref="A4:A5"/>
    <mergeCell ref="B4:B5"/>
    <mergeCell ref="C4:D5"/>
    <mergeCell ref="E4:E5"/>
    <mergeCell ref="H141:I141"/>
    <mergeCell ref="J141:K141"/>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G3:M3"/>
    <mergeCell ref="O3:Q3"/>
    <mergeCell ref="H143:I143"/>
    <mergeCell ref="J143:K143"/>
    <mergeCell ref="L143:M143"/>
    <mergeCell ref="N143:O143"/>
    <mergeCell ref="H142:I142"/>
    <mergeCell ref="J142:K142"/>
    <mergeCell ref="H148:I148"/>
    <mergeCell ref="J148:K148"/>
    <mergeCell ref="L148:M148"/>
    <mergeCell ref="N148:O148"/>
    <mergeCell ref="H146:I146"/>
    <mergeCell ref="J146:K146"/>
    <mergeCell ref="L146:M146"/>
    <mergeCell ref="N146:O146"/>
    <mergeCell ref="H147:I147"/>
    <mergeCell ref="J147:K147"/>
    <mergeCell ref="L147:M147"/>
    <mergeCell ref="N147:O147"/>
    <mergeCell ref="L145:M145"/>
    <mergeCell ref="N145:O145"/>
    <mergeCell ref="J160:K160"/>
    <mergeCell ref="L160:M160"/>
    <mergeCell ref="N160:O160"/>
    <mergeCell ref="H161:I161"/>
    <mergeCell ref="J161:K161"/>
    <mergeCell ref="L161:M161"/>
    <mergeCell ref="N161:O161"/>
    <mergeCell ref="L166:M166"/>
    <mergeCell ref="N166:O166"/>
    <mergeCell ref="H167:I167"/>
    <mergeCell ref="J167:K167"/>
    <mergeCell ref="L167:M167"/>
    <mergeCell ref="N167:O167"/>
    <mergeCell ref="J170:K170"/>
    <mergeCell ref="H164:I164"/>
    <mergeCell ref="J164:K164"/>
    <mergeCell ref="L164:M164"/>
    <mergeCell ref="N164:O164"/>
    <mergeCell ref="H165:I165"/>
    <mergeCell ref="J165:K165"/>
    <mergeCell ref="L165:M165"/>
    <mergeCell ref="N165:O165"/>
    <mergeCell ref="H193:I193"/>
    <mergeCell ref="H182:I182"/>
    <mergeCell ref="H183:I183"/>
    <mergeCell ref="H184:I184"/>
    <mergeCell ref="H185:I185"/>
    <mergeCell ref="H186:I186"/>
    <mergeCell ref="H187:I187"/>
    <mergeCell ref="H180:I180"/>
    <mergeCell ref="H181:I181"/>
    <mergeCell ref="H188:I188"/>
    <mergeCell ref="H189:I189"/>
    <mergeCell ref="H190:I190"/>
    <mergeCell ref="R139:W139"/>
    <mergeCell ref="N185:O185"/>
    <mergeCell ref="N186:O186"/>
    <mergeCell ref="N170:O170"/>
    <mergeCell ref="N171:O171"/>
    <mergeCell ref="C118:D118"/>
    <mergeCell ref="N174:O174"/>
    <mergeCell ref="N179:O179"/>
    <mergeCell ref="N180:O180"/>
    <mergeCell ref="N181:O181"/>
    <mergeCell ref="N182:O182"/>
    <mergeCell ref="L186:M186"/>
    <mergeCell ref="L180:M180"/>
    <mergeCell ref="L181:M181"/>
    <mergeCell ref="N175:O175"/>
    <mergeCell ref="N176:O176"/>
    <mergeCell ref="N177:O177"/>
    <mergeCell ref="N178:O178"/>
    <mergeCell ref="N172:O172"/>
    <mergeCell ref="N173:O173"/>
    <mergeCell ref="N183:O183"/>
    <mergeCell ref="J182:K182"/>
    <mergeCell ref="H170:I170"/>
    <mergeCell ref="H171:I171"/>
    <mergeCell ref="L176:M176"/>
    <mergeCell ref="L177:M177"/>
    <mergeCell ref="L178:M178"/>
    <mergeCell ref="C117:D117"/>
    <mergeCell ref="B136:G136"/>
    <mergeCell ref="O136:Q136"/>
    <mergeCell ref="H172:I172"/>
    <mergeCell ref="H173:I173"/>
    <mergeCell ref="H174:I174"/>
    <mergeCell ref="H175:I175"/>
    <mergeCell ref="H168:I168"/>
    <mergeCell ref="J168:K168"/>
    <mergeCell ref="L168:M168"/>
    <mergeCell ref="L171:M171"/>
    <mergeCell ref="L172:M172"/>
    <mergeCell ref="L173:M173"/>
    <mergeCell ref="L174:M174"/>
    <mergeCell ref="L175:M175"/>
    <mergeCell ref="N168:O168"/>
    <mergeCell ref="H169:I169"/>
    <mergeCell ref="J169:K169"/>
    <mergeCell ref="L169:M169"/>
    <mergeCell ref="N169:O169"/>
    <mergeCell ref="L170:M170"/>
    <mergeCell ref="H178:I178"/>
    <mergeCell ref="H179:I179"/>
    <mergeCell ref="J183:K183"/>
    <mergeCell ref="J184:K184"/>
    <mergeCell ref="J178:K178"/>
    <mergeCell ref="J179:K179"/>
    <mergeCell ref="J180:K180"/>
    <mergeCell ref="J181:K181"/>
    <mergeCell ref="L187:M187"/>
    <mergeCell ref="J187:K187"/>
    <mergeCell ref="L184:M184"/>
    <mergeCell ref="L185:M185"/>
    <mergeCell ref="J186:K186"/>
    <mergeCell ref="J171:K171"/>
    <mergeCell ref="J172:K172"/>
    <mergeCell ref="J173:K173"/>
    <mergeCell ref="J174:K174"/>
    <mergeCell ref="J175:K175"/>
    <mergeCell ref="J176:K176"/>
    <mergeCell ref="J177:K177"/>
    <mergeCell ref="C122:D122"/>
    <mergeCell ref="C123:D123"/>
    <mergeCell ref="C124:D124"/>
    <mergeCell ref="C125:D125"/>
    <mergeCell ref="H176:I176"/>
    <mergeCell ref="H177:I177"/>
    <mergeCell ref="H166:I166"/>
    <mergeCell ref="J166:K166"/>
    <mergeCell ref="H162:I162"/>
    <mergeCell ref="J162:K162"/>
    <mergeCell ref="H158:I158"/>
    <mergeCell ref="J158:K158"/>
    <mergeCell ref="H154:I154"/>
    <mergeCell ref="J154:K154"/>
    <mergeCell ref="H150:I150"/>
    <mergeCell ref="J150:K150"/>
    <mergeCell ref="J153:K153"/>
    <mergeCell ref="AT4:AW4"/>
    <mergeCell ref="AX4:BA4"/>
    <mergeCell ref="H196:I196"/>
    <mergeCell ref="J196:K196"/>
    <mergeCell ref="L196:M196"/>
    <mergeCell ref="N196:O196"/>
    <mergeCell ref="N191:O191"/>
    <mergeCell ref="N192:O192"/>
    <mergeCell ref="L191:M191"/>
    <mergeCell ref="N190:O190"/>
    <mergeCell ref="L179:M179"/>
    <mergeCell ref="L182:M182"/>
    <mergeCell ref="L183:M183"/>
    <mergeCell ref="J191:K191"/>
    <mergeCell ref="J192:K192"/>
    <mergeCell ref="J193:K193"/>
    <mergeCell ref="J194:K194"/>
    <mergeCell ref="J185:K185"/>
    <mergeCell ref="N195:O195"/>
    <mergeCell ref="N193:O193"/>
    <mergeCell ref="N194:O194"/>
    <mergeCell ref="L194:M194"/>
    <mergeCell ref="H194:I194"/>
    <mergeCell ref="L193:M193"/>
    <mergeCell ref="N184:O184"/>
    <mergeCell ref="N187:O187"/>
    <mergeCell ref="N188:O188"/>
    <mergeCell ref="N189:O189"/>
    <mergeCell ref="L190:M190"/>
    <mergeCell ref="H199:I199"/>
    <mergeCell ref="J199:K199"/>
    <mergeCell ref="L199:M199"/>
    <mergeCell ref="N199:O199"/>
    <mergeCell ref="H198:I198"/>
    <mergeCell ref="J198:K198"/>
    <mergeCell ref="L198:M198"/>
    <mergeCell ref="N198:O198"/>
    <mergeCell ref="L192:M192"/>
    <mergeCell ref="H192:I192"/>
    <mergeCell ref="H195:I195"/>
    <mergeCell ref="J195:K195"/>
    <mergeCell ref="L195:M195"/>
    <mergeCell ref="L189:M189"/>
    <mergeCell ref="H191:I191"/>
    <mergeCell ref="J188:K188"/>
    <mergeCell ref="J189:K189"/>
    <mergeCell ref="J190:K190"/>
    <mergeCell ref="L188:M18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FD222"/>
  <sheetViews>
    <sheetView zoomScale="166" zoomScaleNormal="120" workbookViewId="0">
      <pane xSplit="1" ySplit="5" topLeftCell="U78" activePane="bottomRight" state="frozen"/>
      <selection pane="topRight" activeCell="B1" sqref="B1"/>
      <selection pane="bottomLeft" activeCell="A6" sqref="A6"/>
      <selection pane="bottomRight" activeCell="Z245" sqref="Z24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23" customWidth="1"/>
    <col min="47" max="53" width="5.6640625" style="1" customWidth="1"/>
    <col min="54" max="16384" width="10.6640625" style="1"/>
  </cols>
  <sheetData>
    <row r="1" spans="1:53" ht="15" customHeight="1" x14ac:dyDescent="0.15">
      <c r="B1" s="16" t="s">
        <v>14</v>
      </c>
      <c r="BA1" s="2"/>
    </row>
    <row r="2" spans="1:53" ht="15" customHeight="1" x14ac:dyDescent="0.15">
      <c r="B2" s="16" t="s">
        <v>59</v>
      </c>
      <c r="BA2" s="2"/>
    </row>
    <row r="3" spans="1:53" x14ac:dyDescent="0.15">
      <c r="G3" s="415"/>
      <c r="H3" s="415"/>
      <c r="I3" s="415"/>
      <c r="J3" s="415"/>
      <c r="K3" s="415"/>
      <c r="L3" s="415"/>
      <c r="M3" s="415"/>
      <c r="O3" s="415"/>
      <c r="P3" s="415"/>
      <c r="Q3" s="415"/>
      <c r="BA3" s="2"/>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7" t="s">
        <v>23</v>
      </c>
      <c r="AU5" s="186" t="s">
        <v>24</v>
      </c>
      <c r="AV5" s="186" t="s">
        <v>25</v>
      </c>
      <c r="AW5" s="188" t="s">
        <v>1197</v>
      </c>
      <c r="AX5" s="186" t="s">
        <v>23</v>
      </c>
      <c r="AY5" s="186" t="s">
        <v>24</v>
      </c>
      <c r="AZ5" s="186" t="s">
        <v>25</v>
      </c>
      <c r="BA5" s="189" t="s">
        <v>1197</v>
      </c>
    </row>
    <row r="6" spans="1:53" s="140" customFormat="1" x14ac:dyDescent="0.15">
      <c r="A6" s="146">
        <v>1959</v>
      </c>
      <c r="B6" s="296"/>
      <c r="C6" s="416" t="s">
        <v>1231</v>
      </c>
      <c r="D6" s="416"/>
      <c r="E6" s="140">
        <v>46</v>
      </c>
      <c r="G6" s="148"/>
      <c r="H6" s="140">
        <v>17</v>
      </c>
      <c r="I6" s="140">
        <v>3</v>
      </c>
      <c r="J6" s="154">
        <v>20</v>
      </c>
      <c r="K6" s="134">
        <f t="shared" ref="K6:M8" si="0">G6/$J6*100</f>
        <v>0</v>
      </c>
      <c r="L6" s="134">
        <f t="shared" si="0"/>
        <v>85</v>
      </c>
      <c r="M6" s="134">
        <f t="shared" si="0"/>
        <v>15</v>
      </c>
      <c r="N6" s="150">
        <f>K6+L6+M6</f>
        <v>100</v>
      </c>
      <c r="O6" s="133"/>
      <c r="P6" s="134">
        <v>45.8</v>
      </c>
      <c r="Q6" s="134">
        <v>3.7</v>
      </c>
      <c r="R6" s="135">
        <f>O6+P6+Q6</f>
        <v>49.5</v>
      </c>
      <c r="S6" s="140">
        <v>5</v>
      </c>
      <c r="T6" s="308"/>
      <c r="U6" s="296"/>
      <c r="V6" s="139" t="s">
        <v>503</v>
      </c>
      <c r="W6" s="140" t="s">
        <v>17</v>
      </c>
      <c r="X6" s="140" t="s">
        <v>18</v>
      </c>
      <c r="Y6" s="141">
        <v>45.8</v>
      </c>
      <c r="Z6" s="140" t="s">
        <v>504</v>
      </c>
      <c r="AA6" s="140" t="s">
        <v>96</v>
      </c>
      <c r="AB6" s="140" t="s">
        <v>12</v>
      </c>
      <c r="AC6" s="140">
        <v>3.7</v>
      </c>
      <c r="AD6" s="139"/>
      <c r="AG6" s="141"/>
      <c r="AL6" s="139"/>
      <c r="AO6" s="141"/>
      <c r="AP6" s="139"/>
      <c r="AT6" s="164"/>
      <c r="AU6" s="165"/>
      <c r="AV6" s="165"/>
      <c r="AW6" s="166"/>
      <c r="BA6" s="142"/>
    </row>
    <row r="7" spans="1:53" s="140" customFormat="1" x14ac:dyDescent="0.15">
      <c r="A7" s="146">
        <v>1959</v>
      </c>
      <c r="B7" s="296">
        <v>21597</v>
      </c>
      <c r="C7" s="416" t="s">
        <v>704</v>
      </c>
      <c r="D7" s="416"/>
      <c r="E7" s="140">
        <f xml:space="preserve"> 365-E6</f>
        <v>319</v>
      </c>
      <c r="F7" s="140">
        <v>4</v>
      </c>
      <c r="G7" s="148"/>
      <c r="H7" s="140">
        <v>21</v>
      </c>
      <c r="J7" s="154">
        <v>21</v>
      </c>
      <c r="K7" s="134">
        <f t="shared" si="0"/>
        <v>0</v>
      </c>
      <c r="L7" s="134">
        <f t="shared" si="0"/>
        <v>100</v>
      </c>
      <c r="M7" s="134">
        <f t="shared" si="0"/>
        <v>0</v>
      </c>
      <c r="N7" s="150">
        <f>K7+L7+M7</f>
        <v>100</v>
      </c>
      <c r="O7" s="133"/>
      <c r="P7" s="134">
        <v>45.8</v>
      </c>
      <c r="Q7" s="134"/>
      <c r="R7" s="135">
        <f>O7+P7+Q7</f>
        <v>45.8</v>
      </c>
      <c r="S7" s="140">
        <v>4</v>
      </c>
      <c r="T7" s="308"/>
      <c r="U7" s="296">
        <v>21597</v>
      </c>
      <c r="V7" s="139" t="s">
        <v>503</v>
      </c>
      <c r="W7" s="140" t="s">
        <v>17</v>
      </c>
      <c r="X7" s="140" t="s">
        <v>18</v>
      </c>
      <c r="Y7" s="141">
        <v>45.8</v>
      </c>
      <c r="AD7" s="139"/>
      <c r="AG7" s="141"/>
      <c r="AL7" s="139"/>
      <c r="AO7" s="141"/>
      <c r="AP7" s="139"/>
      <c r="AS7" s="141"/>
      <c r="AT7" s="158"/>
      <c r="AW7" s="141"/>
      <c r="BA7" s="142"/>
    </row>
    <row r="8" spans="1:53" s="29" customFormat="1" x14ac:dyDescent="0.15">
      <c r="A8" s="52">
        <v>1960</v>
      </c>
      <c r="B8" s="295"/>
      <c r="C8" s="411" t="s">
        <v>704</v>
      </c>
      <c r="D8" s="411"/>
      <c r="E8" s="29">
        <v>84</v>
      </c>
      <c r="G8" s="66"/>
      <c r="H8" s="29">
        <v>21</v>
      </c>
      <c r="J8" s="73">
        <v>21</v>
      </c>
      <c r="K8" s="47">
        <f t="shared" si="0"/>
        <v>0</v>
      </c>
      <c r="L8" s="47">
        <f t="shared" si="0"/>
        <v>100</v>
      </c>
      <c r="M8" s="47">
        <f t="shared" si="0"/>
        <v>0</v>
      </c>
      <c r="N8" s="68">
        <f>K8+L8+M8</f>
        <v>100</v>
      </c>
      <c r="O8" s="46"/>
      <c r="P8" s="47">
        <v>45.8</v>
      </c>
      <c r="Q8" s="47"/>
      <c r="R8" s="48">
        <f>O8+P8+Q8</f>
        <v>45.8</v>
      </c>
      <c r="S8" s="29">
        <v>4</v>
      </c>
      <c r="T8" s="286"/>
      <c r="U8" s="295"/>
      <c r="V8" s="38" t="s">
        <v>503</v>
      </c>
      <c r="W8" s="29" t="s">
        <v>17</v>
      </c>
      <c r="X8" s="29" t="s">
        <v>18</v>
      </c>
      <c r="Y8" s="39">
        <v>45.8</v>
      </c>
      <c r="AD8" s="38"/>
      <c r="AG8" s="39"/>
      <c r="AL8" s="38"/>
      <c r="AO8" s="39"/>
      <c r="AP8" s="38"/>
      <c r="AT8" s="91"/>
      <c r="AW8" s="39"/>
      <c r="BA8" s="40"/>
    </row>
    <row r="9" spans="1:53" s="171" customFormat="1" x14ac:dyDescent="0.15">
      <c r="A9" s="216">
        <v>1960</v>
      </c>
      <c r="B9" s="283">
        <v>22000</v>
      </c>
      <c r="C9" s="410" t="s">
        <v>705</v>
      </c>
      <c r="D9" s="410"/>
      <c r="E9" s="171">
        <v>123</v>
      </c>
      <c r="F9" s="171">
        <v>5</v>
      </c>
      <c r="G9" s="233"/>
      <c r="H9" s="171">
        <v>22</v>
      </c>
      <c r="J9" s="241">
        <v>22</v>
      </c>
      <c r="K9" s="214">
        <f t="shared" ref="K9:M24" si="1">G9/$J9*100</f>
        <v>0</v>
      </c>
      <c r="L9" s="214">
        <f t="shared" si="1"/>
        <v>100</v>
      </c>
      <c r="M9" s="214">
        <f t="shared" si="1"/>
        <v>0</v>
      </c>
      <c r="N9" s="235">
        <f t="shared" ref="N9:N72" si="2">K9+L9+M9</f>
        <v>100</v>
      </c>
      <c r="O9" s="213"/>
      <c r="P9" s="214">
        <v>45.8</v>
      </c>
      <c r="Q9" s="214"/>
      <c r="R9" s="215">
        <f t="shared" ref="R9:R72" si="3">O9+P9+Q9</f>
        <v>45.8</v>
      </c>
      <c r="S9" s="171">
        <v>4</v>
      </c>
      <c r="T9" s="285"/>
      <c r="U9" s="283">
        <v>22000</v>
      </c>
      <c r="V9" s="178" t="s">
        <v>503</v>
      </c>
      <c r="W9" s="171" t="s">
        <v>17</v>
      </c>
      <c r="X9" s="171" t="s">
        <v>18</v>
      </c>
      <c r="Y9" s="179">
        <v>45.8</v>
      </c>
      <c r="AD9" s="178"/>
      <c r="AG9" s="179"/>
      <c r="AL9" s="178"/>
      <c r="AO9" s="179"/>
      <c r="AP9" s="178"/>
      <c r="AT9" s="251"/>
      <c r="AW9" s="179"/>
      <c r="BA9" s="180"/>
    </row>
    <row r="10" spans="1:53" s="29" customFormat="1" x14ac:dyDescent="0.15">
      <c r="A10" s="52">
        <v>1960</v>
      </c>
      <c r="B10" s="295">
        <v>22123</v>
      </c>
      <c r="C10" s="411" t="s">
        <v>706</v>
      </c>
      <c r="D10" s="411"/>
      <c r="E10" s="29">
        <f>366-E9-E8</f>
        <v>159</v>
      </c>
      <c r="F10" s="29">
        <v>5</v>
      </c>
      <c r="G10" s="66"/>
      <c r="H10" s="29">
        <v>24</v>
      </c>
      <c r="J10" s="73">
        <v>24</v>
      </c>
      <c r="K10" s="47">
        <f t="shared" si="1"/>
        <v>0</v>
      </c>
      <c r="L10" s="47">
        <f t="shared" si="1"/>
        <v>100</v>
      </c>
      <c r="M10" s="47">
        <f t="shared" si="1"/>
        <v>0</v>
      </c>
      <c r="N10" s="68">
        <f t="shared" si="2"/>
        <v>100</v>
      </c>
      <c r="O10" s="46"/>
      <c r="P10" s="47">
        <v>45.8</v>
      </c>
      <c r="Q10" s="47"/>
      <c r="R10" s="48">
        <f t="shared" si="3"/>
        <v>45.8</v>
      </c>
      <c r="S10" s="29">
        <v>4</v>
      </c>
      <c r="T10" s="286"/>
      <c r="U10" s="295">
        <v>22123</v>
      </c>
      <c r="V10" s="38" t="s">
        <v>503</v>
      </c>
      <c r="W10" s="29" t="s">
        <v>17</v>
      </c>
      <c r="X10" s="29" t="s">
        <v>18</v>
      </c>
      <c r="Y10" s="39">
        <v>45.8</v>
      </c>
      <c r="AD10" s="38"/>
      <c r="AG10" s="39"/>
      <c r="AL10" s="38"/>
      <c r="AO10" s="39"/>
      <c r="AP10" s="38"/>
      <c r="AT10" s="91"/>
      <c r="AW10" s="39"/>
      <c r="BA10" s="40"/>
    </row>
    <row r="11" spans="1:53" s="29" customFormat="1" x14ac:dyDescent="0.15">
      <c r="A11" s="52">
        <v>1961</v>
      </c>
      <c r="B11" s="295"/>
      <c r="C11" s="411" t="s">
        <v>706</v>
      </c>
      <c r="D11" s="411"/>
      <c r="E11" s="29">
        <v>0</v>
      </c>
      <c r="G11" s="66"/>
      <c r="H11" s="29">
        <v>24</v>
      </c>
      <c r="J11" s="73">
        <v>24</v>
      </c>
      <c r="K11" s="47">
        <f t="shared" si="1"/>
        <v>0</v>
      </c>
      <c r="L11" s="47">
        <f t="shared" si="1"/>
        <v>100</v>
      </c>
      <c r="M11" s="47">
        <f t="shared" si="1"/>
        <v>0</v>
      </c>
      <c r="N11" s="68">
        <f t="shared" si="2"/>
        <v>100</v>
      </c>
      <c r="O11" s="46"/>
      <c r="P11" s="47">
        <v>45.8</v>
      </c>
      <c r="Q11" s="47"/>
      <c r="R11" s="48">
        <f t="shared" si="3"/>
        <v>45.8</v>
      </c>
      <c r="S11" s="29">
        <v>4</v>
      </c>
      <c r="T11" s="286"/>
      <c r="U11" s="295"/>
      <c r="V11" s="38" t="s">
        <v>503</v>
      </c>
      <c r="W11" s="29" t="s">
        <v>17</v>
      </c>
      <c r="X11" s="29" t="s">
        <v>18</v>
      </c>
      <c r="Y11" s="39">
        <v>45.8</v>
      </c>
      <c r="AD11" s="38"/>
      <c r="AG11" s="39"/>
      <c r="AL11" s="38"/>
      <c r="AO11" s="39"/>
      <c r="AP11" s="38"/>
      <c r="AT11" s="91"/>
      <c r="AW11" s="39"/>
      <c r="BA11" s="40"/>
    </row>
    <row r="12" spans="1:53" s="29" customFormat="1" x14ac:dyDescent="0.15">
      <c r="A12" s="52">
        <v>1961</v>
      </c>
      <c r="B12" s="295"/>
      <c r="C12" s="411" t="s">
        <v>706</v>
      </c>
      <c r="D12" s="411"/>
      <c r="E12" s="29">
        <v>365</v>
      </c>
      <c r="G12" s="66"/>
      <c r="H12" s="29">
        <v>24</v>
      </c>
      <c r="J12" s="73">
        <v>24</v>
      </c>
      <c r="K12" s="47">
        <f t="shared" si="1"/>
        <v>0</v>
      </c>
      <c r="L12" s="47">
        <f t="shared" si="1"/>
        <v>100</v>
      </c>
      <c r="M12" s="47">
        <f t="shared" si="1"/>
        <v>0</v>
      </c>
      <c r="N12" s="68">
        <f t="shared" si="2"/>
        <v>100</v>
      </c>
      <c r="O12" s="46"/>
      <c r="P12" s="47">
        <v>45.8</v>
      </c>
      <c r="Q12" s="47"/>
      <c r="R12" s="48">
        <f t="shared" si="3"/>
        <v>45.8</v>
      </c>
      <c r="S12" s="29">
        <v>4</v>
      </c>
      <c r="T12" s="286"/>
      <c r="U12" s="295"/>
      <c r="V12" s="38" t="s">
        <v>503</v>
      </c>
      <c r="W12" s="29" t="s">
        <v>17</v>
      </c>
      <c r="X12" s="29" t="s">
        <v>18</v>
      </c>
      <c r="Y12" s="39">
        <v>45.8</v>
      </c>
      <c r="AD12" s="38"/>
      <c r="AG12" s="39"/>
      <c r="AL12" s="38"/>
      <c r="AO12" s="39"/>
      <c r="AP12" s="38"/>
      <c r="AT12" s="91"/>
      <c r="AW12" s="39"/>
      <c r="BA12" s="40"/>
    </row>
    <row r="13" spans="1:53" s="29" customFormat="1" x14ac:dyDescent="0.15">
      <c r="A13" s="52">
        <v>1962</v>
      </c>
      <c r="B13" s="295"/>
      <c r="C13" s="411" t="s">
        <v>706</v>
      </c>
      <c r="D13" s="411"/>
      <c r="E13" s="29">
        <v>51</v>
      </c>
      <c r="G13" s="66"/>
      <c r="H13" s="29">
        <v>24</v>
      </c>
      <c r="J13" s="73">
        <v>24</v>
      </c>
      <c r="K13" s="47">
        <f t="shared" si="1"/>
        <v>0</v>
      </c>
      <c r="L13" s="47">
        <f t="shared" si="1"/>
        <v>100</v>
      </c>
      <c r="M13" s="47">
        <f t="shared" si="1"/>
        <v>0</v>
      </c>
      <c r="N13" s="68">
        <f t="shared" si="2"/>
        <v>100</v>
      </c>
      <c r="O13" s="46"/>
      <c r="P13" s="47">
        <v>45.8</v>
      </c>
      <c r="Q13" s="47"/>
      <c r="R13" s="48">
        <f t="shared" si="3"/>
        <v>45.8</v>
      </c>
      <c r="S13" s="29">
        <v>4</v>
      </c>
      <c r="T13" s="286"/>
      <c r="U13" s="295"/>
      <c r="V13" s="38" t="s">
        <v>503</v>
      </c>
      <c r="W13" s="29" t="s">
        <v>17</v>
      </c>
      <c r="X13" s="29" t="s">
        <v>18</v>
      </c>
      <c r="Y13" s="39">
        <v>45.8</v>
      </c>
      <c r="AD13" s="38"/>
      <c r="AG13" s="39"/>
      <c r="AL13" s="38"/>
      <c r="AO13" s="39"/>
      <c r="AP13" s="38"/>
      <c r="AT13" s="91"/>
      <c r="AW13" s="39"/>
      <c r="BA13" s="40"/>
    </row>
    <row r="14" spans="1:53" s="171" customFormat="1" x14ac:dyDescent="0.15">
      <c r="A14" s="216">
        <v>1962</v>
      </c>
      <c r="B14" s="283">
        <v>22698</v>
      </c>
      <c r="C14" s="410" t="s">
        <v>707</v>
      </c>
      <c r="D14" s="410"/>
      <c r="E14" s="171">
        <f>365-E13</f>
        <v>314</v>
      </c>
      <c r="F14" s="171">
        <v>2</v>
      </c>
      <c r="G14" s="233"/>
      <c r="H14" s="171">
        <v>21</v>
      </c>
      <c r="I14" s="171">
        <v>3</v>
      </c>
      <c r="J14" s="241">
        <v>24</v>
      </c>
      <c r="K14" s="214">
        <f t="shared" si="1"/>
        <v>0</v>
      </c>
      <c r="L14" s="214">
        <f t="shared" si="1"/>
        <v>87.5</v>
      </c>
      <c r="M14" s="214">
        <f t="shared" si="1"/>
        <v>12.5</v>
      </c>
      <c r="N14" s="235">
        <f t="shared" si="2"/>
        <v>100</v>
      </c>
      <c r="O14" s="213"/>
      <c r="P14" s="214">
        <v>46.8</v>
      </c>
      <c r="Q14" s="214">
        <v>3.7</v>
      </c>
      <c r="R14" s="215">
        <f t="shared" si="3"/>
        <v>50.5</v>
      </c>
      <c r="S14" s="171">
        <v>2</v>
      </c>
      <c r="T14" s="285"/>
      <c r="U14" s="283">
        <v>22698</v>
      </c>
      <c r="V14" s="178" t="s">
        <v>503</v>
      </c>
      <c r="W14" s="171" t="s">
        <v>17</v>
      </c>
      <c r="X14" s="171" t="s">
        <v>18</v>
      </c>
      <c r="Y14" s="179">
        <v>45.8</v>
      </c>
      <c r="Z14" s="171" t="s">
        <v>504</v>
      </c>
      <c r="AA14" s="171" t="s">
        <v>96</v>
      </c>
      <c r="AB14" s="171" t="s">
        <v>12</v>
      </c>
      <c r="AC14" s="171">
        <v>3.7</v>
      </c>
      <c r="AD14" s="178" t="s">
        <v>505</v>
      </c>
      <c r="AE14" s="171" t="s">
        <v>87</v>
      </c>
      <c r="AF14" s="171" t="s">
        <v>18</v>
      </c>
      <c r="AG14" s="179">
        <v>1</v>
      </c>
      <c r="AL14" s="178"/>
      <c r="AO14" s="179"/>
      <c r="AP14" s="178"/>
      <c r="AT14" s="251"/>
      <c r="AW14" s="179"/>
      <c r="BA14" s="180"/>
    </row>
    <row r="15" spans="1:53" s="171" customFormat="1" x14ac:dyDescent="0.15">
      <c r="A15" s="216">
        <v>1962.6</v>
      </c>
      <c r="B15" s="283"/>
      <c r="C15" s="410" t="s">
        <v>707</v>
      </c>
      <c r="D15" s="410"/>
      <c r="E15" s="171">
        <v>171</v>
      </c>
      <c r="G15" s="233"/>
      <c r="H15" s="171">
        <v>21</v>
      </c>
      <c r="I15" s="171">
        <v>3</v>
      </c>
      <c r="J15" s="241">
        <v>24</v>
      </c>
      <c r="K15" s="214">
        <f t="shared" si="1"/>
        <v>0</v>
      </c>
      <c r="L15" s="214">
        <f t="shared" si="1"/>
        <v>87.5</v>
      </c>
      <c r="M15" s="214">
        <f t="shared" si="1"/>
        <v>12.5</v>
      </c>
      <c r="N15" s="235">
        <f t="shared" si="2"/>
        <v>100</v>
      </c>
      <c r="O15" s="213"/>
      <c r="P15" s="214">
        <v>46.8</v>
      </c>
      <c r="Q15" s="214">
        <v>3.7</v>
      </c>
      <c r="R15" s="215">
        <f t="shared" si="3"/>
        <v>50.5</v>
      </c>
      <c r="S15" s="171">
        <v>2</v>
      </c>
      <c r="T15" s="285"/>
      <c r="U15" s="283"/>
      <c r="V15" s="178" t="s">
        <v>503</v>
      </c>
      <c r="W15" s="171" t="s">
        <v>17</v>
      </c>
      <c r="X15" s="171" t="s">
        <v>18</v>
      </c>
      <c r="Y15" s="179">
        <v>45.8</v>
      </c>
      <c r="Z15" s="171" t="s">
        <v>504</v>
      </c>
      <c r="AA15" s="171" t="s">
        <v>96</v>
      </c>
      <c r="AB15" s="171" t="s">
        <v>12</v>
      </c>
      <c r="AC15" s="171">
        <v>3.7</v>
      </c>
      <c r="AD15" s="178" t="s">
        <v>505</v>
      </c>
      <c r="AE15" s="171" t="s">
        <v>87</v>
      </c>
      <c r="AF15" s="171" t="s">
        <v>18</v>
      </c>
      <c r="AG15" s="179">
        <v>1</v>
      </c>
      <c r="AL15" s="178"/>
      <c r="AO15" s="179"/>
      <c r="AP15" s="178"/>
      <c r="AT15" s="251"/>
      <c r="AW15" s="179"/>
      <c r="BA15" s="180"/>
    </row>
    <row r="16" spans="1:53" s="29" customFormat="1" x14ac:dyDescent="0.15">
      <c r="A16" s="52">
        <v>1963.05714285714</v>
      </c>
      <c r="B16" s="295">
        <v>23183</v>
      </c>
      <c r="C16" s="411" t="s">
        <v>708</v>
      </c>
      <c r="D16" s="411"/>
      <c r="E16" s="29">
        <v>167</v>
      </c>
      <c r="F16" s="29">
        <v>1</v>
      </c>
      <c r="G16" s="66"/>
      <c r="H16" s="29">
        <v>23</v>
      </c>
      <c r="J16" s="73">
        <v>23</v>
      </c>
      <c r="K16" s="47">
        <f t="shared" si="1"/>
        <v>0</v>
      </c>
      <c r="L16" s="47">
        <f t="shared" si="1"/>
        <v>100</v>
      </c>
      <c r="M16" s="47">
        <f t="shared" si="1"/>
        <v>0</v>
      </c>
      <c r="N16" s="68">
        <f t="shared" si="2"/>
        <v>100</v>
      </c>
      <c r="O16" s="46"/>
      <c r="P16" s="47">
        <v>41.3</v>
      </c>
      <c r="Q16" s="47"/>
      <c r="R16" s="48">
        <f t="shared" si="3"/>
        <v>41.3</v>
      </c>
      <c r="S16" s="29">
        <v>6</v>
      </c>
      <c r="T16" s="286">
        <v>23129</v>
      </c>
      <c r="U16" s="295">
        <v>23183</v>
      </c>
      <c r="V16" s="38" t="s">
        <v>503</v>
      </c>
      <c r="W16" s="29" t="s">
        <v>17</v>
      </c>
      <c r="X16" s="29" t="s">
        <v>18</v>
      </c>
      <c r="Y16" s="39">
        <v>41.3</v>
      </c>
      <c r="AD16" s="38"/>
      <c r="AG16" s="39"/>
      <c r="AL16" s="38"/>
      <c r="AO16" s="39"/>
      <c r="AP16" s="38"/>
      <c r="AT16" s="91"/>
      <c r="AW16" s="39"/>
      <c r="BA16" s="40"/>
    </row>
    <row r="17" spans="1:53" s="171" customFormat="1" x14ac:dyDescent="0.15">
      <c r="A17" s="216">
        <v>1963</v>
      </c>
      <c r="B17" s="283">
        <v>23350</v>
      </c>
      <c r="C17" s="410" t="s">
        <v>709</v>
      </c>
      <c r="D17" s="410"/>
      <c r="E17" s="171">
        <f>365-E16-E15</f>
        <v>27</v>
      </c>
      <c r="F17" s="171">
        <v>2</v>
      </c>
      <c r="G17" s="233"/>
      <c r="H17" s="171">
        <v>17</v>
      </c>
      <c r="I17" s="171">
        <v>9</v>
      </c>
      <c r="J17" s="241">
        <v>26</v>
      </c>
      <c r="K17" s="214">
        <f t="shared" si="1"/>
        <v>0</v>
      </c>
      <c r="L17" s="214">
        <f t="shared" si="1"/>
        <v>65.384615384615387</v>
      </c>
      <c r="M17" s="214">
        <f t="shared" si="1"/>
        <v>34.615384615384613</v>
      </c>
      <c r="N17" s="235">
        <f t="shared" si="2"/>
        <v>100</v>
      </c>
      <c r="O17" s="213"/>
      <c r="P17" s="214">
        <v>42.3</v>
      </c>
      <c r="Q17" s="214">
        <v>18.899999999999999</v>
      </c>
      <c r="R17" s="215">
        <f t="shared" si="3"/>
        <v>61.199999999999996</v>
      </c>
      <c r="S17" s="171">
        <v>3</v>
      </c>
      <c r="T17" s="285"/>
      <c r="U17" s="283">
        <v>23350</v>
      </c>
      <c r="V17" s="178" t="s">
        <v>503</v>
      </c>
      <c r="W17" s="171" t="s">
        <v>17</v>
      </c>
      <c r="X17" s="171" t="s">
        <v>18</v>
      </c>
      <c r="Y17" s="179">
        <v>41.3</v>
      </c>
      <c r="Z17" s="171" t="s">
        <v>506</v>
      </c>
      <c r="AA17" s="171" t="s">
        <v>20</v>
      </c>
      <c r="AB17" s="171" t="s">
        <v>12</v>
      </c>
      <c r="AC17" s="171">
        <v>13.8</v>
      </c>
      <c r="AD17" s="178" t="s">
        <v>504</v>
      </c>
      <c r="AE17" s="171" t="s">
        <v>96</v>
      </c>
      <c r="AF17" s="171" t="s">
        <v>12</v>
      </c>
      <c r="AG17" s="171">
        <v>5.0999999999999996</v>
      </c>
      <c r="AH17" s="178" t="s">
        <v>505</v>
      </c>
      <c r="AI17" s="171" t="s">
        <v>87</v>
      </c>
      <c r="AJ17" s="171" t="s">
        <v>18</v>
      </c>
      <c r="AK17" s="171">
        <v>1</v>
      </c>
      <c r="AL17" s="178"/>
      <c r="AO17" s="179"/>
      <c r="AP17" s="178"/>
      <c r="AT17" s="251"/>
      <c r="AW17" s="179"/>
      <c r="BA17" s="180"/>
    </row>
    <row r="18" spans="1:53" s="171" customFormat="1" x14ac:dyDescent="0.15">
      <c r="A18" s="216">
        <v>1963.5142857142901</v>
      </c>
      <c r="B18" s="283"/>
      <c r="C18" s="410" t="s">
        <v>709</v>
      </c>
      <c r="D18" s="410"/>
      <c r="E18" s="171">
        <v>203</v>
      </c>
      <c r="G18" s="233"/>
      <c r="H18" s="171">
        <v>17</v>
      </c>
      <c r="I18" s="171">
        <v>9</v>
      </c>
      <c r="J18" s="241">
        <v>26</v>
      </c>
      <c r="K18" s="214">
        <f t="shared" si="1"/>
        <v>0</v>
      </c>
      <c r="L18" s="214">
        <f t="shared" si="1"/>
        <v>65.384615384615387</v>
      </c>
      <c r="M18" s="214">
        <f t="shared" si="1"/>
        <v>34.615384615384613</v>
      </c>
      <c r="N18" s="235">
        <f t="shared" si="2"/>
        <v>100</v>
      </c>
      <c r="O18" s="213"/>
      <c r="P18" s="214">
        <v>42.3</v>
      </c>
      <c r="Q18" s="214">
        <v>18.899999999999999</v>
      </c>
      <c r="R18" s="215">
        <f t="shared" si="3"/>
        <v>61.199999999999996</v>
      </c>
      <c r="S18" s="171">
        <v>3</v>
      </c>
      <c r="T18" s="285"/>
      <c r="U18" s="283"/>
      <c r="V18" s="178" t="s">
        <v>503</v>
      </c>
      <c r="W18" s="171" t="s">
        <v>17</v>
      </c>
      <c r="X18" s="171" t="s">
        <v>18</v>
      </c>
      <c r="Y18" s="179">
        <v>41.3</v>
      </c>
      <c r="Z18" s="171" t="s">
        <v>506</v>
      </c>
      <c r="AA18" s="171" t="s">
        <v>20</v>
      </c>
      <c r="AB18" s="171" t="s">
        <v>12</v>
      </c>
      <c r="AC18" s="171">
        <v>13.8</v>
      </c>
      <c r="AD18" s="178" t="s">
        <v>504</v>
      </c>
      <c r="AE18" s="171" t="s">
        <v>96</v>
      </c>
      <c r="AF18" s="171" t="s">
        <v>12</v>
      </c>
      <c r="AG18" s="171">
        <v>5.0999999999999996</v>
      </c>
      <c r="AH18" s="178" t="s">
        <v>505</v>
      </c>
      <c r="AI18" s="171" t="s">
        <v>87</v>
      </c>
      <c r="AJ18" s="171" t="s">
        <v>18</v>
      </c>
      <c r="AK18" s="171">
        <v>1</v>
      </c>
      <c r="AL18" s="178"/>
      <c r="AO18" s="179"/>
      <c r="AP18" s="178"/>
      <c r="AT18" s="251"/>
      <c r="AW18" s="179"/>
      <c r="BA18" s="180"/>
    </row>
    <row r="19" spans="1:53" s="29" customFormat="1" x14ac:dyDescent="0.15">
      <c r="A19" s="52">
        <v>1963.9714285714299</v>
      </c>
      <c r="B19" s="295">
        <v>23580</v>
      </c>
      <c r="C19" s="411" t="s">
        <v>710</v>
      </c>
      <c r="D19" s="411"/>
      <c r="E19" s="29">
        <f>366-E18</f>
        <v>163</v>
      </c>
      <c r="F19" s="29">
        <v>5</v>
      </c>
      <c r="G19" s="66"/>
      <c r="H19" s="29">
        <v>17</v>
      </c>
      <c r="I19" s="29">
        <v>9</v>
      </c>
      <c r="J19" s="73">
        <v>26</v>
      </c>
      <c r="K19" s="47">
        <f t="shared" si="1"/>
        <v>0</v>
      </c>
      <c r="L19" s="47">
        <f t="shared" si="1"/>
        <v>65.384615384615387</v>
      </c>
      <c r="M19" s="47">
        <f t="shared" si="1"/>
        <v>34.615384615384613</v>
      </c>
      <c r="N19" s="68">
        <f t="shared" si="2"/>
        <v>100</v>
      </c>
      <c r="O19" s="46"/>
      <c r="P19" s="47">
        <v>42.3</v>
      </c>
      <c r="Q19" s="47">
        <v>18.899999999999999</v>
      </c>
      <c r="R19" s="48">
        <f t="shared" si="3"/>
        <v>61.199999999999996</v>
      </c>
      <c r="S19" s="29">
        <v>3</v>
      </c>
      <c r="T19" s="286"/>
      <c r="U19" s="295">
        <v>23580</v>
      </c>
      <c r="V19" s="38" t="s">
        <v>503</v>
      </c>
      <c r="W19" s="29" t="s">
        <v>17</v>
      </c>
      <c r="X19" s="29" t="s">
        <v>18</v>
      </c>
      <c r="Y19" s="39">
        <v>41.3</v>
      </c>
      <c r="Z19" s="29" t="s">
        <v>506</v>
      </c>
      <c r="AA19" s="29" t="s">
        <v>20</v>
      </c>
      <c r="AB19" s="29" t="s">
        <v>12</v>
      </c>
      <c r="AC19" s="29">
        <v>13.8</v>
      </c>
      <c r="AD19" s="38" t="s">
        <v>504</v>
      </c>
      <c r="AE19" s="29" t="s">
        <v>96</v>
      </c>
      <c r="AF19" s="29" t="s">
        <v>12</v>
      </c>
      <c r="AG19" s="29">
        <v>5.0999999999999996</v>
      </c>
      <c r="AH19" s="38" t="s">
        <v>505</v>
      </c>
      <c r="AI19" s="29" t="s">
        <v>87</v>
      </c>
      <c r="AJ19" s="29" t="s">
        <v>18</v>
      </c>
      <c r="AK19" s="29">
        <v>1</v>
      </c>
      <c r="AL19" s="38"/>
      <c r="AO19" s="39"/>
      <c r="AP19" s="38"/>
      <c r="AT19" s="91"/>
      <c r="AW19" s="39"/>
      <c r="BA19" s="40"/>
    </row>
    <row r="20" spans="1:53" s="29" customFormat="1" x14ac:dyDescent="0.15">
      <c r="A20" s="52">
        <v>1965</v>
      </c>
      <c r="B20" s="295"/>
      <c r="C20" s="411" t="s">
        <v>710</v>
      </c>
      <c r="D20" s="411"/>
      <c r="E20" s="29">
        <v>0</v>
      </c>
      <c r="G20" s="66"/>
      <c r="H20" s="29">
        <v>17</v>
      </c>
      <c r="I20" s="29">
        <v>9</v>
      </c>
      <c r="J20" s="73">
        <v>26</v>
      </c>
      <c r="K20" s="47">
        <f t="shared" si="1"/>
        <v>0</v>
      </c>
      <c r="L20" s="47">
        <f t="shared" si="1"/>
        <v>65.384615384615387</v>
      </c>
      <c r="M20" s="47">
        <f t="shared" si="1"/>
        <v>34.615384615384613</v>
      </c>
      <c r="N20" s="68">
        <f t="shared" si="2"/>
        <v>100</v>
      </c>
      <c r="O20" s="46"/>
      <c r="P20" s="47">
        <v>42.3</v>
      </c>
      <c r="Q20" s="47">
        <v>18.899999999999999</v>
      </c>
      <c r="R20" s="48">
        <f t="shared" si="3"/>
        <v>61.199999999999996</v>
      </c>
      <c r="S20" s="29">
        <v>3</v>
      </c>
      <c r="T20" s="286"/>
      <c r="U20" s="295"/>
      <c r="V20" s="38" t="s">
        <v>503</v>
      </c>
      <c r="W20" s="29" t="s">
        <v>17</v>
      </c>
      <c r="X20" s="29" t="s">
        <v>18</v>
      </c>
      <c r="Y20" s="39">
        <v>41.3</v>
      </c>
      <c r="Z20" s="29" t="s">
        <v>506</v>
      </c>
      <c r="AA20" s="29" t="s">
        <v>20</v>
      </c>
      <c r="AB20" s="29" t="s">
        <v>12</v>
      </c>
      <c r="AC20" s="29">
        <v>13.8</v>
      </c>
      <c r="AD20" s="38" t="s">
        <v>504</v>
      </c>
      <c r="AE20" s="29" t="s">
        <v>96</v>
      </c>
      <c r="AF20" s="29" t="s">
        <v>12</v>
      </c>
      <c r="AG20" s="29">
        <v>5.0999999999999996</v>
      </c>
      <c r="AH20" s="38" t="s">
        <v>505</v>
      </c>
      <c r="AI20" s="29" t="s">
        <v>87</v>
      </c>
      <c r="AJ20" s="29" t="s">
        <v>18</v>
      </c>
      <c r="AK20" s="29">
        <v>1</v>
      </c>
      <c r="AL20" s="38"/>
      <c r="AO20" s="39"/>
      <c r="AP20" s="38"/>
      <c r="AT20" s="91"/>
      <c r="AW20" s="39"/>
      <c r="BA20" s="40"/>
    </row>
    <row r="21" spans="1:53" s="29" customFormat="1" x14ac:dyDescent="0.15">
      <c r="A21" s="52">
        <v>1964.88571428572</v>
      </c>
      <c r="B21" s="295"/>
      <c r="C21" s="411" t="s">
        <v>710</v>
      </c>
      <c r="D21" s="411"/>
      <c r="E21" s="29">
        <v>365</v>
      </c>
      <c r="G21" s="66"/>
      <c r="H21" s="29">
        <v>17</v>
      </c>
      <c r="I21" s="29">
        <v>9</v>
      </c>
      <c r="J21" s="73">
        <v>26</v>
      </c>
      <c r="K21" s="47">
        <f t="shared" si="1"/>
        <v>0</v>
      </c>
      <c r="L21" s="47">
        <f t="shared" si="1"/>
        <v>65.384615384615387</v>
      </c>
      <c r="M21" s="47">
        <f t="shared" si="1"/>
        <v>34.615384615384613</v>
      </c>
      <c r="N21" s="68">
        <f t="shared" si="2"/>
        <v>100</v>
      </c>
      <c r="O21" s="46"/>
      <c r="P21" s="47">
        <v>42.3</v>
      </c>
      <c r="Q21" s="47">
        <v>18.899999999999999</v>
      </c>
      <c r="R21" s="48">
        <f t="shared" si="3"/>
        <v>61.199999999999996</v>
      </c>
      <c r="S21" s="29">
        <v>3</v>
      </c>
      <c r="T21" s="286"/>
      <c r="U21" s="295"/>
      <c r="V21" s="38" t="s">
        <v>503</v>
      </c>
      <c r="W21" s="29" t="s">
        <v>17</v>
      </c>
      <c r="X21" s="29" t="s">
        <v>18</v>
      </c>
      <c r="Y21" s="39">
        <v>41.3</v>
      </c>
      <c r="Z21" s="29" t="s">
        <v>506</v>
      </c>
      <c r="AA21" s="29" t="s">
        <v>20</v>
      </c>
      <c r="AB21" s="29" t="s">
        <v>12</v>
      </c>
      <c r="AC21" s="29">
        <v>13.8</v>
      </c>
      <c r="AD21" s="38" t="s">
        <v>504</v>
      </c>
      <c r="AE21" s="29" t="s">
        <v>96</v>
      </c>
      <c r="AF21" s="29" t="s">
        <v>12</v>
      </c>
      <c r="AG21" s="29">
        <v>5.0999999999999996</v>
      </c>
      <c r="AH21" s="38" t="s">
        <v>505</v>
      </c>
      <c r="AI21" s="29" t="s">
        <v>87</v>
      </c>
      <c r="AJ21" s="29" t="s">
        <v>18</v>
      </c>
      <c r="AK21" s="29">
        <v>1</v>
      </c>
      <c r="AL21" s="38"/>
      <c r="AO21" s="39"/>
      <c r="AP21" s="38"/>
      <c r="AT21" s="91"/>
      <c r="AW21" s="39"/>
      <c r="BA21" s="40"/>
    </row>
    <row r="22" spans="1:53" s="29" customFormat="1" x14ac:dyDescent="0.15">
      <c r="A22" s="52">
        <v>1966</v>
      </c>
      <c r="B22" s="295"/>
      <c r="C22" s="411" t="s">
        <v>710</v>
      </c>
      <c r="D22" s="411"/>
      <c r="E22" s="29">
        <v>53</v>
      </c>
      <c r="G22" s="66"/>
      <c r="H22" s="29">
        <v>17</v>
      </c>
      <c r="I22" s="29">
        <v>9</v>
      </c>
      <c r="J22" s="73">
        <v>26</v>
      </c>
      <c r="K22" s="47">
        <f t="shared" si="1"/>
        <v>0</v>
      </c>
      <c r="L22" s="47">
        <f t="shared" si="1"/>
        <v>65.384615384615387</v>
      </c>
      <c r="M22" s="47">
        <f t="shared" si="1"/>
        <v>34.615384615384613</v>
      </c>
      <c r="N22" s="68">
        <f t="shared" si="2"/>
        <v>100</v>
      </c>
      <c r="O22" s="46"/>
      <c r="P22" s="47">
        <v>42.3</v>
      </c>
      <c r="Q22" s="47">
        <v>18.899999999999999</v>
      </c>
      <c r="R22" s="48">
        <f t="shared" si="3"/>
        <v>61.199999999999996</v>
      </c>
      <c r="S22" s="29">
        <v>3</v>
      </c>
      <c r="T22" s="286"/>
      <c r="U22" s="295"/>
      <c r="V22" s="38" t="s">
        <v>503</v>
      </c>
      <c r="W22" s="29" t="s">
        <v>17</v>
      </c>
      <c r="X22" s="29" t="s">
        <v>18</v>
      </c>
      <c r="Y22" s="39">
        <v>41.3</v>
      </c>
      <c r="Z22" s="29" t="s">
        <v>506</v>
      </c>
      <c r="AA22" s="29" t="s">
        <v>20</v>
      </c>
      <c r="AB22" s="29" t="s">
        <v>12</v>
      </c>
      <c r="AC22" s="29">
        <v>13.8</v>
      </c>
      <c r="AD22" s="38" t="s">
        <v>504</v>
      </c>
      <c r="AE22" s="29" t="s">
        <v>96</v>
      </c>
      <c r="AF22" s="29" t="s">
        <v>12</v>
      </c>
      <c r="AG22" s="29">
        <v>5.0999999999999996</v>
      </c>
      <c r="AH22" s="38" t="s">
        <v>505</v>
      </c>
      <c r="AI22" s="29" t="s">
        <v>87</v>
      </c>
      <c r="AJ22" s="29" t="s">
        <v>18</v>
      </c>
      <c r="AK22" s="29">
        <v>1</v>
      </c>
      <c r="AL22" s="38"/>
      <c r="AO22" s="39"/>
      <c r="AP22" s="38"/>
      <c r="AT22" s="91"/>
      <c r="AW22" s="39"/>
      <c r="BA22" s="40"/>
    </row>
    <row r="23" spans="1:53" s="171" customFormat="1" x14ac:dyDescent="0.15">
      <c r="A23" s="216">
        <v>1965.8</v>
      </c>
      <c r="B23" s="283">
        <v>24161</v>
      </c>
      <c r="C23" s="410" t="s">
        <v>711</v>
      </c>
      <c r="D23" s="410"/>
      <c r="E23" s="171">
        <f>365-E22</f>
        <v>312</v>
      </c>
      <c r="F23" s="171">
        <v>5</v>
      </c>
      <c r="G23" s="233"/>
      <c r="H23" s="171">
        <v>17</v>
      </c>
      <c r="I23" s="171">
        <v>9</v>
      </c>
      <c r="J23" s="241">
        <v>26</v>
      </c>
      <c r="K23" s="214">
        <f t="shared" si="1"/>
        <v>0</v>
      </c>
      <c r="L23" s="214">
        <f t="shared" si="1"/>
        <v>65.384615384615387</v>
      </c>
      <c r="M23" s="214">
        <f t="shared" si="1"/>
        <v>34.615384615384613</v>
      </c>
      <c r="N23" s="235">
        <f t="shared" si="2"/>
        <v>100</v>
      </c>
      <c r="O23" s="213"/>
      <c r="P23" s="214">
        <v>42.3</v>
      </c>
      <c r="Q23" s="214">
        <v>18.899999999999999</v>
      </c>
      <c r="R23" s="215">
        <f t="shared" si="3"/>
        <v>61.199999999999996</v>
      </c>
      <c r="S23" s="171">
        <v>3</v>
      </c>
      <c r="T23" s="285"/>
      <c r="U23" s="283">
        <v>24161</v>
      </c>
      <c r="V23" s="178" t="s">
        <v>503</v>
      </c>
      <c r="W23" s="171" t="s">
        <v>17</v>
      </c>
      <c r="X23" s="171" t="s">
        <v>18</v>
      </c>
      <c r="Y23" s="179">
        <v>41.3</v>
      </c>
      <c r="Z23" s="171" t="s">
        <v>506</v>
      </c>
      <c r="AA23" s="171" t="s">
        <v>20</v>
      </c>
      <c r="AB23" s="171" t="s">
        <v>12</v>
      </c>
      <c r="AC23" s="171">
        <v>13.8</v>
      </c>
      <c r="AD23" s="178" t="s">
        <v>504</v>
      </c>
      <c r="AE23" s="171" t="s">
        <v>96</v>
      </c>
      <c r="AF23" s="171" t="s">
        <v>12</v>
      </c>
      <c r="AG23" s="171">
        <v>5.0999999999999996</v>
      </c>
      <c r="AH23" s="178" t="s">
        <v>505</v>
      </c>
      <c r="AI23" s="171" t="s">
        <v>87</v>
      </c>
      <c r="AJ23" s="171" t="s">
        <v>18</v>
      </c>
      <c r="AK23" s="171">
        <v>1</v>
      </c>
      <c r="AL23" s="178"/>
      <c r="AO23" s="179"/>
      <c r="AP23" s="178"/>
      <c r="AT23" s="251"/>
      <c r="AW23" s="179"/>
      <c r="BA23" s="180"/>
    </row>
    <row r="24" spans="1:53" s="171" customFormat="1" x14ac:dyDescent="0.15">
      <c r="A24" s="216">
        <v>1967</v>
      </c>
      <c r="B24" s="283"/>
      <c r="C24" s="410" t="s">
        <v>711</v>
      </c>
      <c r="D24" s="410"/>
      <c r="E24" s="171">
        <v>0</v>
      </c>
      <c r="G24" s="233"/>
      <c r="H24" s="171">
        <v>17</v>
      </c>
      <c r="I24" s="171">
        <v>9</v>
      </c>
      <c r="J24" s="241">
        <v>26</v>
      </c>
      <c r="K24" s="214">
        <f t="shared" si="1"/>
        <v>0</v>
      </c>
      <c r="L24" s="214">
        <f t="shared" si="1"/>
        <v>65.384615384615387</v>
      </c>
      <c r="M24" s="214">
        <f t="shared" si="1"/>
        <v>34.615384615384613</v>
      </c>
      <c r="N24" s="235">
        <f t="shared" si="2"/>
        <v>100</v>
      </c>
      <c r="O24" s="213"/>
      <c r="P24" s="214">
        <v>42.3</v>
      </c>
      <c r="Q24" s="214">
        <v>18.899999999999999</v>
      </c>
      <c r="R24" s="215">
        <f t="shared" si="3"/>
        <v>61.199999999999996</v>
      </c>
      <c r="S24" s="171">
        <v>3</v>
      </c>
      <c r="T24" s="285"/>
      <c r="U24" s="283"/>
      <c r="V24" s="178" t="s">
        <v>503</v>
      </c>
      <c r="W24" s="171" t="s">
        <v>17</v>
      </c>
      <c r="X24" s="171" t="s">
        <v>18</v>
      </c>
      <c r="Y24" s="179">
        <v>41.3</v>
      </c>
      <c r="Z24" s="171" t="s">
        <v>506</v>
      </c>
      <c r="AA24" s="171" t="s">
        <v>20</v>
      </c>
      <c r="AB24" s="171" t="s">
        <v>12</v>
      </c>
      <c r="AC24" s="171">
        <v>13.8</v>
      </c>
      <c r="AD24" s="178" t="s">
        <v>504</v>
      </c>
      <c r="AE24" s="171" t="s">
        <v>96</v>
      </c>
      <c r="AF24" s="171" t="s">
        <v>12</v>
      </c>
      <c r="AG24" s="171">
        <v>5.0999999999999996</v>
      </c>
      <c r="AH24" s="178" t="s">
        <v>505</v>
      </c>
      <c r="AI24" s="171" t="s">
        <v>87</v>
      </c>
      <c r="AJ24" s="171" t="s">
        <v>18</v>
      </c>
      <c r="AK24" s="171">
        <v>1</v>
      </c>
      <c r="AL24" s="178"/>
      <c r="AO24" s="179"/>
      <c r="AP24" s="178"/>
      <c r="AT24" s="251"/>
      <c r="AW24" s="179"/>
      <c r="BA24" s="180"/>
    </row>
    <row r="25" spans="1:53" s="171" customFormat="1" x14ac:dyDescent="0.15">
      <c r="A25" s="216">
        <v>1966.7142857142901</v>
      </c>
      <c r="B25" s="283"/>
      <c r="C25" s="410" t="s">
        <v>711</v>
      </c>
      <c r="D25" s="410"/>
      <c r="E25" s="171">
        <v>365</v>
      </c>
      <c r="G25" s="233"/>
      <c r="H25" s="171">
        <v>17</v>
      </c>
      <c r="I25" s="171">
        <v>9</v>
      </c>
      <c r="J25" s="241">
        <v>26</v>
      </c>
      <c r="K25" s="214">
        <f t="shared" ref="K25:M66" si="4">G25/$J25*100</f>
        <v>0</v>
      </c>
      <c r="L25" s="214">
        <f t="shared" si="4"/>
        <v>65.384615384615387</v>
      </c>
      <c r="M25" s="214">
        <f t="shared" si="4"/>
        <v>34.615384615384613</v>
      </c>
      <c r="N25" s="235">
        <f t="shared" si="2"/>
        <v>100</v>
      </c>
      <c r="O25" s="213"/>
      <c r="P25" s="214">
        <v>42.3</v>
      </c>
      <c r="Q25" s="214">
        <v>18.899999999999999</v>
      </c>
      <c r="R25" s="215">
        <f t="shared" si="3"/>
        <v>61.199999999999996</v>
      </c>
      <c r="S25" s="171">
        <v>3</v>
      </c>
      <c r="T25" s="285"/>
      <c r="U25" s="283"/>
      <c r="V25" s="178" t="s">
        <v>503</v>
      </c>
      <c r="W25" s="171" t="s">
        <v>17</v>
      </c>
      <c r="X25" s="171" t="s">
        <v>18</v>
      </c>
      <c r="Y25" s="179">
        <v>41.3</v>
      </c>
      <c r="Z25" s="171" t="s">
        <v>506</v>
      </c>
      <c r="AA25" s="171" t="s">
        <v>20</v>
      </c>
      <c r="AB25" s="171" t="s">
        <v>12</v>
      </c>
      <c r="AC25" s="171">
        <v>13.8</v>
      </c>
      <c r="AD25" s="178" t="s">
        <v>504</v>
      </c>
      <c r="AE25" s="171" t="s">
        <v>96</v>
      </c>
      <c r="AF25" s="171" t="s">
        <v>12</v>
      </c>
      <c r="AG25" s="171">
        <v>5.0999999999999996</v>
      </c>
      <c r="AH25" s="178" t="s">
        <v>505</v>
      </c>
      <c r="AI25" s="171" t="s">
        <v>87</v>
      </c>
      <c r="AJ25" s="171" t="s">
        <v>18</v>
      </c>
      <c r="AK25" s="171">
        <v>1</v>
      </c>
      <c r="AL25" s="178"/>
      <c r="AO25" s="179"/>
      <c r="AP25" s="178"/>
      <c r="AT25" s="251"/>
      <c r="AW25" s="179"/>
      <c r="BA25" s="180"/>
    </row>
    <row r="26" spans="1:53" s="171" customFormat="1" x14ac:dyDescent="0.15">
      <c r="A26" s="216">
        <v>1968</v>
      </c>
      <c r="B26" s="283"/>
      <c r="C26" s="410" t="s">
        <v>711</v>
      </c>
      <c r="D26" s="410"/>
      <c r="E26" s="171">
        <v>176</v>
      </c>
      <c r="G26" s="233"/>
      <c r="H26" s="171">
        <v>17</v>
      </c>
      <c r="I26" s="171">
        <v>9</v>
      </c>
      <c r="J26" s="241">
        <v>26</v>
      </c>
      <c r="K26" s="214">
        <f t="shared" si="4"/>
        <v>0</v>
      </c>
      <c r="L26" s="214">
        <f t="shared" si="4"/>
        <v>65.384615384615387</v>
      </c>
      <c r="M26" s="214">
        <f t="shared" si="4"/>
        <v>34.615384615384613</v>
      </c>
      <c r="N26" s="235">
        <f t="shared" si="2"/>
        <v>100</v>
      </c>
      <c r="O26" s="213"/>
      <c r="P26" s="214">
        <v>42.3</v>
      </c>
      <c r="Q26" s="214">
        <v>18.899999999999999</v>
      </c>
      <c r="R26" s="215">
        <f t="shared" si="3"/>
        <v>61.199999999999996</v>
      </c>
      <c r="S26" s="171">
        <v>3</v>
      </c>
      <c r="T26" s="285"/>
      <c r="U26" s="283"/>
      <c r="V26" s="178" t="s">
        <v>503</v>
      </c>
      <c r="W26" s="171" t="s">
        <v>17</v>
      </c>
      <c r="X26" s="171" t="s">
        <v>18</v>
      </c>
      <c r="Y26" s="179">
        <v>41.3</v>
      </c>
      <c r="Z26" s="171" t="s">
        <v>506</v>
      </c>
      <c r="AA26" s="171" t="s">
        <v>20</v>
      </c>
      <c r="AB26" s="171" t="s">
        <v>12</v>
      </c>
      <c r="AC26" s="171">
        <v>13.8</v>
      </c>
      <c r="AD26" s="178" t="s">
        <v>504</v>
      </c>
      <c r="AE26" s="171" t="s">
        <v>96</v>
      </c>
      <c r="AF26" s="171" t="s">
        <v>12</v>
      </c>
      <c r="AG26" s="171">
        <v>5.0999999999999996</v>
      </c>
      <c r="AH26" s="178" t="s">
        <v>505</v>
      </c>
      <c r="AI26" s="171" t="s">
        <v>87</v>
      </c>
      <c r="AJ26" s="171" t="s">
        <v>18</v>
      </c>
      <c r="AK26" s="171">
        <v>1</v>
      </c>
      <c r="AL26" s="178"/>
      <c r="AO26" s="179"/>
      <c r="AP26" s="178"/>
      <c r="AT26" s="251"/>
      <c r="AW26" s="179"/>
      <c r="BA26" s="180"/>
    </row>
    <row r="27" spans="1:53" s="29" customFormat="1" x14ac:dyDescent="0.15">
      <c r="A27" s="52">
        <v>1967.62857142857</v>
      </c>
      <c r="B27" s="295">
        <v>25014</v>
      </c>
      <c r="C27" s="411" t="s">
        <v>712</v>
      </c>
      <c r="D27" s="411"/>
      <c r="E27" s="29">
        <v>170</v>
      </c>
      <c r="F27" s="29">
        <v>1</v>
      </c>
      <c r="G27" s="66"/>
      <c r="H27" s="29">
        <v>23</v>
      </c>
      <c r="J27" s="73">
        <v>23</v>
      </c>
      <c r="K27" s="47">
        <f t="shared" si="4"/>
        <v>0</v>
      </c>
      <c r="L27" s="47">
        <f t="shared" si="4"/>
        <v>100</v>
      </c>
      <c r="M27" s="47">
        <f t="shared" si="4"/>
        <v>0</v>
      </c>
      <c r="N27" s="68">
        <f t="shared" si="2"/>
        <v>100</v>
      </c>
      <c r="O27" s="46"/>
      <c r="P27" s="47">
        <v>42.2</v>
      </c>
      <c r="Q27" s="47"/>
      <c r="R27" s="48">
        <f t="shared" si="3"/>
        <v>42.2</v>
      </c>
      <c r="S27" s="29">
        <v>4</v>
      </c>
      <c r="T27" s="286">
        <v>24977</v>
      </c>
      <c r="U27" s="295">
        <v>25014</v>
      </c>
      <c r="V27" s="38" t="s">
        <v>503</v>
      </c>
      <c r="W27" s="29" t="s">
        <v>17</v>
      </c>
      <c r="X27" s="29" t="s">
        <v>18</v>
      </c>
      <c r="Y27" s="39">
        <v>42.2</v>
      </c>
      <c r="AD27" s="38"/>
      <c r="AG27" s="39"/>
      <c r="AL27" s="38"/>
      <c r="AO27" s="39"/>
      <c r="AP27" s="38"/>
      <c r="AT27" s="91"/>
      <c r="AW27" s="39"/>
      <c r="BA27" s="40"/>
    </row>
    <row r="28" spans="1:53" s="171" customFormat="1" x14ac:dyDescent="0.15">
      <c r="A28" s="216">
        <v>1968</v>
      </c>
      <c r="B28" s="283">
        <v>25184</v>
      </c>
      <c r="C28" s="410" t="s">
        <v>713</v>
      </c>
      <c r="D28" s="410"/>
      <c r="E28" s="171">
        <f>366-E27-E26</f>
        <v>20</v>
      </c>
      <c r="F28" s="171">
        <v>2</v>
      </c>
      <c r="G28" s="233"/>
      <c r="H28" s="171">
        <v>18</v>
      </c>
      <c r="I28" s="171">
        <v>9</v>
      </c>
      <c r="J28" s="241">
        <v>27</v>
      </c>
      <c r="K28" s="214">
        <f t="shared" si="4"/>
        <v>0</v>
      </c>
      <c r="L28" s="214">
        <f t="shared" si="4"/>
        <v>66.666666666666657</v>
      </c>
      <c r="M28" s="214">
        <f t="shared" si="4"/>
        <v>33.333333333333329</v>
      </c>
      <c r="N28" s="235">
        <f t="shared" si="2"/>
        <v>99.999999999999986</v>
      </c>
      <c r="O28" s="213"/>
      <c r="P28" s="214">
        <v>43.6</v>
      </c>
      <c r="Q28" s="214">
        <v>14.4</v>
      </c>
      <c r="R28" s="215">
        <f t="shared" si="3"/>
        <v>58</v>
      </c>
      <c r="S28" s="171">
        <v>3</v>
      </c>
      <c r="T28" s="285"/>
      <c r="U28" s="283">
        <v>25184</v>
      </c>
      <c r="V28" s="178" t="s">
        <v>503</v>
      </c>
      <c r="W28" s="171" t="s">
        <v>17</v>
      </c>
      <c r="X28" s="171" t="s">
        <v>18</v>
      </c>
      <c r="Y28" s="179">
        <v>42.2</v>
      </c>
      <c r="Z28" s="171" t="s">
        <v>507</v>
      </c>
      <c r="AA28" s="171" t="s">
        <v>97</v>
      </c>
      <c r="AB28" s="171" t="s">
        <v>12</v>
      </c>
      <c r="AC28" s="171">
        <v>14.4</v>
      </c>
      <c r="AD28" s="178" t="s">
        <v>505</v>
      </c>
      <c r="AE28" s="171" t="s">
        <v>87</v>
      </c>
      <c r="AF28" s="171" t="s">
        <v>18</v>
      </c>
      <c r="AG28" s="179">
        <v>1.4</v>
      </c>
      <c r="AL28" s="178"/>
      <c r="AO28" s="179"/>
      <c r="AP28" s="178"/>
      <c r="AT28" s="251"/>
      <c r="AW28" s="179"/>
      <c r="BA28" s="180"/>
    </row>
    <row r="29" spans="1:53" s="171" customFormat="1" x14ac:dyDescent="0.15">
      <c r="A29" s="216">
        <v>1969</v>
      </c>
      <c r="B29" s="283"/>
      <c r="C29" s="410" t="s">
        <v>713</v>
      </c>
      <c r="D29" s="410"/>
      <c r="E29" s="171">
        <v>216</v>
      </c>
      <c r="G29" s="233"/>
      <c r="H29" s="171">
        <v>18</v>
      </c>
      <c r="I29" s="171">
        <v>9</v>
      </c>
      <c r="J29" s="241">
        <v>27</v>
      </c>
      <c r="K29" s="214">
        <f t="shared" si="4"/>
        <v>0</v>
      </c>
      <c r="L29" s="214">
        <f t="shared" si="4"/>
        <v>66.666666666666657</v>
      </c>
      <c r="M29" s="214">
        <f t="shared" si="4"/>
        <v>33.333333333333329</v>
      </c>
      <c r="N29" s="235">
        <f t="shared" si="2"/>
        <v>99.999999999999986</v>
      </c>
      <c r="O29" s="213"/>
      <c r="P29" s="214">
        <v>43.6</v>
      </c>
      <c r="Q29" s="214">
        <v>14.4</v>
      </c>
      <c r="R29" s="215">
        <f t="shared" si="3"/>
        <v>58</v>
      </c>
      <c r="S29" s="171">
        <v>3</v>
      </c>
      <c r="T29" s="285"/>
      <c r="U29" s="283"/>
      <c r="V29" s="178" t="s">
        <v>503</v>
      </c>
      <c r="W29" s="171" t="s">
        <v>17</v>
      </c>
      <c r="X29" s="171" t="s">
        <v>18</v>
      </c>
      <c r="Y29" s="179">
        <v>42.2</v>
      </c>
      <c r="Z29" s="171" t="s">
        <v>507</v>
      </c>
      <c r="AA29" s="171" t="s">
        <v>97</v>
      </c>
      <c r="AB29" s="171" t="s">
        <v>12</v>
      </c>
      <c r="AC29" s="171">
        <v>14.4</v>
      </c>
      <c r="AD29" s="178" t="s">
        <v>505</v>
      </c>
      <c r="AE29" s="171" t="s">
        <v>87</v>
      </c>
      <c r="AF29" s="171" t="s">
        <v>18</v>
      </c>
      <c r="AG29" s="179">
        <v>1.4</v>
      </c>
      <c r="AL29" s="178"/>
      <c r="AO29" s="179"/>
      <c r="AP29" s="178"/>
      <c r="AT29" s="251"/>
      <c r="AW29" s="179"/>
      <c r="BA29" s="180"/>
    </row>
    <row r="30" spans="1:53" s="29" customFormat="1" x14ac:dyDescent="0.15">
      <c r="A30" s="52">
        <v>1968.5428571428599</v>
      </c>
      <c r="B30" s="295">
        <v>25420</v>
      </c>
      <c r="C30" s="411" t="s">
        <v>714</v>
      </c>
      <c r="D30" s="411"/>
      <c r="E30" s="29">
        <f>365-E29</f>
        <v>149</v>
      </c>
      <c r="F30" s="29">
        <v>4</v>
      </c>
      <c r="G30" s="66"/>
      <c r="H30" s="29">
        <v>24</v>
      </c>
      <c r="J30" s="73">
        <v>24</v>
      </c>
      <c r="K30" s="47">
        <f t="shared" si="4"/>
        <v>0</v>
      </c>
      <c r="L30" s="47">
        <f t="shared" si="4"/>
        <v>100</v>
      </c>
      <c r="M30" s="47">
        <f t="shared" si="4"/>
        <v>0</v>
      </c>
      <c r="N30" s="68">
        <f t="shared" si="2"/>
        <v>100</v>
      </c>
      <c r="O30" s="46"/>
      <c r="P30" s="47">
        <v>42.2</v>
      </c>
      <c r="Q30" s="47"/>
      <c r="R30" s="48">
        <f t="shared" si="3"/>
        <v>42.2</v>
      </c>
      <c r="S30" s="29">
        <v>4</v>
      </c>
      <c r="T30" s="286"/>
      <c r="U30" s="295">
        <v>25420</v>
      </c>
      <c r="V30" s="38" t="s">
        <v>503</v>
      </c>
      <c r="W30" s="29" t="s">
        <v>17</v>
      </c>
      <c r="X30" s="29" t="s">
        <v>18</v>
      </c>
      <c r="Y30" s="39">
        <v>42.2</v>
      </c>
      <c r="AD30" s="38"/>
      <c r="AG30" s="39"/>
      <c r="AL30" s="38"/>
      <c r="AO30" s="39"/>
      <c r="AP30" s="38"/>
      <c r="AT30" s="91"/>
      <c r="AW30" s="39"/>
      <c r="BA30" s="40"/>
    </row>
    <row r="31" spans="1:53" s="29" customFormat="1" x14ac:dyDescent="0.15">
      <c r="A31" s="52">
        <v>1970</v>
      </c>
      <c r="B31" s="295"/>
      <c r="C31" s="411" t="s">
        <v>714</v>
      </c>
      <c r="D31" s="411"/>
      <c r="E31" s="29">
        <v>85</v>
      </c>
      <c r="G31" s="66"/>
      <c r="H31" s="29">
        <v>24</v>
      </c>
      <c r="J31" s="73">
        <v>24</v>
      </c>
      <c r="K31" s="47">
        <f t="shared" si="4"/>
        <v>0</v>
      </c>
      <c r="L31" s="47">
        <f t="shared" si="4"/>
        <v>100</v>
      </c>
      <c r="M31" s="47">
        <f t="shared" si="4"/>
        <v>0</v>
      </c>
      <c r="N31" s="68">
        <f t="shared" si="2"/>
        <v>100</v>
      </c>
      <c r="O31" s="46"/>
      <c r="P31" s="47">
        <v>42.2</v>
      </c>
      <c r="Q31" s="47"/>
      <c r="R31" s="48">
        <f t="shared" si="3"/>
        <v>42.2</v>
      </c>
      <c r="S31" s="29">
        <v>4</v>
      </c>
      <c r="T31" s="286"/>
      <c r="U31" s="295"/>
      <c r="V31" s="38" t="s">
        <v>503</v>
      </c>
      <c r="W31" s="29" t="s">
        <v>17</v>
      </c>
      <c r="X31" s="29" t="s">
        <v>18</v>
      </c>
      <c r="Y31" s="39">
        <v>42.2</v>
      </c>
      <c r="AD31" s="38"/>
      <c r="AG31" s="39"/>
      <c r="AL31" s="38"/>
      <c r="AO31" s="39"/>
      <c r="AP31" s="38"/>
      <c r="AT31" s="91"/>
      <c r="AW31" s="39"/>
      <c r="BA31" s="40"/>
    </row>
    <row r="32" spans="1:53" s="171" customFormat="1" x14ac:dyDescent="0.15">
      <c r="A32" s="216">
        <v>1970</v>
      </c>
      <c r="B32" s="283">
        <v>25654</v>
      </c>
      <c r="C32" s="410" t="s">
        <v>715</v>
      </c>
      <c r="D32" s="410"/>
      <c r="E32" s="171">
        <v>132</v>
      </c>
      <c r="F32" s="171">
        <v>2</v>
      </c>
      <c r="G32" s="233"/>
      <c r="H32" s="171">
        <v>18</v>
      </c>
      <c r="I32" s="171">
        <v>9</v>
      </c>
      <c r="J32" s="241">
        <v>27</v>
      </c>
      <c r="K32" s="214">
        <f t="shared" si="4"/>
        <v>0</v>
      </c>
      <c r="L32" s="214">
        <f t="shared" si="4"/>
        <v>66.666666666666657</v>
      </c>
      <c r="M32" s="214">
        <f t="shared" si="4"/>
        <v>33.333333333333329</v>
      </c>
      <c r="N32" s="235">
        <f t="shared" si="2"/>
        <v>99.999999999999986</v>
      </c>
      <c r="O32" s="213"/>
      <c r="P32" s="214">
        <v>43.6</v>
      </c>
      <c r="Q32" s="214">
        <v>14.4</v>
      </c>
      <c r="R32" s="215">
        <f t="shared" si="3"/>
        <v>58</v>
      </c>
      <c r="S32" s="171">
        <v>3</v>
      </c>
      <c r="T32" s="285"/>
      <c r="U32" s="283">
        <v>25654</v>
      </c>
      <c r="V32" s="178" t="s">
        <v>503</v>
      </c>
      <c r="W32" s="171" t="s">
        <v>17</v>
      </c>
      <c r="X32" s="171" t="s">
        <v>18</v>
      </c>
      <c r="Y32" s="179">
        <v>42.2</v>
      </c>
      <c r="Z32" s="171" t="s">
        <v>507</v>
      </c>
      <c r="AA32" s="171" t="s">
        <v>97</v>
      </c>
      <c r="AB32" s="171" t="s">
        <v>12</v>
      </c>
      <c r="AC32" s="171">
        <v>14.4</v>
      </c>
      <c r="AD32" s="178" t="s">
        <v>505</v>
      </c>
      <c r="AE32" s="171" t="s">
        <v>87</v>
      </c>
      <c r="AF32" s="171" t="s">
        <v>18</v>
      </c>
      <c r="AG32" s="179">
        <v>1.4</v>
      </c>
      <c r="AL32" s="178"/>
      <c r="AO32" s="179"/>
      <c r="AP32" s="178"/>
      <c r="AT32" s="251"/>
      <c r="AW32" s="179"/>
      <c r="BA32" s="180"/>
    </row>
    <row r="33" spans="1:53" s="29" customFormat="1" x14ac:dyDescent="0.15">
      <c r="A33" s="52">
        <v>1970</v>
      </c>
      <c r="B33" s="295">
        <v>25786</v>
      </c>
      <c r="C33" s="411" t="s">
        <v>716</v>
      </c>
      <c r="D33" s="411"/>
      <c r="E33" s="29">
        <f>365-E32-E31</f>
        <v>148</v>
      </c>
      <c r="F33" s="29">
        <v>4</v>
      </c>
      <c r="G33" s="66"/>
      <c r="H33" s="29">
        <v>18</v>
      </c>
      <c r="I33" s="29">
        <v>10</v>
      </c>
      <c r="J33" s="73">
        <v>28</v>
      </c>
      <c r="K33" s="47">
        <f t="shared" si="4"/>
        <v>0</v>
      </c>
      <c r="L33" s="47">
        <f t="shared" si="4"/>
        <v>64.285714285714292</v>
      </c>
      <c r="M33" s="47">
        <f t="shared" si="4"/>
        <v>35.714285714285715</v>
      </c>
      <c r="N33" s="68">
        <f t="shared" si="2"/>
        <v>100</v>
      </c>
      <c r="O33" s="46"/>
      <c r="P33" s="47">
        <v>43.6</v>
      </c>
      <c r="Q33" s="47">
        <v>14.4</v>
      </c>
      <c r="R33" s="48">
        <f t="shared" si="3"/>
        <v>58</v>
      </c>
      <c r="S33" s="29">
        <v>3</v>
      </c>
      <c r="T33" s="286"/>
      <c r="U33" s="295">
        <v>25786</v>
      </c>
      <c r="V33" s="38" t="s">
        <v>503</v>
      </c>
      <c r="W33" s="29" t="s">
        <v>17</v>
      </c>
      <c r="X33" s="29" t="s">
        <v>18</v>
      </c>
      <c r="Y33" s="39">
        <v>42.2</v>
      </c>
      <c r="Z33" s="29" t="s">
        <v>507</v>
      </c>
      <c r="AA33" s="29" t="s">
        <v>97</v>
      </c>
      <c r="AB33" s="29" t="s">
        <v>12</v>
      </c>
      <c r="AC33" s="29">
        <v>14.4</v>
      </c>
      <c r="AD33" s="38" t="s">
        <v>505</v>
      </c>
      <c r="AE33" s="29" t="s">
        <v>87</v>
      </c>
      <c r="AF33" s="29" t="s">
        <v>18</v>
      </c>
      <c r="AG33" s="39">
        <v>1.4</v>
      </c>
      <c r="AL33" s="38"/>
      <c r="AO33" s="39"/>
      <c r="AP33" s="38"/>
      <c r="AT33" s="91"/>
      <c r="AW33" s="39"/>
      <c r="BA33" s="40"/>
    </row>
    <row r="34" spans="1:53" s="29" customFormat="1" x14ac:dyDescent="0.15">
      <c r="A34" s="52">
        <v>1971</v>
      </c>
      <c r="B34" s="295"/>
      <c r="C34" s="411" t="s">
        <v>716</v>
      </c>
      <c r="D34" s="411"/>
      <c r="E34" s="29">
        <v>57</v>
      </c>
      <c r="G34" s="66"/>
      <c r="H34" s="29">
        <v>18</v>
      </c>
      <c r="I34" s="29">
        <v>10</v>
      </c>
      <c r="J34" s="73">
        <v>28</v>
      </c>
      <c r="K34" s="47">
        <f t="shared" si="4"/>
        <v>0</v>
      </c>
      <c r="L34" s="47">
        <f t="shared" si="4"/>
        <v>64.285714285714292</v>
      </c>
      <c r="M34" s="47">
        <f t="shared" si="4"/>
        <v>35.714285714285715</v>
      </c>
      <c r="N34" s="68">
        <f t="shared" si="2"/>
        <v>100</v>
      </c>
      <c r="O34" s="46"/>
      <c r="P34" s="47">
        <v>43.6</v>
      </c>
      <c r="Q34" s="47">
        <v>14.4</v>
      </c>
      <c r="R34" s="48">
        <f t="shared" si="3"/>
        <v>58</v>
      </c>
      <c r="S34" s="29">
        <v>3</v>
      </c>
      <c r="T34" s="286"/>
      <c r="U34" s="295"/>
      <c r="V34" s="38" t="s">
        <v>503</v>
      </c>
      <c r="W34" s="29" t="s">
        <v>17</v>
      </c>
      <c r="X34" s="29" t="s">
        <v>18</v>
      </c>
      <c r="Y34" s="39">
        <v>42.2</v>
      </c>
      <c r="Z34" s="29" t="s">
        <v>507</v>
      </c>
      <c r="AA34" s="29" t="s">
        <v>97</v>
      </c>
      <c r="AB34" s="29" t="s">
        <v>12</v>
      </c>
      <c r="AC34" s="29">
        <v>14.4</v>
      </c>
      <c r="AD34" s="38" t="s">
        <v>505</v>
      </c>
      <c r="AE34" s="29" t="s">
        <v>87</v>
      </c>
      <c r="AF34" s="29" t="s">
        <v>18</v>
      </c>
      <c r="AG34" s="39">
        <v>1.4</v>
      </c>
      <c r="AL34" s="38"/>
      <c r="AO34" s="39"/>
      <c r="AP34" s="38"/>
      <c r="AT34" s="91"/>
      <c r="AW34" s="39"/>
      <c r="BA34" s="40"/>
    </row>
    <row r="35" spans="1:53" s="171" customFormat="1" x14ac:dyDescent="0.15">
      <c r="A35" s="216">
        <v>1971</v>
      </c>
      <c r="B35" s="283">
        <v>25991</v>
      </c>
      <c r="C35" s="410" t="s">
        <v>717</v>
      </c>
      <c r="D35" s="410"/>
      <c r="E35" s="171">
        <v>308</v>
      </c>
      <c r="F35" s="171">
        <v>4</v>
      </c>
      <c r="G35" s="233"/>
      <c r="H35" s="171">
        <v>17</v>
      </c>
      <c r="I35" s="171">
        <v>10</v>
      </c>
      <c r="J35" s="241">
        <v>27</v>
      </c>
      <c r="K35" s="214">
        <f t="shared" si="4"/>
        <v>0</v>
      </c>
      <c r="L35" s="214">
        <f t="shared" si="4"/>
        <v>62.962962962962962</v>
      </c>
      <c r="M35" s="214">
        <f t="shared" si="4"/>
        <v>37.037037037037038</v>
      </c>
      <c r="N35" s="235">
        <f t="shared" si="2"/>
        <v>100</v>
      </c>
      <c r="O35" s="213"/>
      <c r="P35" s="214">
        <v>42.2</v>
      </c>
      <c r="Q35" s="214">
        <v>14.4</v>
      </c>
      <c r="R35" s="215">
        <f t="shared" si="3"/>
        <v>56.6</v>
      </c>
      <c r="S35" s="171">
        <v>3</v>
      </c>
      <c r="T35" s="285"/>
      <c r="U35" s="283">
        <v>25991</v>
      </c>
      <c r="V35" s="178" t="s">
        <v>503</v>
      </c>
      <c r="W35" s="171" t="s">
        <v>17</v>
      </c>
      <c r="X35" s="171" t="s">
        <v>18</v>
      </c>
      <c r="Y35" s="179">
        <v>42.2</v>
      </c>
      <c r="Z35" s="171" t="s">
        <v>507</v>
      </c>
      <c r="AA35" s="171" t="s">
        <v>97</v>
      </c>
      <c r="AB35" s="171" t="s">
        <v>12</v>
      </c>
      <c r="AC35" s="171">
        <v>14.4</v>
      </c>
      <c r="AD35" s="178"/>
      <c r="AG35" s="179"/>
      <c r="AL35" s="178"/>
      <c r="AO35" s="179"/>
      <c r="AP35" s="178"/>
      <c r="AT35" s="251"/>
      <c r="AW35" s="179"/>
      <c r="BA35" s="180"/>
    </row>
    <row r="36" spans="1:53" s="171" customFormat="1" x14ac:dyDescent="0.15">
      <c r="A36" s="216">
        <v>1972</v>
      </c>
      <c r="B36" s="283"/>
      <c r="C36" s="410" t="s">
        <v>717</v>
      </c>
      <c r="D36" s="410"/>
      <c r="E36" s="171">
        <v>48</v>
      </c>
      <c r="G36" s="233"/>
      <c r="H36" s="171">
        <v>17</v>
      </c>
      <c r="I36" s="171">
        <v>10</v>
      </c>
      <c r="J36" s="241">
        <v>27</v>
      </c>
      <c r="K36" s="214">
        <f t="shared" si="4"/>
        <v>0</v>
      </c>
      <c r="L36" s="214">
        <f t="shared" si="4"/>
        <v>62.962962962962962</v>
      </c>
      <c r="M36" s="214">
        <f t="shared" si="4"/>
        <v>37.037037037037038</v>
      </c>
      <c r="N36" s="235">
        <f t="shared" si="2"/>
        <v>100</v>
      </c>
      <c r="O36" s="213"/>
      <c r="P36" s="214">
        <v>42.2</v>
      </c>
      <c r="Q36" s="214">
        <v>14.4</v>
      </c>
      <c r="R36" s="215">
        <f t="shared" si="3"/>
        <v>56.6</v>
      </c>
      <c r="S36" s="171">
        <v>3</v>
      </c>
      <c r="T36" s="285"/>
      <c r="U36" s="283"/>
      <c r="V36" s="178" t="s">
        <v>503</v>
      </c>
      <c r="W36" s="171" t="s">
        <v>17</v>
      </c>
      <c r="X36" s="171" t="s">
        <v>18</v>
      </c>
      <c r="Y36" s="179">
        <v>42.2</v>
      </c>
      <c r="Z36" s="171" t="s">
        <v>507</v>
      </c>
      <c r="AA36" s="171" t="s">
        <v>97</v>
      </c>
      <c r="AB36" s="171" t="s">
        <v>12</v>
      </c>
      <c r="AC36" s="171">
        <v>14.4</v>
      </c>
      <c r="AD36" s="178"/>
      <c r="AG36" s="179"/>
      <c r="AL36" s="178"/>
      <c r="AO36" s="179"/>
      <c r="AP36" s="178"/>
      <c r="AT36" s="251"/>
      <c r="AW36" s="179"/>
      <c r="BA36" s="180"/>
    </row>
    <row r="37" spans="1:53" s="29" customFormat="1" x14ac:dyDescent="0.15">
      <c r="A37" s="52">
        <v>1972</v>
      </c>
      <c r="B37" s="295">
        <v>26347</v>
      </c>
      <c r="C37" s="411" t="s">
        <v>718</v>
      </c>
      <c r="D37" s="411"/>
      <c r="E37" s="29">
        <v>129</v>
      </c>
      <c r="F37" s="29">
        <v>4</v>
      </c>
      <c r="G37" s="66"/>
      <c r="H37" s="29">
        <v>25</v>
      </c>
      <c r="J37" s="73">
        <v>25</v>
      </c>
      <c r="K37" s="47">
        <f t="shared" si="4"/>
        <v>0</v>
      </c>
      <c r="L37" s="47">
        <f t="shared" si="4"/>
        <v>100</v>
      </c>
      <c r="M37" s="47">
        <f t="shared" si="4"/>
        <v>0</v>
      </c>
      <c r="N37" s="68">
        <f t="shared" si="2"/>
        <v>100</v>
      </c>
      <c r="O37" s="46"/>
      <c r="P37" s="47">
        <v>42.2</v>
      </c>
      <c r="Q37" s="47"/>
      <c r="R37" s="48">
        <f t="shared" si="3"/>
        <v>42.2</v>
      </c>
      <c r="S37" s="29">
        <v>4</v>
      </c>
      <c r="T37" s="286"/>
      <c r="U37" s="295">
        <v>26347</v>
      </c>
      <c r="V37" s="38" t="s">
        <v>503</v>
      </c>
      <c r="W37" s="29" t="s">
        <v>17</v>
      </c>
      <c r="X37" s="29" t="s">
        <v>18</v>
      </c>
      <c r="Y37" s="39">
        <v>42.2</v>
      </c>
      <c r="AD37" s="38"/>
      <c r="AG37" s="39"/>
      <c r="AL37" s="38"/>
      <c r="AO37" s="39"/>
      <c r="AP37" s="38"/>
      <c r="AT37" s="91"/>
      <c r="AW37" s="39"/>
      <c r="BA37" s="40"/>
    </row>
    <row r="38" spans="1:53" s="171" customFormat="1" x14ac:dyDescent="0.15">
      <c r="A38" s="216">
        <v>1972</v>
      </c>
      <c r="B38" s="283">
        <v>26476</v>
      </c>
      <c r="C38" s="410" t="s">
        <v>719</v>
      </c>
      <c r="D38" s="410"/>
      <c r="E38" s="171">
        <f>366-E36-E37</f>
        <v>189</v>
      </c>
      <c r="F38" s="171">
        <v>1</v>
      </c>
      <c r="G38" s="233">
        <v>4</v>
      </c>
      <c r="H38" s="171">
        <v>17</v>
      </c>
      <c r="I38" s="171">
        <v>5</v>
      </c>
      <c r="J38" s="241">
        <v>26</v>
      </c>
      <c r="K38" s="214">
        <f t="shared" si="4"/>
        <v>15.384615384615385</v>
      </c>
      <c r="L38" s="214">
        <f t="shared" si="4"/>
        <v>65.384615384615387</v>
      </c>
      <c r="M38" s="214">
        <f t="shared" si="4"/>
        <v>19.230769230769234</v>
      </c>
      <c r="N38" s="235">
        <f t="shared" si="2"/>
        <v>100</v>
      </c>
      <c r="O38" s="213">
        <v>3.3</v>
      </c>
      <c r="P38" s="214">
        <v>42.4</v>
      </c>
      <c r="Q38" s="214">
        <v>4.5999999999999996</v>
      </c>
      <c r="R38" s="215">
        <f t="shared" si="3"/>
        <v>50.3</v>
      </c>
      <c r="S38" s="171">
        <v>2</v>
      </c>
      <c r="T38" s="285">
        <v>26426</v>
      </c>
      <c r="U38" s="283">
        <v>26476</v>
      </c>
      <c r="V38" s="178" t="s">
        <v>503</v>
      </c>
      <c r="W38" s="171" t="s">
        <v>17</v>
      </c>
      <c r="X38" s="171" t="s">
        <v>18</v>
      </c>
      <c r="Y38" s="179">
        <v>42.4</v>
      </c>
      <c r="Z38" s="171" t="s">
        <v>504</v>
      </c>
      <c r="AA38" s="171" t="s">
        <v>96</v>
      </c>
      <c r="AB38" s="171" t="s">
        <v>12</v>
      </c>
      <c r="AC38" s="171">
        <v>4.5999999999999996</v>
      </c>
      <c r="AD38" s="178" t="s">
        <v>508</v>
      </c>
      <c r="AE38" s="171" t="s">
        <v>22</v>
      </c>
      <c r="AF38" s="171" t="s">
        <v>11</v>
      </c>
      <c r="AG38" s="179">
        <v>3.3</v>
      </c>
      <c r="AL38" s="178"/>
      <c r="AO38" s="179"/>
      <c r="AP38" s="178"/>
      <c r="AT38" s="251"/>
      <c r="AW38" s="179"/>
      <c r="BA38" s="180"/>
    </row>
    <row r="39" spans="1:53" s="171" customFormat="1" x14ac:dyDescent="0.15">
      <c r="A39" s="216">
        <v>1973</v>
      </c>
      <c r="B39" s="283"/>
      <c r="C39" s="410" t="s">
        <v>719</v>
      </c>
      <c r="D39" s="410"/>
      <c r="E39" s="171">
        <v>250</v>
      </c>
      <c r="G39" s="233">
        <v>4</v>
      </c>
      <c r="H39" s="171">
        <v>17</v>
      </c>
      <c r="I39" s="171">
        <v>5</v>
      </c>
      <c r="J39" s="241">
        <v>26</v>
      </c>
      <c r="K39" s="214">
        <f t="shared" si="4"/>
        <v>15.384615384615385</v>
      </c>
      <c r="L39" s="214">
        <f t="shared" si="4"/>
        <v>65.384615384615387</v>
      </c>
      <c r="M39" s="214">
        <f t="shared" si="4"/>
        <v>19.230769230769234</v>
      </c>
      <c r="N39" s="235">
        <f t="shared" si="2"/>
        <v>100</v>
      </c>
      <c r="O39" s="213">
        <v>3.3</v>
      </c>
      <c r="P39" s="214">
        <v>42.4</v>
      </c>
      <c r="Q39" s="214">
        <v>4.5999999999999996</v>
      </c>
      <c r="R39" s="215">
        <f t="shared" si="3"/>
        <v>50.3</v>
      </c>
      <c r="S39" s="171">
        <v>2</v>
      </c>
      <c r="T39" s="285"/>
      <c r="U39" s="283"/>
      <c r="V39" s="178" t="s">
        <v>503</v>
      </c>
      <c r="W39" s="171" t="s">
        <v>17</v>
      </c>
      <c r="X39" s="171" t="s">
        <v>18</v>
      </c>
      <c r="Y39" s="179">
        <v>42.4</v>
      </c>
      <c r="Z39" s="171" t="s">
        <v>504</v>
      </c>
      <c r="AA39" s="171" t="s">
        <v>96</v>
      </c>
      <c r="AB39" s="171" t="s">
        <v>12</v>
      </c>
      <c r="AC39" s="171">
        <v>4.5999999999999996</v>
      </c>
      <c r="AD39" s="178" t="s">
        <v>508</v>
      </c>
      <c r="AE39" s="171" t="s">
        <v>22</v>
      </c>
      <c r="AF39" s="171" t="s">
        <v>11</v>
      </c>
      <c r="AG39" s="179">
        <v>3.3</v>
      </c>
      <c r="AL39" s="178"/>
      <c r="AO39" s="179"/>
      <c r="AP39" s="178"/>
      <c r="AT39" s="251"/>
      <c r="AW39" s="179"/>
      <c r="BA39" s="180"/>
    </row>
    <row r="40" spans="1:53" s="29" customFormat="1" x14ac:dyDescent="0.15">
      <c r="A40" s="52">
        <v>1973</v>
      </c>
      <c r="B40" s="295">
        <v>26915</v>
      </c>
      <c r="C40" s="411" t="s">
        <v>720</v>
      </c>
      <c r="D40" s="411"/>
      <c r="E40" s="29">
        <v>115</v>
      </c>
      <c r="F40" s="29">
        <v>5</v>
      </c>
      <c r="G40" s="66"/>
      <c r="H40" s="29">
        <v>19</v>
      </c>
      <c r="I40" s="29">
        <v>10</v>
      </c>
      <c r="J40" s="73">
        <v>29</v>
      </c>
      <c r="K40" s="47">
        <f t="shared" si="4"/>
        <v>0</v>
      </c>
      <c r="L40" s="47">
        <f t="shared" si="4"/>
        <v>65.517241379310349</v>
      </c>
      <c r="M40" s="47">
        <f t="shared" si="4"/>
        <v>34.482758620689658</v>
      </c>
      <c r="N40" s="68">
        <f t="shared" si="2"/>
        <v>100</v>
      </c>
      <c r="O40" s="46"/>
      <c r="P40" s="47">
        <v>44.6</v>
      </c>
      <c r="Q40" s="47">
        <v>14.3</v>
      </c>
      <c r="R40" s="48">
        <f t="shared" si="3"/>
        <v>58.900000000000006</v>
      </c>
      <c r="S40" s="29">
        <v>3</v>
      </c>
      <c r="T40" s="286"/>
      <c r="U40" s="295">
        <v>26915</v>
      </c>
      <c r="V40" s="38" t="s">
        <v>503</v>
      </c>
      <c r="W40" s="29" t="s">
        <v>17</v>
      </c>
      <c r="X40" s="29" t="s">
        <v>18</v>
      </c>
      <c r="Y40" s="39">
        <v>42.4</v>
      </c>
      <c r="Z40" s="29" t="s">
        <v>506</v>
      </c>
      <c r="AA40" s="29" t="s">
        <v>20</v>
      </c>
      <c r="AB40" s="29" t="s">
        <v>12</v>
      </c>
      <c r="AC40" s="29">
        <v>9.6999999999999993</v>
      </c>
      <c r="AD40" s="38" t="s">
        <v>504</v>
      </c>
      <c r="AE40" s="29" t="s">
        <v>96</v>
      </c>
      <c r="AF40" s="29" t="s">
        <v>12</v>
      </c>
      <c r="AG40" s="39">
        <v>4.5999999999999996</v>
      </c>
      <c r="AH40" s="38" t="s">
        <v>505</v>
      </c>
      <c r="AI40" s="29" t="s">
        <v>87</v>
      </c>
      <c r="AJ40" s="29" t="s">
        <v>18</v>
      </c>
      <c r="AK40" s="29">
        <v>2.2000000000000002</v>
      </c>
      <c r="AL40" s="38"/>
      <c r="AO40" s="39"/>
      <c r="AP40" s="38"/>
      <c r="AT40" s="91"/>
      <c r="AW40" s="39"/>
      <c r="BA40" s="40"/>
    </row>
    <row r="41" spans="1:53" s="29" customFormat="1" x14ac:dyDescent="0.15">
      <c r="A41" s="52">
        <v>1974</v>
      </c>
      <c r="B41" s="295"/>
      <c r="C41" s="411" t="s">
        <v>720</v>
      </c>
      <c r="D41" s="411"/>
      <c r="E41" s="29">
        <v>72</v>
      </c>
      <c r="G41" s="66"/>
      <c r="H41" s="29">
        <v>19</v>
      </c>
      <c r="I41" s="29">
        <v>10</v>
      </c>
      <c r="J41" s="73">
        <v>29</v>
      </c>
      <c r="K41" s="47">
        <f t="shared" si="4"/>
        <v>0</v>
      </c>
      <c r="L41" s="47">
        <f t="shared" si="4"/>
        <v>65.517241379310349</v>
      </c>
      <c r="M41" s="47">
        <f t="shared" si="4"/>
        <v>34.482758620689658</v>
      </c>
      <c r="N41" s="68">
        <f t="shared" si="2"/>
        <v>100</v>
      </c>
      <c r="O41" s="46"/>
      <c r="P41" s="47">
        <v>44.6</v>
      </c>
      <c r="Q41" s="47">
        <v>14.3</v>
      </c>
      <c r="R41" s="48">
        <f t="shared" si="3"/>
        <v>58.900000000000006</v>
      </c>
      <c r="S41" s="29">
        <v>3</v>
      </c>
      <c r="T41" s="286"/>
      <c r="U41" s="295"/>
      <c r="V41" s="38" t="s">
        <v>503</v>
      </c>
      <c r="W41" s="29" t="s">
        <v>17</v>
      </c>
      <c r="X41" s="29" t="s">
        <v>18</v>
      </c>
      <c r="Y41" s="39">
        <v>42.4</v>
      </c>
      <c r="Z41" s="29" t="s">
        <v>506</v>
      </c>
      <c r="AA41" s="29" t="s">
        <v>20</v>
      </c>
      <c r="AB41" s="29" t="s">
        <v>12</v>
      </c>
      <c r="AC41" s="29">
        <v>9.6999999999999993</v>
      </c>
      <c r="AD41" s="38" t="s">
        <v>504</v>
      </c>
      <c r="AE41" s="29" t="s">
        <v>96</v>
      </c>
      <c r="AF41" s="29" t="s">
        <v>12</v>
      </c>
      <c r="AG41" s="39">
        <v>4.5999999999999996</v>
      </c>
      <c r="AH41" s="38" t="s">
        <v>505</v>
      </c>
      <c r="AI41" s="29" t="s">
        <v>87</v>
      </c>
      <c r="AJ41" s="29" t="s">
        <v>18</v>
      </c>
      <c r="AK41" s="29">
        <v>2.2000000000000002</v>
      </c>
      <c r="AL41" s="38"/>
      <c r="AO41" s="39"/>
      <c r="AP41" s="38"/>
      <c r="AT41" s="91"/>
      <c r="AW41" s="39"/>
      <c r="BA41" s="40"/>
    </row>
    <row r="42" spans="1:53" s="171" customFormat="1" x14ac:dyDescent="0.15">
      <c r="A42" s="216">
        <v>1974</v>
      </c>
      <c r="B42" s="283">
        <v>27102</v>
      </c>
      <c r="C42" s="410" t="s">
        <v>721</v>
      </c>
      <c r="D42" s="410"/>
      <c r="E42" s="171">
        <v>254</v>
      </c>
      <c r="F42" s="171">
        <v>4</v>
      </c>
      <c r="G42" s="233"/>
      <c r="H42" s="171">
        <v>16</v>
      </c>
      <c r="I42" s="171">
        <v>10</v>
      </c>
      <c r="J42" s="241">
        <v>26</v>
      </c>
      <c r="K42" s="214">
        <f t="shared" si="4"/>
        <v>0</v>
      </c>
      <c r="L42" s="214">
        <f t="shared" si="4"/>
        <v>61.53846153846154</v>
      </c>
      <c r="M42" s="214">
        <f t="shared" si="4"/>
        <v>38.461538461538467</v>
      </c>
      <c r="N42" s="235">
        <f t="shared" si="2"/>
        <v>100</v>
      </c>
      <c r="O42" s="213"/>
      <c r="P42" s="214">
        <v>42.4</v>
      </c>
      <c r="Q42" s="214">
        <v>14.3</v>
      </c>
      <c r="R42" s="215">
        <f t="shared" si="3"/>
        <v>56.7</v>
      </c>
      <c r="S42" s="171">
        <v>3</v>
      </c>
      <c r="T42" s="285"/>
      <c r="U42" s="283">
        <v>27102</v>
      </c>
      <c r="V42" s="178" t="s">
        <v>503</v>
      </c>
      <c r="W42" s="171" t="s">
        <v>17</v>
      </c>
      <c r="X42" s="171" t="s">
        <v>18</v>
      </c>
      <c r="Y42" s="179">
        <v>42.4</v>
      </c>
      <c r="Z42" s="171" t="s">
        <v>506</v>
      </c>
      <c r="AA42" s="171" t="s">
        <v>20</v>
      </c>
      <c r="AB42" s="171" t="s">
        <v>12</v>
      </c>
      <c r="AC42" s="171">
        <v>9.6999999999999993</v>
      </c>
      <c r="AD42" s="178" t="s">
        <v>504</v>
      </c>
      <c r="AE42" s="171" t="s">
        <v>96</v>
      </c>
      <c r="AF42" s="171" t="s">
        <v>12</v>
      </c>
      <c r="AG42" s="179">
        <v>4.5999999999999996</v>
      </c>
      <c r="AH42" s="178"/>
      <c r="AL42" s="178"/>
      <c r="AO42" s="179"/>
      <c r="AP42" s="178"/>
      <c r="AT42" s="251"/>
      <c r="AW42" s="179"/>
      <c r="BA42" s="180"/>
    </row>
    <row r="43" spans="1:53" s="29" customFormat="1" x14ac:dyDescent="0.15">
      <c r="A43" s="52">
        <v>1974</v>
      </c>
      <c r="B43" s="295">
        <v>27356</v>
      </c>
      <c r="C43" s="411" t="s">
        <v>722</v>
      </c>
      <c r="D43" s="411"/>
      <c r="E43" s="29">
        <f>365-E42-E41</f>
        <v>39</v>
      </c>
      <c r="F43" s="29">
        <v>4</v>
      </c>
      <c r="G43" s="66"/>
      <c r="H43" s="29">
        <v>25</v>
      </c>
      <c r="J43" s="73">
        <v>25</v>
      </c>
      <c r="K43" s="47">
        <f t="shared" si="4"/>
        <v>0</v>
      </c>
      <c r="L43" s="47">
        <f t="shared" si="4"/>
        <v>100</v>
      </c>
      <c r="M43" s="47">
        <f t="shared" si="4"/>
        <v>0</v>
      </c>
      <c r="N43" s="68">
        <f t="shared" si="2"/>
        <v>100</v>
      </c>
      <c r="O43" s="46"/>
      <c r="P43" s="47">
        <v>44.6</v>
      </c>
      <c r="Q43" s="47"/>
      <c r="R43" s="48">
        <f t="shared" si="3"/>
        <v>44.6</v>
      </c>
      <c r="S43" s="29">
        <v>5</v>
      </c>
      <c r="T43" s="286"/>
      <c r="U43" s="295">
        <v>27356</v>
      </c>
      <c r="V43" s="38" t="s">
        <v>503</v>
      </c>
      <c r="W43" s="29" t="s">
        <v>17</v>
      </c>
      <c r="X43" s="29" t="s">
        <v>18</v>
      </c>
      <c r="Y43" s="39">
        <v>42.4</v>
      </c>
      <c r="Z43" s="38" t="s">
        <v>505</v>
      </c>
      <c r="AA43" s="29" t="s">
        <v>87</v>
      </c>
      <c r="AB43" s="29" t="s">
        <v>18</v>
      </c>
      <c r="AC43" s="29">
        <v>2.2000000000000002</v>
      </c>
      <c r="AD43" s="38"/>
      <c r="AG43" s="39"/>
      <c r="AL43" s="38"/>
      <c r="AO43" s="39"/>
      <c r="AP43" s="38"/>
      <c r="AT43" s="91"/>
      <c r="AW43" s="39"/>
      <c r="BA43" s="40"/>
    </row>
    <row r="44" spans="1:53" s="29" customFormat="1" x14ac:dyDescent="0.15">
      <c r="A44" s="52">
        <v>1975</v>
      </c>
      <c r="B44" s="295"/>
      <c r="C44" s="411" t="s">
        <v>722</v>
      </c>
      <c r="D44" s="411"/>
      <c r="E44" s="29">
        <v>0</v>
      </c>
      <c r="G44" s="66"/>
      <c r="H44" s="29">
        <v>25</v>
      </c>
      <c r="J44" s="73">
        <v>25</v>
      </c>
      <c r="K44" s="47">
        <f t="shared" si="4"/>
        <v>0</v>
      </c>
      <c r="L44" s="47">
        <f t="shared" si="4"/>
        <v>100</v>
      </c>
      <c r="M44" s="47">
        <f t="shared" si="4"/>
        <v>0</v>
      </c>
      <c r="N44" s="68">
        <f t="shared" si="2"/>
        <v>100</v>
      </c>
      <c r="O44" s="46"/>
      <c r="P44" s="47">
        <v>44.6</v>
      </c>
      <c r="Q44" s="47"/>
      <c r="R44" s="48">
        <f t="shared" si="3"/>
        <v>44.6</v>
      </c>
      <c r="S44" s="29">
        <v>5</v>
      </c>
      <c r="T44" s="286"/>
      <c r="U44" s="295"/>
      <c r="V44" s="38" t="s">
        <v>503</v>
      </c>
      <c r="W44" s="29" t="s">
        <v>17</v>
      </c>
      <c r="X44" s="29" t="s">
        <v>18</v>
      </c>
      <c r="Y44" s="39">
        <v>42.4</v>
      </c>
      <c r="Z44" s="38" t="s">
        <v>505</v>
      </c>
      <c r="AA44" s="29" t="s">
        <v>87</v>
      </c>
      <c r="AB44" s="29" t="s">
        <v>18</v>
      </c>
      <c r="AC44" s="29">
        <v>2.2000000000000002</v>
      </c>
      <c r="AD44" s="38"/>
      <c r="AG44" s="39"/>
      <c r="AL44" s="38"/>
      <c r="AO44" s="39"/>
      <c r="AP44" s="38"/>
      <c r="AT44" s="91"/>
      <c r="AW44" s="39"/>
      <c r="BA44" s="40"/>
    </row>
    <row r="45" spans="1:53" s="29" customFormat="1" x14ac:dyDescent="0.15">
      <c r="A45" s="52">
        <v>1975</v>
      </c>
      <c r="B45" s="295"/>
      <c r="C45" s="411" t="s">
        <v>722</v>
      </c>
      <c r="D45" s="411"/>
      <c r="E45" s="29">
        <v>365</v>
      </c>
      <c r="G45" s="66"/>
      <c r="H45" s="29">
        <v>25</v>
      </c>
      <c r="J45" s="73">
        <v>25</v>
      </c>
      <c r="K45" s="47">
        <f t="shared" si="4"/>
        <v>0</v>
      </c>
      <c r="L45" s="47">
        <f t="shared" si="4"/>
        <v>100</v>
      </c>
      <c r="M45" s="47">
        <f t="shared" si="4"/>
        <v>0</v>
      </c>
      <c r="N45" s="68">
        <f t="shared" si="2"/>
        <v>100</v>
      </c>
      <c r="O45" s="46"/>
      <c r="P45" s="47">
        <v>44.6</v>
      </c>
      <c r="Q45" s="47"/>
      <c r="R45" s="48">
        <f t="shared" si="3"/>
        <v>44.6</v>
      </c>
      <c r="S45" s="29">
        <v>5</v>
      </c>
      <c r="T45" s="286"/>
      <c r="U45" s="295"/>
      <c r="V45" s="38" t="s">
        <v>503</v>
      </c>
      <c r="W45" s="29" t="s">
        <v>17</v>
      </c>
      <c r="X45" s="29" t="s">
        <v>18</v>
      </c>
      <c r="Y45" s="39">
        <v>42.4</v>
      </c>
      <c r="Z45" s="38" t="s">
        <v>505</v>
      </c>
      <c r="AA45" s="29" t="s">
        <v>87</v>
      </c>
      <c r="AB45" s="29" t="s">
        <v>18</v>
      </c>
      <c r="AC45" s="29">
        <v>2.2000000000000002</v>
      </c>
      <c r="AD45" s="38"/>
      <c r="AG45" s="39"/>
      <c r="AL45" s="38"/>
      <c r="AO45" s="39"/>
      <c r="AP45" s="38"/>
      <c r="AT45" s="91"/>
      <c r="AW45" s="39"/>
      <c r="BA45" s="40"/>
    </row>
    <row r="46" spans="1:53" s="29" customFormat="1" x14ac:dyDescent="0.15">
      <c r="A46" s="52">
        <v>1976</v>
      </c>
      <c r="B46" s="295"/>
      <c r="C46" s="411" t="s">
        <v>722</v>
      </c>
      <c r="D46" s="411"/>
      <c r="E46" s="29">
        <v>43</v>
      </c>
      <c r="G46" s="66"/>
      <c r="H46" s="29">
        <v>25</v>
      </c>
      <c r="J46" s="73">
        <v>25</v>
      </c>
      <c r="K46" s="47">
        <f t="shared" si="4"/>
        <v>0</v>
      </c>
      <c r="L46" s="47">
        <f t="shared" si="4"/>
        <v>100</v>
      </c>
      <c r="M46" s="47">
        <f t="shared" si="4"/>
        <v>0</v>
      </c>
      <c r="N46" s="68">
        <f t="shared" si="2"/>
        <v>100</v>
      </c>
      <c r="O46" s="46"/>
      <c r="P46" s="47">
        <v>44.6</v>
      </c>
      <c r="Q46" s="47"/>
      <c r="R46" s="48">
        <f t="shared" si="3"/>
        <v>44.6</v>
      </c>
      <c r="S46" s="29">
        <v>5</v>
      </c>
      <c r="T46" s="286"/>
      <c r="U46" s="295"/>
      <c r="V46" s="38" t="s">
        <v>503</v>
      </c>
      <c r="W46" s="29" t="s">
        <v>17</v>
      </c>
      <c r="X46" s="29" t="s">
        <v>18</v>
      </c>
      <c r="Y46" s="39">
        <v>42.4</v>
      </c>
      <c r="Z46" s="38" t="s">
        <v>505</v>
      </c>
      <c r="AA46" s="29" t="s">
        <v>87</v>
      </c>
      <c r="AB46" s="29" t="s">
        <v>18</v>
      </c>
      <c r="AC46" s="29">
        <v>2.2000000000000002</v>
      </c>
      <c r="AD46" s="38"/>
      <c r="AG46" s="39"/>
      <c r="AL46" s="38"/>
      <c r="AO46" s="39"/>
      <c r="AP46" s="38"/>
      <c r="AT46" s="91"/>
      <c r="AW46" s="39"/>
      <c r="BA46" s="40"/>
    </row>
    <row r="47" spans="1:53" s="171" customFormat="1" x14ac:dyDescent="0.15">
      <c r="A47" s="216">
        <v>1976</v>
      </c>
      <c r="B47" s="283">
        <v>27803</v>
      </c>
      <c r="C47" s="410" t="s">
        <v>723</v>
      </c>
      <c r="D47" s="410"/>
      <c r="E47" s="171">
        <v>167</v>
      </c>
      <c r="F47" s="171">
        <v>5</v>
      </c>
      <c r="G47" s="233"/>
      <c r="H47" s="171">
        <v>22</v>
      </c>
      <c r="J47" s="241">
        <v>22</v>
      </c>
      <c r="K47" s="214">
        <f t="shared" si="4"/>
        <v>0</v>
      </c>
      <c r="L47" s="214">
        <f t="shared" si="4"/>
        <v>100</v>
      </c>
      <c r="M47" s="214">
        <f t="shared" si="4"/>
        <v>0</v>
      </c>
      <c r="N47" s="235">
        <f t="shared" si="2"/>
        <v>100</v>
      </c>
      <c r="O47" s="213"/>
      <c r="P47" s="214">
        <v>42.4</v>
      </c>
      <c r="Q47" s="214"/>
      <c r="R47" s="215">
        <f t="shared" si="3"/>
        <v>42.4</v>
      </c>
      <c r="S47" s="171">
        <v>6</v>
      </c>
      <c r="T47" s="285"/>
      <c r="U47" s="283">
        <v>27803</v>
      </c>
      <c r="V47" s="178" t="s">
        <v>503</v>
      </c>
      <c r="W47" s="171" t="s">
        <v>17</v>
      </c>
      <c r="X47" s="171" t="s">
        <v>18</v>
      </c>
      <c r="Y47" s="179">
        <v>42.4</v>
      </c>
      <c r="Z47" s="178"/>
      <c r="AD47" s="178"/>
      <c r="AG47" s="179"/>
      <c r="AL47" s="178"/>
      <c r="AO47" s="179"/>
      <c r="AP47" s="178"/>
      <c r="AT47" s="251"/>
      <c r="AW47" s="179"/>
      <c r="BA47" s="180"/>
    </row>
    <row r="48" spans="1:53" s="29" customFormat="1" x14ac:dyDescent="0.15">
      <c r="A48" s="52">
        <v>1976</v>
      </c>
      <c r="B48" s="295">
        <v>27970</v>
      </c>
      <c r="C48" s="411" t="s">
        <v>724</v>
      </c>
      <c r="D48" s="411"/>
      <c r="E48" s="29">
        <f>366-E47-E46</f>
        <v>156</v>
      </c>
      <c r="F48" s="29">
        <v>1</v>
      </c>
      <c r="G48" s="66"/>
      <c r="H48" s="29">
        <v>21</v>
      </c>
      <c r="J48" s="73">
        <v>22</v>
      </c>
      <c r="K48" s="47">
        <f t="shared" si="4"/>
        <v>0</v>
      </c>
      <c r="L48" s="47">
        <f t="shared" si="4"/>
        <v>95.454545454545453</v>
      </c>
      <c r="M48" s="47">
        <f t="shared" si="4"/>
        <v>0</v>
      </c>
      <c r="N48" s="68">
        <f t="shared" si="2"/>
        <v>95.454545454545453</v>
      </c>
      <c r="O48" s="46"/>
      <c r="P48" s="47">
        <v>41.7</v>
      </c>
      <c r="Q48" s="47"/>
      <c r="R48" s="48">
        <f t="shared" si="3"/>
        <v>41.7</v>
      </c>
      <c r="S48" s="29">
        <v>4</v>
      </c>
      <c r="T48" s="286">
        <v>27931</v>
      </c>
      <c r="U48" s="295">
        <v>27970</v>
      </c>
      <c r="V48" s="38" t="s">
        <v>503</v>
      </c>
      <c r="W48" s="29" t="s">
        <v>17</v>
      </c>
      <c r="X48" s="29" t="s">
        <v>18</v>
      </c>
      <c r="Y48" s="39">
        <v>41.7</v>
      </c>
      <c r="AD48" s="38"/>
      <c r="AG48" s="39"/>
      <c r="AL48" s="38"/>
      <c r="AO48" s="39"/>
      <c r="AP48" s="38"/>
      <c r="AT48" s="91"/>
      <c r="AW48" s="39"/>
      <c r="BA48" s="40"/>
    </row>
    <row r="49" spans="1:53" s="29" customFormat="1" x14ac:dyDescent="0.15">
      <c r="A49" s="52">
        <v>1977</v>
      </c>
      <c r="B49" s="295"/>
      <c r="C49" s="411" t="s">
        <v>724</v>
      </c>
      <c r="D49" s="411"/>
      <c r="E49" s="29">
        <v>0</v>
      </c>
      <c r="G49" s="66"/>
      <c r="H49" s="29">
        <v>21</v>
      </c>
      <c r="J49" s="73">
        <v>22</v>
      </c>
      <c r="K49" s="47">
        <f t="shared" si="4"/>
        <v>0</v>
      </c>
      <c r="L49" s="47">
        <f t="shared" si="4"/>
        <v>95.454545454545453</v>
      </c>
      <c r="M49" s="47">
        <f t="shared" si="4"/>
        <v>0</v>
      </c>
      <c r="N49" s="68">
        <f t="shared" si="2"/>
        <v>95.454545454545453</v>
      </c>
      <c r="O49" s="46"/>
      <c r="P49" s="47">
        <v>41.7</v>
      </c>
      <c r="Q49" s="47"/>
      <c r="R49" s="48">
        <f t="shared" si="3"/>
        <v>41.7</v>
      </c>
      <c r="S49" s="29">
        <v>4</v>
      </c>
      <c r="T49" s="286"/>
      <c r="U49" s="295"/>
      <c r="V49" s="38" t="s">
        <v>503</v>
      </c>
      <c r="W49" s="29" t="s">
        <v>17</v>
      </c>
      <c r="X49" s="29" t="s">
        <v>18</v>
      </c>
      <c r="Y49" s="39">
        <v>41.7</v>
      </c>
      <c r="AD49" s="38"/>
      <c r="AG49" s="39"/>
      <c r="AL49" s="38"/>
      <c r="AO49" s="39"/>
      <c r="AP49" s="38"/>
      <c r="AT49" s="91"/>
      <c r="AW49" s="39"/>
      <c r="BA49" s="40"/>
    </row>
    <row r="50" spans="1:53" s="29" customFormat="1" x14ac:dyDescent="0.15">
      <c r="A50" s="52">
        <v>1977</v>
      </c>
      <c r="B50" s="295"/>
      <c r="C50" s="411" t="s">
        <v>724</v>
      </c>
      <c r="D50" s="411"/>
      <c r="E50" s="29">
        <v>365</v>
      </c>
      <c r="G50" s="66"/>
      <c r="H50" s="29">
        <v>21</v>
      </c>
      <c r="J50" s="73">
        <v>22</v>
      </c>
      <c r="K50" s="47">
        <f t="shared" si="4"/>
        <v>0</v>
      </c>
      <c r="L50" s="47">
        <f t="shared" si="4"/>
        <v>95.454545454545453</v>
      </c>
      <c r="M50" s="47">
        <f t="shared" si="4"/>
        <v>0</v>
      </c>
      <c r="N50" s="68">
        <f t="shared" si="2"/>
        <v>95.454545454545453</v>
      </c>
      <c r="O50" s="46"/>
      <c r="P50" s="47">
        <v>41.7</v>
      </c>
      <c r="Q50" s="47"/>
      <c r="R50" s="48">
        <f t="shared" si="3"/>
        <v>41.7</v>
      </c>
      <c r="S50" s="29">
        <v>4</v>
      </c>
      <c r="T50" s="286"/>
      <c r="U50" s="295"/>
      <c r="V50" s="38" t="s">
        <v>503</v>
      </c>
      <c r="W50" s="29" t="s">
        <v>17</v>
      </c>
      <c r="X50" s="29" t="s">
        <v>18</v>
      </c>
      <c r="Y50" s="39">
        <v>41.7</v>
      </c>
      <c r="AD50" s="38"/>
      <c r="AG50" s="39"/>
      <c r="AL50" s="38"/>
      <c r="AO50" s="39"/>
      <c r="AP50" s="38"/>
      <c r="AT50" s="91"/>
      <c r="AW50" s="39"/>
      <c r="BA50" s="40"/>
    </row>
    <row r="51" spans="1:53" s="29" customFormat="1" x14ac:dyDescent="0.15">
      <c r="A51" s="52">
        <v>1978</v>
      </c>
      <c r="B51" s="295"/>
      <c r="C51" s="411" t="s">
        <v>724</v>
      </c>
      <c r="D51" s="411"/>
      <c r="E51" s="29">
        <v>71</v>
      </c>
      <c r="G51" s="66"/>
      <c r="H51" s="29">
        <v>21</v>
      </c>
      <c r="J51" s="73">
        <v>22</v>
      </c>
      <c r="K51" s="47">
        <f t="shared" si="4"/>
        <v>0</v>
      </c>
      <c r="L51" s="47">
        <f t="shared" si="4"/>
        <v>95.454545454545453</v>
      </c>
      <c r="M51" s="47">
        <f t="shared" si="4"/>
        <v>0</v>
      </c>
      <c r="N51" s="68">
        <f t="shared" si="2"/>
        <v>95.454545454545453</v>
      </c>
      <c r="O51" s="46"/>
      <c r="P51" s="47">
        <v>41.7</v>
      </c>
      <c r="Q51" s="47"/>
      <c r="R51" s="48">
        <f t="shared" si="3"/>
        <v>41.7</v>
      </c>
      <c r="S51" s="29">
        <v>4</v>
      </c>
      <c r="T51" s="286"/>
      <c r="U51" s="295"/>
      <c r="V51" s="38" t="s">
        <v>503</v>
      </c>
      <c r="W51" s="29" t="s">
        <v>17</v>
      </c>
      <c r="X51" s="29" t="s">
        <v>18</v>
      </c>
      <c r="Y51" s="39">
        <v>41.7</v>
      </c>
      <c r="AD51" s="38"/>
      <c r="AG51" s="39"/>
      <c r="AL51" s="38"/>
      <c r="AO51" s="39"/>
      <c r="AP51" s="38"/>
      <c r="AT51" s="91"/>
      <c r="AW51" s="39"/>
      <c r="BA51" s="40"/>
    </row>
    <row r="52" spans="1:53" s="171" customFormat="1" x14ac:dyDescent="0.15">
      <c r="A52" s="216">
        <v>1978</v>
      </c>
      <c r="B52" s="283">
        <v>28562</v>
      </c>
      <c r="C52" s="410" t="s">
        <v>725</v>
      </c>
      <c r="D52" s="410"/>
      <c r="E52" s="171">
        <f>365-E51</f>
        <v>294</v>
      </c>
      <c r="F52" s="171">
        <v>5</v>
      </c>
      <c r="G52" s="233"/>
      <c r="H52" s="171">
        <v>20</v>
      </c>
      <c r="J52" s="241">
        <v>21</v>
      </c>
      <c r="K52" s="214">
        <f t="shared" si="4"/>
        <v>0</v>
      </c>
      <c r="L52" s="214">
        <f t="shared" si="4"/>
        <v>95.238095238095227</v>
      </c>
      <c r="M52" s="214">
        <f t="shared" si="4"/>
        <v>0</v>
      </c>
      <c r="N52" s="235">
        <f t="shared" si="2"/>
        <v>95.238095238095227</v>
      </c>
      <c r="O52" s="213"/>
      <c r="P52" s="214">
        <v>41.7</v>
      </c>
      <c r="Q52" s="214"/>
      <c r="R52" s="215">
        <f t="shared" si="3"/>
        <v>41.7</v>
      </c>
      <c r="S52" s="171">
        <v>4</v>
      </c>
      <c r="T52" s="285"/>
      <c r="U52" s="283">
        <v>28562</v>
      </c>
      <c r="V52" s="178" t="s">
        <v>503</v>
      </c>
      <c r="W52" s="171" t="s">
        <v>17</v>
      </c>
      <c r="X52" s="171" t="s">
        <v>18</v>
      </c>
      <c r="Y52" s="179">
        <v>41.7</v>
      </c>
      <c r="AD52" s="178"/>
      <c r="AG52" s="179"/>
      <c r="AL52" s="178"/>
      <c r="AO52" s="179"/>
      <c r="AP52" s="178"/>
      <c r="AT52" s="251"/>
      <c r="AW52" s="179"/>
      <c r="BA52" s="180"/>
    </row>
    <row r="53" spans="1:53" s="171" customFormat="1" x14ac:dyDescent="0.15">
      <c r="A53" s="216">
        <v>1979</v>
      </c>
      <c r="B53" s="283"/>
      <c r="C53" s="410" t="s">
        <v>725</v>
      </c>
      <c r="D53" s="410"/>
      <c r="E53" s="171">
        <v>79</v>
      </c>
      <c r="G53" s="233"/>
      <c r="H53" s="171">
        <v>20</v>
      </c>
      <c r="J53" s="241">
        <v>21</v>
      </c>
      <c r="K53" s="214">
        <f t="shared" si="4"/>
        <v>0</v>
      </c>
      <c r="L53" s="214">
        <f t="shared" si="4"/>
        <v>95.238095238095227</v>
      </c>
      <c r="M53" s="214">
        <f t="shared" si="4"/>
        <v>0</v>
      </c>
      <c r="N53" s="235">
        <f t="shared" si="2"/>
        <v>95.238095238095227</v>
      </c>
      <c r="O53" s="213"/>
      <c r="P53" s="214">
        <v>41.7</v>
      </c>
      <c r="Q53" s="214"/>
      <c r="R53" s="215">
        <f t="shared" si="3"/>
        <v>41.7</v>
      </c>
      <c r="S53" s="171">
        <v>4</v>
      </c>
      <c r="T53" s="285"/>
      <c r="U53" s="283"/>
      <c r="V53" s="178" t="s">
        <v>503</v>
      </c>
      <c r="W53" s="171" t="s">
        <v>17</v>
      </c>
      <c r="X53" s="171" t="s">
        <v>18</v>
      </c>
      <c r="Y53" s="179">
        <v>41.7</v>
      </c>
      <c r="AD53" s="178"/>
      <c r="AG53" s="179"/>
      <c r="AL53" s="178"/>
      <c r="AO53" s="179"/>
      <c r="AP53" s="178"/>
      <c r="AT53" s="251"/>
      <c r="AW53" s="179"/>
      <c r="BA53" s="180"/>
    </row>
    <row r="54" spans="1:53" s="29" customFormat="1" x14ac:dyDescent="0.15">
      <c r="A54" s="52">
        <v>1979</v>
      </c>
      <c r="B54" s="295">
        <v>28935</v>
      </c>
      <c r="C54" s="411" t="s">
        <v>726</v>
      </c>
      <c r="D54" s="411"/>
      <c r="E54" s="29">
        <v>137</v>
      </c>
      <c r="F54" s="29">
        <v>5</v>
      </c>
      <c r="G54" s="66"/>
      <c r="H54" s="29">
        <v>17</v>
      </c>
      <c r="I54" s="29">
        <v>4</v>
      </c>
      <c r="J54" s="73">
        <v>21</v>
      </c>
      <c r="K54" s="47">
        <f t="shared" si="4"/>
        <v>0</v>
      </c>
      <c r="L54" s="47">
        <f t="shared" si="4"/>
        <v>80.952380952380949</v>
      </c>
      <c r="M54" s="47">
        <f t="shared" si="4"/>
        <v>19.047619047619047</v>
      </c>
      <c r="N54" s="68">
        <f t="shared" si="2"/>
        <v>100</v>
      </c>
      <c r="O54" s="46"/>
      <c r="P54" s="47">
        <v>43.9</v>
      </c>
      <c r="Q54" s="47">
        <v>2.4</v>
      </c>
      <c r="R54" s="48">
        <f t="shared" si="3"/>
        <v>46.3</v>
      </c>
      <c r="S54" s="29">
        <v>6</v>
      </c>
      <c r="T54" s="286"/>
      <c r="U54" s="295">
        <v>28935</v>
      </c>
      <c r="V54" s="38" t="s">
        <v>503</v>
      </c>
      <c r="W54" s="29" t="s">
        <v>17</v>
      </c>
      <c r="X54" s="29" t="s">
        <v>18</v>
      </c>
      <c r="Y54" s="39">
        <v>41.7</v>
      </c>
      <c r="Z54" s="29" t="s">
        <v>504</v>
      </c>
      <c r="AA54" s="29" t="s">
        <v>96</v>
      </c>
      <c r="AB54" s="29" t="s">
        <v>12</v>
      </c>
      <c r="AC54" s="29">
        <v>2.4</v>
      </c>
      <c r="AD54" s="38" t="s">
        <v>505</v>
      </c>
      <c r="AE54" s="29" t="s">
        <v>87</v>
      </c>
      <c r="AF54" s="29" t="s">
        <v>18</v>
      </c>
      <c r="AG54" s="39">
        <v>2.2000000000000002</v>
      </c>
      <c r="AL54" s="38"/>
      <c r="AO54" s="39"/>
      <c r="AP54" s="38"/>
      <c r="AT54" s="91"/>
      <c r="AW54" s="39"/>
      <c r="BA54" s="40"/>
    </row>
    <row r="55" spans="1:53" s="171" customFormat="1" x14ac:dyDescent="0.15">
      <c r="A55" s="216">
        <v>1979</v>
      </c>
      <c r="B55" s="283">
        <v>29072</v>
      </c>
      <c r="C55" s="410" t="s">
        <v>727</v>
      </c>
      <c r="D55" s="410"/>
      <c r="E55" s="171">
        <f>365-E54-E53</f>
        <v>149</v>
      </c>
      <c r="F55" s="171">
        <v>1</v>
      </c>
      <c r="G55" s="233">
        <v>2</v>
      </c>
      <c r="H55" s="171">
        <v>17</v>
      </c>
      <c r="I55" s="171">
        <v>4</v>
      </c>
      <c r="J55" s="241">
        <v>25</v>
      </c>
      <c r="K55" s="214">
        <f t="shared" si="4"/>
        <v>8</v>
      </c>
      <c r="L55" s="214">
        <f t="shared" si="4"/>
        <v>68</v>
      </c>
      <c r="M55" s="214">
        <f t="shared" si="4"/>
        <v>16</v>
      </c>
      <c r="N55" s="235">
        <f t="shared" si="2"/>
        <v>92</v>
      </c>
      <c r="O55" s="213">
        <v>1.5</v>
      </c>
      <c r="P55" s="214">
        <v>41.4</v>
      </c>
      <c r="Q55" s="214">
        <v>3.3</v>
      </c>
      <c r="R55" s="215">
        <f t="shared" si="3"/>
        <v>46.199999999999996</v>
      </c>
      <c r="S55" s="171">
        <v>5</v>
      </c>
      <c r="T55" s="285">
        <v>29009</v>
      </c>
      <c r="U55" s="283">
        <v>29072</v>
      </c>
      <c r="V55" s="178" t="s">
        <v>503</v>
      </c>
      <c r="W55" s="171" t="s">
        <v>17</v>
      </c>
      <c r="X55" s="171" t="s">
        <v>18</v>
      </c>
      <c r="Y55" s="179">
        <v>41.4</v>
      </c>
      <c r="Z55" s="171" t="s">
        <v>504</v>
      </c>
      <c r="AA55" s="171" t="s">
        <v>96</v>
      </c>
      <c r="AB55" s="171" t="s">
        <v>12</v>
      </c>
      <c r="AC55" s="171">
        <v>3.3</v>
      </c>
      <c r="AD55" s="178" t="s">
        <v>508</v>
      </c>
      <c r="AE55" s="171" t="s">
        <v>22</v>
      </c>
      <c r="AF55" s="171" t="s">
        <v>11</v>
      </c>
      <c r="AG55" s="179">
        <v>1.5</v>
      </c>
      <c r="AL55" s="178"/>
      <c r="AO55" s="179"/>
      <c r="AP55" s="178"/>
      <c r="AT55" s="251"/>
      <c r="AW55" s="179"/>
      <c r="BA55" s="180"/>
    </row>
    <row r="56" spans="1:53" s="171" customFormat="1" x14ac:dyDescent="0.15">
      <c r="A56" s="216">
        <v>1980</v>
      </c>
      <c r="B56" s="283"/>
      <c r="C56" s="410" t="s">
        <v>727</v>
      </c>
      <c r="D56" s="410"/>
      <c r="E56" s="171">
        <v>94</v>
      </c>
      <c r="G56" s="233">
        <v>2</v>
      </c>
      <c r="H56" s="171">
        <v>17</v>
      </c>
      <c r="I56" s="171">
        <v>4</v>
      </c>
      <c r="J56" s="241">
        <v>25</v>
      </c>
      <c r="K56" s="214">
        <f t="shared" si="4"/>
        <v>8</v>
      </c>
      <c r="L56" s="214">
        <f t="shared" si="4"/>
        <v>68</v>
      </c>
      <c r="M56" s="214">
        <f t="shared" si="4"/>
        <v>16</v>
      </c>
      <c r="N56" s="235">
        <f t="shared" si="2"/>
        <v>92</v>
      </c>
      <c r="O56" s="213">
        <v>1.5</v>
      </c>
      <c r="P56" s="214">
        <v>41.4</v>
      </c>
      <c r="Q56" s="214">
        <v>3.3</v>
      </c>
      <c r="R56" s="215">
        <f t="shared" si="3"/>
        <v>46.199999999999996</v>
      </c>
      <c r="S56" s="171">
        <v>5</v>
      </c>
      <c r="T56" s="285"/>
      <c r="U56" s="283"/>
      <c r="V56" s="178" t="s">
        <v>503</v>
      </c>
      <c r="W56" s="171" t="s">
        <v>17</v>
      </c>
      <c r="X56" s="171" t="s">
        <v>18</v>
      </c>
      <c r="Y56" s="179">
        <v>41.4</v>
      </c>
      <c r="Z56" s="171" t="s">
        <v>504</v>
      </c>
      <c r="AA56" s="171" t="s">
        <v>96</v>
      </c>
      <c r="AB56" s="171" t="s">
        <v>12</v>
      </c>
      <c r="AC56" s="171">
        <v>3.3</v>
      </c>
      <c r="AD56" s="178" t="s">
        <v>508</v>
      </c>
      <c r="AE56" s="171" t="s">
        <v>22</v>
      </c>
      <c r="AF56" s="171" t="s">
        <v>11</v>
      </c>
      <c r="AG56" s="179">
        <v>1.5</v>
      </c>
      <c r="AL56" s="178"/>
      <c r="AO56" s="179"/>
      <c r="AP56" s="178"/>
      <c r="AT56" s="251"/>
      <c r="AW56" s="179"/>
      <c r="BA56" s="180"/>
    </row>
    <row r="57" spans="1:53" s="29" customFormat="1" x14ac:dyDescent="0.15">
      <c r="A57" s="52">
        <v>1980</v>
      </c>
      <c r="B57" s="295">
        <v>29315</v>
      </c>
      <c r="C57" s="411" t="s">
        <v>728</v>
      </c>
      <c r="D57" s="411"/>
      <c r="E57" s="29">
        <v>198</v>
      </c>
      <c r="F57" s="29">
        <v>5</v>
      </c>
      <c r="G57" s="66"/>
      <c r="H57" s="29">
        <v>19</v>
      </c>
      <c r="I57" s="29">
        <v>9</v>
      </c>
      <c r="J57" s="73">
        <v>28</v>
      </c>
      <c r="K57" s="47">
        <f t="shared" si="4"/>
        <v>0</v>
      </c>
      <c r="L57" s="47">
        <f t="shared" si="4"/>
        <v>67.857142857142861</v>
      </c>
      <c r="M57" s="47">
        <f t="shared" si="4"/>
        <v>32.142857142857146</v>
      </c>
      <c r="N57" s="68">
        <f t="shared" si="2"/>
        <v>100</v>
      </c>
      <c r="O57" s="46"/>
      <c r="P57" s="47">
        <v>43.8</v>
      </c>
      <c r="Q57" s="47">
        <v>9.8000000000000007</v>
      </c>
      <c r="R57" s="48">
        <f t="shared" si="3"/>
        <v>53.599999999999994</v>
      </c>
      <c r="S57" s="29">
        <v>3</v>
      </c>
      <c r="T57" s="286"/>
      <c r="U57" s="295">
        <v>29315</v>
      </c>
      <c r="V57" s="38" t="s">
        <v>503</v>
      </c>
      <c r="W57" s="29" t="s">
        <v>17</v>
      </c>
      <c r="X57" s="29" t="s">
        <v>18</v>
      </c>
      <c r="Y57" s="39">
        <v>41.4</v>
      </c>
      <c r="Z57" s="29" t="s">
        <v>506</v>
      </c>
      <c r="AA57" s="29" t="s">
        <v>20</v>
      </c>
      <c r="AB57" s="29" t="s">
        <v>12</v>
      </c>
      <c r="AC57" s="29">
        <v>9.8000000000000007</v>
      </c>
      <c r="AD57" s="38" t="s">
        <v>505</v>
      </c>
      <c r="AE57" s="29" t="s">
        <v>87</v>
      </c>
      <c r="AF57" s="29" t="s">
        <v>18</v>
      </c>
      <c r="AG57" s="39">
        <v>2.4</v>
      </c>
      <c r="AL57" s="38"/>
      <c r="AO57" s="39"/>
      <c r="AP57" s="38"/>
      <c r="AT57" s="91"/>
      <c r="AW57" s="39"/>
      <c r="BA57" s="40"/>
    </row>
    <row r="58" spans="1:53" s="171" customFormat="1" x14ac:dyDescent="0.15">
      <c r="A58" s="216">
        <v>1980</v>
      </c>
      <c r="B58" s="283">
        <v>29513</v>
      </c>
      <c r="C58" s="410" t="s">
        <v>729</v>
      </c>
      <c r="D58" s="410"/>
      <c r="E58" s="171">
        <f>366-E57-E56</f>
        <v>74</v>
      </c>
      <c r="F58" s="171">
        <v>5</v>
      </c>
      <c r="G58" s="233"/>
      <c r="H58" s="171">
        <v>17</v>
      </c>
      <c r="I58" s="171">
        <v>10</v>
      </c>
      <c r="J58" s="241">
        <v>27</v>
      </c>
      <c r="K58" s="214">
        <f>G58/$J58*100</f>
        <v>0</v>
      </c>
      <c r="L58" s="214">
        <f t="shared" si="4"/>
        <v>62.962962962962962</v>
      </c>
      <c r="M58" s="214">
        <f t="shared" si="4"/>
        <v>37.037037037037038</v>
      </c>
      <c r="N58" s="235">
        <f t="shared" si="2"/>
        <v>100</v>
      </c>
      <c r="O58" s="213"/>
      <c r="P58" s="214">
        <v>43.8</v>
      </c>
      <c r="Q58" s="214">
        <v>13.1</v>
      </c>
      <c r="R58" s="215">
        <f>O58+P58+Q58</f>
        <v>56.9</v>
      </c>
      <c r="S58" s="171">
        <v>3</v>
      </c>
      <c r="T58" s="285"/>
      <c r="U58" s="283">
        <v>29513</v>
      </c>
      <c r="V58" s="178" t="s">
        <v>503</v>
      </c>
      <c r="W58" s="171" t="s">
        <v>17</v>
      </c>
      <c r="X58" s="171" t="s">
        <v>18</v>
      </c>
      <c r="Y58" s="179">
        <v>41.4</v>
      </c>
      <c r="Z58" s="171" t="s">
        <v>506</v>
      </c>
      <c r="AA58" s="171" t="s">
        <v>20</v>
      </c>
      <c r="AB58" s="171" t="s">
        <v>12</v>
      </c>
      <c r="AC58" s="171">
        <v>9.8000000000000007</v>
      </c>
      <c r="AD58" s="178" t="s">
        <v>504</v>
      </c>
      <c r="AE58" s="171" t="s">
        <v>96</v>
      </c>
      <c r="AF58" s="171" t="s">
        <v>12</v>
      </c>
      <c r="AG58" s="179">
        <v>3.3</v>
      </c>
      <c r="AH58" s="178" t="s">
        <v>505</v>
      </c>
      <c r="AI58" s="171" t="s">
        <v>87</v>
      </c>
      <c r="AJ58" s="171" t="s">
        <v>18</v>
      </c>
      <c r="AK58" s="171">
        <v>2.4</v>
      </c>
      <c r="AL58" s="178"/>
      <c r="AO58" s="179"/>
      <c r="AP58" s="178"/>
      <c r="AT58" s="251"/>
      <c r="AW58" s="179"/>
      <c r="BA58" s="180"/>
    </row>
    <row r="59" spans="1:53" s="171" customFormat="1" x14ac:dyDescent="0.15">
      <c r="A59" s="216">
        <v>1981</v>
      </c>
      <c r="B59" s="283"/>
      <c r="C59" s="410" t="s">
        <v>729</v>
      </c>
      <c r="D59" s="410"/>
      <c r="E59" s="171">
        <v>178</v>
      </c>
      <c r="G59" s="233"/>
      <c r="H59" s="171">
        <v>17</v>
      </c>
      <c r="I59" s="171">
        <v>10</v>
      </c>
      <c r="J59" s="241">
        <v>27</v>
      </c>
      <c r="K59" s="214">
        <f t="shared" ref="K59:M101" si="5">G59/$J59*100</f>
        <v>0</v>
      </c>
      <c r="L59" s="214">
        <f t="shared" si="4"/>
        <v>62.962962962962962</v>
      </c>
      <c r="M59" s="214">
        <f t="shared" si="4"/>
        <v>37.037037037037038</v>
      </c>
      <c r="N59" s="235">
        <f t="shared" si="2"/>
        <v>100</v>
      </c>
      <c r="O59" s="213"/>
      <c r="P59" s="214">
        <v>43.8</v>
      </c>
      <c r="Q59" s="214">
        <v>13.1</v>
      </c>
      <c r="R59" s="215">
        <f t="shared" si="3"/>
        <v>56.9</v>
      </c>
      <c r="S59" s="171">
        <v>3</v>
      </c>
      <c r="T59" s="285"/>
      <c r="U59" s="283"/>
      <c r="V59" s="178" t="s">
        <v>503</v>
      </c>
      <c r="W59" s="171" t="s">
        <v>17</v>
      </c>
      <c r="X59" s="171" t="s">
        <v>18</v>
      </c>
      <c r="Y59" s="179">
        <v>41.4</v>
      </c>
      <c r="Z59" s="171" t="s">
        <v>506</v>
      </c>
      <c r="AA59" s="171" t="s">
        <v>20</v>
      </c>
      <c r="AB59" s="171" t="s">
        <v>12</v>
      </c>
      <c r="AC59" s="171">
        <v>9.8000000000000007</v>
      </c>
      <c r="AD59" s="178" t="s">
        <v>504</v>
      </c>
      <c r="AE59" s="171" t="s">
        <v>96</v>
      </c>
      <c r="AF59" s="171" t="s">
        <v>12</v>
      </c>
      <c r="AG59" s="179">
        <v>3.3</v>
      </c>
      <c r="AH59" s="178" t="s">
        <v>505</v>
      </c>
      <c r="AI59" s="171" t="s">
        <v>87</v>
      </c>
      <c r="AJ59" s="171" t="s">
        <v>18</v>
      </c>
      <c r="AK59" s="171">
        <v>2.4</v>
      </c>
      <c r="AL59" s="178"/>
      <c r="AO59" s="179"/>
      <c r="AP59" s="178"/>
      <c r="AT59" s="251"/>
      <c r="AW59" s="179"/>
      <c r="BA59" s="180"/>
    </row>
    <row r="60" spans="1:53" s="29" customFormat="1" x14ac:dyDescent="0.15">
      <c r="A60" s="52">
        <v>1981</v>
      </c>
      <c r="B60" s="295">
        <v>29765</v>
      </c>
      <c r="C60" s="411" t="s">
        <v>730</v>
      </c>
      <c r="D60" s="411"/>
      <c r="E60" s="29">
        <f>365-E59</f>
        <v>187</v>
      </c>
      <c r="F60" s="29">
        <v>5</v>
      </c>
      <c r="G60" s="66">
        <v>1</v>
      </c>
      <c r="H60" s="29">
        <v>17</v>
      </c>
      <c r="I60" s="29">
        <v>10</v>
      </c>
      <c r="J60" s="73">
        <v>28</v>
      </c>
      <c r="K60" s="47">
        <f t="shared" si="5"/>
        <v>3.5714285714285712</v>
      </c>
      <c r="L60" s="47">
        <f t="shared" si="4"/>
        <v>60.714285714285708</v>
      </c>
      <c r="M60" s="47">
        <f t="shared" si="4"/>
        <v>35.714285714285715</v>
      </c>
      <c r="N60" s="68">
        <f t="shared" si="2"/>
        <v>100</v>
      </c>
      <c r="O60" s="46">
        <v>1.5</v>
      </c>
      <c r="P60" s="47">
        <v>43.8</v>
      </c>
      <c r="Q60" s="47">
        <v>13.1</v>
      </c>
      <c r="R60" s="48">
        <f t="shared" si="3"/>
        <v>58.4</v>
      </c>
      <c r="S60" s="29">
        <v>3</v>
      </c>
      <c r="T60" s="286"/>
      <c r="U60" s="295">
        <v>29765</v>
      </c>
      <c r="V60" s="38" t="s">
        <v>503</v>
      </c>
      <c r="W60" s="29" t="s">
        <v>17</v>
      </c>
      <c r="X60" s="29" t="s">
        <v>18</v>
      </c>
      <c r="Y60" s="39">
        <v>41.4</v>
      </c>
      <c r="Z60" s="29" t="s">
        <v>506</v>
      </c>
      <c r="AA60" s="29" t="s">
        <v>20</v>
      </c>
      <c r="AB60" s="29" t="s">
        <v>12</v>
      </c>
      <c r="AC60" s="29">
        <v>9.8000000000000007</v>
      </c>
      <c r="AD60" s="38" t="s">
        <v>504</v>
      </c>
      <c r="AE60" s="29" t="s">
        <v>96</v>
      </c>
      <c r="AF60" s="29" t="s">
        <v>12</v>
      </c>
      <c r="AG60" s="39">
        <v>3.3</v>
      </c>
      <c r="AH60" s="38" t="s">
        <v>505</v>
      </c>
      <c r="AI60" s="29" t="s">
        <v>87</v>
      </c>
      <c r="AJ60" s="29" t="s">
        <v>18</v>
      </c>
      <c r="AK60" s="29">
        <v>2.4</v>
      </c>
      <c r="AL60" s="38" t="s">
        <v>508</v>
      </c>
      <c r="AM60" s="29" t="s">
        <v>22</v>
      </c>
      <c r="AN60" s="29" t="s">
        <v>11</v>
      </c>
      <c r="AO60" s="39">
        <v>1.5</v>
      </c>
      <c r="AP60" s="38"/>
      <c r="AT60" s="91"/>
      <c r="AW60" s="39"/>
      <c r="BA60" s="40"/>
    </row>
    <row r="61" spans="1:53" s="29" customFormat="1" x14ac:dyDescent="0.15">
      <c r="A61" s="52">
        <v>1982</v>
      </c>
      <c r="B61" s="295"/>
      <c r="C61" s="411" t="s">
        <v>730</v>
      </c>
      <c r="D61" s="411"/>
      <c r="E61" s="29">
        <v>234</v>
      </c>
      <c r="G61" s="66">
        <v>1</v>
      </c>
      <c r="H61" s="29">
        <v>17</v>
      </c>
      <c r="I61" s="29">
        <v>10</v>
      </c>
      <c r="J61" s="73">
        <v>28</v>
      </c>
      <c r="K61" s="47">
        <f t="shared" si="5"/>
        <v>3.5714285714285712</v>
      </c>
      <c r="L61" s="47">
        <f t="shared" si="4"/>
        <v>60.714285714285708</v>
      </c>
      <c r="M61" s="47">
        <f t="shared" si="4"/>
        <v>35.714285714285715</v>
      </c>
      <c r="N61" s="68">
        <f t="shared" si="2"/>
        <v>100</v>
      </c>
      <c r="O61" s="46">
        <v>1.5</v>
      </c>
      <c r="P61" s="47">
        <v>43.8</v>
      </c>
      <c r="Q61" s="47">
        <v>13.1</v>
      </c>
      <c r="R61" s="48">
        <f t="shared" si="3"/>
        <v>58.4</v>
      </c>
      <c r="S61" s="29">
        <v>3</v>
      </c>
      <c r="T61" s="286"/>
      <c r="U61" s="295"/>
      <c r="V61" s="38" t="s">
        <v>503</v>
      </c>
      <c r="W61" s="29" t="s">
        <v>17</v>
      </c>
      <c r="X61" s="29" t="s">
        <v>18</v>
      </c>
      <c r="Y61" s="39">
        <v>41.4</v>
      </c>
      <c r="Z61" s="29" t="s">
        <v>506</v>
      </c>
      <c r="AA61" s="29" t="s">
        <v>20</v>
      </c>
      <c r="AB61" s="29" t="s">
        <v>12</v>
      </c>
      <c r="AC61" s="29">
        <v>9.8000000000000007</v>
      </c>
      <c r="AD61" s="38" t="s">
        <v>504</v>
      </c>
      <c r="AE61" s="29" t="s">
        <v>96</v>
      </c>
      <c r="AF61" s="29" t="s">
        <v>12</v>
      </c>
      <c r="AG61" s="39">
        <v>3.3</v>
      </c>
      <c r="AH61" s="38" t="s">
        <v>505</v>
      </c>
      <c r="AI61" s="29" t="s">
        <v>87</v>
      </c>
      <c r="AJ61" s="29" t="s">
        <v>18</v>
      </c>
      <c r="AK61" s="29">
        <v>2.4</v>
      </c>
      <c r="AL61" s="38" t="s">
        <v>508</v>
      </c>
      <c r="AM61" s="29" t="s">
        <v>22</v>
      </c>
      <c r="AN61" s="29" t="s">
        <v>11</v>
      </c>
      <c r="AO61" s="39">
        <v>1.5</v>
      </c>
      <c r="AP61" s="38"/>
      <c r="AT61" s="91"/>
      <c r="AW61" s="39"/>
      <c r="BA61" s="40"/>
    </row>
    <row r="62" spans="1:53" s="171" customFormat="1" x14ac:dyDescent="0.15">
      <c r="A62" s="216">
        <v>1982</v>
      </c>
      <c r="B62" s="283">
        <v>30186</v>
      </c>
      <c r="C62" s="410" t="s">
        <v>731</v>
      </c>
      <c r="D62" s="410"/>
      <c r="E62" s="171">
        <v>110</v>
      </c>
      <c r="F62" s="171">
        <v>4</v>
      </c>
      <c r="G62" s="233">
        <v>1</v>
      </c>
      <c r="H62" s="171">
        <v>17</v>
      </c>
      <c r="I62" s="171">
        <v>10</v>
      </c>
      <c r="J62" s="241">
        <v>28</v>
      </c>
      <c r="K62" s="214">
        <f t="shared" si="5"/>
        <v>3.5714285714285712</v>
      </c>
      <c r="L62" s="214">
        <f t="shared" si="4"/>
        <v>60.714285714285708</v>
      </c>
      <c r="M62" s="214">
        <f t="shared" si="4"/>
        <v>35.714285714285715</v>
      </c>
      <c r="N62" s="235">
        <f t="shared" si="2"/>
        <v>100</v>
      </c>
      <c r="O62" s="213">
        <v>1.5</v>
      </c>
      <c r="P62" s="214">
        <v>43.8</v>
      </c>
      <c r="Q62" s="214">
        <v>13.1</v>
      </c>
      <c r="R62" s="215">
        <f t="shared" si="3"/>
        <v>58.4</v>
      </c>
      <c r="S62" s="171">
        <v>3</v>
      </c>
      <c r="T62" s="285"/>
      <c r="U62" s="283">
        <v>30186</v>
      </c>
      <c r="V62" s="178" t="s">
        <v>503</v>
      </c>
      <c r="W62" s="171" t="s">
        <v>17</v>
      </c>
      <c r="X62" s="171" t="s">
        <v>18</v>
      </c>
      <c r="Y62" s="179">
        <v>41.4</v>
      </c>
      <c r="Z62" s="171" t="s">
        <v>506</v>
      </c>
      <c r="AA62" s="171" t="s">
        <v>20</v>
      </c>
      <c r="AB62" s="171" t="s">
        <v>12</v>
      </c>
      <c r="AC62" s="171">
        <v>9.8000000000000007</v>
      </c>
      <c r="AD62" s="178" t="s">
        <v>504</v>
      </c>
      <c r="AE62" s="171" t="s">
        <v>96</v>
      </c>
      <c r="AF62" s="171" t="s">
        <v>12</v>
      </c>
      <c r="AG62" s="179">
        <v>3.3</v>
      </c>
      <c r="AH62" s="178" t="s">
        <v>505</v>
      </c>
      <c r="AI62" s="171" t="s">
        <v>87</v>
      </c>
      <c r="AJ62" s="171" t="s">
        <v>18</v>
      </c>
      <c r="AK62" s="171">
        <v>2.4</v>
      </c>
      <c r="AL62" s="178" t="s">
        <v>508</v>
      </c>
      <c r="AM62" s="171" t="s">
        <v>22</v>
      </c>
      <c r="AN62" s="171" t="s">
        <v>11</v>
      </c>
      <c r="AO62" s="179">
        <v>1.5</v>
      </c>
      <c r="AP62" s="178"/>
      <c r="AT62" s="251"/>
      <c r="AW62" s="179"/>
      <c r="BA62" s="180"/>
    </row>
    <row r="63" spans="1:53" s="29" customFormat="1" x14ac:dyDescent="0.15">
      <c r="A63" s="52">
        <v>1982</v>
      </c>
      <c r="B63" s="295">
        <v>30296</v>
      </c>
      <c r="C63" s="411" t="s">
        <v>732</v>
      </c>
      <c r="D63" s="411"/>
      <c r="E63" s="29">
        <f>365-E62-E61</f>
        <v>21</v>
      </c>
      <c r="F63" s="29">
        <v>4</v>
      </c>
      <c r="G63" s="66">
        <v>2</v>
      </c>
      <c r="H63" s="29">
        <v>14</v>
      </c>
      <c r="I63" s="29">
        <v>12</v>
      </c>
      <c r="J63" s="73">
        <v>28</v>
      </c>
      <c r="K63" s="47">
        <f t="shared" si="5"/>
        <v>7.1428571428571423</v>
      </c>
      <c r="L63" s="47">
        <f t="shared" si="4"/>
        <v>50</v>
      </c>
      <c r="M63" s="47">
        <f t="shared" si="4"/>
        <v>42.857142857142854</v>
      </c>
      <c r="N63" s="68">
        <f t="shared" si="2"/>
        <v>100</v>
      </c>
      <c r="O63" s="46">
        <v>1.5</v>
      </c>
      <c r="P63" s="47">
        <v>41.4</v>
      </c>
      <c r="Q63" s="47">
        <v>13.1</v>
      </c>
      <c r="R63" s="48">
        <f t="shared" si="3"/>
        <v>56</v>
      </c>
      <c r="S63" s="29">
        <v>3</v>
      </c>
      <c r="T63" s="286"/>
      <c r="U63" s="295">
        <v>30296</v>
      </c>
      <c r="V63" s="38" t="s">
        <v>503</v>
      </c>
      <c r="W63" s="29" t="s">
        <v>17</v>
      </c>
      <c r="X63" s="29" t="s">
        <v>18</v>
      </c>
      <c r="Y63" s="39">
        <v>41.4</v>
      </c>
      <c r="Z63" s="29" t="s">
        <v>506</v>
      </c>
      <c r="AA63" s="29" t="s">
        <v>20</v>
      </c>
      <c r="AB63" s="29" t="s">
        <v>12</v>
      </c>
      <c r="AC63" s="29">
        <v>9.8000000000000007</v>
      </c>
      <c r="AD63" s="38" t="s">
        <v>504</v>
      </c>
      <c r="AE63" s="29" t="s">
        <v>96</v>
      </c>
      <c r="AF63" s="29" t="s">
        <v>12</v>
      </c>
      <c r="AG63" s="39">
        <v>3.3</v>
      </c>
      <c r="AH63" s="38" t="s">
        <v>508</v>
      </c>
      <c r="AI63" s="29" t="s">
        <v>22</v>
      </c>
      <c r="AJ63" s="29" t="s">
        <v>11</v>
      </c>
      <c r="AK63" s="29">
        <v>1.5</v>
      </c>
      <c r="AL63" s="38"/>
      <c r="AO63" s="39"/>
      <c r="AP63" s="38"/>
      <c r="AT63" s="91"/>
      <c r="AW63" s="39"/>
      <c r="BA63" s="40"/>
    </row>
    <row r="64" spans="1:53" s="29" customFormat="1" x14ac:dyDescent="0.15">
      <c r="A64" s="52">
        <v>1983</v>
      </c>
      <c r="B64" s="295"/>
      <c r="C64" s="411" t="s">
        <v>732</v>
      </c>
      <c r="D64" s="411"/>
      <c r="E64" s="29">
        <v>215</v>
      </c>
      <c r="G64" s="66">
        <v>2</v>
      </c>
      <c r="H64" s="29">
        <v>14</v>
      </c>
      <c r="I64" s="29">
        <v>12</v>
      </c>
      <c r="J64" s="73">
        <v>28</v>
      </c>
      <c r="K64" s="47">
        <f t="shared" si="5"/>
        <v>7.1428571428571423</v>
      </c>
      <c r="L64" s="47">
        <f t="shared" si="4"/>
        <v>50</v>
      </c>
      <c r="M64" s="47">
        <f t="shared" si="4"/>
        <v>42.857142857142854</v>
      </c>
      <c r="N64" s="68">
        <f t="shared" si="2"/>
        <v>100</v>
      </c>
      <c r="O64" s="46">
        <v>1.5</v>
      </c>
      <c r="P64" s="47">
        <v>41.4</v>
      </c>
      <c r="Q64" s="47">
        <v>13.1</v>
      </c>
      <c r="R64" s="48">
        <f t="shared" si="3"/>
        <v>56</v>
      </c>
      <c r="S64" s="29">
        <v>3</v>
      </c>
      <c r="T64" s="286"/>
      <c r="U64" s="295"/>
      <c r="V64" s="38" t="s">
        <v>503</v>
      </c>
      <c r="W64" s="29" t="s">
        <v>17</v>
      </c>
      <c r="X64" s="29" t="s">
        <v>18</v>
      </c>
      <c r="Y64" s="39">
        <v>41.4</v>
      </c>
      <c r="Z64" s="29" t="s">
        <v>506</v>
      </c>
      <c r="AA64" s="29" t="s">
        <v>20</v>
      </c>
      <c r="AB64" s="29" t="s">
        <v>12</v>
      </c>
      <c r="AC64" s="29">
        <v>9.8000000000000007</v>
      </c>
      <c r="AD64" s="38" t="s">
        <v>504</v>
      </c>
      <c r="AE64" s="29" t="s">
        <v>96</v>
      </c>
      <c r="AF64" s="29" t="s">
        <v>12</v>
      </c>
      <c r="AG64" s="39">
        <v>3.3</v>
      </c>
      <c r="AH64" s="38" t="s">
        <v>508</v>
      </c>
      <c r="AI64" s="29" t="s">
        <v>22</v>
      </c>
      <c r="AJ64" s="29" t="s">
        <v>11</v>
      </c>
      <c r="AK64" s="29">
        <v>1.5</v>
      </c>
      <c r="AL64" s="38"/>
      <c r="AO64" s="39"/>
      <c r="AP64" s="38"/>
      <c r="AT64" s="91"/>
      <c r="AW64" s="39"/>
      <c r="BA64" s="40"/>
    </row>
    <row r="65" spans="1:53" s="171" customFormat="1" x14ac:dyDescent="0.15">
      <c r="A65" s="216">
        <v>1983</v>
      </c>
      <c r="B65" s="283">
        <v>30532</v>
      </c>
      <c r="C65" s="410" t="s">
        <v>733</v>
      </c>
      <c r="D65" s="410"/>
      <c r="E65" s="171">
        <f>365-E64</f>
        <v>150</v>
      </c>
      <c r="F65" s="171">
        <v>1</v>
      </c>
      <c r="G65" s="233">
        <v>2</v>
      </c>
      <c r="H65" s="171">
        <v>19</v>
      </c>
      <c r="I65" s="171">
        <v>9</v>
      </c>
      <c r="J65" s="241">
        <v>30</v>
      </c>
      <c r="K65" s="214">
        <f t="shared" si="5"/>
        <v>6.666666666666667</v>
      </c>
      <c r="L65" s="214">
        <f t="shared" si="4"/>
        <v>63.333333333333329</v>
      </c>
      <c r="M65" s="214">
        <f t="shared" si="4"/>
        <v>30</v>
      </c>
      <c r="N65" s="235">
        <f t="shared" si="2"/>
        <v>100</v>
      </c>
      <c r="O65" s="213">
        <v>2.5</v>
      </c>
      <c r="P65" s="214">
        <v>40.299999999999997</v>
      </c>
      <c r="Q65" s="214">
        <v>15.3</v>
      </c>
      <c r="R65" s="215">
        <f t="shared" si="3"/>
        <v>58.099999999999994</v>
      </c>
      <c r="S65" s="171">
        <v>3</v>
      </c>
      <c r="T65" s="285">
        <v>30493</v>
      </c>
      <c r="U65" s="283">
        <v>30532</v>
      </c>
      <c r="V65" s="178" t="s">
        <v>503</v>
      </c>
      <c r="W65" s="171" t="s">
        <v>17</v>
      </c>
      <c r="X65" s="171" t="s">
        <v>18</v>
      </c>
      <c r="Y65" s="179">
        <v>35.700000000000003</v>
      </c>
      <c r="Z65" s="171" t="s">
        <v>506</v>
      </c>
      <c r="AA65" s="171" t="s">
        <v>20</v>
      </c>
      <c r="AB65" s="171" t="s">
        <v>12</v>
      </c>
      <c r="AC65" s="171">
        <v>11.6</v>
      </c>
      <c r="AD65" s="178" t="s">
        <v>504</v>
      </c>
      <c r="AE65" s="171" t="s">
        <v>96</v>
      </c>
      <c r="AF65" s="171" t="s">
        <v>12</v>
      </c>
      <c r="AG65" s="179">
        <v>3.7</v>
      </c>
      <c r="AH65" s="178" t="s">
        <v>508</v>
      </c>
      <c r="AI65" s="171" t="s">
        <v>22</v>
      </c>
      <c r="AJ65" s="171" t="s">
        <v>11</v>
      </c>
      <c r="AK65" s="171">
        <v>2.5</v>
      </c>
      <c r="AL65" s="178" t="s">
        <v>505</v>
      </c>
      <c r="AM65" s="171" t="s">
        <v>87</v>
      </c>
      <c r="AN65" s="171" t="s">
        <v>18</v>
      </c>
      <c r="AO65" s="179">
        <v>4.5999999999999996</v>
      </c>
      <c r="AP65" s="178"/>
      <c r="AT65" s="251"/>
      <c r="AW65" s="179"/>
      <c r="BA65" s="180"/>
    </row>
    <row r="66" spans="1:53" s="171" customFormat="1" x14ac:dyDescent="0.15">
      <c r="A66" s="216">
        <v>1984</v>
      </c>
      <c r="B66" s="283"/>
      <c r="C66" s="410" t="s">
        <v>733</v>
      </c>
      <c r="D66" s="410"/>
      <c r="E66" s="171">
        <v>0</v>
      </c>
      <c r="G66" s="233">
        <v>2</v>
      </c>
      <c r="H66" s="171">
        <v>19</v>
      </c>
      <c r="I66" s="171">
        <v>9</v>
      </c>
      <c r="J66" s="241">
        <v>30</v>
      </c>
      <c r="K66" s="214">
        <f t="shared" si="5"/>
        <v>6.666666666666667</v>
      </c>
      <c r="L66" s="214">
        <f t="shared" si="4"/>
        <v>63.333333333333329</v>
      </c>
      <c r="M66" s="214">
        <f t="shared" si="4"/>
        <v>30</v>
      </c>
      <c r="N66" s="235">
        <f t="shared" si="2"/>
        <v>100</v>
      </c>
      <c r="O66" s="213">
        <v>2.5</v>
      </c>
      <c r="P66" s="214">
        <v>40.299999999999997</v>
      </c>
      <c r="Q66" s="214">
        <v>15.3</v>
      </c>
      <c r="R66" s="215">
        <f t="shared" si="3"/>
        <v>58.099999999999994</v>
      </c>
      <c r="S66" s="171">
        <v>3</v>
      </c>
      <c r="T66" s="285"/>
      <c r="U66" s="283"/>
      <c r="V66" s="178" t="s">
        <v>503</v>
      </c>
      <c r="W66" s="171" t="s">
        <v>17</v>
      </c>
      <c r="X66" s="171" t="s">
        <v>18</v>
      </c>
      <c r="Y66" s="179">
        <v>35.700000000000003</v>
      </c>
      <c r="Z66" s="171" t="s">
        <v>506</v>
      </c>
      <c r="AA66" s="171" t="s">
        <v>20</v>
      </c>
      <c r="AB66" s="171" t="s">
        <v>12</v>
      </c>
      <c r="AC66" s="171">
        <v>11.6</v>
      </c>
      <c r="AD66" s="178" t="s">
        <v>504</v>
      </c>
      <c r="AE66" s="171" t="s">
        <v>96</v>
      </c>
      <c r="AF66" s="171" t="s">
        <v>12</v>
      </c>
      <c r="AG66" s="179">
        <v>3.7</v>
      </c>
      <c r="AH66" s="178" t="s">
        <v>508</v>
      </c>
      <c r="AI66" s="171" t="s">
        <v>22</v>
      </c>
      <c r="AJ66" s="171" t="s">
        <v>11</v>
      </c>
      <c r="AK66" s="171">
        <v>2.5</v>
      </c>
      <c r="AL66" s="178" t="s">
        <v>505</v>
      </c>
      <c r="AM66" s="171" t="s">
        <v>87</v>
      </c>
      <c r="AN66" s="171" t="s">
        <v>18</v>
      </c>
      <c r="AO66" s="179">
        <v>4.5999999999999996</v>
      </c>
      <c r="AP66" s="178"/>
      <c r="AT66" s="251"/>
      <c r="AW66" s="179"/>
      <c r="BA66" s="180"/>
    </row>
    <row r="67" spans="1:53" s="171" customFormat="1" x14ac:dyDescent="0.15">
      <c r="A67" s="216">
        <v>1984</v>
      </c>
      <c r="B67" s="283"/>
      <c r="C67" s="410" t="s">
        <v>733</v>
      </c>
      <c r="D67" s="410"/>
      <c r="E67" s="171">
        <v>366</v>
      </c>
      <c r="G67" s="233">
        <v>2</v>
      </c>
      <c r="H67" s="171">
        <v>19</v>
      </c>
      <c r="I67" s="171">
        <v>9</v>
      </c>
      <c r="J67" s="241">
        <v>30</v>
      </c>
      <c r="K67" s="214">
        <f t="shared" si="5"/>
        <v>6.666666666666667</v>
      </c>
      <c r="L67" s="214">
        <f t="shared" si="5"/>
        <v>63.333333333333329</v>
      </c>
      <c r="M67" s="214">
        <f t="shared" si="5"/>
        <v>30</v>
      </c>
      <c r="N67" s="235">
        <f t="shared" si="2"/>
        <v>100</v>
      </c>
      <c r="O67" s="213">
        <v>2.5</v>
      </c>
      <c r="P67" s="214">
        <v>40.299999999999997</v>
      </c>
      <c r="Q67" s="214">
        <v>15.3</v>
      </c>
      <c r="R67" s="215">
        <f t="shared" si="3"/>
        <v>58.099999999999994</v>
      </c>
      <c r="S67" s="171">
        <v>3</v>
      </c>
      <c r="T67" s="285"/>
      <c r="U67" s="283"/>
      <c r="V67" s="178" t="s">
        <v>503</v>
      </c>
      <c r="W67" s="171" t="s">
        <v>17</v>
      </c>
      <c r="X67" s="171" t="s">
        <v>18</v>
      </c>
      <c r="Y67" s="179">
        <v>35.700000000000003</v>
      </c>
      <c r="Z67" s="171" t="s">
        <v>506</v>
      </c>
      <c r="AA67" s="171" t="s">
        <v>20</v>
      </c>
      <c r="AB67" s="171" t="s">
        <v>12</v>
      </c>
      <c r="AC67" s="171">
        <v>11.6</v>
      </c>
      <c r="AD67" s="178" t="s">
        <v>504</v>
      </c>
      <c r="AE67" s="171" t="s">
        <v>96</v>
      </c>
      <c r="AF67" s="171" t="s">
        <v>12</v>
      </c>
      <c r="AG67" s="179">
        <v>3.7</v>
      </c>
      <c r="AH67" s="178" t="s">
        <v>508</v>
      </c>
      <c r="AI67" s="171" t="s">
        <v>22</v>
      </c>
      <c r="AJ67" s="171" t="s">
        <v>11</v>
      </c>
      <c r="AK67" s="171">
        <v>2.5</v>
      </c>
      <c r="AL67" s="178" t="s">
        <v>505</v>
      </c>
      <c r="AM67" s="171" t="s">
        <v>87</v>
      </c>
      <c r="AN67" s="171" t="s">
        <v>18</v>
      </c>
      <c r="AO67" s="179">
        <v>4.5999999999999996</v>
      </c>
      <c r="AP67" s="178"/>
      <c r="AT67" s="251"/>
      <c r="AW67" s="179"/>
      <c r="BA67" s="180"/>
    </row>
    <row r="68" spans="1:53" s="171" customFormat="1" x14ac:dyDescent="0.15">
      <c r="A68" s="216">
        <v>1985</v>
      </c>
      <c r="B68" s="283"/>
      <c r="C68" s="410" t="s">
        <v>733</v>
      </c>
      <c r="D68" s="410"/>
      <c r="E68" s="171">
        <v>0</v>
      </c>
      <c r="G68" s="233">
        <v>2</v>
      </c>
      <c r="H68" s="171">
        <v>19</v>
      </c>
      <c r="I68" s="171">
        <v>9</v>
      </c>
      <c r="J68" s="241">
        <v>30</v>
      </c>
      <c r="K68" s="214">
        <f t="shared" si="5"/>
        <v>6.666666666666667</v>
      </c>
      <c r="L68" s="214">
        <f t="shared" si="5"/>
        <v>63.333333333333329</v>
      </c>
      <c r="M68" s="214">
        <f t="shared" si="5"/>
        <v>30</v>
      </c>
      <c r="N68" s="235">
        <f t="shared" si="2"/>
        <v>100</v>
      </c>
      <c r="O68" s="213">
        <v>2.5</v>
      </c>
      <c r="P68" s="214">
        <v>40.299999999999997</v>
      </c>
      <c r="Q68" s="214">
        <v>15.3</v>
      </c>
      <c r="R68" s="215">
        <f t="shared" si="3"/>
        <v>58.099999999999994</v>
      </c>
      <c r="S68" s="171">
        <v>3</v>
      </c>
      <c r="T68" s="285"/>
      <c r="U68" s="283"/>
      <c r="V68" s="178" t="s">
        <v>503</v>
      </c>
      <c r="W68" s="171" t="s">
        <v>17</v>
      </c>
      <c r="X68" s="171" t="s">
        <v>18</v>
      </c>
      <c r="Y68" s="179">
        <v>35.700000000000003</v>
      </c>
      <c r="Z68" s="171" t="s">
        <v>506</v>
      </c>
      <c r="AA68" s="171" t="s">
        <v>20</v>
      </c>
      <c r="AB68" s="171" t="s">
        <v>12</v>
      </c>
      <c r="AC68" s="171">
        <v>11.6</v>
      </c>
      <c r="AD68" s="178" t="s">
        <v>504</v>
      </c>
      <c r="AE68" s="171" t="s">
        <v>96</v>
      </c>
      <c r="AF68" s="171" t="s">
        <v>12</v>
      </c>
      <c r="AG68" s="179">
        <v>3.7</v>
      </c>
      <c r="AH68" s="178" t="s">
        <v>508</v>
      </c>
      <c r="AI68" s="171" t="s">
        <v>22</v>
      </c>
      <c r="AJ68" s="171" t="s">
        <v>11</v>
      </c>
      <c r="AK68" s="171">
        <v>2.5</v>
      </c>
      <c r="AL68" s="178" t="s">
        <v>505</v>
      </c>
      <c r="AM68" s="171" t="s">
        <v>87</v>
      </c>
      <c r="AN68" s="171" t="s">
        <v>18</v>
      </c>
      <c r="AO68" s="179">
        <v>4.5999999999999996</v>
      </c>
      <c r="AP68" s="178"/>
      <c r="AT68" s="251"/>
      <c r="AW68" s="179"/>
      <c r="BA68" s="180"/>
    </row>
    <row r="69" spans="1:53" s="171" customFormat="1" x14ac:dyDescent="0.15">
      <c r="A69" s="216">
        <v>1985</v>
      </c>
      <c r="B69" s="283"/>
      <c r="C69" s="410" t="s">
        <v>733</v>
      </c>
      <c r="D69" s="410"/>
      <c r="E69" s="171">
        <v>365</v>
      </c>
      <c r="G69" s="233">
        <v>2</v>
      </c>
      <c r="H69" s="171">
        <v>19</v>
      </c>
      <c r="I69" s="171">
        <v>9</v>
      </c>
      <c r="J69" s="241">
        <v>30</v>
      </c>
      <c r="K69" s="214">
        <f t="shared" si="5"/>
        <v>6.666666666666667</v>
      </c>
      <c r="L69" s="214">
        <f t="shared" si="5"/>
        <v>63.333333333333329</v>
      </c>
      <c r="M69" s="214">
        <f t="shared" si="5"/>
        <v>30</v>
      </c>
      <c r="N69" s="235">
        <f t="shared" si="2"/>
        <v>100</v>
      </c>
      <c r="O69" s="213">
        <v>2.5</v>
      </c>
      <c r="P69" s="214">
        <v>40.299999999999997</v>
      </c>
      <c r="Q69" s="214">
        <v>15.3</v>
      </c>
      <c r="R69" s="215">
        <f t="shared" si="3"/>
        <v>58.099999999999994</v>
      </c>
      <c r="S69" s="171">
        <v>3</v>
      </c>
      <c r="T69" s="285"/>
      <c r="U69" s="283"/>
      <c r="V69" s="178" t="s">
        <v>503</v>
      </c>
      <c r="W69" s="171" t="s">
        <v>17</v>
      </c>
      <c r="X69" s="171" t="s">
        <v>18</v>
      </c>
      <c r="Y69" s="179">
        <v>35.700000000000003</v>
      </c>
      <c r="Z69" s="171" t="s">
        <v>506</v>
      </c>
      <c r="AA69" s="171" t="s">
        <v>20</v>
      </c>
      <c r="AB69" s="171" t="s">
        <v>12</v>
      </c>
      <c r="AC69" s="171">
        <v>11.6</v>
      </c>
      <c r="AD69" s="178" t="s">
        <v>504</v>
      </c>
      <c r="AE69" s="171" t="s">
        <v>96</v>
      </c>
      <c r="AF69" s="171" t="s">
        <v>12</v>
      </c>
      <c r="AG69" s="179">
        <v>3.7</v>
      </c>
      <c r="AH69" s="178" t="s">
        <v>508</v>
      </c>
      <c r="AI69" s="171" t="s">
        <v>22</v>
      </c>
      <c r="AJ69" s="171" t="s">
        <v>11</v>
      </c>
      <c r="AK69" s="171">
        <v>2.5</v>
      </c>
      <c r="AL69" s="178" t="s">
        <v>505</v>
      </c>
      <c r="AM69" s="171" t="s">
        <v>87</v>
      </c>
      <c r="AN69" s="171" t="s">
        <v>18</v>
      </c>
      <c r="AO69" s="179">
        <v>4.5999999999999996</v>
      </c>
      <c r="AP69" s="178"/>
      <c r="AT69" s="251"/>
      <c r="AW69" s="179"/>
      <c r="BA69" s="180"/>
    </row>
    <row r="70" spans="1:53" s="171" customFormat="1" x14ac:dyDescent="0.15">
      <c r="A70" s="216">
        <v>1986</v>
      </c>
      <c r="B70" s="283"/>
      <c r="C70" s="410" t="s">
        <v>733</v>
      </c>
      <c r="D70" s="410"/>
      <c r="E70" s="171">
        <v>213</v>
      </c>
      <c r="G70" s="233">
        <v>2</v>
      </c>
      <c r="H70" s="171">
        <v>19</v>
      </c>
      <c r="I70" s="171">
        <v>9</v>
      </c>
      <c r="J70" s="241">
        <v>30</v>
      </c>
      <c r="K70" s="214">
        <f t="shared" si="5"/>
        <v>6.666666666666667</v>
      </c>
      <c r="L70" s="214">
        <f t="shared" si="5"/>
        <v>63.333333333333329</v>
      </c>
      <c r="M70" s="214">
        <f t="shared" si="5"/>
        <v>30</v>
      </c>
      <c r="N70" s="235">
        <f t="shared" si="2"/>
        <v>100</v>
      </c>
      <c r="O70" s="213">
        <v>2.5</v>
      </c>
      <c r="P70" s="214">
        <v>40.299999999999997</v>
      </c>
      <c r="Q70" s="214">
        <v>15.3</v>
      </c>
      <c r="R70" s="215">
        <f t="shared" si="3"/>
        <v>58.099999999999994</v>
      </c>
      <c r="S70" s="171">
        <v>3</v>
      </c>
      <c r="T70" s="285"/>
      <c r="U70" s="283"/>
      <c r="V70" s="178" t="s">
        <v>503</v>
      </c>
      <c r="W70" s="171" t="s">
        <v>17</v>
      </c>
      <c r="X70" s="171" t="s">
        <v>18</v>
      </c>
      <c r="Y70" s="179">
        <v>35.700000000000003</v>
      </c>
      <c r="Z70" s="171" t="s">
        <v>506</v>
      </c>
      <c r="AA70" s="171" t="s">
        <v>20</v>
      </c>
      <c r="AB70" s="171" t="s">
        <v>12</v>
      </c>
      <c r="AC70" s="171">
        <v>11.6</v>
      </c>
      <c r="AD70" s="178" t="s">
        <v>504</v>
      </c>
      <c r="AE70" s="171" t="s">
        <v>96</v>
      </c>
      <c r="AF70" s="171" t="s">
        <v>12</v>
      </c>
      <c r="AG70" s="179">
        <v>3.7</v>
      </c>
      <c r="AH70" s="178" t="s">
        <v>508</v>
      </c>
      <c r="AI70" s="171" t="s">
        <v>22</v>
      </c>
      <c r="AJ70" s="171" t="s">
        <v>11</v>
      </c>
      <c r="AK70" s="171">
        <v>2.5</v>
      </c>
      <c r="AL70" s="178" t="s">
        <v>505</v>
      </c>
      <c r="AM70" s="171" t="s">
        <v>87</v>
      </c>
      <c r="AN70" s="171" t="s">
        <v>18</v>
      </c>
      <c r="AO70" s="179">
        <v>4.5999999999999996</v>
      </c>
      <c r="AP70" s="178"/>
      <c r="AT70" s="251"/>
      <c r="AW70" s="179"/>
      <c r="BA70" s="180"/>
    </row>
    <row r="71" spans="1:53" s="29" customFormat="1" x14ac:dyDescent="0.15">
      <c r="A71" s="52">
        <v>1986</v>
      </c>
      <c r="B71" s="295">
        <v>31626</v>
      </c>
      <c r="C71" s="411" t="s">
        <v>734</v>
      </c>
      <c r="D71" s="411"/>
      <c r="E71" s="29">
        <f>365-E70</f>
        <v>152</v>
      </c>
      <c r="F71" s="29">
        <v>5</v>
      </c>
      <c r="G71" s="66">
        <v>2</v>
      </c>
      <c r="H71" s="29">
        <v>19</v>
      </c>
      <c r="I71" s="29">
        <v>9</v>
      </c>
      <c r="J71" s="73">
        <v>30</v>
      </c>
      <c r="K71" s="47">
        <f t="shared" si="5"/>
        <v>6.666666666666667</v>
      </c>
      <c r="L71" s="47">
        <f t="shared" si="5"/>
        <v>63.333333333333329</v>
      </c>
      <c r="M71" s="47">
        <f t="shared" si="5"/>
        <v>30</v>
      </c>
      <c r="N71" s="68">
        <f t="shared" si="2"/>
        <v>100</v>
      </c>
      <c r="O71" s="46">
        <v>2.5</v>
      </c>
      <c r="P71" s="47">
        <v>40.299999999999997</v>
      </c>
      <c r="Q71" s="47">
        <v>15.3</v>
      </c>
      <c r="R71" s="48">
        <f t="shared" si="3"/>
        <v>58.099999999999994</v>
      </c>
      <c r="S71" s="29">
        <v>3</v>
      </c>
      <c r="T71" s="286"/>
      <c r="U71" s="295">
        <v>31626</v>
      </c>
      <c r="V71" s="38" t="s">
        <v>503</v>
      </c>
      <c r="W71" s="29" t="s">
        <v>17</v>
      </c>
      <c r="X71" s="29" t="s">
        <v>18</v>
      </c>
      <c r="Y71" s="39">
        <v>35.700000000000003</v>
      </c>
      <c r="Z71" s="29" t="s">
        <v>506</v>
      </c>
      <c r="AA71" s="29" t="s">
        <v>20</v>
      </c>
      <c r="AB71" s="29" t="s">
        <v>12</v>
      </c>
      <c r="AC71" s="29">
        <v>11.6</v>
      </c>
      <c r="AD71" s="38" t="s">
        <v>504</v>
      </c>
      <c r="AE71" s="29" t="s">
        <v>96</v>
      </c>
      <c r="AF71" s="29" t="s">
        <v>12</v>
      </c>
      <c r="AG71" s="39">
        <v>3.7</v>
      </c>
      <c r="AH71" s="38" t="s">
        <v>508</v>
      </c>
      <c r="AI71" s="29" t="s">
        <v>22</v>
      </c>
      <c r="AJ71" s="29" t="s">
        <v>11</v>
      </c>
      <c r="AK71" s="29">
        <v>2.5</v>
      </c>
      <c r="AL71" s="38" t="s">
        <v>505</v>
      </c>
      <c r="AM71" s="29" t="s">
        <v>87</v>
      </c>
      <c r="AN71" s="29" t="s">
        <v>18</v>
      </c>
      <c r="AO71" s="39">
        <v>4.5999999999999996</v>
      </c>
      <c r="AP71" s="38"/>
      <c r="AT71" s="91"/>
      <c r="AW71" s="39"/>
      <c r="BA71" s="40"/>
    </row>
    <row r="72" spans="1:53" s="29" customFormat="1" x14ac:dyDescent="0.15">
      <c r="A72" s="52">
        <v>1987</v>
      </c>
      <c r="B72" s="295"/>
      <c r="C72" s="411" t="s">
        <v>734</v>
      </c>
      <c r="D72" s="411"/>
      <c r="E72" s="29">
        <v>107</v>
      </c>
      <c r="G72" s="66">
        <v>2</v>
      </c>
      <c r="H72" s="29">
        <v>19</v>
      </c>
      <c r="I72" s="29">
        <v>9</v>
      </c>
      <c r="J72" s="73">
        <v>30</v>
      </c>
      <c r="K72" s="47">
        <f t="shared" si="5"/>
        <v>6.666666666666667</v>
      </c>
      <c r="L72" s="47">
        <f t="shared" si="5"/>
        <v>63.333333333333329</v>
      </c>
      <c r="M72" s="47">
        <f t="shared" si="5"/>
        <v>30</v>
      </c>
      <c r="N72" s="68">
        <f t="shared" si="2"/>
        <v>100</v>
      </c>
      <c r="O72" s="46">
        <v>2.5</v>
      </c>
      <c r="P72" s="47">
        <v>40.299999999999997</v>
      </c>
      <c r="Q72" s="47">
        <v>15.3</v>
      </c>
      <c r="R72" s="48">
        <f t="shared" si="3"/>
        <v>58.099999999999994</v>
      </c>
      <c r="S72" s="29">
        <v>3</v>
      </c>
      <c r="T72" s="286"/>
      <c r="U72" s="295"/>
      <c r="V72" s="38" t="s">
        <v>503</v>
      </c>
      <c r="W72" s="29" t="s">
        <v>17</v>
      </c>
      <c r="X72" s="29" t="s">
        <v>18</v>
      </c>
      <c r="Y72" s="39">
        <v>35.700000000000003</v>
      </c>
      <c r="Z72" s="29" t="s">
        <v>506</v>
      </c>
      <c r="AA72" s="29" t="s">
        <v>20</v>
      </c>
      <c r="AB72" s="29" t="s">
        <v>12</v>
      </c>
      <c r="AC72" s="29">
        <v>11.6</v>
      </c>
      <c r="AD72" s="38" t="s">
        <v>504</v>
      </c>
      <c r="AE72" s="29" t="s">
        <v>96</v>
      </c>
      <c r="AF72" s="29" t="s">
        <v>12</v>
      </c>
      <c r="AG72" s="39">
        <v>3.7</v>
      </c>
      <c r="AH72" s="38" t="s">
        <v>508</v>
      </c>
      <c r="AI72" s="29" t="s">
        <v>22</v>
      </c>
      <c r="AJ72" s="29" t="s">
        <v>11</v>
      </c>
      <c r="AK72" s="29">
        <v>2.5</v>
      </c>
      <c r="AL72" s="38" t="s">
        <v>505</v>
      </c>
      <c r="AM72" s="29" t="s">
        <v>87</v>
      </c>
      <c r="AN72" s="29" t="s">
        <v>18</v>
      </c>
      <c r="AO72" s="39">
        <v>4.5999999999999996</v>
      </c>
      <c r="AP72" s="38"/>
      <c r="AT72" s="91"/>
      <c r="AW72" s="39"/>
      <c r="BA72" s="40"/>
    </row>
    <row r="73" spans="1:53" s="171" customFormat="1" x14ac:dyDescent="0.15">
      <c r="A73" s="216">
        <v>1987</v>
      </c>
      <c r="B73" s="283">
        <v>31885</v>
      </c>
      <c r="C73" s="410" t="s">
        <v>735</v>
      </c>
      <c r="D73" s="410"/>
      <c r="E73" s="171">
        <v>102</v>
      </c>
      <c r="F73" s="171">
        <v>1</v>
      </c>
      <c r="G73" s="233"/>
      <c r="H73" s="171">
        <v>16</v>
      </c>
      <c r="J73" s="241">
        <v>25</v>
      </c>
      <c r="K73" s="214">
        <f t="shared" si="5"/>
        <v>0</v>
      </c>
      <c r="L73" s="214">
        <f t="shared" si="5"/>
        <v>64</v>
      </c>
      <c r="M73" s="214">
        <f t="shared" si="5"/>
        <v>0</v>
      </c>
      <c r="N73" s="235">
        <f t="shared" ref="N73:N133" si="6">K73+L73+M73</f>
        <v>64</v>
      </c>
      <c r="O73" s="213"/>
      <c r="P73" s="214">
        <v>35.700000000000003</v>
      </c>
      <c r="Q73" s="214"/>
      <c r="R73" s="215">
        <f t="shared" ref="R73:R136" si="7">O73+P73+Q73</f>
        <v>35.700000000000003</v>
      </c>
      <c r="S73" s="171">
        <v>4</v>
      </c>
      <c r="T73" s="285"/>
      <c r="U73" s="283">
        <v>31885</v>
      </c>
      <c r="V73" s="178" t="s">
        <v>503</v>
      </c>
      <c r="W73" s="171" t="s">
        <v>17</v>
      </c>
      <c r="X73" s="171" t="s">
        <v>18</v>
      </c>
      <c r="Y73" s="179">
        <v>35.700000000000003</v>
      </c>
      <c r="AD73" s="178"/>
      <c r="AG73" s="179"/>
      <c r="AL73" s="178"/>
      <c r="AO73" s="179"/>
      <c r="AP73" s="178"/>
      <c r="AT73" s="251"/>
      <c r="AW73" s="179"/>
      <c r="BA73" s="180"/>
    </row>
    <row r="74" spans="1:53" s="29" customFormat="1" x14ac:dyDescent="0.15">
      <c r="A74" s="52">
        <v>1987</v>
      </c>
      <c r="B74" s="295">
        <v>31987</v>
      </c>
      <c r="C74" s="411" t="s">
        <v>736</v>
      </c>
      <c r="D74" s="411"/>
      <c r="E74" s="29">
        <f>365-E73-E72</f>
        <v>156</v>
      </c>
      <c r="F74" s="29">
        <v>1</v>
      </c>
      <c r="G74" s="66">
        <v>1</v>
      </c>
      <c r="H74" s="29">
        <v>18</v>
      </c>
      <c r="I74" s="29">
        <v>11</v>
      </c>
      <c r="J74" s="73">
        <v>30</v>
      </c>
      <c r="K74" s="47">
        <f t="shared" si="5"/>
        <v>3.3333333333333335</v>
      </c>
      <c r="L74" s="47">
        <f t="shared" si="5"/>
        <v>60</v>
      </c>
      <c r="M74" s="47">
        <f t="shared" si="5"/>
        <v>36.666666666666664</v>
      </c>
      <c r="N74" s="68">
        <f t="shared" si="6"/>
        <v>100</v>
      </c>
      <c r="O74" s="46">
        <v>1.7</v>
      </c>
      <c r="P74" s="47">
        <v>40.4</v>
      </c>
      <c r="Q74" s="47">
        <v>17.600000000000001</v>
      </c>
      <c r="R74" s="48">
        <f t="shared" si="7"/>
        <v>59.7</v>
      </c>
      <c r="S74" s="29">
        <v>3</v>
      </c>
      <c r="T74" s="286">
        <v>31942</v>
      </c>
      <c r="U74" s="295">
        <v>31987</v>
      </c>
      <c r="V74" s="38" t="s">
        <v>503</v>
      </c>
      <c r="W74" s="29" t="s">
        <v>17</v>
      </c>
      <c r="X74" s="29" t="s">
        <v>18</v>
      </c>
      <c r="Y74" s="39">
        <v>37.1</v>
      </c>
      <c r="Z74" s="29" t="s">
        <v>506</v>
      </c>
      <c r="AA74" s="29" t="s">
        <v>20</v>
      </c>
      <c r="AB74" s="29" t="s">
        <v>12</v>
      </c>
      <c r="AC74" s="29">
        <v>14.9</v>
      </c>
      <c r="AD74" s="38" t="s">
        <v>505</v>
      </c>
      <c r="AE74" s="29" t="s">
        <v>87</v>
      </c>
      <c r="AF74" s="29" t="s">
        <v>18</v>
      </c>
      <c r="AG74" s="39">
        <v>3.3</v>
      </c>
      <c r="AH74" s="29" t="s">
        <v>504</v>
      </c>
      <c r="AI74" s="29" t="s">
        <v>96</v>
      </c>
      <c r="AJ74" s="29" t="s">
        <v>12</v>
      </c>
      <c r="AK74" s="29">
        <v>2.7</v>
      </c>
      <c r="AL74" s="38" t="s">
        <v>508</v>
      </c>
      <c r="AM74" s="29" t="s">
        <v>22</v>
      </c>
      <c r="AN74" s="29" t="s">
        <v>11</v>
      </c>
      <c r="AO74" s="39">
        <v>1.7</v>
      </c>
      <c r="AP74" s="38"/>
      <c r="AT74" s="91"/>
      <c r="AW74" s="39"/>
      <c r="BA74" s="40"/>
    </row>
    <row r="75" spans="1:53" s="29" customFormat="1" x14ac:dyDescent="0.15">
      <c r="A75" s="52">
        <v>1988</v>
      </c>
      <c r="B75" s="295"/>
      <c r="C75" s="411" t="s">
        <v>736</v>
      </c>
      <c r="D75" s="411"/>
      <c r="E75" s="29">
        <v>103</v>
      </c>
      <c r="G75" s="66">
        <v>1</v>
      </c>
      <c r="H75" s="29">
        <v>18</v>
      </c>
      <c r="I75" s="29">
        <v>11</v>
      </c>
      <c r="J75" s="73">
        <v>30</v>
      </c>
      <c r="K75" s="47">
        <f t="shared" si="5"/>
        <v>3.3333333333333335</v>
      </c>
      <c r="L75" s="47">
        <f t="shared" si="5"/>
        <v>60</v>
      </c>
      <c r="M75" s="47">
        <f t="shared" si="5"/>
        <v>36.666666666666664</v>
      </c>
      <c r="N75" s="68">
        <f t="shared" si="6"/>
        <v>100</v>
      </c>
      <c r="O75" s="46">
        <v>1.7</v>
      </c>
      <c r="P75" s="47">
        <v>40.4</v>
      </c>
      <c r="Q75" s="47">
        <v>17.600000000000001</v>
      </c>
      <c r="R75" s="48">
        <f t="shared" si="7"/>
        <v>59.7</v>
      </c>
      <c r="S75" s="29">
        <v>3</v>
      </c>
      <c r="T75" s="286"/>
      <c r="U75" s="295"/>
      <c r="V75" s="38" t="s">
        <v>503</v>
      </c>
      <c r="W75" s="29" t="s">
        <v>17</v>
      </c>
      <c r="X75" s="29" t="s">
        <v>18</v>
      </c>
      <c r="Y75" s="39">
        <v>37.1</v>
      </c>
      <c r="Z75" s="29" t="s">
        <v>506</v>
      </c>
      <c r="AA75" s="29" t="s">
        <v>20</v>
      </c>
      <c r="AB75" s="29" t="s">
        <v>12</v>
      </c>
      <c r="AC75" s="29">
        <v>14.9</v>
      </c>
      <c r="AD75" s="38" t="s">
        <v>505</v>
      </c>
      <c r="AE75" s="29" t="s">
        <v>87</v>
      </c>
      <c r="AF75" s="29" t="s">
        <v>18</v>
      </c>
      <c r="AG75" s="39">
        <v>3.3</v>
      </c>
      <c r="AH75" s="29" t="s">
        <v>504</v>
      </c>
      <c r="AI75" s="29" t="s">
        <v>96</v>
      </c>
      <c r="AJ75" s="29" t="s">
        <v>12</v>
      </c>
      <c r="AK75" s="29">
        <v>2.7</v>
      </c>
      <c r="AL75" s="38" t="s">
        <v>508</v>
      </c>
      <c r="AM75" s="29" t="s">
        <v>22</v>
      </c>
      <c r="AN75" s="29" t="s">
        <v>11</v>
      </c>
      <c r="AO75" s="39">
        <v>1.7</v>
      </c>
      <c r="AP75" s="38"/>
      <c r="AT75" s="91"/>
      <c r="AW75" s="39"/>
      <c r="BA75" s="40"/>
    </row>
    <row r="76" spans="1:53" s="171" customFormat="1" x14ac:dyDescent="0.15">
      <c r="A76" s="216">
        <v>1988</v>
      </c>
      <c r="B76" s="283">
        <v>32246</v>
      </c>
      <c r="C76" s="410" t="s">
        <v>737</v>
      </c>
      <c r="D76" s="410"/>
      <c r="E76" s="171">
        <f>366-E75</f>
        <v>263</v>
      </c>
      <c r="F76" s="171">
        <v>4</v>
      </c>
      <c r="G76" s="233">
        <v>1</v>
      </c>
      <c r="H76" s="171">
        <v>19</v>
      </c>
      <c r="I76" s="171">
        <v>10</v>
      </c>
      <c r="J76" s="241">
        <v>30</v>
      </c>
      <c r="K76" s="214">
        <f t="shared" si="5"/>
        <v>3.3333333333333335</v>
      </c>
      <c r="L76" s="214">
        <f t="shared" si="5"/>
        <v>63.333333333333329</v>
      </c>
      <c r="M76" s="214">
        <f t="shared" si="5"/>
        <v>33.333333333333329</v>
      </c>
      <c r="N76" s="235">
        <f t="shared" si="6"/>
        <v>99.999999999999986</v>
      </c>
      <c r="O76" s="213">
        <v>1.7</v>
      </c>
      <c r="P76" s="214">
        <v>40.4</v>
      </c>
      <c r="Q76" s="214">
        <v>17.600000000000001</v>
      </c>
      <c r="R76" s="215">
        <f t="shared" si="7"/>
        <v>59.7</v>
      </c>
      <c r="S76" s="171">
        <v>3</v>
      </c>
      <c r="T76" s="285"/>
      <c r="U76" s="283">
        <v>32246</v>
      </c>
      <c r="V76" s="178" t="s">
        <v>503</v>
      </c>
      <c r="W76" s="171" t="s">
        <v>17</v>
      </c>
      <c r="X76" s="171" t="s">
        <v>18</v>
      </c>
      <c r="Y76" s="179">
        <v>37.1</v>
      </c>
      <c r="Z76" s="171" t="s">
        <v>506</v>
      </c>
      <c r="AA76" s="171" t="s">
        <v>20</v>
      </c>
      <c r="AB76" s="171" t="s">
        <v>12</v>
      </c>
      <c r="AC76" s="171">
        <v>14.9</v>
      </c>
      <c r="AD76" s="178" t="s">
        <v>505</v>
      </c>
      <c r="AE76" s="171" t="s">
        <v>87</v>
      </c>
      <c r="AF76" s="171" t="s">
        <v>18</v>
      </c>
      <c r="AG76" s="179">
        <v>3.3</v>
      </c>
      <c r="AH76" s="171" t="s">
        <v>504</v>
      </c>
      <c r="AI76" s="171" t="s">
        <v>96</v>
      </c>
      <c r="AJ76" s="171" t="s">
        <v>12</v>
      </c>
      <c r="AK76" s="171">
        <v>2.7</v>
      </c>
      <c r="AL76" s="178" t="s">
        <v>508</v>
      </c>
      <c r="AM76" s="171" t="s">
        <v>22</v>
      </c>
      <c r="AN76" s="171" t="s">
        <v>11</v>
      </c>
      <c r="AO76" s="179">
        <v>1.7</v>
      </c>
      <c r="AP76" s="178"/>
      <c r="AT76" s="251"/>
      <c r="AW76" s="179"/>
      <c r="BA76" s="180"/>
    </row>
    <row r="77" spans="1:53" s="171" customFormat="1" x14ac:dyDescent="0.15">
      <c r="A77" s="216">
        <v>1989</v>
      </c>
      <c r="B77" s="283"/>
      <c r="C77" s="410" t="s">
        <v>737</v>
      </c>
      <c r="D77" s="410"/>
      <c r="E77" s="171">
        <v>203</v>
      </c>
      <c r="G77" s="233">
        <v>1</v>
      </c>
      <c r="H77" s="171">
        <v>19</v>
      </c>
      <c r="I77" s="171">
        <v>10</v>
      </c>
      <c r="J77" s="241">
        <v>30</v>
      </c>
      <c r="K77" s="214">
        <f t="shared" si="5"/>
        <v>3.3333333333333335</v>
      </c>
      <c r="L77" s="214">
        <f t="shared" si="5"/>
        <v>63.333333333333329</v>
      </c>
      <c r="M77" s="214">
        <f t="shared" si="5"/>
        <v>33.333333333333329</v>
      </c>
      <c r="N77" s="235">
        <f t="shared" si="6"/>
        <v>99.999999999999986</v>
      </c>
      <c r="O77" s="213">
        <v>1.7</v>
      </c>
      <c r="P77" s="214">
        <v>40.4</v>
      </c>
      <c r="Q77" s="214">
        <v>17.600000000000001</v>
      </c>
      <c r="R77" s="215">
        <f t="shared" si="7"/>
        <v>59.7</v>
      </c>
      <c r="S77" s="171">
        <v>3</v>
      </c>
      <c r="T77" s="285"/>
      <c r="U77" s="283"/>
      <c r="V77" s="178" t="s">
        <v>503</v>
      </c>
      <c r="W77" s="171" t="s">
        <v>17</v>
      </c>
      <c r="X77" s="171" t="s">
        <v>18</v>
      </c>
      <c r="Y77" s="179">
        <v>37.1</v>
      </c>
      <c r="Z77" s="171" t="s">
        <v>506</v>
      </c>
      <c r="AA77" s="171" t="s">
        <v>20</v>
      </c>
      <c r="AB77" s="171" t="s">
        <v>12</v>
      </c>
      <c r="AC77" s="171">
        <v>14.9</v>
      </c>
      <c r="AD77" s="178" t="s">
        <v>505</v>
      </c>
      <c r="AE77" s="171" t="s">
        <v>87</v>
      </c>
      <c r="AF77" s="171" t="s">
        <v>18</v>
      </c>
      <c r="AG77" s="179">
        <v>3.3</v>
      </c>
      <c r="AH77" s="171" t="s">
        <v>504</v>
      </c>
      <c r="AI77" s="171" t="s">
        <v>96</v>
      </c>
      <c r="AJ77" s="171" t="s">
        <v>12</v>
      </c>
      <c r="AK77" s="171">
        <v>2.7</v>
      </c>
      <c r="AL77" s="178" t="s">
        <v>508</v>
      </c>
      <c r="AM77" s="171" t="s">
        <v>22</v>
      </c>
      <c r="AN77" s="171" t="s">
        <v>11</v>
      </c>
      <c r="AO77" s="179">
        <v>1.7</v>
      </c>
      <c r="AP77" s="178"/>
      <c r="AT77" s="251"/>
      <c r="AW77" s="179"/>
      <c r="BA77" s="180"/>
    </row>
    <row r="78" spans="1:53" s="29" customFormat="1" x14ac:dyDescent="0.15">
      <c r="A78" s="52">
        <v>1989</v>
      </c>
      <c r="B78" s="295">
        <v>32712</v>
      </c>
      <c r="C78" s="411" t="s">
        <v>738</v>
      </c>
      <c r="D78" s="411"/>
      <c r="E78" s="29">
        <f>365-E77</f>
        <v>162</v>
      </c>
      <c r="F78" s="29">
        <v>5</v>
      </c>
      <c r="G78" s="66">
        <v>2</v>
      </c>
      <c r="H78" s="29">
        <v>18</v>
      </c>
      <c r="I78" s="29">
        <v>12</v>
      </c>
      <c r="J78" s="73">
        <v>32</v>
      </c>
      <c r="K78" s="47">
        <f t="shared" si="5"/>
        <v>6.25</v>
      </c>
      <c r="L78" s="47">
        <f t="shared" si="5"/>
        <v>56.25</v>
      </c>
      <c r="M78" s="47">
        <f t="shared" si="5"/>
        <v>37.5</v>
      </c>
      <c r="N78" s="68">
        <f t="shared" si="6"/>
        <v>100</v>
      </c>
      <c r="O78" s="46">
        <v>1.7</v>
      </c>
      <c r="P78" s="47">
        <v>40.4</v>
      </c>
      <c r="Q78" s="47">
        <v>17.600000000000001</v>
      </c>
      <c r="R78" s="48">
        <f t="shared" si="7"/>
        <v>59.7</v>
      </c>
      <c r="S78" s="29">
        <v>3</v>
      </c>
      <c r="T78" s="286"/>
      <c r="U78" s="295">
        <v>32712</v>
      </c>
      <c r="V78" s="38" t="s">
        <v>503</v>
      </c>
      <c r="W78" s="29" t="s">
        <v>17</v>
      </c>
      <c r="X78" s="29" t="s">
        <v>18</v>
      </c>
      <c r="Y78" s="39">
        <v>37.1</v>
      </c>
      <c r="Z78" s="29" t="s">
        <v>506</v>
      </c>
      <c r="AA78" s="29" t="s">
        <v>20</v>
      </c>
      <c r="AB78" s="29" t="s">
        <v>12</v>
      </c>
      <c r="AC78" s="29">
        <v>14.9</v>
      </c>
      <c r="AD78" s="38" t="s">
        <v>505</v>
      </c>
      <c r="AE78" s="29" t="s">
        <v>87</v>
      </c>
      <c r="AF78" s="29" t="s">
        <v>18</v>
      </c>
      <c r="AG78" s="39">
        <v>3.3</v>
      </c>
      <c r="AH78" s="29" t="s">
        <v>504</v>
      </c>
      <c r="AI78" s="29" t="s">
        <v>96</v>
      </c>
      <c r="AJ78" s="29" t="s">
        <v>12</v>
      </c>
      <c r="AK78" s="29">
        <v>2.7</v>
      </c>
      <c r="AL78" s="38" t="s">
        <v>508</v>
      </c>
      <c r="AM78" s="29" t="s">
        <v>22</v>
      </c>
      <c r="AN78" s="29" t="s">
        <v>11</v>
      </c>
      <c r="AO78" s="39">
        <v>1.7</v>
      </c>
      <c r="AP78" s="38"/>
      <c r="AT78" s="91"/>
      <c r="AW78" s="39"/>
      <c r="BA78" s="40"/>
    </row>
    <row r="79" spans="1:53" s="85" customFormat="1" x14ac:dyDescent="0.15">
      <c r="A79" s="85">
        <v>1990</v>
      </c>
      <c r="B79" s="312"/>
      <c r="C79" s="440" t="s">
        <v>738</v>
      </c>
      <c r="D79" s="440"/>
      <c r="E79" s="85">
        <v>0</v>
      </c>
      <c r="G79" s="95">
        <v>2</v>
      </c>
      <c r="H79" s="85">
        <v>17</v>
      </c>
      <c r="I79" s="85">
        <v>11</v>
      </c>
      <c r="J79" s="96">
        <v>30</v>
      </c>
      <c r="K79" s="97">
        <f t="shared" si="5"/>
        <v>6.666666666666667</v>
      </c>
      <c r="L79" s="97">
        <f t="shared" si="5"/>
        <v>56.666666666666664</v>
      </c>
      <c r="M79" s="97">
        <f t="shared" si="5"/>
        <v>36.666666666666664</v>
      </c>
      <c r="N79" s="98">
        <f t="shared" si="6"/>
        <v>100</v>
      </c>
      <c r="O79" s="99">
        <v>1.7</v>
      </c>
      <c r="P79" s="97">
        <v>40.4</v>
      </c>
      <c r="Q79" s="97">
        <v>17.600000000000001</v>
      </c>
      <c r="R79" s="100">
        <f t="shared" si="7"/>
        <v>59.7</v>
      </c>
      <c r="S79" s="85">
        <v>3</v>
      </c>
      <c r="T79" s="313"/>
      <c r="U79" s="312"/>
      <c r="V79" s="101" t="s">
        <v>503</v>
      </c>
      <c r="W79" s="85" t="s">
        <v>17</v>
      </c>
      <c r="X79" s="85" t="s">
        <v>18</v>
      </c>
      <c r="Y79" s="102">
        <v>37.1</v>
      </c>
      <c r="Z79" s="85" t="s">
        <v>506</v>
      </c>
      <c r="AA79" s="85" t="s">
        <v>20</v>
      </c>
      <c r="AB79" s="85" t="s">
        <v>12</v>
      </c>
      <c r="AC79" s="85">
        <v>14.9</v>
      </c>
      <c r="AD79" s="101" t="s">
        <v>505</v>
      </c>
      <c r="AE79" s="85" t="s">
        <v>87</v>
      </c>
      <c r="AF79" s="85" t="s">
        <v>18</v>
      </c>
      <c r="AG79" s="102">
        <v>3.3</v>
      </c>
      <c r="AH79" s="85" t="s">
        <v>504</v>
      </c>
      <c r="AI79" s="85" t="s">
        <v>96</v>
      </c>
      <c r="AJ79" s="85" t="s">
        <v>12</v>
      </c>
      <c r="AK79" s="85">
        <v>2.7</v>
      </c>
      <c r="AL79" s="101" t="s">
        <v>508</v>
      </c>
      <c r="AM79" s="85" t="s">
        <v>22</v>
      </c>
      <c r="AN79" s="85" t="s">
        <v>11</v>
      </c>
      <c r="AO79" s="102">
        <v>1.7</v>
      </c>
      <c r="AP79" s="101"/>
      <c r="AT79" s="112"/>
      <c r="AW79" s="102"/>
      <c r="BA79" s="103"/>
    </row>
    <row r="80" spans="1:53" s="29" customFormat="1" x14ac:dyDescent="0.15">
      <c r="A80" s="29">
        <v>1990</v>
      </c>
      <c r="B80" s="295"/>
      <c r="C80" s="411" t="s">
        <v>738</v>
      </c>
      <c r="D80" s="411"/>
      <c r="E80" s="29">
        <f>365-E79</f>
        <v>365</v>
      </c>
      <c r="G80" s="66">
        <v>2</v>
      </c>
      <c r="H80" s="29">
        <v>17</v>
      </c>
      <c r="I80" s="29">
        <v>11</v>
      </c>
      <c r="J80" s="73">
        <v>30</v>
      </c>
      <c r="K80" s="47">
        <f t="shared" si="5"/>
        <v>6.666666666666667</v>
      </c>
      <c r="L80" s="47">
        <f t="shared" si="5"/>
        <v>56.666666666666664</v>
      </c>
      <c r="M80" s="47">
        <f t="shared" si="5"/>
        <v>36.666666666666664</v>
      </c>
      <c r="N80" s="68">
        <f t="shared" si="6"/>
        <v>100</v>
      </c>
      <c r="O80" s="46">
        <v>1.7</v>
      </c>
      <c r="P80" s="47">
        <v>40.4</v>
      </c>
      <c r="Q80" s="47">
        <v>17.600000000000001</v>
      </c>
      <c r="R80" s="48">
        <f t="shared" si="7"/>
        <v>59.7</v>
      </c>
      <c r="S80" s="29">
        <v>3</v>
      </c>
      <c r="T80" s="286"/>
      <c r="U80" s="295"/>
      <c r="V80" s="38" t="s">
        <v>503</v>
      </c>
      <c r="W80" s="29" t="s">
        <v>17</v>
      </c>
      <c r="X80" s="29" t="s">
        <v>18</v>
      </c>
      <c r="Y80" s="39">
        <v>37.1</v>
      </c>
      <c r="Z80" s="29" t="s">
        <v>506</v>
      </c>
      <c r="AA80" s="29" t="s">
        <v>20</v>
      </c>
      <c r="AB80" s="29" t="s">
        <v>12</v>
      </c>
      <c r="AC80" s="29">
        <v>14.9</v>
      </c>
      <c r="AD80" s="38" t="s">
        <v>505</v>
      </c>
      <c r="AE80" s="29" t="s">
        <v>87</v>
      </c>
      <c r="AF80" s="29" t="s">
        <v>18</v>
      </c>
      <c r="AG80" s="39">
        <v>3.3</v>
      </c>
      <c r="AH80" s="29" t="s">
        <v>504</v>
      </c>
      <c r="AI80" s="29" t="s">
        <v>96</v>
      </c>
      <c r="AJ80" s="29" t="s">
        <v>12</v>
      </c>
      <c r="AK80" s="29">
        <v>2.7</v>
      </c>
      <c r="AL80" s="38" t="s">
        <v>508</v>
      </c>
      <c r="AM80" s="29" t="s">
        <v>22</v>
      </c>
      <c r="AN80" s="29" t="s">
        <v>11</v>
      </c>
      <c r="AO80" s="39">
        <v>1.7</v>
      </c>
      <c r="AP80" s="38"/>
      <c r="AT80" s="91"/>
      <c r="AW80" s="39"/>
      <c r="BA80" s="40"/>
    </row>
    <row r="81" spans="1:53" s="29" customFormat="1" x14ac:dyDescent="0.15">
      <c r="A81" s="29">
        <v>1991</v>
      </c>
      <c r="B81" s="295"/>
      <c r="C81" s="411" t="s">
        <v>738</v>
      </c>
      <c r="D81" s="411"/>
      <c r="E81" s="29">
        <v>108</v>
      </c>
      <c r="G81" s="66">
        <v>2</v>
      </c>
      <c r="H81" s="29">
        <v>17</v>
      </c>
      <c r="I81" s="29">
        <v>11</v>
      </c>
      <c r="J81" s="73">
        <v>30</v>
      </c>
      <c r="K81" s="47">
        <f t="shared" si="5"/>
        <v>6.666666666666667</v>
      </c>
      <c r="L81" s="47">
        <f t="shared" si="5"/>
        <v>56.666666666666664</v>
      </c>
      <c r="M81" s="47">
        <f t="shared" si="5"/>
        <v>36.666666666666664</v>
      </c>
      <c r="N81" s="68">
        <f t="shared" si="6"/>
        <v>100</v>
      </c>
      <c r="O81" s="46">
        <v>1.7</v>
      </c>
      <c r="P81" s="47">
        <v>40.4</v>
      </c>
      <c r="Q81" s="47">
        <v>17.600000000000001</v>
      </c>
      <c r="R81" s="48">
        <f t="shared" si="7"/>
        <v>59.7</v>
      </c>
      <c r="S81" s="29">
        <v>3</v>
      </c>
      <c r="T81" s="286"/>
      <c r="U81" s="295"/>
      <c r="V81" s="38" t="s">
        <v>503</v>
      </c>
      <c r="W81" s="29" t="s">
        <v>17</v>
      </c>
      <c r="X81" s="29" t="s">
        <v>18</v>
      </c>
      <c r="Y81" s="39">
        <v>37.1</v>
      </c>
      <c r="Z81" s="29" t="s">
        <v>506</v>
      </c>
      <c r="AA81" s="29" t="s">
        <v>20</v>
      </c>
      <c r="AB81" s="29" t="s">
        <v>12</v>
      </c>
      <c r="AC81" s="29">
        <v>14.9</v>
      </c>
      <c r="AD81" s="38" t="s">
        <v>505</v>
      </c>
      <c r="AE81" s="29" t="s">
        <v>87</v>
      </c>
      <c r="AF81" s="29" t="s">
        <v>18</v>
      </c>
      <c r="AG81" s="39">
        <v>3.3</v>
      </c>
      <c r="AH81" s="29" t="s">
        <v>504</v>
      </c>
      <c r="AI81" s="29" t="s">
        <v>96</v>
      </c>
      <c r="AJ81" s="29" t="s">
        <v>12</v>
      </c>
      <c r="AK81" s="29">
        <v>2.7</v>
      </c>
      <c r="AL81" s="38" t="s">
        <v>508</v>
      </c>
      <c r="AM81" s="29" t="s">
        <v>22</v>
      </c>
      <c r="AN81" s="29" t="s">
        <v>11</v>
      </c>
      <c r="AO81" s="39">
        <v>1.7</v>
      </c>
      <c r="AP81" s="38"/>
      <c r="AT81" s="91"/>
      <c r="AW81" s="39"/>
      <c r="BA81" s="40"/>
    </row>
    <row r="82" spans="1:53" s="171" customFormat="1" x14ac:dyDescent="0.15">
      <c r="A82" s="171">
        <v>1991</v>
      </c>
      <c r="B82" s="283">
        <v>33347</v>
      </c>
      <c r="C82" s="410" t="s">
        <v>290</v>
      </c>
      <c r="D82" s="410"/>
      <c r="E82" s="171">
        <f>365-E81</f>
        <v>257</v>
      </c>
      <c r="F82" s="171">
        <v>4</v>
      </c>
      <c r="G82" s="233">
        <v>2</v>
      </c>
      <c r="H82" s="171">
        <v>16</v>
      </c>
      <c r="I82" s="171">
        <v>12</v>
      </c>
      <c r="J82" s="241">
        <v>30</v>
      </c>
      <c r="K82" s="214">
        <f t="shared" si="5"/>
        <v>6.666666666666667</v>
      </c>
      <c r="L82" s="214">
        <f t="shared" si="5"/>
        <v>53.333333333333336</v>
      </c>
      <c r="M82" s="214">
        <f t="shared" si="5"/>
        <v>40</v>
      </c>
      <c r="N82" s="235">
        <f t="shared" si="6"/>
        <v>100</v>
      </c>
      <c r="O82" s="213">
        <v>1.7</v>
      </c>
      <c r="P82" s="214">
        <v>37.1</v>
      </c>
      <c r="Q82" s="214">
        <v>17.600000000000001</v>
      </c>
      <c r="R82" s="215">
        <f t="shared" si="7"/>
        <v>56.400000000000006</v>
      </c>
      <c r="S82" s="171">
        <v>3</v>
      </c>
      <c r="T82" s="285"/>
      <c r="U82" s="283">
        <v>33347</v>
      </c>
      <c r="V82" s="178" t="s">
        <v>503</v>
      </c>
      <c r="W82" s="171" t="s">
        <v>17</v>
      </c>
      <c r="X82" s="171" t="s">
        <v>18</v>
      </c>
      <c r="Y82" s="179">
        <v>37.1</v>
      </c>
      <c r="Z82" s="171" t="s">
        <v>506</v>
      </c>
      <c r="AA82" s="171" t="s">
        <v>20</v>
      </c>
      <c r="AB82" s="171" t="s">
        <v>12</v>
      </c>
      <c r="AC82" s="171">
        <v>14.9</v>
      </c>
      <c r="AD82" s="178" t="s">
        <v>504</v>
      </c>
      <c r="AE82" s="171" t="s">
        <v>96</v>
      </c>
      <c r="AF82" s="171" t="s">
        <v>12</v>
      </c>
      <c r="AG82" s="179">
        <v>2.7</v>
      </c>
      <c r="AH82" s="178" t="s">
        <v>508</v>
      </c>
      <c r="AI82" s="171" t="s">
        <v>22</v>
      </c>
      <c r="AJ82" s="171" t="s">
        <v>11</v>
      </c>
      <c r="AK82" s="171">
        <v>1.7</v>
      </c>
      <c r="AL82" s="178"/>
      <c r="AO82" s="179"/>
      <c r="AP82" s="178"/>
      <c r="AT82" s="251"/>
      <c r="AW82" s="179"/>
      <c r="BA82" s="180"/>
    </row>
    <row r="83" spans="1:53" s="171" customFormat="1" x14ac:dyDescent="0.15">
      <c r="A83" s="171">
        <v>1992</v>
      </c>
      <c r="B83" s="283"/>
      <c r="C83" s="410" t="s">
        <v>290</v>
      </c>
      <c r="D83" s="410"/>
      <c r="E83" s="171">
        <v>8</v>
      </c>
      <c r="G83" s="233">
        <v>2</v>
      </c>
      <c r="H83" s="171">
        <v>16</v>
      </c>
      <c r="I83" s="171">
        <v>12</v>
      </c>
      <c r="J83" s="241">
        <v>30</v>
      </c>
      <c r="K83" s="214">
        <f t="shared" si="5"/>
        <v>6.666666666666667</v>
      </c>
      <c r="L83" s="214">
        <f t="shared" si="5"/>
        <v>53.333333333333336</v>
      </c>
      <c r="M83" s="214">
        <f t="shared" si="5"/>
        <v>40</v>
      </c>
      <c r="N83" s="235">
        <f t="shared" si="6"/>
        <v>100</v>
      </c>
      <c r="O83" s="213">
        <v>1.7</v>
      </c>
      <c r="P83" s="214">
        <v>37.1</v>
      </c>
      <c r="Q83" s="214">
        <v>17.600000000000001</v>
      </c>
      <c r="R83" s="215">
        <f t="shared" si="7"/>
        <v>56.400000000000006</v>
      </c>
      <c r="S83" s="171">
        <v>3</v>
      </c>
      <c r="T83" s="285"/>
      <c r="U83" s="283"/>
      <c r="V83" s="178" t="s">
        <v>503</v>
      </c>
      <c r="W83" s="171" t="s">
        <v>17</v>
      </c>
      <c r="X83" s="171" t="s">
        <v>18</v>
      </c>
      <c r="Y83" s="179">
        <v>37.1</v>
      </c>
      <c r="Z83" s="171" t="s">
        <v>506</v>
      </c>
      <c r="AA83" s="171" t="s">
        <v>20</v>
      </c>
      <c r="AB83" s="171" t="s">
        <v>12</v>
      </c>
      <c r="AC83" s="171">
        <v>14.9</v>
      </c>
      <c r="AD83" s="178" t="s">
        <v>504</v>
      </c>
      <c r="AE83" s="171" t="s">
        <v>96</v>
      </c>
      <c r="AF83" s="171" t="s">
        <v>12</v>
      </c>
      <c r="AG83" s="179">
        <v>2.7</v>
      </c>
      <c r="AH83" s="178" t="s">
        <v>508</v>
      </c>
      <c r="AI83" s="171" t="s">
        <v>22</v>
      </c>
      <c r="AJ83" s="171" t="s">
        <v>11</v>
      </c>
      <c r="AK83" s="171">
        <v>1.7</v>
      </c>
      <c r="AL83" s="178"/>
      <c r="AO83" s="179"/>
      <c r="AP83" s="178"/>
      <c r="AT83" s="251"/>
      <c r="AW83" s="179"/>
      <c r="BA83" s="180"/>
    </row>
    <row r="84" spans="1:53" s="29" customFormat="1" x14ac:dyDescent="0.15">
      <c r="A84" s="29">
        <v>1992</v>
      </c>
      <c r="B84" s="295">
        <v>33612</v>
      </c>
      <c r="C84" s="411" t="s">
        <v>739</v>
      </c>
      <c r="D84" s="411"/>
      <c r="E84" s="29">
        <v>171</v>
      </c>
      <c r="F84" s="29">
        <v>2</v>
      </c>
      <c r="G84" s="66">
        <v>2</v>
      </c>
      <c r="H84" s="29">
        <v>16</v>
      </c>
      <c r="I84" s="29">
        <v>12</v>
      </c>
      <c r="J84" s="73">
        <v>30</v>
      </c>
      <c r="K84" s="47">
        <f>G84/$J84*100</f>
        <v>6.666666666666667</v>
      </c>
      <c r="L84" s="47">
        <f>H84/$J84*100</f>
        <v>53.333333333333336</v>
      </c>
      <c r="M84" s="47">
        <f>I84/$J84*100</f>
        <v>40</v>
      </c>
      <c r="N84" s="68">
        <f>K84+L84+M84</f>
        <v>100</v>
      </c>
      <c r="O84" s="46">
        <v>1.7</v>
      </c>
      <c r="P84" s="47">
        <v>37.1</v>
      </c>
      <c r="Q84" s="47">
        <v>17.600000000000001</v>
      </c>
      <c r="R84" s="48">
        <f>O84+P84+Q84</f>
        <v>56.400000000000006</v>
      </c>
      <c r="S84" s="29">
        <v>6</v>
      </c>
      <c r="T84" s="286"/>
      <c r="U84" s="295">
        <v>33612</v>
      </c>
      <c r="V84" s="38" t="s">
        <v>503</v>
      </c>
      <c r="W84" s="29" t="s">
        <v>17</v>
      </c>
      <c r="X84" s="29" t="s">
        <v>18</v>
      </c>
      <c r="Y84" s="39">
        <v>37.1</v>
      </c>
      <c r="Z84" s="29" t="s">
        <v>506</v>
      </c>
      <c r="AA84" s="29" t="s">
        <v>20</v>
      </c>
      <c r="AB84" s="29" t="s">
        <v>12</v>
      </c>
      <c r="AC84" s="29">
        <v>14.9</v>
      </c>
      <c r="AD84" s="38" t="s">
        <v>504</v>
      </c>
      <c r="AE84" s="29" t="s">
        <v>96</v>
      </c>
      <c r="AF84" s="29" t="s">
        <v>12</v>
      </c>
      <c r="AG84" s="39">
        <v>2.7</v>
      </c>
      <c r="AH84" s="38" t="s">
        <v>508</v>
      </c>
      <c r="AI84" s="29" t="s">
        <v>22</v>
      </c>
      <c r="AJ84" s="29" t="s">
        <v>11</v>
      </c>
      <c r="AK84" s="29">
        <v>1.7</v>
      </c>
      <c r="AL84" s="38"/>
      <c r="AO84" s="39"/>
      <c r="AP84" s="38"/>
      <c r="AT84" s="91"/>
      <c r="AW84" s="39"/>
      <c r="BA84" s="40"/>
    </row>
    <row r="85" spans="1:53" s="171" customFormat="1" x14ac:dyDescent="0.15">
      <c r="A85" s="171">
        <v>1992</v>
      </c>
      <c r="B85" s="283">
        <v>33783</v>
      </c>
      <c r="C85" s="410" t="s">
        <v>291</v>
      </c>
      <c r="D85" s="410"/>
      <c r="E85" s="171">
        <f>366-E83-E84</f>
        <v>187</v>
      </c>
      <c r="F85" s="171">
        <v>1</v>
      </c>
      <c r="G85" s="233">
        <v>2</v>
      </c>
      <c r="H85" s="171">
        <v>9</v>
      </c>
      <c r="I85" s="171">
        <v>9</v>
      </c>
      <c r="J85" s="241">
        <v>26</v>
      </c>
      <c r="K85" s="214">
        <f t="shared" si="5"/>
        <v>7.6923076923076925</v>
      </c>
      <c r="L85" s="214">
        <f t="shared" si="5"/>
        <v>34.615384615384613</v>
      </c>
      <c r="M85" s="214">
        <f t="shared" si="5"/>
        <v>34.615384615384613</v>
      </c>
      <c r="N85" s="235">
        <f t="shared" si="6"/>
        <v>76.92307692307692</v>
      </c>
      <c r="O85" s="213">
        <v>2.7</v>
      </c>
      <c r="P85" s="214">
        <v>32.700000000000003</v>
      </c>
      <c r="Q85" s="214">
        <v>17.100000000000001</v>
      </c>
      <c r="R85" s="215">
        <f t="shared" si="7"/>
        <v>52.500000000000007</v>
      </c>
      <c r="S85" s="171">
        <v>2</v>
      </c>
      <c r="T85" s="285">
        <v>33699</v>
      </c>
      <c r="U85" s="283">
        <v>33783</v>
      </c>
      <c r="V85" s="178" t="s">
        <v>503</v>
      </c>
      <c r="W85" s="171" t="s">
        <v>17</v>
      </c>
      <c r="X85" s="171" t="s">
        <v>18</v>
      </c>
      <c r="Y85" s="179">
        <v>32.700000000000003</v>
      </c>
      <c r="Z85" s="171" t="s">
        <v>506</v>
      </c>
      <c r="AA85" s="171" t="s">
        <v>20</v>
      </c>
      <c r="AB85" s="171" t="s">
        <v>12</v>
      </c>
      <c r="AC85" s="171">
        <v>14.6</v>
      </c>
      <c r="AD85" s="178" t="s">
        <v>504</v>
      </c>
      <c r="AE85" s="171" t="s">
        <v>96</v>
      </c>
      <c r="AF85" s="171" t="s">
        <v>12</v>
      </c>
      <c r="AG85" s="179">
        <v>2.5</v>
      </c>
      <c r="AH85" s="178" t="s">
        <v>508</v>
      </c>
      <c r="AI85" s="171" t="s">
        <v>22</v>
      </c>
      <c r="AJ85" s="171" t="s">
        <v>11</v>
      </c>
      <c r="AK85" s="171">
        <v>2.7</v>
      </c>
      <c r="AL85" s="178"/>
      <c r="AO85" s="179"/>
      <c r="AP85" s="178"/>
      <c r="AT85" s="251"/>
      <c r="AW85" s="179"/>
      <c r="BA85" s="180"/>
    </row>
    <row r="86" spans="1:53" s="171" customFormat="1" x14ac:dyDescent="0.15">
      <c r="A86" s="171">
        <v>1993</v>
      </c>
      <c r="B86" s="283"/>
      <c r="C86" s="410" t="s">
        <v>291</v>
      </c>
      <c r="D86" s="410"/>
      <c r="E86" s="171">
        <v>126</v>
      </c>
      <c r="G86" s="233">
        <v>2</v>
      </c>
      <c r="H86" s="171">
        <v>9</v>
      </c>
      <c r="I86" s="171">
        <v>9</v>
      </c>
      <c r="J86" s="241">
        <v>26</v>
      </c>
      <c r="K86" s="214">
        <f t="shared" si="5"/>
        <v>7.6923076923076925</v>
      </c>
      <c r="L86" s="214">
        <f t="shared" si="5"/>
        <v>34.615384615384613</v>
      </c>
      <c r="M86" s="214">
        <f t="shared" si="5"/>
        <v>34.615384615384613</v>
      </c>
      <c r="N86" s="235">
        <f t="shared" si="6"/>
        <v>76.92307692307692</v>
      </c>
      <c r="O86" s="213">
        <v>2.7</v>
      </c>
      <c r="P86" s="214">
        <v>32.700000000000003</v>
      </c>
      <c r="Q86" s="214">
        <v>17.100000000000001</v>
      </c>
      <c r="R86" s="215">
        <f t="shared" si="7"/>
        <v>52.500000000000007</v>
      </c>
      <c r="S86" s="171">
        <v>2</v>
      </c>
      <c r="T86" s="285"/>
      <c r="U86" s="283"/>
      <c r="V86" s="178" t="s">
        <v>503</v>
      </c>
      <c r="W86" s="171" t="s">
        <v>17</v>
      </c>
      <c r="X86" s="171" t="s">
        <v>18</v>
      </c>
      <c r="Y86" s="179">
        <v>32.700000000000003</v>
      </c>
      <c r="Z86" s="171" t="s">
        <v>506</v>
      </c>
      <c r="AA86" s="171" t="s">
        <v>20</v>
      </c>
      <c r="AB86" s="171" t="s">
        <v>12</v>
      </c>
      <c r="AC86" s="171">
        <v>14.6</v>
      </c>
      <c r="AD86" s="178" t="s">
        <v>504</v>
      </c>
      <c r="AE86" s="171" t="s">
        <v>96</v>
      </c>
      <c r="AF86" s="171" t="s">
        <v>12</v>
      </c>
      <c r="AG86" s="179">
        <v>2.5</v>
      </c>
      <c r="AH86" s="178" t="s">
        <v>508</v>
      </c>
      <c r="AI86" s="171" t="s">
        <v>22</v>
      </c>
      <c r="AJ86" s="171" t="s">
        <v>11</v>
      </c>
      <c r="AK86" s="171">
        <v>2.7</v>
      </c>
      <c r="AL86" s="178"/>
      <c r="AO86" s="179"/>
      <c r="AP86" s="178"/>
      <c r="AT86" s="251"/>
      <c r="AW86" s="179"/>
      <c r="BA86" s="180"/>
    </row>
    <row r="87" spans="1:53" s="29" customFormat="1" x14ac:dyDescent="0.15">
      <c r="A87" s="29">
        <v>1993</v>
      </c>
      <c r="B87" s="295">
        <v>34096</v>
      </c>
      <c r="C87" s="411" t="s">
        <v>292</v>
      </c>
      <c r="D87" s="411"/>
      <c r="E87" s="29">
        <f>365-E86</f>
        <v>239</v>
      </c>
      <c r="F87" s="29">
        <v>4</v>
      </c>
      <c r="G87" s="66">
        <v>1</v>
      </c>
      <c r="H87" s="29">
        <v>7</v>
      </c>
      <c r="I87" s="29">
        <v>6</v>
      </c>
      <c r="J87" s="73">
        <v>25</v>
      </c>
      <c r="K87" s="47">
        <f t="shared" si="5"/>
        <v>4</v>
      </c>
      <c r="L87" s="47">
        <f t="shared" si="5"/>
        <v>28.000000000000004</v>
      </c>
      <c r="M87" s="47">
        <f t="shared" si="5"/>
        <v>24</v>
      </c>
      <c r="N87" s="68">
        <f t="shared" si="6"/>
        <v>56</v>
      </c>
      <c r="O87" s="46">
        <v>2.7</v>
      </c>
      <c r="P87" s="47">
        <v>32.700000000000003</v>
      </c>
      <c r="Q87" s="47">
        <v>17.100000000000001</v>
      </c>
      <c r="R87" s="48">
        <f t="shared" si="7"/>
        <v>52.500000000000007</v>
      </c>
      <c r="S87" s="29">
        <v>7</v>
      </c>
      <c r="T87" s="286"/>
      <c r="U87" s="295">
        <v>34096</v>
      </c>
      <c r="V87" s="89" t="s">
        <v>778</v>
      </c>
      <c r="Z87" s="38" t="s">
        <v>503</v>
      </c>
      <c r="AA87" s="29" t="s">
        <v>17</v>
      </c>
      <c r="AB87" s="29" t="s">
        <v>18</v>
      </c>
      <c r="AC87" s="39">
        <v>32.700000000000003</v>
      </c>
      <c r="AD87" s="29" t="s">
        <v>506</v>
      </c>
      <c r="AE87" s="29" t="s">
        <v>20</v>
      </c>
      <c r="AF87" s="29" t="s">
        <v>12</v>
      </c>
      <c r="AG87" s="29">
        <v>14.6</v>
      </c>
      <c r="AH87" s="38" t="s">
        <v>504</v>
      </c>
      <c r="AI87" s="29" t="s">
        <v>96</v>
      </c>
      <c r="AJ87" s="29" t="s">
        <v>12</v>
      </c>
      <c r="AK87" s="39">
        <v>2.5</v>
      </c>
      <c r="AL87" s="38" t="s">
        <v>508</v>
      </c>
      <c r="AM87" s="29" t="s">
        <v>22</v>
      </c>
      <c r="AN87" s="29" t="s">
        <v>11</v>
      </c>
      <c r="AO87" s="39">
        <v>2.7</v>
      </c>
      <c r="AP87" s="38"/>
      <c r="AT87" s="91"/>
      <c r="AW87" s="39"/>
      <c r="BA87" s="40"/>
    </row>
    <row r="88" spans="1:53" s="29" customFormat="1" x14ac:dyDescent="0.15">
      <c r="A88" s="29">
        <v>1994</v>
      </c>
      <c r="B88" s="295"/>
      <c r="C88" s="411" t="s">
        <v>292</v>
      </c>
      <c r="D88" s="411"/>
      <c r="E88" s="29">
        <v>129</v>
      </c>
      <c r="G88" s="66">
        <v>1</v>
      </c>
      <c r="H88" s="29">
        <v>7</v>
      </c>
      <c r="I88" s="29">
        <v>6</v>
      </c>
      <c r="J88" s="73">
        <v>25</v>
      </c>
      <c r="K88" s="47">
        <f t="shared" si="5"/>
        <v>4</v>
      </c>
      <c r="L88" s="47">
        <f t="shared" si="5"/>
        <v>28.000000000000004</v>
      </c>
      <c r="M88" s="47">
        <f t="shared" si="5"/>
        <v>24</v>
      </c>
      <c r="N88" s="68">
        <f t="shared" si="6"/>
        <v>56</v>
      </c>
      <c r="O88" s="46">
        <v>2.7</v>
      </c>
      <c r="P88" s="47">
        <v>32.700000000000003</v>
      </c>
      <c r="Q88" s="47">
        <v>17.100000000000001</v>
      </c>
      <c r="R88" s="48">
        <f t="shared" si="7"/>
        <v>52.500000000000007</v>
      </c>
      <c r="S88" s="29">
        <v>7</v>
      </c>
      <c r="T88" s="286"/>
      <c r="U88" s="295"/>
      <c r="V88" s="89" t="s">
        <v>778</v>
      </c>
      <c r="Z88" s="38" t="s">
        <v>503</v>
      </c>
      <c r="AA88" s="29" t="s">
        <v>17</v>
      </c>
      <c r="AB88" s="29" t="s">
        <v>18</v>
      </c>
      <c r="AC88" s="39">
        <v>32.700000000000003</v>
      </c>
      <c r="AD88" s="29" t="s">
        <v>506</v>
      </c>
      <c r="AE88" s="29" t="s">
        <v>20</v>
      </c>
      <c r="AF88" s="29" t="s">
        <v>12</v>
      </c>
      <c r="AG88" s="29">
        <v>14.6</v>
      </c>
      <c r="AH88" s="38" t="s">
        <v>504</v>
      </c>
      <c r="AI88" s="29" t="s">
        <v>96</v>
      </c>
      <c r="AJ88" s="29" t="s">
        <v>12</v>
      </c>
      <c r="AK88" s="39">
        <v>2.5</v>
      </c>
      <c r="AL88" s="38" t="s">
        <v>508</v>
      </c>
      <c r="AM88" s="29" t="s">
        <v>22</v>
      </c>
      <c r="AN88" s="29" t="s">
        <v>11</v>
      </c>
      <c r="AO88" s="39">
        <v>2.7</v>
      </c>
      <c r="AP88" s="38"/>
      <c r="AT88" s="91"/>
      <c r="AW88" s="39"/>
      <c r="BA88" s="40"/>
    </row>
    <row r="89" spans="1:53" s="171" customFormat="1" x14ac:dyDescent="0.15">
      <c r="A89" s="171">
        <v>1994</v>
      </c>
      <c r="B89" s="283">
        <v>34464</v>
      </c>
      <c r="C89" s="410" t="s">
        <v>293</v>
      </c>
      <c r="D89" s="410"/>
      <c r="E89" s="171">
        <f>365-E88</f>
        <v>236</v>
      </c>
      <c r="F89" s="171">
        <v>1</v>
      </c>
      <c r="G89" s="233">
        <v>19</v>
      </c>
      <c r="H89" s="171">
        <v>4</v>
      </c>
      <c r="J89" s="241">
        <v>26</v>
      </c>
      <c r="K89" s="214">
        <f t="shared" si="5"/>
        <v>73.076923076923066</v>
      </c>
      <c r="L89" s="214">
        <f t="shared" si="5"/>
        <v>15.384615384615385</v>
      </c>
      <c r="M89" s="214">
        <f t="shared" si="5"/>
        <v>0</v>
      </c>
      <c r="N89" s="235">
        <f t="shared" si="6"/>
        <v>88.461538461538453</v>
      </c>
      <c r="O89" s="213">
        <v>51.6</v>
      </c>
      <c r="P89" s="214">
        <v>5.2</v>
      </c>
      <c r="Q89" s="214"/>
      <c r="R89" s="215">
        <f t="shared" si="7"/>
        <v>56.800000000000004</v>
      </c>
      <c r="S89" s="171">
        <v>3</v>
      </c>
      <c r="T89" s="285">
        <v>34420</v>
      </c>
      <c r="U89" s="283">
        <v>34464</v>
      </c>
      <c r="V89" s="178" t="s">
        <v>509</v>
      </c>
      <c r="W89" s="171" t="s">
        <v>74</v>
      </c>
      <c r="X89" s="171" t="s">
        <v>11</v>
      </c>
      <c r="Y89" s="179">
        <v>15.7</v>
      </c>
      <c r="Z89" s="171" t="s">
        <v>510</v>
      </c>
      <c r="AA89" s="171" t="s">
        <v>294</v>
      </c>
      <c r="AB89" s="171" t="s">
        <v>11</v>
      </c>
      <c r="AC89" s="171">
        <v>18.600000000000001</v>
      </c>
      <c r="AD89" s="178" t="s">
        <v>514</v>
      </c>
      <c r="AE89" s="171" t="s">
        <v>27</v>
      </c>
      <c r="AF89" s="171" t="s">
        <v>11</v>
      </c>
      <c r="AG89" s="179">
        <v>17.3</v>
      </c>
      <c r="AH89" s="171" t="s">
        <v>571</v>
      </c>
      <c r="AI89" s="171" t="s">
        <v>327</v>
      </c>
      <c r="AJ89" s="171" t="s">
        <v>18</v>
      </c>
      <c r="AK89" s="171">
        <v>0.6</v>
      </c>
      <c r="AL89" s="178" t="s">
        <v>550</v>
      </c>
      <c r="AM89" s="171" t="s">
        <v>85</v>
      </c>
      <c r="AN89" s="171" t="s">
        <v>18</v>
      </c>
      <c r="AO89" s="179">
        <v>4.5999999999999996</v>
      </c>
      <c r="AP89" s="178"/>
      <c r="AT89" s="251"/>
      <c r="AW89" s="179"/>
      <c r="BA89" s="180"/>
    </row>
    <row r="90" spans="1:53" s="171" customFormat="1" x14ac:dyDescent="0.15">
      <c r="A90" s="171">
        <v>1995</v>
      </c>
      <c r="B90" s="283"/>
      <c r="C90" s="410" t="s">
        <v>293</v>
      </c>
      <c r="D90" s="410"/>
      <c r="E90" s="171">
        <v>16</v>
      </c>
      <c r="G90" s="233">
        <v>19</v>
      </c>
      <c r="H90" s="171">
        <v>4</v>
      </c>
      <c r="J90" s="241">
        <v>26</v>
      </c>
      <c r="K90" s="214">
        <f t="shared" si="5"/>
        <v>73.076923076923066</v>
      </c>
      <c r="L90" s="214">
        <f t="shared" si="5"/>
        <v>15.384615384615385</v>
      </c>
      <c r="M90" s="214">
        <f t="shared" si="5"/>
        <v>0</v>
      </c>
      <c r="N90" s="235">
        <f t="shared" si="6"/>
        <v>88.461538461538453</v>
      </c>
      <c r="O90" s="213">
        <v>51.6</v>
      </c>
      <c r="P90" s="214">
        <v>5.2</v>
      </c>
      <c r="Q90" s="214"/>
      <c r="R90" s="215">
        <f t="shared" si="7"/>
        <v>56.800000000000004</v>
      </c>
      <c r="S90" s="171">
        <v>3</v>
      </c>
      <c r="T90" s="285"/>
      <c r="U90" s="283"/>
      <c r="V90" s="178" t="s">
        <v>509</v>
      </c>
      <c r="W90" s="171" t="s">
        <v>74</v>
      </c>
      <c r="X90" s="171" t="s">
        <v>11</v>
      </c>
      <c r="Y90" s="179">
        <v>15.7</v>
      </c>
      <c r="Z90" s="171" t="s">
        <v>510</v>
      </c>
      <c r="AA90" s="171" t="s">
        <v>294</v>
      </c>
      <c r="AB90" s="171" t="s">
        <v>11</v>
      </c>
      <c r="AC90" s="171">
        <v>18.600000000000001</v>
      </c>
      <c r="AD90" s="178" t="s">
        <v>514</v>
      </c>
      <c r="AE90" s="171" t="s">
        <v>27</v>
      </c>
      <c r="AF90" s="171" t="s">
        <v>11</v>
      </c>
      <c r="AG90" s="179">
        <v>17.3</v>
      </c>
      <c r="AH90" s="171" t="s">
        <v>571</v>
      </c>
      <c r="AI90" s="171" t="s">
        <v>327</v>
      </c>
      <c r="AJ90" s="171" t="s">
        <v>18</v>
      </c>
      <c r="AK90" s="171">
        <v>0.6</v>
      </c>
      <c r="AL90" s="178" t="s">
        <v>550</v>
      </c>
      <c r="AM90" s="171" t="s">
        <v>85</v>
      </c>
      <c r="AN90" s="171" t="s">
        <v>18</v>
      </c>
      <c r="AO90" s="179">
        <v>4.5999999999999996</v>
      </c>
      <c r="AP90" s="178"/>
      <c r="AT90" s="251"/>
      <c r="AW90" s="179"/>
      <c r="BA90" s="180"/>
    </row>
    <row r="91" spans="1:53" s="29" customFormat="1" x14ac:dyDescent="0.15">
      <c r="A91" s="29">
        <v>1995</v>
      </c>
      <c r="B91" s="295">
        <v>34716</v>
      </c>
      <c r="C91" s="411" t="s">
        <v>295</v>
      </c>
      <c r="D91" s="411"/>
      <c r="E91" s="29">
        <f>365-E90</f>
        <v>349</v>
      </c>
      <c r="F91" s="29">
        <v>4</v>
      </c>
      <c r="G91" s="66">
        <v>0</v>
      </c>
      <c r="H91" s="29">
        <v>0</v>
      </c>
      <c r="I91" s="29">
        <v>0</v>
      </c>
      <c r="J91" s="73">
        <v>21</v>
      </c>
      <c r="K91" s="47">
        <f t="shared" si="5"/>
        <v>0</v>
      </c>
      <c r="L91" s="47">
        <f t="shared" si="5"/>
        <v>0</v>
      </c>
      <c r="M91" s="47">
        <f t="shared" si="5"/>
        <v>0</v>
      </c>
      <c r="N91" s="68">
        <f t="shared" si="6"/>
        <v>0</v>
      </c>
      <c r="O91" s="46">
        <v>0</v>
      </c>
      <c r="P91" s="47">
        <v>0</v>
      </c>
      <c r="Q91" s="47">
        <v>0</v>
      </c>
      <c r="R91" s="48">
        <f t="shared" si="7"/>
        <v>0</v>
      </c>
      <c r="S91" s="29">
        <v>7</v>
      </c>
      <c r="T91" s="286"/>
      <c r="U91" s="295">
        <v>34716</v>
      </c>
      <c r="V91" s="89" t="s">
        <v>798</v>
      </c>
      <c r="Y91" s="39"/>
      <c r="AD91" s="38"/>
      <c r="AG91" s="39"/>
      <c r="AL91" s="38"/>
      <c r="AO91" s="39"/>
      <c r="AP91" s="38"/>
      <c r="AT91" s="91"/>
      <c r="AW91" s="39"/>
      <c r="BA91" s="40"/>
    </row>
    <row r="92" spans="1:53" s="29" customFormat="1" x14ac:dyDescent="0.15">
      <c r="A92" s="29">
        <v>1996</v>
      </c>
      <c r="B92" s="295"/>
      <c r="C92" s="411" t="s">
        <v>295</v>
      </c>
      <c r="D92" s="411"/>
      <c r="E92" s="29">
        <v>137</v>
      </c>
      <c r="G92" s="66">
        <v>0</v>
      </c>
      <c r="H92" s="29">
        <v>0</v>
      </c>
      <c r="I92" s="29">
        <v>0</v>
      </c>
      <c r="J92" s="73">
        <v>21</v>
      </c>
      <c r="K92" s="47">
        <f t="shared" si="5"/>
        <v>0</v>
      </c>
      <c r="L92" s="47">
        <f t="shared" si="5"/>
        <v>0</v>
      </c>
      <c r="M92" s="47">
        <f t="shared" si="5"/>
        <v>0</v>
      </c>
      <c r="N92" s="68">
        <f t="shared" si="6"/>
        <v>0</v>
      </c>
      <c r="O92" s="46">
        <v>0</v>
      </c>
      <c r="P92" s="47">
        <v>0</v>
      </c>
      <c r="Q92" s="47">
        <v>0</v>
      </c>
      <c r="R92" s="48">
        <f t="shared" si="7"/>
        <v>0</v>
      </c>
      <c r="S92" s="29">
        <v>7</v>
      </c>
      <c r="T92" s="286"/>
      <c r="U92" s="295"/>
      <c r="V92" s="89" t="s">
        <v>798</v>
      </c>
      <c r="Y92" s="39"/>
      <c r="AD92" s="38"/>
      <c r="AG92" s="39"/>
      <c r="AL92" s="38"/>
      <c r="AO92" s="39"/>
      <c r="AP92" s="38"/>
      <c r="AT92" s="91"/>
      <c r="AW92" s="39"/>
      <c r="BA92" s="40"/>
    </row>
    <row r="93" spans="1:53" s="171" customFormat="1" x14ac:dyDescent="0.15">
      <c r="A93" s="171">
        <v>1996</v>
      </c>
      <c r="B93" s="283">
        <v>35202</v>
      </c>
      <c r="C93" s="410" t="s">
        <v>296</v>
      </c>
      <c r="D93" s="410"/>
      <c r="E93" s="171">
        <f>366-E92</f>
        <v>229</v>
      </c>
      <c r="F93" s="171">
        <v>6</v>
      </c>
      <c r="G93" s="233"/>
      <c r="H93" s="171">
        <v>8</v>
      </c>
      <c r="I93" s="171">
        <v>10</v>
      </c>
      <c r="J93" s="241">
        <v>21</v>
      </c>
      <c r="K93" s="214">
        <f t="shared" si="5"/>
        <v>0</v>
      </c>
      <c r="L93" s="214">
        <f t="shared" si="5"/>
        <v>38.095238095238095</v>
      </c>
      <c r="M93" s="214">
        <f t="shared" si="5"/>
        <v>47.619047619047613</v>
      </c>
      <c r="N93" s="235">
        <f t="shared" si="6"/>
        <v>85.714285714285708</v>
      </c>
      <c r="O93" s="213"/>
      <c r="P93" s="214">
        <v>16.2</v>
      </c>
      <c r="Q93" s="214">
        <v>29.7</v>
      </c>
      <c r="R93" s="215">
        <f t="shared" si="7"/>
        <v>45.9</v>
      </c>
      <c r="S93" s="171">
        <v>5</v>
      </c>
      <c r="T93" s="285">
        <v>35176</v>
      </c>
      <c r="U93" s="283">
        <v>35202</v>
      </c>
      <c r="V93" s="178" t="s">
        <v>512</v>
      </c>
      <c r="W93" s="171" t="s">
        <v>297</v>
      </c>
      <c r="X93" s="171" t="s">
        <v>12</v>
      </c>
      <c r="Y93" s="179">
        <v>27.2</v>
      </c>
      <c r="Z93" s="171" t="s">
        <v>511</v>
      </c>
      <c r="AA93" s="171" t="s">
        <v>17</v>
      </c>
      <c r="AB93" s="171" t="s">
        <v>18</v>
      </c>
      <c r="AC93" s="171">
        <v>11.9</v>
      </c>
      <c r="AD93" s="178" t="s">
        <v>551</v>
      </c>
      <c r="AE93" s="171" t="s">
        <v>327</v>
      </c>
      <c r="AF93" s="171" t="s">
        <v>18</v>
      </c>
      <c r="AG93" s="255">
        <v>11.9</v>
      </c>
      <c r="AH93" s="171" t="s">
        <v>513</v>
      </c>
      <c r="AI93" s="171" t="s">
        <v>106</v>
      </c>
      <c r="AJ93" s="171" t="s">
        <v>18</v>
      </c>
      <c r="AK93" s="171">
        <v>4.3</v>
      </c>
      <c r="AL93" s="178" t="s">
        <v>298</v>
      </c>
      <c r="AM93" s="171" t="s">
        <v>216</v>
      </c>
      <c r="AN93" s="171" t="s">
        <v>12</v>
      </c>
      <c r="AO93" s="179">
        <v>2.5</v>
      </c>
      <c r="AP93" s="178"/>
      <c r="AT93" s="251"/>
      <c r="AW93" s="179"/>
      <c r="BA93" s="180"/>
    </row>
    <row r="94" spans="1:53" s="171" customFormat="1" x14ac:dyDescent="0.15">
      <c r="A94" s="171">
        <v>1997</v>
      </c>
      <c r="B94" s="283"/>
      <c r="C94" s="410" t="s">
        <v>296</v>
      </c>
      <c r="D94" s="410"/>
      <c r="E94" s="171">
        <v>0</v>
      </c>
      <c r="G94" s="233"/>
      <c r="H94" s="171">
        <v>8</v>
      </c>
      <c r="I94" s="171">
        <v>11</v>
      </c>
      <c r="J94" s="241">
        <v>22</v>
      </c>
      <c r="K94" s="214">
        <f t="shared" si="5"/>
        <v>0</v>
      </c>
      <c r="L94" s="214">
        <f t="shared" si="5"/>
        <v>36.363636363636367</v>
      </c>
      <c r="M94" s="214">
        <f t="shared" si="5"/>
        <v>50</v>
      </c>
      <c r="N94" s="235">
        <f t="shared" si="6"/>
        <v>86.363636363636374</v>
      </c>
      <c r="O94" s="213"/>
      <c r="P94" s="214">
        <v>16.2</v>
      </c>
      <c r="Q94" s="214">
        <v>29.7</v>
      </c>
      <c r="R94" s="215">
        <f t="shared" si="7"/>
        <v>45.9</v>
      </c>
      <c r="S94" s="171">
        <v>5</v>
      </c>
      <c r="T94" s="285"/>
      <c r="U94" s="283"/>
      <c r="V94" s="178" t="s">
        <v>512</v>
      </c>
      <c r="W94" s="171" t="s">
        <v>297</v>
      </c>
      <c r="X94" s="171" t="s">
        <v>12</v>
      </c>
      <c r="Y94" s="179">
        <v>27.2</v>
      </c>
      <c r="Z94" s="171" t="s">
        <v>511</v>
      </c>
      <c r="AA94" s="171" t="s">
        <v>17</v>
      </c>
      <c r="AB94" s="171" t="s">
        <v>18</v>
      </c>
      <c r="AC94" s="171">
        <v>11.9</v>
      </c>
      <c r="AD94" s="178" t="s">
        <v>551</v>
      </c>
      <c r="AE94" s="171" t="s">
        <v>327</v>
      </c>
      <c r="AF94" s="171" t="s">
        <v>18</v>
      </c>
      <c r="AG94" s="255">
        <v>11.9</v>
      </c>
      <c r="AH94" s="171" t="s">
        <v>513</v>
      </c>
      <c r="AI94" s="171" t="s">
        <v>106</v>
      </c>
      <c r="AJ94" s="171" t="s">
        <v>18</v>
      </c>
      <c r="AK94" s="171">
        <v>4.3</v>
      </c>
      <c r="AL94" s="178" t="s">
        <v>298</v>
      </c>
      <c r="AM94" s="171" t="s">
        <v>216</v>
      </c>
      <c r="AN94" s="171" t="s">
        <v>12</v>
      </c>
      <c r="AO94" s="179">
        <v>2.5</v>
      </c>
      <c r="AP94" s="178"/>
      <c r="AT94" s="251"/>
      <c r="AW94" s="179"/>
      <c r="BA94" s="180"/>
    </row>
    <row r="95" spans="1:53" s="171" customFormat="1" x14ac:dyDescent="0.15">
      <c r="A95" s="171">
        <v>1997</v>
      </c>
      <c r="B95" s="283"/>
      <c r="C95" s="410" t="s">
        <v>296</v>
      </c>
      <c r="D95" s="410"/>
      <c r="E95" s="171">
        <f>365-E94</f>
        <v>365</v>
      </c>
      <c r="G95" s="233"/>
      <c r="H95" s="171">
        <v>8</v>
      </c>
      <c r="I95" s="171">
        <v>11</v>
      </c>
      <c r="J95" s="241">
        <v>22</v>
      </c>
      <c r="K95" s="214">
        <f t="shared" si="5"/>
        <v>0</v>
      </c>
      <c r="L95" s="214">
        <f t="shared" si="5"/>
        <v>36.363636363636367</v>
      </c>
      <c r="M95" s="214">
        <f t="shared" si="5"/>
        <v>50</v>
      </c>
      <c r="N95" s="235">
        <f t="shared" si="6"/>
        <v>86.363636363636374</v>
      </c>
      <c r="O95" s="213"/>
      <c r="P95" s="214">
        <v>16.2</v>
      </c>
      <c r="Q95" s="214">
        <v>29.7</v>
      </c>
      <c r="R95" s="215">
        <f t="shared" si="7"/>
        <v>45.9</v>
      </c>
      <c r="S95" s="171">
        <v>5</v>
      </c>
      <c r="T95" s="285"/>
      <c r="U95" s="283"/>
      <c r="V95" s="178" t="s">
        <v>512</v>
      </c>
      <c r="W95" s="171" t="s">
        <v>297</v>
      </c>
      <c r="X95" s="171" t="s">
        <v>12</v>
      </c>
      <c r="Y95" s="179">
        <v>27.2</v>
      </c>
      <c r="Z95" s="171" t="s">
        <v>511</v>
      </c>
      <c r="AA95" s="171" t="s">
        <v>17</v>
      </c>
      <c r="AB95" s="171" t="s">
        <v>18</v>
      </c>
      <c r="AC95" s="171">
        <v>11.9</v>
      </c>
      <c r="AD95" s="178" t="s">
        <v>551</v>
      </c>
      <c r="AE95" s="171" t="s">
        <v>327</v>
      </c>
      <c r="AF95" s="171" t="s">
        <v>18</v>
      </c>
      <c r="AG95" s="255">
        <v>11.9</v>
      </c>
      <c r="AH95" s="171" t="s">
        <v>513</v>
      </c>
      <c r="AI95" s="171" t="s">
        <v>106</v>
      </c>
      <c r="AJ95" s="171" t="s">
        <v>18</v>
      </c>
      <c r="AK95" s="171">
        <v>4.3</v>
      </c>
      <c r="AL95" s="178" t="s">
        <v>298</v>
      </c>
      <c r="AM95" s="171" t="s">
        <v>216</v>
      </c>
      <c r="AN95" s="171" t="s">
        <v>12</v>
      </c>
      <c r="AO95" s="179">
        <v>2.5</v>
      </c>
      <c r="AP95" s="178"/>
      <c r="AT95" s="251"/>
      <c r="AW95" s="179"/>
      <c r="BA95" s="180"/>
    </row>
    <row r="96" spans="1:53" s="171" customFormat="1" x14ac:dyDescent="0.15">
      <c r="A96" s="171">
        <v>1998</v>
      </c>
      <c r="B96" s="283"/>
      <c r="C96" s="410" t="s">
        <v>296</v>
      </c>
      <c r="D96" s="410"/>
      <c r="E96" s="171">
        <v>300</v>
      </c>
      <c r="G96" s="233"/>
      <c r="H96" s="171">
        <v>8</v>
      </c>
      <c r="I96" s="171">
        <v>11</v>
      </c>
      <c r="J96" s="241">
        <v>22</v>
      </c>
      <c r="K96" s="214">
        <f t="shared" si="5"/>
        <v>0</v>
      </c>
      <c r="L96" s="214">
        <f t="shared" si="5"/>
        <v>36.363636363636367</v>
      </c>
      <c r="M96" s="214">
        <f t="shared" si="5"/>
        <v>50</v>
      </c>
      <c r="N96" s="235">
        <f t="shared" si="6"/>
        <v>86.363636363636374</v>
      </c>
      <c r="O96" s="213"/>
      <c r="P96" s="214">
        <v>16.2</v>
      </c>
      <c r="Q96" s="214">
        <v>29.7</v>
      </c>
      <c r="R96" s="215">
        <f t="shared" si="7"/>
        <v>45.9</v>
      </c>
      <c r="S96" s="171">
        <v>5</v>
      </c>
      <c r="T96" s="285"/>
      <c r="U96" s="283"/>
      <c r="V96" s="178" t="s">
        <v>512</v>
      </c>
      <c r="W96" s="171" t="s">
        <v>297</v>
      </c>
      <c r="X96" s="171" t="s">
        <v>12</v>
      </c>
      <c r="Y96" s="179">
        <v>27.2</v>
      </c>
      <c r="Z96" s="171" t="s">
        <v>511</v>
      </c>
      <c r="AA96" s="171" t="s">
        <v>17</v>
      </c>
      <c r="AB96" s="171" t="s">
        <v>18</v>
      </c>
      <c r="AC96" s="171">
        <v>11.9</v>
      </c>
      <c r="AD96" s="178" t="s">
        <v>551</v>
      </c>
      <c r="AE96" s="171" t="s">
        <v>327</v>
      </c>
      <c r="AF96" s="171" t="s">
        <v>18</v>
      </c>
      <c r="AG96" s="255">
        <v>11.9</v>
      </c>
      <c r="AH96" s="171" t="s">
        <v>513</v>
      </c>
      <c r="AI96" s="171" t="s">
        <v>106</v>
      </c>
      <c r="AJ96" s="171" t="s">
        <v>18</v>
      </c>
      <c r="AK96" s="171">
        <v>4.3</v>
      </c>
      <c r="AL96" s="178" t="s">
        <v>298</v>
      </c>
      <c r="AM96" s="171" t="s">
        <v>216</v>
      </c>
      <c r="AN96" s="171" t="s">
        <v>12</v>
      </c>
      <c r="AO96" s="179">
        <v>2.5</v>
      </c>
      <c r="AP96" s="178"/>
      <c r="AT96" s="251"/>
      <c r="AW96" s="179"/>
      <c r="BA96" s="180"/>
    </row>
    <row r="97" spans="1:53" s="29" customFormat="1" x14ac:dyDescent="0.15">
      <c r="A97" s="29">
        <v>1998</v>
      </c>
      <c r="B97" s="295">
        <v>36096</v>
      </c>
      <c r="C97" s="411" t="s">
        <v>299</v>
      </c>
      <c r="D97" s="411"/>
      <c r="E97" s="29">
        <f>365-E96</f>
        <v>65</v>
      </c>
      <c r="F97" s="29">
        <v>5</v>
      </c>
      <c r="G97" s="66"/>
      <c r="H97" s="29">
        <v>12</v>
      </c>
      <c r="I97" s="29">
        <v>13</v>
      </c>
      <c r="J97" s="73">
        <v>27</v>
      </c>
      <c r="K97" s="47">
        <f t="shared" si="5"/>
        <v>0</v>
      </c>
      <c r="L97" s="47">
        <f t="shared" si="5"/>
        <v>44.444444444444443</v>
      </c>
      <c r="M97" s="47">
        <f t="shared" si="5"/>
        <v>48.148148148148145</v>
      </c>
      <c r="N97" s="68">
        <f t="shared" si="6"/>
        <v>92.592592592592581</v>
      </c>
      <c r="O97" s="46"/>
      <c r="P97" s="47">
        <v>16.2</v>
      </c>
      <c r="Q97" s="47">
        <v>29.7</v>
      </c>
      <c r="R97" s="48">
        <f t="shared" si="7"/>
        <v>45.9</v>
      </c>
      <c r="S97" s="29">
        <v>5</v>
      </c>
      <c r="T97" s="286"/>
      <c r="U97" s="295">
        <v>36096</v>
      </c>
      <c r="V97" s="38" t="s">
        <v>512</v>
      </c>
      <c r="W97" s="29" t="s">
        <v>297</v>
      </c>
      <c r="X97" s="29" t="s">
        <v>12</v>
      </c>
      <c r="Y97" s="39">
        <v>27.2</v>
      </c>
      <c r="Z97" s="29" t="s">
        <v>511</v>
      </c>
      <c r="AA97" s="29" t="s">
        <v>17</v>
      </c>
      <c r="AB97" s="29" t="s">
        <v>18</v>
      </c>
      <c r="AC97" s="29">
        <v>11.9</v>
      </c>
      <c r="AD97" s="38" t="s">
        <v>517</v>
      </c>
      <c r="AE97" s="29" t="s">
        <v>327</v>
      </c>
      <c r="AF97" s="29" t="s">
        <v>18</v>
      </c>
      <c r="AG97" s="39">
        <v>0</v>
      </c>
      <c r="AH97" s="38" t="s">
        <v>298</v>
      </c>
      <c r="AI97" s="29" t="s">
        <v>216</v>
      </c>
      <c r="AJ97" s="29" t="s">
        <v>12</v>
      </c>
      <c r="AK97" s="39">
        <v>2.5</v>
      </c>
      <c r="AL97" s="38" t="s">
        <v>520</v>
      </c>
      <c r="AM97" s="29" t="s">
        <v>113</v>
      </c>
      <c r="AN97" s="29" t="s">
        <v>12</v>
      </c>
      <c r="AO97" s="39">
        <v>0</v>
      </c>
      <c r="AP97" s="29" t="s">
        <v>513</v>
      </c>
      <c r="AQ97" s="29" t="s">
        <v>106</v>
      </c>
      <c r="AR97" s="29" t="s">
        <v>18</v>
      </c>
      <c r="AS97" s="29">
        <v>4.3</v>
      </c>
      <c r="AT97" s="91" t="s">
        <v>519</v>
      </c>
      <c r="AU97" s="29" t="s">
        <v>327</v>
      </c>
      <c r="AV97" s="29" t="s">
        <v>12</v>
      </c>
      <c r="AW97" s="39">
        <v>0</v>
      </c>
      <c r="BA97" s="40"/>
    </row>
    <row r="98" spans="1:53" s="29" customFormat="1" x14ac:dyDescent="0.15">
      <c r="A98" s="29">
        <v>1999</v>
      </c>
      <c r="B98" s="295"/>
      <c r="C98" s="411" t="s">
        <v>299</v>
      </c>
      <c r="D98" s="411"/>
      <c r="E98" s="29">
        <v>354</v>
      </c>
      <c r="G98" s="66"/>
      <c r="H98" s="29">
        <v>12</v>
      </c>
      <c r="I98" s="29">
        <v>13</v>
      </c>
      <c r="J98" s="73">
        <v>27</v>
      </c>
      <c r="K98" s="47">
        <f t="shared" si="5"/>
        <v>0</v>
      </c>
      <c r="L98" s="47">
        <f t="shared" si="5"/>
        <v>44.444444444444443</v>
      </c>
      <c r="M98" s="47">
        <f t="shared" si="5"/>
        <v>48.148148148148145</v>
      </c>
      <c r="N98" s="68">
        <f t="shared" si="6"/>
        <v>92.592592592592581</v>
      </c>
      <c r="O98" s="46"/>
      <c r="P98" s="47">
        <v>16.2</v>
      </c>
      <c r="Q98" s="47">
        <v>29.7</v>
      </c>
      <c r="R98" s="48">
        <f t="shared" si="7"/>
        <v>45.9</v>
      </c>
      <c r="S98" s="29">
        <v>5</v>
      </c>
      <c r="T98" s="286"/>
      <c r="U98" s="295"/>
      <c r="V98" s="38" t="s">
        <v>512</v>
      </c>
      <c r="W98" s="29" t="s">
        <v>297</v>
      </c>
      <c r="X98" s="29" t="s">
        <v>12</v>
      </c>
      <c r="Y98" s="39">
        <v>27.2</v>
      </c>
      <c r="Z98" s="29" t="s">
        <v>511</v>
      </c>
      <c r="AA98" s="29" t="s">
        <v>17</v>
      </c>
      <c r="AB98" s="29" t="s">
        <v>18</v>
      </c>
      <c r="AC98" s="29">
        <v>11.9</v>
      </c>
      <c r="AD98" s="38" t="s">
        <v>517</v>
      </c>
      <c r="AE98" s="29" t="s">
        <v>327</v>
      </c>
      <c r="AF98" s="29" t="s">
        <v>18</v>
      </c>
      <c r="AG98" s="39">
        <v>0</v>
      </c>
      <c r="AH98" s="29" t="s">
        <v>298</v>
      </c>
      <c r="AI98" s="29" t="s">
        <v>216</v>
      </c>
      <c r="AJ98" s="29" t="s">
        <v>12</v>
      </c>
      <c r="AK98" s="29">
        <v>2.5</v>
      </c>
      <c r="AL98" s="38" t="s">
        <v>520</v>
      </c>
      <c r="AM98" s="29" t="s">
        <v>113</v>
      </c>
      <c r="AN98" s="29" t="s">
        <v>12</v>
      </c>
      <c r="AO98" s="39">
        <v>0</v>
      </c>
      <c r="AP98" s="29" t="s">
        <v>513</v>
      </c>
      <c r="AQ98" s="29" t="s">
        <v>106</v>
      </c>
      <c r="AR98" s="29" t="s">
        <v>18</v>
      </c>
      <c r="AS98" s="29">
        <v>4.3</v>
      </c>
      <c r="AT98" s="91" t="s">
        <v>519</v>
      </c>
      <c r="AU98" s="29" t="s">
        <v>327</v>
      </c>
      <c r="AV98" s="29" t="s">
        <v>12</v>
      </c>
      <c r="AW98" s="39">
        <v>0</v>
      </c>
      <c r="BA98" s="40"/>
    </row>
    <row r="99" spans="1:53" s="171" customFormat="1" x14ac:dyDescent="0.15">
      <c r="A99" s="171">
        <v>1999</v>
      </c>
      <c r="B99" s="283">
        <v>36515</v>
      </c>
      <c r="C99" s="410" t="s">
        <v>300</v>
      </c>
      <c r="D99" s="410"/>
      <c r="E99" s="171">
        <f>365-E98</f>
        <v>11</v>
      </c>
      <c r="F99" s="171">
        <v>4</v>
      </c>
      <c r="G99" s="233"/>
      <c r="H99" s="171">
        <v>8</v>
      </c>
      <c r="I99" s="171">
        <v>14</v>
      </c>
      <c r="J99" s="241">
        <v>24</v>
      </c>
      <c r="K99" s="214">
        <f t="shared" si="5"/>
        <v>0</v>
      </c>
      <c r="L99" s="214">
        <f t="shared" si="5"/>
        <v>33.333333333333329</v>
      </c>
      <c r="M99" s="214">
        <f t="shared" si="5"/>
        <v>58.333333333333336</v>
      </c>
      <c r="N99" s="235">
        <f t="shared" si="6"/>
        <v>91.666666666666657</v>
      </c>
      <c r="O99" s="213"/>
      <c r="P99" s="214">
        <v>16.2</v>
      </c>
      <c r="Q99" s="214">
        <v>29.7</v>
      </c>
      <c r="R99" s="215">
        <f t="shared" si="7"/>
        <v>45.9</v>
      </c>
      <c r="S99" s="171">
        <v>5</v>
      </c>
      <c r="T99" s="285"/>
      <c r="U99" s="283">
        <v>36515</v>
      </c>
      <c r="V99" s="178" t="s">
        <v>512</v>
      </c>
      <c r="W99" s="171" t="s">
        <v>297</v>
      </c>
      <c r="X99" s="171" t="s">
        <v>12</v>
      </c>
      <c r="Y99" s="179">
        <v>27.2</v>
      </c>
      <c r="Z99" s="171" t="s">
        <v>511</v>
      </c>
      <c r="AA99" s="171" t="s">
        <v>17</v>
      </c>
      <c r="AB99" s="171" t="s">
        <v>18</v>
      </c>
      <c r="AC99" s="171">
        <v>11.9</v>
      </c>
      <c r="AD99" s="178" t="s">
        <v>517</v>
      </c>
      <c r="AE99" s="171" t="s">
        <v>327</v>
      </c>
      <c r="AF99" s="171" t="s">
        <v>18</v>
      </c>
      <c r="AG99" s="179">
        <v>0</v>
      </c>
      <c r="AH99" s="171" t="s">
        <v>298</v>
      </c>
      <c r="AI99" s="171" t="s">
        <v>216</v>
      </c>
      <c r="AJ99" s="171" t="s">
        <v>12</v>
      </c>
      <c r="AK99" s="171">
        <v>2.5</v>
      </c>
      <c r="AL99" s="178" t="s">
        <v>520</v>
      </c>
      <c r="AM99" s="171" t="s">
        <v>113</v>
      </c>
      <c r="AN99" s="171" t="s">
        <v>12</v>
      </c>
      <c r="AO99" s="179">
        <v>0</v>
      </c>
      <c r="AP99" s="171" t="s">
        <v>513</v>
      </c>
      <c r="AQ99" s="171" t="s">
        <v>106</v>
      </c>
      <c r="AR99" s="171" t="s">
        <v>18</v>
      </c>
      <c r="AS99" s="171">
        <v>4.3</v>
      </c>
      <c r="AT99" s="251" t="s">
        <v>552</v>
      </c>
      <c r="AU99" s="171" t="s">
        <v>327</v>
      </c>
      <c r="AV99" s="171" t="s">
        <v>12</v>
      </c>
      <c r="AW99" s="179">
        <v>0</v>
      </c>
      <c r="BA99" s="180"/>
    </row>
    <row r="100" spans="1:53" s="171" customFormat="1" x14ac:dyDescent="0.15">
      <c r="A100" s="171">
        <v>2000</v>
      </c>
      <c r="B100" s="283"/>
      <c r="C100" s="410" t="s">
        <v>300</v>
      </c>
      <c r="D100" s="410"/>
      <c r="E100" s="171">
        <v>118</v>
      </c>
      <c r="G100" s="233"/>
      <c r="H100" s="171">
        <v>8</v>
      </c>
      <c r="I100" s="171">
        <v>17</v>
      </c>
      <c r="J100" s="241">
        <v>27</v>
      </c>
      <c r="K100" s="214">
        <f t="shared" si="5"/>
        <v>0</v>
      </c>
      <c r="L100" s="214">
        <f t="shared" si="5"/>
        <v>29.629629629629626</v>
      </c>
      <c r="M100" s="214">
        <f t="shared" si="5"/>
        <v>62.962962962962962</v>
      </c>
      <c r="N100" s="235">
        <f t="shared" si="6"/>
        <v>92.592592592592581</v>
      </c>
      <c r="O100" s="213"/>
      <c r="P100" s="214">
        <v>16.2</v>
      </c>
      <c r="Q100" s="214">
        <v>29.7</v>
      </c>
      <c r="R100" s="215">
        <f t="shared" si="7"/>
        <v>45.9</v>
      </c>
      <c r="S100" s="171">
        <v>5</v>
      </c>
      <c r="T100" s="285"/>
      <c r="U100" s="283"/>
      <c r="V100" s="178" t="s">
        <v>512</v>
      </c>
      <c r="W100" s="171" t="s">
        <v>297</v>
      </c>
      <c r="X100" s="171" t="s">
        <v>12</v>
      </c>
      <c r="Y100" s="179">
        <v>27.2</v>
      </c>
      <c r="Z100" s="171" t="s">
        <v>511</v>
      </c>
      <c r="AA100" s="171" t="s">
        <v>17</v>
      </c>
      <c r="AB100" s="171" t="s">
        <v>18</v>
      </c>
      <c r="AC100" s="171">
        <v>11.9</v>
      </c>
      <c r="AD100" s="178" t="s">
        <v>517</v>
      </c>
      <c r="AE100" s="171" t="s">
        <v>327</v>
      </c>
      <c r="AF100" s="171" t="s">
        <v>18</v>
      </c>
      <c r="AG100" s="179">
        <v>0</v>
      </c>
      <c r="AH100" s="171" t="s">
        <v>298</v>
      </c>
      <c r="AI100" s="171" t="s">
        <v>216</v>
      </c>
      <c r="AJ100" s="171" t="s">
        <v>12</v>
      </c>
      <c r="AK100" s="171">
        <v>2.5</v>
      </c>
      <c r="AL100" s="178" t="s">
        <v>520</v>
      </c>
      <c r="AM100" s="171" t="s">
        <v>113</v>
      </c>
      <c r="AN100" s="171" t="s">
        <v>12</v>
      </c>
      <c r="AO100" s="179">
        <v>0</v>
      </c>
      <c r="AP100" s="171" t="s">
        <v>513</v>
      </c>
      <c r="AQ100" s="171" t="s">
        <v>106</v>
      </c>
      <c r="AR100" s="171" t="s">
        <v>18</v>
      </c>
      <c r="AS100" s="171">
        <v>4.3</v>
      </c>
      <c r="AT100" s="251" t="s">
        <v>552</v>
      </c>
      <c r="AU100" s="171" t="s">
        <v>327</v>
      </c>
      <c r="AV100" s="171" t="s">
        <v>12</v>
      </c>
      <c r="AW100" s="179">
        <v>0</v>
      </c>
      <c r="BA100" s="180"/>
    </row>
    <row r="101" spans="1:53" s="29" customFormat="1" x14ac:dyDescent="0.15">
      <c r="A101" s="29">
        <v>2000</v>
      </c>
      <c r="B101" s="295">
        <v>36644</v>
      </c>
      <c r="C101" s="411" t="s">
        <v>301</v>
      </c>
      <c r="D101" s="411"/>
      <c r="E101" s="29">
        <f>366-E100</f>
        <v>248</v>
      </c>
      <c r="F101" s="29">
        <v>2</v>
      </c>
      <c r="G101" s="66"/>
      <c r="H101" s="29">
        <v>7</v>
      </c>
      <c r="I101" s="29">
        <v>15</v>
      </c>
      <c r="J101" s="73">
        <v>27</v>
      </c>
      <c r="K101" s="47">
        <f t="shared" si="5"/>
        <v>0</v>
      </c>
      <c r="L101" s="47">
        <f t="shared" si="5"/>
        <v>25.925925925925924</v>
      </c>
      <c r="M101" s="47">
        <f t="shared" si="5"/>
        <v>55.555555555555557</v>
      </c>
      <c r="N101" s="68">
        <f t="shared" si="6"/>
        <v>81.481481481481481</v>
      </c>
      <c r="O101" s="46"/>
      <c r="P101" s="47">
        <v>16.2</v>
      </c>
      <c r="Q101" s="47">
        <v>29.7</v>
      </c>
      <c r="R101" s="48">
        <f t="shared" si="7"/>
        <v>45.9</v>
      </c>
      <c r="S101" s="29">
        <v>5</v>
      </c>
      <c r="T101" s="286"/>
      <c r="U101" s="295">
        <v>36644</v>
      </c>
      <c r="V101" s="38" t="s">
        <v>512</v>
      </c>
      <c r="W101" s="29" t="s">
        <v>297</v>
      </c>
      <c r="X101" s="29" t="s">
        <v>12</v>
      </c>
      <c r="Y101" s="39">
        <v>27.2</v>
      </c>
      <c r="Z101" s="29" t="s">
        <v>511</v>
      </c>
      <c r="AA101" s="29" t="s">
        <v>17</v>
      </c>
      <c r="AB101" s="29" t="s">
        <v>18</v>
      </c>
      <c r="AC101" s="29">
        <v>11.9</v>
      </c>
      <c r="AD101" s="38" t="s">
        <v>517</v>
      </c>
      <c r="AE101" s="29" t="s">
        <v>327</v>
      </c>
      <c r="AF101" s="29" t="s">
        <v>18</v>
      </c>
      <c r="AG101" s="39">
        <v>0</v>
      </c>
      <c r="AH101" s="29" t="s">
        <v>298</v>
      </c>
      <c r="AI101" s="29" t="s">
        <v>216</v>
      </c>
      <c r="AJ101" s="29" t="s">
        <v>12</v>
      </c>
      <c r="AK101" s="29">
        <v>2.5</v>
      </c>
      <c r="AL101" s="38" t="s">
        <v>520</v>
      </c>
      <c r="AM101" s="29" t="s">
        <v>113</v>
      </c>
      <c r="AN101" s="29" t="s">
        <v>12</v>
      </c>
      <c r="AO101" s="39">
        <v>0</v>
      </c>
      <c r="AP101" s="29" t="s">
        <v>513</v>
      </c>
      <c r="AQ101" s="29" t="s">
        <v>106</v>
      </c>
      <c r="AR101" s="29" t="s">
        <v>18</v>
      </c>
      <c r="AS101" s="29">
        <v>4.3</v>
      </c>
      <c r="AT101" s="91" t="s">
        <v>552</v>
      </c>
      <c r="AU101" s="29" t="s">
        <v>327</v>
      </c>
      <c r="AV101" s="29" t="s">
        <v>12</v>
      </c>
      <c r="AW101" s="39">
        <v>0</v>
      </c>
      <c r="AX101" s="94" t="s">
        <v>519</v>
      </c>
      <c r="AY101" s="29" t="s">
        <v>327</v>
      </c>
      <c r="AZ101" s="29" t="s">
        <v>12</v>
      </c>
      <c r="BA101" s="40">
        <v>0</v>
      </c>
    </row>
    <row r="102" spans="1:53" s="29" customFormat="1" x14ac:dyDescent="0.15">
      <c r="A102" s="29">
        <v>2001</v>
      </c>
      <c r="B102" s="295"/>
      <c r="C102" s="411" t="s">
        <v>301</v>
      </c>
      <c r="D102" s="411"/>
      <c r="E102" s="29">
        <v>161</v>
      </c>
      <c r="G102" s="66"/>
      <c r="H102" s="29">
        <v>7</v>
      </c>
      <c r="I102" s="29">
        <v>15</v>
      </c>
      <c r="J102" s="73">
        <v>27</v>
      </c>
      <c r="K102" s="47">
        <f>G102/$J102*100</f>
        <v>0</v>
      </c>
      <c r="L102" s="47">
        <f>H102/$J102*100</f>
        <v>25.925925925925924</v>
      </c>
      <c r="M102" s="47">
        <f>I102/$J102*100</f>
        <v>55.555555555555557</v>
      </c>
      <c r="N102" s="68">
        <f t="shared" si="6"/>
        <v>81.481481481481481</v>
      </c>
      <c r="O102" s="46"/>
      <c r="P102" s="47">
        <v>16.2</v>
      </c>
      <c r="Q102" s="47">
        <v>29.7</v>
      </c>
      <c r="R102" s="48">
        <f t="shared" si="7"/>
        <v>45.9</v>
      </c>
      <c r="S102" s="29">
        <v>5</v>
      </c>
      <c r="T102" s="286"/>
      <c r="U102" s="295"/>
      <c r="V102" s="38" t="s">
        <v>512</v>
      </c>
      <c r="W102" s="29" t="s">
        <v>297</v>
      </c>
      <c r="X102" s="29" t="s">
        <v>12</v>
      </c>
      <c r="Y102" s="39">
        <v>27.2</v>
      </c>
      <c r="Z102" s="29" t="s">
        <v>511</v>
      </c>
      <c r="AA102" s="29" t="s">
        <v>17</v>
      </c>
      <c r="AB102" s="29" t="s">
        <v>18</v>
      </c>
      <c r="AC102" s="29">
        <v>11.9</v>
      </c>
      <c r="AD102" s="38" t="s">
        <v>517</v>
      </c>
      <c r="AE102" s="29" t="s">
        <v>327</v>
      </c>
      <c r="AF102" s="29" t="s">
        <v>18</v>
      </c>
      <c r="AG102" s="39">
        <v>0</v>
      </c>
      <c r="AH102" s="29" t="s">
        <v>298</v>
      </c>
      <c r="AI102" s="29" t="s">
        <v>216</v>
      </c>
      <c r="AJ102" s="29" t="s">
        <v>12</v>
      </c>
      <c r="AK102" s="29">
        <v>2.5</v>
      </c>
      <c r="AL102" s="38" t="s">
        <v>520</v>
      </c>
      <c r="AM102" s="29" t="s">
        <v>113</v>
      </c>
      <c r="AN102" s="29" t="s">
        <v>12</v>
      </c>
      <c r="AO102" s="39">
        <v>0</v>
      </c>
      <c r="AP102" s="29" t="s">
        <v>513</v>
      </c>
      <c r="AQ102" s="29" t="s">
        <v>106</v>
      </c>
      <c r="AR102" s="29" t="s">
        <v>18</v>
      </c>
      <c r="AS102" s="29">
        <v>4.3</v>
      </c>
      <c r="AT102" s="91" t="s">
        <v>552</v>
      </c>
      <c r="AU102" s="29" t="s">
        <v>327</v>
      </c>
      <c r="AV102" s="29" t="s">
        <v>12</v>
      </c>
      <c r="AW102" s="39">
        <v>0</v>
      </c>
      <c r="AX102" s="94" t="s">
        <v>519</v>
      </c>
      <c r="AY102" s="29" t="s">
        <v>327</v>
      </c>
      <c r="AZ102" s="29" t="s">
        <v>12</v>
      </c>
      <c r="BA102" s="40">
        <v>0</v>
      </c>
    </row>
    <row r="103" spans="1:53" s="171" customFormat="1" x14ac:dyDescent="0.15">
      <c r="A103" s="171">
        <v>2001</v>
      </c>
      <c r="B103" s="283">
        <v>37053</v>
      </c>
      <c r="C103" s="410" t="s">
        <v>302</v>
      </c>
      <c r="D103" s="410"/>
      <c r="E103" s="171">
        <f>365-E102</f>
        <v>204</v>
      </c>
      <c r="F103" s="171">
        <v>1</v>
      </c>
      <c r="G103" s="233">
        <v>18</v>
      </c>
      <c r="H103" s="171">
        <v>2</v>
      </c>
      <c r="J103" s="241">
        <v>25</v>
      </c>
      <c r="K103" s="214">
        <f t="shared" ref="K103:K129" si="8">G103/$J103*100</f>
        <v>72</v>
      </c>
      <c r="L103" s="214">
        <f t="shared" ref="L103:L133" si="9">H103/$J103*100</f>
        <v>8</v>
      </c>
      <c r="M103" s="214">
        <f t="shared" ref="M103:M133" si="10">I103/$J103*100</f>
        <v>0</v>
      </c>
      <c r="N103" s="235">
        <f t="shared" si="6"/>
        <v>80</v>
      </c>
      <c r="O103" s="213">
        <v>49.9</v>
      </c>
      <c r="P103" s="214">
        <v>6.5</v>
      </c>
      <c r="Q103" s="214"/>
      <c r="R103" s="215">
        <f t="shared" si="7"/>
        <v>56.4</v>
      </c>
      <c r="S103" s="171">
        <v>3</v>
      </c>
      <c r="T103" s="285">
        <v>37024</v>
      </c>
      <c r="U103" s="283">
        <v>37053</v>
      </c>
      <c r="V103" s="178" t="s">
        <v>509</v>
      </c>
      <c r="W103" s="171" t="s">
        <v>74</v>
      </c>
      <c r="X103" s="171" t="s">
        <v>11</v>
      </c>
      <c r="Y103" s="179">
        <v>28.9</v>
      </c>
      <c r="Z103" s="178" t="s">
        <v>514</v>
      </c>
      <c r="AA103" s="171" t="s">
        <v>27</v>
      </c>
      <c r="AB103" s="171" t="s">
        <v>11</v>
      </c>
      <c r="AC103" s="171">
        <v>16.100000000000001</v>
      </c>
      <c r="AD103" s="178" t="s">
        <v>510</v>
      </c>
      <c r="AE103" s="171" t="s">
        <v>294</v>
      </c>
      <c r="AF103" s="171" t="s">
        <v>11</v>
      </c>
      <c r="AG103" s="179">
        <v>4.9000000000000004</v>
      </c>
      <c r="AH103" s="178" t="s">
        <v>550</v>
      </c>
      <c r="AI103" s="171" t="s">
        <v>85</v>
      </c>
      <c r="AJ103" s="171" t="s">
        <v>18</v>
      </c>
      <c r="AK103" s="171">
        <v>6.5</v>
      </c>
      <c r="AL103" s="178"/>
      <c r="AO103" s="179"/>
      <c r="AP103" s="178"/>
      <c r="AT103" s="251"/>
      <c r="AW103" s="179"/>
      <c r="BA103" s="180"/>
    </row>
    <row r="104" spans="1:53" s="171" customFormat="1" x14ac:dyDescent="0.15">
      <c r="A104" s="171">
        <v>2002</v>
      </c>
      <c r="B104" s="283"/>
      <c r="C104" s="410" t="s">
        <v>302</v>
      </c>
      <c r="D104" s="410"/>
      <c r="E104" s="171">
        <v>0</v>
      </c>
      <c r="G104" s="233">
        <v>18</v>
      </c>
      <c r="H104" s="171">
        <v>2</v>
      </c>
      <c r="J104" s="241">
        <v>25</v>
      </c>
      <c r="K104" s="214">
        <f t="shared" si="8"/>
        <v>72</v>
      </c>
      <c r="L104" s="214">
        <f t="shared" si="9"/>
        <v>8</v>
      </c>
      <c r="M104" s="214">
        <f t="shared" si="10"/>
        <v>0</v>
      </c>
      <c r="N104" s="235">
        <f t="shared" si="6"/>
        <v>80</v>
      </c>
      <c r="O104" s="213">
        <v>49.9</v>
      </c>
      <c r="P104" s="214">
        <v>6.5</v>
      </c>
      <c r="Q104" s="214"/>
      <c r="R104" s="215">
        <f t="shared" si="7"/>
        <v>56.4</v>
      </c>
      <c r="S104" s="171">
        <v>3</v>
      </c>
      <c r="T104" s="285"/>
      <c r="U104" s="283"/>
      <c r="V104" s="178" t="s">
        <v>509</v>
      </c>
      <c r="W104" s="171" t="s">
        <v>74</v>
      </c>
      <c r="X104" s="171" t="s">
        <v>11</v>
      </c>
      <c r="Y104" s="179">
        <v>28.9</v>
      </c>
      <c r="Z104" s="178" t="s">
        <v>514</v>
      </c>
      <c r="AA104" s="171" t="s">
        <v>27</v>
      </c>
      <c r="AB104" s="171" t="s">
        <v>11</v>
      </c>
      <c r="AC104" s="171">
        <v>16.100000000000001</v>
      </c>
      <c r="AD104" s="178" t="s">
        <v>510</v>
      </c>
      <c r="AE104" s="171" t="s">
        <v>294</v>
      </c>
      <c r="AF104" s="171" t="s">
        <v>11</v>
      </c>
      <c r="AG104" s="179">
        <v>4.9000000000000004</v>
      </c>
      <c r="AH104" s="178" t="s">
        <v>550</v>
      </c>
      <c r="AI104" s="171" t="s">
        <v>85</v>
      </c>
      <c r="AJ104" s="171" t="s">
        <v>18</v>
      </c>
      <c r="AK104" s="171">
        <v>6.5</v>
      </c>
      <c r="AL104" s="178"/>
      <c r="AO104" s="179"/>
      <c r="AP104" s="178"/>
      <c r="AT104" s="251"/>
      <c r="AW104" s="179"/>
      <c r="BA104" s="180"/>
    </row>
    <row r="105" spans="1:53" s="171" customFormat="1" x14ac:dyDescent="0.15">
      <c r="A105" s="171">
        <v>2002</v>
      </c>
      <c r="B105" s="283"/>
      <c r="C105" s="410" t="s">
        <v>302</v>
      </c>
      <c r="D105" s="410"/>
      <c r="E105" s="171">
        <f>365-E104</f>
        <v>365</v>
      </c>
      <c r="G105" s="233">
        <v>18</v>
      </c>
      <c r="H105" s="171">
        <v>2</v>
      </c>
      <c r="J105" s="241">
        <v>25</v>
      </c>
      <c r="K105" s="214">
        <f t="shared" si="8"/>
        <v>72</v>
      </c>
      <c r="L105" s="214">
        <f t="shared" si="9"/>
        <v>8</v>
      </c>
      <c r="M105" s="214">
        <f t="shared" si="10"/>
        <v>0</v>
      </c>
      <c r="N105" s="235">
        <f t="shared" si="6"/>
        <v>80</v>
      </c>
      <c r="O105" s="213">
        <v>49.9</v>
      </c>
      <c r="P105" s="214">
        <v>6.5</v>
      </c>
      <c r="Q105" s="214"/>
      <c r="R105" s="215">
        <f t="shared" si="7"/>
        <v>56.4</v>
      </c>
      <c r="S105" s="171">
        <v>3</v>
      </c>
      <c r="T105" s="285"/>
      <c r="U105" s="283"/>
      <c r="V105" s="178" t="s">
        <v>509</v>
      </c>
      <c r="W105" s="171" t="s">
        <v>74</v>
      </c>
      <c r="X105" s="171" t="s">
        <v>11</v>
      </c>
      <c r="Y105" s="179">
        <v>28.9</v>
      </c>
      <c r="Z105" s="178" t="s">
        <v>514</v>
      </c>
      <c r="AA105" s="171" t="s">
        <v>27</v>
      </c>
      <c r="AB105" s="171" t="s">
        <v>11</v>
      </c>
      <c r="AC105" s="171">
        <v>16.100000000000001</v>
      </c>
      <c r="AD105" s="178" t="s">
        <v>510</v>
      </c>
      <c r="AE105" s="171" t="s">
        <v>294</v>
      </c>
      <c r="AF105" s="171" t="s">
        <v>11</v>
      </c>
      <c r="AG105" s="179">
        <v>4.9000000000000004</v>
      </c>
      <c r="AH105" s="178" t="s">
        <v>550</v>
      </c>
      <c r="AI105" s="171" t="s">
        <v>85</v>
      </c>
      <c r="AJ105" s="171" t="s">
        <v>18</v>
      </c>
      <c r="AK105" s="171">
        <v>6.5</v>
      </c>
      <c r="AL105" s="178"/>
      <c r="AO105" s="179"/>
      <c r="AP105" s="178"/>
      <c r="AT105" s="251"/>
      <c r="AW105" s="179"/>
      <c r="BA105" s="180"/>
    </row>
    <row r="106" spans="1:53" s="171" customFormat="1" x14ac:dyDescent="0.15">
      <c r="A106" s="171">
        <v>2003</v>
      </c>
      <c r="B106" s="283"/>
      <c r="C106" s="410" t="s">
        <v>302</v>
      </c>
      <c r="D106" s="410"/>
      <c r="E106" s="171">
        <v>0</v>
      </c>
      <c r="G106" s="233">
        <v>18</v>
      </c>
      <c r="H106" s="171">
        <v>2</v>
      </c>
      <c r="J106" s="241">
        <v>25</v>
      </c>
      <c r="K106" s="214">
        <f t="shared" si="8"/>
        <v>72</v>
      </c>
      <c r="L106" s="214">
        <f t="shared" si="9"/>
        <v>8</v>
      </c>
      <c r="M106" s="214">
        <f t="shared" si="10"/>
        <v>0</v>
      </c>
      <c r="N106" s="235">
        <f t="shared" si="6"/>
        <v>80</v>
      </c>
      <c r="O106" s="213">
        <v>49.9</v>
      </c>
      <c r="P106" s="214">
        <v>6.5</v>
      </c>
      <c r="Q106" s="214"/>
      <c r="R106" s="215">
        <f t="shared" si="7"/>
        <v>56.4</v>
      </c>
      <c r="S106" s="171">
        <v>3</v>
      </c>
      <c r="T106" s="285"/>
      <c r="U106" s="283"/>
      <c r="V106" s="178" t="s">
        <v>509</v>
      </c>
      <c r="W106" s="171" t="s">
        <v>74</v>
      </c>
      <c r="X106" s="171" t="s">
        <v>11</v>
      </c>
      <c r="Y106" s="179">
        <v>28.9</v>
      </c>
      <c r="Z106" s="178" t="s">
        <v>514</v>
      </c>
      <c r="AA106" s="171" t="s">
        <v>27</v>
      </c>
      <c r="AB106" s="171" t="s">
        <v>11</v>
      </c>
      <c r="AC106" s="171">
        <v>16.100000000000001</v>
      </c>
      <c r="AD106" s="178" t="s">
        <v>510</v>
      </c>
      <c r="AE106" s="171" t="s">
        <v>294</v>
      </c>
      <c r="AF106" s="171" t="s">
        <v>11</v>
      </c>
      <c r="AG106" s="179">
        <v>4.9000000000000004</v>
      </c>
      <c r="AH106" s="178" t="s">
        <v>550</v>
      </c>
      <c r="AI106" s="171" t="s">
        <v>85</v>
      </c>
      <c r="AJ106" s="171" t="s">
        <v>18</v>
      </c>
      <c r="AK106" s="171">
        <v>6.5</v>
      </c>
      <c r="AL106" s="178"/>
      <c r="AO106" s="179"/>
      <c r="AP106" s="178"/>
      <c r="AT106" s="251"/>
      <c r="AW106" s="179"/>
      <c r="BA106" s="180"/>
    </row>
    <row r="107" spans="1:53" s="171" customFormat="1" x14ac:dyDescent="0.15">
      <c r="A107" s="171">
        <v>2003</v>
      </c>
      <c r="B107" s="283"/>
      <c r="C107" s="410" t="s">
        <v>302</v>
      </c>
      <c r="D107" s="410"/>
      <c r="E107" s="171">
        <f>365-E106</f>
        <v>365</v>
      </c>
      <c r="G107" s="233">
        <v>18</v>
      </c>
      <c r="H107" s="171">
        <v>2</v>
      </c>
      <c r="J107" s="241">
        <v>25</v>
      </c>
      <c r="K107" s="214">
        <f t="shared" si="8"/>
        <v>72</v>
      </c>
      <c r="L107" s="214">
        <f t="shared" si="9"/>
        <v>8</v>
      </c>
      <c r="M107" s="214">
        <f t="shared" si="10"/>
        <v>0</v>
      </c>
      <c r="N107" s="235">
        <f t="shared" si="6"/>
        <v>80</v>
      </c>
      <c r="O107" s="213">
        <v>49.9</v>
      </c>
      <c r="P107" s="214">
        <v>6.5</v>
      </c>
      <c r="Q107" s="214"/>
      <c r="R107" s="215">
        <f t="shared" si="7"/>
        <v>56.4</v>
      </c>
      <c r="S107" s="171">
        <v>3</v>
      </c>
      <c r="T107" s="285"/>
      <c r="U107" s="283"/>
      <c r="V107" s="178" t="s">
        <v>509</v>
      </c>
      <c r="W107" s="171" t="s">
        <v>74</v>
      </c>
      <c r="X107" s="171" t="s">
        <v>11</v>
      </c>
      <c r="Y107" s="179">
        <v>28.9</v>
      </c>
      <c r="Z107" s="178" t="s">
        <v>514</v>
      </c>
      <c r="AA107" s="171" t="s">
        <v>27</v>
      </c>
      <c r="AB107" s="171" t="s">
        <v>11</v>
      </c>
      <c r="AC107" s="171">
        <v>16.100000000000001</v>
      </c>
      <c r="AD107" s="178" t="s">
        <v>510</v>
      </c>
      <c r="AE107" s="171" t="s">
        <v>294</v>
      </c>
      <c r="AF107" s="171" t="s">
        <v>11</v>
      </c>
      <c r="AG107" s="179">
        <v>4.9000000000000004</v>
      </c>
      <c r="AH107" s="178" t="s">
        <v>550</v>
      </c>
      <c r="AI107" s="171" t="s">
        <v>85</v>
      </c>
      <c r="AJ107" s="171" t="s">
        <v>18</v>
      </c>
      <c r="AK107" s="171">
        <v>6.5</v>
      </c>
      <c r="AL107" s="178"/>
      <c r="AO107" s="179"/>
      <c r="AP107" s="178"/>
      <c r="AT107" s="251"/>
      <c r="AW107" s="179"/>
      <c r="BA107" s="180"/>
    </row>
    <row r="108" spans="1:53" s="171" customFormat="1" x14ac:dyDescent="0.15">
      <c r="A108" s="171">
        <v>2004</v>
      </c>
      <c r="B108" s="283"/>
      <c r="C108" s="410" t="s">
        <v>302</v>
      </c>
      <c r="D108" s="410"/>
      <c r="E108" s="171">
        <v>0</v>
      </c>
      <c r="G108" s="233">
        <v>19</v>
      </c>
      <c r="H108" s="171">
        <v>2</v>
      </c>
      <c r="J108" s="241">
        <v>25</v>
      </c>
      <c r="K108" s="214">
        <f t="shared" si="8"/>
        <v>76</v>
      </c>
      <c r="L108" s="214">
        <f t="shared" si="9"/>
        <v>8</v>
      </c>
      <c r="M108" s="214">
        <f t="shared" si="10"/>
        <v>0</v>
      </c>
      <c r="N108" s="235">
        <f t="shared" si="6"/>
        <v>84</v>
      </c>
      <c r="O108" s="213">
        <v>49.9</v>
      </c>
      <c r="P108" s="214">
        <v>6.5</v>
      </c>
      <c r="Q108" s="214"/>
      <c r="R108" s="215">
        <f t="shared" si="7"/>
        <v>56.4</v>
      </c>
      <c r="S108" s="171">
        <v>3</v>
      </c>
      <c r="T108" s="285"/>
      <c r="U108" s="283"/>
      <c r="V108" s="178" t="s">
        <v>509</v>
      </c>
      <c r="W108" s="171" t="s">
        <v>74</v>
      </c>
      <c r="X108" s="171" t="s">
        <v>11</v>
      </c>
      <c r="Y108" s="179">
        <v>28.9</v>
      </c>
      <c r="Z108" s="178" t="s">
        <v>514</v>
      </c>
      <c r="AA108" s="171" t="s">
        <v>27</v>
      </c>
      <c r="AB108" s="171" t="s">
        <v>11</v>
      </c>
      <c r="AC108" s="171">
        <v>16.100000000000001</v>
      </c>
      <c r="AD108" s="178" t="s">
        <v>510</v>
      </c>
      <c r="AE108" s="171" t="s">
        <v>294</v>
      </c>
      <c r="AF108" s="171" t="s">
        <v>11</v>
      </c>
      <c r="AG108" s="179">
        <v>4.9000000000000004</v>
      </c>
      <c r="AH108" s="178" t="s">
        <v>550</v>
      </c>
      <c r="AI108" s="171" t="s">
        <v>85</v>
      </c>
      <c r="AJ108" s="171" t="s">
        <v>18</v>
      </c>
      <c r="AK108" s="171">
        <v>6.5</v>
      </c>
      <c r="AL108" s="178"/>
      <c r="AO108" s="179"/>
      <c r="AP108" s="178"/>
      <c r="AT108" s="251"/>
      <c r="AW108" s="179"/>
      <c r="BA108" s="180"/>
    </row>
    <row r="109" spans="1:53" s="171" customFormat="1" x14ac:dyDescent="0.15">
      <c r="A109" s="171">
        <v>2004</v>
      </c>
      <c r="B109" s="283"/>
      <c r="C109" s="410" t="s">
        <v>302</v>
      </c>
      <c r="D109" s="410"/>
      <c r="E109" s="171">
        <f>366-E108</f>
        <v>366</v>
      </c>
      <c r="G109" s="233">
        <v>19</v>
      </c>
      <c r="H109" s="171">
        <v>2</v>
      </c>
      <c r="J109" s="241">
        <v>25</v>
      </c>
      <c r="K109" s="214">
        <f t="shared" si="8"/>
        <v>76</v>
      </c>
      <c r="L109" s="214">
        <f t="shared" si="9"/>
        <v>8</v>
      </c>
      <c r="M109" s="214">
        <f t="shared" si="10"/>
        <v>0</v>
      </c>
      <c r="N109" s="235">
        <f t="shared" si="6"/>
        <v>84</v>
      </c>
      <c r="O109" s="213">
        <v>49.9</v>
      </c>
      <c r="P109" s="214">
        <v>6.5</v>
      </c>
      <c r="Q109" s="214"/>
      <c r="R109" s="215">
        <f t="shared" si="7"/>
        <v>56.4</v>
      </c>
      <c r="S109" s="171">
        <v>3</v>
      </c>
      <c r="T109" s="285"/>
      <c r="U109" s="283"/>
      <c r="V109" s="178" t="s">
        <v>509</v>
      </c>
      <c r="W109" s="171" t="s">
        <v>74</v>
      </c>
      <c r="X109" s="171" t="s">
        <v>11</v>
      </c>
      <c r="Y109" s="179">
        <v>28.9</v>
      </c>
      <c r="Z109" s="178" t="s">
        <v>514</v>
      </c>
      <c r="AA109" s="171" t="s">
        <v>27</v>
      </c>
      <c r="AB109" s="171" t="s">
        <v>11</v>
      </c>
      <c r="AC109" s="171">
        <v>16.100000000000001</v>
      </c>
      <c r="AD109" s="178" t="s">
        <v>510</v>
      </c>
      <c r="AE109" s="171" t="s">
        <v>294</v>
      </c>
      <c r="AF109" s="171" t="s">
        <v>11</v>
      </c>
      <c r="AG109" s="179">
        <v>4.9000000000000004</v>
      </c>
      <c r="AH109" s="178" t="s">
        <v>550</v>
      </c>
      <c r="AI109" s="171" t="s">
        <v>85</v>
      </c>
      <c r="AJ109" s="171" t="s">
        <v>18</v>
      </c>
      <c r="AK109" s="171">
        <v>6.5</v>
      </c>
      <c r="AL109" s="178"/>
      <c r="AO109" s="179"/>
      <c r="AP109" s="178"/>
      <c r="AT109" s="251"/>
      <c r="AW109" s="179"/>
      <c r="BA109" s="180"/>
    </row>
    <row r="110" spans="1:53" s="171" customFormat="1" x14ac:dyDescent="0.15">
      <c r="A110" s="171">
        <v>2005</v>
      </c>
      <c r="B110" s="283"/>
      <c r="C110" s="410" t="s">
        <v>302</v>
      </c>
      <c r="D110" s="410"/>
      <c r="E110" s="171">
        <v>147</v>
      </c>
      <c r="G110" s="233">
        <v>19</v>
      </c>
      <c r="H110" s="171">
        <v>2</v>
      </c>
      <c r="J110" s="241">
        <v>25</v>
      </c>
      <c r="K110" s="214">
        <f t="shared" si="8"/>
        <v>76</v>
      </c>
      <c r="L110" s="214">
        <f t="shared" si="9"/>
        <v>8</v>
      </c>
      <c r="M110" s="214">
        <f t="shared" si="10"/>
        <v>0</v>
      </c>
      <c r="N110" s="235">
        <f t="shared" si="6"/>
        <v>84</v>
      </c>
      <c r="O110" s="213">
        <v>49.9</v>
      </c>
      <c r="P110" s="214">
        <v>6.5</v>
      </c>
      <c r="Q110" s="214"/>
      <c r="R110" s="215">
        <f t="shared" si="7"/>
        <v>56.4</v>
      </c>
      <c r="S110" s="171">
        <v>3</v>
      </c>
      <c r="T110" s="285"/>
      <c r="U110" s="283"/>
      <c r="V110" s="178" t="s">
        <v>509</v>
      </c>
      <c r="W110" s="171" t="s">
        <v>74</v>
      </c>
      <c r="X110" s="171" t="s">
        <v>11</v>
      </c>
      <c r="Y110" s="179">
        <v>28.9</v>
      </c>
      <c r="Z110" s="178" t="s">
        <v>514</v>
      </c>
      <c r="AA110" s="171" t="s">
        <v>27</v>
      </c>
      <c r="AB110" s="171" t="s">
        <v>11</v>
      </c>
      <c r="AC110" s="171">
        <v>16.100000000000001</v>
      </c>
      <c r="AD110" s="178" t="s">
        <v>510</v>
      </c>
      <c r="AE110" s="171" t="s">
        <v>294</v>
      </c>
      <c r="AF110" s="171" t="s">
        <v>11</v>
      </c>
      <c r="AG110" s="179">
        <v>4.9000000000000004</v>
      </c>
      <c r="AH110" s="178" t="s">
        <v>550</v>
      </c>
      <c r="AI110" s="171" t="s">
        <v>85</v>
      </c>
      <c r="AJ110" s="171" t="s">
        <v>18</v>
      </c>
      <c r="AK110" s="171">
        <v>6.5</v>
      </c>
      <c r="AL110" s="178"/>
      <c r="AO110" s="179"/>
      <c r="AP110" s="178"/>
      <c r="AT110" s="251"/>
      <c r="AW110" s="179"/>
      <c r="BA110" s="180"/>
    </row>
    <row r="111" spans="1:53" s="29" customFormat="1" x14ac:dyDescent="0.15">
      <c r="A111" s="29">
        <v>2005</v>
      </c>
      <c r="B111" s="295">
        <v>38500</v>
      </c>
      <c r="C111" s="411" t="s">
        <v>303</v>
      </c>
      <c r="D111" s="411"/>
      <c r="E111" s="29">
        <f>365-E110</f>
        <v>218</v>
      </c>
      <c r="F111" s="29">
        <v>4</v>
      </c>
      <c r="G111" s="66">
        <v>12</v>
      </c>
      <c r="H111" s="29">
        <v>1</v>
      </c>
      <c r="J111" s="73">
        <v>15</v>
      </c>
      <c r="K111" s="47">
        <f t="shared" si="8"/>
        <v>80</v>
      </c>
      <c r="L111" s="47">
        <f t="shared" si="9"/>
        <v>6.666666666666667</v>
      </c>
      <c r="M111" s="47">
        <f t="shared" si="10"/>
        <v>0</v>
      </c>
      <c r="N111" s="68">
        <f t="shared" si="6"/>
        <v>86.666666666666671</v>
      </c>
      <c r="O111" s="46">
        <v>49.9</v>
      </c>
      <c r="P111" s="47">
        <v>6.5</v>
      </c>
      <c r="Q111" s="47"/>
      <c r="R111" s="48">
        <f t="shared" si="7"/>
        <v>56.4</v>
      </c>
      <c r="S111" s="29">
        <v>3</v>
      </c>
      <c r="T111" s="286"/>
      <c r="U111" s="295">
        <v>38500</v>
      </c>
      <c r="V111" s="38" t="s">
        <v>509</v>
      </c>
      <c r="W111" s="29" t="s">
        <v>74</v>
      </c>
      <c r="X111" s="29" t="s">
        <v>11</v>
      </c>
      <c r="Y111" s="39">
        <v>28.9</v>
      </c>
      <c r="Z111" s="38" t="s">
        <v>514</v>
      </c>
      <c r="AA111" s="29" t="s">
        <v>27</v>
      </c>
      <c r="AB111" s="29" t="s">
        <v>11</v>
      </c>
      <c r="AC111" s="29">
        <v>16.100000000000001</v>
      </c>
      <c r="AD111" s="38" t="s">
        <v>510</v>
      </c>
      <c r="AE111" s="29" t="s">
        <v>294</v>
      </c>
      <c r="AF111" s="29" t="s">
        <v>11</v>
      </c>
      <c r="AG111" s="39">
        <v>4.9000000000000004</v>
      </c>
      <c r="AH111" s="38" t="s">
        <v>550</v>
      </c>
      <c r="AI111" s="29" t="s">
        <v>85</v>
      </c>
      <c r="AJ111" s="29" t="s">
        <v>18</v>
      </c>
      <c r="AK111" s="29">
        <v>6.5</v>
      </c>
      <c r="AL111" s="38" t="s">
        <v>802</v>
      </c>
      <c r="AM111" s="29" t="s">
        <v>327</v>
      </c>
      <c r="AN111" s="29" t="s">
        <v>12</v>
      </c>
      <c r="AO111" s="39">
        <v>0</v>
      </c>
      <c r="AP111" s="38" t="s">
        <v>505</v>
      </c>
      <c r="AQ111" s="29" t="s">
        <v>87</v>
      </c>
      <c r="AR111" s="29" t="s">
        <v>18</v>
      </c>
      <c r="AS111" s="29">
        <v>0</v>
      </c>
      <c r="AT111" s="91"/>
      <c r="AW111" s="39"/>
      <c r="BA111" s="40"/>
    </row>
    <row r="112" spans="1:53" s="29" customFormat="1" x14ac:dyDescent="0.15">
      <c r="A112" s="29">
        <v>2006</v>
      </c>
      <c r="B112" s="295"/>
      <c r="C112" s="411" t="s">
        <v>303</v>
      </c>
      <c r="D112" s="411"/>
      <c r="E112" s="29">
        <v>47</v>
      </c>
      <c r="G112" s="66">
        <v>12</v>
      </c>
      <c r="H112" s="29">
        <v>1</v>
      </c>
      <c r="J112" s="73">
        <v>15</v>
      </c>
      <c r="K112" s="47">
        <f>G112/$J112*100</f>
        <v>80</v>
      </c>
      <c r="L112" s="47">
        <f>H112/$J112*100</f>
        <v>6.666666666666667</v>
      </c>
      <c r="M112" s="47">
        <f>I112/$J112*100</f>
        <v>0</v>
      </c>
      <c r="N112" s="68">
        <f>K112+L112+M112</f>
        <v>86.666666666666671</v>
      </c>
      <c r="O112" s="46">
        <v>49.9</v>
      </c>
      <c r="P112" s="47">
        <v>6.5</v>
      </c>
      <c r="Q112" s="47"/>
      <c r="R112" s="48">
        <f>O112+P112+Q112</f>
        <v>56.4</v>
      </c>
      <c r="S112" s="29">
        <v>3</v>
      </c>
      <c r="T112" s="286"/>
      <c r="U112" s="295"/>
      <c r="V112" s="38" t="s">
        <v>509</v>
      </c>
      <c r="W112" s="29" t="s">
        <v>74</v>
      </c>
      <c r="X112" s="29" t="s">
        <v>11</v>
      </c>
      <c r="Y112" s="39">
        <v>28.9</v>
      </c>
      <c r="Z112" s="38" t="s">
        <v>514</v>
      </c>
      <c r="AA112" s="29" t="s">
        <v>27</v>
      </c>
      <c r="AB112" s="29" t="s">
        <v>11</v>
      </c>
      <c r="AC112" s="29">
        <v>16.100000000000001</v>
      </c>
      <c r="AD112" s="38" t="s">
        <v>510</v>
      </c>
      <c r="AE112" s="29" t="s">
        <v>294</v>
      </c>
      <c r="AF112" s="29" t="s">
        <v>11</v>
      </c>
      <c r="AG112" s="39">
        <v>4.9000000000000004</v>
      </c>
      <c r="AH112" s="38" t="s">
        <v>550</v>
      </c>
      <c r="AI112" s="29" t="s">
        <v>85</v>
      </c>
      <c r="AJ112" s="29" t="s">
        <v>18</v>
      </c>
      <c r="AK112" s="29">
        <v>6.5</v>
      </c>
      <c r="AL112" s="38" t="s">
        <v>802</v>
      </c>
      <c r="AM112" s="29" t="s">
        <v>327</v>
      </c>
      <c r="AN112" s="29" t="s">
        <v>12</v>
      </c>
      <c r="AO112" s="39">
        <v>0</v>
      </c>
      <c r="AP112" s="38" t="s">
        <v>505</v>
      </c>
      <c r="AQ112" s="29" t="s">
        <v>87</v>
      </c>
      <c r="AR112" s="29" t="s">
        <v>18</v>
      </c>
      <c r="AS112" s="29">
        <v>0</v>
      </c>
      <c r="AT112" s="91"/>
      <c r="AW112" s="39"/>
      <c r="BA112" s="40"/>
    </row>
    <row r="113" spans="1:53" s="29" customFormat="1" x14ac:dyDescent="0.15">
      <c r="A113" s="29">
        <v>2006</v>
      </c>
      <c r="B113" s="303">
        <v>38765</v>
      </c>
      <c r="C113" s="411" t="s">
        <v>303</v>
      </c>
      <c r="D113" s="411"/>
      <c r="E113" s="29">
        <v>21</v>
      </c>
      <c r="F113" s="84">
        <v>0</v>
      </c>
      <c r="G113" s="66">
        <v>11</v>
      </c>
      <c r="H113" s="29">
        <v>1</v>
      </c>
      <c r="J113" s="73">
        <v>14</v>
      </c>
      <c r="K113" s="47">
        <f t="shared" si="8"/>
        <v>78.571428571428569</v>
      </c>
      <c r="L113" s="47">
        <f t="shared" si="9"/>
        <v>7.1428571428571423</v>
      </c>
      <c r="M113" s="47">
        <f t="shared" si="10"/>
        <v>0</v>
      </c>
      <c r="N113" s="68">
        <f t="shared" si="6"/>
        <v>85.714285714285708</v>
      </c>
      <c r="O113" s="46">
        <v>49.9</v>
      </c>
      <c r="P113" s="47">
        <v>6.5</v>
      </c>
      <c r="Q113" s="47"/>
      <c r="R113" s="48">
        <f t="shared" si="7"/>
        <v>56.4</v>
      </c>
      <c r="S113" s="29">
        <v>3</v>
      </c>
      <c r="T113" s="286"/>
      <c r="U113" s="295"/>
      <c r="V113" s="38" t="s">
        <v>509</v>
      </c>
      <c r="W113" s="29" t="s">
        <v>74</v>
      </c>
      <c r="X113" s="29" t="s">
        <v>11</v>
      </c>
      <c r="Y113" s="39">
        <v>28.9</v>
      </c>
      <c r="Z113" s="38" t="s">
        <v>514</v>
      </c>
      <c r="AA113" s="29" t="s">
        <v>27</v>
      </c>
      <c r="AB113" s="29" t="s">
        <v>11</v>
      </c>
      <c r="AC113" s="29">
        <v>16.100000000000001</v>
      </c>
      <c r="AD113" s="38" t="s">
        <v>510</v>
      </c>
      <c r="AE113" s="29" t="s">
        <v>294</v>
      </c>
      <c r="AF113" s="29" t="s">
        <v>11</v>
      </c>
      <c r="AG113" s="39">
        <v>4.9000000000000004</v>
      </c>
      <c r="AH113" s="38" t="s">
        <v>550</v>
      </c>
      <c r="AI113" s="29" t="s">
        <v>85</v>
      </c>
      <c r="AJ113" s="29" t="s">
        <v>18</v>
      </c>
      <c r="AK113" s="29">
        <v>6.5</v>
      </c>
      <c r="AL113" s="38" t="s">
        <v>802</v>
      </c>
      <c r="AM113" s="29" t="s">
        <v>327</v>
      </c>
      <c r="AN113" s="29" t="s">
        <v>12</v>
      </c>
      <c r="AO113" s="39">
        <v>0</v>
      </c>
      <c r="AP113" s="38" t="s">
        <v>505</v>
      </c>
      <c r="AQ113" s="29" t="s">
        <v>87</v>
      </c>
      <c r="AR113" s="29" t="s">
        <v>18</v>
      </c>
      <c r="AS113" s="29">
        <v>0</v>
      </c>
      <c r="AT113" s="91"/>
      <c r="AW113" s="39"/>
      <c r="BA113" s="40"/>
    </row>
    <row r="114" spans="1:53" s="29" customFormat="1" x14ac:dyDescent="0.15">
      <c r="A114" s="29">
        <v>2006</v>
      </c>
      <c r="B114" s="303">
        <v>38786</v>
      </c>
      <c r="C114" s="411" t="s">
        <v>303</v>
      </c>
      <c r="D114" s="411"/>
      <c r="E114" s="29">
        <v>68</v>
      </c>
      <c r="F114" s="84">
        <v>0</v>
      </c>
      <c r="G114" s="66">
        <v>10</v>
      </c>
      <c r="H114" s="29">
        <v>1</v>
      </c>
      <c r="J114" s="73">
        <v>13</v>
      </c>
      <c r="K114" s="47">
        <f>G114/$J114*100</f>
        <v>76.923076923076934</v>
      </c>
      <c r="L114" s="47">
        <f>H114/$J114*100</f>
        <v>7.6923076923076925</v>
      </c>
      <c r="M114" s="47">
        <f>I114/$J114*100</f>
        <v>0</v>
      </c>
      <c r="N114" s="68">
        <f>K114+L114+M114</f>
        <v>84.615384615384627</v>
      </c>
      <c r="O114" s="46">
        <v>49.9</v>
      </c>
      <c r="P114" s="47">
        <v>6.5</v>
      </c>
      <c r="Q114" s="47"/>
      <c r="R114" s="48">
        <f>O114+P114+Q114</f>
        <v>56.4</v>
      </c>
      <c r="S114" s="29">
        <v>3</v>
      </c>
      <c r="T114" s="286"/>
      <c r="U114" s="295"/>
      <c r="V114" s="38" t="s">
        <v>509</v>
      </c>
      <c r="W114" s="29" t="s">
        <v>74</v>
      </c>
      <c r="X114" s="29" t="s">
        <v>11</v>
      </c>
      <c r="Y114" s="39">
        <v>28.9</v>
      </c>
      <c r="Z114" s="38" t="s">
        <v>514</v>
      </c>
      <c r="AA114" s="29" t="s">
        <v>27</v>
      </c>
      <c r="AB114" s="29" t="s">
        <v>11</v>
      </c>
      <c r="AC114" s="29">
        <v>16.100000000000001</v>
      </c>
      <c r="AD114" s="38" t="s">
        <v>510</v>
      </c>
      <c r="AE114" s="29" t="s">
        <v>294</v>
      </c>
      <c r="AF114" s="29" t="s">
        <v>11</v>
      </c>
      <c r="AG114" s="39">
        <v>4.9000000000000004</v>
      </c>
      <c r="AH114" s="38" t="s">
        <v>550</v>
      </c>
      <c r="AI114" s="29" t="s">
        <v>85</v>
      </c>
      <c r="AJ114" s="29" t="s">
        <v>18</v>
      </c>
      <c r="AK114" s="29">
        <v>6.5</v>
      </c>
      <c r="AL114" s="38" t="s">
        <v>802</v>
      </c>
      <c r="AM114" s="29" t="s">
        <v>327</v>
      </c>
      <c r="AN114" s="29" t="s">
        <v>12</v>
      </c>
      <c r="AO114" s="39">
        <v>0</v>
      </c>
      <c r="AP114" s="38" t="s">
        <v>505</v>
      </c>
      <c r="AQ114" s="29" t="s">
        <v>87</v>
      </c>
      <c r="AR114" s="29" t="s">
        <v>18</v>
      </c>
      <c r="AS114" s="29">
        <v>0</v>
      </c>
      <c r="AT114" s="91"/>
      <c r="AW114" s="39"/>
      <c r="BA114" s="40"/>
    </row>
    <row r="115" spans="1:53" s="171" customFormat="1" x14ac:dyDescent="0.15">
      <c r="A115" s="171">
        <v>2006</v>
      </c>
      <c r="B115" s="283">
        <v>38854</v>
      </c>
      <c r="C115" s="410" t="s">
        <v>803</v>
      </c>
      <c r="D115" s="410"/>
      <c r="E115" s="171">
        <f>365-E113-E112-E114</f>
        <v>229</v>
      </c>
      <c r="F115" s="171">
        <v>1</v>
      </c>
      <c r="G115" s="233"/>
      <c r="H115" s="171">
        <v>1</v>
      </c>
      <c r="I115" s="171">
        <v>23</v>
      </c>
      <c r="J115" s="241">
        <v>27</v>
      </c>
      <c r="K115" s="214">
        <f t="shared" si="8"/>
        <v>0</v>
      </c>
      <c r="L115" s="214">
        <f t="shared" si="9"/>
        <v>3.7037037037037033</v>
      </c>
      <c r="M115" s="214">
        <f t="shared" si="10"/>
        <v>85.18518518518519</v>
      </c>
      <c r="N115" s="235">
        <f t="shared" si="6"/>
        <v>88.8888888888889</v>
      </c>
      <c r="O115" s="213"/>
      <c r="P115" s="214">
        <v>1.6</v>
      </c>
      <c r="Q115" s="214">
        <v>49.4</v>
      </c>
      <c r="R115" s="215">
        <f t="shared" si="7"/>
        <v>51</v>
      </c>
      <c r="S115" s="171">
        <v>2</v>
      </c>
      <c r="T115" s="285">
        <v>38816</v>
      </c>
      <c r="U115" s="283">
        <v>38854</v>
      </c>
      <c r="V115" s="178" t="s">
        <v>800</v>
      </c>
      <c r="W115" s="171" t="s">
        <v>304</v>
      </c>
      <c r="X115" s="171" t="s">
        <v>12</v>
      </c>
      <c r="Y115" s="179">
        <v>34.9</v>
      </c>
      <c r="Z115" s="178" t="s">
        <v>518</v>
      </c>
      <c r="AA115" s="171" t="s">
        <v>305</v>
      </c>
      <c r="AB115" s="171" t="s">
        <v>12</v>
      </c>
      <c r="AC115" s="179">
        <v>6.5</v>
      </c>
      <c r="AD115" s="171" t="s">
        <v>801</v>
      </c>
      <c r="AE115" s="171" t="s">
        <v>96</v>
      </c>
      <c r="AF115" s="171" t="s">
        <v>12</v>
      </c>
      <c r="AG115" s="171">
        <v>2.9</v>
      </c>
      <c r="AH115" s="178" t="s">
        <v>570</v>
      </c>
      <c r="AI115" s="171" t="s">
        <v>306</v>
      </c>
      <c r="AJ115" s="171" t="s">
        <v>12</v>
      </c>
      <c r="AK115" s="171">
        <v>2.7</v>
      </c>
      <c r="AL115" s="178" t="s">
        <v>298</v>
      </c>
      <c r="AM115" s="171" t="s">
        <v>216</v>
      </c>
      <c r="AN115" s="171" t="s">
        <v>12</v>
      </c>
      <c r="AO115" s="179">
        <v>2.4</v>
      </c>
      <c r="AP115" s="178" t="s">
        <v>517</v>
      </c>
      <c r="AQ115" s="171" t="s">
        <v>327</v>
      </c>
      <c r="AR115" s="171" t="s">
        <v>18</v>
      </c>
      <c r="AS115" s="171">
        <v>1.6</v>
      </c>
      <c r="AT115" s="251"/>
      <c r="AW115" s="179"/>
      <c r="BA115" s="180"/>
    </row>
    <row r="116" spans="1:53" s="171" customFormat="1" x14ac:dyDescent="0.15">
      <c r="A116" s="171">
        <v>2007</v>
      </c>
      <c r="B116" s="283"/>
      <c r="C116" s="410" t="s">
        <v>803</v>
      </c>
      <c r="D116" s="410"/>
      <c r="E116" s="171">
        <v>0</v>
      </c>
      <c r="G116" s="233"/>
      <c r="H116" s="171">
        <v>1</v>
      </c>
      <c r="I116" s="171">
        <v>23</v>
      </c>
      <c r="J116" s="241">
        <v>27</v>
      </c>
      <c r="K116" s="214">
        <f t="shared" si="8"/>
        <v>0</v>
      </c>
      <c r="L116" s="214">
        <f t="shared" si="9"/>
        <v>3.7037037037037033</v>
      </c>
      <c r="M116" s="214">
        <f t="shared" si="10"/>
        <v>85.18518518518519</v>
      </c>
      <c r="N116" s="235">
        <f t="shared" si="6"/>
        <v>88.8888888888889</v>
      </c>
      <c r="O116" s="213"/>
      <c r="P116" s="214">
        <v>1.6</v>
      </c>
      <c r="Q116" s="214">
        <v>49.4</v>
      </c>
      <c r="R116" s="215">
        <f t="shared" si="7"/>
        <v>51</v>
      </c>
      <c r="S116" s="171">
        <v>2</v>
      </c>
      <c r="T116" s="285"/>
      <c r="U116" s="283"/>
      <c r="V116" s="178" t="s">
        <v>800</v>
      </c>
      <c r="W116" s="171" t="s">
        <v>304</v>
      </c>
      <c r="X116" s="171" t="s">
        <v>12</v>
      </c>
      <c r="Y116" s="179">
        <v>34.9</v>
      </c>
      <c r="Z116" s="178" t="s">
        <v>518</v>
      </c>
      <c r="AA116" s="171" t="s">
        <v>305</v>
      </c>
      <c r="AB116" s="171" t="s">
        <v>12</v>
      </c>
      <c r="AC116" s="179">
        <v>6.5</v>
      </c>
      <c r="AD116" s="171" t="s">
        <v>801</v>
      </c>
      <c r="AE116" s="171" t="s">
        <v>96</v>
      </c>
      <c r="AF116" s="171" t="s">
        <v>12</v>
      </c>
      <c r="AG116" s="171">
        <v>2.9</v>
      </c>
      <c r="AH116" s="178" t="s">
        <v>570</v>
      </c>
      <c r="AI116" s="171" t="s">
        <v>306</v>
      </c>
      <c r="AJ116" s="171" t="s">
        <v>12</v>
      </c>
      <c r="AK116" s="171">
        <v>2.7</v>
      </c>
      <c r="AL116" s="178" t="s">
        <v>298</v>
      </c>
      <c r="AM116" s="171" t="s">
        <v>216</v>
      </c>
      <c r="AN116" s="171" t="s">
        <v>12</v>
      </c>
      <c r="AO116" s="179">
        <v>2.4</v>
      </c>
      <c r="AP116" s="178" t="s">
        <v>517</v>
      </c>
      <c r="AQ116" s="171" t="s">
        <v>327</v>
      </c>
      <c r="AR116" s="171" t="s">
        <v>18</v>
      </c>
      <c r="AS116" s="171">
        <v>1.6</v>
      </c>
      <c r="AT116" s="251"/>
      <c r="AW116" s="179"/>
      <c r="BA116" s="180"/>
    </row>
    <row r="117" spans="1:53" s="171" customFormat="1" x14ac:dyDescent="0.15">
      <c r="A117" s="171">
        <v>2007</v>
      </c>
      <c r="B117" s="283"/>
      <c r="C117" s="410" t="s">
        <v>803</v>
      </c>
      <c r="D117" s="410"/>
      <c r="E117" s="171">
        <v>365</v>
      </c>
      <c r="G117" s="233"/>
      <c r="H117" s="171">
        <v>1</v>
      </c>
      <c r="I117" s="171">
        <v>23</v>
      </c>
      <c r="J117" s="241">
        <v>27</v>
      </c>
      <c r="K117" s="214">
        <f t="shared" si="8"/>
        <v>0</v>
      </c>
      <c r="L117" s="214">
        <f t="shared" si="9"/>
        <v>3.7037037037037033</v>
      </c>
      <c r="M117" s="214">
        <f t="shared" si="10"/>
        <v>85.18518518518519</v>
      </c>
      <c r="N117" s="235">
        <f t="shared" si="6"/>
        <v>88.8888888888889</v>
      </c>
      <c r="O117" s="213"/>
      <c r="P117" s="214">
        <v>1.6</v>
      </c>
      <c r="Q117" s="214">
        <v>49.4</v>
      </c>
      <c r="R117" s="215">
        <f t="shared" si="7"/>
        <v>51</v>
      </c>
      <c r="S117" s="171">
        <v>2</v>
      </c>
      <c r="T117" s="285"/>
      <c r="U117" s="283"/>
      <c r="V117" s="178" t="s">
        <v>800</v>
      </c>
      <c r="W117" s="171" t="s">
        <v>304</v>
      </c>
      <c r="X117" s="171" t="s">
        <v>12</v>
      </c>
      <c r="Y117" s="179">
        <v>34.9</v>
      </c>
      <c r="Z117" s="178" t="s">
        <v>518</v>
      </c>
      <c r="AA117" s="171" t="s">
        <v>305</v>
      </c>
      <c r="AB117" s="171" t="s">
        <v>12</v>
      </c>
      <c r="AC117" s="179">
        <v>6.5</v>
      </c>
      <c r="AD117" s="171" t="s">
        <v>801</v>
      </c>
      <c r="AE117" s="171" t="s">
        <v>96</v>
      </c>
      <c r="AF117" s="171" t="s">
        <v>12</v>
      </c>
      <c r="AG117" s="171">
        <v>2.9</v>
      </c>
      <c r="AH117" s="178" t="s">
        <v>570</v>
      </c>
      <c r="AI117" s="171" t="s">
        <v>306</v>
      </c>
      <c r="AJ117" s="171" t="s">
        <v>12</v>
      </c>
      <c r="AK117" s="171">
        <v>2.7</v>
      </c>
      <c r="AL117" s="178" t="s">
        <v>298</v>
      </c>
      <c r="AM117" s="171" t="s">
        <v>216</v>
      </c>
      <c r="AN117" s="171" t="s">
        <v>12</v>
      </c>
      <c r="AO117" s="179">
        <v>2.4</v>
      </c>
      <c r="AP117" s="178" t="s">
        <v>517</v>
      </c>
      <c r="AQ117" s="171" t="s">
        <v>327</v>
      </c>
      <c r="AR117" s="171" t="s">
        <v>18</v>
      </c>
      <c r="AS117" s="171">
        <v>1.6</v>
      </c>
      <c r="AT117" s="251"/>
      <c r="AW117" s="179"/>
      <c r="BA117" s="180"/>
    </row>
    <row r="118" spans="1:53" s="171" customFormat="1" x14ac:dyDescent="0.15">
      <c r="A118" s="171">
        <v>2008</v>
      </c>
      <c r="B118" s="283"/>
      <c r="C118" s="410" t="s">
        <v>803</v>
      </c>
      <c r="D118" s="410"/>
      <c r="E118" s="171">
        <v>128</v>
      </c>
      <c r="G118" s="233"/>
      <c r="H118" s="171">
        <v>1</v>
      </c>
      <c r="I118" s="171">
        <v>23</v>
      </c>
      <c r="J118" s="241">
        <v>27</v>
      </c>
      <c r="K118" s="214">
        <f t="shared" si="8"/>
        <v>0</v>
      </c>
      <c r="L118" s="214">
        <f t="shared" si="9"/>
        <v>3.7037037037037033</v>
      </c>
      <c r="M118" s="214">
        <f t="shared" si="10"/>
        <v>85.18518518518519</v>
      </c>
      <c r="N118" s="235">
        <f t="shared" si="6"/>
        <v>88.8888888888889</v>
      </c>
      <c r="O118" s="213"/>
      <c r="P118" s="214">
        <v>1.6</v>
      </c>
      <c r="Q118" s="214">
        <v>49.4</v>
      </c>
      <c r="R118" s="215">
        <f t="shared" si="7"/>
        <v>51</v>
      </c>
      <c r="S118" s="171">
        <v>2</v>
      </c>
      <c r="T118" s="285"/>
      <c r="U118" s="283"/>
      <c r="V118" s="178" t="s">
        <v>800</v>
      </c>
      <c r="W118" s="171" t="s">
        <v>304</v>
      </c>
      <c r="X118" s="171" t="s">
        <v>12</v>
      </c>
      <c r="Y118" s="179">
        <v>34.9</v>
      </c>
      <c r="Z118" s="178" t="s">
        <v>518</v>
      </c>
      <c r="AA118" s="171" t="s">
        <v>305</v>
      </c>
      <c r="AB118" s="171" t="s">
        <v>12</v>
      </c>
      <c r="AC118" s="179">
        <v>6.5</v>
      </c>
      <c r="AD118" s="171" t="s">
        <v>801</v>
      </c>
      <c r="AE118" s="171" t="s">
        <v>96</v>
      </c>
      <c r="AF118" s="171" t="s">
        <v>12</v>
      </c>
      <c r="AG118" s="171">
        <v>2.9</v>
      </c>
      <c r="AH118" s="178" t="s">
        <v>570</v>
      </c>
      <c r="AI118" s="171" t="s">
        <v>306</v>
      </c>
      <c r="AJ118" s="171" t="s">
        <v>12</v>
      </c>
      <c r="AK118" s="171">
        <v>2.7</v>
      </c>
      <c r="AL118" s="178" t="s">
        <v>298</v>
      </c>
      <c r="AM118" s="171" t="s">
        <v>216</v>
      </c>
      <c r="AN118" s="171" t="s">
        <v>12</v>
      </c>
      <c r="AO118" s="179">
        <v>2.4</v>
      </c>
      <c r="AP118" s="178" t="s">
        <v>517</v>
      </c>
      <c r="AQ118" s="171" t="s">
        <v>327</v>
      </c>
      <c r="AR118" s="171" t="s">
        <v>18</v>
      </c>
      <c r="AS118" s="171">
        <v>1.6</v>
      </c>
      <c r="AT118" s="251"/>
      <c r="AW118" s="179"/>
      <c r="BA118" s="180"/>
    </row>
    <row r="119" spans="1:53" s="29" customFormat="1" x14ac:dyDescent="0.15">
      <c r="A119" s="29">
        <v>2008</v>
      </c>
      <c r="B119" s="295">
        <v>39576</v>
      </c>
      <c r="C119" s="411" t="s">
        <v>307</v>
      </c>
      <c r="D119" s="411"/>
      <c r="E119" s="29">
        <f>366-E118</f>
        <v>238</v>
      </c>
      <c r="F119" s="29">
        <v>1</v>
      </c>
      <c r="G119" s="66">
        <f>13+4+4</f>
        <v>21</v>
      </c>
      <c r="H119" s="29">
        <v>1</v>
      </c>
      <c r="J119" s="73">
        <v>22</v>
      </c>
      <c r="K119" s="47">
        <f t="shared" si="8"/>
        <v>95.454545454545453</v>
      </c>
      <c r="L119" s="47">
        <f t="shared" si="9"/>
        <v>4.5454545454545459</v>
      </c>
      <c r="M119" s="47">
        <f t="shared" si="10"/>
        <v>0</v>
      </c>
      <c r="N119" s="68">
        <f t="shared" si="6"/>
        <v>100</v>
      </c>
      <c r="O119" s="46">
        <f>43.8+9.5</f>
        <v>53.3</v>
      </c>
      <c r="P119" s="47"/>
      <c r="Q119" s="47"/>
      <c r="R119" s="48">
        <f t="shared" si="7"/>
        <v>53.3</v>
      </c>
      <c r="S119" s="29">
        <v>2</v>
      </c>
      <c r="T119" s="286">
        <v>39551</v>
      </c>
      <c r="U119" s="295">
        <v>39576</v>
      </c>
      <c r="V119" s="38" t="s">
        <v>515</v>
      </c>
      <c r="W119" s="29" t="s">
        <v>78</v>
      </c>
      <c r="X119" s="29" t="s">
        <v>11</v>
      </c>
      <c r="Y119" s="39">
        <v>43.8</v>
      </c>
      <c r="Z119" s="29" t="s">
        <v>510</v>
      </c>
      <c r="AA119" s="29" t="s">
        <v>294</v>
      </c>
      <c r="AB119" s="29" t="s">
        <v>11</v>
      </c>
      <c r="AC119" s="39">
        <v>9.5</v>
      </c>
      <c r="AD119" s="29" t="s">
        <v>516</v>
      </c>
      <c r="AE119" s="29" t="s">
        <v>327</v>
      </c>
      <c r="AF119" s="29" t="s">
        <v>18</v>
      </c>
      <c r="AG119" s="29">
        <v>0</v>
      </c>
      <c r="AH119" s="38"/>
      <c r="AL119" s="38"/>
      <c r="AO119" s="39"/>
      <c r="AP119" s="38"/>
      <c r="AT119" s="91"/>
      <c r="AW119" s="39"/>
      <c r="BA119" s="40"/>
    </row>
    <row r="120" spans="1:53" s="29" customFormat="1" x14ac:dyDescent="0.15">
      <c r="A120" s="29">
        <v>2009</v>
      </c>
      <c r="B120" s="295"/>
      <c r="C120" s="411" t="s">
        <v>307</v>
      </c>
      <c r="D120" s="411"/>
      <c r="E120" s="29">
        <v>127</v>
      </c>
      <c r="G120" s="66">
        <v>21</v>
      </c>
      <c r="H120" s="29">
        <v>1</v>
      </c>
      <c r="J120" s="73">
        <v>22</v>
      </c>
      <c r="K120" s="47">
        <f t="shared" si="8"/>
        <v>95.454545454545453</v>
      </c>
      <c r="L120" s="47">
        <f t="shared" si="9"/>
        <v>4.5454545454545459</v>
      </c>
      <c r="M120" s="47">
        <f t="shared" si="10"/>
        <v>0</v>
      </c>
      <c r="N120" s="68">
        <f t="shared" si="6"/>
        <v>100</v>
      </c>
      <c r="O120" s="46">
        <v>53.3</v>
      </c>
      <c r="P120" s="47"/>
      <c r="Q120" s="47"/>
      <c r="R120" s="48">
        <f t="shared" si="7"/>
        <v>53.3</v>
      </c>
      <c r="S120" s="29">
        <v>2</v>
      </c>
      <c r="T120" s="286"/>
      <c r="U120" s="295"/>
      <c r="V120" s="38" t="s">
        <v>515</v>
      </c>
      <c r="W120" s="29" t="s">
        <v>78</v>
      </c>
      <c r="X120" s="29" t="s">
        <v>11</v>
      </c>
      <c r="Y120" s="39">
        <v>43.8</v>
      </c>
      <c r="Z120" s="29" t="s">
        <v>510</v>
      </c>
      <c r="AA120" s="29" t="s">
        <v>294</v>
      </c>
      <c r="AB120" s="29" t="s">
        <v>11</v>
      </c>
      <c r="AC120" s="39">
        <v>9.5</v>
      </c>
      <c r="AD120" s="29" t="s">
        <v>516</v>
      </c>
      <c r="AE120" s="29" t="s">
        <v>327</v>
      </c>
      <c r="AF120" s="29" t="s">
        <v>18</v>
      </c>
      <c r="AG120" s="29">
        <v>0</v>
      </c>
      <c r="AH120" s="38"/>
      <c r="AL120" s="38"/>
      <c r="AO120" s="39"/>
      <c r="AP120" s="38"/>
      <c r="AT120" s="91"/>
      <c r="AW120" s="39"/>
      <c r="BA120" s="40"/>
    </row>
    <row r="121" spans="1:53" s="29" customFormat="1" x14ac:dyDescent="0.15">
      <c r="A121" s="29">
        <v>2009</v>
      </c>
      <c r="B121" s="303">
        <v>39941</v>
      </c>
      <c r="C121" s="411" t="s">
        <v>307</v>
      </c>
      <c r="D121" s="411"/>
      <c r="E121" s="29">
        <v>220</v>
      </c>
      <c r="F121" s="84">
        <v>0</v>
      </c>
      <c r="G121" s="66">
        <v>23</v>
      </c>
      <c r="J121" s="73">
        <v>23</v>
      </c>
      <c r="K121" s="47">
        <f t="shared" si="8"/>
        <v>100</v>
      </c>
      <c r="L121" s="47">
        <f t="shared" si="9"/>
        <v>0</v>
      </c>
      <c r="M121" s="47">
        <f t="shared" si="10"/>
        <v>0</v>
      </c>
      <c r="N121" s="68">
        <f t="shared" si="6"/>
        <v>100</v>
      </c>
      <c r="O121" s="46">
        <v>53.3</v>
      </c>
      <c r="P121" s="47"/>
      <c r="Q121" s="47"/>
      <c r="R121" s="48">
        <f t="shared" si="7"/>
        <v>53.3</v>
      </c>
      <c r="S121" s="29">
        <v>2</v>
      </c>
      <c r="T121" s="286"/>
      <c r="U121" s="295"/>
      <c r="V121" s="38" t="s">
        <v>515</v>
      </c>
      <c r="W121" s="29" t="s">
        <v>78</v>
      </c>
      <c r="X121" s="29" t="s">
        <v>11</v>
      </c>
      <c r="Y121" s="39">
        <v>43.8</v>
      </c>
      <c r="Z121" s="29" t="s">
        <v>510</v>
      </c>
      <c r="AA121" s="29" t="s">
        <v>294</v>
      </c>
      <c r="AB121" s="29" t="s">
        <v>11</v>
      </c>
      <c r="AC121" s="39">
        <v>9.5</v>
      </c>
      <c r="AD121" s="29" t="s">
        <v>516</v>
      </c>
      <c r="AE121" s="29" t="s">
        <v>327</v>
      </c>
      <c r="AF121" s="29" t="s">
        <v>18</v>
      </c>
      <c r="AG121" s="29">
        <v>0</v>
      </c>
      <c r="AH121" s="38"/>
      <c r="AL121" s="38"/>
      <c r="AO121" s="39"/>
      <c r="AP121" s="38"/>
      <c r="AT121" s="91"/>
      <c r="AW121" s="39"/>
      <c r="BA121" s="40"/>
    </row>
    <row r="122" spans="1:53" s="29" customFormat="1" x14ac:dyDescent="0.15">
      <c r="A122" s="29">
        <v>2009</v>
      </c>
      <c r="B122" s="303">
        <v>40161</v>
      </c>
      <c r="C122" s="411" t="s">
        <v>307</v>
      </c>
      <c r="D122" s="411"/>
      <c r="E122" s="29">
        <f>365-E121-E120</f>
        <v>18</v>
      </c>
      <c r="F122" s="84">
        <v>0</v>
      </c>
      <c r="G122" s="66">
        <v>24</v>
      </c>
      <c r="J122" s="73">
        <v>24</v>
      </c>
      <c r="K122" s="47">
        <f t="shared" si="8"/>
        <v>100</v>
      </c>
      <c r="L122" s="47">
        <f t="shared" si="9"/>
        <v>0</v>
      </c>
      <c r="M122" s="47">
        <f t="shared" si="10"/>
        <v>0</v>
      </c>
      <c r="N122" s="68">
        <f t="shared" si="6"/>
        <v>100</v>
      </c>
      <c r="O122" s="46">
        <v>53.3</v>
      </c>
      <c r="P122" s="47"/>
      <c r="Q122" s="47"/>
      <c r="R122" s="48">
        <f t="shared" si="7"/>
        <v>53.3</v>
      </c>
      <c r="S122" s="29">
        <v>2</v>
      </c>
      <c r="T122" s="286"/>
      <c r="U122" s="295"/>
      <c r="V122" s="38" t="s">
        <v>515</v>
      </c>
      <c r="W122" s="29" t="s">
        <v>78</v>
      </c>
      <c r="X122" s="29" t="s">
        <v>11</v>
      </c>
      <c r="Y122" s="39">
        <v>43.8</v>
      </c>
      <c r="Z122" s="29" t="s">
        <v>510</v>
      </c>
      <c r="AA122" s="29" t="s">
        <v>294</v>
      </c>
      <c r="AB122" s="29" t="s">
        <v>11</v>
      </c>
      <c r="AC122" s="39">
        <v>9.5</v>
      </c>
      <c r="AD122" s="29" t="s">
        <v>516</v>
      </c>
      <c r="AE122" s="29" t="s">
        <v>327</v>
      </c>
      <c r="AF122" s="29" t="s">
        <v>18</v>
      </c>
      <c r="AG122" s="29">
        <v>0</v>
      </c>
      <c r="AH122" s="38"/>
      <c r="AL122" s="38"/>
      <c r="AO122" s="39"/>
      <c r="AP122" s="38"/>
      <c r="AT122" s="91"/>
      <c r="AW122" s="39"/>
      <c r="BA122" s="40"/>
    </row>
    <row r="123" spans="1:53" s="29" customFormat="1" x14ac:dyDescent="0.15">
      <c r="A123" s="29">
        <v>2010</v>
      </c>
      <c r="B123" s="303"/>
      <c r="C123" s="411" t="s">
        <v>307</v>
      </c>
      <c r="D123" s="411"/>
      <c r="E123" s="29">
        <v>168</v>
      </c>
      <c r="F123" s="84"/>
      <c r="G123" s="66">
        <v>24</v>
      </c>
      <c r="J123" s="73">
        <v>24</v>
      </c>
      <c r="K123" s="47">
        <f t="shared" si="8"/>
        <v>100</v>
      </c>
      <c r="L123" s="47">
        <f t="shared" si="9"/>
        <v>0</v>
      </c>
      <c r="M123" s="47">
        <f t="shared" si="10"/>
        <v>0</v>
      </c>
      <c r="N123" s="68">
        <f t="shared" si="6"/>
        <v>100</v>
      </c>
      <c r="O123" s="46">
        <v>53.3</v>
      </c>
      <c r="P123" s="47"/>
      <c r="Q123" s="47"/>
      <c r="R123" s="48">
        <f t="shared" si="7"/>
        <v>53.3</v>
      </c>
      <c r="S123" s="29">
        <v>2</v>
      </c>
      <c r="T123" s="286"/>
      <c r="U123" s="295"/>
      <c r="V123" s="38" t="s">
        <v>515</v>
      </c>
      <c r="W123" s="29" t="s">
        <v>78</v>
      </c>
      <c r="X123" s="29" t="s">
        <v>11</v>
      </c>
      <c r="Y123" s="39">
        <v>43.8</v>
      </c>
      <c r="Z123" s="29" t="s">
        <v>510</v>
      </c>
      <c r="AA123" s="29" t="s">
        <v>294</v>
      </c>
      <c r="AB123" s="29" t="s">
        <v>11</v>
      </c>
      <c r="AC123" s="39">
        <v>9.5</v>
      </c>
      <c r="AD123" s="29" t="s">
        <v>516</v>
      </c>
      <c r="AE123" s="29" t="s">
        <v>327</v>
      </c>
      <c r="AF123" s="29" t="s">
        <v>18</v>
      </c>
      <c r="AG123" s="29">
        <v>0</v>
      </c>
      <c r="AH123" s="38"/>
      <c r="AL123" s="38"/>
      <c r="AO123" s="39"/>
      <c r="AP123" s="38"/>
      <c r="AT123" s="91"/>
      <c r="AW123" s="39"/>
      <c r="BA123" s="40"/>
    </row>
    <row r="124" spans="1:53" s="29" customFormat="1" x14ac:dyDescent="0.15">
      <c r="A124" s="29">
        <v>2010</v>
      </c>
      <c r="B124" s="303">
        <v>40347</v>
      </c>
      <c r="C124" s="411" t="s">
        <v>307</v>
      </c>
      <c r="D124" s="411"/>
      <c r="E124" s="29">
        <v>18</v>
      </c>
      <c r="F124" s="84">
        <v>0</v>
      </c>
      <c r="G124" s="66">
        <v>25</v>
      </c>
      <c r="J124" s="73">
        <v>25</v>
      </c>
      <c r="K124" s="47">
        <f t="shared" si="8"/>
        <v>100</v>
      </c>
      <c r="L124" s="47">
        <f t="shared" si="9"/>
        <v>0</v>
      </c>
      <c r="M124" s="47">
        <f t="shared" si="10"/>
        <v>0</v>
      </c>
      <c r="N124" s="68">
        <f t="shared" si="6"/>
        <v>100</v>
      </c>
      <c r="O124" s="46">
        <v>53.3</v>
      </c>
      <c r="P124" s="47"/>
      <c r="Q124" s="47"/>
      <c r="R124" s="48">
        <f t="shared" si="7"/>
        <v>53.3</v>
      </c>
      <c r="S124" s="29">
        <v>2</v>
      </c>
      <c r="T124" s="286"/>
      <c r="U124" s="295"/>
      <c r="V124" s="38" t="s">
        <v>515</v>
      </c>
      <c r="W124" s="29" t="s">
        <v>78</v>
      </c>
      <c r="X124" s="29" t="s">
        <v>11</v>
      </c>
      <c r="Y124" s="39">
        <v>43.8</v>
      </c>
      <c r="Z124" s="29" t="s">
        <v>510</v>
      </c>
      <c r="AA124" s="29" t="s">
        <v>294</v>
      </c>
      <c r="AB124" s="29" t="s">
        <v>11</v>
      </c>
      <c r="AC124" s="39">
        <v>9.5</v>
      </c>
      <c r="AD124" s="29" t="s">
        <v>516</v>
      </c>
      <c r="AE124" s="29" t="s">
        <v>327</v>
      </c>
      <c r="AF124" s="29" t="s">
        <v>18</v>
      </c>
      <c r="AG124" s="29">
        <v>0</v>
      </c>
      <c r="AH124" s="38"/>
      <c r="AL124" s="38"/>
      <c r="AO124" s="39"/>
      <c r="AP124" s="38"/>
      <c r="AT124" s="91"/>
      <c r="AW124" s="39"/>
      <c r="BA124" s="40"/>
    </row>
    <row r="125" spans="1:53" s="29" customFormat="1" x14ac:dyDescent="0.15">
      <c r="A125" s="29">
        <v>2010</v>
      </c>
      <c r="B125" s="303">
        <v>40365</v>
      </c>
      <c r="C125" s="411" t="s">
        <v>307</v>
      </c>
      <c r="D125" s="411"/>
      <c r="E125" s="29">
        <f>365-E124-E123</f>
        <v>179</v>
      </c>
      <c r="F125" s="84">
        <v>0</v>
      </c>
      <c r="G125" s="66">
        <v>24</v>
      </c>
      <c r="J125" s="73">
        <v>24</v>
      </c>
      <c r="K125" s="47">
        <f t="shared" si="8"/>
        <v>100</v>
      </c>
      <c r="L125" s="47">
        <f t="shared" si="9"/>
        <v>0</v>
      </c>
      <c r="M125" s="47">
        <f t="shared" si="10"/>
        <v>0</v>
      </c>
      <c r="N125" s="68">
        <f t="shared" si="6"/>
        <v>100</v>
      </c>
      <c r="O125" s="46">
        <v>53.3</v>
      </c>
      <c r="P125" s="47"/>
      <c r="Q125" s="47"/>
      <c r="R125" s="48">
        <f t="shared" si="7"/>
        <v>53.3</v>
      </c>
      <c r="S125" s="29">
        <v>2</v>
      </c>
      <c r="T125" s="286"/>
      <c r="U125" s="295"/>
      <c r="V125" s="38" t="s">
        <v>515</v>
      </c>
      <c r="W125" s="29" t="s">
        <v>78</v>
      </c>
      <c r="X125" s="29" t="s">
        <v>11</v>
      </c>
      <c r="Y125" s="39">
        <v>43.8</v>
      </c>
      <c r="Z125" s="29" t="s">
        <v>510</v>
      </c>
      <c r="AA125" s="29" t="s">
        <v>294</v>
      </c>
      <c r="AB125" s="29" t="s">
        <v>11</v>
      </c>
      <c r="AC125" s="39">
        <v>9.5</v>
      </c>
      <c r="AD125" s="29" t="s">
        <v>516</v>
      </c>
      <c r="AE125" s="29" t="s">
        <v>327</v>
      </c>
      <c r="AF125" s="29" t="s">
        <v>18</v>
      </c>
      <c r="AG125" s="29">
        <v>0</v>
      </c>
      <c r="AH125" s="38"/>
      <c r="AL125" s="38"/>
      <c r="AO125" s="39"/>
      <c r="AP125" s="38"/>
      <c r="AT125" s="91"/>
      <c r="AW125" s="39"/>
      <c r="BA125" s="40"/>
    </row>
    <row r="126" spans="1:53" s="29" customFormat="1" x14ac:dyDescent="0.15">
      <c r="A126" s="29">
        <v>2011</v>
      </c>
      <c r="B126" s="303"/>
      <c r="C126" s="411" t="s">
        <v>307</v>
      </c>
      <c r="D126" s="411"/>
      <c r="E126" s="29">
        <v>207</v>
      </c>
      <c r="F126" s="84"/>
      <c r="G126" s="66">
        <v>24</v>
      </c>
      <c r="J126" s="73">
        <v>24</v>
      </c>
      <c r="K126" s="47">
        <f t="shared" si="8"/>
        <v>100</v>
      </c>
      <c r="L126" s="47">
        <f t="shared" si="9"/>
        <v>0</v>
      </c>
      <c r="M126" s="47">
        <f t="shared" si="10"/>
        <v>0</v>
      </c>
      <c r="N126" s="68">
        <f t="shared" si="6"/>
        <v>100</v>
      </c>
      <c r="O126" s="46">
        <v>53.3</v>
      </c>
      <c r="P126" s="47"/>
      <c r="Q126" s="47"/>
      <c r="R126" s="48">
        <f t="shared" si="7"/>
        <v>53.3</v>
      </c>
      <c r="S126" s="29">
        <v>2</v>
      </c>
      <c r="T126" s="286"/>
      <c r="U126" s="295"/>
      <c r="V126" s="38" t="s">
        <v>515</v>
      </c>
      <c r="W126" s="29" t="s">
        <v>78</v>
      </c>
      <c r="X126" s="29" t="s">
        <v>11</v>
      </c>
      <c r="Y126" s="39">
        <v>43.8</v>
      </c>
      <c r="Z126" s="29" t="s">
        <v>510</v>
      </c>
      <c r="AA126" s="29" t="s">
        <v>294</v>
      </c>
      <c r="AB126" s="29" t="s">
        <v>11</v>
      </c>
      <c r="AC126" s="39">
        <v>9.5</v>
      </c>
      <c r="AD126" s="29" t="s">
        <v>516</v>
      </c>
      <c r="AE126" s="29" t="s">
        <v>327</v>
      </c>
      <c r="AF126" s="29" t="s">
        <v>18</v>
      </c>
      <c r="AG126" s="29">
        <v>0</v>
      </c>
      <c r="AH126" s="38"/>
      <c r="AL126" s="38"/>
      <c r="AO126" s="39"/>
      <c r="AP126" s="38"/>
      <c r="AT126" s="91"/>
      <c r="AW126" s="39"/>
      <c r="BA126" s="40"/>
    </row>
    <row r="127" spans="1:53" s="29" customFormat="1" x14ac:dyDescent="0.15">
      <c r="A127" s="29">
        <v>2011</v>
      </c>
      <c r="B127" s="303">
        <v>40751</v>
      </c>
      <c r="C127" s="411" t="s">
        <v>307</v>
      </c>
      <c r="D127" s="411"/>
      <c r="E127" s="29">
        <v>114</v>
      </c>
      <c r="F127" s="84">
        <v>0</v>
      </c>
      <c r="G127" s="66">
        <v>25</v>
      </c>
      <c r="J127" s="73">
        <v>25</v>
      </c>
      <c r="K127" s="47">
        <f t="shared" si="8"/>
        <v>100</v>
      </c>
      <c r="L127" s="47">
        <f t="shared" si="9"/>
        <v>0</v>
      </c>
      <c r="M127" s="47">
        <f t="shared" si="10"/>
        <v>0</v>
      </c>
      <c r="N127" s="68">
        <f t="shared" si="6"/>
        <v>100</v>
      </c>
      <c r="O127" s="46">
        <v>53.3</v>
      </c>
      <c r="P127" s="47"/>
      <c r="Q127" s="47"/>
      <c r="R127" s="48">
        <f t="shared" si="7"/>
        <v>53.3</v>
      </c>
      <c r="S127" s="29">
        <v>2</v>
      </c>
      <c r="T127" s="286"/>
      <c r="U127" s="295"/>
      <c r="V127" s="38" t="s">
        <v>515</v>
      </c>
      <c r="W127" s="29" t="s">
        <v>78</v>
      </c>
      <c r="X127" s="29" t="s">
        <v>11</v>
      </c>
      <c r="Y127" s="39">
        <v>43.8</v>
      </c>
      <c r="Z127" s="29" t="s">
        <v>510</v>
      </c>
      <c r="AA127" s="29" t="s">
        <v>294</v>
      </c>
      <c r="AB127" s="29" t="s">
        <v>11</v>
      </c>
      <c r="AC127" s="39">
        <v>9.5</v>
      </c>
      <c r="AD127" s="29" t="s">
        <v>516</v>
      </c>
      <c r="AE127" s="29" t="s">
        <v>327</v>
      </c>
      <c r="AF127" s="29" t="s">
        <v>18</v>
      </c>
      <c r="AG127" s="29">
        <v>0</v>
      </c>
      <c r="AH127" s="38"/>
      <c r="AL127" s="38"/>
      <c r="AO127" s="39"/>
      <c r="AP127" s="38"/>
      <c r="AT127" s="91"/>
      <c r="AW127" s="39"/>
      <c r="BA127" s="40"/>
    </row>
    <row r="128" spans="1:53" s="171" customFormat="1" x14ac:dyDescent="0.15">
      <c r="A128" s="171">
        <v>2011</v>
      </c>
      <c r="B128" s="283">
        <v>40865</v>
      </c>
      <c r="C128" s="438" t="s">
        <v>308</v>
      </c>
      <c r="D128" s="438"/>
      <c r="E128" s="171">
        <v>44</v>
      </c>
      <c r="F128" s="171">
        <v>2</v>
      </c>
      <c r="G128" s="233">
        <v>0</v>
      </c>
      <c r="H128" s="171">
        <v>0</v>
      </c>
      <c r="I128" s="171">
        <v>0</v>
      </c>
      <c r="J128" s="241">
        <v>19</v>
      </c>
      <c r="K128" s="214">
        <f t="shared" si="8"/>
        <v>0</v>
      </c>
      <c r="L128" s="214">
        <f t="shared" si="9"/>
        <v>0</v>
      </c>
      <c r="M128" s="214">
        <f t="shared" si="10"/>
        <v>0</v>
      </c>
      <c r="N128" s="235">
        <f t="shared" si="6"/>
        <v>0</v>
      </c>
      <c r="O128" s="213">
        <v>0</v>
      </c>
      <c r="P128" s="214">
        <v>0</v>
      </c>
      <c r="Q128" s="214">
        <v>0</v>
      </c>
      <c r="R128" s="215">
        <f t="shared" si="7"/>
        <v>0</v>
      </c>
      <c r="S128" s="171">
        <v>7</v>
      </c>
      <c r="T128" s="285"/>
      <c r="U128" s="283">
        <v>40865</v>
      </c>
      <c r="V128" s="242" t="s">
        <v>798</v>
      </c>
      <c r="Y128" s="179"/>
      <c r="AD128" s="178"/>
      <c r="AG128" s="179"/>
      <c r="AL128" s="178"/>
      <c r="AO128" s="179"/>
      <c r="AP128" s="178"/>
      <c r="AT128" s="251"/>
      <c r="AW128" s="179"/>
      <c r="BA128" s="180"/>
    </row>
    <row r="129" spans="1:53" s="171" customFormat="1" x14ac:dyDescent="0.15">
      <c r="A129" s="171">
        <v>2012</v>
      </c>
      <c r="B129" s="283"/>
      <c r="C129" s="438" t="s">
        <v>308</v>
      </c>
      <c r="D129" s="438"/>
      <c r="E129" s="171">
        <v>0</v>
      </c>
      <c r="G129" s="233">
        <v>0</v>
      </c>
      <c r="H129" s="171">
        <v>0</v>
      </c>
      <c r="I129" s="171">
        <v>0</v>
      </c>
      <c r="J129" s="241">
        <v>19</v>
      </c>
      <c r="K129" s="214">
        <f t="shared" si="8"/>
        <v>0</v>
      </c>
      <c r="L129" s="214">
        <f t="shared" si="9"/>
        <v>0</v>
      </c>
      <c r="M129" s="214">
        <f t="shared" si="10"/>
        <v>0</v>
      </c>
      <c r="N129" s="235">
        <f t="shared" si="6"/>
        <v>0</v>
      </c>
      <c r="O129" s="213">
        <v>0</v>
      </c>
      <c r="P129" s="214">
        <v>0</v>
      </c>
      <c r="Q129" s="214">
        <v>0</v>
      </c>
      <c r="R129" s="215">
        <f t="shared" si="7"/>
        <v>0</v>
      </c>
      <c r="S129" s="171">
        <v>7</v>
      </c>
      <c r="T129" s="285"/>
      <c r="U129" s="283"/>
      <c r="V129" s="242" t="s">
        <v>798</v>
      </c>
      <c r="Y129" s="179"/>
      <c r="AD129" s="178"/>
      <c r="AG129" s="179"/>
      <c r="AL129" s="178"/>
      <c r="AO129" s="179"/>
      <c r="AP129" s="178"/>
      <c r="AT129" s="251"/>
      <c r="AW129" s="179"/>
      <c r="BA129" s="180"/>
    </row>
    <row r="130" spans="1:53" s="171" customFormat="1" x14ac:dyDescent="0.15">
      <c r="A130" s="171">
        <v>2012</v>
      </c>
      <c r="B130" s="283"/>
      <c r="C130" s="438" t="s">
        <v>308</v>
      </c>
      <c r="D130" s="438"/>
      <c r="E130" s="171">
        <v>366</v>
      </c>
      <c r="G130" s="233">
        <v>0</v>
      </c>
      <c r="H130" s="171">
        <v>0</v>
      </c>
      <c r="I130" s="171">
        <v>0</v>
      </c>
      <c r="J130" s="241">
        <v>19</v>
      </c>
      <c r="K130" s="214">
        <f t="shared" ref="K130:K136" si="11">G130/$J130*100</f>
        <v>0</v>
      </c>
      <c r="L130" s="214">
        <f t="shared" si="9"/>
        <v>0</v>
      </c>
      <c r="M130" s="214">
        <f t="shared" si="10"/>
        <v>0</v>
      </c>
      <c r="N130" s="235">
        <f t="shared" si="6"/>
        <v>0</v>
      </c>
      <c r="O130" s="213">
        <v>0</v>
      </c>
      <c r="P130" s="214">
        <v>0</v>
      </c>
      <c r="Q130" s="214">
        <v>0</v>
      </c>
      <c r="R130" s="215">
        <f t="shared" si="7"/>
        <v>0</v>
      </c>
      <c r="S130" s="171">
        <v>7</v>
      </c>
      <c r="T130" s="285"/>
      <c r="U130" s="283"/>
      <c r="V130" s="242" t="s">
        <v>798</v>
      </c>
      <c r="Y130" s="179"/>
      <c r="AD130" s="178"/>
      <c r="AG130" s="179"/>
      <c r="AL130" s="178"/>
      <c r="AO130" s="179"/>
      <c r="AP130" s="178"/>
      <c r="AT130" s="251"/>
      <c r="AW130" s="179"/>
      <c r="BA130" s="180"/>
    </row>
    <row r="131" spans="1:53" s="171" customFormat="1" x14ac:dyDescent="0.15">
      <c r="A131" s="171">
        <v>2013</v>
      </c>
      <c r="B131" s="283"/>
      <c r="C131" s="438" t="s">
        <v>308</v>
      </c>
      <c r="D131" s="438"/>
      <c r="E131" s="171">
        <v>117</v>
      </c>
      <c r="G131" s="233">
        <v>0</v>
      </c>
      <c r="H131" s="171">
        <v>0</v>
      </c>
      <c r="I131" s="171">
        <v>0</v>
      </c>
      <c r="J131" s="241">
        <v>19</v>
      </c>
      <c r="K131" s="214">
        <f t="shared" si="11"/>
        <v>0</v>
      </c>
      <c r="L131" s="214">
        <f t="shared" si="9"/>
        <v>0</v>
      </c>
      <c r="M131" s="214">
        <f t="shared" si="10"/>
        <v>0</v>
      </c>
      <c r="N131" s="235">
        <f t="shared" si="6"/>
        <v>0</v>
      </c>
      <c r="O131" s="213">
        <v>0</v>
      </c>
      <c r="P131" s="214">
        <v>0</v>
      </c>
      <c r="Q131" s="214">
        <v>0</v>
      </c>
      <c r="R131" s="215">
        <f t="shared" si="7"/>
        <v>0</v>
      </c>
      <c r="S131" s="171">
        <v>7</v>
      </c>
      <c r="T131" s="285"/>
      <c r="U131" s="283"/>
      <c r="V131" s="242" t="s">
        <v>798</v>
      </c>
      <c r="Y131" s="179"/>
      <c r="AD131" s="178"/>
      <c r="AG131" s="179"/>
      <c r="AL131" s="178"/>
      <c r="AO131" s="179"/>
      <c r="AP131" s="178"/>
      <c r="AT131" s="251"/>
      <c r="AW131" s="179"/>
      <c r="BA131" s="180"/>
    </row>
    <row r="132" spans="1:53" s="29" customFormat="1" x14ac:dyDescent="0.15">
      <c r="A132" s="29">
        <v>2013</v>
      </c>
      <c r="B132" s="295">
        <v>41392</v>
      </c>
      <c r="C132" s="411" t="s">
        <v>1250</v>
      </c>
      <c r="D132" s="411"/>
      <c r="E132" s="29">
        <v>202</v>
      </c>
      <c r="F132" s="167">
        <v>1</v>
      </c>
      <c r="G132" s="66">
        <v>8</v>
      </c>
      <c r="H132" s="29">
        <v>1</v>
      </c>
      <c r="I132" s="29">
        <v>10</v>
      </c>
      <c r="J132" s="73">
        <v>22</v>
      </c>
      <c r="K132" s="47">
        <f t="shared" si="11"/>
        <v>36.363636363636367</v>
      </c>
      <c r="L132" s="47">
        <f t="shared" si="9"/>
        <v>4.5454545454545459</v>
      </c>
      <c r="M132" s="47">
        <f t="shared" si="10"/>
        <v>45.454545454545453</v>
      </c>
      <c r="N132" s="68">
        <f t="shared" si="6"/>
        <v>86.363636363636374</v>
      </c>
      <c r="O132" s="46">
        <v>21.8</v>
      </c>
      <c r="P132" s="47">
        <v>1.3</v>
      </c>
      <c r="Q132" s="47">
        <v>47.1</v>
      </c>
      <c r="R132" s="48">
        <f t="shared" si="7"/>
        <v>70.2</v>
      </c>
      <c r="S132" s="29">
        <v>3</v>
      </c>
      <c r="T132" s="286">
        <v>41329</v>
      </c>
      <c r="U132" s="295">
        <v>41392</v>
      </c>
      <c r="V132" s="38" t="s">
        <v>555</v>
      </c>
      <c r="W132" s="29" t="s">
        <v>304</v>
      </c>
      <c r="X132" s="29" t="s">
        <v>12</v>
      </c>
      <c r="Y132" s="39">
        <v>47.1</v>
      </c>
      <c r="Z132" s="29" t="s">
        <v>515</v>
      </c>
      <c r="AA132" s="29" t="s">
        <v>78</v>
      </c>
      <c r="AB132" s="29" t="s">
        <v>11</v>
      </c>
      <c r="AC132" s="39">
        <v>15.6</v>
      </c>
      <c r="AD132" s="29" t="s">
        <v>1257</v>
      </c>
      <c r="AE132" s="29" t="s">
        <v>892</v>
      </c>
      <c r="AF132" s="29" t="s">
        <v>11</v>
      </c>
      <c r="AG132" s="29">
        <v>6.2</v>
      </c>
      <c r="AH132" s="38" t="s">
        <v>571</v>
      </c>
      <c r="AI132" s="29" t="s">
        <v>327</v>
      </c>
      <c r="AJ132" s="29" t="s">
        <v>18</v>
      </c>
      <c r="AK132" s="29">
        <v>1.3</v>
      </c>
      <c r="AL132" s="38" t="s">
        <v>1256</v>
      </c>
      <c r="AM132" s="29" t="s">
        <v>327</v>
      </c>
      <c r="AN132" s="29" t="s">
        <v>11</v>
      </c>
      <c r="AO132" s="39">
        <v>0</v>
      </c>
      <c r="AP132" s="38"/>
      <c r="AT132" s="91"/>
      <c r="AW132" s="39"/>
      <c r="BA132" s="40"/>
    </row>
    <row r="133" spans="1:53" s="29" customFormat="1" x14ac:dyDescent="0.15">
      <c r="A133" s="29">
        <v>2013</v>
      </c>
      <c r="B133" s="303">
        <v>41594</v>
      </c>
      <c r="C133" s="411" t="s">
        <v>1250</v>
      </c>
      <c r="D133" s="411"/>
      <c r="E133" s="29">
        <v>46</v>
      </c>
      <c r="F133" s="84">
        <v>0</v>
      </c>
      <c r="G133" s="66">
        <v>3</v>
      </c>
      <c r="H133" s="29">
        <v>6</v>
      </c>
      <c r="I133" s="29">
        <v>10</v>
      </c>
      <c r="J133" s="73">
        <v>22</v>
      </c>
      <c r="K133" s="47">
        <f t="shared" si="11"/>
        <v>13.636363636363635</v>
      </c>
      <c r="L133" s="47">
        <f t="shared" si="9"/>
        <v>27.27272727272727</v>
      </c>
      <c r="M133" s="47">
        <f t="shared" si="10"/>
        <v>45.454545454545453</v>
      </c>
      <c r="N133" s="68">
        <f t="shared" si="6"/>
        <v>86.36363636363636</v>
      </c>
      <c r="O133" s="46">
        <v>6.2</v>
      </c>
      <c r="P133" s="47">
        <v>5.9</v>
      </c>
      <c r="Q133" s="47">
        <v>47.1</v>
      </c>
      <c r="R133" s="48">
        <f t="shared" si="7"/>
        <v>59.2</v>
      </c>
      <c r="S133" s="29">
        <v>3</v>
      </c>
      <c r="T133" s="286"/>
      <c r="U133" s="295"/>
      <c r="V133" s="38" t="s">
        <v>555</v>
      </c>
      <c r="W133" s="29" t="s">
        <v>304</v>
      </c>
      <c r="X133" s="29" t="s">
        <v>12</v>
      </c>
      <c r="Y133" s="39">
        <v>47.1</v>
      </c>
      <c r="Z133" s="29" t="s">
        <v>1257</v>
      </c>
      <c r="AA133" s="29" t="s">
        <v>892</v>
      </c>
      <c r="AB133" s="29" t="s">
        <v>11</v>
      </c>
      <c r="AC133" s="29">
        <v>6.2</v>
      </c>
      <c r="AD133" s="38" t="s">
        <v>571</v>
      </c>
      <c r="AE133" s="29" t="s">
        <v>327</v>
      </c>
      <c r="AF133" s="29" t="s">
        <v>18</v>
      </c>
      <c r="AG133" s="29">
        <v>1.3</v>
      </c>
      <c r="AH133" s="38" t="s">
        <v>1256</v>
      </c>
      <c r="AI133" s="29" t="s">
        <v>327</v>
      </c>
      <c r="AJ133" s="29" t="s">
        <v>11</v>
      </c>
      <c r="AK133" s="39">
        <v>0</v>
      </c>
      <c r="AL133" s="38" t="s">
        <v>1295</v>
      </c>
      <c r="AM133" s="29" t="s">
        <v>327</v>
      </c>
      <c r="AN133" s="29" t="s">
        <v>18</v>
      </c>
      <c r="AO133" s="39">
        <v>4.5999999999999996</v>
      </c>
      <c r="AP133" s="38"/>
      <c r="AS133" s="39"/>
      <c r="AT133" s="91"/>
      <c r="AW133" s="39"/>
      <c r="BA133" s="40"/>
    </row>
    <row r="134" spans="1:53" s="29" customFormat="1" x14ac:dyDescent="0.15">
      <c r="A134" s="29">
        <v>2014</v>
      </c>
      <c r="B134" s="295"/>
      <c r="C134" s="411" t="s">
        <v>1250</v>
      </c>
      <c r="D134" s="411"/>
      <c r="E134" s="29">
        <v>26</v>
      </c>
      <c r="G134" s="66">
        <v>3</v>
      </c>
      <c r="H134" s="29">
        <v>6</v>
      </c>
      <c r="I134" s="29">
        <v>10</v>
      </c>
      <c r="J134" s="73">
        <v>22</v>
      </c>
      <c r="K134" s="47">
        <f t="shared" si="11"/>
        <v>13.636363636363635</v>
      </c>
      <c r="L134" s="47">
        <f t="shared" ref="L134:M136" si="12">H134/$J134*100</f>
        <v>27.27272727272727</v>
      </c>
      <c r="M134" s="47">
        <f t="shared" si="12"/>
        <v>45.454545454545453</v>
      </c>
      <c r="N134" s="68">
        <f>K134+L134+M134</f>
        <v>86.36363636363636</v>
      </c>
      <c r="O134" s="46">
        <v>6.2</v>
      </c>
      <c r="P134" s="47">
        <v>5.9</v>
      </c>
      <c r="Q134" s="47">
        <v>47.1</v>
      </c>
      <c r="R134" s="48">
        <f t="shared" si="7"/>
        <v>59.2</v>
      </c>
      <c r="S134" s="29">
        <v>3</v>
      </c>
      <c r="T134" s="286"/>
      <c r="U134" s="295"/>
      <c r="V134" s="38" t="s">
        <v>555</v>
      </c>
      <c r="W134" s="29" t="s">
        <v>304</v>
      </c>
      <c r="X134" s="29" t="s">
        <v>12</v>
      </c>
      <c r="Y134" s="39">
        <v>47.1</v>
      </c>
      <c r="Z134" s="29" t="s">
        <v>1257</v>
      </c>
      <c r="AA134" s="29" t="s">
        <v>892</v>
      </c>
      <c r="AB134" s="29" t="s">
        <v>11</v>
      </c>
      <c r="AC134" s="29">
        <v>6.2</v>
      </c>
      <c r="AD134" s="38" t="s">
        <v>571</v>
      </c>
      <c r="AE134" s="29" t="s">
        <v>327</v>
      </c>
      <c r="AF134" s="29" t="s">
        <v>18</v>
      </c>
      <c r="AG134" s="29">
        <v>1.3</v>
      </c>
      <c r="AH134" s="38" t="s">
        <v>1256</v>
      </c>
      <c r="AI134" s="29" t="s">
        <v>327</v>
      </c>
      <c r="AJ134" s="29" t="s">
        <v>11</v>
      </c>
      <c r="AK134" s="39">
        <v>0</v>
      </c>
      <c r="AL134" s="38" t="s">
        <v>1295</v>
      </c>
      <c r="AM134" s="29" t="s">
        <v>327</v>
      </c>
      <c r="AN134" s="29" t="s">
        <v>18</v>
      </c>
      <c r="AO134" s="39">
        <v>4.5999999999999996</v>
      </c>
      <c r="AP134" s="38"/>
      <c r="AT134" s="91"/>
      <c r="AW134" s="39"/>
      <c r="BA134" s="40"/>
    </row>
    <row r="135" spans="1:53" s="29" customFormat="1" x14ac:dyDescent="0.15">
      <c r="A135" s="29">
        <v>2014</v>
      </c>
      <c r="B135" s="303">
        <v>41666</v>
      </c>
      <c r="C135" s="411" t="s">
        <v>1250</v>
      </c>
      <c r="D135" s="411"/>
      <c r="E135" s="29">
        <v>26</v>
      </c>
      <c r="F135" s="84">
        <v>0</v>
      </c>
      <c r="G135" s="66">
        <v>3</v>
      </c>
      <c r="H135" s="29">
        <v>5</v>
      </c>
      <c r="I135" s="29">
        <v>10</v>
      </c>
      <c r="J135" s="73">
        <v>21</v>
      </c>
      <c r="K135" s="47">
        <f t="shared" si="11"/>
        <v>14.285714285714285</v>
      </c>
      <c r="L135" s="47">
        <f t="shared" si="12"/>
        <v>23.809523809523807</v>
      </c>
      <c r="M135" s="47">
        <f t="shared" si="12"/>
        <v>47.619047619047613</v>
      </c>
      <c r="N135" s="68">
        <f>K135+L135+M135</f>
        <v>85.714285714285694</v>
      </c>
      <c r="O135" s="46">
        <v>6.2</v>
      </c>
      <c r="P135" s="47">
        <v>5.9</v>
      </c>
      <c r="Q135" s="47">
        <v>47.1</v>
      </c>
      <c r="R135" s="48">
        <f t="shared" si="7"/>
        <v>59.2</v>
      </c>
      <c r="S135" s="29">
        <v>3</v>
      </c>
      <c r="T135" s="286"/>
      <c r="U135" s="295"/>
      <c r="V135" s="38" t="s">
        <v>555</v>
      </c>
      <c r="W135" s="29" t="s">
        <v>304</v>
      </c>
      <c r="X135" s="29" t="s">
        <v>12</v>
      </c>
      <c r="Y135" s="39">
        <v>47.1</v>
      </c>
      <c r="Z135" s="29" t="s">
        <v>1257</v>
      </c>
      <c r="AA135" s="29" t="s">
        <v>892</v>
      </c>
      <c r="AB135" s="29" t="s">
        <v>11</v>
      </c>
      <c r="AC135" s="29">
        <v>6.2</v>
      </c>
      <c r="AD135" s="38" t="s">
        <v>571</v>
      </c>
      <c r="AE135" s="29" t="s">
        <v>327</v>
      </c>
      <c r="AF135" s="29" t="s">
        <v>18</v>
      </c>
      <c r="AG135" s="29">
        <v>1.3</v>
      </c>
      <c r="AH135" s="38" t="s">
        <v>1256</v>
      </c>
      <c r="AI135" s="29" t="s">
        <v>327</v>
      </c>
      <c r="AJ135" s="29" t="s">
        <v>11</v>
      </c>
      <c r="AK135" s="39">
        <v>0</v>
      </c>
      <c r="AL135" s="38" t="s">
        <v>1295</v>
      </c>
      <c r="AM135" s="29" t="s">
        <v>327</v>
      </c>
      <c r="AN135" s="29" t="s">
        <v>18</v>
      </c>
      <c r="AO135" s="39">
        <v>4.5999999999999996</v>
      </c>
      <c r="AP135" s="38"/>
      <c r="AT135" s="91"/>
      <c r="AW135" s="39"/>
      <c r="BA135" s="40"/>
    </row>
    <row r="136" spans="1:53" s="171" customFormat="1" x14ac:dyDescent="0.15">
      <c r="A136" s="171">
        <v>2014</v>
      </c>
      <c r="B136" s="283">
        <v>41692</v>
      </c>
      <c r="C136" s="410" t="s">
        <v>1289</v>
      </c>
      <c r="D136" s="410"/>
      <c r="E136" s="171">
        <v>313</v>
      </c>
      <c r="F136" s="171">
        <v>2</v>
      </c>
      <c r="G136" s="233">
        <v>1</v>
      </c>
      <c r="H136" s="171">
        <v>4</v>
      </c>
      <c r="I136" s="171">
        <v>11</v>
      </c>
      <c r="J136" s="241">
        <v>17</v>
      </c>
      <c r="K136" s="214">
        <f t="shared" si="11"/>
        <v>5.8823529411764701</v>
      </c>
      <c r="L136" s="214">
        <f t="shared" si="12"/>
        <v>23.52941176470588</v>
      </c>
      <c r="M136" s="214">
        <f t="shared" si="12"/>
        <v>64.705882352941174</v>
      </c>
      <c r="N136" s="235">
        <f>K136+L136+M136</f>
        <v>94.117647058823522</v>
      </c>
      <c r="O136" s="213">
        <v>4.3</v>
      </c>
      <c r="P136" s="214">
        <v>4.5999999999999996</v>
      </c>
      <c r="Q136" s="214">
        <v>47.3</v>
      </c>
      <c r="R136" s="215">
        <f t="shared" si="7"/>
        <v>56.199999999999996</v>
      </c>
      <c r="S136" s="171">
        <v>3</v>
      </c>
      <c r="T136" s="285"/>
      <c r="U136" s="283">
        <v>41692</v>
      </c>
      <c r="V136" s="178" t="s">
        <v>555</v>
      </c>
      <c r="W136" s="171" t="s">
        <v>304</v>
      </c>
      <c r="X136" s="171" t="s">
        <v>12</v>
      </c>
      <c r="Y136" s="179">
        <v>47.3</v>
      </c>
      <c r="Z136" s="178" t="s">
        <v>1296</v>
      </c>
      <c r="AA136" s="171" t="s">
        <v>327</v>
      </c>
      <c r="AB136" s="171" t="s">
        <v>18</v>
      </c>
      <c r="AC136" s="179">
        <v>4.5999999999999996</v>
      </c>
      <c r="AD136" s="178" t="s">
        <v>1257</v>
      </c>
      <c r="AE136" s="171" t="s">
        <v>892</v>
      </c>
      <c r="AF136" s="171" t="s">
        <v>11</v>
      </c>
      <c r="AG136" s="171">
        <v>4.3</v>
      </c>
      <c r="AH136" s="178"/>
      <c r="AL136" s="178"/>
      <c r="AO136" s="179"/>
      <c r="AP136" s="178"/>
      <c r="AT136" s="251"/>
      <c r="AW136" s="179"/>
      <c r="BA136" s="180"/>
    </row>
    <row r="137" spans="1:53" s="171" customFormat="1" x14ac:dyDescent="0.15">
      <c r="A137" s="171">
        <v>2015</v>
      </c>
      <c r="B137" s="305"/>
      <c r="C137" s="410" t="s">
        <v>1289</v>
      </c>
      <c r="D137" s="410"/>
      <c r="E137" s="171">
        <v>28</v>
      </c>
      <c r="G137" s="233">
        <v>1</v>
      </c>
      <c r="H137" s="171">
        <v>4</v>
      </c>
      <c r="I137" s="171">
        <v>11</v>
      </c>
      <c r="J137" s="241">
        <v>17</v>
      </c>
      <c r="K137" s="214">
        <f t="shared" ref="K137:K140" si="13">G137/$J137*100</f>
        <v>5.8823529411764701</v>
      </c>
      <c r="L137" s="214">
        <f t="shared" ref="L137:L140" si="14">H137/$J137*100</f>
        <v>23.52941176470588</v>
      </c>
      <c r="M137" s="214">
        <f t="shared" ref="M137:M140" si="15">I137/$J137*100</f>
        <v>64.705882352941174</v>
      </c>
      <c r="N137" s="235">
        <f t="shared" ref="N137:N140" si="16">K137+L137+M137</f>
        <v>94.117647058823522</v>
      </c>
      <c r="O137" s="213">
        <v>4.3</v>
      </c>
      <c r="P137" s="214">
        <v>4.5999999999999996</v>
      </c>
      <c r="Q137" s="214">
        <v>47.3</v>
      </c>
      <c r="R137" s="215">
        <f t="shared" ref="R137:R138" si="17">O137+P137+Q137</f>
        <v>56.199999999999996</v>
      </c>
      <c r="S137" s="171">
        <v>3</v>
      </c>
      <c r="T137" s="285"/>
      <c r="U137" s="283"/>
      <c r="V137" s="178" t="s">
        <v>555</v>
      </c>
      <c r="W137" s="171" t="s">
        <v>304</v>
      </c>
      <c r="X137" s="171" t="s">
        <v>12</v>
      </c>
      <c r="Y137" s="179">
        <v>47.3</v>
      </c>
      <c r="Z137" s="178" t="s">
        <v>1296</v>
      </c>
      <c r="AA137" s="171" t="s">
        <v>327</v>
      </c>
      <c r="AB137" s="171" t="s">
        <v>18</v>
      </c>
      <c r="AC137" s="179">
        <v>4.5999999999999996</v>
      </c>
      <c r="AD137" s="178" t="s">
        <v>1257</v>
      </c>
      <c r="AE137" s="171" t="s">
        <v>892</v>
      </c>
      <c r="AF137" s="171" t="s">
        <v>11</v>
      </c>
      <c r="AG137" s="171">
        <v>4.3</v>
      </c>
      <c r="AH137" s="178"/>
      <c r="AL137" s="178"/>
      <c r="AO137" s="179"/>
      <c r="AP137" s="178"/>
      <c r="AT137" s="251"/>
      <c r="AW137" s="179"/>
      <c r="BA137" s="180"/>
    </row>
    <row r="138" spans="1:53" s="171" customFormat="1" x14ac:dyDescent="0.15">
      <c r="A138" s="171">
        <v>2015</v>
      </c>
      <c r="B138" s="305">
        <v>42033</v>
      </c>
      <c r="C138" s="410" t="s">
        <v>1289</v>
      </c>
      <c r="D138" s="410"/>
      <c r="E138" s="171">
        <v>8</v>
      </c>
      <c r="F138" s="244">
        <v>0</v>
      </c>
      <c r="G138" s="233">
        <v>1</v>
      </c>
      <c r="H138" s="171">
        <v>5</v>
      </c>
      <c r="I138" s="171">
        <v>10</v>
      </c>
      <c r="J138" s="241">
        <v>17</v>
      </c>
      <c r="K138" s="214">
        <f t="shared" si="13"/>
        <v>5.8823529411764701</v>
      </c>
      <c r="L138" s="214">
        <f t="shared" si="14"/>
        <v>29.411764705882355</v>
      </c>
      <c r="M138" s="214">
        <f t="shared" si="15"/>
        <v>58.82352941176471</v>
      </c>
      <c r="N138" s="235">
        <f t="shared" si="16"/>
        <v>94.117647058823536</v>
      </c>
      <c r="O138" s="213">
        <v>4.3</v>
      </c>
      <c r="P138" s="214">
        <v>4.5999999999999996</v>
      </c>
      <c r="Q138" s="214">
        <v>47.3</v>
      </c>
      <c r="R138" s="215">
        <f t="shared" si="17"/>
        <v>56.199999999999996</v>
      </c>
      <c r="S138" s="171">
        <v>3</v>
      </c>
      <c r="T138" s="285"/>
      <c r="U138" s="283"/>
      <c r="V138" s="178" t="s">
        <v>555</v>
      </c>
      <c r="W138" s="171" t="s">
        <v>304</v>
      </c>
      <c r="X138" s="171" t="s">
        <v>12</v>
      </c>
      <c r="Y138" s="179">
        <v>47.3</v>
      </c>
      <c r="Z138" s="178" t="s">
        <v>1296</v>
      </c>
      <c r="AA138" s="171" t="s">
        <v>327</v>
      </c>
      <c r="AB138" s="171" t="s">
        <v>18</v>
      </c>
      <c r="AC138" s="179">
        <v>4.5999999999999996</v>
      </c>
      <c r="AD138" s="178" t="s">
        <v>1257</v>
      </c>
      <c r="AE138" s="171" t="s">
        <v>892</v>
      </c>
      <c r="AF138" s="171" t="s">
        <v>11</v>
      </c>
      <c r="AG138" s="171">
        <v>4.3</v>
      </c>
      <c r="AH138" s="178"/>
      <c r="AL138" s="178"/>
      <c r="AO138" s="179"/>
      <c r="AP138" s="178"/>
      <c r="AT138" s="251"/>
      <c r="AW138" s="179"/>
      <c r="BA138" s="180"/>
    </row>
    <row r="139" spans="1:53" s="171" customFormat="1" x14ac:dyDescent="0.15">
      <c r="A139" s="171">
        <v>2015</v>
      </c>
      <c r="B139" s="305">
        <v>42041</v>
      </c>
      <c r="C139" s="410" t="s">
        <v>1289</v>
      </c>
      <c r="D139" s="410"/>
      <c r="E139" s="171">
        <v>55</v>
      </c>
      <c r="F139" s="244">
        <v>0</v>
      </c>
      <c r="G139" s="233"/>
      <c r="H139" s="171">
        <v>5</v>
      </c>
      <c r="I139" s="171">
        <v>11</v>
      </c>
      <c r="J139" s="241">
        <v>17</v>
      </c>
      <c r="K139" s="214">
        <f t="shared" si="13"/>
        <v>0</v>
      </c>
      <c r="L139" s="214">
        <f t="shared" si="14"/>
        <v>29.411764705882355</v>
      </c>
      <c r="M139" s="214">
        <f t="shared" si="15"/>
        <v>64.705882352941174</v>
      </c>
      <c r="N139" s="235">
        <f t="shared" si="16"/>
        <v>94.117647058823536</v>
      </c>
      <c r="O139" s="213"/>
      <c r="P139" s="214">
        <v>4.5999999999999996</v>
      </c>
      <c r="Q139" s="214">
        <v>47.3</v>
      </c>
      <c r="R139" s="215">
        <f t="shared" ref="R139:R142" si="18">O139+P139+Q139</f>
        <v>51.9</v>
      </c>
      <c r="S139" s="171">
        <v>2</v>
      </c>
      <c r="T139" s="285"/>
      <c r="U139" s="283"/>
      <c r="V139" s="178" t="s">
        <v>555</v>
      </c>
      <c r="W139" s="171" t="s">
        <v>304</v>
      </c>
      <c r="X139" s="171" t="s">
        <v>12</v>
      </c>
      <c r="Y139" s="179">
        <v>47.3</v>
      </c>
      <c r="Z139" s="178" t="s">
        <v>1296</v>
      </c>
      <c r="AA139" s="171" t="s">
        <v>327</v>
      </c>
      <c r="AB139" s="171" t="s">
        <v>18</v>
      </c>
      <c r="AC139" s="179">
        <v>4.5999999999999996</v>
      </c>
      <c r="AD139" s="178"/>
      <c r="AG139" s="179"/>
      <c r="AH139" s="178"/>
      <c r="AL139" s="178"/>
      <c r="AO139" s="179"/>
      <c r="AP139" s="178"/>
      <c r="AT139" s="251"/>
      <c r="AW139" s="179"/>
      <c r="BA139" s="180"/>
    </row>
    <row r="140" spans="1:53" s="171" customFormat="1" x14ac:dyDescent="0.15">
      <c r="A140" s="171">
        <v>2015</v>
      </c>
      <c r="B140" s="305">
        <v>42096</v>
      </c>
      <c r="C140" s="410" t="s">
        <v>1289</v>
      </c>
      <c r="D140" s="410"/>
      <c r="E140" s="171">
        <v>274</v>
      </c>
      <c r="F140" s="244">
        <v>0</v>
      </c>
      <c r="G140" s="233"/>
      <c r="H140" s="171">
        <v>4</v>
      </c>
      <c r="I140" s="171">
        <v>12</v>
      </c>
      <c r="J140" s="241">
        <v>17</v>
      </c>
      <c r="K140" s="214">
        <f t="shared" si="13"/>
        <v>0</v>
      </c>
      <c r="L140" s="214">
        <f t="shared" si="14"/>
        <v>23.52941176470588</v>
      </c>
      <c r="M140" s="214">
        <f t="shared" si="15"/>
        <v>70.588235294117652</v>
      </c>
      <c r="N140" s="235">
        <f t="shared" si="16"/>
        <v>94.117647058823536</v>
      </c>
      <c r="O140" s="213"/>
      <c r="P140" s="214">
        <v>4.5999999999999996</v>
      </c>
      <c r="Q140" s="214">
        <v>47.3</v>
      </c>
      <c r="R140" s="215">
        <f t="shared" si="18"/>
        <v>51.9</v>
      </c>
      <c r="S140" s="171">
        <v>2</v>
      </c>
      <c r="T140" s="285"/>
      <c r="U140" s="283"/>
      <c r="V140" s="178" t="s">
        <v>555</v>
      </c>
      <c r="W140" s="171" t="s">
        <v>304</v>
      </c>
      <c r="X140" s="171" t="s">
        <v>12</v>
      </c>
      <c r="Y140" s="179">
        <v>47.3</v>
      </c>
      <c r="Z140" s="178" t="s">
        <v>1296</v>
      </c>
      <c r="AA140" s="171" t="s">
        <v>327</v>
      </c>
      <c r="AB140" s="171" t="s">
        <v>18</v>
      </c>
      <c r="AC140" s="179">
        <v>4.5999999999999996</v>
      </c>
      <c r="AD140" s="178"/>
      <c r="AG140" s="179"/>
      <c r="AH140" s="178"/>
      <c r="AL140" s="178"/>
      <c r="AO140" s="179"/>
      <c r="AP140" s="178"/>
      <c r="AT140" s="251"/>
      <c r="AW140" s="179"/>
      <c r="BA140" s="180"/>
    </row>
    <row r="141" spans="1:53" s="171" customFormat="1" x14ac:dyDescent="0.15">
      <c r="A141" s="171">
        <v>2016</v>
      </c>
      <c r="B141" s="305"/>
      <c r="C141" s="410" t="s">
        <v>1289</v>
      </c>
      <c r="D141" s="410"/>
      <c r="E141" s="171">
        <v>95</v>
      </c>
      <c r="F141" s="244"/>
      <c r="G141" s="233"/>
      <c r="H141" s="171">
        <v>4</v>
      </c>
      <c r="I141" s="171">
        <v>12</v>
      </c>
      <c r="J141" s="241">
        <v>17</v>
      </c>
      <c r="K141" s="214">
        <f t="shared" ref="K141" si="19">G141/$J141*100</f>
        <v>0</v>
      </c>
      <c r="L141" s="214">
        <f t="shared" ref="L141" si="20">H141/$J141*100</f>
        <v>23.52941176470588</v>
      </c>
      <c r="M141" s="214">
        <f t="shared" ref="M141" si="21">I141/$J141*100</f>
        <v>70.588235294117652</v>
      </c>
      <c r="N141" s="235">
        <f t="shared" ref="N141" si="22">K141+L141+M141</f>
        <v>94.117647058823536</v>
      </c>
      <c r="O141" s="213"/>
      <c r="P141" s="214">
        <v>4.5999999999999996</v>
      </c>
      <c r="Q141" s="214">
        <v>47.3</v>
      </c>
      <c r="R141" s="215">
        <f t="shared" si="18"/>
        <v>51.9</v>
      </c>
      <c r="S141" s="171">
        <v>2</v>
      </c>
      <c r="T141" s="285"/>
      <c r="U141" s="283"/>
      <c r="V141" s="178" t="s">
        <v>555</v>
      </c>
      <c r="W141" s="171" t="s">
        <v>304</v>
      </c>
      <c r="X141" s="171" t="s">
        <v>12</v>
      </c>
      <c r="Y141" s="179">
        <v>47.3</v>
      </c>
      <c r="Z141" s="178" t="s">
        <v>1296</v>
      </c>
      <c r="AA141" s="171" t="s">
        <v>327</v>
      </c>
      <c r="AB141" s="171" t="s">
        <v>18</v>
      </c>
      <c r="AC141" s="179">
        <v>4.5999999999999996</v>
      </c>
      <c r="AD141" s="178"/>
      <c r="AG141" s="179"/>
      <c r="AH141" s="178"/>
      <c r="AL141" s="178"/>
      <c r="AO141" s="179"/>
      <c r="AP141" s="178"/>
      <c r="AT141" s="251"/>
      <c r="AW141" s="179"/>
      <c r="BA141" s="180"/>
    </row>
    <row r="142" spans="1:53" s="171" customFormat="1" x14ac:dyDescent="0.15">
      <c r="A142" s="171">
        <v>2016</v>
      </c>
      <c r="B142" s="305">
        <v>42465</v>
      </c>
      <c r="C142" s="410" t="s">
        <v>1289</v>
      </c>
      <c r="D142" s="410"/>
      <c r="E142" s="171">
        <v>251</v>
      </c>
      <c r="F142" s="244">
        <v>0</v>
      </c>
      <c r="G142" s="233"/>
      <c r="H142" s="171">
        <v>3</v>
      </c>
      <c r="I142" s="171">
        <v>12</v>
      </c>
      <c r="J142" s="241">
        <v>16</v>
      </c>
      <c r="K142" s="214">
        <f t="shared" ref="K142" si="23">G142/$J142*100</f>
        <v>0</v>
      </c>
      <c r="L142" s="214">
        <f t="shared" ref="L142" si="24">H142/$J142*100</f>
        <v>18.75</v>
      </c>
      <c r="M142" s="214">
        <f t="shared" ref="M142" si="25">I142/$J142*100</f>
        <v>75</v>
      </c>
      <c r="N142" s="235">
        <f t="shared" ref="N142" si="26">K142+L142+M142</f>
        <v>93.75</v>
      </c>
      <c r="O142" s="213"/>
      <c r="P142" s="214">
        <v>4.5999999999999996</v>
      </c>
      <c r="Q142" s="214">
        <v>47.3</v>
      </c>
      <c r="R142" s="215">
        <f t="shared" si="18"/>
        <v>51.9</v>
      </c>
      <c r="S142" s="171">
        <v>2</v>
      </c>
      <c r="T142" s="285"/>
      <c r="U142" s="283"/>
      <c r="V142" s="178" t="s">
        <v>555</v>
      </c>
      <c r="W142" s="171" t="s">
        <v>304</v>
      </c>
      <c r="X142" s="171" t="s">
        <v>12</v>
      </c>
      <c r="Y142" s="179">
        <v>47.3</v>
      </c>
      <c r="Z142" s="178" t="s">
        <v>1296</v>
      </c>
      <c r="AA142" s="171" t="s">
        <v>327</v>
      </c>
      <c r="AB142" s="171" t="s">
        <v>18</v>
      </c>
      <c r="AC142" s="179">
        <v>4.5999999999999996</v>
      </c>
      <c r="AD142" s="178"/>
      <c r="AG142" s="179"/>
      <c r="AH142" s="178"/>
      <c r="AL142" s="178"/>
      <c r="AO142" s="179"/>
      <c r="AP142" s="178"/>
      <c r="AT142" s="251"/>
      <c r="AW142" s="179"/>
      <c r="BA142" s="180"/>
    </row>
    <row r="143" spans="1:53" s="29" customFormat="1" x14ac:dyDescent="0.15">
      <c r="A143" s="29">
        <v>2016</v>
      </c>
      <c r="B143" s="295">
        <v>42716</v>
      </c>
      <c r="C143" s="411" t="s">
        <v>1343</v>
      </c>
      <c r="D143" s="411"/>
      <c r="E143" s="29">
        <v>20</v>
      </c>
      <c r="F143" s="29">
        <v>2</v>
      </c>
      <c r="G143" s="66"/>
      <c r="H143" s="29">
        <v>4</v>
      </c>
      <c r="I143" s="29">
        <v>13</v>
      </c>
      <c r="J143" s="73">
        <v>19</v>
      </c>
      <c r="K143" s="47">
        <f>G143/$J143*100</f>
        <v>0</v>
      </c>
      <c r="L143" s="47">
        <f>H143/$J143*100</f>
        <v>21.052631578947366</v>
      </c>
      <c r="M143" s="47">
        <f>I143/$J143*100</f>
        <v>68.421052631578945</v>
      </c>
      <c r="N143" s="68">
        <f>K143+L143+M143</f>
        <v>89.473684210526315</v>
      </c>
      <c r="O143" s="46"/>
      <c r="P143" s="47">
        <v>4.0999999999999996</v>
      </c>
      <c r="Q143" s="47">
        <v>48.1</v>
      </c>
      <c r="R143" s="48">
        <f t="shared" ref="R143:R151" si="27">O143+P143+Q143</f>
        <v>52.2</v>
      </c>
      <c r="S143" s="29">
        <v>2</v>
      </c>
      <c r="T143" s="286"/>
      <c r="U143" s="295">
        <v>42716</v>
      </c>
      <c r="V143" s="38" t="s">
        <v>555</v>
      </c>
      <c r="W143" s="29" t="s">
        <v>304</v>
      </c>
      <c r="X143" s="29" t="s">
        <v>12</v>
      </c>
      <c r="Y143" s="39">
        <v>48.1</v>
      </c>
      <c r="Z143" s="38" t="s">
        <v>1295</v>
      </c>
      <c r="AA143" s="29" t="s">
        <v>327</v>
      </c>
      <c r="AB143" s="29" t="s">
        <v>18</v>
      </c>
      <c r="AC143" s="39">
        <v>4.0999999999999996</v>
      </c>
      <c r="AD143" s="38"/>
      <c r="AG143" s="39"/>
      <c r="AH143" s="38"/>
      <c r="AL143" s="38"/>
      <c r="AO143" s="39"/>
      <c r="AP143" s="38"/>
      <c r="AT143" s="91"/>
      <c r="AW143" s="39"/>
      <c r="BA143" s="40"/>
    </row>
    <row r="144" spans="1:53" s="29" customFormat="1" x14ac:dyDescent="0.15">
      <c r="A144" s="29">
        <v>2017</v>
      </c>
      <c r="B144" s="295"/>
      <c r="C144" s="411" t="s">
        <v>1343</v>
      </c>
      <c r="D144" s="411"/>
      <c r="E144" s="29">
        <v>209</v>
      </c>
      <c r="G144" s="66"/>
      <c r="H144" s="29">
        <v>4</v>
      </c>
      <c r="I144" s="29">
        <v>13</v>
      </c>
      <c r="J144" s="73">
        <v>19</v>
      </c>
      <c r="K144" s="47">
        <f t="shared" ref="K144:K146" si="28">G144/$J144*100</f>
        <v>0</v>
      </c>
      <c r="L144" s="47">
        <f t="shared" ref="L144:L146" si="29">H144/$J144*100</f>
        <v>21.052631578947366</v>
      </c>
      <c r="M144" s="47">
        <f t="shared" ref="M144:M146" si="30">I144/$J144*100</f>
        <v>68.421052631578945</v>
      </c>
      <c r="N144" s="68">
        <f t="shared" ref="N144:N146" si="31">K144+L144+M144</f>
        <v>89.473684210526315</v>
      </c>
      <c r="O144" s="46"/>
      <c r="P144" s="47">
        <v>4.0999999999999996</v>
      </c>
      <c r="Q144" s="47">
        <v>48.1</v>
      </c>
      <c r="R144" s="48">
        <f t="shared" si="27"/>
        <v>52.2</v>
      </c>
      <c r="S144" s="29">
        <v>2</v>
      </c>
      <c r="T144" s="286"/>
      <c r="U144" s="295"/>
      <c r="V144" s="38" t="s">
        <v>555</v>
      </c>
      <c r="W144" s="29" t="s">
        <v>304</v>
      </c>
      <c r="X144" s="29" t="s">
        <v>12</v>
      </c>
      <c r="Y144" s="39">
        <v>48.1</v>
      </c>
      <c r="Z144" s="38" t="s">
        <v>1295</v>
      </c>
      <c r="AA144" s="29" t="s">
        <v>327</v>
      </c>
      <c r="AB144" s="29" t="s">
        <v>18</v>
      </c>
      <c r="AC144" s="39">
        <v>4.0999999999999996</v>
      </c>
      <c r="AD144" s="38"/>
      <c r="AG144" s="39"/>
      <c r="AH144" s="38"/>
      <c r="AL144" s="38"/>
      <c r="AO144" s="39"/>
      <c r="AP144" s="38"/>
      <c r="AT144" s="91"/>
      <c r="AW144" s="39"/>
      <c r="BA144" s="40"/>
    </row>
    <row r="145" spans="1:53" s="29" customFormat="1" x14ac:dyDescent="0.15">
      <c r="A145" s="29">
        <v>2017</v>
      </c>
      <c r="B145" s="303">
        <v>42945</v>
      </c>
      <c r="C145" s="411" t="s">
        <v>1343</v>
      </c>
      <c r="D145" s="411"/>
      <c r="E145" s="29">
        <v>156</v>
      </c>
      <c r="F145" s="84">
        <v>0</v>
      </c>
      <c r="G145" s="66"/>
      <c r="H145" s="29">
        <v>3</v>
      </c>
      <c r="I145" s="29">
        <v>14</v>
      </c>
      <c r="J145" s="73">
        <v>19</v>
      </c>
      <c r="K145" s="47">
        <f t="shared" si="28"/>
        <v>0</v>
      </c>
      <c r="L145" s="47">
        <f t="shared" si="29"/>
        <v>15.789473684210526</v>
      </c>
      <c r="M145" s="47">
        <f t="shared" si="30"/>
        <v>73.68421052631578</v>
      </c>
      <c r="N145" s="68">
        <f t="shared" si="31"/>
        <v>89.473684210526301</v>
      </c>
      <c r="O145" s="46"/>
      <c r="P145" s="47">
        <v>4.0999999999999996</v>
      </c>
      <c r="Q145" s="47">
        <v>48.1</v>
      </c>
      <c r="R145" s="48">
        <f t="shared" si="27"/>
        <v>52.2</v>
      </c>
      <c r="S145" s="29">
        <v>2</v>
      </c>
      <c r="T145" s="286"/>
      <c r="U145" s="295"/>
      <c r="V145" s="38" t="s">
        <v>555</v>
      </c>
      <c r="W145" s="29" t="s">
        <v>304</v>
      </c>
      <c r="X145" s="29" t="s">
        <v>12</v>
      </c>
      <c r="Y145" s="39">
        <v>48.1</v>
      </c>
      <c r="Z145" s="38" t="s">
        <v>1295</v>
      </c>
      <c r="AA145" s="29" t="s">
        <v>327</v>
      </c>
      <c r="AB145" s="29" t="s">
        <v>18</v>
      </c>
      <c r="AC145" s="39">
        <v>4.0999999999999996</v>
      </c>
      <c r="AD145" s="38"/>
      <c r="AG145" s="39"/>
      <c r="AH145" s="38"/>
      <c r="AL145" s="38"/>
      <c r="AO145" s="39"/>
      <c r="AP145" s="38"/>
      <c r="AT145" s="91"/>
      <c r="AW145" s="39"/>
      <c r="BA145" s="40"/>
    </row>
    <row r="146" spans="1:53" s="29" customFormat="1" x14ac:dyDescent="0.15">
      <c r="A146" s="29">
        <v>2018</v>
      </c>
      <c r="B146" s="303"/>
      <c r="C146" s="411" t="s">
        <v>1343</v>
      </c>
      <c r="D146" s="411"/>
      <c r="E146" s="29">
        <v>151</v>
      </c>
      <c r="F146" s="84"/>
      <c r="G146" s="66"/>
      <c r="H146" s="29">
        <v>3</v>
      </c>
      <c r="I146" s="29">
        <v>14</v>
      </c>
      <c r="J146" s="73">
        <v>19</v>
      </c>
      <c r="K146" s="47">
        <f t="shared" si="28"/>
        <v>0</v>
      </c>
      <c r="L146" s="47">
        <f t="shared" si="29"/>
        <v>15.789473684210526</v>
      </c>
      <c r="M146" s="47">
        <f t="shared" si="30"/>
        <v>73.68421052631578</v>
      </c>
      <c r="N146" s="68">
        <f t="shared" si="31"/>
        <v>89.473684210526301</v>
      </c>
      <c r="O146" s="46"/>
      <c r="P146" s="47">
        <v>4.0999999999999996</v>
      </c>
      <c r="Q146" s="47">
        <v>48.1</v>
      </c>
      <c r="R146" s="48">
        <f t="shared" si="27"/>
        <v>52.2</v>
      </c>
      <c r="S146" s="29">
        <v>2</v>
      </c>
      <c r="T146" s="286"/>
      <c r="U146" s="295"/>
      <c r="V146" s="38" t="s">
        <v>555</v>
      </c>
      <c r="W146" s="29" t="s">
        <v>304</v>
      </c>
      <c r="X146" s="29" t="s">
        <v>12</v>
      </c>
      <c r="Y146" s="39">
        <v>48.1</v>
      </c>
      <c r="Z146" s="38" t="s">
        <v>1295</v>
      </c>
      <c r="AA146" s="29" t="s">
        <v>327</v>
      </c>
      <c r="AB146" s="29" t="s">
        <v>18</v>
      </c>
      <c r="AC146" s="39">
        <v>4.0999999999999996</v>
      </c>
      <c r="AD146" s="38"/>
      <c r="AG146" s="39"/>
      <c r="AH146" s="38"/>
      <c r="AL146" s="38"/>
      <c r="AO146" s="39"/>
      <c r="AP146" s="38"/>
      <c r="AT146" s="91"/>
      <c r="AW146" s="39"/>
      <c r="BA146" s="40"/>
    </row>
    <row r="147" spans="1:53" s="171" customFormat="1" x14ac:dyDescent="0.15">
      <c r="A147" s="171">
        <v>2018</v>
      </c>
      <c r="B147" s="283">
        <v>43252</v>
      </c>
      <c r="C147" s="410" t="s">
        <v>1395</v>
      </c>
      <c r="D147" s="410"/>
      <c r="E147" s="171">
        <v>214</v>
      </c>
      <c r="F147" s="171">
        <v>1</v>
      </c>
      <c r="G147" s="233">
        <v>5</v>
      </c>
      <c r="H147" s="171">
        <v>8</v>
      </c>
      <c r="J147" s="241">
        <v>19</v>
      </c>
      <c r="K147" s="214">
        <f t="shared" ref="K147:L153" si="32">G147/$J147*100</f>
        <v>26.315789473684209</v>
      </c>
      <c r="L147" s="214">
        <f t="shared" si="32"/>
        <v>42.105263157894733</v>
      </c>
      <c r="M147" s="214">
        <f t="shared" ref="M147" si="33">I147/$J147*100</f>
        <v>0</v>
      </c>
      <c r="N147" s="235">
        <f t="shared" ref="N147" si="34">K147+L147+M147</f>
        <v>68.421052631578945</v>
      </c>
      <c r="O147" s="213">
        <v>19.600000000000001</v>
      </c>
      <c r="P147" s="214">
        <v>35.9</v>
      </c>
      <c r="Q147" s="214"/>
      <c r="R147" s="215">
        <f t="shared" si="27"/>
        <v>55.5</v>
      </c>
      <c r="S147" s="171">
        <v>2</v>
      </c>
      <c r="T147" s="285">
        <v>43252</v>
      </c>
      <c r="U147" s="283">
        <v>43163</v>
      </c>
      <c r="V147" s="178" t="s">
        <v>1396</v>
      </c>
      <c r="W147" s="171" t="s">
        <v>1397</v>
      </c>
      <c r="X147" s="171" t="s">
        <v>18</v>
      </c>
      <c r="Y147" s="179">
        <v>35.9</v>
      </c>
      <c r="Z147" s="178" t="s">
        <v>1398</v>
      </c>
      <c r="AA147" s="171" t="s">
        <v>294</v>
      </c>
      <c r="AB147" s="171" t="s">
        <v>11</v>
      </c>
      <c r="AC147" s="179">
        <v>19.600000000000001</v>
      </c>
      <c r="AD147" s="178"/>
      <c r="AH147" s="178"/>
      <c r="AL147" s="178"/>
      <c r="AO147" s="179"/>
      <c r="AP147" s="178"/>
      <c r="AT147" s="251"/>
      <c r="AW147" s="179"/>
      <c r="BA147" s="180"/>
    </row>
    <row r="148" spans="1:53" s="171" customFormat="1" x14ac:dyDescent="0.15">
      <c r="A148" s="171">
        <v>2019</v>
      </c>
      <c r="B148" s="283"/>
      <c r="C148" s="410" t="s">
        <v>1395</v>
      </c>
      <c r="D148" s="410"/>
      <c r="E148" s="171">
        <v>66</v>
      </c>
      <c r="G148" s="233">
        <v>5</v>
      </c>
      <c r="H148" s="171">
        <v>8</v>
      </c>
      <c r="J148" s="241">
        <v>19</v>
      </c>
      <c r="K148" s="214">
        <f t="shared" si="32"/>
        <v>26.315789473684209</v>
      </c>
      <c r="L148" s="214">
        <f t="shared" si="32"/>
        <v>42.105263157894733</v>
      </c>
      <c r="M148" s="214">
        <f t="shared" ref="M148" si="35">I148/$J148*100</f>
        <v>0</v>
      </c>
      <c r="N148" s="235">
        <f t="shared" ref="N148" si="36">K148+L148+M148</f>
        <v>68.421052631578945</v>
      </c>
      <c r="O148" s="213">
        <v>19.600000000000001</v>
      </c>
      <c r="P148" s="214">
        <v>35.9</v>
      </c>
      <c r="Q148" s="214"/>
      <c r="R148" s="215">
        <f t="shared" si="27"/>
        <v>55.5</v>
      </c>
      <c r="S148" s="171">
        <v>2</v>
      </c>
      <c r="T148" s="285"/>
      <c r="U148" s="283"/>
      <c r="V148" s="178" t="s">
        <v>1396</v>
      </c>
      <c r="W148" s="171" t="s">
        <v>1397</v>
      </c>
      <c r="X148" s="171" t="s">
        <v>18</v>
      </c>
      <c r="Y148" s="179">
        <v>35.9</v>
      </c>
      <c r="Z148" s="178" t="s">
        <v>1398</v>
      </c>
      <c r="AA148" s="171" t="s">
        <v>294</v>
      </c>
      <c r="AB148" s="171" t="s">
        <v>11</v>
      </c>
      <c r="AC148" s="179">
        <v>19.600000000000001</v>
      </c>
      <c r="AD148" s="178"/>
      <c r="AH148" s="178"/>
      <c r="AL148" s="178"/>
      <c r="AO148" s="179"/>
      <c r="AP148" s="178"/>
      <c r="AT148" s="251"/>
      <c r="AW148" s="179"/>
      <c r="BA148" s="180"/>
    </row>
    <row r="149" spans="1:53" s="171" customFormat="1" x14ac:dyDescent="0.15">
      <c r="A149" s="171">
        <v>2019</v>
      </c>
      <c r="B149" s="305">
        <v>43532</v>
      </c>
      <c r="C149" s="410" t="s">
        <v>1395</v>
      </c>
      <c r="D149" s="410"/>
      <c r="E149" s="171">
        <v>181</v>
      </c>
      <c r="F149" s="244">
        <v>0</v>
      </c>
      <c r="G149" s="233">
        <v>6</v>
      </c>
      <c r="H149" s="171">
        <v>8</v>
      </c>
      <c r="J149" s="241">
        <v>19</v>
      </c>
      <c r="K149" s="214">
        <f t="shared" si="32"/>
        <v>31.578947368421051</v>
      </c>
      <c r="L149" s="214">
        <f t="shared" si="32"/>
        <v>42.105263157894733</v>
      </c>
      <c r="M149" s="214">
        <f t="shared" ref="M149" si="37">I149/$J149*100</f>
        <v>0</v>
      </c>
      <c r="N149" s="235">
        <f t="shared" ref="N149" si="38">K149+L149+M149</f>
        <v>73.68421052631578</v>
      </c>
      <c r="O149" s="213">
        <v>19.600000000000001</v>
      </c>
      <c r="P149" s="214">
        <v>35.9</v>
      </c>
      <c r="Q149" s="214"/>
      <c r="R149" s="215">
        <f t="shared" si="27"/>
        <v>55.5</v>
      </c>
      <c r="S149" s="171">
        <v>2</v>
      </c>
      <c r="T149" s="285"/>
      <c r="U149" s="283"/>
      <c r="V149" s="178" t="s">
        <v>1396</v>
      </c>
      <c r="W149" s="171" t="s">
        <v>1397</v>
      </c>
      <c r="X149" s="171" t="s">
        <v>18</v>
      </c>
      <c r="Y149" s="179">
        <v>35.9</v>
      </c>
      <c r="Z149" s="178" t="s">
        <v>1398</v>
      </c>
      <c r="AA149" s="171" t="s">
        <v>294</v>
      </c>
      <c r="AB149" s="171" t="s">
        <v>11</v>
      </c>
      <c r="AC149" s="179">
        <v>19.600000000000001</v>
      </c>
      <c r="AD149" s="178"/>
      <c r="AH149" s="178"/>
      <c r="AL149" s="178"/>
      <c r="AO149" s="179"/>
      <c r="AP149" s="178"/>
      <c r="AT149" s="251"/>
      <c r="AW149" s="179"/>
      <c r="BA149" s="180"/>
    </row>
    <row r="150" spans="1:53" s="29" customFormat="1" x14ac:dyDescent="0.15">
      <c r="A150" s="29">
        <v>2019</v>
      </c>
      <c r="B150" s="295">
        <v>43713</v>
      </c>
      <c r="C150" s="411" t="s">
        <v>1416</v>
      </c>
      <c r="D150" s="411"/>
      <c r="E150" s="29">
        <v>117</v>
      </c>
      <c r="F150" s="1">
        <v>4</v>
      </c>
      <c r="G150" s="66"/>
      <c r="H150" s="29">
        <v>10</v>
      </c>
      <c r="I150" s="29">
        <v>10</v>
      </c>
      <c r="J150" s="73">
        <v>23</v>
      </c>
      <c r="K150" s="47">
        <f t="shared" si="32"/>
        <v>0</v>
      </c>
      <c r="L150" s="47">
        <f t="shared" si="32"/>
        <v>43.478260869565219</v>
      </c>
      <c r="M150" s="47">
        <f>I150/$J150*100</f>
        <v>43.478260869565219</v>
      </c>
      <c r="N150" s="68">
        <f t="shared" ref="N150" si="39">K150+L150+M150</f>
        <v>86.956521739130437</v>
      </c>
      <c r="O150" s="46"/>
      <c r="P150" s="47">
        <v>33.9</v>
      </c>
      <c r="Q150" s="47">
        <v>20.5</v>
      </c>
      <c r="R150" s="48">
        <f t="shared" si="27"/>
        <v>54.4</v>
      </c>
      <c r="S150" s="29">
        <v>2</v>
      </c>
      <c r="T150" s="286"/>
      <c r="U150" s="295">
        <v>43713</v>
      </c>
      <c r="V150" s="38" t="s">
        <v>1396</v>
      </c>
      <c r="W150" s="29" t="s">
        <v>1397</v>
      </c>
      <c r="X150" s="29" t="s">
        <v>18</v>
      </c>
      <c r="Y150" s="39">
        <v>33.9</v>
      </c>
      <c r="Z150" s="38" t="s">
        <v>555</v>
      </c>
      <c r="AA150" s="29" t="s">
        <v>304</v>
      </c>
      <c r="AB150" s="29" t="s">
        <v>12</v>
      </c>
      <c r="AC150" s="39">
        <v>14</v>
      </c>
      <c r="AD150" s="38" t="s">
        <v>1417</v>
      </c>
      <c r="AE150" s="29" t="s">
        <v>1418</v>
      </c>
      <c r="AF150" s="29" t="s">
        <v>12</v>
      </c>
      <c r="AG150" s="39">
        <v>1.9</v>
      </c>
      <c r="AH150" s="38" t="s">
        <v>1419</v>
      </c>
      <c r="AI150" s="29" t="s">
        <v>1031</v>
      </c>
      <c r="AJ150" s="29" t="s">
        <v>12</v>
      </c>
      <c r="AK150" s="29">
        <v>4.5999999999999996</v>
      </c>
      <c r="AL150" s="38"/>
      <c r="AO150" s="39"/>
      <c r="AP150" s="38"/>
      <c r="AT150" s="91"/>
      <c r="AW150" s="39"/>
      <c r="BA150" s="40"/>
    </row>
    <row r="151" spans="1:53" s="29" customFormat="1" x14ac:dyDescent="0.15">
      <c r="A151" s="29">
        <v>2019</v>
      </c>
      <c r="B151" s="303">
        <v>43829</v>
      </c>
      <c r="C151" s="411" t="s">
        <v>1416</v>
      </c>
      <c r="D151" s="411"/>
      <c r="E151" s="29">
        <v>1</v>
      </c>
      <c r="F151" s="84">
        <v>0</v>
      </c>
      <c r="G151" s="66"/>
      <c r="H151" s="29">
        <v>10</v>
      </c>
      <c r="I151" s="29">
        <v>10</v>
      </c>
      <c r="J151" s="73">
        <v>24</v>
      </c>
      <c r="K151" s="47">
        <f t="shared" si="32"/>
        <v>0</v>
      </c>
      <c r="L151" s="47">
        <f t="shared" si="32"/>
        <v>41.666666666666671</v>
      </c>
      <c r="M151" s="47">
        <f>I151/$J151*100</f>
        <v>41.666666666666671</v>
      </c>
      <c r="N151" s="68">
        <f t="shared" ref="N151:N153" si="40">K151+L151+M151</f>
        <v>83.333333333333343</v>
      </c>
      <c r="O151" s="46"/>
      <c r="P151" s="47">
        <v>33.9</v>
      </c>
      <c r="Q151" s="47">
        <v>20.5</v>
      </c>
      <c r="R151" s="48">
        <f t="shared" si="27"/>
        <v>54.4</v>
      </c>
      <c r="S151" s="29">
        <v>2</v>
      </c>
      <c r="T151" s="286"/>
      <c r="U151" s="295"/>
      <c r="V151" s="38" t="s">
        <v>1396</v>
      </c>
      <c r="W151" s="29" t="s">
        <v>1397</v>
      </c>
      <c r="X151" s="29" t="s">
        <v>18</v>
      </c>
      <c r="Y151" s="39">
        <v>33.9</v>
      </c>
      <c r="Z151" s="38" t="s">
        <v>555</v>
      </c>
      <c r="AA151" s="29" t="s">
        <v>304</v>
      </c>
      <c r="AB151" s="29" t="s">
        <v>12</v>
      </c>
      <c r="AC151" s="39">
        <v>14</v>
      </c>
      <c r="AD151" s="38" t="s">
        <v>1417</v>
      </c>
      <c r="AE151" s="29" t="s">
        <v>1418</v>
      </c>
      <c r="AF151" s="29" t="s">
        <v>12</v>
      </c>
      <c r="AG151" s="39">
        <v>1.9</v>
      </c>
      <c r="AH151" s="38" t="s">
        <v>1419</v>
      </c>
      <c r="AI151" s="29" t="s">
        <v>1031</v>
      </c>
      <c r="AJ151" s="29" t="s">
        <v>12</v>
      </c>
      <c r="AK151" s="29">
        <v>4.5999999999999996</v>
      </c>
      <c r="AL151" s="38"/>
      <c r="AO151" s="39"/>
      <c r="AP151" s="38"/>
      <c r="AT151" s="91"/>
      <c r="AW151" s="39"/>
      <c r="BA151" s="40"/>
    </row>
    <row r="152" spans="1:53" s="29" customFormat="1" x14ac:dyDescent="0.15">
      <c r="A152" s="29">
        <v>2020</v>
      </c>
      <c r="B152" s="303"/>
      <c r="C152" s="411" t="s">
        <v>1416</v>
      </c>
      <c r="D152" s="411"/>
      <c r="E152" s="29">
        <v>0</v>
      </c>
      <c r="F152" s="84"/>
      <c r="G152" s="66"/>
      <c r="H152" s="29">
        <v>10</v>
      </c>
      <c r="I152" s="29">
        <v>10</v>
      </c>
      <c r="J152" s="73">
        <v>24</v>
      </c>
      <c r="K152" s="47">
        <f t="shared" si="32"/>
        <v>0</v>
      </c>
      <c r="L152" s="47">
        <f t="shared" si="32"/>
        <v>41.666666666666671</v>
      </c>
      <c r="M152" s="47">
        <f>I152/$J152*100</f>
        <v>41.666666666666671</v>
      </c>
      <c r="N152" s="68">
        <f t="shared" si="40"/>
        <v>83.333333333333343</v>
      </c>
      <c r="O152" s="46"/>
      <c r="P152" s="47">
        <v>33.9</v>
      </c>
      <c r="Q152" s="47">
        <v>20.5</v>
      </c>
      <c r="R152" s="48">
        <v>54.4</v>
      </c>
      <c r="S152" s="29">
        <v>2</v>
      </c>
      <c r="T152" s="286"/>
      <c r="U152" s="295"/>
      <c r="V152" s="38" t="s">
        <v>1396</v>
      </c>
      <c r="W152" s="29" t="s">
        <v>1397</v>
      </c>
      <c r="X152" s="29" t="s">
        <v>18</v>
      </c>
      <c r="Y152" s="39">
        <v>33.9</v>
      </c>
      <c r="Z152" s="38" t="s">
        <v>555</v>
      </c>
      <c r="AA152" s="29" t="s">
        <v>304</v>
      </c>
      <c r="AB152" s="29" t="s">
        <v>12</v>
      </c>
      <c r="AC152" s="39">
        <v>14</v>
      </c>
      <c r="AD152" s="38" t="s">
        <v>1417</v>
      </c>
      <c r="AE152" s="29" t="s">
        <v>1418</v>
      </c>
      <c r="AF152" s="29" t="s">
        <v>12</v>
      </c>
      <c r="AG152" s="39">
        <v>1.9</v>
      </c>
      <c r="AH152" s="38" t="s">
        <v>1419</v>
      </c>
      <c r="AI152" s="29" t="s">
        <v>1031</v>
      </c>
      <c r="AJ152" s="29" t="s">
        <v>12</v>
      </c>
      <c r="AK152" s="29">
        <v>4.5999999999999996</v>
      </c>
      <c r="AL152" s="38"/>
      <c r="AO152" s="39"/>
      <c r="AP152" s="38"/>
      <c r="AT152" s="91"/>
      <c r="AW152" s="39"/>
      <c r="BA152" s="40"/>
    </row>
    <row r="153" spans="1:53" s="29" customFormat="1" x14ac:dyDescent="0.15">
      <c r="A153" s="29">
        <v>2020</v>
      </c>
      <c r="B153" s="303"/>
      <c r="C153" s="411" t="s">
        <v>1416</v>
      </c>
      <c r="D153" s="411"/>
      <c r="E153" s="29">
        <v>366</v>
      </c>
      <c r="F153" s="84"/>
      <c r="G153" s="66"/>
      <c r="H153" s="29">
        <v>10</v>
      </c>
      <c r="I153" s="29">
        <v>10</v>
      </c>
      <c r="J153" s="73">
        <v>24</v>
      </c>
      <c r="K153" s="47">
        <f t="shared" si="32"/>
        <v>0</v>
      </c>
      <c r="L153" s="47">
        <f t="shared" si="32"/>
        <v>41.666666666666671</v>
      </c>
      <c r="M153" s="47">
        <f>I153/$J153*100</f>
        <v>41.666666666666671</v>
      </c>
      <c r="N153" s="68">
        <f t="shared" si="40"/>
        <v>83.333333333333343</v>
      </c>
      <c r="O153" s="46"/>
      <c r="P153" s="47">
        <v>33.9</v>
      </c>
      <c r="Q153" s="47">
        <v>20.5</v>
      </c>
      <c r="R153" s="48">
        <v>54.4</v>
      </c>
      <c r="S153" s="29">
        <v>2</v>
      </c>
      <c r="T153" s="286"/>
      <c r="U153" s="295"/>
      <c r="V153" s="38" t="s">
        <v>1396</v>
      </c>
      <c r="W153" s="29" t="s">
        <v>1397</v>
      </c>
      <c r="X153" s="29" t="s">
        <v>18</v>
      </c>
      <c r="Y153" s="39">
        <v>33.9</v>
      </c>
      <c r="Z153" s="38" t="s">
        <v>555</v>
      </c>
      <c r="AA153" s="29" t="s">
        <v>304</v>
      </c>
      <c r="AB153" s="29" t="s">
        <v>12</v>
      </c>
      <c r="AC153" s="39">
        <v>14</v>
      </c>
      <c r="AD153" s="38" t="s">
        <v>1417</v>
      </c>
      <c r="AE153" s="29" t="s">
        <v>1418</v>
      </c>
      <c r="AF153" s="29" t="s">
        <v>12</v>
      </c>
      <c r="AG153" s="39">
        <v>1.9</v>
      </c>
      <c r="AH153" s="38" t="s">
        <v>1419</v>
      </c>
      <c r="AI153" s="29" t="s">
        <v>1031</v>
      </c>
      <c r="AJ153" s="29" t="s">
        <v>12</v>
      </c>
      <c r="AK153" s="29">
        <v>4.5999999999999996</v>
      </c>
      <c r="AL153" s="38"/>
      <c r="AO153" s="39"/>
      <c r="AP153" s="38"/>
      <c r="AT153" s="91"/>
      <c r="AW153" s="39"/>
      <c r="BA153" s="40"/>
    </row>
    <row r="154" spans="1:53" x14ac:dyDescent="0.15">
      <c r="B154" s="311"/>
      <c r="F154" s="366"/>
      <c r="J154" s="26"/>
      <c r="K154" s="12"/>
      <c r="L154" s="12"/>
      <c r="M154" s="12"/>
      <c r="N154" s="20"/>
      <c r="O154" s="12"/>
      <c r="P154" s="12"/>
      <c r="Q154" s="12"/>
      <c r="R154" s="20"/>
      <c r="T154" s="340"/>
      <c r="U154" s="340"/>
    </row>
    <row r="155" spans="1:53" x14ac:dyDescent="0.15">
      <c r="B155" s="367"/>
      <c r="C155" s="415"/>
      <c r="D155" s="415"/>
      <c r="J155" s="26"/>
      <c r="K155" s="12"/>
      <c r="L155" s="12"/>
      <c r="M155" s="12"/>
      <c r="N155" s="20"/>
      <c r="O155" s="12"/>
      <c r="P155" s="12"/>
      <c r="Q155" s="12"/>
      <c r="R155" s="20"/>
      <c r="T155" s="340"/>
      <c r="U155" s="340"/>
    </row>
    <row r="156" spans="1:53" ht="18" customHeight="1" x14ac:dyDescent="0.15">
      <c r="B156" s="16" t="s">
        <v>1264</v>
      </c>
      <c r="H156" s="4"/>
      <c r="AT156" s="1"/>
    </row>
    <row r="157" spans="1:53" ht="9" customHeight="1" x14ac:dyDescent="0.15">
      <c r="H157" s="4"/>
      <c r="AT157" s="1"/>
    </row>
    <row r="158" spans="1:53" s="195" customFormat="1" ht="9" customHeight="1" x14ac:dyDescent="0.15">
      <c r="A158" s="193"/>
      <c r="B158" s="194" t="s">
        <v>1215</v>
      </c>
      <c r="C158" s="194"/>
      <c r="D158" s="194"/>
      <c r="E158" s="194"/>
      <c r="F158" s="194"/>
      <c r="G158" s="194" t="s">
        <v>1216</v>
      </c>
      <c r="H158" s="194"/>
      <c r="I158" s="194"/>
      <c r="J158" s="194"/>
      <c r="K158" s="194"/>
      <c r="L158" s="194"/>
      <c r="M158" s="194"/>
      <c r="N158" s="194"/>
      <c r="R158" s="388" t="s">
        <v>1217</v>
      </c>
      <c r="S158" s="388"/>
      <c r="T158" s="388"/>
      <c r="U158" s="388"/>
      <c r="V158" s="388"/>
      <c r="W158" s="388"/>
      <c r="X158" s="196"/>
      <c r="Y158" s="196"/>
      <c r="AA158" s="196"/>
      <c r="AB158" s="196"/>
      <c r="AC158" s="196"/>
      <c r="AD158" s="196"/>
    </row>
    <row r="159" spans="1:53" s="200" customFormat="1" ht="9" customHeight="1" x14ac:dyDescent="0.15">
      <c r="A159" s="197"/>
      <c r="B159" s="198" t="s">
        <v>1219</v>
      </c>
      <c r="C159" s="199"/>
      <c r="D159" s="199"/>
      <c r="E159" s="199"/>
      <c r="F159" s="199"/>
      <c r="G159" s="198" t="s">
        <v>1218</v>
      </c>
      <c r="H159" s="199"/>
      <c r="I159" s="199"/>
      <c r="J159" s="199"/>
      <c r="K159" s="199"/>
      <c r="L159" s="199"/>
      <c r="M159" s="199"/>
      <c r="N159" s="199"/>
      <c r="R159" s="201" t="s">
        <v>1220</v>
      </c>
      <c r="S159" s="202"/>
      <c r="T159" s="203"/>
      <c r="U159" s="203"/>
      <c r="V159" s="203"/>
      <c r="W159" s="201" t="s">
        <v>1221</v>
      </c>
      <c r="X159" s="203"/>
      <c r="Y159" s="203"/>
      <c r="AA159" s="203"/>
      <c r="AB159" s="203"/>
      <c r="AC159" s="203"/>
      <c r="AD159" s="203"/>
    </row>
    <row r="160" spans="1:53" s="186" customFormat="1" ht="12" customHeight="1" x14ac:dyDescent="0.15">
      <c r="A160" s="204" t="s">
        <v>3</v>
      </c>
      <c r="B160" s="205" t="s">
        <v>8</v>
      </c>
      <c r="C160" s="205" t="s">
        <v>9</v>
      </c>
      <c r="D160" s="205" t="s">
        <v>10</v>
      </c>
      <c r="E160" s="206" t="s">
        <v>1195</v>
      </c>
      <c r="F160" s="205"/>
      <c r="G160" s="186" t="s">
        <v>3</v>
      </c>
      <c r="H160" s="389" t="s">
        <v>0</v>
      </c>
      <c r="I160" s="389"/>
      <c r="J160" s="389" t="s">
        <v>1</v>
      </c>
      <c r="K160" s="389"/>
      <c r="L160" s="389" t="s">
        <v>2</v>
      </c>
      <c r="M160" s="389"/>
      <c r="N160" s="390" t="s">
        <v>1195</v>
      </c>
      <c r="O160" s="390"/>
      <c r="P160" s="207"/>
      <c r="Q160" s="207"/>
      <c r="R160" s="208" t="s">
        <v>3</v>
      </c>
      <c r="S160" s="209" t="s">
        <v>135</v>
      </c>
      <c r="T160" s="207" t="s">
        <v>133</v>
      </c>
      <c r="U160" s="205" t="s">
        <v>134</v>
      </c>
      <c r="V160" s="207"/>
      <c r="W160" s="210" t="s">
        <v>26</v>
      </c>
    </row>
    <row r="161" spans="1:54" s="140" customFormat="1" x14ac:dyDescent="0.15">
      <c r="A161" s="140">
        <v>1959</v>
      </c>
      <c r="B161" s="143">
        <f>(K6*($E6/365)) + (K7*($E7/365))</f>
        <v>0</v>
      </c>
      <c r="C161" s="143">
        <f>(L6*($E6/365)) + (L7*($E7/365))</f>
        <v>98.109589041095887</v>
      </c>
      <c r="D161" s="143">
        <f>(M6*($E6/365)) + (M7*($E7/365))</f>
        <v>1.8904109589041098</v>
      </c>
      <c r="E161" s="144">
        <f>B161+C161+D161</f>
        <v>100</v>
      </c>
      <c r="G161" s="140">
        <v>1959</v>
      </c>
      <c r="H161" s="417">
        <f>(O6/$R6*100*($E6/365))+(O7/$R7*100*($E7/365))</f>
        <v>0</v>
      </c>
      <c r="I161" s="417"/>
      <c r="J161" s="417">
        <f>(P6/$R6*100*($E6/365))+(P7/$R7*100*($E7/365))</f>
        <v>99.057977030579778</v>
      </c>
      <c r="K161" s="417"/>
      <c r="L161" s="417">
        <f>(Q6/$R6*100*($E6/365))+(Q7/$R7*100*($E7/365))</f>
        <v>0.94202296942022989</v>
      </c>
      <c r="M161" s="417"/>
      <c r="N161" s="412">
        <f>H161+J161+L161</f>
        <v>100.00000000000001</v>
      </c>
      <c r="O161" s="412"/>
      <c r="R161" s="140">
        <v>1959</v>
      </c>
      <c r="S161" s="143">
        <f>(O6*($E6/365)) + (O7*($E7/365))</f>
        <v>0</v>
      </c>
      <c r="T161" s="143">
        <f>(P6*($E6/365)) + (P7*($E7/365))</f>
        <v>45.8</v>
      </c>
      <c r="U161" s="143">
        <f>(Q6*($E6/365)) + (Q7*($E7/365))</f>
        <v>0.46630136986301374</v>
      </c>
      <c r="V161" s="153"/>
      <c r="W161" s="143">
        <f>S161+T161+U161</f>
        <v>46.266301369863008</v>
      </c>
      <c r="AT161" s="158"/>
      <c r="BB161" s="165"/>
    </row>
    <row r="162" spans="1:54" x14ac:dyDescent="0.15">
      <c r="A162" s="1">
        <v>1960</v>
      </c>
      <c r="B162" s="5">
        <f>(K8*($E8/366))+(K9*($E9/366))+(K10*($E10/366))</f>
        <v>0</v>
      </c>
      <c r="C162" s="5">
        <f>(L8*($E8/366))+(L9*($E9/366))+(L10*($E10/366))</f>
        <v>100</v>
      </c>
      <c r="D162" s="5">
        <f>(M8*($E8/366))+(M9*($E9/366))+(M10*($E10/366))</f>
        <v>0</v>
      </c>
      <c r="E162" s="18">
        <f>B162+C162+D162</f>
        <v>100</v>
      </c>
      <c r="G162" s="1">
        <v>1960</v>
      </c>
      <c r="H162" s="409">
        <f>(O8/$R8*100*($E8/366))+(O9/$R9*100*($E9/366))+(O10/$R10*100*($E10/366))</f>
        <v>0</v>
      </c>
      <c r="I162" s="409"/>
      <c r="J162" s="409">
        <f>(P8/$R8*100*($E8/366))+(P9/$R9*100*($E9/366))+(P10/$R10*100*($E10/366))</f>
        <v>100</v>
      </c>
      <c r="K162" s="409"/>
      <c r="L162" s="409">
        <f>(Q8/$R8*100*($E8/366))+(Q9/$R9*100*($E9/366))+(Q10/$R10*100*($E10/366))</f>
        <v>0</v>
      </c>
      <c r="M162" s="409"/>
      <c r="N162" s="379">
        <f>H162+J162+L162</f>
        <v>100</v>
      </c>
      <c r="O162" s="379"/>
      <c r="R162" s="1">
        <v>1960</v>
      </c>
      <c r="S162" s="5">
        <f>(O8*($E8/366))+(O9*($E9/366))+(O10*($E10/366))</f>
        <v>0</v>
      </c>
      <c r="T162" s="5">
        <f>(P8*($E8/366))+(P9*($E9/366))+(P10*($E10/366))</f>
        <v>45.8</v>
      </c>
      <c r="U162" s="5">
        <f>(Q8*($E8/366))+(Q9*($E9/366))+(Q10*($E10/366))</f>
        <v>0</v>
      </c>
      <c r="V162" s="9"/>
      <c r="W162" s="5">
        <f>S162+T162+U162</f>
        <v>45.8</v>
      </c>
    </row>
    <row r="163" spans="1:54" x14ac:dyDescent="0.15">
      <c r="A163" s="1">
        <v>1961</v>
      </c>
      <c r="B163" s="5">
        <f>(K11*($E11/365))+(K12*($E12/365))</f>
        <v>0</v>
      </c>
      <c r="C163" s="5">
        <f>(L11*($E11/365))+(L12*($E12/365))</f>
        <v>100</v>
      </c>
      <c r="D163" s="5">
        <f>(M11*($E11/365))+(M12*($E12/365))</f>
        <v>0</v>
      </c>
      <c r="E163" s="18">
        <f t="shared" ref="E163:E214" si="41">B163+C163+D163</f>
        <v>100</v>
      </c>
      <c r="G163" s="1">
        <v>1961</v>
      </c>
      <c r="H163" s="409">
        <f>(O11/$R11*100*($E11/365))+(O12/$R12*100*($E12/365))</f>
        <v>0</v>
      </c>
      <c r="I163" s="409"/>
      <c r="J163" s="409">
        <f>(P11/$R11*100*($E11/365))+(P12/$R12*100*($E12/365))</f>
        <v>100</v>
      </c>
      <c r="K163" s="409"/>
      <c r="L163" s="409">
        <f>(Q11/$R11*100*($E11/365))+(Q12/$R12*100*($E12/365))</f>
        <v>0</v>
      </c>
      <c r="M163" s="409"/>
      <c r="N163" s="379">
        <f t="shared" ref="N163:N213" si="42">H163+J163+L163</f>
        <v>100</v>
      </c>
      <c r="O163" s="379"/>
      <c r="R163" s="1">
        <v>1961</v>
      </c>
      <c r="S163" s="5">
        <f>(O11*($E11/365))+(O12*($E12/365))</f>
        <v>0</v>
      </c>
      <c r="T163" s="5">
        <f>(P11*($E11/365))+(P12*($E12/365))</f>
        <v>45.8</v>
      </c>
      <c r="U163" s="5">
        <f>(Q11*($E11/365))+(Q12*($E12/365))</f>
        <v>0</v>
      </c>
      <c r="V163" s="9"/>
      <c r="W163" s="5">
        <f t="shared" ref="W163:W214" si="43">S163+T163+U163</f>
        <v>45.8</v>
      </c>
    </row>
    <row r="164" spans="1:54" x14ac:dyDescent="0.15">
      <c r="A164" s="1">
        <v>1962</v>
      </c>
      <c r="B164" s="5">
        <f>(K13*($E13/365))+(K14*($E14/365))</f>
        <v>0</v>
      </c>
      <c r="C164" s="5">
        <f>(L13*($E13/365))+(L14*($E14/365))</f>
        <v>89.246575342465761</v>
      </c>
      <c r="D164" s="5">
        <f>(M13*($E13/365))+(M14*($E14/365))</f>
        <v>10.753424657534246</v>
      </c>
      <c r="E164" s="18">
        <f t="shared" si="41"/>
        <v>100</v>
      </c>
      <c r="G164" s="1">
        <v>1962</v>
      </c>
      <c r="H164" s="409">
        <f>(O13/$R13*100*($E13/365))+(O14/$R14*100*($E14/365))</f>
        <v>0</v>
      </c>
      <c r="I164" s="409"/>
      <c r="J164" s="409">
        <f>(P13/$R13*100*($E13/365))+(P14/$R14*100*($E14/365))</f>
        <v>93.697002576970021</v>
      </c>
      <c r="K164" s="409"/>
      <c r="L164" s="409">
        <f>(Q13/$R13*100*($E13/365))+(Q14/$R14*100*($E14/365))</f>
        <v>6.302997423029975</v>
      </c>
      <c r="M164" s="409"/>
      <c r="N164" s="379">
        <f t="shared" si="42"/>
        <v>100</v>
      </c>
      <c r="O164" s="379"/>
      <c r="R164" s="1">
        <v>1962</v>
      </c>
      <c r="S164" s="5">
        <f>(O13*($E13/365))+(O14*($E14/365))</f>
        <v>0</v>
      </c>
      <c r="T164" s="5">
        <f>(P13*($E13/365))+(P14*($E14/365))</f>
        <v>46.660273972602738</v>
      </c>
      <c r="U164" s="5">
        <f>(Q13*($E13/365))+(Q14*($E14/365))</f>
        <v>3.1830136986301372</v>
      </c>
      <c r="V164" s="9"/>
      <c r="W164" s="5">
        <f t="shared" si="43"/>
        <v>49.843287671232872</v>
      </c>
    </row>
    <row r="165" spans="1:54" x14ac:dyDescent="0.15">
      <c r="A165" s="1">
        <v>1963</v>
      </c>
      <c r="B165" s="5">
        <f>(K15*($E15/365))+(K16*($E16/365))+(K17*($E17/365))</f>
        <v>0</v>
      </c>
      <c r="C165" s="5">
        <f>(L15*($E15/365))+(L16*($E16/365))+(L17*($E17/365))</f>
        <v>91.583245521601683</v>
      </c>
      <c r="D165" s="5">
        <f>(M15*($E15/365))+(M16*($E16/365))+(M17*($E17/365))</f>
        <v>8.4167544783983139</v>
      </c>
      <c r="E165" s="18">
        <f t="shared" si="41"/>
        <v>100</v>
      </c>
      <c r="G165" s="1">
        <v>1963</v>
      </c>
      <c r="H165" s="409">
        <f>(O15/$R15*100*($E15/365))+(O16/$R16*100*($E16/365))+(O17/$R17*100*($E17/365))</f>
        <v>0</v>
      </c>
      <c r="I165" s="409"/>
      <c r="J165" s="409">
        <f>(P15/$R15*100*($E15/365))+(P16/$R16*100*($E16/365))+(P17/$R17*100*($E17/365))</f>
        <v>94.283027899889106</v>
      </c>
      <c r="K165" s="409"/>
      <c r="L165" s="409">
        <f>(Q15/$R15*100*($E15/365))+(Q16/$R16*100*($E16/365))+(Q17/$R17*100*($E17/365))</f>
        <v>5.7169721001108984</v>
      </c>
      <c r="M165" s="409"/>
      <c r="N165" s="379">
        <f t="shared" si="42"/>
        <v>100</v>
      </c>
      <c r="O165" s="379"/>
      <c r="R165" s="1">
        <v>1963</v>
      </c>
      <c r="S165" s="5">
        <f>(O15*($E15/365))+(O16*($E16/365))+(O17*($E17/365))</f>
        <v>0</v>
      </c>
      <c r="T165" s="5">
        <f>(P15*($E15/365))+(P16*($E16/365))+(P17*($E17/365))</f>
        <v>43.950684931506849</v>
      </c>
      <c r="U165" s="5">
        <f>(Q15*($E15/365))+(Q16*($E16/365))+(Q17*($E17/365))</f>
        <v>3.1315068493150688</v>
      </c>
      <c r="V165" s="9"/>
      <c r="W165" s="5">
        <f t="shared" si="43"/>
        <v>47.082191780821915</v>
      </c>
    </row>
    <row r="166" spans="1:54" x14ac:dyDescent="0.15">
      <c r="A166" s="1">
        <v>1964</v>
      </c>
      <c r="B166" s="5">
        <f>(K18*($E18/366))+(K19*($E19/366))</f>
        <v>0</v>
      </c>
      <c r="C166" s="5">
        <f>(L18*($E18/366))+(L19*($E19/366))</f>
        <v>65.384615384615387</v>
      </c>
      <c r="D166" s="5">
        <f>(M18*($E18/366))+(M19*($E19/366))</f>
        <v>34.615384615384613</v>
      </c>
      <c r="E166" s="18">
        <f t="shared" si="41"/>
        <v>100</v>
      </c>
      <c r="G166" s="1">
        <v>1964</v>
      </c>
      <c r="H166" s="409">
        <f>(O18/$R18*100*($E18/366))+(O19/$R19*100*($E19/366))</f>
        <v>0</v>
      </c>
      <c r="I166" s="409"/>
      <c r="J166" s="409">
        <f>(P18/$R18*100*($E18/366))+(P19/$R19*100*($E19/366))</f>
        <v>69.117647058823522</v>
      </c>
      <c r="K166" s="409"/>
      <c r="L166" s="409">
        <f>(Q18/$R18*100*($E18/366))+(Q19/$R19*100*($E19/366))</f>
        <v>30.882352941176471</v>
      </c>
      <c r="M166" s="409"/>
      <c r="N166" s="379">
        <f t="shared" si="42"/>
        <v>100</v>
      </c>
      <c r="O166" s="379"/>
      <c r="R166" s="1">
        <v>1964</v>
      </c>
      <c r="S166" s="5">
        <f>(O18*($E18/366))+(O19*($E19/366))</f>
        <v>0</v>
      </c>
      <c r="T166" s="5">
        <f>(P18*($E18/366))+(P19*($E19/366))</f>
        <v>42.3</v>
      </c>
      <c r="U166" s="5">
        <f>(Q18*($E18/366))+(Q19*($E19/366))</f>
        <v>18.899999999999999</v>
      </c>
      <c r="V166" s="9"/>
      <c r="W166" s="5">
        <f t="shared" si="43"/>
        <v>61.199999999999996</v>
      </c>
    </row>
    <row r="167" spans="1:54" x14ac:dyDescent="0.15">
      <c r="A167" s="1">
        <v>1965</v>
      </c>
      <c r="B167" s="5">
        <f>(K20*($E20/365))+(K21*($E21/365))</f>
        <v>0</v>
      </c>
      <c r="C167" s="5">
        <f>(L20*($E20/365))+(L21*($E21/365))</f>
        <v>65.384615384615387</v>
      </c>
      <c r="D167" s="5">
        <f>(M20*($E20/365))+(M21*($E21/365))</f>
        <v>34.615384615384613</v>
      </c>
      <c r="E167" s="18">
        <f t="shared" si="41"/>
        <v>100</v>
      </c>
      <c r="G167" s="1">
        <v>1965</v>
      </c>
      <c r="H167" s="409">
        <f>(O20/$R20*100*($E20/365))+(O21/$R21*100*($E21/365))</f>
        <v>0</v>
      </c>
      <c r="I167" s="409"/>
      <c r="J167" s="409">
        <f>(P20/$R20*100*($E20/365))+(P21/$R21*100*($E21/365))</f>
        <v>69.117647058823522</v>
      </c>
      <c r="K167" s="409"/>
      <c r="L167" s="409">
        <f>(Q20/$R20*100*($E20/365))+(Q21/$R21*100*($E21/365))</f>
        <v>30.882352941176471</v>
      </c>
      <c r="M167" s="409"/>
      <c r="N167" s="379">
        <f t="shared" si="42"/>
        <v>100</v>
      </c>
      <c r="O167" s="379"/>
      <c r="R167" s="1">
        <v>1965</v>
      </c>
      <c r="S167" s="5">
        <f>(O20*($E20/365))+(O21*($E21/365))</f>
        <v>0</v>
      </c>
      <c r="T167" s="5">
        <f>(P20*($E20/365))+(P21*($E21/365))</f>
        <v>42.3</v>
      </c>
      <c r="U167" s="5">
        <f>(Q20*($E20/365))+(Q21*($E21/365))</f>
        <v>18.899999999999999</v>
      </c>
      <c r="V167" s="9"/>
      <c r="W167" s="5">
        <f t="shared" si="43"/>
        <v>61.199999999999996</v>
      </c>
    </row>
    <row r="168" spans="1:54" x14ac:dyDescent="0.15">
      <c r="A168" s="1">
        <v>1966</v>
      </c>
      <c r="B168" s="5">
        <f>(K22*($E22/365))+(K23*($E23/365))</f>
        <v>0</v>
      </c>
      <c r="C168" s="5">
        <f>(L22*($E22/365))+(L23*($E23/365))</f>
        <v>65.384615384615387</v>
      </c>
      <c r="D168" s="5">
        <f>(M22*($E22/365))+(M23*($E23/365))</f>
        <v>34.615384615384613</v>
      </c>
      <c r="E168" s="18">
        <f t="shared" si="41"/>
        <v>100</v>
      </c>
      <c r="G168" s="1">
        <v>1966</v>
      </c>
      <c r="H168" s="409">
        <f>(O22/$R22*100*($E22/365))+(O23/$R23*100*($E23/365))</f>
        <v>0</v>
      </c>
      <c r="I168" s="409"/>
      <c r="J168" s="409">
        <f>(P22/$R22*100*($E22/365))+(P23/$R23*100*($E23/365))</f>
        <v>69.117647058823522</v>
      </c>
      <c r="K168" s="409"/>
      <c r="L168" s="409">
        <f>(Q22/$R22*100*($E22/365))+(Q23/$R23*100*($E23/365))</f>
        <v>30.882352941176471</v>
      </c>
      <c r="M168" s="409"/>
      <c r="N168" s="379">
        <f t="shared" si="42"/>
        <v>100</v>
      </c>
      <c r="O168" s="379"/>
      <c r="R168" s="1">
        <v>1966</v>
      </c>
      <c r="S168" s="5">
        <f>(O22*($E22/365))+(O23*($E23/365))</f>
        <v>0</v>
      </c>
      <c r="T168" s="5">
        <f>(P22*($E22/365))+(P23*($E23/365))</f>
        <v>42.3</v>
      </c>
      <c r="U168" s="5">
        <f>(Q22*($E22/365))+(Q23*($E23/365))</f>
        <v>18.899999999999999</v>
      </c>
      <c r="V168" s="9"/>
      <c r="W168" s="5">
        <f t="shared" si="43"/>
        <v>61.199999999999996</v>
      </c>
    </row>
    <row r="169" spans="1:54" x14ac:dyDescent="0.15">
      <c r="A169" s="1">
        <v>1967</v>
      </c>
      <c r="B169" s="5">
        <f>(K24*($E24/365))+(K25*($E25/365))</f>
        <v>0</v>
      </c>
      <c r="C169" s="5">
        <f>(L24*($E24/365))+(L25*($E25/365))</f>
        <v>65.384615384615387</v>
      </c>
      <c r="D169" s="5">
        <f>(M24*($E24/365))+(M25*($E25/365))</f>
        <v>34.615384615384613</v>
      </c>
      <c r="E169" s="18">
        <f t="shared" si="41"/>
        <v>100</v>
      </c>
      <c r="G169" s="1">
        <v>1967</v>
      </c>
      <c r="H169" s="409">
        <f>(O24/$R24*100*($E24/365))+(O25/$R25*100*($E25/365))</f>
        <v>0</v>
      </c>
      <c r="I169" s="409"/>
      <c r="J169" s="409">
        <f>(P24/$R24*100*($E24/365))+(P25/$R25*100*($E25/365))</f>
        <v>69.117647058823522</v>
      </c>
      <c r="K169" s="409"/>
      <c r="L169" s="409">
        <f>(Q24/$R24*100*($E24/365))+(Q25/$R25*100*($E25/365))</f>
        <v>30.882352941176471</v>
      </c>
      <c r="M169" s="409"/>
      <c r="N169" s="379">
        <f t="shared" si="42"/>
        <v>100</v>
      </c>
      <c r="O169" s="379"/>
      <c r="R169" s="1">
        <v>1967</v>
      </c>
      <c r="S169" s="5">
        <f>(O24*($E24/365))+(O25*($E25/365))</f>
        <v>0</v>
      </c>
      <c r="T169" s="5">
        <f>(P24*($E24/365))+(P25*($E25/365))</f>
        <v>42.3</v>
      </c>
      <c r="U169" s="5">
        <f>(Q24*($E24/365))+(Q25*($E25/365))</f>
        <v>18.899999999999999</v>
      </c>
      <c r="V169" s="9"/>
      <c r="W169" s="5">
        <f t="shared" si="43"/>
        <v>61.199999999999996</v>
      </c>
    </row>
    <row r="170" spans="1:54" x14ac:dyDescent="0.15">
      <c r="A170" s="1">
        <v>1968</v>
      </c>
      <c r="B170" s="5">
        <f>(K26*($E26/366))+(K27*($E27/366))+(K28*($E28/366))</f>
        <v>0</v>
      </c>
      <c r="C170" s="5">
        <f>(L26*($E26/366))+(L27*($E27/366))+(L28*($E28/366))</f>
        <v>81.532856942693016</v>
      </c>
      <c r="D170" s="5">
        <f>(M26*($E26/366))+(M27*($E27/366))+(M28*($E28/366))</f>
        <v>18.467143057306988</v>
      </c>
      <c r="E170" s="18">
        <f t="shared" si="41"/>
        <v>100</v>
      </c>
      <c r="G170" s="1">
        <v>1968</v>
      </c>
      <c r="H170" s="409">
        <f>(O26/$R26*100*($E26/366))+(O27/$R27*100*($E27/366))+(O28/$R28*100*($E28/366))</f>
        <v>0</v>
      </c>
      <c r="I170" s="409"/>
      <c r="J170" s="409">
        <f>(P26/$R26*100*($E26/366))+(P27/$R27*100*($E27/366))+(P28/$R28*100*($E28/366))</f>
        <v>83.792770924084735</v>
      </c>
      <c r="K170" s="409"/>
      <c r="L170" s="409">
        <f>(Q26/$R26*100*($E26/366))+(Q27/$R27*100*($E27/366))+(Q28/$R28*100*($E28/366))</f>
        <v>16.207229075915272</v>
      </c>
      <c r="M170" s="409"/>
      <c r="N170" s="379">
        <f t="shared" si="42"/>
        <v>100</v>
      </c>
      <c r="O170" s="379"/>
      <c r="R170" s="1">
        <v>1968</v>
      </c>
      <c r="S170" s="5">
        <f>(O26*($E26/366))+(O27*($E27/366))+(O28*($E28/366))</f>
        <v>0</v>
      </c>
      <c r="T170" s="5">
        <f>(P26*($E26/366))+(P27*($E27/366))+(P28*($E28/366))</f>
        <v>42.324590163934431</v>
      </c>
      <c r="U170" s="5">
        <f>(Q26*($E26/366))+(Q27*($E27/366))+(Q28*($E28/366))</f>
        <v>9.8754098360655718</v>
      </c>
      <c r="V170" s="9"/>
      <c r="W170" s="5">
        <f t="shared" si="43"/>
        <v>52.2</v>
      </c>
    </row>
    <row r="171" spans="1:54" x14ac:dyDescent="0.15">
      <c r="A171" s="1">
        <v>1969</v>
      </c>
      <c r="B171" s="5">
        <f>(K29*($E29/365))+(K30*($E30/365))</f>
        <v>0</v>
      </c>
      <c r="C171" s="5">
        <f>(L29*($E29/365))+(L30*($E30/365))</f>
        <v>80.273972602739718</v>
      </c>
      <c r="D171" s="5">
        <f>(M29*($E29/365))+(M30*($E30/365))</f>
        <v>19.726027397260271</v>
      </c>
      <c r="E171" s="18">
        <f t="shared" si="41"/>
        <v>99.999999999999986</v>
      </c>
      <c r="G171" s="1">
        <v>1969</v>
      </c>
      <c r="H171" s="409">
        <f>(O29/$R29*100*($E29/365))+(O30/$R30*100*($E30/365))</f>
        <v>0</v>
      </c>
      <c r="I171" s="409"/>
      <c r="J171" s="409">
        <f>(P29/$R29*100*($E29/365))+(P30/$R30*100*($E30/365))</f>
        <v>85.307510628247528</v>
      </c>
      <c r="K171" s="409"/>
      <c r="L171" s="409">
        <f>(Q29/$R29*100*($E29/365))+(Q30/$R30*100*($E30/365))</f>
        <v>14.69248937175248</v>
      </c>
      <c r="M171" s="409"/>
      <c r="N171" s="379">
        <f t="shared" si="42"/>
        <v>100</v>
      </c>
      <c r="O171" s="379"/>
      <c r="R171" s="1">
        <v>1969</v>
      </c>
      <c r="S171" s="5">
        <f>(O29*($E29/365))+(O30*($E30/365))</f>
        <v>0</v>
      </c>
      <c r="T171" s="5">
        <f>(P29*($E29/365))+(P30*($E30/365))</f>
        <v>43.028493150684938</v>
      </c>
      <c r="U171" s="5">
        <f>(Q29*($E29/365))+(Q30*($E30/365))</f>
        <v>8.5216438356164392</v>
      </c>
      <c r="V171" s="9"/>
      <c r="W171" s="5">
        <f t="shared" si="43"/>
        <v>51.550136986301375</v>
      </c>
    </row>
    <row r="172" spans="1:54" x14ac:dyDescent="0.15">
      <c r="A172" s="1">
        <v>1970</v>
      </c>
      <c r="B172" s="5">
        <f>(K31*($E31/365))+(K32*($E32/365))+(K33*($E33/365))</f>
        <v>0</v>
      </c>
      <c r="C172" s="5">
        <f>(L31*($E31/365))+(L32*($E32/365))+(L33*($E33/365))</f>
        <v>73.463796477495109</v>
      </c>
      <c r="D172" s="5">
        <f>(M31*($E31/365))+(M32*($E32/365))+(M33*($E33/365))</f>
        <v>26.536203522504891</v>
      </c>
      <c r="E172" s="18">
        <f t="shared" si="41"/>
        <v>100</v>
      </c>
      <c r="G172" s="1">
        <v>1970</v>
      </c>
      <c r="H172" s="409">
        <f>(O31/$R31*100*($E31/365))+(O32/$R32*100*($E32/365))+(O33/$R33*100*($E33/365))</f>
        <v>0</v>
      </c>
      <c r="I172" s="409"/>
      <c r="J172" s="409">
        <f>(P31/$R31*100*($E31/365))+(P32/$R32*100*($E32/365))+(P33/$R33*100*($E33/365))</f>
        <v>80.954180444024558</v>
      </c>
      <c r="K172" s="409"/>
      <c r="L172" s="409">
        <f>(Q31/$R31*100*($E31/365))+(Q32/$R32*100*($E32/365))+(Q33/$R33*100*($E33/365))</f>
        <v>19.045819555975438</v>
      </c>
      <c r="M172" s="409"/>
      <c r="N172" s="379">
        <f t="shared" si="42"/>
        <v>100</v>
      </c>
      <c r="O172" s="379"/>
      <c r="R172" s="1">
        <v>1970</v>
      </c>
      <c r="S172" s="5">
        <f>(O31*($E31/365))+(O32*($E32/365))+(O33*($E33/365))</f>
        <v>0</v>
      </c>
      <c r="T172" s="5">
        <f>(P31*($E31/365))+(P32*($E32/365))+(P33*($E33/365))</f>
        <v>43.273972602739725</v>
      </c>
      <c r="U172" s="5">
        <f>(Q31*($E31/365))+(Q32*($E32/365))+(Q33*($E33/365))</f>
        <v>11.046575342465754</v>
      </c>
      <c r="V172" s="9"/>
      <c r="W172" s="5">
        <f t="shared" si="43"/>
        <v>54.320547945205476</v>
      </c>
    </row>
    <row r="173" spans="1:54" x14ac:dyDescent="0.15">
      <c r="A173" s="1">
        <v>1971</v>
      </c>
      <c r="B173" s="5">
        <f>(K34*($E34/365))+(K35*($E35/365))</f>
        <v>0</v>
      </c>
      <c r="C173" s="5">
        <f>(L34*($E34/365))+(L35*($E35/365))</f>
        <v>63.169529607885771</v>
      </c>
      <c r="D173" s="5">
        <f>(M34*($E34/365))+(M35*($E35/365))</f>
        <v>36.830470392114229</v>
      </c>
      <c r="E173" s="18">
        <f t="shared" si="41"/>
        <v>100</v>
      </c>
      <c r="G173" s="1">
        <v>1971</v>
      </c>
      <c r="H173" s="409">
        <f>(O34/$R34*100*($E34/365))+(O35/$R35*100*($E35/365))</f>
        <v>0</v>
      </c>
      <c r="I173" s="409"/>
      <c r="J173" s="409">
        <f>(P34/$R34*100*($E34/365))+(P35/$R35*100*($E35/365))</f>
        <v>74.654205981863129</v>
      </c>
      <c r="K173" s="409"/>
      <c r="L173" s="409">
        <f>(Q34/$R34*100*($E34/365))+(Q35/$R35*100*($E35/365))</f>
        <v>25.345794018136868</v>
      </c>
      <c r="M173" s="409"/>
      <c r="N173" s="379">
        <f t="shared" si="42"/>
        <v>100</v>
      </c>
      <c r="O173" s="379"/>
      <c r="R173" s="1">
        <v>1971</v>
      </c>
      <c r="S173" s="5">
        <f>(O34*($E34/365))+(O35*($E35/365))</f>
        <v>0</v>
      </c>
      <c r="T173" s="5">
        <f>(P34*($E34/365))+(P35*($E35/365))</f>
        <v>42.418630136986302</v>
      </c>
      <c r="U173" s="5">
        <f>(Q34*($E34/365))+(Q35*($E35/365))</f>
        <v>14.399999999999999</v>
      </c>
      <c r="V173" s="9"/>
      <c r="W173" s="5">
        <f t="shared" si="43"/>
        <v>56.8186301369863</v>
      </c>
    </row>
    <row r="174" spans="1:54" x14ac:dyDescent="0.15">
      <c r="A174" s="1">
        <v>1972</v>
      </c>
      <c r="B174" s="5">
        <f>(K36*($E36/366))+(K37*($E37/366))+(K38*($E38/366))</f>
        <v>7.9445145018915513</v>
      </c>
      <c r="C174" s="5">
        <f>(L36*($E36/366))+(L37*($E37/366))+(L38*($E38/366))</f>
        <v>77.267526038017849</v>
      </c>
      <c r="D174" s="5">
        <f>(M36*($E36/366))+(M37*($E37/366))+(M38*($E38/366))</f>
        <v>14.78795946009061</v>
      </c>
      <c r="E174" s="18">
        <f t="shared" si="41"/>
        <v>100</v>
      </c>
      <c r="G174" s="1">
        <v>1972</v>
      </c>
      <c r="H174" s="409">
        <f>(O36/$R36*100*($E36/366))+(O37/$R37*100*($E37/366))+(O38/$R38*100*($E38/366))</f>
        <v>3.3878695042857614</v>
      </c>
      <c r="I174" s="409"/>
      <c r="J174" s="409">
        <f>(P36/$R36*100*($E36/366))+(P37/$R37*100*($E37/366))+(P38/$R38*100*($E38/366))</f>
        <v>88.553029848482538</v>
      </c>
      <c r="K174" s="409"/>
      <c r="L174" s="409">
        <f>(Q36/$R36*100*($E36/366))+(Q37/$R37*100*($E37/366))+(Q38/$R38*100*($E38/366))</f>
        <v>8.0591006472317108</v>
      </c>
      <c r="M174" s="409"/>
      <c r="N174" s="379">
        <f t="shared" si="42"/>
        <v>100.00000000000001</v>
      </c>
      <c r="O174" s="379"/>
      <c r="R174" s="1">
        <v>1972</v>
      </c>
      <c r="S174" s="5">
        <f>(O36*($E36/366))+(O37*($E37/366))+(O38*($E38/366))</f>
        <v>1.7040983606557376</v>
      </c>
      <c r="T174" s="5">
        <f>(P36*($E36/366))+(P37*($E37/366))+(P38*($E38/366))</f>
        <v>42.303278688524593</v>
      </c>
      <c r="U174" s="5">
        <f>(Q36*($E36/366))+(Q37*($E37/366))+(Q38*($E38/366))</f>
        <v>4.2639344262295076</v>
      </c>
      <c r="V174" s="9"/>
      <c r="W174" s="5">
        <f t="shared" si="43"/>
        <v>48.271311475409831</v>
      </c>
    </row>
    <row r="175" spans="1:54" x14ac:dyDescent="0.15">
      <c r="A175" s="1">
        <v>1973</v>
      </c>
      <c r="B175" s="5">
        <f>(K39*($E39/365))+(K40*($E40/365))</f>
        <v>10.537407797681769</v>
      </c>
      <c r="C175" s="5">
        <f>(L39*($E39/365))+(L40*($E40/365))</f>
        <v>65.426401656916539</v>
      </c>
      <c r="D175" s="5">
        <f>(M39*($E39/365))+(M40*($E40/365))</f>
        <v>24.036190545401695</v>
      </c>
      <c r="E175" s="18">
        <f t="shared" si="41"/>
        <v>100</v>
      </c>
      <c r="G175" s="1">
        <v>1973</v>
      </c>
      <c r="H175" s="409">
        <f>(O39/$R39*100*($E39/365))+(O40/$R40*100*($E40/365))</f>
        <v>4.4935864266456065</v>
      </c>
      <c r="I175" s="409"/>
      <c r="J175" s="409">
        <f>(P39/$R39*100*($E39/365))+(P40/$R40*100*($E40/365))</f>
        <v>81.593255546840822</v>
      </c>
      <c r="K175" s="409"/>
      <c r="L175" s="409">
        <f>(Q39/$R39*100*($E39/365))+(Q40/$R40*100*($E40/365))</f>
        <v>13.913158026513569</v>
      </c>
      <c r="M175" s="409"/>
      <c r="N175" s="379">
        <f t="shared" si="42"/>
        <v>100</v>
      </c>
      <c r="O175" s="379"/>
      <c r="R175" s="1">
        <v>1973</v>
      </c>
      <c r="S175" s="5">
        <f>(O39*($E39/365))+(O40*($E40/365))</f>
        <v>2.2602739726027394</v>
      </c>
      <c r="T175" s="5">
        <f>(P39*($E39/365))+(P40*($E40/365))</f>
        <v>43.093150684931501</v>
      </c>
      <c r="U175" s="5">
        <f>(Q39*($E39/365))+(Q40*($E40/365))</f>
        <v>7.6561643835616433</v>
      </c>
      <c r="V175" s="9"/>
      <c r="W175" s="5">
        <f t="shared" si="43"/>
        <v>53.009589041095886</v>
      </c>
    </row>
    <row r="176" spans="1:54" x14ac:dyDescent="0.15">
      <c r="A176" s="1">
        <v>1974</v>
      </c>
      <c r="B176" s="5">
        <f>(K41*($E41/365))+(K42*($E42/365))+(K43*($E43/365))</f>
        <v>0</v>
      </c>
      <c r="C176" s="5">
        <f>(L41*($E41/365))+(L42*($E42/365))+(L43*($E43/365))</f>
        <v>66.432905781039935</v>
      </c>
      <c r="D176" s="5">
        <f>(M41*($E41/365))+(M42*($E42/365))+(M43*($E43/365))</f>
        <v>33.567094218960072</v>
      </c>
      <c r="E176" s="18">
        <f t="shared" si="41"/>
        <v>100</v>
      </c>
      <c r="G176" s="1">
        <v>1974</v>
      </c>
      <c r="H176" s="409">
        <f>(O41/$R41*100*($E41/365))+(O42/$R42*100*($E42/365))+(O43/$R43*100*($E43/365))</f>
        <v>0</v>
      </c>
      <c r="I176" s="409"/>
      <c r="J176" s="409">
        <f>(P41/$R41*100*($E41/365))+(P42/$R42*100*($E42/365))+(P43/$R43*100*($E43/365))</f>
        <v>77.660153394894579</v>
      </c>
      <c r="K176" s="409"/>
      <c r="L176" s="409">
        <f>(Q41/$R41*100*($E41/365))+(Q42/$R42*100*($E42/365))+(Q43/$R43*100*($E43/365))</f>
        <v>22.339846605105421</v>
      </c>
      <c r="M176" s="409"/>
      <c r="N176" s="379">
        <f t="shared" si="42"/>
        <v>100</v>
      </c>
      <c r="O176" s="379"/>
      <c r="R176" s="1">
        <v>1974</v>
      </c>
      <c r="S176" s="5">
        <f>(O41*($E41/365))+(O42*($E42/365))+(O43*($E43/365))</f>
        <v>0</v>
      </c>
      <c r="T176" s="5">
        <f>(P41*($E41/365))+(P42*($E42/365))+(P43*($E43/365))</f>
        <v>43.069041095890412</v>
      </c>
      <c r="U176" s="5">
        <f>(Q41*($E41/365))+(Q42*($E42/365))+(Q43*($E43/365))</f>
        <v>12.77205479452055</v>
      </c>
      <c r="V176" s="9"/>
      <c r="W176" s="5">
        <f t="shared" si="43"/>
        <v>55.841095890410962</v>
      </c>
    </row>
    <row r="177" spans="1:25" x14ac:dyDescent="0.15">
      <c r="A177" s="1">
        <v>1975</v>
      </c>
      <c r="B177" s="5">
        <f>(K44*($E44/365))+(K45*($E45/365))</f>
        <v>0</v>
      </c>
      <c r="C177" s="5">
        <f>(L44*($E44/365))+(L45*($E45/365))</f>
        <v>100</v>
      </c>
      <c r="D177" s="5">
        <f>(M44*($E44/365))+(M45*($E45/365))</f>
        <v>0</v>
      </c>
      <c r="E177" s="18">
        <f t="shared" si="41"/>
        <v>100</v>
      </c>
      <c r="G177" s="1">
        <v>1975</v>
      </c>
      <c r="H177" s="409">
        <f>(O44/$R44*100*($E44/365))+(O45/$R45*100*($E45/365))</f>
        <v>0</v>
      </c>
      <c r="I177" s="409"/>
      <c r="J177" s="409">
        <f>(P44/$R44*100*($E44/365))+(P45/$R45*100*($E45/365))</f>
        <v>100</v>
      </c>
      <c r="K177" s="409"/>
      <c r="L177" s="409">
        <f>(Q44/$R44*100*($E44/365))+(Q45/$R45*100*($E45/365))</f>
        <v>0</v>
      </c>
      <c r="M177" s="409"/>
      <c r="N177" s="379">
        <f t="shared" si="42"/>
        <v>100</v>
      </c>
      <c r="O177" s="379"/>
      <c r="R177" s="1">
        <v>1975</v>
      </c>
      <c r="S177" s="5">
        <f>(O44*($E44/365))+(O45*($E45/365))</f>
        <v>0</v>
      </c>
      <c r="T177" s="5">
        <f>(P44*($E44/365))+(P45*($E45/365))</f>
        <v>44.6</v>
      </c>
      <c r="U177" s="5">
        <f>(Q44*($E44/365))+(Q45*($E45/365))</f>
        <v>0</v>
      </c>
      <c r="V177" s="9"/>
      <c r="W177" s="5">
        <f t="shared" si="43"/>
        <v>44.6</v>
      </c>
    </row>
    <row r="178" spans="1:25" x14ac:dyDescent="0.15">
      <c r="A178" s="1">
        <v>1976</v>
      </c>
      <c r="B178" s="5">
        <f>(K46*($E46/366))+(K47*($E47/366))+(K48*($E48/366))</f>
        <v>0</v>
      </c>
      <c r="C178" s="5">
        <f>(L46*($E46/366))+(L47*($E47/366))+(L48*($E48/366))</f>
        <v>98.062593144560367</v>
      </c>
      <c r="D178" s="5">
        <f>(M46*($E46/366))+(M47*($E47/366))+(M48*($E48/366))</f>
        <v>0</v>
      </c>
      <c r="E178" s="18">
        <f t="shared" si="41"/>
        <v>98.062593144560367</v>
      </c>
      <c r="G178" s="1">
        <v>1976</v>
      </c>
      <c r="H178" s="409">
        <f>(O46/$R46*100*($E46/366))+(O47/$R47*100*($E47/366))+(O48/$R48*100*($E48/366))</f>
        <v>0</v>
      </c>
      <c r="I178" s="409"/>
      <c r="J178" s="409">
        <f>(P46/$R46*100*($E46/366))+(P47/$R47*100*($E47/366))+(P48/$R48*100*($E48/366))</f>
        <v>100</v>
      </c>
      <c r="K178" s="409"/>
      <c r="L178" s="409">
        <f>(Q46/$R46*100*($E46/366))+(Q47/$R47*100*($E47/366))+(Q48/$R48*100*($E48/366))</f>
        <v>0</v>
      </c>
      <c r="M178" s="409"/>
      <c r="N178" s="379">
        <f t="shared" si="42"/>
        <v>100</v>
      </c>
      <c r="O178" s="379"/>
      <c r="R178" s="1">
        <v>1976</v>
      </c>
      <c r="S178" s="5">
        <f>(O46*($E46/366))+(O47*($E47/366))+(O48*($E48/366))</f>
        <v>0</v>
      </c>
      <c r="T178" s="5">
        <f>(P46*($E46/366))+(P47*($E47/366))+(P48*($E48/366))</f>
        <v>42.360109289617483</v>
      </c>
      <c r="U178" s="5">
        <f>(Q46*($E46/366))+(Q47*($E47/366))+(Q48*($E48/366))</f>
        <v>0</v>
      </c>
      <c r="V178" s="9"/>
      <c r="W178" s="5">
        <f t="shared" si="43"/>
        <v>42.360109289617483</v>
      </c>
    </row>
    <row r="179" spans="1:25" x14ac:dyDescent="0.15">
      <c r="A179" s="1">
        <v>1977</v>
      </c>
      <c r="B179" s="5">
        <f>(K49*($E49/365))+(K50*($E50/365))</f>
        <v>0</v>
      </c>
      <c r="C179" s="5">
        <f>(L49*($E49/365))+(L50*($E50/365))</f>
        <v>95.454545454545453</v>
      </c>
      <c r="D179" s="5">
        <f>(M49*($E49/365))+(M50*($E50/365))</f>
        <v>0</v>
      </c>
      <c r="E179" s="18">
        <f t="shared" si="41"/>
        <v>95.454545454545453</v>
      </c>
      <c r="G179" s="1">
        <v>1977</v>
      </c>
      <c r="H179" s="409">
        <f>(O49/$R49*100*($E49/365))+(O50/$R50*100*($E50/365))</f>
        <v>0</v>
      </c>
      <c r="I179" s="409"/>
      <c r="J179" s="409">
        <f>(P49/$R49*100*($E49/365))+(P50/$R50*100*($E50/365))</f>
        <v>100</v>
      </c>
      <c r="K179" s="409"/>
      <c r="L179" s="409">
        <f>(Q49/$R49*100*($E49/365))+(Q50/$R50*100*($E50/365))</f>
        <v>0</v>
      </c>
      <c r="M179" s="409"/>
      <c r="N179" s="379">
        <f t="shared" si="42"/>
        <v>100</v>
      </c>
      <c r="O179" s="379"/>
      <c r="R179" s="1">
        <v>1977</v>
      </c>
      <c r="S179" s="5">
        <f>(O49*($E49/365))+(O50*($E50/365))</f>
        <v>0</v>
      </c>
      <c r="T179" s="5">
        <f>(P49*($E49/365))+(P50*($E50/365))</f>
        <v>41.7</v>
      </c>
      <c r="U179" s="5">
        <f>(Q49*($E49/365))+(Q50*($E50/365))</f>
        <v>0</v>
      </c>
      <c r="V179" s="9"/>
      <c r="W179" s="5">
        <f t="shared" si="43"/>
        <v>41.7</v>
      </c>
    </row>
    <row r="180" spans="1:25" x14ac:dyDescent="0.15">
      <c r="A180" s="1">
        <v>1978</v>
      </c>
      <c r="B180" s="5">
        <f>(K51*($E51/365))+(K52*($E52/365))</f>
        <v>0</v>
      </c>
      <c r="C180" s="5">
        <f>(L51*($E51/365))+(L52*($E52/365))</f>
        <v>95.280199252801992</v>
      </c>
      <c r="D180" s="5">
        <f>(M51*($E51/365))+(M52*($E52/365))</f>
        <v>0</v>
      </c>
      <c r="E180" s="18">
        <f t="shared" si="41"/>
        <v>95.280199252801992</v>
      </c>
      <c r="G180" s="1">
        <v>1978</v>
      </c>
      <c r="H180" s="409">
        <f>(O51/$R51*100*($E51/365))+(O52/$R52*100*($E52/365))</f>
        <v>0</v>
      </c>
      <c r="I180" s="409"/>
      <c r="J180" s="409">
        <f>(P51/$R51*100*($E51/365))+(P52/$R52*100*($E52/365))</f>
        <v>100</v>
      </c>
      <c r="K180" s="409"/>
      <c r="L180" s="409">
        <f>(Q51/$R51*100*($E51/365))+(Q52/$R52*100*($E52/365))</f>
        <v>0</v>
      </c>
      <c r="M180" s="409"/>
      <c r="N180" s="379">
        <f t="shared" si="42"/>
        <v>100</v>
      </c>
      <c r="O180" s="379"/>
      <c r="R180" s="1">
        <v>1978</v>
      </c>
      <c r="S180" s="5">
        <f>(O51*($E51/365))+(O52*($E52/365))</f>
        <v>0</v>
      </c>
      <c r="T180" s="5">
        <f>(P51*($E51/365))+(P52*($E52/365))</f>
        <v>41.7</v>
      </c>
      <c r="U180" s="5">
        <f>(Q51*($E51/365))+(Q52*($E52/365))</f>
        <v>0</v>
      </c>
      <c r="V180" s="9"/>
      <c r="W180" s="5">
        <f t="shared" si="43"/>
        <v>41.7</v>
      </c>
    </row>
    <row r="181" spans="1:25" x14ac:dyDescent="0.15">
      <c r="A181" s="1">
        <v>1979</v>
      </c>
      <c r="B181" s="5">
        <f>(K53*($E53/365))+(K54*($E54/365))+(K55*($E55/365))</f>
        <v>3.2657534246575342</v>
      </c>
      <c r="C181" s="5">
        <f>(L53*($E53/365))+(L54*($E54/365))+(L55*($E55/365))</f>
        <v>78.756947162426613</v>
      </c>
      <c r="D181" s="5">
        <f>(M53*($E53/365))+(M54*($E54/365))+(M55*($E55/365))</f>
        <v>13.6808871493803</v>
      </c>
      <c r="E181" s="18">
        <f t="shared" si="41"/>
        <v>95.703587736464442</v>
      </c>
      <c r="G181" s="1">
        <v>1979</v>
      </c>
      <c r="H181" s="409">
        <f>(O53/$R53*100*($E53/365))+(O54/$R54*100*($E54/365))+(O55/$R55*100*($E55/365))</f>
        <v>1.3253869418252981</v>
      </c>
      <c r="I181" s="409"/>
      <c r="J181" s="409">
        <f>(P53/$R53*100*($E53/365))+(P54/$R54*100*($E54/365))+(P55/$R55*100*($E55/365))</f>
        <v>93.813142093268723</v>
      </c>
      <c r="K181" s="409"/>
      <c r="L181" s="409">
        <f>(Q53/$R53*100*($E53/365))+(Q54/$R54*100*($E54/365))+(Q55/$R55*100*($E55/365))</f>
        <v>4.861470964905978</v>
      </c>
      <c r="M181" s="409"/>
      <c r="N181" s="379">
        <f t="shared" si="42"/>
        <v>100</v>
      </c>
      <c r="O181" s="379"/>
      <c r="R181" s="1">
        <v>1979</v>
      </c>
      <c r="S181" s="5">
        <f>(O53*($E53/365))+(O54*($E54/365))+(O55*($E55/365))</f>
        <v>0.61232876712328765</v>
      </c>
      <c r="T181" s="5">
        <f>(P53*($E53/365))+(P54*($E54/365))+(P55*($E55/365))</f>
        <v>42.403287671232874</v>
      </c>
      <c r="U181" s="5">
        <f>(Q53*($E53/365))+(Q54*($E54/365))+(Q55*($E55/365))</f>
        <v>2.2479452054794518</v>
      </c>
      <c r="V181" s="9"/>
      <c r="W181" s="5">
        <f t="shared" si="43"/>
        <v>45.263561643835615</v>
      </c>
    </row>
    <row r="182" spans="1:25" x14ac:dyDescent="0.15">
      <c r="A182" s="1">
        <v>1980</v>
      </c>
      <c r="B182" s="5">
        <f>(K56*($E56/366))+(K57*($E57/366))+(K58*($E58/366))</f>
        <v>2.0546448087431695</v>
      </c>
      <c r="C182" s="5">
        <f>(L56*($E56/366))+(L57*($E57/366))+(L58*($E58/366))</f>
        <v>66.904299303206415</v>
      </c>
      <c r="D182" s="5">
        <f>(M56*($E56/366))+(M57*($E57/366))+(M58*($E58/366))</f>
        <v>28.986411079307256</v>
      </c>
      <c r="E182" s="18">
        <f t="shared" si="41"/>
        <v>97.945355191256837</v>
      </c>
      <c r="G182" s="1">
        <v>1980</v>
      </c>
      <c r="H182" s="409">
        <f>(O56/$R56*100*($E56/366))+(O57/$R57*100*($E57/366))+(O58/$R58*100*($E58/366))</f>
        <v>0.83386558796394872</v>
      </c>
      <c r="I182" s="409"/>
      <c r="J182" s="409">
        <f>(P56/$R56*100*($E56/366))+(P57/$R57*100*($E57/366))+(P58/$R58*100*($E58/366))</f>
        <v>82.785619355825901</v>
      </c>
      <c r="K182" s="409"/>
      <c r="L182" s="409">
        <f>(Q56/$R56*100*($E56/366))+(Q57/$R57*100*($E57/366))+(Q58/$R58*100*($E58/366))</f>
        <v>16.380515056210164</v>
      </c>
      <c r="M182" s="409"/>
      <c r="N182" s="379">
        <f t="shared" si="42"/>
        <v>100</v>
      </c>
      <c r="O182" s="379"/>
      <c r="R182" s="1">
        <v>1980</v>
      </c>
      <c r="S182" s="5">
        <f>(O56*($E56/366))+(O57*($E57/366))+(O58*($E58/366))</f>
        <v>0.38524590163934425</v>
      </c>
      <c r="T182" s="5">
        <f>(P56*($E56/366))+(P57*($E57/366))+(P58*($E58/366))</f>
        <v>43.183606557377054</v>
      </c>
      <c r="U182" s="5">
        <f>(Q56*($E56/366))+(Q57*($E57/366))+(Q58*($E58/366))</f>
        <v>8.7978142076502746</v>
      </c>
      <c r="V182" s="9"/>
      <c r="W182" s="5">
        <f t="shared" si="43"/>
        <v>52.366666666666674</v>
      </c>
    </row>
    <row r="183" spans="1:25" x14ac:dyDescent="0.15">
      <c r="A183" s="1">
        <v>1981</v>
      </c>
      <c r="B183" s="5">
        <f>(K59*($E59/365))+(K60*($E60/365))</f>
        <v>1.8297455968688845</v>
      </c>
      <c r="C183" s="5">
        <f>(L59*($E59/365))+(L60*($E60/365))</f>
        <v>61.810900920489956</v>
      </c>
      <c r="D183" s="5">
        <f>(M59*($E59/365))+(M60*($E60/365))</f>
        <v>36.359353482641154</v>
      </c>
      <c r="E183" s="18">
        <f t="shared" si="41"/>
        <v>100</v>
      </c>
      <c r="G183" s="1">
        <v>1981</v>
      </c>
      <c r="H183" s="409">
        <f>(O59/$R59*100*($E59/365))+(O60/$R60*100*($E60/365))</f>
        <v>1.3159129292550198</v>
      </c>
      <c r="I183" s="409"/>
      <c r="J183" s="409">
        <f>(P59/$R59*100*($E59/365))+(P60/$R60*100*($E60/365))</f>
        <v>75.96420059224306</v>
      </c>
      <c r="K183" s="409"/>
      <c r="L183" s="409">
        <f>(Q59/$R59*100*($E59/365))+(Q60/$R60*100*($E60/365))</f>
        <v>22.71988647850192</v>
      </c>
      <c r="M183" s="409"/>
      <c r="N183" s="379">
        <f t="shared" si="42"/>
        <v>100</v>
      </c>
      <c r="O183" s="379"/>
      <c r="R183" s="1">
        <v>1981</v>
      </c>
      <c r="S183" s="5">
        <f>(O59*($E59/365))+(O60*($E60/365))</f>
        <v>0.76849315068493151</v>
      </c>
      <c r="T183" s="5">
        <f>(P59*($E59/365))+(P60*($E60/365))</f>
        <v>43.8</v>
      </c>
      <c r="U183" s="5">
        <f>(Q59*($E59/365))+(Q60*($E60/365))</f>
        <v>13.1</v>
      </c>
      <c r="V183" s="9"/>
      <c r="W183" s="5">
        <f t="shared" si="43"/>
        <v>57.668493150684931</v>
      </c>
    </row>
    <row r="184" spans="1:25" x14ac:dyDescent="0.15">
      <c r="A184" s="1">
        <v>1982</v>
      </c>
      <c r="B184" s="5">
        <f>(K61*($E61/365))+(K62*($E62/365))+(K63*($E63/365))</f>
        <v>3.7769080234833652</v>
      </c>
      <c r="C184" s="5">
        <f>(L61*($E61/365))+(L62*($E62/365))+(L63*($E63/365))</f>
        <v>60.097847358121328</v>
      </c>
      <c r="D184" s="5">
        <f>(M61*($E61/365))+(M62*($E62/365))+(M63*($E63/365))</f>
        <v>36.125244618395307</v>
      </c>
      <c r="E184" s="18">
        <f t="shared" si="41"/>
        <v>100</v>
      </c>
      <c r="G184" s="1">
        <v>1982</v>
      </c>
      <c r="H184" s="409">
        <f>(O61/$R61*100*($E61/365))+(O62/$R62*100*($E62/365))+(O63/$R63*100*($E63/365))</f>
        <v>2.5748264214674426</v>
      </c>
      <c r="I184" s="409"/>
      <c r="J184" s="409">
        <f>(P61/$R61*100*($E61/365))+(P62/$R62*100*($E62/365))+(P63/$R63*100*($E63/365))</f>
        <v>74.938356164383563</v>
      </c>
      <c r="K184" s="409"/>
      <c r="L184" s="409">
        <f>(Q61/$R61*100*($E61/365))+(Q62/$R62*100*($E62/365))+(Q63/$R63*100*($E63/365))</f>
        <v>22.486817414148998</v>
      </c>
      <c r="M184" s="409"/>
      <c r="N184" s="379">
        <f t="shared" si="42"/>
        <v>100.00000000000001</v>
      </c>
      <c r="O184" s="379"/>
      <c r="R184" s="1">
        <v>1982</v>
      </c>
      <c r="S184" s="5">
        <f>(O61*($E61/365))+(O62*($E62/365))+(O63*($E63/365))</f>
        <v>1.5</v>
      </c>
      <c r="T184" s="5">
        <f>(P61*($E61/365))+(P62*($E62/365))+(P63*($E63/365))</f>
        <v>43.661917808219179</v>
      </c>
      <c r="U184" s="5">
        <f>(Q61*($E61/365))+(Q62*($E62/365))+(Q63*($E63/365))</f>
        <v>13.1</v>
      </c>
      <c r="V184" s="9"/>
      <c r="W184" s="5">
        <f t="shared" si="43"/>
        <v>58.261917808219181</v>
      </c>
    </row>
    <row r="185" spans="1:25" x14ac:dyDescent="0.15">
      <c r="A185" s="1">
        <v>1983</v>
      </c>
      <c r="B185" s="5">
        <f>(K64*($E64/365))+(K65*($E65/365))</f>
        <v>6.9471624266144811</v>
      </c>
      <c r="C185" s="5">
        <f>(L64*($E64/365))+(L65*($E65/365))</f>
        <v>55.479452054794521</v>
      </c>
      <c r="D185" s="5">
        <f>(M64*($E64/365))+(M65*($E65/365))</f>
        <v>37.573385518590996</v>
      </c>
      <c r="E185" s="18">
        <f t="shared" si="41"/>
        <v>100</v>
      </c>
      <c r="G185" s="1">
        <v>1983</v>
      </c>
      <c r="H185" s="409">
        <f>(O64/$R64*100*($E64/365))+(O65/$R65*100*($E65/365))</f>
        <v>3.346114398887134</v>
      </c>
      <c r="I185" s="409"/>
      <c r="J185" s="409">
        <f>(P64/$R64*100*($E64/365))+(P65/$R65*100*($E65/365))</f>
        <v>72.052377808690721</v>
      </c>
      <c r="K185" s="409"/>
      <c r="L185" s="409">
        <f>(Q64/$R64*100*($E64/365))+(Q65/$R65*100*($E65/365))</f>
        <v>24.601507792422137</v>
      </c>
      <c r="M185" s="409"/>
      <c r="N185" s="379">
        <f t="shared" si="42"/>
        <v>100</v>
      </c>
      <c r="O185" s="379"/>
      <c r="R185" s="1">
        <v>1983</v>
      </c>
      <c r="S185" s="5">
        <f>(O64*($E64/365))+(O65*($E65/365))</f>
        <v>1.9109589041095889</v>
      </c>
      <c r="T185" s="5">
        <f>(P64*($E64/365))+(P65*($E65/365))</f>
        <v>40.947945205479449</v>
      </c>
      <c r="U185" s="5">
        <f>(Q64*($E64/365))+(Q65*($E65/365))</f>
        <v>14.004109589041096</v>
      </c>
      <c r="V185" s="9"/>
      <c r="W185" s="5">
        <f t="shared" si="43"/>
        <v>56.863013698630141</v>
      </c>
    </row>
    <row r="186" spans="1:25" x14ac:dyDescent="0.15">
      <c r="A186" s="1">
        <v>1984</v>
      </c>
      <c r="B186" s="5">
        <f>(K66*($E66/366))+(K67*($E67/366))</f>
        <v>6.666666666666667</v>
      </c>
      <c r="C186" s="5">
        <f>(L66*($E66/366))+(L67*($E67/366))</f>
        <v>63.333333333333329</v>
      </c>
      <c r="D186" s="5">
        <f>(M66*($E66/366))+(M67*($E67/366))</f>
        <v>30</v>
      </c>
      <c r="E186" s="18">
        <f t="shared" si="41"/>
        <v>100</v>
      </c>
      <c r="G186" s="1">
        <v>1984</v>
      </c>
      <c r="H186" s="409">
        <f>(O66/$R66*100*($E66/366))+(O67/$R67*100*($E67/366))</f>
        <v>4.3029259896729783</v>
      </c>
      <c r="I186" s="409"/>
      <c r="J186" s="409">
        <f>(P66/$R66*100*($E66/366))+(P67/$R67*100*($E67/366))</f>
        <v>69.363166953528406</v>
      </c>
      <c r="K186" s="409"/>
      <c r="L186" s="409">
        <f>(Q66/$R66*100*($E66/366))+(Q67/$R67*100*($E67/366))</f>
        <v>26.333907056798626</v>
      </c>
      <c r="M186" s="409"/>
      <c r="N186" s="379">
        <f t="shared" si="42"/>
        <v>100.00000000000001</v>
      </c>
      <c r="O186" s="379"/>
      <c r="R186" s="1">
        <v>1984</v>
      </c>
      <c r="S186" s="5">
        <f>(O66*($E66/366))+(O67*($E67/366))</f>
        <v>2.5</v>
      </c>
      <c r="T186" s="5">
        <f>(P66*($E66/366))+(P67*($E67/366))</f>
        <v>40.299999999999997</v>
      </c>
      <c r="U186" s="5">
        <f>(Q66*($E66/366))+(Q67*($E67/366))</f>
        <v>15.3</v>
      </c>
      <c r="V186" s="9"/>
      <c r="W186" s="5">
        <f t="shared" si="43"/>
        <v>58.099999999999994</v>
      </c>
    </row>
    <row r="187" spans="1:25" x14ac:dyDescent="0.15">
      <c r="A187" s="1">
        <v>1985</v>
      </c>
      <c r="B187" s="5">
        <f>(K68*($E68/365))+(K69*($E69/365))</f>
        <v>6.666666666666667</v>
      </c>
      <c r="C187" s="5">
        <f>(L68*($E68/365))+(L69*($E69/365))</f>
        <v>63.333333333333329</v>
      </c>
      <c r="D187" s="5">
        <f>(M68*($E68/365))+(M69*($E69/365))</f>
        <v>30</v>
      </c>
      <c r="E187" s="18">
        <f t="shared" si="41"/>
        <v>100</v>
      </c>
      <c r="G187" s="1">
        <v>1985</v>
      </c>
      <c r="H187" s="409">
        <f>(O68/$R68*100*($E68/365))+(O69/$R69*100*($E69/365))</f>
        <v>4.3029259896729783</v>
      </c>
      <c r="I187" s="409"/>
      <c r="J187" s="409">
        <f>(P68/$R68*100*($E68/365))+(P69/$R69*100*($E69/365))</f>
        <v>69.363166953528406</v>
      </c>
      <c r="K187" s="409"/>
      <c r="L187" s="409">
        <f>(Q68/$R68*100*($E68/365))+(Q69/$R69*100*($E69/365))</f>
        <v>26.333907056798626</v>
      </c>
      <c r="M187" s="409"/>
      <c r="N187" s="379">
        <f t="shared" si="42"/>
        <v>100.00000000000001</v>
      </c>
      <c r="O187" s="379"/>
      <c r="R187" s="1">
        <v>1985</v>
      </c>
      <c r="S187" s="5">
        <f>(O68*($E68/365))+(O69*($E69/365))</f>
        <v>2.5</v>
      </c>
      <c r="T187" s="5">
        <f>(P68*($E68/365))+(P69*($E69/365))</f>
        <v>40.299999999999997</v>
      </c>
      <c r="U187" s="5">
        <f>(Q68*($E68/365))+(Q69*($E69/365))</f>
        <v>15.3</v>
      </c>
      <c r="V187" s="9"/>
      <c r="W187" s="5">
        <f t="shared" si="43"/>
        <v>58.099999999999994</v>
      </c>
    </row>
    <row r="188" spans="1:25" x14ac:dyDescent="0.15">
      <c r="A188" s="1">
        <v>1986</v>
      </c>
      <c r="B188" s="5">
        <f>(K70*($E70/365))+(K71*($E71/365))</f>
        <v>6.6666666666666679</v>
      </c>
      <c r="C188" s="5">
        <f>(L70*($E70/365))+(L71*($E71/365))</f>
        <v>63.333333333333329</v>
      </c>
      <c r="D188" s="5">
        <f>(M70*($E70/365))+(M71*($E71/365))</f>
        <v>30</v>
      </c>
      <c r="E188" s="18">
        <f t="shared" si="41"/>
        <v>100</v>
      </c>
      <c r="G188" s="1">
        <v>1986</v>
      </c>
      <c r="H188" s="409">
        <f>(O71/$R71*100*($E71/365))+(O70/$R70*100*($E70/365))</f>
        <v>4.3029259896729783</v>
      </c>
      <c r="I188" s="409"/>
      <c r="J188" s="409">
        <f>(P71/$R71*100*($E71/365))+(P70/$R70*100*($E70/365))</f>
        <v>69.363166953528406</v>
      </c>
      <c r="K188" s="409"/>
      <c r="L188" s="409">
        <f>(Q71/$R71*100*($E71/365))+(Q70/$R70*100*($E70/365))</f>
        <v>26.33390705679863</v>
      </c>
      <c r="M188" s="409"/>
      <c r="N188" s="379">
        <f>H188+J188+L188</f>
        <v>100.00000000000003</v>
      </c>
      <c r="O188" s="379"/>
      <c r="R188" s="1">
        <v>1986</v>
      </c>
      <c r="S188" s="5">
        <f>(O70*($E70/365))+(O71*($E71/365))</f>
        <v>2.5</v>
      </c>
      <c r="T188" s="5">
        <f>(P70*($E70/365))+(P71*($E71/365))</f>
        <v>40.299999999999997</v>
      </c>
      <c r="U188" s="5">
        <f>(Q70*($E70/365))+(Q71*($E71/365))</f>
        <v>15.3</v>
      </c>
      <c r="V188" s="9"/>
      <c r="W188" s="5">
        <f t="shared" si="43"/>
        <v>58.099999999999994</v>
      </c>
    </row>
    <row r="189" spans="1:25" x14ac:dyDescent="0.15">
      <c r="A189" s="1">
        <v>1987</v>
      </c>
      <c r="B189" s="5">
        <f>(K72*($E72/365))+(K73*($E73/365))+(K74*($E74/365))</f>
        <v>3.3789954337899548</v>
      </c>
      <c r="C189" s="5">
        <f>(L72*($E72/365))+(L73*($E73/365))+(L74*($E74/365))</f>
        <v>62.094977168949775</v>
      </c>
      <c r="D189" s="5">
        <f>(M72*($E72/365))+(M73*($E73/365))+(M74*($E74/365))</f>
        <v>24.465753424657535</v>
      </c>
      <c r="E189" s="18">
        <f t="shared" si="41"/>
        <v>89.939726027397271</v>
      </c>
      <c r="G189" s="1">
        <v>1987</v>
      </c>
      <c r="H189" s="409">
        <f>(O72/$R72*100*($E72/365))+(O73/$R73*100*($E73/365))+(O74/$R74*100*($E74/365))</f>
        <v>2.478449825815471</v>
      </c>
      <c r="I189" s="409"/>
      <c r="J189" s="409">
        <f>(P72/$R72*100*($E72/365))+(P73/$R73*100*($E73/365))+(P74/$R74*100*($E74/365))</f>
        <v>77.201761051028853</v>
      </c>
      <c r="K189" s="409"/>
      <c r="L189" s="409">
        <f>(Q72/$R72*100*($E72/365))+(Q73/$R73*100*($E73/365))+(Q74/$R74*100*($E74/365))</f>
        <v>20.319789123155687</v>
      </c>
      <c r="M189" s="409"/>
      <c r="N189" s="379">
        <f t="shared" si="42"/>
        <v>100.00000000000001</v>
      </c>
      <c r="O189" s="379"/>
      <c r="R189" s="1">
        <v>1987</v>
      </c>
      <c r="S189" s="5">
        <f>(O72*($E72/365))+(O73*($E73/365))+(O74*($E74/365))</f>
        <v>1.4594520547945207</v>
      </c>
      <c r="T189" s="5">
        <f>(P72*($E72/365))+(P73*($E73/365))+(P74*($E74/365))</f>
        <v>39.057260273972602</v>
      </c>
      <c r="U189" s="5">
        <f>(Q72*($E72/365))+(Q73*($E73/365))+(Q74*($E74/365))</f>
        <v>12.007397260273974</v>
      </c>
      <c r="V189" s="9"/>
      <c r="W189" s="5">
        <f t="shared" si="43"/>
        <v>52.524109589041096</v>
      </c>
    </row>
    <row r="190" spans="1:25" x14ac:dyDescent="0.15">
      <c r="A190" s="1">
        <v>1988</v>
      </c>
      <c r="B190" s="5">
        <f>(K75*($E75/366))+(K76*($E76/366))</f>
        <v>3.3333333333333339</v>
      </c>
      <c r="C190" s="5">
        <f>(L75*($E75/366))+(L76*($E76/366))</f>
        <v>62.395264116575589</v>
      </c>
      <c r="D190" s="5">
        <f>(M75*($E75/366))+(M76*($E76/366))</f>
        <v>34.271402550091068</v>
      </c>
      <c r="E190" s="18">
        <f t="shared" si="41"/>
        <v>99.999999999999986</v>
      </c>
      <c r="G190" s="1">
        <v>1988</v>
      </c>
      <c r="H190" s="409">
        <f>(O75/$R75*100*($E75/366))+(O76/$R76*100*($E76/366))</f>
        <v>2.8475711892797317</v>
      </c>
      <c r="I190" s="409"/>
      <c r="J190" s="409">
        <f>(P75/$R75*100*($E75/366))+(P76/$R76*100*($E76/366))</f>
        <v>67.671691792294794</v>
      </c>
      <c r="K190" s="409"/>
      <c r="L190" s="409">
        <f>(Q75/$R75*100*($E75/366))+(Q76/$R76*100*($E76/366))</f>
        <v>29.480737018425465</v>
      </c>
      <c r="M190" s="409"/>
      <c r="N190" s="379">
        <f t="shared" si="42"/>
        <v>100</v>
      </c>
      <c r="O190" s="379"/>
      <c r="R190" s="1">
        <v>1988</v>
      </c>
      <c r="S190" s="5">
        <f>(O75*($E75/366))+(O76*($E76/366))</f>
        <v>1.7</v>
      </c>
      <c r="T190" s="5">
        <f>(P75*($E75/366))+(P76*($E76/366))</f>
        <v>40.4</v>
      </c>
      <c r="U190" s="5">
        <f>(Q75*($E75/366))+(Q76*($E76/366))</f>
        <v>17.600000000000001</v>
      </c>
      <c r="V190" s="9"/>
      <c r="W190" s="5">
        <f t="shared" si="43"/>
        <v>59.7</v>
      </c>
    </row>
    <row r="191" spans="1:25" x14ac:dyDescent="0.15">
      <c r="A191" s="1">
        <v>1989</v>
      </c>
      <c r="B191" s="5">
        <f>(K77*($E77/365))+(K78*($E78/365))</f>
        <v>4.627853881278539</v>
      </c>
      <c r="C191" s="5">
        <f>(L77*($E77/365))+(L78*($E78/365))</f>
        <v>60.189497716894977</v>
      </c>
      <c r="D191" s="5">
        <f>(M77*($E77/365))+(M78*($E78/365))</f>
        <v>35.182648401826484</v>
      </c>
      <c r="E191" s="18">
        <f t="shared" si="41"/>
        <v>100</v>
      </c>
      <c r="G191" s="1">
        <v>1989</v>
      </c>
      <c r="H191" s="409">
        <f>(O77/$R77*100*($E77/365))+(O78/$R78*100*($E78/365))</f>
        <v>2.8475711892797317</v>
      </c>
      <c r="I191" s="409"/>
      <c r="J191" s="409">
        <f>(P77/$R77*100*($E77/365))+(P78/$R78*100*($E78/365))</f>
        <v>67.671691792294794</v>
      </c>
      <c r="K191" s="409"/>
      <c r="L191" s="409">
        <f>(Q77/$R77*100*($E77/365))+(Q78/$R78*100*($E78/365))</f>
        <v>29.480737018425462</v>
      </c>
      <c r="M191" s="409"/>
      <c r="N191" s="379">
        <f t="shared" si="42"/>
        <v>99.999999999999986</v>
      </c>
      <c r="O191" s="379"/>
      <c r="R191" s="1">
        <v>1989</v>
      </c>
      <c r="S191" s="5">
        <f>(O77*($E77/365))+(O78*($E78/365))</f>
        <v>1.7000000000000002</v>
      </c>
      <c r="T191" s="5">
        <f>(P77*($E77/365))+(P78*($E78/365))</f>
        <v>40.4</v>
      </c>
      <c r="U191" s="5">
        <f>(Q77*($E77/365))+(Q78*($E78/365))</f>
        <v>17.600000000000001</v>
      </c>
      <c r="V191" s="9"/>
      <c r="W191" s="5">
        <f t="shared" si="43"/>
        <v>59.7</v>
      </c>
    </row>
    <row r="192" spans="1:25" x14ac:dyDescent="0.15">
      <c r="A192" s="1">
        <v>1990</v>
      </c>
      <c r="B192" s="5">
        <f>(K79*($E79/365))+(K80*($E80/365))</f>
        <v>6.666666666666667</v>
      </c>
      <c r="C192" s="5">
        <f>(L79*($E79/365))+(L80*($E80/365))</f>
        <v>56.666666666666664</v>
      </c>
      <c r="D192" s="5">
        <f>(M79*($E79/365))+(M80*($E80/365))</f>
        <v>36.666666666666664</v>
      </c>
      <c r="E192" s="18">
        <f t="shared" si="41"/>
        <v>100</v>
      </c>
      <c r="G192" s="1">
        <v>1990</v>
      </c>
      <c r="H192" s="409">
        <f>(O79/$R79*100*($E79/365))+(O80/$R80*100*($E80/365))</f>
        <v>2.8475711892797317</v>
      </c>
      <c r="I192" s="409"/>
      <c r="J192" s="409">
        <f>(P79/$R79*100*($E79/365))+(P80/$R80*100*($E80/365))</f>
        <v>67.671691792294794</v>
      </c>
      <c r="K192" s="409"/>
      <c r="L192" s="409">
        <f>(Q79/$R79*100*($E79/365))+(Q80/$R80*100*($E80/365))</f>
        <v>29.480737018425462</v>
      </c>
      <c r="M192" s="409"/>
      <c r="N192" s="379">
        <f t="shared" si="42"/>
        <v>99.999999999999986</v>
      </c>
      <c r="O192" s="379"/>
      <c r="R192" s="1">
        <v>1990</v>
      </c>
      <c r="S192" s="5">
        <f>(O79*($E79/365))+(O80*($E80/365))</f>
        <v>1.7</v>
      </c>
      <c r="T192" s="5">
        <f>(P79*($E79/365))+(P80*($E80/365))</f>
        <v>40.4</v>
      </c>
      <c r="U192" s="5">
        <f>(Q79*($E79/365))+(Q80*($E80/365))</f>
        <v>17.600000000000001</v>
      </c>
      <c r="V192" s="9"/>
      <c r="W192" s="5">
        <f t="shared" si="43"/>
        <v>59.7</v>
      </c>
      <c r="Y192" s="20"/>
    </row>
    <row r="193" spans="1:25" x14ac:dyDescent="0.15">
      <c r="A193" s="1">
        <v>1991</v>
      </c>
      <c r="B193" s="5">
        <f>(K81*($E81/365))+(K82*($E82/365))</f>
        <v>6.666666666666667</v>
      </c>
      <c r="C193" s="5">
        <f>(L81*($E81/365))+(L82*($E82/365))</f>
        <v>54.31963470319635</v>
      </c>
      <c r="D193" s="5">
        <f>(M81*($E81/365))+(M82*($E82/365))</f>
        <v>39.013698630136986</v>
      </c>
      <c r="E193" s="18">
        <f t="shared" si="41"/>
        <v>100</v>
      </c>
      <c r="G193" s="1">
        <v>1991</v>
      </c>
      <c r="H193" s="409">
        <f>(O82/$R82*100*($E82/365))+(O81/$R81*100*($E81/365))</f>
        <v>2.9648851466113229</v>
      </c>
      <c r="I193" s="409"/>
      <c r="J193" s="409">
        <f>(P82/$R82*100*($E82/365))+(P81/$R81*100*($E81/365))</f>
        <v>66.339833335530273</v>
      </c>
      <c r="K193" s="409"/>
      <c r="L193" s="409">
        <f>(Q82/$R82*100*($E82/365))+(Q81/$R81*100*($E81/365))</f>
        <v>30.695281517858405</v>
      </c>
      <c r="M193" s="409"/>
      <c r="N193" s="379">
        <f t="shared" si="42"/>
        <v>100</v>
      </c>
      <c r="O193" s="379"/>
      <c r="R193" s="1">
        <v>1991</v>
      </c>
      <c r="S193" s="5">
        <f>(O81*($E81/365))+(O82*($E82/365))</f>
        <v>1.7</v>
      </c>
      <c r="T193" s="5">
        <f>(P81*($E81/365))+(P82*($E82/365))</f>
        <v>38.076438356164388</v>
      </c>
      <c r="U193" s="5">
        <f>(Q81*($E81/365))+(Q82*($E82/365))</f>
        <v>17.600000000000001</v>
      </c>
      <c r="V193" s="9"/>
      <c r="W193" s="5">
        <f t="shared" si="43"/>
        <v>57.376438356164392</v>
      </c>
      <c r="Y193" s="20"/>
    </row>
    <row r="194" spans="1:25" x14ac:dyDescent="0.15">
      <c r="A194" s="1">
        <v>1992</v>
      </c>
      <c r="B194" s="5">
        <f>(K83*($E83/366))+(K84*($E84/366))+(K85*($E85/366))</f>
        <v>7.1906963710242406</v>
      </c>
      <c r="C194" s="5">
        <f>(L83*($E83/366))+(L84*($E84/366))+(L85*($E85/366))</f>
        <v>43.76979122880762</v>
      </c>
      <c r="D194" s="5">
        <f>(M83*($E83/366))+(M84*($E84/366))+(M85*($E85/366))</f>
        <v>37.248844052122742</v>
      </c>
      <c r="E194" s="18">
        <f t="shared" si="41"/>
        <v>88.209331651954599</v>
      </c>
      <c r="G194" s="1">
        <v>1992</v>
      </c>
      <c r="H194" s="409">
        <f>(O83/$R83*100*($E83/366))+(O84/$R84*100*($E84/366))+(O85/$R85*100*($E85/366))</f>
        <v>4.1017849530231807</v>
      </c>
      <c r="I194" s="409"/>
      <c r="J194" s="409">
        <f>(P83/$R83*100*($E83/366))+(P84/$R84*100*($E84/366))+(P85/$R85*100*($E85/366))</f>
        <v>63.99473759972539</v>
      </c>
      <c r="K194" s="409"/>
      <c r="L194" s="409">
        <f>(Q83/$R83*100*($E83/366))+(Q84/$R84*100*($E84/366))+(Q85/$R85*100*($E85/366))</f>
        <v>31.903477447251426</v>
      </c>
      <c r="M194" s="409"/>
      <c r="N194" s="379">
        <f t="shared" si="42"/>
        <v>100</v>
      </c>
      <c r="O194" s="379"/>
      <c r="R194" s="1">
        <v>1992</v>
      </c>
      <c r="S194" s="5">
        <f>(O83*($E83/366))+(O84*($E84/366))+(O85*($E85/366))</f>
        <v>2.2109289617486341</v>
      </c>
      <c r="T194" s="5">
        <f>(P83*($E83/366))+(P84*($E84/366))+(P85*($E85/366))</f>
        <v>34.851912568306012</v>
      </c>
      <c r="U194" s="5">
        <f>(Q83*($E83/366))+(Q84*($E84/366))+(Q85*($E85/366))</f>
        <v>17.344535519125685</v>
      </c>
      <c r="V194" s="9"/>
      <c r="W194" s="5">
        <f t="shared" si="43"/>
        <v>54.407377049180333</v>
      </c>
      <c r="Y194" s="20"/>
    </row>
    <row r="195" spans="1:25" x14ac:dyDescent="0.15">
      <c r="A195" s="1">
        <v>1993</v>
      </c>
      <c r="B195" s="5">
        <f>(K86*($E86/365))+(K87*($E87/365))</f>
        <v>5.2746048472075877</v>
      </c>
      <c r="C195" s="5">
        <f>(L86*($E86/365))+(L87*($E87/365))</f>
        <v>30.283667017913597</v>
      </c>
      <c r="D195" s="5">
        <f>(M86*($E86/365))+(M87*($E87/365))</f>
        <v>27.664488935721813</v>
      </c>
      <c r="E195" s="18">
        <f t="shared" si="41"/>
        <v>63.222760800842998</v>
      </c>
      <c r="G195" s="1">
        <v>1993</v>
      </c>
      <c r="H195" s="409">
        <f>(O86/$R86*100*($E86/365))+(O87/$R87*100*($E87/365))</f>
        <v>5.1428571428571423</v>
      </c>
      <c r="I195" s="409"/>
      <c r="J195" s="409">
        <f>(P86/$R86*100*($E86/365))+(P87/$R87*100*($E87/365))</f>
        <v>62.285714285714278</v>
      </c>
      <c r="K195" s="409"/>
      <c r="L195" s="409">
        <f>(Q86/$R86*100*($E86/365))+(Q87/$R87*100*($E87/365))</f>
        <v>32.571428571428569</v>
      </c>
      <c r="M195" s="409"/>
      <c r="N195" s="379">
        <f t="shared" si="42"/>
        <v>99.999999999999986</v>
      </c>
      <c r="O195" s="379"/>
      <c r="R195" s="1">
        <v>1993</v>
      </c>
      <c r="S195" s="5">
        <f>(O86*($E86/365))+(O87*($E87/365))</f>
        <v>2.7</v>
      </c>
      <c r="T195" s="5">
        <f>(P86*($E86/365))+(P87*($E87/365))</f>
        <v>32.700000000000003</v>
      </c>
      <c r="U195" s="5">
        <f>(Q86*($E86/365))+(Q87*($E87/365))</f>
        <v>17.100000000000001</v>
      </c>
      <c r="V195" s="9"/>
      <c r="W195" s="5">
        <f t="shared" si="43"/>
        <v>52.500000000000007</v>
      </c>
      <c r="Y195" s="20"/>
    </row>
    <row r="196" spans="1:25" x14ac:dyDescent="0.15">
      <c r="A196" s="1">
        <v>1994</v>
      </c>
      <c r="B196" s="5">
        <f>(K88*($E88/365))+(K89*($E89/365))</f>
        <v>48.663435194942039</v>
      </c>
      <c r="C196" s="5">
        <f>(L88*($E88/365))+(L89*($E89/365))</f>
        <v>19.843203371970496</v>
      </c>
      <c r="D196" s="5">
        <f>(M88*($E88/365))+(M89*($E89/365))</f>
        <v>8.4821917808219176</v>
      </c>
      <c r="E196" s="18">
        <f t="shared" si="41"/>
        <v>76.988830347734449</v>
      </c>
      <c r="G196" s="1">
        <v>1994</v>
      </c>
      <c r="H196" s="409">
        <f>(O88/$R88*100*($E88/365))+(O89/$R89*100*($E89/365))</f>
        <v>60.555795044238032</v>
      </c>
      <c r="I196" s="409"/>
      <c r="J196" s="409">
        <f>(P88/$R88*100*($E88/365))+(P89/$R89*100*($E89/365))</f>
        <v>27.932658967503652</v>
      </c>
      <c r="K196" s="409"/>
      <c r="L196" s="409">
        <f>(Q88/$R88*100*($E88/365))+(Q89/$R89*100*($E89/365))</f>
        <v>11.511545988258316</v>
      </c>
      <c r="M196" s="409"/>
      <c r="N196" s="379">
        <f t="shared" si="42"/>
        <v>100</v>
      </c>
      <c r="O196" s="379"/>
      <c r="R196" s="1">
        <v>1994</v>
      </c>
      <c r="S196" s="5">
        <f>(O88*($E88/365))+(O89*($E89/365))</f>
        <v>34.317534246575342</v>
      </c>
      <c r="T196" s="5">
        <f>(P88*($E88/365))+(P89*($E89/365))</f>
        <v>14.919178082191783</v>
      </c>
      <c r="U196" s="5">
        <f>(Q88*($E88/365))+(Q89*($E89/365))</f>
        <v>6.0435616438356172</v>
      </c>
      <c r="V196" s="9"/>
      <c r="W196" s="5">
        <f t="shared" si="43"/>
        <v>55.280273972602743</v>
      </c>
      <c r="Y196" s="20"/>
    </row>
    <row r="197" spans="1:25" x14ac:dyDescent="0.15">
      <c r="A197" s="1">
        <v>1995</v>
      </c>
      <c r="B197" s="5">
        <f>(K90*($E90/365))+(K91*($E91/365))</f>
        <v>3.2033719704952577</v>
      </c>
      <c r="C197" s="5">
        <f>(L90*($E90/365))+(L91*($E91/365))</f>
        <v>0.67439409905163328</v>
      </c>
      <c r="D197" s="5">
        <f>(M90*($E90/365))+(M91*($E91/365))</f>
        <v>0</v>
      </c>
      <c r="E197" s="18">
        <f t="shared" si="41"/>
        <v>3.8777660695468912</v>
      </c>
      <c r="G197" s="1">
        <v>1995</v>
      </c>
      <c r="H197" s="409">
        <f>(O90/$R90*100*($E90/365))</f>
        <v>3.9822496623577082</v>
      </c>
      <c r="I197" s="409"/>
      <c r="J197" s="409">
        <f>(P90/$R90*100*($E90/365))</f>
        <v>0.40131198147790859</v>
      </c>
      <c r="K197" s="409"/>
      <c r="L197" s="409">
        <f>(Q90/$R90*100*($E90/365))</f>
        <v>0</v>
      </c>
      <c r="M197" s="409"/>
      <c r="N197" s="379">
        <f t="shared" si="42"/>
        <v>4.3835616438356171</v>
      </c>
      <c r="O197" s="379"/>
      <c r="R197" s="1">
        <v>1995</v>
      </c>
      <c r="S197" s="5">
        <f>(O90*($E90/365))+(O91*($E91/365))</f>
        <v>2.2619178082191782</v>
      </c>
      <c r="T197" s="5">
        <f>(P90*($E90/365))+(P91*($E91/365))</f>
        <v>0.22794520547945207</v>
      </c>
      <c r="U197" s="5">
        <f>(Q90*($E90/365))+(Q91*($E91/365))</f>
        <v>0</v>
      </c>
      <c r="V197" s="9"/>
      <c r="W197" s="5">
        <f t="shared" si="43"/>
        <v>2.4898630136986304</v>
      </c>
      <c r="Y197" s="20"/>
    </row>
    <row r="198" spans="1:25" x14ac:dyDescent="0.15">
      <c r="A198" s="1">
        <v>1996</v>
      </c>
      <c r="B198" s="5">
        <f>(K92*($E92/366))+(K93*($E93/366))</f>
        <v>0</v>
      </c>
      <c r="C198" s="5">
        <f>(L92*($E92/366))+(L93*($E93/366))</f>
        <v>23.835545147020557</v>
      </c>
      <c r="D198" s="5">
        <f>(M92*($E92/366))+(M93*($E93/366))</f>
        <v>29.794431433775692</v>
      </c>
      <c r="E198" s="18">
        <f t="shared" si="41"/>
        <v>53.629976580796253</v>
      </c>
      <c r="G198" s="1">
        <v>1996</v>
      </c>
      <c r="H198" s="409">
        <f>(O93/$R93*100*($E93/366))</f>
        <v>0</v>
      </c>
      <c r="I198" s="409"/>
      <c r="J198" s="409">
        <f>(P93/$R93*100*($E93/366))</f>
        <v>22.082931533269047</v>
      </c>
      <c r="K198" s="409"/>
      <c r="L198" s="409">
        <f>(Q93/$R93*100*($E93/366))</f>
        <v>40.485374477659917</v>
      </c>
      <c r="M198" s="409"/>
      <c r="N198" s="379">
        <f t="shared" si="42"/>
        <v>62.568306010928964</v>
      </c>
      <c r="O198" s="379"/>
      <c r="R198" s="1">
        <v>1996</v>
      </c>
      <c r="S198" s="5">
        <f>(O92*($E92/366))+(O93*($E93/366))</f>
        <v>0</v>
      </c>
      <c r="T198" s="5">
        <f>(P92*($E92/366))+(P93*($E93/366))</f>
        <v>10.136065573770491</v>
      </c>
      <c r="U198" s="5">
        <f>(Q92*($E92/366))+(Q93*($E93/366))</f>
        <v>18.582786885245902</v>
      </c>
      <c r="V198" s="9"/>
      <c r="W198" s="5">
        <f t="shared" si="43"/>
        <v>28.718852459016393</v>
      </c>
      <c r="Y198" s="20"/>
    </row>
    <row r="199" spans="1:25" x14ac:dyDescent="0.15">
      <c r="A199" s="1">
        <v>1997</v>
      </c>
      <c r="B199" s="5">
        <f>(K94*($E94/365))+(K95*($E95/365))</f>
        <v>0</v>
      </c>
      <c r="C199" s="5">
        <f>(L94*($E94/365))+(L95*($E95/365))</f>
        <v>36.363636363636367</v>
      </c>
      <c r="D199" s="5">
        <f>(M94*($E94/365))+(M95*($E95/365))</f>
        <v>50</v>
      </c>
      <c r="E199" s="18">
        <f t="shared" si="41"/>
        <v>86.363636363636374</v>
      </c>
      <c r="G199" s="1">
        <v>1997</v>
      </c>
      <c r="H199" s="409">
        <f>(O94/$R94*100*($E94/365))+(O95/$R95*100*($E95/365))</f>
        <v>0</v>
      </c>
      <c r="I199" s="409"/>
      <c r="J199" s="409">
        <f>(P94/$R94*100*($E94/365))+(P95/$R95*100*($E95/365))</f>
        <v>35.294117647058826</v>
      </c>
      <c r="K199" s="409"/>
      <c r="L199" s="409">
        <f>(Q94/$R94*100*($E94/365))+(Q95/$R95*100*($E95/365))</f>
        <v>64.705882352941174</v>
      </c>
      <c r="M199" s="409"/>
      <c r="N199" s="379">
        <f t="shared" si="42"/>
        <v>100</v>
      </c>
      <c r="O199" s="379"/>
      <c r="R199" s="1">
        <v>1997</v>
      </c>
      <c r="S199" s="5">
        <f>(O94*($E94/365))+(O95*($E95/365))</f>
        <v>0</v>
      </c>
      <c r="T199" s="5">
        <f>(P94*($E94/365))+(P95*($E95/365))</f>
        <v>16.2</v>
      </c>
      <c r="U199" s="5">
        <f>(Q94*($E94/365))+(Q95*($E95/365))</f>
        <v>29.7</v>
      </c>
      <c r="V199" s="9"/>
      <c r="W199" s="5">
        <f t="shared" si="43"/>
        <v>45.9</v>
      </c>
      <c r="Y199" s="20"/>
    </row>
    <row r="200" spans="1:25" x14ac:dyDescent="0.15">
      <c r="A200" s="1">
        <v>1998</v>
      </c>
      <c r="B200" s="5">
        <f>(K96*($E96/365))+(K97*($E97/365))</f>
        <v>0</v>
      </c>
      <c r="C200" s="5">
        <f>(L96*($E96/365))+(L97*($E97/365))</f>
        <v>37.802684378026846</v>
      </c>
      <c r="D200" s="5">
        <f>(M96*($E96/365))+(M97*($E97/365))</f>
        <v>49.670218163368844</v>
      </c>
      <c r="E200" s="18">
        <f t="shared" si="41"/>
        <v>87.472902541395683</v>
      </c>
      <c r="G200" s="1">
        <v>1998</v>
      </c>
      <c r="H200" s="409">
        <f>(O96/$R96*100*($E96/365))+(O97/$R97*100*($E97/365))</f>
        <v>0</v>
      </c>
      <c r="I200" s="409"/>
      <c r="J200" s="409">
        <f>(P96/$R96*100*($E96/365))+(P97/$R97*100*($E97/365))</f>
        <v>35.294117647058826</v>
      </c>
      <c r="K200" s="409"/>
      <c r="L200" s="409">
        <f>(Q96/$R96*100*($E96/365))+(Q97/$R97*100*($E97/365))</f>
        <v>64.70588235294116</v>
      </c>
      <c r="M200" s="409"/>
      <c r="N200" s="379">
        <f t="shared" si="42"/>
        <v>99.999999999999986</v>
      </c>
      <c r="O200" s="379"/>
      <c r="R200" s="1">
        <v>1998</v>
      </c>
      <c r="S200" s="5">
        <f>(O96*($E96/365))+(O97*($E97/365))</f>
        <v>0</v>
      </c>
      <c r="T200" s="5">
        <f>(P96*($E96/365))+(P97*($E97/365))</f>
        <v>16.2</v>
      </c>
      <c r="U200" s="5">
        <f>(Q96*($E96/365))+(Q97*($E97/365))</f>
        <v>29.7</v>
      </c>
      <c r="V200" s="9"/>
      <c r="W200" s="5">
        <f t="shared" si="43"/>
        <v>45.9</v>
      </c>
      <c r="Y200" s="20"/>
    </row>
    <row r="201" spans="1:25" x14ac:dyDescent="0.15">
      <c r="A201" s="1">
        <v>1999</v>
      </c>
      <c r="B201" s="5">
        <f>(K98*($E98/365))+(K99*($E99/365))</f>
        <v>0</v>
      </c>
      <c r="C201" s="5">
        <f>(L98*($E98/365))+(L99*($E99/365))</f>
        <v>44.109589041095887</v>
      </c>
      <c r="D201" s="5">
        <f>(M98*($E98/365))+(M99*($E99/365))</f>
        <v>48.455098934550982</v>
      </c>
      <c r="E201" s="18">
        <f t="shared" si="41"/>
        <v>92.564687975646876</v>
      </c>
      <c r="G201" s="1">
        <v>1999</v>
      </c>
      <c r="H201" s="409">
        <f>(O98/$R98*100*($E98/365))+(O99/$R99*100*($E99/365))</f>
        <v>0</v>
      </c>
      <c r="I201" s="409"/>
      <c r="J201" s="409">
        <f>(P98/$R98*100*($E98/365))+(P99/$R99*100*($E99/365))</f>
        <v>35.294117647058826</v>
      </c>
      <c r="K201" s="409"/>
      <c r="L201" s="409">
        <f>(Q98/$R98*100*($E98/365))+(Q99/$R99*100*($E99/365))</f>
        <v>64.705882352941174</v>
      </c>
      <c r="M201" s="409"/>
      <c r="N201" s="379">
        <f t="shared" si="42"/>
        <v>100</v>
      </c>
      <c r="O201" s="379"/>
      <c r="R201" s="1">
        <v>1999</v>
      </c>
      <c r="S201" s="5">
        <f>(O98*($E98/365))+(O99*($E99/365))</f>
        <v>0</v>
      </c>
      <c r="T201" s="5">
        <f>(P98*($E98/365))+(P99*($E99/365))</f>
        <v>16.2</v>
      </c>
      <c r="U201" s="5">
        <f>(Q98*($E98/365))+(Q99*($E99/365))</f>
        <v>29.7</v>
      </c>
      <c r="V201" s="9"/>
      <c r="W201" s="5">
        <f t="shared" si="43"/>
        <v>45.9</v>
      </c>
      <c r="Y201" s="20"/>
    </row>
    <row r="202" spans="1:25" x14ac:dyDescent="0.15">
      <c r="A202" s="1">
        <v>2000</v>
      </c>
      <c r="B202" s="5">
        <f>(K100*($E100/366))+(K101*($E101/366))</f>
        <v>0</v>
      </c>
      <c r="C202" s="5">
        <f>(L100*($E100/366))+(L101*($E101/366))</f>
        <v>27.12001619105444</v>
      </c>
      <c r="D202" s="5">
        <f>(M100*($E100/366))+(M101*($E101/366))</f>
        <v>57.943736085812588</v>
      </c>
      <c r="E202" s="18">
        <f t="shared" si="41"/>
        <v>85.063752276867035</v>
      </c>
      <c r="G202" s="1">
        <v>2000</v>
      </c>
      <c r="H202" s="409">
        <f>(O100/$R100*100*($E100/366))+(O101/$R101*100*($E101/366))</f>
        <v>0</v>
      </c>
      <c r="I202" s="409"/>
      <c r="J202" s="409">
        <f>(P100/$R100*100*($E100/366))+(P101/$R101*100*($E101/366))</f>
        <v>35.294117647058826</v>
      </c>
      <c r="K202" s="409"/>
      <c r="L202" s="409">
        <f>(Q100/$R100*100*($E100/366))+(Q101/$R101*100*($E101/366))</f>
        <v>64.705882352941174</v>
      </c>
      <c r="M202" s="409"/>
      <c r="N202" s="379">
        <f t="shared" si="42"/>
        <v>100</v>
      </c>
      <c r="O202" s="379"/>
      <c r="R202" s="1">
        <v>2000</v>
      </c>
      <c r="S202" s="5">
        <f>(O100*($E100/366))+(O101*($E101/366))</f>
        <v>0</v>
      </c>
      <c r="T202" s="5">
        <f>(P100*($E100/366))+(P101*($E101/366))</f>
        <v>16.2</v>
      </c>
      <c r="U202" s="5">
        <f>(Q100*($E100/366))+(Q101*($E101/366))</f>
        <v>29.7</v>
      </c>
      <c r="V202" s="9"/>
      <c r="W202" s="5">
        <f t="shared" si="43"/>
        <v>45.9</v>
      </c>
      <c r="Y202" s="20"/>
    </row>
    <row r="203" spans="1:25" x14ac:dyDescent="0.15">
      <c r="A203" s="1">
        <v>2001</v>
      </c>
      <c r="B203" s="5">
        <f>(K102*($E102/365))+(K103*($E103/365))</f>
        <v>40.241095890410961</v>
      </c>
      <c r="C203" s="5">
        <f>(L102*($E102/365))+(L103*($E103/365))</f>
        <v>15.907052257737188</v>
      </c>
      <c r="D203" s="5">
        <f>(M102*($E102/365))+(M103*($E103/365))</f>
        <v>24.505327245053273</v>
      </c>
      <c r="E203" s="18">
        <f t="shared" si="41"/>
        <v>80.653475393201433</v>
      </c>
      <c r="G203" s="1">
        <v>2001</v>
      </c>
      <c r="H203" s="409">
        <f>(O102/$R102*100*($E102/365))+(O103/$R103*100*($E103/365))</f>
        <v>49.449140192363743</v>
      </c>
      <c r="I203" s="409"/>
      <c r="J203" s="409">
        <f>(P102/$R102*100*($E102/365))+(P103/$R103*100*($E103/365))</f>
        <v>22.009361016338918</v>
      </c>
      <c r="K203" s="409"/>
      <c r="L203" s="409">
        <f>(Q102/$R102*100*($E102/365))+(Q103/$R103*100*($E103/365))</f>
        <v>28.541498791297339</v>
      </c>
      <c r="M203" s="409"/>
      <c r="N203" s="379">
        <f t="shared" si="42"/>
        <v>100</v>
      </c>
      <c r="O203" s="379"/>
      <c r="R203" s="1">
        <v>2001</v>
      </c>
      <c r="S203" s="5">
        <f>(O102*($E102/365))+(O103*($E103/365))</f>
        <v>27.889315068493151</v>
      </c>
      <c r="T203" s="5">
        <f>(P102*($E102/365))+(P103*($E103/365))</f>
        <v>10.778630136986301</v>
      </c>
      <c r="U203" s="5">
        <f>(Q102*($E102/365))+(Q103*($E103/365))</f>
        <v>13.100547945205479</v>
      </c>
      <c r="V203" s="9"/>
      <c r="W203" s="5">
        <f t="shared" si="43"/>
        <v>51.768493150684932</v>
      </c>
      <c r="Y203" s="20"/>
    </row>
    <row r="204" spans="1:25" x14ac:dyDescent="0.15">
      <c r="A204" s="1">
        <v>2002</v>
      </c>
      <c r="B204" s="5">
        <f>(K104*($E104/365))+(K105*($E105/365))</f>
        <v>72</v>
      </c>
      <c r="C204" s="5">
        <f>(L104*($E104/365))+(L105*($E105/365))</f>
        <v>8</v>
      </c>
      <c r="D204" s="5">
        <f>(M104*($E104/365))+(M105*($E105/365))</f>
        <v>0</v>
      </c>
      <c r="E204" s="18">
        <f t="shared" si="41"/>
        <v>80</v>
      </c>
      <c r="G204" s="1">
        <v>2002</v>
      </c>
      <c r="H204" s="409">
        <f>(O104/$R104*100*($E104/365))+(O105/$R105*100*($E105/365))</f>
        <v>88.475177304964532</v>
      </c>
      <c r="I204" s="409"/>
      <c r="J204" s="409">
        <f>(P104/$R104*100*($E104/365))+(P105/$R105*100*($E105/365))</f>
        <v>11.524822695035461</v>
      </c>
      <c r="K204" s="409"/>
      <c r="L204" s="409">
        <f>(Q104/$R104*100*($E104/365))+(Q105/$R105*100*($E105/365))</f>
        <v>0</v>
      </c>
      <c r="M204" s="409"/>
      <c r="N204" s="379">
        <f t="shared" si="42"/>
        <v>100</v>
      </c>
      <c r="O204" s="379"/>
      <c r="R204" s="1">
        <v>2002</v>
      </c>
      <c r="S204" s="5">
        <f>(O104*($E104/365))+(O105*($E105/365))</f>
        <v>49.9</v>
      </c>
      <c r="T204" s="5">
        <f>(P104*($E104/365))+(P105*($E105/365))</f>
        <v>6.5</v>
      </c>
      <c r="U204" s="5">
        <f>(Q104*($E104/365))+(Q105*($E105/365))</f>
        <v>0</v>
      </c>
      <c r="V204" s="9"/>
      <c r="W204" s="5">
        <f t="shared" si="43"/>
        <v>56.4</v>
      </c>
      <c r="Y204" s="20"/>
    </row>
    <row r="205" spans="1:25" x14ac:dyDescent="0.15">
      <c r="A205" s="1">
        <v>2003</v>
      </c>
      <c r="B205" s="5">
        <f>(K106*($E106/365))+(K107*($E107/365))</f>
        <v>72</v>
      </c>
      <c r="C205" s="5">
        <f>(L106*($E106/365))+(L107*($E107/365))</f>
        <v>8</v>
      </c>
      <c r="D205" s="5">
        <f>(M106*($E106/365))+(M107*($E107/365))</f>
        <v>0</v>
      </c>
      <c r="E205" s="18">
        <f t="shared" si="41"/>
        <v>80</v>
      </c>
      <c r="G205" s="1">
        <v>2003</v>
      </c>
      <c r="H205" s="409">
        <f>(O106/$R106*100*($E106/365))+(O107/$R107*100*($E107/365))</f>
        <v>88.475177304964532</v>
      </c>
      <c r="I205" s="409"/>
      <c r="J205" s="409">
        <f>(P106/$R106*100*($E106/365))+(P107/$R107*100*($E107/365))</f>
        <v>11.524822695035461</v>
      </c>
      <c r="K205" s="409"/>
      <c r="L205" s="409">
        <f>(Q106/$R106*100*($E106/365))+(Q107/$R107*100*($E107/365))</f>
        <v>0</v>
      </c>
      <c r="M205" s="409"/>
      <c r="N205" s="379">
        <f t="shared" si="42"/>
        <v>100</v>
      </c>
      <c r="O205" s="379"/>
      <c r="R205" s="1">
        <v>2003</v>
      </c>
      <c r="S205" s="5">
        <f>(O106*($E106/365))+(O107*($E107/365))</f>
        <v>49.9</v>
      </c>
      <c r="T205" s="5">
        <f>(P106*($E106/365))+(P107*($E107/365))</f>
        <v>6.5</v>
      </c>
      <c r="U205" s="5">
        <f>(Q106*($E106/365))+(Q107*($E107/365))</f>
        <v>0</v>
      </c>
      <c r="V205" s="9"/>
      <c r="W205" s="5">
        <f t="shared" si="43"/>
        <v>56.4</v>
      </c>
      <c r="Y205" s="20"/>
    </row>
    <row r="206" spans="1:25" x14ac:dyDescent="0.15">
      <c r="A206" s="1">
        <v>2004</v>
      </c>
      <c r="B206" s="5">
        <f>(K108*($E108/366))+(K109*($E109/366))</f>
        <v>76</v>
      </c>
      <c r="C206" s="5">
        <f>(L108*($E108/366))+(L109*($E109/366))</f>
        <v>8</v>
      </c>
      <c r="D206" s="5">
        <f>(M108*($E108/366))+(M109*($E109/366))</f>
        <v>0</v>
      </c>
      <c r="E206" s="18">
        <f t="shared" si="41"/>
        <v>84</v>
      </c>
      <c r="G206" s="1">
        <v>2004</v>
      </c>
      <c r="H206" s="409">
        <f>(O108/$R108*100*($E108/366))+(O109/$R109*100*($E109/366))</f>
        <v>88.475177304964532</v>
      </c>
      <c r="I206" s="409"/>
      <c r="J206" s="409">
        <f>(P108/$R108*100*($E108/366))+(P109/$R109*100*($E109/366))</f>
        <v>11.524822695035461</v>
      </c>
      <c r="K206" s="409"/>
      <c r="L206" s="409">
        <f>(Q108/$R108*100*($E108/366))+(Q109/$R109*100*($E109/366))</f>
        <v>0</v>
      </c>
      <c r="M206" s="409"/>
      <c r="N206" s="379">
        <f t="shared" si="42"/>
        <v>100</v>
      </c>
      <c r="O206" s="379"/>
      <c r="R206" s="1">
        <v>2004</v>
      </c>
      <c r="S206" s="5">
        <f>(O108*($E108/366))+(O109*($E109/366))</f>
        <v>49.9</v>
      </c>
      <c r="T206" s="5">
        <f>(P108*($E108/366))+(P109*($E109/366))</f>
        <v>6.5</v>
      </c>
      <c r="U206" s="5">
        <f>(Q108*($E108/366))+(Q109*($E109/366))</f>
        <v>0</v>
      </c>
      <c r="V206" s="9"/>
      <c r="W206" s="5">
        <f t="shared" si="43"/>
        <v>56.4</v>
      </c>
      <c r="Y206" s="20"/>
    </row>
    <row r="207" spans="1:25" x14ac:dyDescent="0.15">
      <c r="A207" s="1">
        <v>2005</v>
      </c>
      <c r="B207" s="5">
        <f>(K110*($E110/365))+(K111*($E111/365))</f>
        <v>78.389041095890406</v>
      </c>
      <c r="C207" s="5">
        <f>(L110*($E110/365))+(L111*($E111/365))</f>
        <v>7.20365296803653</v>
      </c>
      <c r="D207" s="5">
        <f>(M110*($E110/365))+(M111*($E111/365))</f>
        <v>0</v>
      </c>
      <c r="E207" s="18">
        <f t="shared" si="41"/>
        <v>85.592694063926942</v>
      </c>
      <c r="G207" s="1">
        <v>2005</v>
      </c>
      <c r="H207" s="409">
        <f>(O110/$R110*100*($E110/365))+(O111/$R111*100*($E111/365))</f>
        <v>88.475177304964532</v>
      </c>
      <c r="I207" s="409"/>
      <c r="J207" s="409">
        <f>(P110/$R110*100*($E110/365))+(P111/$R111*100*($E111/365))</f>
        <v>11.524822695035461</v>
      </c>
      <c r="K207" s="409"/>
      <c r="L207" s="409">
        <f>(Q110/$R110*100*($E110/365))+(Q111/$R111*100*($E111/365))</f>
        <v>0</v>
      </c>
      <c r="M207" s="409"/>
      <c r="N207" s="379">
        <f t="shared" si="42"/>
        <v>100</v>
      </c>
      <c r="O207" s="379"/>
      <c r="R207" s="1">
        <v>2005</v>
      </c>
      <c r="S207" s="5">
        <f>(O110*($E110/365))+(O111*($E111/365))</f>
        <v>49.9</v>
      </c>
      <c r="T207" s="5">
        <f>(P110*($E110/365))+(P111*($E111/365))</f>
        <v>6.5</v>
      </c>
      <c r="U207" s="5">
        <f>(Q110*($E110/365))+(Q111*($E111/365))</f>
        <v>0</v>
      </c>
      <c r="V207" s="9"/>
      <c r="W207" s="5">
        <f t="shared" si="43"/>
        <v>56.4</v>
      </c>
      <c r="Y207" s="20"/>
    </row>
    <row r="208" spans="1:25" x14ac:dyDescent="0.15">
      <c r="A208" s="1">
        <v>2006</v>
      </c>
      <c r="B208" s="5">
        <f>(K112*($E112/365))+(K114*($E114/365))+(K113*($E113/365))+(K115*($E115/365))</f>
        <v>29.152792413066386</v>
      </c>
      <c r="C208" s="5">
        <f>(L112*($E112/365))+(L114*($E114/365))+(L113*($E113/365))+(L115*($E115/365))</f>
        <v>5.0261874097490526</v>
      </c>
      <c r="D208" s="5">
        <f>(M112*($E112/365))+(M114*($E114/365))+(M113*($E113/365))+(M115*($E115/365))</f>
        <v>53.444951801116183</v>
      </c>
      <c r="E208" s="18">
        <f t="shared" si="41"/>
        <v>87.623931623931611</v>
      </c>
      <c r="G208" s="1">
        <v>2006</v>
      </c>
      <c r="H208" s="409">
        <f>(O113/$R113*100*($E113/365))+(O115/$R115*100*($E115/365))+(O112/$R112*100*($E112/365))+(O114/$R114*100*($E114/365))</f>
        <v>32.966093461575824</v>
      </c>
      <c r="I208" s="409"/>
      <c r="J208" s="409">
        <f>(P113/$R113*100*($E113/365))+(P115/$R115*100*($E115/365))+(P112/$R112*100*($E112/365))+(P114/$R114*100*($E114/365))</f>
        <v>6.2624856412981984</v>
      </c>
      <c r="K208" s="409"/>
      <c r="L208" s="409">
        <f>(Q113/$R113*100*($E113/365))+(Q115/$R115*100*($E115/365))+(Q112/$R112*100*($E112/365))+(Q114/$R114*100*($E114/365))</f>
        <v>60.771420897125971</v>
      </c>
      <c r="M208" s="409"/>
      <c r="N208" s="379">
        <f t="shared" si="42"/>
        <v>100</v>
      </c>
      <c r="O208" s="379"/>
      <c r="R208" s="1">
        <v>2006</v>
      </c>
      <c r="S208" s="5">
        <f>(O112*($E112/365))+(O114*($E114/365))+(O113*($E113/365))+(O115*($E115/365))</f>
        <v>18.592876712328767</v>
      </c>
      <c r="T208" s="5">
        <f>(P112*($E112/365))+(P114*($E114/365))+(P113*($E113/365))+(P115*($E115/365))</f>
        <v>3.4257534246575343</v>
      </c>
      <c r="U208" s="5">
        <f>(Q112*($E112/365))+(Q114*($E114/365))+(Q113*($E113/365))+(Q115*($E115/365))</f>
        <v>30.993424657534245</v>
      </c>
      <c r="V208" s="9"/>
      <c r="W208" s="5">
        <f t="shared" si="43"/>
        <v>53.012054794520552</v>
      </c>
      <c r="Y208" s="20"/>
    </row>
    <row r="209" spans="1:2047 2049:7168 7172:9215 9219:10240 10243:11262 11266:12287 12290:13309 13313:14334 14337:16384" x14ac:dyDescent="0.15">
      <c r="A209" s="1">
        <v>2007</v>
      </c>
      <c r="B209" s="5">
        <f>(K116*($E116/365))+(K117*($E117/365))</f>
        <v>0</v>
      </c>
      <c r="C209" s="5">
        <f>(L116*($E116/365))+(L117*($E117/365))</f>
        <v>3.7037037037037033</v>
      </c>
      <c r="D209" s="5">
        <f>(M116*($E116/365))+(M117*($E117/365))</f>
        <v>85.18518518518519</v>
      </c>
      <c r="E209" s="18">
        <f t="shared" si="41"/>
        <v>88.8888888888889</v>
      </c>
      <c r="G209" s="1">
        <v>2007</v>
      </c>
      <c r="H209" s="409">
        <f>(O116/$R116*100*($E116/365))+(O117/$R117*100*($E117/365))</f>
        <v>0</v>
      </c>
      <c r="I209" s="409"/>
      <c r="J209" s="409">
        <f>(P116/$R116*100*($E116/365))+(P117/$R117*100*($E117/365))</f>
        <v>3.1372549019607843</v>
      </c>
      <c r="K209" s="409"/>
      <c r="L209" s="409">
        <f>(Q116/$R116*100*($E116/365))+(Q117/$R117*100*($E117/365))</f>
        <v>96.862745098039213</v>
      </c>
      <c r="M209" s="409"/>
      <c r="N209" s="379">
        <f t="shared" si="42"/>
        <v>100</v>
      </c>
      <c r="O209" s="379"/>
      <c r="R209" s="1">
        <v>2007</v>
      </c>
      <c r="S209" s="5">
        <f>(O116*($E116/365))+(O117*($E117/365))</f>
        <v>0</v>
      </c>
      <c r="T209" s="5">
        <f>(P116*($E116/365))+(P117*($E117/365))</f>
        <v>1.6</v>
      </c>
      <c r="U209" s="5">
        <f>(Q116*($E116/365))+(Q117*($E117/365))</f>
        <v>49.4</v>
      </c>
      <c r="V209" s="9"/>
      <c r="W209" s="5">
        <f t="shared" si="43"/>
        <v>51</v>
      </c>
      <c r="Y209" s="20"/>
    </row>
    <row r="210" spans="1:2047 2049:7168 7172:9215 9219:10240 10243:11262 11266:12287 12290:13309 13313:14334 14337:16384" x14ac:dyDescent="0.15">
      <c r="A210" s="1">
        <v>2008</v>
      </c>
      <c r="B210" s="5">
        <f>(K118*($E118/366))+(K119*($E119/366))</f>
        <v>62.071535022354688</v>
      </c>
      <c r="C210" s="5">
        <f>(L118*($E118/366))+(L119*($E119/366))</f>
        <v>4.2510717374105349</v>
      </c>
      <c r="D210" s="5">
        <f>(M118*($E118/366))+(M119*($E119/366))</f>
        <v>29.791540174053836</v>
      </c>
      <c r="E210" s="18">
        <f t="shared" si="41"/>
        <v>96.114146933819057</v>
      </c>
      <c r="G210" s="1">
        <v>2008</v>
      </c>
      <c r="H210" s="409">
        <f>(O118/$R118*100*($E118/366))+(O119/$R119*100*($E119/366))</f>
        <v>65.027322404371574</v>
      </c>
      <c r="I210" s="409"/>
      <c r="J210" s="409">
        <f>(P118/$R118*100*($E118/366))+(P119/$R119*100*($E119/366))</f>
        <v>1.0971820422157934</v>
      </c>
      <c r="K210" s="409"/>
      <c r="L210" s="409">
        <f>(Q118/$R118*100*($E118/366))+(Q119/$R119*100*($E119/366))</f>
        <v>33.87549555341262</v>
      </c>
      <c r="M210" s="409"/>
      <c r="N210" s="379">
        <f t="shared" si="42"/>
        <v>99.999999999999986</v>
      </c>
      <c r="O210" s="379"/>
      <c r="R210" s="1">
        <v>2008</v>
      </c>
      <c r="S210" s="5">
        <f>(O118*($E118/366))+(O119*($E119/366))</f>
        <v>34.659562841530047</v>
      </c>
      <c r="T210" s="5">
        <f>(P118*($E118/366))+(P119*($E119/366))</f>
        <v>0.55956284153005464</v>
      </c>
      <c r="U210" s="5">
        <f>(Q118*($E118/366))+(Q119*($E119/366))</f>
        <v>17.276502732240438</v>
      </c>
      <c r="V210" s="9"/>
      <c r="W210" s="5">
        <f t="shared" si="43"/>
        <v>52.495628415300537</v>
      </c>
      <c r="Y210" s="20"/>
    </row>
    <row r="211" spans="1:2047 2049:7168 7172:9215 9219:10240 10243:11262 11266:12287 12290:13309 13313:14334 14337:16384" x14ac:dyDescent="0.15">
      <c r="A211" s="1">
        <v>2009</v>
      </c>
      <c r="B211" s="5">
        <f>(K120*($E120/365))+(K121*($E121/365))+(K122*($E122/365))</f>
        <v>98.418430884184318</v>
      </c>
      <c r="C211" s="5">
        <f>(L120*($E120/365))+(L121*($E121/365))+(L122*($E122/365))</f>
        <v>1.5815691158156913</v>
      </c>
      <c r="D211" s="5">
        <f>(M120*($E120/365))+(M121*($E121/365))+(M122*($E122/365))</f>
        <v>0</v>
      </c>
      <c r="E211" s="18">
        <f>B211+C211+D211</f>
        <v>100.00000000000001</v>
      </c>
      <c r="G211" s="1">
        <v>2009</v>
      </c>
      <c r="H211" s="409">
        <f>(O120/$R120*100*($E120/365))+(O121/$R121*100*(E121/365))+(O122/$R122*100*($E122/365))</f>
        <v>100</v>
      </c>
      <c r="I211" s="409"/>
      <c r="J211" s="409">
        <f>(P120/$R120*100*($E120/365))+(P121/$R121*100*(F121/365))+(P122/$R122*100*($E122/365))</f>
        <v>0</v>
      </c>
      <c r="K211" s="409"/>
      <c r="L211" s="409">
        <f>(Q120/$R120*100*($E120/365))+(Q121/$R121*100*(G121/365))+(Q122/$R122*100*($E122/365))</f>
        <v>0</v>
      </c>
      <c r="M211" s="409"/>
      <c r="N211" s="379">
        <f t="shared" si="42"/>
        <v>100</v>
      </c>
      <c r="O211" s="379"/>
      <c r="R211" s="1">
        <v>2009</v>
      </c>
      <c r="S211" s="5">
        <f>(O120*($E120/365))+(O121*($E121/365))+(O122*($E122/365))</f>
        <v>53.3</v>
      </c>
      <c r="T211" s="5">
        <f>(P120*($E120/365))+(P121*($E121/365))+(P122*($E122/365))</f>
        <v>0</v>
      </c>
      <c r="U211" s="5">
        <f>(Q120*($E120/365))+(Q121*($E121/365))+(Q122*($E122/365))</f>
        <v>0</v>
      </c>
      <c r="V211" s="9"/>
      <c r="W211" s="5">
        <f t="shared" si="43"/>
        <v>53.3</v>
      </c>
      <c r="Y211" s="20"/>
    </row>
    <row r="212" spans="1:2047 2049:7168 7172:9215 9219:10240 10243:11262 11266:12287 12290:13309 13313:14334 14337:16384" x14ac:dyDescent="0.15">
      <c r="A212" s="1">
        <v>2010</v>
      </c>
      <c r="B212" s="5">
        <f>(K123*($E123/365))+(K124*($E124/365))+(K125*($E125/365))</f>
        <v>100</v>
      </c>
      <c r="C212" s="5">
        <f>(L123*($E123/365))+(L124*($E124/365))+(L125*($E125/365))</f>
        <v>0</v>
      </c>
      <c r="D212" s="5">
        <f>(M123*($E123/365))+(M124*($E124/365))+(M125*($E125/365))</f>
        <v>0</v>
      </c>
      <c r="E212" s="18">
        <f t="shared" si="41"/>
        <v>100</v>
      </c>
      <c r="G212" s="1">
        <v>2010</v>
      </c>
      <c r="H212" s="409">
        <f>(O123/$R123*100*($E123/365))+(O124/$R124*100*(E124/365))+(O125/$R125*100*($E125/365))</f>
        <v>100</v>
      </c>
      <c r="I212" s="409"/>
      <c r="J212" s="409">
        <f>(P123/$R123*100*($E123/365))+(P124/$R124*100*(F124/365))+(P125/$R125*100*($E125/365))</f>
        <v>0</v>
      </c>
      <c r="K212" s="409"/>
      <c r="L212" s="409">
        <f>(Q123/$R123*100*($E123/365))+(Q124/$R124*100*(G124/365))+(Q125/$R125*100*($E125/365))</f>
        <v>0</v>
      </c>
      <c r="M212" s="409"/>
      <c r="N212" s="379">
        <f t="shared" si="42"/>
        <v>100</v>
      </c>
      <c r="O212" s="379"/>
      <c r="R212" s="1">
        <v>2010</v>
      </c>
      <c r="S212" s="5">
        <f>(O123*($E123/365))+(O124*($E124/365))+(O125*($E125/365))</f>
        <v>53.3</v>
      </c>
      <c r="T212" s="5">
        <f>(P123*($E123/365))+(P124*($E124/365))+(P125*($E125/365))</f>
        <v>0</v>
      </c>
      <c r="U212" s="5">
        <f>(Q123*($E123/365))+(Q124*($E124/365))+(Q125*($E125/365))</f>
        <v>0</v>
      </c>
      <c r="V212" s="9"/>
      <c r="W212" s="5">
        <f t="shared" si="43"/>
        <v>53.3</v>
      </c>
      <c r="Y212" s="20"/>
    </row>
    <row r="213" spans="1:2047 2049:7168 7172:9215 9219:10240 10243:11262 11266:12287 12290:13309 13313:14334 14337:16384" x14ac:dyDescent="0.15">
      <c r="A213" s="1">
        <v>2011</v>
      </c>
      <c r="B213" s="5">
        <f>(K126*($E126/365))+(K127*($E127/365))+($K128*(E128/365))</f>
        <v>87.945205479452056</v>
      </c>
      <c r="C213" s="5">
        <f>(L126*($E126/365))+(L127*($E127/365))+($K128*(F128/365))</f>
        <v>0</v>
      </c>
      <c r="D213" s="5">
        <f>(M126*($E126/365))+(M127*($E127/365))+($K128*(G128/365))</f>
        <v>0</v>
      </c>
      <c r="E213" s="18">
        <f t="shared" si="41"/>
        <v>87.945205479452056</v>
      </c>
      <c r="G213" s="1">
        <v>2011</v>
      </c>
      <c r="H213" s="409">
        <f>(O126/$R126*100*($E126/365))+(O127/$R127*100*(E127/365))</f>
        <v>87.945205479452056</v>
      </c>
      <c r="I213" s="409"/>
      <c r="J213" s="409">
        <f>(P126/$R126*100*($E126/365))+(P127/$R127*100*(F127/365))</f>
        <v>0</v>
      </c>
      <c r="K213" s="409"/>
      <c r="L213" s="409">
        <f>(Q126/$R126*100*($E126/365))+(Q127/$R127*100*(G127/365))</f>
        <v>0</v>
      </c>
      <c r="M213" s="409"/>
      <c r="N213" s="379">
        <f t="shared" si="42"/>
        <v>87.945205479452056</v>
      </c>
      <c r="O213" s="379"/>
      <c r="R213" s="1">
        <v>2011</v>
      </c>
      <c r="S213" s="5">
        <f>(O126*($E126/365))+(O127*($E127/365))+($K128*(I128/365))</f>
        <v>46.874794520547944</v>
      </c>
      <c r="T213" s="5">
        <f>(P126*($E126/365))+(P127*($E127/365))+($K128*(J128/365))</f>
        <v>0</v>
      </c>
      <c r="U213" s="5">
        <f>(Q126*($E126/365))+(Q127*($E127/365))+($K128*(K128/365))</f>
        <v>0</v>
      </c>
      <c r="V213" s="9"/>
      <c r="W213" s="5">
        <f t="shared" si="43"/>
        <v>46.874794520547944</v>
      </c>
      <c r="Y213" s="20"/>
    </row>
    <row r="214" spans="1:2047 2049:7168 7172:9215 9219:10240 10243:11262 11266:12287 12290:13309 13313:14334 14337:16384" x14ac:dyDescent="0.15">
      <c r="A214" s="1">
        <v>2012</v>
      </c>
      <c r="B214" s="5">
        <f>(K129*($E129/366))+($K130*(E130/366))</f>
        <v>0</v>
      </c>
      <c r="C214" s="5">
        <f>(L129*($E129/366))+($K130*(F130/366))</f>
        <v>0</v>
      </c>
      <c r="D214" s="5">
        <f>(M129*($E129/366))+($K130*(G130/366))</f>
        <v>0</v>
      </c>
      <c r="E214" s="18">
        <f t="shared" si="41"/>
        <v>0</v>
      </c>
      <c r="G214" s="1">
        <v>2012</v>
      </c>
      <c r="H214" s="409">
        <v>0</v>
      </c>
      <c r="I214" s="409"/>
      <c r="J214" s="409">
        <v>0</v>
      </c>
      <c r="K214" s="409"/>
      <c r="L214" s="409">
        <v>0</v>
      </c>
      <c r="M214" s="409"/>
      <c r="N214" s="379">
        <f t="shared" ref="N214:N219" si="44">H214+J214+L214</f>
        <v>0</v>
      </c>
      <c r="O214" s="379"/>
      <c r="R214" s="1">
        <v>2012</v>
      </c>
      <c r="S214" s="5">
        <f>(O129*($E129/366))+($K130*(I130/366))</f>
        <v>0</v>
      </c>
      <c r="T214" s="5">
        <f>(P129*($E129/366))+($K130*(J130/366))</f>
        <v>0</v>
      </c>
      <c r="U214" s="5">
        <f>(Q129*($E129/366))+($K130*(K130/366))</f>
        <v>0</v>
      </c>
      <c r="V214" s="9"/>
      <c r="W214" s="5">
        <f t="shared" si="43"/>
        <v>0</v>
      </c>
      <c r="Y214" s="20"/>
    </row>
    <row r="215" spans="1:2047 2049:7168 7172:9215 9219:10240 10243:11262 11266:12287 12290:13309 13313:14334 14337:16384" x14ac:dyDescent="0.15">
      <c r="A215" s="1">
        <v>2013</v>
      </c>
      <c r="B215" s="5">
        <f>(K131*(E131/365))+(K132*($E132/365))+(K133*($E133/365))</f>
        <v>21.843088418430884</v>
      </c>
      <c r="C215" s="5">
        <f>(L131*($E131/365))+(L132*($E132/365))+(L133*($E133/365))</f>
        <v>5.9526774595267744</v>
      </c>
      <c r="D215" s="5">
        <f>(M131*($E131/365))+(M132*($E132/365))+(M133*($E133/365))</f>
        <v>30.884184308841842</v>
      </c>
      <c r="E215" s="18">
        <f>B215+C215+D215</f>
        <v>58.679950186799502</v>
      </c>
      <c r="G215" s="1">
        <v>2013</v>
      </c>
      <c r="H215" s="409">
        <f>0+(O132/$R132*100*($E132/365))+(O133/$R133*100*($E133/365))</f>
        <v>18.506003369017062</v>
      </c>
      <c r="I215" s="409"/>
      <c r="J215" s="409">
        <f>0+(P132/$R132*100*($E132/365))+(P133/$R133*100*($E133/365))</f>
        <v>2.2808767671781367</v>
      </c>
      <c r="K215" s="409"/>
      <c r="L215" s="409">
        <f>0+(Q132/$R132*100*($E132/365))+(Q133/$R133*100*($E133/365))</f>
        <v>47.158325343256841</v>
      </c>
      <c r="M215" s="409"/>
      <c r="N215" s="379">
        <f t="shared" si="44"/>
        <v>67.945205479452042</v>
      </c>
      <c r="O215" s="379"/>
      <c r="R215" s="1">
        <v>2013</v>
      </c>
      <c r="S215" s="5">
        <f>(O131*($E131/365))+(O132*($E132/365))+(O133*($E133/365))</f>
        <v>12.846027397260274</v>
      </c>
      <c r="T215" s="5">
        <f>(P131*($E131/365))+(P132*($E132/365))+(P133*($E133/365))</f>
        <v>1.463013698630137</v>
      </c>
      <c r="U215" s="5">
        <f>(Q131*($E131/365))+(Q132*($E132/365))+(Q133*($E133/365))</f>
        <v>32.002191780821917</v>
      </c>
      <c r="V215" s="9"/>
      <c r="W215" s="5">
        <f>S215+T215+U215</f>
        <v>46.311232876712324</v>
      </c>
      <c r="Y215" s="20"/>
    </row>
    <row r="216" spans="1:2047 2049:7168 7172:9215 9219:10240 10243:11262 11266:12287 12290:13309 13313:14334 14337:16384" x14ac:dyDescent="0.15">
      <c r="A216" s="1">
        <v>2014</v>
      </c>
      <c r="B216" s="5">
        <f>(K134*(E134/365))+(K135*($E135/365))+(K136*($E136/365))</f>
        <v>7.0332890316774277</v>
      </c>
      <c r="C216" s="5">
        <f>(L134*($E134/365))+(L135*($E135/365))+(L136*($E136/365))</f>
        <v>23.816012083538268</v>
      </c>
      <c r="D216" s="5">
        <f>(M134*($E134/365))+(M135*($E135/365))+(M136*($E136/365))</f>
        <v>62.117409853106878</v>
      </c>
      <c r="E216" s="18">
        <f>B216+C216+D216</f>
        <v>92.966710968322573</v>
      </c>
      <c r="G216" s="1">
        <v>2014</v>
      </c>
      <c r="H216" s="409">
        <f>(O134/$R134*100*($E134/365))+(O135/$R135*100*($E135/365))+(O136/$R136*100*($E136/365))</f>
        <v>8.0532450746461368</v>
      </c>
      <c r="I216" s="409"/>
      <c r="J216" s="409">
        <f>(P134/$R134*100*($E134/365))+(P135/$R135*100*($E135/365))+(P136/$R136*100*($E136/365))</f>
        <v>8.4388080861049222</v>
      </c>
      <c r="K216" s="409"/>
      <c r="L216" s="409">
        <f>(Q134/$R134*100*($E134/365))+(Q135/$R135*100*($E135/365))+(Q136/$R136*100*($E136/365))</f>
        <v>83.507946839248945</v>
      </c>
      <c r="M216" s="409"/>
      <c r="N216" s="379">
        <f t="shared" si="44"/>
        <v>100</v>
      </c>
      <c r="O216" s="379"/>
      <c r="R216" s="1">
        <v>2014</v>
      </c>
      <c r="S216" s="5">
        <f>(O134*($E134/365))+(O135*($E135/365))+(O136*($E136/365))</f>
        <v>4.5706849315068494</v>
      </c>
      <c r="T216" s="5">
        <f>(P134*($E134/365))+(P135*($E135/365))+(P136*($E136/365))</f>
        <v>4.7852054794520544</v>
      </c>
      <c r="U216" s="5">
        <f>(Q134*($E134/365))+(Q135*($E135/365))+(Q136*($E136/365))</f>
        <v>47.271506849315067</v>
      </c>
      <c r="V216" s="9"/>
      <c r="W216" s="5">
        <f>S216+T216+U216</f>
        <v>56.627397260273966</v>
      </c>
      <c r="Y216" s="20"/>
    </row>
    <row r="217" spans="1:2047 2049:7168 7172:9215 9219:10240 10243:11262 11266:12287 12290:13309 13313:14334 14337:16384" x14ac:dyDescent="0.15">
      <c r="A217" s="1">
        <v>2015</v>
      </c>
      <c r="B217" s="5">
        <f>(K137*(E137/365))+(K138*($E138/365))+(K139*($E139/365))+(K140*($E140/365))</f>
        <v>0.58017727639000805</v>
      </c>
      <c r="C217" s="5">
        <f>(L137*($E137/365))+(L138*($E138/365))+(L139*($E139/365))+(L140*($E140/365))</f>
        <v>24.544721998388397</v>
      </c>
      <c r="D217" s="5">
        <f>(M137*($E137/365))+(M138*($E138/365))+(M139*($E139/365))+(M140*($E140/365))</f>
        <v>68.992747784045122</v>
      </c>
      <c r="E217" s="18">
        <f>B217+C217+D217</f>
        <v>94.117647058823522</v>
      </c>
      <c r="G217" s="1">
        <v>2015</v>
      </c>
      <c r="H217" s="409">
        <f>(O137/$R137*100*($E137/365))+(O138/$R138*100*($E138/365))+(O139/$R139*100*($E139/365))+(O140/$R140*100*($E140/365))</f>
        <v>0.75464339687027737</v>
      </c>
      <c r="I217" s="409"/>
      <c r="J217" s="409">
        <f>(P137/$R137*100*($E137/365))+(P138/$R138*100*($E138/365))+(P139/$R139*100*($E139/365))+(P140/$R140*100*($E140/365))</f>
        <v>8.7963129166550438</v>
      </c>
      <c r="K217" s="409"/>
      <c r="L217" s="409">
        <f>(Q137/$R137*100*($E137/365))+(Q138/$R138*100*($E138/365))+(Q139/$R139*100*($E139/365))+(Q140/$R140*100*($E140/365))</f>
        <v>90.449043686474667</v>
      </c>
      <c r="M217" s="409"/>
      <c r="N217" s="379">
        <f t="shared" si="44"/>
        <v>99.999999999999986</v>
      </c>
      <c r="O217" s="379"/>
      <c r="R217" s="1">
        <v>2015</v>
      </c>
      <c r="S217" s="5">
        <f>(O137*($E137/365))+(O138*($E138/365))+(O139*($E139/365))+(O140*($E140/365))</f>
        <v>0.42410958904109586</v>
      </c>
      <c r="T217" s="5">
        <f>(P137*($E137/365))+(P138*($E138/365))+(P139*($E139/365))+(P140*($E140/365))</f>
        <v>4.5999999999999996</v>
      </c>
      <c r="U217" s="5">
        <f>(Q137*($E137/365))+(Q138*($E138/365))+(Q139*($E139/365))+(Q140*($E140/365))</f>
        <v>47.3</v>
      </c>
      <c r="V217" s="9"/>
      <c r="W217" s="5">
        <f t="shared" ref="W217:W218" si="45">S217+T217+U217</f>
        <v>52.324109589041093</v>
      </c>
      <c r="Y217" s="20"/>
    </row>
    <row r="218" spans="1:2047 2049:7168 7172:9215 9219:10240 10243:11262 11266:12287 12290:13309 13313:14334 14337:16384" x14ac:dyDescent="0.15">
      <c r="A218" s="1">
        <v>2016</v>
      </c>
      <c r="B218" s="5">
        <f>(K141*($E141/366))+(K142*($E142/366))+(K143*($E143/366))</f>
        <v>0</v>
      </c>
      <c r="C218" s="5">
        <f>(L141*($E141/366))+(L142*($E142/366))+(L143*($E143/366))</f>
        <v>20.116384560726793</v>
      </c>
      <c r="D218" s="5">
        <f>(M141*($E141/366))+(M142*($E142/366))+(M143*($E143/366))</f>
        <v>73.495364496100422</v>
      </c>
      <c r="E218" s="18">
        <f t="shared" ref="E218" si="46">B218+C218+D218</f>
        <v>93.611749056827222</v>
      </c>
      <c r="G218" s="1">
        <v>2016</v>
      </c>
      <c r="H218" s="409">
        <f>(O141/$R141*100*($E141/366))+(O142/$R142*100*($E142/366))+(O143/$R143*100*($E143/366))</f>
        <v>0</v>
      </c>
      <c r="I218" s="409"/>
      <c r="J218" s="409">
        <f>(P141/$R141*100*($E141/366))+(P142/$R142*100*($E142/366))+(P143/$R143*100*($E143/366))</f>
        <v>8.808073194732323</v>
      </c>
      <c r="K218" s="409"/>
      <c r="L218" s="409">
        <f>(Q141/$R141*100*($E141/366))+(Q142/$R142*100*($E142/366))+(Q143/$R143*100*($E143/366))</f>
        <v>91.191926805267656</v>
      </c>
      <c r="M218" s="409"/>
      <c r="N218" s="379">
        <f t="shared" si="44"/>
        <v>99.999999999999972</v>
      </c>
      <c r="O218" s="379"/>
      <c r="R218" s="1">
        <v>2016</v>
      </c>
      <c r="S218" s="5">
        <f>(O141*($E141/366))+(O142*($E142/366))+(O143*($E143/366))</f>
        <v>0</v>
      </c>
      <c r="T218" s="5">
        <f>(P141*($E141/366))+(P142*($E142/366))+(P143*($E143/366))</f>
        <v>4.5726775956284147</v>
      </c>
      <c r="U218" s="5">
        <f>(Q141*($E141/366))+(Q142*($E142/366))+(Q143*($E143/366))</f>
        <v>47.343715846994542</v>
      </c>
      <c r="W218" s="5">
        <f t="shared" si="45"/>
        <v>51.916393442622955</v>
      </c>
      <c r="X218" s="23"/>
      <c r="AT218" s="1"/>
    </row>
    <row r="219" spans="1:2047 2049:7168 7172:9215 9219:10240 10243:11262 11266:12287 12290:13309 13313:14334 14337:16384" x14ac:dyDescent="0.15">
      <c r="A219" s="1">
        <v>2017</v>
      </c>
      <c r="B219" s="5">
        <f>(K144*($E144/365))+(K145*($E145/365))</f>
        <v>0</v>
      </c>
      <c r="C219" s="5">
        <f>(L144*($E144/365))+(L145*($E145/365))</f>
        <v>18.80317231434751</v>
      </c>
      <c r="D219" s="5">
        <f>(M144*($E144/365))+(M145*($E145/365))</f>
        <v>70.670511896178795</v>
      </c>
      <c r="E219" s="18">
        <f t="shared" ref="E219" si="47">B219+C219+D219</f>
        <v>89.473684210526301</v>
      </c>
      <c r="G219" s="1">
        <v>2017</v>
      </c>
      <c r="H219" s="409">
        <f>(O144/$R144*100*($E144/365))+(O145/$R145*100*($E145/365))</f>
        <v>0</v>
      </c>
      <c r="I219" s="409"/>
      <c r="J219" s="409">
        <f>(P144/$R144*100*($E144/365))+(P145/$R145*100*($E145/365))</f>
        <v>7.8544061302681971</v>
      </c>
      <c r="K219" s="409"/>
      <c r="L219" s="409">
        <f>(Q144/$R144*100*($E144/365))+(Q145/$R145*100*($E145/365))</f>
        <v>92.145593869731798</v>
      </c>
      <c r="M219" s="409"/>
      <c r="N219" s="379">
        <f t="shared" si="44"/>
        <v>100</v>
      </c>
      <c r="O219" s="379"/>
      <c r="R219" s="1">
        <v>2017</v>
      </c>
      <c r="S219" s="5">
        <f>(O144*($E144/365))+(O145*($E145/365))</f>
        <v>0</v>
      </c>
      <c r="T219" s="5">
        <f>(P144*($E144/365))+(P145*($E145/365))</f>
        <v>4.0999999999999996</v>
      </c>
      <c r="U219" s="5">
        <f>(Q144*($E144/365))+(Q145*($E145/365))</f>
        <v>48.1</v>
      </c>
      <c r="V219" s="5"/>
      <c r="W219" s="5">
        <f t="shared" ref="W219" si="48">S219+T219+U219</f>
        <v>52.2</v>
      </c>
      <c r="Y219" s="5"/>
      <c r="Z219" s="5"/>
      <c r="AA219" s="5"/>
      <c r="AB219" s="18"/>
      <c r="AE219" s="409"/>
      <c r="AF219" s="409"/>
      <c r="AG219" s="409"/>
      <c r="AH219" s="409"/>
      <c r="AI219" s="409"/>
      <c r="AJ219" s="409"/>
      <c r="AK219" s="379"/>
      <c r="AL219" s="379"/>
      <c r="AP219" s="5"/>
      <c r="AQ219" s="5"/>
      <c r="AR219" s="5"/>
      <c r="AT219" s="5"/>
      <c r="AV219" s="5"/>
      <c r="AW219" s="5"/>
      <c r="AX219" s="5"/>
      <c r="AY219" s="18"/>
      <c r="BB219" s="409"/>
      <c r="BC219" s="409"/>
      <c r="BD219" s="409"/>
      <c r="BE219" s="409"/>
      <c r="BF219" s="409"/>
      <c r="BG219" s="409"/>
      <c r="BH219" s="379"/>
      <c r="BI219" s="379"/>
      <c r="BM219" s="5"/>
      <c r="BN219" s="5"/>
      <c r="BO219" s="5"/>
      <c r="BQ219" s="5"/>
      <c r="BS219" s="5"/>
      <c r="BT219" s="5"/>
      <c r="BU219" s="5"/>
      <c r="BV219" s="18"/>
      <c r="BY219" s="409"/>
      <c r="BZ219" s="409"/>
      <c r="CA219" s="409"/>
      <c r="CB219" s="409"/>
      <c r="CC219" s="409"/>
      <c r="CD219" s="409"/>
      <c r="CE219" s="379"/>
      <c r="CF219" s="379"/>
      <c r="CJ219" s="5"/>
      <c r="CK219" s="5"/>
      <c r="CL219" s="5"/>
      <c r="CN219" s="5"/>
      <c r="CP219" s="5"/>
      <c r="CQ219" s="5"/>
      <c r="CR219" s="5"/>
      <c r="CS219" s="18"/>
      <c r="CV219" s="409"/>
      <c r="CW219" s="409"/>
      <c r="CX219" s="409"/>
      <c r="CY219" s="409"/>
      <c r="CZ219" s="409"/>
      <c r="DA219" s="409"/>
      <c r="DB219" s="379"/>
      <c r="DC219" s="379"/>
      <c r="DG219" s="5"/>
      <c r="DH219" s="5"/>
      <c r="DI219" s="5"/>
      <c r="DK219" s="5"/>
      <c r="DM219" s="5"/>
      <c r="DN219" s="5"/>
      <c r="DO219" s="5"/>
      <c r="DP219" s="18"/>
      <c r="DS219" s="409"/>
      <c r="DT219" s="409"/>
      <c r="DU219" s="409"/>
      <c r="DV219" s="409"/>
      <c r="DW219" s="409"/>
      <c r="DX219" s="409"/>
      <c r="DY219" s="379"/>
      <c r="DZ219" s="379"/>
      <c r="ED219" s="5"/>
      <c r="EE219" s="5"/>
      <c r="EF219" s="5"/>
      <c r="EH219" s="5"/>
      <c r="EJ219" s="5"/>
      <c r="EK219" s="5"/>
      <c r="EL219" s="5"/>
      <c r="EM219" s="18"/>
      <c r="EP219" s="409"/>
      <c r="EQ219" s="409"/>
      <c r="ER219" s="409"/>
      <c r="ES219" s="409"/>
      <c r="ET219" s="409"/>
      <c r="EU219" s="409"/>
      <c r="EV219" s="379"/>
      <c r="EW219" s="379"/>
      <c r="FA219" s="5"/>
      <c r="FB219" s="5"/>
      <c r="FC219" s="5"/>
      <c r="FE219" s="5"/>
      <c r="FG219" s="5"/>
      <c r="FH219" s="5"/>
      <c r="FI219" s="5"/>
      <c r="FJ219" s="18"/>
      <c r="FM219" s="409"/>
      <c r="FN219" s="409"/>
      <c r="FO219" s="409"/>
      <c r="FP219" s="409"/>
      <c r="FQ219" s="409"/>
      <c r="FR219" s="409"/>
      <c r="FS219" s="379"/>
      <c r="FT219" s="379"/>
      <c r="FX219" s="5"/>
      <c r="FY219" s="5"/>
      <c r="FZ219" s="5"/>
      <c r="GB219" s="5"/>
      <c r="GD219" s="5"/>
      <c r="GE219" s="5"/>
      <c r="GF219" s="5"/>
      <c r="GG219" s="18"/>
      <c r="GJ219" s="409"/>
      <c r="GK219" s="409"/>
      <c r="GL219" s="409"/>
      <c r="GM219" s="409"/>
      <c r="GN219" s="409"/>
      <c r="GO219" s="409"/>
      <c r="GP219" s="379"/>
      <c r="GQ219" s="379"/>
      <c r="GU219" s="5"/>
      <c r="GV219" s="5"/>
      <c r="GW219" s="5"/>
      <c r="GY219" s="5"/>
      <c r="HA219" s="5"/>
      <c r="HB219" s="5"/>
      <c r="HC219" s="5"/>
      <c r="HD219" s="18"/>
      <c r="HG219" s="409"/>
      <c r="HH219" s="409"/>
      <c r="HI219" s="409"/>
      <c r="HJ219" s="409"/>
      <c r="HK219" s="409"/>
      <c r="HL219" s="409"/>
      <c r="HM219" s="379"/>
      <c r="HN219" s="379"/>
      <c r="HR219" s="5"/>
      <c r="HS219" s="5"/>
      <c r="HT219" s="5"/>
      <c r="HV219" s="5"/>
      <c r="HX219" s="5"/>
      <c r="HY219" s="5"/>
      <c r="HZ219" s="5"/>
      <c r="IA219" s="18"/>
      <c r="ID219" s="409"/>
      <c r="IE219" s="409"/>
      <c r="IF219" s="409"/>
      <c r="IG219" s="409"/>
      <c r="IH219" s="409"/>
      <c r="II219" s="409"/>
      <c r="IJ219" s="379"/>
      <c r="IK219" s="379"/>
      <c r="IO219" s="5"/>
      <c r="IP219" s="5"/>
      <c r="IQ219" s="5"/>
      <c r="IS219" s="5"/>
      <c r="IU219" s="5"/>
      <c r="IV219" s="5"/>
      <c r="IW219" s="5"/>
      <c r="IX219" s="18"/>
      <c r="JA219" s="409"/>
      <c r="JB219" s="409"/>
      <c r="JC219" s="409"/>
      <c r="JD219" s="409"/>
      <c r="JE219" s="409"/>
      <c r="JF219" s="409"/>
      <c r="JG219" s="379"/>
      <c r="JH219" s="379"/>
      <c r="JL219" s="5"/>
      <c r="JM219" s="5"/>
      <c r="JN219" s="5"/>
      <c r="JP219" s="5"/>
      <c r="JR219" s="5"/>
      <c r="JS219" s="5"/>
      <c r="JT219" s="5"/>
      <c r="JU219" s="18"/>
      <c r="JX219" s="409"/>
      <c r="JY219" s="409"/>
      <c r="JZ219" s="409"/>
      <c r="KA219" s="409"/>
      <c r="KB219" s="409"/>
      <c r="KC219" s="409"/>
      <c r="KD219" s="379"/>
      <c r="KE219" s="379"/>
      <c r="KI219" s="5"/>
      <c r="KJ219" s="5"/>
      <c r="KK219" s="5"/>
      <c r="KM219" s="5"/>
      <c r="KO219" s="5"/>
      <c r="KP219" s="5"/>
      <c r="KQ219" s="5"/>
      <c r="KR219" s="18"/>
      <c r="KU219" s="409"/>
      <c r="KV219" s="409"/>
      <c r="KW219" s="409"/>
      <c r="KX219" s="409"/>
      <c r="KY219" s="409"/>
      <c r="KZ219" s="409"/>
      <c r="LA219" s="379"/>
      <c r="LB219" s="379"/>
      <c r="LF219" s="5"/>
      <c r="LG219" s="5"/>
      <c r="LH219" s="5"/>
      <c r="LJ219" s="5"/>
      <c r="LL219" s="5"/>
      <c r="LM219" s="5"/>
      <c r="LN219" s="5"/>
      <c r="LO219" s="18"/>
      <c r="LR219" s="409"/>
      <c r="LS219" s="409"/>
      <c r="LT219" s="409"/>
      <c r="LU219" s="409"/>
      <c r="LV219" s="409"/>
      <c r="LW219" s="409"/>
      <c r="LX219" s="379"/>
      <c r="LY219" s="379"/>
      <c r="MC219" s="5"/>
      <c r="MD219" s="5"/>
      <c r="ME219" s="5"/>
      <c r="MG219" s="5"/>
      <c r="MI219" s="5"/>
      <c r="MJ219" s="5"/>
      <c r="MK219" s="5"/>
      <c r="ML219" s="18"/>
      <c r="MO219" s="409"/>
      <c r="MP219" s="409"/>
      <c r="MQ219" s="409"/>
      <c r="MR219" s="409"/>
      <c r="MS219" s="409"/>
      <c r="MT219" s="409"/>
      <c r="MU219" s="379"/>
      <c r="MV219" s="379"/>
      <c r="MZ219" s="5"/>
      <c r="NA219" s="5"/>
      <c r="NB219" s="5"/>
      <c r="ND219" s="5"/>
      <c r="NF219" s="5"/>
      <c r="NG219" s="5"/>
      <c r="NH219" s="5"/>
      <c r="NI219" s="18"/>
      <c r="NL219" s="409"/>
      <c r="NM219" s="409"/>
      <c r="NN219" s="409"/>
      <c r="NO219" s="409"/>
      <c r="NP219" s="409"/>
      <c r="NQ219" s="409"/>
      <c r="NR219" s="379"/>
      <c r="NS219" s="379"/>
      <c r="NW219" s="5"/>
      <c r="NX219" s="5"/>
      <c r="NY219" s="5"/>
      <c r="OA219" s="5"/>
      <c r="OC219" s="5"/>
      <c r="OD219" s="5"/>
      <c r="OE219" s="5"/>
      <c r="OF219" s="18"/>
      <c r="OI219" s="409"/>
      <c r="OJ219" s="409"/>
      <c r="OK219" s="409"/>
      <c r="OL219" s="409"/>
      <c r="OM219" s="409"/>
      <c r="ON219" s="409"/>
      <c r="OO219" s="379"/>
      <c r="OP219" s="379"/>
      <c r="OT219" s="5"/>
      <c r="OU219" s="5"/>
      <c r="OV219" s="5"/>
      <c r="OX219" s="5"/>
      <c r="OZ219" s="5"/>
      <c r="PA219" s="5"/>
      <c r="PB219" s="5"/>
      <c r="PC219" s="18"/>
      <c r="PF219" s="409"/>
      <c r="PG219" s="409"/>
      <c r="PH219" s="409"/>
      <c r="PI219" s="409"/>
      <c r="PJ219" s="409"/>
      <c r="PK219" s="409"/>
      <c r="PL219" s="379"/>
      <c r="PM219" s="379"/>
      <c r="PQ219" s="5"/>
      <c r="PR219" s="5"/>
      <c r="PS219" s="5"/>
      <c r="PU219" s="5"/>
      <c r="PW219" s="5"/>
      <c r="PX219" s="5"/>
      <c r="PY219" s="5"/>
      <c r="PZ219" s="18"/>
      <c r="QC219" s="409"/>
      <c r="QD219" s="409"/>
      <c r="QE219" s="409"/>
      <c r="QF219" s="409"/>
      <c r="QG219" s="409"/>
      <c r="QH219" s="409"/>
      <c r="QI219" s="379"/>
      <c r="QJ219" s="379"/>
      <c r="QN219" s="5"/>
      <c r="QO219" s="5"/>
      <c r="QP219" s="5"/>
      <c r="QR219" s="5"/>
      <c r="QT219" s="5"/>
      <c r="QU219" s="5"/>
      <c r="QV219" s="5"/>
      <c r="QW219" s="18"/>
      <c r="QZ219" s="409"/>
      <c r="RA219" s="409"/>
      <c r="RB219" s="409"/>
      <c r="RC219" s="409"/>
      <c r="RD219" s="409"/>
      <c r="RE219" s="409"/>
      <c r="RF219" s="379"/>
      <c r="RG219" s="379"/>
      <c r="RK219" s="5"/>
      <c r="RL219" s="5"/>
      <c r="RM219" s="5"/>
      <c r="RO219" s="5"/>
      <c r="RQ219" s="5"/>
      <c r="RR219" s="5"/>
      <c r="RS219" s="5"/>
      <c r="RT219" s="18"/>
      <c r="RW219" s="409"/>
      <c r="RX219" s="409"/>
      <c r="RY219" s="409"/>
      <c r="RZ219" s="409"/>
      <c r="SA219" s="409"/>
      <c r="SB219" s="409"/>
      <c r="SC219" s="379"/>
      <c r="SD219" s="379"/>
      <c r="SH219" s="5"/>
      <c r="SI219" s="5"/>
      <c r="SJ219" s="5"/>
      <c r="SL219" s="5"/>
      <c r="SN219" s="5"/>
      <c r="SO219" s="5"/>
      <c r="SP219" s="5"/>
      <c r="SQ219" s="18"/>
      <c r="ST219" s="409"/>
      <c r="SU219" s="409"/>
      <c r="SV219" s="409"/>
      <c r="SW219" s="409"/>
      <c r="SX219" s="409"/>
      <c r="SY219" s="409"/>
      <c r="SZ219" s="379"/>
      <c r="TA219" s="379"/>
      <c r="TE219" s="5"/>
      <c r="TF219" s="5"/>
      <c r="TG219" s="5"/>
      <c r="TI219" s="5"/>
      <c r="TK219" s="5"/>
      <c r="TL219" s="5"/>
      <c r="TM219" s="5"/>
      <c r="TN219" s="18"/>
      <c r="TQ219" s="409"/>
      <c r="TR219" s="409"/>
      <c r="TS219" s="409"/>
      <c r="TT219" s="409"/>
      <c r="TU219" s="409"/>
      <c r="TV219" s="409"/>
      <c r="TW219" s="379"/>
      <c r="TX219" s="379"/>
      <c r="UB219" s="5"/>
      <c r="UC219" s="5"/>
      <c r="UD219" s="5"/>
      <c r="UF219" s="5"/>
      <c r="UH219" s="5"/>
      <c r="UI219" s="5"/>
      <c r="UJ219" s="5"/>
      <c r="UK219" s="18"/>
      <c r="UN219" s="409"/>
      <c r="UO219" s="409"/>
      <c r="UP219" s="409"/>
      <c r="UQ219" s="409"/>
      <c r="UR219" s="409"/>
      <c r="US219" s="409"/>
      <c r="UT219" s="379"/>
      <c r="UU219" s="379"/>
      <c r="UY219" s="5"/>
      <c r="UZ219" s="5"/>
      <c r="VA219" s="5"/>
      <c r="VC219" s="5"/>
      <c r="VE219" s="5"/>
      <c r="VF219" s="5"/>
      <c r="VG219" s="5"/>
      <c r="VH219" s="18"/>
      <c r="VK219" s="409"/>
      <c r="VL219" s="409"/>
      <c r="VM219" s="409"/>
      <c r="VN219" s="409"/>
      <c r="VO219" s="409"/>
      <c r="VP219" s="409"/>
      <c r="VQ219" s="379"/>
      <c r="VR219" s="379"/>
      <c r="VV219" s="5"/>
      <c r="VW219" s="5"/>
      <c r="VX219" s="5"/>
      <c r="VZ219" s="5"/>
      <c r="WB219" s="5"/>
      <c r="WC219" s="5"/>
      <c r="WD219" s="5"/>
      <c r="WE219" s="18"/>
      <c r="WH219" s="409"/>
      <c r="WI219" s="409"/>
      <c r="WJ219" s="409"/>
      <c r="WK219" s="409"/>
      <c r="WL219" s="409"/>
      <c r="WM219" s="409"/>
      <c r="WN219" s="379"/>
      <c r="WO219" s="379"/>
      <c r="WS219" s="5"/>
      <c r="WT219" s="5"/>
      <c r="WU219" s="5"/>
      <c r="WW219" s="5"/>
      <c r="WY219" s="5"/>
      <c r="WZ219" s="5"/>
      <c r="XA219" s="5"/>
      <c r="XB219" s="18"/>
      <c r="XE219" s="409"/>
      <c r="XF219" s="409"/>
      <c r="XG219" s="409"/>
      <c r="XH219" s="409"/>
      <c r="XI219" s="409"/>
      <c r="XJ219" s="409"/>
      <c r="XK219" s="379"/>
      <c r="XL219" s="379"/>
      <c r="XP219" s="5"/>
      <c r="XQ219" s="5"/>
      <c r="XR219" s="5"/>
      <c r="XT219" s="5"/>
      <c r="XV219" s="5"/>
      <c r="XW219" s="5"/>
      <c r="XX219" s="5"/>
      <c r="XY219" s="18"/>
      <c r="YB219" s="409"/>
      <c r="YC219" s="409"/>
      <c r="YD219" s="409"/>
      <c r="YE219" s="409"/>
      <c r="YF219" s="409"/>
      <c r="YG219" s="409"/>
      <c r="YH219" s="379"/>
      <c r="YI219" s="379"/>
      <c r="YM219" s="5"/>
      <c r="YN219" s="5"/>
      <c r="YO219" s="5"/>
      <c r="YQ219" s="5"/>
      <c r="YS219" s="5"/>
      <c r="YT219" s="5"/>
      <c r="YU219" s="5"/>
      <c r="YV219" s="18"/>
      <c r="YY219" s="409"/>
      <c r="YZ219" s="409"/>
      <c r="ZA219" s="409"/>
      <c r="ZB219" s="409"/>
      <c r="ZC219" s="409"/>
      <c r="ZD219" s="409"/>
      <c r="ZE219" s="379"/>
      <c r="ZF219" s="379"/>
      <c r="ZJ219" s="5"/>
      <c r="ZK219" s="5"/>
      <c r="ZL219" s="5"/>
      <c r="ZN219" s="5"/>
      <c r="ZP219" s="5"/>
      <c r="ZQ219" s="5"/>
      <c r="ZR219" s="5"/>
      <c r="ZS219" s="18"/>
      <c r="ZV219" s="409"/>
      <c r="ZW219" s="409"/>
      <c r="ZX219" s="409"/>
      <c r="ZY219" s="409"/>
      <c r="ZZ219" s="409"/>
      <c r="AAA219" s="409"/>
      <c r="AAB219" s="379"/>
      <c r="AAC219" s="379"/>
      <c r="AAG219" s="5"/>
      <c r="AAH219" s="5"/>
      <c r="AAI219" s="5"/>
      <c r="AAK219" s="5"/>
      <c r="AAM219" s="5"/>
      <c r="AAN219" s="5"/>
      <c r="AAO219" s="5"/>
      <c r="AAP219" s="18"/>
      <c r="AAS219" s="409"/>
      <c r="AAT219" s="409"/>
      <c r="AAU219" s="409"/>
      <c r="AAV219" s="409"/>
      <c r="AAW219" s="409"/>
      <c r="AAX219" s="409"/>
      <c r="AAY219" s="379"/>
      <c r="AAZ219" s="379"/>
      <c r="ABD219" s="5"/>
      <c r="ABE219" s="5"/>
      <c r="ABF219" s="5"/>
      <c r="ABH219" s="5"/>
      <c r="ABJ219" s="5"/>
      <c r="ABK219" s="5"/>
      <c r="ABL219" s="5"/>
      <c r="ABM219" s="18"/>
      <c r="ABP219" s="409"/>
      <c r="ABQ219" s="409"/>
      <c r="ABR219" s="409"/>
      <c r="ABS219" s="409"/>
      <c r="ABT219" s="409"/>
      <c r="ABU219" s="409"/>
      <c r="ABV219" s="379"/>
      <c r="ABW219" s="379"/>
      <c r="ACA219" s="5"/>
      <c r="ACB219" s="5"/>
      <c r="ACC219" s="5"/>
      <c r="ACE219" s="5"/>
      <c r="ACG219" s="5"/>
      <c r="ACH219" s="5"/>
      <c r="ACI219" s="5"/>
      <c r="ACJ219" s="18"/>
      <c r="ACM219" s="409"/>
      <c r="ACN219" s="409"/>
      <c r="ACO219" s="409"/>
      <c r="ACP219" s="409"/>
      <c r="ACQ219" s="409"/>
      <c r="ACR219" s="409"/>
      <c r="ACS219" s="379"/>
      <c r="ACT219" s="379"/>
      <c r="ACX219" s="5"/>
      <c r="ACY219" s="5"/>
      <c r="ACZ219" s="5"/>
      <c r="ADB219" s="5"/>
      <c r="ADD219" s="5"/>
      <c r="ADE219" s="5"/>
      <c r="ADF219" s="5"/>
      <c r="ADG219" s="18"/>
      <c r="ADJ219" s="409"/>
      <c r="ADK219" s="409"/>
      <c r="ADL219" s="409"/>
      <c r="ADM219" s="409"/>
      <c r="ADN219" s="409"/>
      <c r="ADO219" s="409"/>
      <c r="ADP219" s="379"/>
      <c r="ADQ219" s="379"/>
      <c r="ADU219" s="5"/>
      <c r="ADV219" s="5"/>
      <c r="ADW219" s="5"/>
      <c r="ADY219" s="5"/>
      <c r="AEA219" s="5"/>
      <c r="AEB219" s="5"/>
      <c r="AEC219" s="5"/>
      <c r="AED219" s="18"/>
      <c r="AEG219" s="409"/>
      <c r="AEH219" s="409"/>
      <c r="AEI219" s="409"/>
      <c r="AEJ219" s="409"/>
      <c r="AEK219" s="409"/>
      <c r="AEL219" s="409"/>
      <c r="AEM219" s="379"/>
      <c r="AEN219" s="379"/>
      <c r="AER219" s="5"/>
      <c r="AES219" s="5"/>
      <c r="AET219" s="5"/>
      <c r="AEV219" s="5"/>
      <c r="AEX219" s="5"/>
      <c r="AEY219" s="5"/>
      <c r="AEZ219" s="5"/>
      <c r="AFA219" s="18"/>
      <c r="AFD219" s="409"/>
      <c r="AFE219" s="409"/>
      <c r="AFF219" s="409"/>
      <c r="AFG219" s="409"/>
      <c r="AFH219" s="409"/>
      <c r="AFI219" s="409"/>
      <c r="AFJ219" s="379"/>
      <c r="AFK219" s="379"/>
      <c r="AFO219" s="5"/>
      <c r="AFP219" s="5"/>
      <c r="AFQ219" s="5"/>
      <c r="AFS219" s="5"/>
      <c r="AFU219" s="5"/>
      <c r="AFV219" s="5"/>
      <c r="AFW219" s="5"/>
      <c r="AFX219" s="18"/>
      <c r="AGA219" s="409"/>
      <c r="AGB219" s="409"/>
      <c r="AGC219" s="409"/>
      <c r="AGD219" s="409"/>
      <c r="AGE219" s="409"/>
      <c r="AGF219" s="409"/>
      <c r="AGG219" s="379"/>
      <c r="AGH219" s="379"/>
      <c r="AGL219" s="5"/>
      <c r="AGM219" s="5"/>
      <c r="AGN219" s="5"/>
      <c r="AGP219" s="5"/>
      <c r="AGR219" s="5"/>
      <c r="AGS219" s="5"/>
      <c r="AGT219" s="5"/>
      <c r="AGU219" s="18"/>
      <c r="AGX219" s="409"/>
      <c r="AGY219" s="409"/>
      <c r="AGZ219" s="409"/>
      <c r="AHA219" s="409"/>
      <c r="AHB219" s="409"/>
      <c r="AHC219" s="409"/>
      <c r="AHD219" s="379"/>
      <c r="AHE219" s="379"/>
      <c r="AHI219" s="5"/>
      <c r="AHJ219" s="5"/>
      <c r="AHK219" s="5"/>
      <c r="AHM219" s="5"/>
      <c r="AHO219" s="5"/>
      <c r="AHP219" s="5"/>
      <c r="AHQ219" s="5"/>
      <c r="AHR219" s="18"/>
      <c r="AHU219" s="409"/>
      <c r="AHV219" s="409"/>
      <c r="AHW219" s="409"/>
      <c r="AHX219" s="409"/>
      <c r="AHY219" s="409"/>
      <c r="AHZ219" s="409"/>
      <c r="AIA219" s="379"/>
      <c r="AIB219" s="379"/>
      <c r="AIF219" s="5"/>
      <c r="AIG219" s="5"/>
      <c r="AIH219" s="5"/>
      <c r="AIJ219" s="5"/>
      <c r="AIL219" s="5"/>
      <c r="AIM219" s="5"/>
      <c r="AIN219" s="5"/>
      <c r="AIO219" s="18"/>
      <c r="AIR219" s="409"/>
      <c r="AIS219" s="409"/>
      <c r="AIT219" s="409"/>
      <c r="AIU219" s="409"/>
      <c r="AIV219" s="409"/>
      <c r="AIW219" s="409"/>
      <c r="AIX219" s="379"/>
      <c r="AIY219" s="379"/>
      <c r="AJC219" s="5"/>
      <c r="AJD219" s="5"/>
      <c r="AJE219" s="5"/>
      <c r="AJG219" s="5"/>
      <c r="AJI219" s="5"/>
      <c r="AJJ219" s="5"/>
      <c r="AJK219" s="5"/>
      <c r="AJL219" s="18"/>
      <c r="AJO219" s="409"/>
      <c r="AJP219" s="409"/>
      <c r="AJQ219" s="409"/>
      <c r="AJR219" s="409"/>
      <c r="AJS219" s="409"/>
      <c r="AJT219" s="409"/>
      <c r="AJU219" s="379"/>
      <c r="AJV219" s="379"/>
      <c r="AJZ219" s="5"/>
      <c r="AKA219" s="5"/>
      <c r="AKB219" s="5"/>
      <c r="AKD219" s="5"/>
      <c r="AKF219" s="5"/>
      <c r="AKG219" s="5"/>
      <c r="AKH219" s="5"/>
      <c r="AKI219" s="18"/>
      <c r="AKL219" s="409"/>
      <c r="AKM219" s="409"/>
      <c r="AKN219" s="409"/>
      <c r="AKO219" s="409"/>
      <c r="AKP219" s="409"/>
      <c r="AKQ219" s="409"/>
      <c r="AKR219" s="379"/>
      <c r="AKS219" s="379"/>
      <c r="AKW219" s="5"/>
      <c r="AKX219" s="5"/>
      <c r="AKY219" s="5"/>
      <c r="ALA219" s="5"/>
      <c r="ALC219" s="5"/>
      <c r="ALD219" s="5"/>
      <c r="ALE219" s="5"/>
      <c r="ALF219" s="18"/>
      <c r="ALI219" s="409"/>
      <c r="ALJ219" s="409"/>
      <c r="ALK219" s="409"/>
      <c r="ALL219" s="409"/>
      <c r="ALM219" s="409"/>
      <c r="ALN219" s="409"/>
      <c r="ALO219" s="379"/>
      <c r="ALP219" s="379"/>
      <c r="ALT219" s="5"/>
      <c r="ALU219" s="5"/>
      <c r="ALV219" s="5"/>
      <c r="ALX219" s="5"/>
      <c r="ALZ219" s="5"/>
      <c r="AMA219" s="5"/>
      <c r="AMB219" s="5"/>
      <c r="AMC219" s="18"/>
      <c r="AMF219" s="409"/>
      <c r="AMG219" s="409"/>
      <c r="AMH219" s="409"/>
      <c r="AMI219" s="409"/>
      <c r="AMJ219" s="409"/>
      <c r="AMK219" s="409"/>
      <c r="AML219" s="379"/>
      <c r="AMM219" s="379"/>
      <c r="AMQ219" s="5"/>
      <c r="AMR219" s="5"/>
      <c r="AMS219" s="5"/>
      <c r="AMU219" s="5"/>
      <c r="AMW219" s="5"/>
      <c r="AMX219" s="5"/>
      <c r="AMY219" s="5"/>
      <c r="AMZ219" s="18"/>
      <c r="ANC219" s="409"/>
      <c r="AND219" s="409"/>
      <c r="ANE219" s="409"/>
      <c r="ANF219" s="409"/>
      <c r="ANG219" s="409"/>
      <c r="ANH219" s="409"/>
      <c r="ANI219" s="379"/>
      <c r="ANJ219" s="379"/>
      <c r="ANN219" s="5"/>
      <c r="ANO219" s="5"/>
      <c r="ANP219" s="5"/>
      <c r="ANR219" s="5"/>
      <c r="ANT219" s="5"/>
      <c r="ANU219" s="5"/>
      <c r="ANV219" s="5"/>
      <c r="ANW219" s="18"/>
      <c r="ANZ219" s="409"/>
      <c r="AOA219" s="409"/>
      <c r="AOB219" s="409"/>
      <c r="AOC219" s="409"/>
      <c r="AOD219" s="409"/>
      <c r="AOE219" s="409"/>
      <c r="AOF219" s="379"/>
      <c r="AOG219" s="379"/>
      <c r="AOK219" s="5"/>
      <c r="AOL219" s="5"/>
      <c r="AOM219" s="5"/>
      <c r="AOO219" s="5"/>
      <c r="AOQ219" s="5"/>
      <c r="AOR219" s="5"/>
      <c r="AOS219" s="5"/>
      <c r="AOT219" s="18"/>
      <c r="AOW219" s="409"/>
      <c r="AOX219" s="409"/>
      <c r="AOY219" s="409"/>
      <c r="AOZ219" s="409"/>
      <c r="APA219" s="409"/>
      <c r="APB219" s="409"/>
      <c r="APC219" s="379"/>
      <c r="APD219" s="379"/>
      <c r="APH219" s="5"/>
      <c r="API219" s="5"/>
      <c r="APJ219" s="5"/>
      <c r="APL219" s="5"/>
      <c r="APN219" s="5"/>
      <c r="APO219" s="5"/>
      <c r="APP219" s="5"/>
      <c r="APQ219" s="18"/>
      <c r="APT219" s="409"/>
      <c r="APU219" s="409"/>
      <c r="APV219" s="409"/>
      <c r="APW219" s="409"/>
      <c r="APX219" s="409"/>
      <c r="APY219" s="409"/>
      <c r="APZ219" s="379"/>
      <c r="AQA219" s="379"/>
      <c r="AQE219" s="5"/>
      <c r="AQF219" s="5"/>
      <c r="AQG219" s="5"/>
      <c r="AQI219" s="5"/>
      <c r="AQK219" s="5"/>
      <c r="AQL219" s="5"/>
      <c r="AQM219" s="5"/>
      <c r="AQN219" s="18"/>
      <c r="AQQ219" s="409"/>
      <c r="AQR219" s="409"/>
      <c r="AQS219" s="409"/>
      <c r="AQT219" s="409"/>
      <c r="AQU219" s="409"/>
      <c r="AQV219" s="409"/>
      <c r="AQW219" s="379"/>
      <c r="AQX219" s="379"/>
      <c r="ARB219" s="5"/>
      <c r="ARC219" s="5"/>
      <c r="ARD219" s="5"/>
      <c r="ARF219" s="5"/>
      <c r="ARH219" s="5"/>
      <c r="ARI219" s="5"/>
      <c r="ARJ219" s="5"/>
      <c r="ARK219" s="18"/>
      <c r="ARN219" s="409"/>
      <c r="ARO219" s="409"/>
      <c r="ARP219" s="409"/>
      <c r="ARQ219" s="409"/>
      <c r="ARR219" s="409"/>
      <c r="ARS219" s="409"/>
      <c r="ART219" s="379"/>
      <c r="ARU219" s="379"/>
      <c r="ARY219" s="5"/>
      <c r="ARZ219" s="5"/>
      <c r="ASA219" s="5"/>
      <c r="ASC219" s="5"/>
      <c r="ASE219" s="5"/>
      <c r="ASF219" s="5"/>
      <c r="ASG219" s="5"/>
      <c r="ASH219" s="18"/>
      <c r="ASK219" s="409"/>
      <c r="ASL219" s="409"/>
      <c r="ASM219" s="409"/>
      <c r="ASN219" s="409"/>
      <c r="ASO219" s="409"/>
      <c r="ASP219" s="409"/>
      <c r="ASQ219" s="379"/>
      <c r="ASR219" s="379"/>
      <c r="ASV219" s="5"/>
      <c r="ASW219" s="5"/>
      <c r="ASX219" s="5"/>
      <c r="ASZ219" s="5"/>
      <c r="ATB219" s="5"/>
      <c r="ATC219" s="5"/>
      <c r="ATD219" s="5"/>
      <c r="ATE219" s="18"/>
      <c r="ATH219" s="409"/>
      <c r="ATI219" s="409"/>
      <c r="ATJ219" s="409"/>
      <c r="ATK219" s="409"/>
      <c r="ATL219" s="409"/>
      <c r="ATM219" s="409"/>
      <c r="ATN219" s="379"/>
      <c r="ATO219" s="379"/>
      <c r="ATS219" s="5"/>
      <c r="ATT219" s="5"/>
      <c r="ATU219" s="5"/>
      <c r="ATW219" s="5"/>
      <c r="ATY219" s="5"/>
      <c r="ATZ219" s="5"/>
      <c r="AUA219" s="5"/>
      <c r="AUB219" s="18"/>
      <c r="AUE219" s="409"/>
      <c r="AUF219" s="409"/>
      <c r="AUG219" s="409"/>
      <c r="AUH219" s="409"/>
      <c r="AUI219" s="409"/>
      <c r="AUJ219" s="409"/>
      <c r="AUK219" s="379"/>
      <c r="AUL219" s="379"/>
      <c r="AUP219" s="5"/>
      <c r="AUQ219" s="5"/>
      <c r="AUR219" s="5"/>
      <c r="AUT219" s="5"/>
      <c r="AUV219" s="5"/>
      <c r="AUW219" s="5"/>
      <c r="AUX219" s="5"/>
      <c r="AUY219" s="18"/>
      <c r="AVB219" s="409"/>
      <c r="AVC219" s="409"/>
      <c r="AVD219" s="409"/>
      <c r="AVE219" s="409"/>
      <c r="AVF219" s="409"/>
      <c r="AVG219" s="409"/>
      <c r="AVH219" s="379"/>
      <c r="AVI219" s="379"/>
      <c r="AVM219" s="5"/>
      <c r="AVN219" s="5"/>
      <c r="AVO219" s="5"/>
      <c r="AVQ219" s="5"/>
      <c r="AVS219" s="5"/>
      <c r="AVT219" s="5"/>
      <c r="AVU219" s="5"/>
      <c r="AVV219" s="18"/>
      <c r="AVY219" s="409"/>
      <c r="AVZ219" s="409"/>
      <c r="AWA219" s="409"/>
      <c r="AWB219" s="409"/>
      <c r="AWC219" s="409"/>
      <c r="AWD219" s="409"/>
      <c r="AWE219" s="379"/>
      <c r="AWF219" s="379"/>
      <c r="AWJ219" s="5"/>
      <c r="AWK219" s="5"/>
      <c r="AWL219" s="5"/>
      <c r="AWN219" s="5"/>
      <c r="AWP219" s="5"/>
      <c r="AWQ219" s="5"/>
      <c r="AWR219" s="5"/>
      <c r="AWS219" s="18"/>
      <c r="AWV219" s="409"/>
      <c r="AWW219" s="409"/>
      <c r="AWX219" s="409"/>
      <c r="AWY219" s="409"/>
      <c r="AWZ219" s="409"/>
      <c r="AXA219" s="409"/>
      <c r="AXB219" s="379"/>
      <c r="AXC219" s="379"/>
      <c r="AXG219" s="5"/>
      <c r="AXH219" s="5"/>
      <c r="AXI219" s="5"/>
      <c r="AXK219" s="5"/>
      <c r="AXM219" s="5"/>
      <c r="AXN219" s="5"/>
      <c r="AXO219" s="5"/>
      <c r="AXP219" s="18"/>
      <c r="AXS219" s="409"/>
      <c r="AXT219" s="409"/>
      <c r="AXU219" s="409"/>
      <c r="AXV219" s="409"/>
      <c r="AXW219" s="409"/>
      <c r="AXX219" s="409"/>
      <c r="AXY219" s="379"/>
      <c r="AXZ219" s="379"/>
      <c r="AYD219" s="5"/>
      <c r="AYE219" s="5"/>
      <c r="AYF219" s="5"/>
      <c r="AYH219" s="5"/>
      <c r="AYJ219" s="5"/>
      <c r="AYK219" s="5"/>
      <c r="AYL219" s="5"/>
      <c r="AYM219" s="18"/>
      <c r="AYP219" s="409"/>
      <c r="AYQ219" s="409"/>
      <c r="AYR219" s="409"/>
      <c r="AYS219" s="409"/>
      <c r="AYT219" s="409"/>
      <c r="AYU219" s="409"/>
      <c r="AYV219" s="379"/>
      <c r="AYW219" s="379"/>
      <c r="AZA219" s="5"/>
      <c r="AZB219" s="5"/>
      <c r="AZC219" s="5"/>
      <c r="AZE219" s="5"/>
      <c r="AZG219" s="5"/>
      <c r="AZH219" s="5"/>
      <c r="AZI219" s="5"/>
      <c r="AZJ219" s="18"/>
      <c r="AZM219" s="409"/>
      <c r="AZN219" s="409"/>
      <c r="AZO219" s="409"/>
      <c r="AZP219" s="409"/>
      <c r="AZQ219" s="409"/>
      <c r="AZR219" s="409"/>
      <c r="AZS219" s="379"/>
      <c r="AZT219" s="379"/>
      <c r="AZX219" s="5"/>
      <c r="AZY219" s="5"/>
      <c r="AZZ219" s="5"/>
      <c r="BAB219" s="5"/>
      <c r="BAD219" s="5"/>
      <c r="BAE219" s="5"/>
      <c r="BAF219" s="5"/>
      <c r="BAG219" s="18"/>
      <c r="BAJ219" s="409"/>
      <c r="BAK219" s="409"/>
      <c r="BAL219" s="409"/>
      <c r="BAM219" s="409"/>
      <c r="BAN219" s="409"/>
      <c r="BAO219" s="409"/>
      <c r="BAP219" s="379"/>
      <c r="BAQ219" s="379"/>
      <c r="BAU219" s="5"/>
      <c r="BAV219" s="5"/>
      <c r="BAW219" s="5"/>
      <c r="BAY219" s="5"/>
      <c r="BBA219" s="5"/>
      <c r="BBB219" s="5"/>
      <c r="BBC219" s="5"/>
      <c r="BBD219" s="18"/>
      <c r="BBG219" s="409"/>
      <c r="BBH219" s="409"/>
      <c r="BBI219" s="409"/>
      <c r="BBJ219" s="409"/>
      <c r="BBK219" s="409"/>
      <c r="BBL219" s="409"/>
      <c r="BBM219" s="379"/>
      <c r="BBN219" s="379"/>
      <c r="BBR219" s="5"/>
      <c r="BBS219" s="5"/>
      <c r="BBT219" s="5"/>
      <c r="BBV219" s="5"/>
      <c r="BBX219" s="5"/>
      <c r="BBY219" s="5"/>
      <c r="BBZ219" s="5"/>
      <c r="BCA219" s="18"/>
      <c r="BCD219" s="409"/>
      <c r="BCE219" s="409"/>
      <c r="BCF219" s="409"/>
      <c r="BCG219" s="409"/>
      <c r="BCH219" s="409"/>
      <c r="BCI219" s="409"/>
      <c r="BCJ219" s="379"/>
      <c r="BCK219" s="379"/>
      <c r="BCO219" s="5"/>
      <c r="BCP219" s="5"/>
      <c r="BCQ219" s="5"/>
      <c r="BCS219" s="5"/>
      <c r="BCU219" s="5"/>
      <c r="BCV219" s="5"/>
      <c r="BCW219" s="5"/>
      <c r="BCX219" s="18"/>
      <c r="BDA219" s="409"/>
      <c r="BDB219" s="409"/>
      <c r="BDC219" s="409"/>
      <c r="BDD219" s="409"/>
      <c r="BDE219" s="409"/>
      <c r="BDF219" s="409"/>
      <c r="BDG219" s="379"/>
      <c r="BDH219" s="379"/>
      <c r="BDL219" s="5"/>
      <c r="BDM219" s="5"/>
      <c r="BDN219" s="5"/>
      <c r="BDP219" s="5"/>
      <c r="BDR219" s="5"/>
      <c r="BDS219" s="5"/>
      <c r="BDT219" s="5"/>
      <c r="BDU219" s="18"/>
      <c r="BDX219" s="409"/>
      <c r="BDY219" s="409"/>
      <c r="BDZ219" s="409"/>
      <c r="BEA219" s="409"/>
      <c r="BEB219" s="409"/>
      <c r="BEC219" s="409"/>
      <c r="BED219" s="379"/>
      <c r="BEE219" s="379"/>
      <c r="BEI219" s="5"/>
      <c r="BEJ219" s="5"/>
      <c r="BEK219" s="5"/>
      <c r="BEM219" s="5"/>
      <c r="BEO219" s="5"/>
      <c r="BEP219" s="5"/>
      <c r="BEQ219" s="5"/>
      <c r="BER219" s="18"/>
      <c r="BEU219" s="409"/>
      <c r="BEV219" s="409"/>
      <c r="BEW219" s="409"/>
      <c r="BEX219" s="409"/>
      <c r="BEY219" s="409"/>
      <c r="BEZ219" s="409"/>
      <c r="BFA219" s="379"/>
      <c r="BFB219" s="379"/>
      <c r="BFF219" s="5"/>
      <c r="BFG219" s="5"/>
      <c r="BFH219" s="5"/>
      <c r="BFJ219" s="5"/>
      <c r="BFL219" s="5"/>
      <c r="BFM219" s="5"/>
      <c r="BFN219" s="5"/>
      <c r="BFO219" s="18"/>
      <c r="BFR219" s="409"/>
      <c r="BFS219" s="409"/>
      <c r="BFT219" s="409"/>
      <c r="BFU219" s="409"/>
      <c r="BFV219" s="409"/>
      <c r="BFW219" s="409"/>
      <c r="BFX219" s="379"/>
      <c r="BFY219" s="379"/>
      <c r="BGC219" s="5"/>
      <c r="BGD219" s="5"/>
      <c r="BGE219" s="5"/>
      <c r="BGG219" s="5"/>
      <c r="BGI219" s="5"/>
      <c r="BGJ219" s="5"/>
      <c r="BGK219" s="5"/>
      <c r="BGL219" s="18"/>
      <c r="BGO219" s="409"/>
      <c r="BGP219" s="409"/>
      <c r="BGQ219" s="409"/>
      <c r="BGR219" s="409"/>
      <c r="BGS219" s="409"/>
      <c r="BGT219" s="409"/>
      <c r="BGU219" s="379"/>
      <c r="BGV219" s="379"/>
      <c r="BGZ219" s="5"/>
      <c r="BHA219" s="5"/>
      <c r="BHB219" s="5"/>
      <c r="BHD219" s="5"/>
      <c r="BHF219" s="5"/>
      <c r="BHG219" s="5"/>
      <c r="BHH219" s="5"/>
      <c r="BHI219" s="18"/>
      <c r="BHL219" s="409"/>
      <c r="BHM219" s="409"/>
      <c r="BHN219" s="409"/>
      <c r="BHO219" s="409"/>
      <c r="BHP219" s="409"/>
      <c r="BHQ219" s="409"/>
      <c r="BHR219" s="379"/>
      <c r="BHS219" s="379"/>
      <c r="BHW219" s="5"/>
      <c r="BHX219" s="5"/>
      <c r="BHY219" s="5"/>
      <c r="BIA219" s="5"/>
      <c r="BIC219" s="5"/>
      <c r="BID219" s="5"/>
      <c r="BIE219" s="5"/>
      <c r="BIF219" s="18"/>
      <c r="BII219" s="409"/>
      <c r="BIJ219" s="409"/>
      <c r="BIK219" s="409"/>
      <c r="BIL219" s="409"/>
      <c r="BIM219" s="409"/>
      <c r="BIN219" s="409"/>
      <c r="BIO219" s="379"/>
      <c r="BIP219" s="379"/>
      <c r="BIT219" s="5"/>
      <c r="BIU219" s="5"/>
      <c r="BIV219" s="5"/>
      <c r="BIX219" s="5"/>
      <c r="BIZ219" s="5"/>
      <c r="BJA219" s="5"/>
      <c r="BJB219" s="5"/>
      <c r="BJC219" s="18"/>
      <c r="BJF219" s="409"/>
      <c r="BJG219" s="409"/>
      <c r="BJH219" s="409"/>
      <c r="BJI219" s="409"/>
      <c r="BJJ219" s="409"/>
      <c r="BJK219" s="409"/>
      <c r="BJL219" s="379"/>
      <c r="BJM219" s="379"/>
      <c r="BJQ219" s="5"/>
      <c r="BJR219" s="5"/>
      <c r="BJS219" s="5"/>
      <c r="BJU219" s="5"/>
      <c r="BJW219" s="5"/>
      <c r="BJX219" s="5"/>
      <c r="BJY219" s="5"/>
      <c r="BJZ219" s="18"/>
      <c r="BKC219" s="409"/>
      <c r="BKD219" s="409"/>
      <c r="BKE219" s="409"/>
      <c r="BKF219" s="409"/>
      <c r="BKG219" s="409"/>
      <c r="BKH219" s="409"/>
      <c r="BKI219" s="379"/>
      <c r="BKJ219" s="379"/>
      <c r="BKN219" s="5"/>
      <c r="BKO219" s="5"/>
      <c r="BKP219" s="5"/>
      <c r="BKR219" s="5"/>
      <c r="BKT219" s="5"/>
      <c r="BKU219" s="5"/>
      <c r="BKV219" s="5"/>
      <c r="BKW219" s="18"/>
      <c r="BKZ219" s="409"/>
      <c r="BLA219" s="409"/>
      <c r="BLB219" s="409"/>
      <c r="BLC219" s="409"/>
      <c r="BLD219" s="409"/>
      <c r="BLE219" s="409"/>
      <c r="BLF219" s="379"/>
      <c r="BLG219" s="379"/>
      <c r="BLK219" s="5"/>
      <c r="BLL219" s="5"/>
      <c r="BLM219" s="5"/>
      <c r="BLO219" s="5"/>
      <c r="BLQ219" s="5"/>
      <c r="BLR219" s="5"/>
      <c r="BLS219" s="5"/>
      <c r="BLT219" s="18"/>
      <c r="BLW219" s="409"/>
      <c r="BLX219" s="409"/>
      <c r="BLY219" s="409"/>
      <c r="BLZ219" s="409"/>
      <c r="BMA219" s="409"/>
      <c r="BMB219" s="409"/>
      <c r="BMC219" s="379"/>
      <c r="BMD219" s="379"/>
      <c r="BMH219" s="5"/>
      <c r="BMI219" s="5"/>
      <c r="BMJ219" s="5"/>
      <c r="BML219" s="5"/>
      <c r="BMN219" s="5"/>
      <c r="BMO219" s="5"/>
      <c r="BMP219" s="5"/>
      <c r="BMQ219" s="18"/>
      <c r="BMT219" s="409"/>
      <c r="BMU219" s="409"/>
      <c r="BMV219" s="409"/>
      <c r="BMW219" s="409"/>
      <c r="BMX219" s="409"/>
      <c r="BMY219" s="409"/>
      <c r="BMZ219" s="379"/>
      <c r="BNA219" s="379"/>
      <c r="BNE219" s="5"/>
      <c r="BNF219" s="5"/>
      <c r="BNG219" s="5"/>
      <c r="BNI219" s="5"/>
      <c r="BNK219" s="5"/>
      <c r="BNL219" s="5"/>
      <c r="BNM219" s="5"/>
      <c r="BNN219" s="18"/>
      <c r="BNQ219" s="409"/>
      <c r="BNR219" s="409"/>
      <c r="BNS219" s="409"/>
      <c r="BNT219" s="409"/>
      <c r="BNU219" s="409"/>
      <c r="BNV219" s="409"/>
      <c r="BNW219" s="379"/>
      <c r="BNX219" s="379"/>
      <c r="BOB219" s="5"/>
      <c r="BOC219" s="5"/>
      <c r="BOD219" s="5"/>
      <c r="BOF219" s="5"/>
      <c r="BOH219" s="5"/>
      <c r="BOI219" s="5"/>
      <c r="BOJ219" s="5"/>
      <c r="BOK219" s="18"/>
      <c r="BON219" s="409"/>
      <c r="BOO219" s="409"/>
      <c r="BOP219" s="409"/>
      <c r="BOQ219" s="409"/>
      <c r="BOR219" s="409"/>
      <c r="BOS219" s="409"/>
      <c r="BOT219" s="379"/>
      <c r="BOU219" s="379"/>
      <c r="BOY219" s="5"/>
      <c r="BOZ219" s="5"/>
      <c r="BPA219" s="5"/>
      <c r="BPC219" s="5"/>
      <c r="BPE219" s="5"/>
      <c r="BPF219" s="5"/>
      <c r="BPG219" s="5"/>
      <c r="BPH219" s="18"/>
      <c r="BPK219" s="409"/>
      <c r="BPL219" s="409"/>
      <c r="BPM219" s="409"/>
      <c r="BPN219" s="409"/>
      <c r="BPO219" s="409"/>
      <c r="BPP219" s="409"/>
      <c r="BPQ219" s="379"/>
      <c r="BPR219" s="379"/>
      <c r="BPV219" s="5"/>
      <c r="BPW219" s="5"/>
      <c r="BPX219" s="5"/>
      <c r="BPZ219" s="5"/>
      <c r="BQB219" s="5"/>
      <c r="BQC219" s="5"/>
      <c r="BQD219" s="5"/>
      <c r="BQE219" s="18"/>
      <c r="BQH219" s="409"/>
      <c r="BQI219" s="409"/>
      <c r="BQJ219" s="409"/>
      <c r="BQK219" s="409"/>
      <c r="BQL219" s="409"/>
      <c r="BQM219" s="409"/>
      <c r="BQN219" s="379"/>
      <c r="BQO219" s="379"/>
      <c r="BQS219" s="5"/>
      <c r="BQT219" s="5"/>
      <c r="BQU219" s="5"/>
      <c r="BQW219" s="5"/>
      <c r="BQY219" s="5"/>
      <c r="BQZ219" s="5"/>
      <c r="BRA219" s="5"/>
      <c r="BRB219" s="18"/>
      <c r="BRE219" s="409"/>
      <c r="BRF219" s="409"/>
      <c r="BRG219" s="409"/>
      <c r="BRH219" s="409"/>
      <c r="BRI219" s="409"/>
      <c r="BRJ219" s="409"/>
      <c r="BRK219" s="379"/>
      <c r="BRL219" s="379"/>
      <c r="BRP219" s="5"/>
      <c r="BRQ219" s="5"/>
      <c r="BRR219" s="5"/>
      <c r="BRT219" s="5"/>
      <c r="BRV219" s="5"/>
      <c r="BRW219" s="5"/>
      <c r="BRX219" s="5"/>
      <c r="BRY219" s="18"/>
      <c r="BSB219" s="409"/>
      <c r="BSC219" s="409"/>
      <c r="BSD219" s="409"/>
      <c r="BSE219" s="409"/>
      <c r="BSF219" s="409"/>
      <c r="BSG219" s="409"/>
      <c r="BSH219" s="379"/>
      <c r="BSI219" s="379"/>
      <c r="BSM219" s="5"/>
      <c r="BSN219" s="5"/>
      <c r="BSO219" s="5"/>
      <c r="BSQ219" s="5"/>
      <c r="BSS219" s="5"/>
      <c r="BST219" s="5"/>
      <c r="BSU219" s="5"/>
      <c r="BSV219" s="18"/>
      <c r="BSY219" s="409"/>
      <c r="BSZ219" s="409"/>
      <c r="BTA219" s="409"/>
      <c r="BTB219" s="409"/>
      <c r="BTC219" s="409"/>
      <c r="BTD219" s="409"/>
      <c r="BTE219" s="379"/>
      <c r="BTF219" s="379"/>
      <c r="BTJ219" s="5"/>
      <c r="BTK219" s="5"/>
      <c r="BTL219" s="5"/>
      <c r="BTN219" s="5"/>
      <c r="BTP219" s="5"/>
      <c r="BTQ219" s="5"/>
      <c r="BTR219" s="5"/>
      <c r="BTS219" s="18"/>
      <c r="BTV219" s="409"/>
      <c r="BTW219" s="409"/>
      <c r="BTX219" s="409"/>
      <c r="BTY219" s="409"/>
      <c r="BTZ219" s="409"/>
      <c r="BUA219" s="409"/>
      <c r="BUB219" s="379"/>
      <c r="BUC219" s="379"/>
      <c r="BUG219" s="5"/>
      <c r="BUH219" s="5"/>
      <c r="BUI219" s="5"/>
      <c r="BUK219" s="5"/>
      <c r="BUM219" s="5"/>
      <c r="BUN219" s="5"/>
      <c r="BUO219" s="5"/>
      <c r="BUP219" s="18"/>
      <c r="BUS219" s="409"/>
      <c r="BUT219" s="409"/>
      <c r="BUU219" s="409"/>
      <c r="BUV219" s="409"/>
      <c r="BUW219" s="409"/>
      <c r="BUX219" s="409"/>
      <c r="BUY219" s="379"/>
      <c r="BUZ219" s="379"/>
      <c r="BVD219" s="5"/>
      <c r="BVE219" s="5"/>
      <c r="BVF219" s="5"/>
      <c r="BVH219" s="5"/>
      <c r="BVJ219" s="5"/>
      <c r="BVK219" s="5"/>
      <c r="BVL219" s="5"/>
      <c r="BVM219" s="18"/>
      <c r="BVP219" s="409"/>
      <c r="BVQ219" s="409"/>
      <c r="BVR219" s="409"/>
      <c r="BVS219" s="409"/>
      <c r="BVT219" s="409"/>
      <c r="BVU219" s="409"/>
      <c r="BVV219" s="379"/>
      <c r="BVW219" s="379"/>
      <c r="BWA219" s="5"/>
      <c r="BWB219" s="5"/>
      <c r="BWC219" s="5"/>
      <c r="BWE219" s="5"/>
      <c r="BWG219" s="5"/>
      <c r="BWH219" s="5"/>
      <c r="BWI219" s="5"/>
      <c r="BWJ219" s="18"/>
      <c r="BWM219" s="409"/>
      <c r="BWN219" s="409"/>
      <c r="BWO219" s="409"/>
      <c r="BWP219" s="409"/>
      <c r="BWQ219" s="409"/>
      <c r="BWR219" s="409"/>
      <c r="BWS219" s="379"/>
      <c r="BWT219" s="379"/>
      <c r="BWX219" s="5"/>
      <c r="BWY219" s="5"/>
      <c r="BWZ219" s="5"/>
      <c r="BXB219" s="5"/>
      <c r="BXD219" s="5"/>
      <c r="BXE219" s="5"/>
      <c r="BXF219" s="5"/>
      <c r="BXG219" s="18"/>
      <c r="BXJ219" s="409"/>
      <c r="BXK219" s="409"/>
      <c r="BXL219" s="409"/>
      <c r="BXM219" s="409"/>
      <c r="BXN219" s="409"/>
      <c r="BXO219" s="409"/>
      <c r="BXP219" s="379"/>
      <c r="BXQ219" s="379"/>
      <c r="BXU219" s="5"/>
      <c r="BXV219" s="5"/>
      <c r="BXW219" s="5"/>
      <c r="BXY219" s="5"/>
      <c r="BYA219" s="5"/>
      <c r="BYB219" s="5"/>
      <c r="BYC219" s="5"/>
      <c r="BYD219" s="18"/>
      <c r="BYG219" s="409"/>
      <c r="BYH219" s="409"/>
      <c r="BYI219" s="409"/>
      <c r="BYJ219" s="409"/>
      <c r="BYK219" s="409"/>
      <c r="BYL219" s="409"/>
      <c r="BYM219" s="379"/>
      <c r="BYN219" s="379"/>
      <c r="BYR219" s="5"/>
      <c r="BYS219" s="5"/>
      <c r="BYT219" s="5"/>
      <c r="BYV219" s="5"/>
      <c r="BYX219" s="5"/>
      <c r="BYY219" s="5"/>
      <c r="BYZ219" s="5"/>
      <c r="BZA219" s="18"/>
      <c r="BZD219" s="409"/>
      <c r="BZE219" s="409"/>
      <c r="BZF219" s="409"/>
      <c r="BZG219" s="409"/>
      <c r="BZH219" s="409"/>
      <c r="BZI219" s="409"/>
      <c r="BZJ219" s="379"/>
      <c r="BZK219" s="379"/>
      <c r="BZO219" s="5"/>
      <c r="BZP219" s="5"/>
      <c r="BZQ219" s="5"/>
      <c r="BZS219" s="5"/>
      <c r="BZU219" s="5"/>
      <c r="BZV219" s="5"/>
      <c r="BZW219" s="5"/>
      <c r="BZX219" s="18"/>
      <c r="CAA219" s="409"/>
      <c r="CAB219" s="409"/>
      <c r="CAC219" s="409"/>
      <c r="CAD219" s="409"/>
      <c r="CAE219" s="409"/>
      <c r="CAF219" s="409"/>
      <c r="CAG219" s="379"/>
      <c r="CAH219" s="379"/>
      <c r="CAL219" s="5"/>
      <c r="CAM219" s="5"/>
      <c r="CAN219" s="5"/>
      <c r="CAP219" s="5"/>
      <c r="CAR219" s="5"/>
      <c r="CAS219" s="5"/>
      <c r="CAT219" s="5"/>
      <c r="CAU219" s="18"/>
      <c r="CAX219" s="409"/>
      <c r="CAY219" s="409"/>
      <c r="CAZ219" s="409"/>
      <c r="CBA219" s="409"/>
      <c r="CBB219" s="409"/>
      <c r="CBC219" s="409"/>
      <c r="CBD219" s="379"/>
      <c r="CBE219" s="379"/>
      <c r="CBI219" s="5"/>
      <c r="CBJ219" s="5"/>
      <c r="CBK219" s="5"/>
      <c r="CBM219" s="5"/>
      <c r="CBO219" s="5"/>
      <c r="CBP219" s="5"/>
      <c r="CBQ219" s="5"/>
      <c r="CBR219" s="18"/>
      <c r="CBU219" s="409"/>
      <c r="CBV219" s="409"/>
      <c r="CBW219" s="409"/>
      <c r="CBX219" s="409"/>
      <c r="CBY219" s="409"/>
      <c r="CBZ219" s="409"/>
      <c r="CCA219" s="379"/>
      <c r="CCB219" s="379"/>
      <c r="CCF219" s="5"/>
      <c r="CCG219" s="5"/>
      <c r="CCH219" s="5"/>
      <c r="CCJ219" s="5"/>
      <c r="CCL219" s="5"/>
      <c r="CCM219" s="5"/>
      <c r="CCN219" s="5"/>
      <c r="CCO219" s="18"/>
      <c r="CCR219" s="409"/>
      <c r="CCS219" s="409"/>
      <c r="CCT219" s="409"/>
      <c r="CCU219" s="409"/>
      <c r="CCV219" s="409"/>
      <c r="CCW219" s="409"/>
      <c r="CCX219" s="379"/>
      <c r="CCY219" s="379"/>
      <c r="CDC219" s="5"/>
      <c r="CDD219" s="5"/>
      <c r="CDE219" s="5"/>
      <c r="CDG219" s="5"/>
      <c r="CDI219" s="5"/>
      <c r="CDJ219" s="5"/>
      <c r="CDK219" s="5"/>
      <c r="CDL219" s="18"/>
      <c r="CDO219" s="409"/>
      <c r="CDP219" s="409"/>
      <c r="CDQ219" s="409"/>
      <c r="CDR219" s="409"/>
      <c r="CDS219" s="409"/>
      <c r="CDT219" s="409"/>
      <c r="CDU219" s="379"/>
      <c r="CDV219" s="379"/>
      <c r="CDZ219" s="5"/>
      <c r="CEA219" s="5"/>
      <c r="CEB219" s="5"/>
      <c r="CED219" s="5"/>
      <c r="CEF219" s="5"/>
      <c r="CEG219" s="5"/>
      <c r="CEH219" s="5"/>
      <c r="CEI219" s="18"/>
      <c r="CEL219" s="409"/>
      <c r="CEM219" s="409"/>
      <c r="CEN219" s="409"/>
      <c r="CEO219" s="409"/>
      <c r="CEP219" s="409"/>
      <c r="CEQ219" s="409"/>
      <c r="CER219" s="379"/>
      <c r="CES219" s="379"/>
      <c r="CEW219" s="5"/>
      <c r="CEX219" s="5"/>
      <c r="CEY219" s="5"/>
      <c r="CFA219" s="5"/>
      <c r="CFC219" s="5"/>
      <c r="CFD219" s="5"/>
      <c r="CFE219" s="5"/>
      <c r="CFF219" s="18"/>
      <c r="CFI219" s="409"/>
      <c r="CFJ219" s="409"/>
      <c r="CFK219" s="409"/>
      <c r="CFL219" s="409"/>
      <c r="CFM219" s="409"/>
      <c r="CFN219" s="409"/>
      <c r="CFO219" s="379"/>
      <c r="CFP219" s="379"/>
      <c r="CFT219" s="5"/>
      <c r="CFU219" s="5"/>
      <c r="CFV219" s="5"/>
      <c r="CFX219" s="5"/>
      <c r="CFZ219" s="5"/>
      <c r="CGA219" s="5"/>
      <c r="CGB219" s="5"/>
      <c r="CGC219" s="18"/>
      <c r="CGF219" s="409"/>
      <c r="CGG219" s="409"/>
      <c r="CGH219" s="409"/>
      <c r="CGI219" s="409"/>
      <c r="CGJ219" s="409"/>
      <c r="CGK219" s="409"/>
      <c r="CGL219" s="379"/>
      <c r="CGM219" s="379"/>
      <c r="CGQ219" s="5"/>
      <c r="CGR219" s="5"/>
      <c r="CGS219" s="5"/>
      <c r="CGU219" s="5"/>
      <c r="CGW219" s="5"/>
      <c r="CGX219" s="5"/>
      <c r="CGY219" s="5"/>
      <c r="CGZ219" s="18"/>
      <c r="CHC219" s="409"/>
      <c r="CHD219" s="409"/>
      <c r="CHE219" s="409"/>
      <c r="CHF219" s="409"/>
      <c r="CHG219" s="409"/>
      <c r="CHH219" s="409"/>
      <c r="CHI219" s="379"/>
      <c r="CHJ219" s="379"/>
      <c r="CHN219" s="5"/>
      <c r="CHO219" s="5"/>
      <c r="CHP219" s="5"/>
      <c r="CHR219" s="5"/>
      <c r="CHT219" s="5"/>
      <c r="CHU219" s="5"/>
      <c r="CHV219" s="5"/>
      <c r="CHW219" s="18"/>
      <c r="CHZ219" s="409"/>
      <c r="CIA219" s="409"/>
      <c r="CIB219" s="409"/>
      <c r="CIC219" s="409"/>
      <c r="CID219" s="409"/>
      <c r="CIE219" s="409"/>
      <c r="CIF219" s="379"/>
      <c r="CIG219" s="379"/>
      <c r="CIK219" s="5"/>
      <c r="CIL219" s="5"/>
      <c r="CIM219" s="5"/>
      <c r="CIO219" s="5"/>
      <c r="CIQ219" s="5"/>
      <c r="CIR219" s="5"/>
      <c r="CIS219" s="5"/>
      <c r="CIT219" s="18"/>
      <c r="CIW219" s="409"/>
      <c r="CIX219" s="409"/>
      <c r="CIY219" s="409"/>
      <c r="CIZ219" s="409"/>
      <c r="CJA219" s="409"/>
      <c r="CJB219" s="409"/>
      <c r="CJC219" s="379"/>
      <c r="CJD219" s="379"/>
      <c r="CJH219" s="5"/>
      <c r="CJI219" s="5"/>
      <c r="CJJ219" s="5"/>
      <c r="CJL219" s="5"/>
      <c r="CJN219" s="5"/>
      <c r="CJO219" s="5"/>
      <c r="CJP219" s="5"/>
      <c r="CJQ219" s="18"/>
      <c r="CJT219" s="409"/>
      <c r="CJU219" s="409"/>
      <c r="CJV219" s="409"/>
      <c r="CJW219" s="409"/>
      <c r="CJX219" s="409"/>
      <c r="CJY219" s="409"/>
      <c r="CJZ219" s="379"/>
      <c r="CKA219" s="379"/>
      <c r="CKE219" s="5"/>
      <c r="CKF219" s="5"/>
      <c r="CKG219" s="5"/>
      <c r="CKI219" s="5"/>
      <c r="CKK219" s="5"/>
      <c r="CKL219" s="5"/>
      <c r="CKM219" s="5"/>
      <c r="CKN219" s="18"/>
      <c r="CKQ219" s="409"/>
      <c r="CKR219" s="409"/>
      <c r="CKS219" s="409"/>
      <c r="CKT219" s="409"/>
      <c r="CKU219" s="409"/>
      <c r="CKV219" s="409"/>
      <c r="CKW219" s="379"/>
      <c r="CKX219" s="379"/>
      <c r="CLB219" s="5"/>
      <c r="CLC219" s="5"/>
      <c r="CLD219" s="5"/>
      <c r="CLF219" s="5"/>
      <c r="CLH219" s="5"/>
      <c r="CLI219" s="5"/>
      <c r="CLJ219" s="5"/>
      <c r="CLK219" s="18"/>
      <c r="CLN219" s="409"/>
      <c r="CLO219" s="409"/>
      <c r="CLP219" s="409"/>
      <c r="CLQ219" s="409"/>
      <c r="CLR219" s="409"/>
      <c r="CLS219" s="409"/>
      <c r="CLT219" s="379"/>
      <c r="CLU219" s="379"/>
      <c r="CLY219" s="5"/>
      <c r="CLZ219" s="5"/>
      <c r="CMA219" s="5"/>
      <c r="CMC219" s="5"/>
      <c r="CME219" s="5"/>
      <c r="CMF219" s="5"/>
      <c r="CMG219" s="5"/>
      <c r="CMH219" s="18"/>
      <c r="CMK219" s="409"/>
      <c r="CML219" s="409"/>
      <c r="CMM219" s="409"/>
      <c r="CMN219" s="409"/>
      <c r="CMO219" s="409"/>
      <c r="CMP219" s="409"/>
      <c r="CMQ219" s="379"/>
      <c r="CMR219" s="379"/>
      <c r="CMV219" s="5"/>
      <c r="CMW219" s="5"/>
      <c r="CMX219" s="5"/>
      <c r="CMZ219" s="5"/>
      <c r="CNB219" s="5"/>
      <c r="CNC219" s="5"/>
      <c r="CND219" s="5"/>
      <c r="CNE219" s="18"/>
      <c r="CNH219" s="409"/>
      <c r="CNI219" s="409"/>
      <c r="CNJ219" s="409"/>
      <c r="CNK219" s="409"/>
      <c r="CNL219" s="409"/>
      <c r="CNM219" s="409"/>
      <c r="CNN219" s="379"/>
      <c r="CNO219" s="379"/>
      <c r="CNS219" s="5"/>
      <c r="CNT219" s="5"/>
      <c r="CNU219" s="5"/>
      <c r="CNW219" s="5"/>
      <c r="CNY219" s="5"/>
      <c r="CNZ219" s="5"/>
      <c r="COA219" s="5"/>
      <c r="COB219" s="18"/>
      <c r="COE219" s="409"/>
      <c r="COF219" s="409"/>
      <c r="COG219" s="409"/>
      <c r="COH219" s="409"/>
      <c r="COI219" s="409"/>
      <c r="COJ219" s="409"/>
      <c r="COK219" s="379"/>
      <c r="COL219" s="379"/>
      <c r="COP219" s="5"/>
      <c r="COQ219" s="5"/>
      <c r="COR219" s="5"/>
      <c r="COT219" s="5"/>
      <c r="COV219" s="5"/>
      <c r="COW219" s="5"/>
      <c r="COX219" s="5"/>
      <c r="COY219" s="18"/>
      <c r="CPB219" s="409"/>
      <c r="CPC219" s="409"/>
      <c r="CPD219" s="409"/>
      <c r="CPE219" s="409"/>
      <c r="CPF219" s="409"/>
      <c r="CPG219" s="409"/>
      <c r="CPH219" s="379"/>
      <c r="CPI219" s="379"/>
      <c r="CPM219" s="5"/>
      <c r="CPN219" s="5"/>
      <c r="CPO219" s="5"/>
      <c r="CPQ219" s="5"/>
      <c r="CPS219" s="5"/>
      <c r="CPT219" s="5"/>
      <c r="CPU219" s="5"/>
      <c r="CPV219" s="18"/>
      <c r="CPY219" s="409"/>
      <c r="CPZ219" s="409"/>
      <c r="CQA219" s="409"/>
      <c r="CQB219" s="409"/>
      <c r="CQC219" s="409"/>
      <c r="CQD219" s="409"/>
      <c r="CQE219" s="379"/>
      <c r="CQF219" s="379"/>
      <c r="CQJ219" s="5"/>
      <c r="CQK219" s="5"/>
      <c r="CQL219" s="5"/>
      <c r="CQN219" s="5"/>
      <c r="CQP219" s="5"/>
      <c r="CQQ219" s="5"/>
      <c r="CQR219" s="5"/>
      <c r="CQS219" s="18"/>
      <c r="CQV219" s="409"/>
      <c r="CQW219" s="409"/>
      <c r="CQX219" s="409"/>
      <c r="CQY219" s="409"/>
      <c r="CQZ219" s="409"/>
      <c r="CRA219" s="409"/>
      <c r="CRB219" s="379"/>
      <c r="CRC219" s="379"/>
      <c r="CRG219" s="5"/>
      <c r="CRH219" s="5"/>
      <c r="CRI219" s="5"/>
      <c r="CRK219" s="5"/>
      <c r="CRM219" s="5"/>
      <c r="CRN219" s="5"/>
      <c r="CRO219" s="5"/>
      <c r="CRP219" s="18"/>
      <c r="CRS219" s="409"/>
      <c r="CRT219" s="409"/>
      <c r="CRU219" s="409"/>
      <c r="CRV219" s="409"/>
      <c r="CRW219" s="409"/>
      <c r="CRX219" s="409"/>
      <c r="CRY219" s="379"/>
      <c r="CRZ219" s="379"/>
      <c r="CSD219" s="5"/>
      <c r="CSE219" s="5"/>
      <c r="CSF219" s="5"/>
      <c r="CSH219" s="5"/>
      <c r="CSJ219" s="5"/>
      <c r="CSK219" s="5"/>
      <c r="CSL219" s="5"/>
      <c r="CSM219" s="18"/>
      <c r="CSP219" s="409"/>
      <c r="CSQ219" s="409"/>
      <c r="CSR219" s="409"/>
      <c r="CSS219" s="409"/>
      <c r="CST219" s="409"/>
      <c r="CSU219" s="409"/>
      <c r="CSV219" s="379"/>
      <c r="CSW219" s="379"/>
      <c r="CTA219" s="5"/>
      <c r="CTB219" s="5"/>
      <c r="CTC219" s="5"/>
      <c r="CTE219" s="5"/>
      <c r="CTG219" s="5"/>
      <c r="CTH219" s="5"/>
      <c r="CTI219" s="5"/>
      <c r="CTJ219" s="18"/>
      <c r="CTM219" s="409"/>
      <c r="CTN219" s="409"/>
      <c r="CTO219" s="409"/>
      <c r="CTP219" s="409"/>
      <c r="CTQ219" s="409"/>
      <c r="CTR219" s="409"/>
      <c r="CTS219" s="379"/>
      <c r="CTT219" s="379"/>
      <c r="CTX219" s="5"/>
      <c r="CTY219" s="5"/>
      <c r="CTZ219" s="5"/>
      <c r="CUB219" s="5"/>
      <c r="CUD219" s="5"/>
      <c r="CUE219" s="5"/>
      <c r="CUF219" s="5"/>
      <c r="CUG219" s="18"/>
      <c r="CUJ219" s="409"/>
      <c r="CUK219" s="409"/>
      <c r="CUL219" s="409"/>
      <c r="CUM219" s="409"/>
      <c r="CUN219" s="409"/>
      <c r="CUO219" s="409"/>
      <c r="CUP219" s="379"/>
      <c r="CUQ219" s="379"/>
      <c r="CUU219" s="5"/>
      <c r="CUV219" s="5"/>
      <c r="CUW219" s="5"/>
      <c r="CUY219" s="5"/>
      <c r="CVA219" s="5"/>
      <c r="CVB219" s="5"/>
      <c r="CVC219" s="5"/>
      <c r="CVD219" s="18"/>
      <c r="CVG219" s="409"/>
      <c r="CVH219" s="409"/>
      <c r="CVI219" s="409"/>
      <c r="CVJ219" s="409"/>
      <c r="CVK219" s="409"/>
      <c r="CVL219" s="409"/>
      <c r="CVM219" s="379"/>
      <c r="CVN219" s="379"/>
      <c r="CVR219" s="5"/>
      <c r="CVS219" s="5"/>
      <c r="CVT219" s="5"/>
      <c r="CVV219" s="5"/>
      <c r="CVX219" s="5"/>
      <c r="CVY219" s="5"/>
      <c r="CVZ219" s="5"/>
      <c r="CWA219" s="18"/>
      <c r="CWD219" s="409"/>
      <c r="CWE219" s="409"/>
      <c r="CWF219" s="409"/>
      <c r="CWG219" s="409"/>
      <c r="CWH219" s="409"/>
      <c r="CWI219" s="409"/>
      <c r="CWJ219" s="379"/>
      <c r="CWK219" s="379"/>
      <c r="CWO219" s="5"/>
      <c r="CWP219" s="5"/>
      <c r="CWQ219" s="5"/>
      <c r="CWS219" s="5"/>
      <c r="CWU219" s="5"/>
      <c r="CWV219" s="5"/>
      <c r="CWW219" s="5"/>
      <c r="CWX219" s="18"/>
      <c r="CXA219" s="409"/>
      <c r="CXB219" s="409"/>
      <c r="CXC219" s="409"/>
      <c r="CXD219" s="409"/>
      <c r="CXE219" s="409"/>
      <c r="CXF219" s="409"/>
      <c r="CXG219" s="379"/>
      <c r="CXH219" s="379"/>
      <c r="CXL219" s="5"/>
      <c r="CXM219" s="5"/>
      <c r="CXN219" s="5"/>
      <c r="CXP219" s="5"/>
      <c r="CXR219" s="5"/>
      <c r="CXS219" s="5"/>
      <c r="CXT219" s="5"/>
      <c r="CXU219" s="18"/>
      <c r="CXX219" s="409"/>
      <c r="CXY219" s="409"/>
      <c r="CXZ219" s="409"/>
      <c r="CYA219" s="409"/>
      <c r="CYB219" s="409"/>
      <c r="CYC219" s="409"/>
      <c r="CYD219" s="379"/>
      <c r="CYE219" s="379"/>
      <c r="CYI219" s="5"/>
      <c r="CYJ219" s="5"/>
      <c r="CYK219" s="5"/>
      <c r="CYM219" s="5"/>
      <c r="CYO219" s="5"/>
      <c r="CYP219" s="5"/>
      <c r="CYQ219" s="5"/>
      <c r="CYR219" s="18"/>
      <c r="CYU219" s="409"/>
      <c r="CYV219" s="409"/>
      <c r="CYW219" s="409"/>
      <c r="CYX219" s="409"/>
      <c r="CYY219" s="409"/>
      <c r="CYZ219" s="409"/>
      <c r="CZA219" s="379"/>
      <c r="CZB219" s="379"/>
      <c r="CZF219" s="5"/>
      <c r="CZG219" s="5"/>
      <c r="CZH219" s="5"/>
      <c r="CZJ219" s="5"/>
      <c r="CZL219" s="5"/>
      <c r="CZM219" s="5"/>
      <c r="CZN219" s="5"/>
      <c r="CZO219" s="18"/>
      <c r="CZR219" s="409"/>
      <c r="CZS219" s="409"/>
      <c r="CZT219" s="409"/>
      <c r="CZU219" s="409"/>
      <c r="CZV219" s="409"/>
      <c r="CZW219" s="409"/>
      <c r="CZX219" s="379"/>
      <c r="CZY219" s="379"/>
      <c r="DAC219" s="5"/>
      <c r="DAD219" s="5"/>
      <c r="DAE219" s="5"/>
      <c r="DAG219" s="5"/>
      <c r="DAI219" s="5"/>
      <c r="DAJ219" s="5"/>
      <c r="DAK219" s="5"/>
      <c r="DAL219" s="18"/>
      <c r="DAO219" s="409"/>
      <c r="DAP219" s="409"/>
      <c r="DAQ219" s="409"/>
      <c r="DAR219" s="409"/>
      <c r="DAS219" s="409"/>
      <c r="DAT219" s="409"/>
      <c r="DAU219" s="379"/>
      <c r="DAV219" s="379"/>
      <c r="DAZ219" s="5"/>
      <c r="DBA219" s="5"/>
      <c r="DBB219" s="5"/>
      <c r="DBD219" s="5"/>
      <c r="DBF219" s="5"/>
      <c r="DBG219" s="5"/>
      <c r="DBH219" s="5"/>
      <c r="DBI219" s="18"/>
      <c r="DBL219" s="409"/>
      <c r="DBM219" s="409"/>
      <c r="DBN219" s="409"/>
      <c r="DBO219" s="409"/>
      <c r="DBP219" s="409"/>
      <c r="DBQ219" s="409"/>
      <c r="DBR219" s="379"/>
      <c r="DBS219" s="379"/>
      <c r="DBW219" s="5"/>
      <c r="DBX219" s="5"/>
      <c r="DBY219" s="5"/>
      <c r="DCA219" s="5"/>
      <c r="DCC219" s="5"/>
      <c r="DCD219" s="5"/>
      <c r="DCE219" s="5"/>
      <c r="DCF219" s="18"/>
      <c r="DCI219" s="409"/>
      <c r="DCJ219" s="409"/>
      <c r="DCK219" s="409"/>
      <c r="DCL219" s="409"/>
      <c r="DCM219" s="409"/>
      <c r="DCN219" s="409"/>
      <c r="DCO219" s="379"/>
      <c r="DCP219" s="379"/>
      <c r="DCT219" s="5"/>
      <c r="DCU219" s="5"/>
      <c r="DCV219" s="5"/>
      <c r="DCX219" s="5"/>
      <c r="DCZ219" s="5"/>
      <c r="DDA219" s="5"/>
      <c r="DDB219" s="5"/>
      <c r="DDC219" s="18"/>
      <c r="DDF219" s="409"/>
      <c r="DDG219" s="409"/>
      <c r="DDH219" s="409"/>
      <c r="DDI219" s="409"/>
      <c r="DDJ219" s="409"/>
      <c r="DDK219" s="409"/>
      <c r="DDL219" s="379"/>
      <c r="DDM219" s="379"/>
      <c r="DDQ219" s="5"/>
      <c r="DDR219" s="5"/>
      <c r="DDS219" s="5"/>
      <c r="DDU219" s="5"/>
      <c r="DDW219" s="5"/>
      <c r="DDX219" s="5"/>
      <c r="DDY219" s="5"/>
      <c r="DDZ219" s="18"/>
      <c r="DEC219" s="409"/>
      <c r="DED219" s="409"/>
      <c r="DEE219" s="409"/>
      <c r="DEF219" s="409"/>
      <c r="DEG219" s="409"/>
      <c r="DEH219" s="409"/>
      <c r="DEI219" s="379"/>
      <c r="DEJ219" s="379"/>
      <c r="DEN219" s="5"/>
      <c r="DEO219" s="5"/>
      <c r="DEP219" s="5"/>
      <c r="DER219" s="5"/>
      <c r="DET219" s="5"/>
      <c r="DEU219" s="5"/>
      <c r="DEV219" s="5"/>
      <c r="DEW219" s="18"/>
      <c r="DEZ219" s="409"/>
      <c r="DFA219" s="409"/>
      <c r="DFB219" s="409"/>
      <c r="DFC219" s="409"/>
      <c r="DFD219" s="409"/>
      <c r="DFE219" s="409"/>
      <c r="DFF219" s="379"/>
      <c r="DFG219" s="379"/>
      <c r="DFK219" s="5"/>
      <c r="DFL219" s="5"/>
      <c r="DFM219" s="5"/>
      <c r="DFO219" s="5"/>
      <c r="DFQ219" s="5"/>
      <c r="DFR219" s="5"/>
      <c r="DFS219" s="5"/>
      <c r="DFT219" s="18"/>
      <c r="DFW219" s="409"/>
      <c r="DFX219" s="409"/>
      <c r="DFY219" s="409"/>
      <c r="DFZ219" s="409"/>
      <c r="DGA219" s="409"/>
      <c r="DGB219" s="409"/>
      <c r="DGC219" s="379"/>
      <c r="DGD219" s="379"/>
      <c r="DGH219" s="5"/>
      <c r="DGI219" s="5"/>
      <c r="DGJ219" s="5"/>
      <c r="DGL219" s="5"/>
      <c r="DGN219" s="5"/>
      <c r="DGO219" s="5"/>
      <c r="DGP219" s="5"/>
      <c r="DGQ219" s="18"/>
      <c r="DGT219" s="409"/>
      <c r="DGU219" s="409"/>
      <c r="DGV219" s="409"/>
      <c r="DGW219" s="409"/>
      <c r="DGX219" s="409"/>
      <c r="DGY219" s="409"/>
      <c r="DGZ219" s="379"/>
      <c r="DHA219" s="379"/>
      <c r="DHE219" s="5"/>
      <c r="DHF219" s="5"/>
      <c r="DHG219" s="5"/>
      <c r="DHI219" s="5"/>
      <c r="DHK219" s="5"/>
      <c r="DHL219" s="5"/>
      <c r="DHM219" s="5"/>
      <c r="DHN219" s="18"/>
      <c r="DHQ219" s="409"/>
      <c r="DHR219" s="409"/>
      <c r="DHS219" s="409"/>
      <c r="DHT219" s="409"/>
      <c r="DHU219" s="409"/>
      <c r="DHV219" s="409"/>
      <c r="DHW219" s="379"/>
      <c r="DHX219" s="379"/>
      <c r="DIB219" s="5"/>
      <c r="DIC219" s="5"/>
      <c r="DID219" s="5"/>
      <c r="DIF219" s="5"/>
      <c r="DIH219" s="5"/>
      <c r="DII219" s="5"/>
      <c r="DIJ219" s="5"/>
      <c r="DIK219" s="18"/>
      <c r="DIN219" s="409"/>
      <c r="DIO219" s="409"/>
      <c r="DIP219" s="409"/>
      <c r="DIQ219" s="409"/>
      <c r="DIR219" s="409"/>
      <c r="DIS219" s="409"/>
      <c r="DIT219" s="379"/>
      <c r="DIU219" s="379"/>
      <c r="DIY219" s="5"/>
      <c r="DIZ219" s="5"/>
      <c r="DJA219" s="5"/>
      <c r="DJC219" s="5"/>
      <c r="DJE219" s="5"/>
      <c r="DJF219" s="5"/>
      <c r="DJG219" s="5"/>
      <c r="DJH219" s="18"/>
      <c r="DJK219" s="409"/>
      <c r="DJL219" s="409"/>
      <c r="DJM219" s="409"/>
      <c r="DJN219" s="409"/>
      <c r="DJO219" s="409"/>
      <c r="DJP219" s="409"/>
      <c r="DJQ219" s="379"/>
      <c r="DJR219" s="379"/>
      <c r="DJV219" s="5"/>
      <c r="DJW219" s="5"/>
      <c r="DJX219" s="5"/>
      <c r="DJZ219" s="5"/>
      <c r="DKB219" s="5"/>
      <c r="DKC219" s="5"/>
      <c r="DKD219" s="5"/>
      <c r="DKE219" s="18"/>
      <c r="DKH219" s="409"/>
      <c r="DKI219" s="409"/>
      <c r="DKJ219" s="409"/>
      <c r="DKK219" s="409"/>
      <c r="DKL219" s="409"/>
      <c r="DKM219" s="409"/>
      <c r="DKN219" s="379"/>
      <c r="DKO219" s="379"/>
      <c r="DKS219" s="5"/>
      <c r="DKT219" s="5"/>
      <c r="DKU219" s="5"/>
      <c r="DKW219" s="5"/>
      <c r="DKY219" s="5"/>
      <c r="DKZ219" s="5"/>
      <c r="DLA219" s="5"/>
      <c r="DLB219" s="18"/>
      <c r="DLE219" s="409"/>
      <c r="DLF219" s="409"/>
      <c r="DLG219" s="409"/>
      <c r="DLH219" s="409"/>
      <c r="DLI219" s="409"/>
      <c r="DLJ219" s="409"/>
      <c r="DLK219" s="379"/>
      <c r="DLL219" s="379"/>
      <c r="DLP219" s="5"/>
      <c r="DLQ219" s="5"/>
      <c r="DLR219" s="5"/>
      <c r="DLT219" s="5"/>
      <c r="DLV219" s="5"/>
      <c r="DLW219" s="5"/>
      <c r="DLX219" s="5"/>
      <c r="DLY219" s="18"/>
      <c r="DMB219" s="409"/>
      <c r="DMC219" s="409"/>
      <c r="DMD219" s="409"/>
      <c r="DME219" s="409"/>
      <c r="DMF219" s="409"/>
      <c r="DMG219" s="409"/>
      <c r="DMH219" s="379"/>
      <c r="DMI219" s="379"/>
      <c r="DMM219" s="5"/>
      <c r="DMN219" s="5"/>
      <c r="DMO219" s="5"/>
      <c r="DMQ219" s="5"/>
      <c r="DMS219" s="5"/>
      <c r="DMT219" s="5"/>
      <c r="DMU219" s="5"/>
      <c r="DMV219" s="18"/>
      <c r="DMY219" s="409"/>
      <c r="DMZ219" s="409"/>
      <c r="DNA219" s="409"/>
      <c r="DNB219" s="409"/>
      <c r="DNC219" s="409"/>
      <c r="DND219" s="409"/>
      <c r="DNE219" s="379"/>
      <c r="DNF219" s="379"/>
      <c r="DNJ219" s="5"/>
      <c r="DNK219" s="5"/>
      <c r="DNL219" s="5"/>
      <c r="DNN219" s="5"/>
      <c r="DNP219" s="5"/>
      <c r="DNQ219" s="5"/>
      <c r="DNR219" s="5"/>
      <c r="DNS219" s="18"/>
      <c r="DNV219" s="409"/>
      <c r="DNW219" s="409"/>
      <c r="DNX219" s="409"/>
      <c r="DNY219" s="409"/>
      <c r="DNZ219" s="409"/>
      <c r="DOA219" s="409"/>
      <c r="DOB219" s="379"/>
      <c r="DOC219" s="379"/>
      <c r="DOG219" s="5"/>
      <c r="DOH219" s="5"/>
      <c r="DOI219" s="5"/>
      <c r="DOK219" s="5"/>
      <c r="DOM219" s="5"/>
      <c r="DON219" s="5"/>
      <c r="DOO219" s="5"/>
      <c r="DOP219" s="18"/>
      <c r="DOS219" s="409"/>
      <c r="DOT219" s="409"/>
      <c r="DOU219" s="409"/>
      <c r="DOV219" s="409"/>
      <c r="DOW219" s="409"/>
      <c r="DOX219" s="409"/>
      <c r="DOY219" s="379"/>
      <c r="DOZ219" s="379"/>
      <c r="DPD219" s="5"/>
      <c r="DPE219" s="5"/>
      <c r="DPF219" s="5"/>
      <c r="DPH219" s="5"/>
      <c r="DPJ219" s="5"/>
      <c r="DPK219" s="5"/>
      <c r="DPL219" s="5"/>
      <c r="DPM219" s="18"/>
      <c r="DPP219" s="409"/>
      <c r="DPQ219" s="409"/>
      <c r="DPR219" s="409"/>
      <c r="DPS219" s="409"/>
      <c r="DPT219" s="409"/>
      <c r="DPU219" s="409"/>
      <c r="DPV219" s="379"/>
      <c r="DPW219" s="379"/>
      <c r="DQA219" s="5"/>
      <c r="DQB219" s="5"/>
      <c r="DQC219" s="5"/>
      <c r="DQE219" s="5"/>
      <c r="DQG219" s="5"/>
      <c r="DQH219" s="5"/>
      <c r="DQI219" s="5"/>
      <c r="DQJ219" s="18"/>
      <c r="DQM219" s="409"/>
      <c r="DQN219" s="409"/>
      <c r="DQO219" s="409"/>
      <c r="DQP219" s="409"/>
      <c r="DQQ219" s="409"/>
      <c r="DQR219" s="409"/>
      <c r="DQS219" s="379"/>
      <c r="DQT219" s="379"/>
      <c r="DQX219" s="5"/>
      <c r="DQY219" s="5"/>
      <c r="DQZ219" s="5"/>
      <c r="DRB219" s="5"/>
      <c r="DRD219" s="5"/>
      <c r="DRE219" s="5"/>
      <c r="DRF219" s="5"/>
      <c r="DRG219" s="18"/>
      <c r="DRJ219" s="409"/>
      <c r="DRK219" s="409"/>
      <c r="DRL219" s="409"/>
      <c r="DRM219" s="409"/>
      <c r="DRN219" s="409"/>
      <c r="DRO219" s="409"/>
      <c r="DRP219" s="379"/>
      <c r="DRQ219" s="379"/>
      <c r="DRU219" s="5"/>
      <c r="DRV219" s="5"/>
      <c r="DRW219" s="5"/>
      <c r="DRY219" s="5"/>
      <c r="DSA219" s="5"/>
      <c r="DSB219" s="5"/>
      <c r="DSC219" s="5"/>
      <c r="DSD219" s="18"/>
      <c r="DSG219" s="409"/>
      <c r="DSH219" s="409"/>
      <c r="DSI219" s="409"/>
      <c r="DSJ219" s="409"/>
      <c r="DSK219" s="409"/>
      <c r="DSL219" s="409"/>
      <c r="DSM219" s="379"/>
      <c r="DSN219" s="379"/>
      <c r="DSR219" s="5"/>
      <c r="DSS219" s="5"/>
      <c r="DST219" s="5"/>
      <c r="DSV219" s="5"/>
      <c r="DSX219" s="5"/>
      <c r="DSY219" s="5"/>
      <c r="DSZ219" s="5"/>
      <c r="DTA219" s="18"/>
      <c r="DTD219" s="409"/>
      <c r="DTE219" s="409"/>
      <c r="DTF219" s="409"/>
      <c r="DTG219" s="409"/>
      <c r="DTH219" s="409"/>
      <c r="DTI219" s="409"/>
      <c r="DTJ219" s="379"/>
      <c r="DTK219" s="379"/>
      <c r="DTO219" s="5"/>
      <c r="DTP219" s="5"/>
      <c r="DTQ219" s="5"/>
      <c r="DTS219" s="5"/>
      <c r="DTU219" s="5"/>
      <c r="DTV219" s="5"/>
      <c r="DTW219" s="5"/>
      <c r="DTX219" s="18"/>
      <c r="DUA219" s="409"/>
      <c r="DUB219" s="409"/>
      <c r="DUC219" s="409"/>
      <c r="DUD219" s="409"/>
      <c r="DUE219" s="409"/>
      <c r="DUF219" s="409"/>
      <c r="DUG219" s="379"/>
      <c r="DUH219" s="379"/>
      <c r="DUL219" s="5"/>
      <c r="DUM219" s="5"/>
      <c r="DUN219" s="5"/>
      <c r="DUP219" s="5"/>
      <c r="DUR219" s="5"/>
      <c r="DUS219" s="5"/>
      <c r="DUT219" s="5"/>
      <c r="DUU219" s="18"/>
      <c r="DUX219" s="409"/>
      <c r="DUY219" s="409"/>
      <c r="DUZ219" s="409"/>
      <c r="DVA219" s="409"/>
      <c r="DVB219" s="409"/>
      <c r="DVC219" s="409"/>
      <c r="DVD219" s="379"/>
      <c r="DVE219" s="379"/>
      <c r="DVI219" s="5"/>
      <c r="DVJ219" s="5"/>
      <c r="DVK219" s="5"/>
      <c r="DVM219" s="5"/>
      <c r="DVO219" s="5"/>
      <c r="DVP219" s="5"/>
      <c r="DVQ219" s="5"/>
      <c r="DVR219" s="18"/>
      <c r="DVU219" s="409"/>
      <c r="DVV219" s="409"/>
      <c r="DVW219" s="409"/>
      <c r="DVX219" s="409"/>
      <c r="DVY219" s="409"/>
      <c r="DVZ219" s="409"/>
      <c r="DWA219" s="379"/>
      <c r="DWB219" s="379"/>
      <c r="DWF219" s="5"/>
      <c r="DWG219" s="5"/>
      <c r="DWH219" s="5"/>
      <c r="DWJ219" s="5"/>
      <c r="DWL219" s="5"/>
      <c r="DWM219" s="5"/>
      <c r="DWN219" s="5"/>
      <c r="DWO219" s="18"/>
      <c r="DWR219" s="409"/>
      <c r="DWS219" s="409"/>
      <c r="DWT219" s="409"/>
      <c r="DWU219" s="409"/>
      <c r="DWV219" s="409"/>
      <c r="DWW219" s="409"/>
      <c r="DWX219" s="379"/>
      <c r="DWY219" s="379"/>
      <c r="DXC219" s="5"/>
      <c r="DXD219" s="5"/>
      <c r="DXE219" s="5"/>
      <c r="DXG219" s="5"/>
      <c r="DXI219" s="5"/>
      <c r="DXJ219" s="5"/>
      <c r="DXK219" s="5"/>
      <c r="DXL219" s="18"/>
      <c r="DXO219" s="409"/>
      <c r="DXP219" s="409"/>
      <c r="DXQ219" s="409"/>
      <c r="DXR219" s="409"/>
      <c r="DXS219" s="409"/>
      <c r="DXT219" s="409"/>
      <c r="DXU219" s="379"/>
      <c r="DXV219" s="379"/>
      <c r="DXZ219" s="5"/>
      <c r="DYA219" s="5"/>
      <c r="DYB219" s="5"/>
      <c r="DYD219" s="5"/>
      <c r="DYF219" s="5"/>
      <c r="DYG219" s="5"/>
      <c r="DYH219" s="5"/>
      <c r="DYI219" s="18"/>
      <c r="DYL219" s="409"/>
      <c r="DYM219" s="409"/>
      <c r="DYN219" s="409"/>
      <c r="DYO219" s="409"/>
      <c r="DYP219" s="409"/>
      <c r="DYQ219" s="409"/>
      <c r="DYR219" s="379"/>
      <c r="DYS219" s="379"/>
      <c r="DYW219" s="5"/>
      <c r="DYX219" s="5"/>
      <c r="DYY219" s="5"/>
      <c r="DZA219" s="5"/>
      <c r="DZC219" s="5"/>
      <c r="DZD219" s="5"/>
      <c r="DZE219" s="5"/>
      <c r="DZF219" s="18"/>
      <c r="DZI219" s="409"/>
      <c r="DZJ219" s="409"/>
      <c r="DZK219" s="409"/>
      <c r="DZL219" s="409"/>
      <c r="DZM219" s="409"/>
      <c r="DZN219" s="409"/>
      <c r="DZO219" s="379"/>
      <c r="DZP219" s="379"/>
      <c r="DZT219" s="5"/>
      <c r="DZU219" s="5"/>
      <c r="DZV219" s="5"/>
      <c r="DZX219" s="5"/>
      <c r="DZZ219" s="5"/>
      <c r="EAA219" s="5"/>
      <c r="EAB219" s="5"/>
      <c r="EAC219" s="18"/>
      <c r="EAF219" s="409"/>
      <c r="EAG219" s="409"/>
      <c r="EAH219" s="409"/>
      <c r="EAI219" s="409"/>
      <c r="EAJ219" s="409"/>
      <c r="EAK219" s="409"/>
      <c r="EAL219" s="379"/>
      <c r="EAM219" s="379"/>
      <c r="EAQ219" s="5"/>
      <c r="EAR219" s="5"/>
      <c r="EAS219" s="5"/>
      <c r="EAU219" s="5"/>
      <c r="EAW219" s="5"/>
      <c r="EAX219" s="5"/>
      <c r="EAY219" s="5"/>
      <c r="EAZ219" s="18"/>
      <c r="EBC219" s="409"/>
      <c r="EBD219" s="409"/>
      <c r="EBE219" s="409"/>
      <c r="EBF219" s="409"/>
      <c r="EBG219" s="409"/>
      <c r="EBH219" s="409"/>
      <c r="EBI219" s="379"/>
      <c r="EBJ219" s="379"/>
      <c r="EBN219" s="5"/>
      <c r="EBO219" s="5"/>
      <c r="EBP219" s="5"/>
      <c r="EBR219" s="5"/>
      <c r="EBT219" s="5"/>
      <c r="EBU219" s="5"/>
      <c r="EBV219" s="5"/>
      <c r="EBW219" s="18"/>
      <c r="EBZ219" s="409"/>
      <c r="ECA219" s="409"/>
      <c r="ECB219" s="409"/>
      <c r="ECC219" s="409"/>
      <c r="ECD219" s="409"/>
      <c r="ECE219" s="409"/>
      <c r="ECF219" s="379"/>
      <c r="ECG219" s="379"/>
      <c r="ECK219" s="5"/>
      <c r="ECL219" s="5"/>
      <c r="ECM219" s="5"/>
      <c r="ECO219" s="5"/>
      <c r="ECQ219" s="5"/>
      <c r="ECR219" s="5"/>
      <c r="ECS219" s="5"/>
      <c r="ECT219" s="18"/>
      <c r="ECW219" s="409"/>
      <c r="ECX219" s="409"/>
      <c r="ECY219" s="409"/>
      <c r="ECZ219" s="409"/>
      <c r="EDA219" s="409"/>
      <c r="EDB219" s="409"/>
      <c r="EDC219" s="379"/>
      <c r="EDD219" s="379"/>
      <c r="EDH219" s="5"/>
      <c r="EDI219" s="5"/>
      <c r="EDJ219" s="5"/>
      <c r="EDL219" s="5"/>
      <c r="EDN219" s="5"/>
      <c r="EDO219" s="5"/>
      <c r="EDP219" s="5"/>
      <c r="EDQ219" s="18"/>
      <c r="EDT219" s="409"/>
      <c r="EDU219" s="409"/>
      <c r="EDV219" s="409"/>
      <c r="EDW219" s="409"/>
      <c r="EDX219" s="409"/>
      <c r="EDY219" s="409"/>
      <c r="EDZ219" s="379"/>
      <c r="EEA219" s="379"/>
      <c r="EEE219" s="5"/>
      <c r="EEF219" s="5"/>
      <c r="EEG219" s="5"/>
      <c r="EEI219" s="5"/>
      <c r="EEK219" s="5"/>
      <c r="EEL219" s="5"/>
      <c r="EEM219" s="5"/>
      <c r="EEN219" s="18"/>
      <c r="EEQ219" s="409"/>
      <c r="EER219" s="409"/>
      <c r="EES219" s="409"/>
      <c r="EET219" s="409"/>
      <c r="EEU219" s="409"/>
      <c r="EEV219" s="409"/>
      <c r="EEW219" s="379"/>
      <c r="EEX219" s="379"/>
      <c r="EFB219" s="5"/>
      <c r="EFC219" s="5"/>
      <c r="EFD219" s="5"/>
      <c r="EFF219" s="5"/>
      <c r="EFH219" s="5"/>
      <c r="EFI219" s="5"/>
      <c r="EFJ219" s="5"/>
      <c r="EFK219" s="18"/>
      <c r="EFN219" s="409"/>
      <c r="EFO219" s="409"/>
      <c r="EFP219" s="409"/>
      <c r="EFQ219" s="409"/>
      <c r="EFR219" s="409"/>
      <c r="EFS219" s="409"/>
      <c r="EFT219" s="379"/>
      <c r="EFU219" s="379"/>
      <c r="EFY219" s="5"/>
      <c r="EFZ219" s="5"/>
      <c r="EGA219" s="5"/>
      <c r="EGC219" s="5"/>
      <c r="EGE219" s="5"/>
      <c r="EGF219" s="5"/>
      <c r="EGG219" s="5"/>
      <c r="EGH219" s="18"/>
      <c r="EGK219" s="409"/>
      <c r="EGL219" s="409"/>
      <c r="EGM219" s="409"/>
      <c r="EGN219" s="409"/>
      <c r="EGO219" s="409"/>
      <c r="EGP219" s="409"/>
      <c r="EGQ219" s="379"/>
      <c r="EGR219" s="379"/>
      <c r="EGV219" s="5"/>
      <c r="EGW219" s="5"/>
      <c r="EGX219" s="5"/>
      <c r="EGZ219" s="5"/>
      <c r="EHB219" s="5"/>
      <c r="EHC219" s="5"/>
      <c r="EHD219" s="5"/>
      <c r="EHE219" s="18"/>
      <c r="EHH219" s="409"/>
      <c r="EHI219" s="409"/>
      <c r="EHJ219" s="409"/>
      <c r="EHK219" s="409"/>
      <c r="EHL219" s="409"/>
      <c r="EHM219" s="409"/>
      <c r="EHN219" s="379"/>
      <c r="EHO219" s="379"/>
      <c r="EHS219" s="5"/>
      <c r="EHT219" s="5"/>
      <c r="EHU219" s="5"/>
      <c r="EHW219" s="5"/>
      <c r="EHY219" s="5"/>
      <c r="EHZ219" s="5"/>
      <c r="EIA219" s="5"/>
      <c r="EIB219" s="18"/>
      <c r="EIE219" s="409"/>
      <c r="EIF219" s="409"/>
      <c r="EIG219" s="409"/>
      <c r="EIH219" s="409"/>
      <c r="EII219" s="409"/>
      <c r="EIJ219" s="409"/>
      <c r="EIK219" s="379"/>
      <c r="EIL219" s="379"/>
      <c r="EIP219" s="5"/>
      <c r="EIQ219" s="5"/>
      <c r="EIR219" s="5"/>
      <c r="EIT219" s="5"/>
      <c r="EIV219" s="5"/>
      <c r="EIW219" s="5"/>
      <c r="EIX219" s="5"/>
      <c r="EIY219" s="18"/>
      <c r="EJB219" s="409"/>
      <c r="EJC219" s="409"/>
      <c r="EJD219" s="409"/>
      <c r="EJE219" s="409"/>
      <c r="EJF219" s="409"/>
      <c r="EJG219" s="409"/>
      <c r="EJH219" s="379"/>
      <c r="EJI219" s="379"/>
      <c r="EJM219" s="5"/>
      <c r="EJN219" s="5"/>
      <c r="EJO219" s="5"/>
      <c r="EJQ219" s="5"/>
      <c r="EJS219" s="5"/>
      <c r="EJT219" s="5"/>
      <c r="EJU219" s="5"/>
      <c r="EJV219" s="18"/>
      <c r="EJY219" s="409"/>
      <c r="EJZ219" s="409"/>
      <c r="EKA219" s="409"/>
      <c r="EKB219" s="409"/>
      <c r="EKC219" s="409"/>
      <c r="EKD219" s="409"/>
      <c r="EKE219" s="379"/>
      <c r="EKF219" s="379"/>
      <c r="EKJ219" s="5"/>
      <c r="EKK219" s="5"/>
      <c r="EKL219" s="5"/>
      <c r="EKN219" s="5"/>
      <c r="EKP219" s="5"/>
      <c r="EKQ219" s="5"/>
      <c r="EKR219" s="5"/>
      <c r="EKS219" s="18"/>
      <c r="EKV219" s="409"/>
      <c r="EKW219" s="409"/>
      <c r="EKX219" s="409"/>
      <c r="EKY219" s="409"/>
      <c r="EKZ219" s="409"/>
      <c r="ELA219" s="409"/>
      <c r="ELB219" s="379"/>
      <c r="ELC219" s="379"/>
      <c r="ELG219" s="5"/>
      <c r="ELH219" s="5"/>
      <c r="ELI219" s="5"/>
      <c r="ELK219" s="5"/>
      <c r="ELM219" s="5"/>
      <c r="ELN219" s="5"/>
      <c r="ELO219" s="5"/>
      <c r="ELP219" s="18"/>
      <c r="ELS219" s="409"/>
      <c r="ELT219" s="409"/>
      <c r="ELU219" s="409"/>
      <c r="ELV219" s="409"/>
      <c r="ELW219" s="409"/>
      <c r="ELX219" s="409"/>
      <c r="ELY219" s="379"/>
      <c r="ELZ219" s="379"/>
      <c r="EMD219" s="5"/>
      <c r="EME219" s="5"/>
      <c r="EMF219" s="5"/>
      <c r="EMH219" s="5"/>
      <c r="EMJ219" s="5"/>
      <c r="EMK219" s="5"/>
      <c r="EML219" s="5"/>
      <c r="EMM219" s="18"/>
      <c r="EMP219" s="409"/>
      <c r="EMQ219" s="409"/>
      <c r="EMR219" s="409"/>
      <c r="EMS219" s="409"/>
      <c r="EMT219" s="409"/>
      <c r="EMU219" s="409"/>
      <c r="EMV219" s="379"/>
      <c r="EMW219" s="379"/>
      <c r="ENA219" s="5"/>
      <c r="ENB219" s="5"/>
      <c r="ENC219" s="5"/>
      <c r="ENE219" s="5"/>
      <c r="ENG219" s="5"/>
      <c r="ENH219" s="5"/>
      <c r="ENI219" s="5"/>
      <c r="ENJ219" s="18"/>
      <c r="ENM219" s="409"/>
      <c r="ENN219" s="409"/>
      <c r="ENO219" s="409"/>
      <c r="ENP219" s="409"/>
      <c r="ENQ219" s="409"/>
      <c r="ENR219" s="409"/>
      <c r="ENS219" s="379"/>
      <c r="ENT219" s="379"/>
      <c r="ENX219" s="5"/>
      <c r="ENY219" s="5"/>
      <c r="ENZ219" s="5"/>
      <c r="EOB219" s="5"/>
      <c r="EOD219" s="5"/>
      <c r="EOE219" s="5"/>
      <c r="EOF219" s="5"/>
      <c r="EOG219" s="18"/>
      <c r="EOJ219" s="409"/>
      <c r="EOK219" s="409"/>
      <c r="EOL219" s="409"/>
      <c r="EOM219" s="409"/>
      <c r="EON219" s="409"/>
      <c r="EOO219" s="409"/>
      <c r="EOP219" s="379"/>
      <c r="EOQ219" s="379"/>
      <c r="EOU219" s="5"/>
      <c r="EOV219" s="5"/>
      <c r="EOW219" s="5"/>
      <c r="EOY219" s="5"/>
      <c r="EPA219" s="5"/>
      <c r="EPB219" s="5"/>
      <c r="EPC219" s="5"/>
      <c r="EPD219" s="18"/>
      <c r="EPG219" s="409"/>
      <c r="EPH219" s="409"/>
      <c r="EPI219" s="409"/>
      <c r="EPJ219" s="409"/>
      <c r="EPK219" s="409"/>
      <c r="EPL219" s="409"/>
      <c r="EPM219" s="379"/>
      <c r="EPN219" s="379"/>
      <c r="EPR219" s="5"/>
      <c r="EPS219" s="5"/>
      <c r="EPT219" s="5"/>
      <c r="EPV219" s="5"/>
      <c r="EPX219" s="5"/>
      <c r="EPY219" s="5"/>
      <c r="EPZ219" s="5"/>
      <c r="EQA219" s="18"/>
      <c r="EQD219" s="409"/>
      <c r="EQE219" s="409"/>
      <c r="EQF219" s="409"/>
      <c r="EQG219" s="409"/>
      <c r="EQH219" s="409"/>
      <c r="EQI219" s="409"/>
      <c r="EQJ219" s="379"/>
      <c r="EQK219" s="379"/>
      <c r="EQO219" s="5"/>
      <c r="EQP219" s="5"/>
      <c r="EQQ219" s="5"/>
      <c r="EQS219" s="5"/>
      <c r="EQU219" s="5"/>
      <c r="EQV219" s="5"/>
      <c r="EQW219" s="5"/>
      <c r="EQX219" s="18"/>
      <c r="ERA219" s="409"/>
      <c r="ERB219" s="409"/>
      <c r="ERC219" s="409"/>
      <c r="ERD219" s="409"/>
      <c r="ERE219" s="409"/>
      <c r="ERF219" s="409"/>
      <c r="ERG219" s="379"/>
      <c r="ERH219" s="379"/>
      <c r="ERL219" s="5"/>
      <c r="ERM219" s="5"/>
      <c r="ERN219" s="5"/>
      <c r="ERP219" s="5"/>
      <c r="ERR219" s="5"/>
      <c r="ERS219" s="5"/>
      <c r="ERT219" s="5"/>
      <c r="ERU219" s="18"/>
      <c r="ERX219" s="409"/>
      <c r="ERY219" s="409"/>
      <c r="ERZ219" s="409"/>
      <c r="ESA219" s="409"/>
      <c r="ESB219" s="409"/>
      <c r="ESC219" s="409"/>
      <c r="ESD219" s="379"/>
      <c r="ESE219" s="379"/>
      <c r="ESI219" s="5"/>
      <c r="ESJ219" s="5"/>
      <c r="ESK219" s="5"/>
      <c r="ESM219" s="5"/>
      <c r="ESO219" s="5"/>
      <c r="ESP219" s="5"/>
      <c r="ESQ219" s="5"/>
      <c r="ESR219" s="18"/>
      <c r="ESU219" s="409"/>
      <c r="ESV219" s="409"/>
      <c r="ESW219" s="409"/>
      <c r="ESX219" s="409"/>
      <c r="ESY219" s="409"/>
      <c r="ESZ219" s="409"/>
      <c r="ETA219" s="379"/>
      <c r="ETB219" s="379"/>
      <c r="ETF219" s="5"/>
      <c r="ETG219" s="5"/>
      <c r="ETH219" s="5"/>
      <c r="ETJ219" s="5"/>
      <c r="ETL219" s="5"/>
      <c r="ETM219" s="5"/>
      <c r="ETN219" s="5"/>
      <c r="ETO219" s="18"/>
      <c r="ETR219" s="409"/>
      <c r="ETS219" s="409"/>
      <c r="ETT219" s="409"/>
      <c r="ETU219" s="409"/>
      <c r="ETV219" s="409"/>
      <c r="ETW219" s="409"/>
      <c r="ETX219" s="379"/>
      <c r="ETY219" s="379"/>
      <c r="EUC219" s="5"/>
      <c r="EUD219" s="5"/>
      <c r="EUE219" s="5"/>
      <c r="EUG219" s="5"/>
      <c r="EUI219" s="5"/>
      <c r="EUJ219" s="5"/>
      <c r="EUK219" s="5"/>
      <c r="EUL219" s="18"/>
      <c r="EUO219" s="409"/>
      <c r="EUP219" s="409"/>
      <c r="EUQ219" s="409"/>
      <c r="EUR219" s="409"/>
      <c r="EUS219" s="409"/>
      <c r="EUT219" s="409"/>
      <c r="EUU219" s="379"/>
      <c r="EUV219" s="379"/>
      <c r="EUZ219" s="5"/>
      <c r="EVA219" s="5"/>
      <c r="EVB219" s="5"/>
      <c r="EVD219" s="5"/>
      <c r="EVF219" s="5"/>
      <c r="EVG219" s="5"/>
      <c r="EVH219" s="5"/>
      <c r="EVI219" s="18"/>
      <c r="EVL219" s="409"/>
      <c r="EVM219" s="409"/>
      <c r="EVN219" s="409"/>
      <c r="EVO219" s="409"/>
      <c r="EVP219" s="409"/>
      <c r="EVQ219" s="409"/>
      <c r="EVR219" s="379"/>
      <c r="EVS219" s="379"/>
      <c r="EVW219" s="5"/>
      <c r="EVX219" s="5"/>
      <c r="EVY219" s="5"/>
      <c r="EWA219" s="5"/>
      <c r="EWC219" s="5"/>
      <c r="EWD219" s="5"/>
      <c r="EWE219" s="5"/>
      <c r="EWF219" s="18"/>
      <c r="EWI219" s="409"/>
      <c r="EWJ219" s="409"/>
      <c r="EWK219" s="409"/>
      <c r="EWL219" s="409"/>
      <c r="EWM219" s="409"/>
      <c r="EWN219" s="409"/>
      <c r="EWO219" s="379"/>
      <c r="EWP219" s="379"/>
      <c r="EWT219" s="5"/>
      <c r="EWU219" s="5"/>
      <c r="EWV219" s="5"/>
      <c r="EWX219" s="5"/>
      <c r="EWZ219" s="5"/>
      <c r="EXA219" s="5"/>
      <c r="EXB219" s="5"/>
      <c r="EXC219" s="18"/>
      <c r="EXF219" s="409"/>
      <c r="EXG219" s="409"/>
      <c r="EXH219" s="409"/>
      <c r="EXI219" s="409"/>
      <c r="EXJ219" s="409"/>
      <c r="EXK219" s="409"/>
      <c r="EXL219" s="379"/>
      <c r="EXM219" s="379"/>
      <c r="EXQ219" s="5"/>
      <c r="EXR219" s="5"/>
      <c r="EXS219" s="5"/>
      <c r="EXU219" s="5"/>
      <c r="EXW219" s="5"/>
      <c r="EXX219" s="5"/>
      <c r="EXY219" s="5"/>
      <c r="EXZ219" s="18"/>
      <c r="EYC219" s="409"/>
      <c r="EYD219" s="409"/>
      <c r="EYE219" s="409"/>
      <c r="EYF219" s="409"/>
      <c r="EYG219" s="409"/>
      <c r="EYH219" s="409"/>
      <c r="EYI219" s="379"/>
      <c r="EYJ219" s="379"/>
      <c r="EYN219" s="5"/>
      <c r="EYO219" s="5"/>
      <c r="EYP219" s="5"/>
      <c r="EYR219" s="5"/>
      <c r="EYT219" s="5"/>
      <c r="EYU219" s="5"/>
      <c r="EYV219" s="5"/>
      <c r="EYW219" s="18"/>
      <c r="EYZ219" s="409"/>
      <c r="EZA219" s="409"/>
      <c r="EZB219" s="409"/>
      <c r="EZC219" s="409"/>
      <c r="EZD219" s="409"/>
      <c r="EZE219" s="409"/>
      <c r="EZF219" s="379"/>
      <c r="EZG219" s="379"/>
      <c r="EZK219" s="5"/>
      <c r="EZL219" s="5"/>
      <c r="EZM219" s="5"/>
      <c r="EZO219" s="5"/>
      <c r="EZQ219" s="5"/>
      <c r="EZR219" s="5"/>
      <c r="EZS219" s="5"/>
      <c r="EZT219" s="18"/>
      <c r="EZW219" s="409"/>
      <c r="EZX219" s="409"/>
      <c r="EZY219" s="409"/>
      <c r="EZZ219" s="409"/>
      <c r="FAA219" s="409"/>
      <c r="FAB219" s="409"/>
      <c r="FAC219" s="379"/>
      <c r="FAD219" s="379"/>
      <c r="FAH219" s="5"/>
      <c r="FAI219" s="5"/>
      <c r="FAJ219" s="5"/>
      <c r="FAL219" s="5"/>
      <c r="FAN219" s="5"/>
      <c r="FAO219" s="5"/>
      <c r="FAP219" s="5"/>
      <c r="FAQ219" s="18"/>
      <c r="FAT219" s="409"/>
      <c r="FAU219" s="409"/>
      <c r="FAV219" s="409"/>
      <c r="FAW219" s="409"/>
      <c r="FAX219" s="409"/>
      <c r="FAY219" s="409"/>
      <c r="FAZ219" s="379"/>
      <c r="FBA219" s="379"/>
      <c r="FBE219" s="5"/>
      <c r="FBF219" s="5"/>
      <c r="FBG219" s="5"/>
      <c r="FBI219" s="5"/>
      <c r="FBK219" s="5"/>
      <c r="FBL219" s="5"/>
      <c r="FBM219" s="5"/>
      <c r="FBN219" s="18"/>
      <c r="FBQ219" s="409"/>
      <c r="FBR219" s="409"/>
      <c r="FBS219" s="409"/>
      <c r="FBT219" s="409"/>
      <c r="FBU219" s="409"/>
      <c r="FBV219" s="409"/>
      <c r="FBW219" s="379"/>
      <c r="FBX219" s="379"/>
      <c r="FCB219" s="5"/>
      <c r="FCC219" s="5"/>
      <c r="FCD219" s="5"/>
      <c r="FCF219" s="5"/>
      <c r="FCH219" s="5"/>
      <c r="FCI219" s="5"/>
      <c r="FCJ219" s="5"/>
      <c r="FCK219" s="18"/>
      <c r="FCN219" s="409"/>
      <c r="FCO219" s="409"/>
      <c r="FCP219" s="409"/>
      <c r="FCQ219" s="409"/>
      <c r="FCR219" s="409"/>
      <c r="FCS219" s="409"/>
      <c r="FCT219" s="379"/>
      <c r="FCU219" s="379"/>
      <c r="FCY219" s="5"/>
      <c r="FCZ219" s="5"/>
      <c r="FDA219" s="5"/>
      <c r="FDC219" s="5"/>
      <c r="FDE219" s="5"/>
      <c r="FDF219" s="5"/>
      <c r="FDG219" s="5"/>
      <c r="FDH219" s="18"/>
      <c r="FDK219" s="409"/>
      <c r="FDL219" s="409"/>
      <c r="FDM219" s="409"/>
      <c r="FDN219" s="409"/>
      <c r="FDO219" s="409"/>
      <c r="FDP219" s="409"/>
      <c r="FDQ219" s="379"/>
      <c r="FDR219" s="379"/>
      <c r="FDV219" s="5"/>
      <c r="FDW219" s="5"/>
      <c r="FDX219" s="5"/>
      <c r="FDZ219" s="5"/>
      <c r="FEB219" s="5"/>
      <c r="FEC219" s="5"/>
      <c r="FED219" s="5"/>
      <c r="FEE219" s="18"/>
      <c r="FEH219" s="409"/>
      <c r="FEI219" s="409"/>
      <c r="FEJ219" s="409"/>
      <c r="FEK219" s="409"/>
      <c r="FEL219" s="409"/>
      <c r="FEM219" s="409"/>
      <c r="FEN219" s="379"/>
      <c r="FEO219" s="379"/>
      <c r="FES219" s="5"/>
      <c r="FET219" s="5"/>
      <c r="FEU219" s="5"/>
      <c r="FEW219" s="5"/>
      <c r="FEY219" s="5"/>
      <c r="FEZ219" s="5"/>
      <c r="FFA219" s="5"/>
      <c r="FFB219" s="18"/>
      <c r="FFE219" s="409"/>
      <c r="FFF219" s="409"/>
      <c r="FFG219" s="409"/>
      <c r="FFH219" s="409"/>
      <c r="FFI219" s="409"/>
      <c r="FFJ219" s="409"/>
      <c r="FFK219" s="379"/>
      <c r="FFL219" s="379"/>
      <c r="FFP219" s="5"/>
      <c r="FFQ219" s="5"/>
      <c r="FFR219" s="5"/>
      <c r="FFT219" s="5"/>
      <c r="FFV219" s="5"/>
      <c r="FFW219" s="5"/>
      <c r="FFX219" s="5"/>
      <c r="FFY219" s="18"/>
      <c r="FGB219" s="409"/>
      <c r="FGC219" s="409"/>
      <c r="FGD219" s="409"/>
      <c r="FGE219" s="409"/>
      <c r="FGF219" s="409"/>
      <c r="FGG219" s="409"/>
      <c r="FGH219" s="379"/>
      <c r="FGI219" s="379"/>
      <c r="FGM219" s="5"/>
      <c r="FGN219" s="5"/>
      <c r="FGO219" s="5"/>
      <c r="FGQ219" s="5"/>
      <c r="FGS219" s="5"/>
      <c r="FGT219" s="5"/>
      <c r="FGU219" s="5"/>
      <c r="FGV219" s="18"/>
      <c r="FGY219" s="409"/>
      <c r="FGZ219" s="409"/>
      <c r="FHA219" s="409"/>
      <c r="FHB219" s="409"/>
      <c r="FHC219" s="409"/>
      <c r="FHD219" s="409"/>
      <c r="FHE219" s="379"/>
      <c r="FHF219" s="379"/>
      <c r="FHJ219" s="5"/>
      <c r="FHK219" s="5"/>
      <c r="FHL219" s="5"/>
      <c r="FHN219" s="5"/>
      <c r="FHP219" s="5"/>
      <c r="FHQ219" s="5"/>
      <c r="FHR219" s="5"/>
      <c r="FHS219" s="18"/>
      <c r="FHV219" s="409"/>
      <c r="FHW219" s="409"/>
      <c r="FHX219" s="409"/>
      <c r="FHY219" s="409"/>
      <c r="FHZ219" s="409"/>
      <c r="FIA219" s="409"/>
      <c r="FIB219" s="379"/>
      <c r="FIC219" s="379"/>
      <c r="FIG219" s="5"/>
      <c r="FIH219" s="5"/>
      <c r="FII219" s="5"/>
      <c r="FIK219" s="5"/>
      <c r="FIM219" s="5"/>
      <c r="FIN219" s="5"/>
      <c r="FIO219" s="5"/>
      <c r="FIP219" s="18"/>
      <c r="FIS219" s="409"/>
      <c r="FIT219" s="409"/>
      <c r="FIU219" s="409"/>
      <c r="FIV219" s="409"/>
      <c r="FIW219" s="409"/>
      <c r="FIX219" s="409"/>
      <c r="FIY219" s="379"/>
      <c r="FIZ219" s="379"/>
      <c r="FJD219" s="5"/>
      <c r="FJE219" s="5"/>
      <c r="FJF219" s="5"/>
      <c r="FJH219" s="5"/>
      <c r="FJJ219" s="5"/>
      <c r="FJK219" s="5"/>
      <c r="FJL219" s="5"/>
      <c r="FJM219" s="18"/>
      <c r="FJP219" s="409"/>
      <c r="FJQ219" s="409"/>
      <c r="FJR219" s="409"/>
      <c r="FJS219" s="409"/>
      <c r="FJT219" s="409"/>
      <c r="FJU219" s="409"/>
      <c r="FJV219" s="379"/>
      <c r="FJW219" s="379"/>
      <c r="FKA219" s="5"/>
      <c r="FKB219" s="5"/>
      <c r="FKC219" s="5"/>
      <c r="FKE219" s="5"/>
      <c r="FKG219" s="5"/>
      <c r="FKH219" s="5"/>
      <c r="FKI219" s="5"/>
      <c r="FKJ219" s="18"/>
      <c r="FKM219" s="409"/>
      <c r="FKN219" s="409"/>
      <c r="FKO219" s="409"/>
      <c r="FKP219" s="409"/>
      <c r="FKQ219" s="409"/>
      <c r="FKR219" s="409"/>
      <c r="FKS219" s="379"/>
      <c r="FKT219" s="379"/>
      <c r="FKX219" s="5"/>
      <c r="FKY219" s="5"/>
      <c r="FKZ219" s="5"/>
      <c r="FLB219" s="5"/>
      <c r="FLD219" s="5"/>
      <c r="FLE219" s="5"/>
      <c r="FLF219" s="5"/>
      <c r="FLG219" s="18"/>
      <c r="FLJ219" s="409"/>
      <c r="FLK219" s="409"/>
      <c r="FLL219" s="409"/>
      <c r="FLM219" s="409"/>
      <c r="FLN219" s="409"/>
      <c r="FLO219" s="409"/>
      <c r="FLP219" s="379"/>
      <c r="FLQ219" s="379"/>
      <c r="FLU219" s="5"/>
      <c r="FLV219" s="5"/>
      <c r="FLW219" s="5"/>
      <c r="FLY219" s="5"/>
      <c r="FMA219" s="5"/>
      <c r="FMB219" s="5"/>
      <c r="FMC219" s="5"/>
      <c r="FMD219" s="18"/>
      <c r="FMG219" s="409"/>
      <c r="FMH219" s="409"/>
      <c r="FMI219" s="409"/>
      <c r="FMJ219" s="409"/>
      <c r="FMK219" s="409"/>
      <c r="FML219" s="409"/>
      <c r="FMM219" s="379"/>
      <c r="FMN219" s="379"/>
      <c r="FMR219" s="5"/>
      <c r="FMS219" s="5"/>
      <c r="FMT219" s="5"/>
      <c r="FMV219" s="5"/>
      <c r="FMX219" s="5"/>
      <c r="FMY219" s="5"/>
      <c r="FMZ219" s="5"/>
      <c r="FNA219" s="18"/>
      <c r="FND219" s="409"/>
      <c r="FNE219" s="409"/>
      <c r="FNF219" s="409"/>
      <c r="FNG219" s="409"/>
      <c r="FNH219" s="409"/>
      <c r="FNI219" s="409"/>
      <c r="FNJ219" s="379"/>
      <c r="FNK219" s="379"/>
      <c r="FNO219" s="5"/>
      <c r="FNP219" s="5"/>
      <c r="FNQ219" s="5"/>
      <c r="FNS219" s="5"/>
      <c r="FNU219" s="5"/>
      <c r="FNV219" s="5"/>
      <c r="FNW219" s="5"/>
      <c r="FNX219" s="18"/>
      <c r="FOA219" s="409"/>
      <c r="FOB219" s="409"/>
      <c r="FOC219" s="409"/>
      <c r="FOD219" s="409"/>
      <c r="FOE219" s="409"/>
      <c r="FOF219" s="409"/>
      <c r="FOG219" s="379"/>
      <c r="FOH219" s="379"/>
      <c r="FOL219" s="5"/>
      <c r="FOM219" s="5"/>
      <c r="FON219" s="5"/>
      <c r="FOP219" s="5"/>
      <c r="FOR219" s="5"/>
      <c r="FOS219" s="5"/>
      <c r="FOT219" s="5"/>
      <c r="FOU219" s="18"/>
      <c r="FOX219" s="409"/>
      <c r="FOY219" s="409"/>
      <c r="FOZ219" s="409"/>
      <c r="FPA219" s="409"/>
      <c r="FPB219" s="409"/>
      <c r="FPC219" s="409"/>
      <c r="FPD219" s="379"/>
      <c r="FPE219" s="379"/>
      <c r="FPI219" s="5"/>
      <c r="FPJ219" s="5"/>
      <c r="FPK219" s="5"/>
      <c r="FPM219" s="5"/>
      <c r="FPO219" s="5"/>
      <c r="FPP219" s="5"/>
      <c r="FPQ219" s="5"/>
      <c r="FPR219" s="18"/>
      <c r="FPU219" s="409"/>
      <c r="FPV219" s="409"/>
      <c r="FPW219" s="409"/>
      <c r="FPX219" s="409"/>
      <c r="FPY219" s="409"/>
      <c r="FPZ219" s="409"/>
      <c r="FQA219" s="379"/>
      <c r="FQB219" s="379"/>
      <c r="FQF219" s="5"/>
      <c r="FQG219" s="5"/>
      <c r="FQH219" s="5"/>
      <c r="FQJ219" s="5"/>
      <c r="FQL219" s="5"/>
      <c r="FQM219" s="5"/>
      <c r="FQN219" s="5"/>
      <c r="FQO219" s="18"/>
      <c r="FQR219" s="409"/>
      <c r="FQS219" s="409"/>
      <c r="FQT219" s="409"/>
      <c r="FQU219" s="409"/>
      <c r="FQV219" s="409"/>
      <c r="FQW219" s="409"/>
      <c r="FQX219" s="379"/>
      <c r="FQY219" s="379"/>
      <c r="FRC219" s="5"/>
      <c r="FRD219" s="5"/>
      <c r="FRE219" s="5"/>
      <c r="FRG219" s="5"/>
      <c r="FRI219" s="5"/>
      <c r="FRJ219" s="5"/>
      <c r="FRK219" s="5"/>
      <c r="FRL219" s="18"/>
      <c r="FRO219" s="409"/>
      <c r="FRP219" s="409"/>
      <c r="FRQ219" s="409"/>
      <c r="FRR219" s="409"/>
      <c r="FRS219" s="409"/>
      <c r="FRT219" s="409"/>
      <c r="FRU219" s="379"/>
      <c r="FRV219" s="379"/>
      <c r="FRZ219" s="5"/>
      <c r="FSA219" s="5"/>
      <c r="FSB219" s="5"/>
      <c r="FSD219" s="5"/>
      <c r="FSF219" s="5"/>
      <c r="FSG219" s="5"/>
      <c r="FSH219" s="5"/>
      <c r="FSI219" s="18"/>
      <c r="FSL219" s="409"/>
      <c r="FSM219" s="409"/>
      <c r="FSN219" s="409"/>
      <c r="FSO219" s="409"/>
      <c r="FSP219" s="409"/>
      <c r="FSQ219" s="409"/>
      <c r="FSR219" s="379"/>
      <c r="FSS219" s="379"/>
      <c r="FSW219" s="5"/>
      <c r="FSX219" s="5"/>
      <c r="FSY219" s="5"/>
      <c r="FTA219" s="5"/>
      <c r="FTC219" s="5"/>
      <c r="FTD219" s="5"/>
      <c r="FTE219" s="5"/>
      <c r="FTF219" s="18"/>
      <c r="FTI219" s="409"/>
      <c r="FTJ219" s="409"/>
      <c r="FTK219" s="409"/>
      <c r="FTL219" s="409"/>
      <c r="FTM219" s="409"/>
      <c r="FTN219" s="409"/>
      <c r="FTO219" s="379"/>
      <c r="FTP219" s="379"/>
      <c r="FTT219" s="5"/>
      <c r="FTU219" s="5"/>
      <c r="FTV219" s="5"/>
      <c r="FTX219" s="5"/>
      <c r="FTZ219" s="5"/>
      <c r="FUA219" s="5"/>
      <c r="FUB219" s="5"/>
      <c r="FUC219" s="18"/>
      <c r="FUF219" s="409"/>
      <c r="FUG219" s="409"/>
      <c r="FUH219" s="409"/>
      <c r="FUI219" s="409"/>
      <c r="FUJ219" s="409"/>
      <c r="FUK219" s="409"/>
      <c r="FUL219" s="379"/>
      <c r="FUM219" s="379"/>
      <c r="FUQ219" s="5"/>
      <c r="FUR219" s="5"/>
      <c r="FUS219" s="5"/>
      <c r="FUU219" s="5"/>
      <c r="FUW219" s="5"/>
      <c r="FUX219" s="5"/>
      <c r="FUY219" s="5"/>
      <c r="FUZ219" s="18"/>
      <c r="FVC219" s="409"/>
      <c r="FVD219" s="409"/>
      <c r="FVE219" s="409"/>
      <c r="FVF219" s="409"/>
      <c r="FVG219" s="409"/>
      <c r="FVH219" s="409"/>
      <c r="FVI219" s="379"/>
      <c r="FVJ219" s="379"/>
      <c r="FVN219" s="5"/>
      <c r="FVO219" s="5"/>
      <c r="FVP219" s="5"/>
      <c r="FVR219" s="5"/>
      <c r="FVT219" s="5"/>
      <c r="FVU219" s="5"/>
      <c r="FVV219" s="5"/>
      <c r="FVW219" s="18"/>
      <c r="FVZ219" s="409"/>
      <c r="FWA219" s="409"/>
      <c r="FWB219" s="409"/>
      <c r="FWC219" s="409"/>
      <c r="FWD219" s="409"/>
      <c r="FWE219" s="409"/>
      <c r="FWF219" s="379"/>
      <c r="FWG219" s="379"/>
      <c r="FWK219" s="5"/>
      <c r="FWL219" s="5"/>
      <c r="FWM219" s="5"/>
      <c r="FWO219" s="5"/>
      <c r="FWQ219" s="5"/>
      <c r="FWR219" s="5"/>
      <c r="FWS219" s="5"/>
      <c r="FWT219" s="18"/>
      <c r="FWW219" s="409"/>
      <c r="FWX219" s="409"/>
      <c r="FWY219" s="409"/>
      <c r="FWZ219" s="409"/>
      <c r="FXA219" s="409"/>
      <c r="FXB219" s="409"/>
      <c r="FXC219" s="379"/>
      <c r="FXD219" s="379"/>
      <c r="FXH219" s="5"/>
      <c r="FXI219" s="5"/>
      <c r="FXJ219" s="5"/>
      <c r="FXL219" s="5"/>
      <c r="FXN219" s="5"/>
      <c r="FXO219" s="5"/>
      <c r="FXP219" s="5"/>
      <c r="FXQ219" s="18"/>
      <c r="FXT219" s="409"/>
      <c r="FXU219" s="409"/>
      <c r="FXV219" s="409"/>
      <c r="FXW219" s="409"/>
      <c r="FXX219" s="409"/>
      <c r="FXY219" s="409"/>
      <c r="FXZ219" s="379"/>
      <c r="FYA219" s="379"/>
      <c r="FYE219" s="5"/>
      <c r="FYF219" s="5"/>
      <c r="FYG219" s="5"/>
      <c r="FYI219" s="5"/>
      <c r="FYK219" s="5"/>
      <c r="FYL219" s="5"/>
      <c r="FYM219" s="5"/>
      <c r="FYN219" s="18"/>
      <c r="FYQ219" s="409"/>
      <c r="FYR219" s="409"/>
      <c r="FYS219" s="409"/>
      <c r="FYT219" s="409"/>
      <c r="FYU219" s="409"/>
      <c r="FYV219" s="409"/>
      <c r="FYW219" s="379"/>
      <c r="FYX219" s="379"/>
      <c r="FZB219" s="5"/>
      <c r="FZC219" s="5"/>
      <c r="FZD219" s="5"/>
      <c r="FZF219" s="5"/>
      <c r="FZH219" s="5"/>
      <c r="FZI219" s="5"/>
      <c r="FZJ219" s="5"/>
      <c r="FZK219" s="18"/>
      <c r="FZN219" s="409"/>
      <c r="FZO219" s="409"/>
      <c r="FZP219" s="409"/>
      <c r="FZQ219" s="409"/>
      <c r="FZR219" s="409"/>
      <c r="FZS219" s="409"/>
      <c r="FZT219" s="379"/>
      <c r="FZU219" s="379"/>
      <c r="FZY219" s="5"/>
      <c r="FZZ219" s="5"/>
      <c r="GAA219" s="5"/>
      <c r="GAC219" s="5"/>
      <c r="GAE219" s="5"/>
      <c r="GAF219" s="5"/>
      <c r="GAG219" s="5"/>
      <c r="GAH219" s="18"/>
      <c r="GAK219" s="409"/>
      <c r="GAL219" s="409"/>
      <c r="GAM219" s="409"/>
      <c r="GAN219" s="409"/>
      <c r="GAO219" s="409"/>
      <c r="GAP219" s="409"/>
      <c r="GAQ219" s="379"/>
      <c r="GAR219" s="379"/>
      <c r="GAV219" s="5"/>
      <c r="GAW219" s="5"/>
      <c r="GAX219" s="5"/>
      <c r="GAZ219" s="5"/>
      <c r="GBB219" s="5"/>
      <c r="GBC219" s="5"/>
      <c r="GBD219" s="5"/>
      <c r="GBE219" s="18"/>
      <c r="GBH219" s="409"/>
      <c r="GBI219" s="409"/>
      <c r="GBJ219" s="409"/>
      <c r="GBK219" s="409"/>
      <c r="GBL219" s="409"/>
      <c r="GBM219" s="409"/>
      <c r="GBN219" s="379"/>
      <c r="GBO219" s="379"/>
      <c r="GBS219" s="5"/>
      <c r="GBT219" s="5"/>
      <c r="GBU219" s="5"/>
      <c r="GBW219" s="5"/>
      <c r="GBY219" s="5"/>
      <c r="GBZ219" s="5"/>
      <c r="GCA219" s="5"/>
      <c r="GCB219" s="18"/>
      <c r="GCE219" s="409"/>
      <c r="GCF219" s="409"/>
      <c r="GCG219" s="409"/>
      <c r="GCH219" s="409"/>
      <c r="GCI219" s="409"/>
      <c r="GCJ219" s="409"/>
      <c r="GCK219" s="379"/>
      <c r="GCL219" s="379"/>
      <c r="GCP219" s="5"/>
      <c r="GCQ219" s="5"/>
      <c r="GCR219" s="5"/>
      <c r="GCT219" s="5"/>
      <c r="GCV219" s="5"/>
      <c r="GCW219" s="5"/>
      <c r="GCX219" s="5"/>
      <c r="GCY219" s="18"/>
      <c r="GDB219" s="409"/>
      <c r="GDC219" s="409"/>
      <c r="GDD219" s="409"/>
      <c r="GDE219" s="409"/>
      <c r="GDF219" s="409"/>
      <c r="GDG219" s="409"/>
      <c r="GDH219" s="379"/>
      <c r="GDI219" s="379"/>
      <c r="GDM219" s="5"/>
      <c r="GDN219" s="5"/>
      <c r="GDO219" s="5"/>
      <c r="GDQ219" s="5"/>
      <c r="GDS219" s="5"/>
      <c r="GDT219" s="5"/>
      <c r="GDU219" s="5"/>
      <c r="GDV219" s="18"/>
      <c r="GDY219" s="409"/>
      <c r="GDZ219" s="409"/>
      <c r="GEA219" s="409"/>
      <c r="GEB219" s="409"/>
      <c r="GEC219" s="409"/>
      <c r="GED219" s="409"/>
      <c r="GEE219" s="379"/>
      <c r="GEF219" s="379"/>
      <c r="GEJ219" s="5"/>
      <c r="GEK219" s="5"/>
      <c r="GEL219" s="5"/>
      <c r="GEN219" s="5"/>
      <c r="GEP219" s="5"/>
      <c r="GEQ219" s="5"/>
      <c r="GER219" s="5"/>
      <c r="GES219" s="18"/>
      <c r="GEV219" s="409"/>
      <c r="GEW219" s="409"/>
      <c r="GEX219" s="409"/>
      <c r="GEY219" s="409"/>
      <c r="GEZ219" s="409"/>
      <c r="GFA219" s="409"/>
      <c r="GFB219" s="379"/>
      <c r="GFC219" s="379"/>
      <c r="GFG219" s="5"/>
      <c r="GFH219" s="5"/>
      <c r="GFI219" s="5"/>
      <c r="GFK219" s="5"/>
      <c r="GFM219" s="5"/>
      <c r="GFN219" s="5"/>
      <c r="GFO219" s="5"/>
      <c r="GFP219" s="18"/>
      <c r="GFS219" s="409"/>
      <c r="GFT219" s="409"/>
      <c r="GFU219" s="409"/>
      <c r="GFV219" s="409"/>
      <c r="GFW219" s="409"/>
      <c r="GFX219" s="409"/>
      <c r="GFY219" s="379"/>
      <c r="GFZ219" s="379"/>
      <c r="GGD219" s="5"/>
      <c r="GGE219" s="5"/>
      <c r="GGF219" s="5"/>
      <c r="GGH219" s="5"/>
      <c r="GGJ219" s="5"/>
      <c r="GGK219" s="5"/>
      <c r="GGL219" s="5"/>
      <c r="GGM219" s="18"/>
      <c r="GGP219" s="409"/>
      <c r="GGQ219" s="409"/>
      <c r="GGR219" s="409"/>
      <c r="GGS219" s="409"/>
      <c r="GGT219" s="409"/>
      <c r="GGU219" s="409"/>
      <c r="GGV219" s="379"/>
      <c r="GGW219" s="379"/>
      <c r="GHA219" s="5"/>
      <c r="GHB219" s="5"/>
      <c r="GHC219" s="5"/>
      <c r="GHE219" s="5"/>
      <c r="GHG219" s="5"/>
      <c r="GHH219" s="5"/>
      <c r="GHI219" s="5"/>
      <c r="GHJ219" s="18"/>
      <c r="GHM219" s="409"/>
      <c r="GHN219" s="409"/>
      <c r="GHO219" s="409"/>
      <c r="GHP219" s="409"/>
      <c r="GHQ219" s="409"/>
      <c r="GHR219" s="409"/>
      <c r="GHS219" s="379"/>
      <c r="GHT219" s="379"/>
      <c r="GHX219" s="5"/>
      <c r="GHY219" s="5"/>
      <c r="GHZ219" s="5"/>
      <c r="GIB219" s="5"/>
      <c r="GID219" s="5"/>
      <c r="GIE219" s="5"/>
      <c r="GIF219" s="5"/>
      <c r="GIG219" s="18"/>
      <c r="GIJ219" s="409"/>
      <c r="GIK219" s="409"/>
      <c r="GIL219" s="409"/>
      <c r="GIM219" s="409"/>
      <c r="GIN219" s="409"/>
      <c r="GIO219" s="409"/>
      <c r="GIP219" s="379"/>
      <c r="GIQ219" s="379"/>
      <c r="GIU219" s="5"/>
      <c r="GIV219" s="5"/>
      <c r="GIW219" s="5"/>
      <c r="GIY219" s="5"/>
      <c r="GJA219" s="5"/>
      <c r="GJB219" s="5"/>
      <c r="GJC219" s="5"/>
      <c r="GJD219" s="18"/>
      <c r="GJG219" s="409"/>
      <c r="GJH219" s="409"/>
      <c r="GJI219" s="409"/>
      <c r="GJJ219" s="409"/>
      <c r="GJK219" s="409"/>
      <c r="GJL219" s="409"/>
      <c r="GJM219" s="379"/>
      <c r="GJN219" s="379"/>
      <c r="GJR219" s="5"/>
      <c r="GJS219" s="5"/>
      <c r="GJT219" s="5"/>
      <c r="GJV219" s="5"/>
      <c r="GJX219" s="5"/>
      <c r="GJY219" s="5"/>
      <c r="GJZ219" s="5"/>
      <c r="GKA219" s="18"/>
      <c r="GKD219" s="409"/>
      <c r="GKE219" s="409"/>
      <c r="GKF219" s="409"/>
      <c r="GKG219" s="409"/>
      <c r="GKH219" s="409"/>
      <c r="GKI219" s="409"/>
      <c r="GKJ219" s="379"/>
      <c r="GKK219" s="379"/>
      <c r="GKO219" s="5"/>
      <c r="GKP219" s="5"/>
      <c r="GKQ219" s="5"/>
      <c r="GKS219" s="5"/>
      <c r="GKU219" s="5"/>
      <c r="GKV219" s="5"/>
      <c r="GKW219" s="5"/>
      <c r="GKX219" s="18"/>
      <c r="GLA219" s="409"/>
      <c r="GLB219" s="409"/>
      <c r="GLC219" s="409"/>
      <c r="GLD219" s="409"/>
      <c r="GLE219" s="409"/>
      <c r="GLF219" s="409"/>
      <c r="GLG219" s="379"/>
      <c r="GLH219" s="379"/>
      <c r="GLL219" s="5"/>
      <c r="GLM219" s="5"/>
      <c r="GLN219" s="5"/>
      <c r="GLP219" s="5"/>
      <c r="GLR219" s="5"/>
      <c r="GLS219" s="5"/>
      <c r="GLT219" s="5"/>
      <c r="GLU219" s="18"/>
      <c r="GLX219" s="409"/>
      <c r="GLY219" s="409"/>
      <c r="GLZ219" s="409"/>
      <c r="GMA219" s="409"/>
      <c r="GMB219" s="409"/>
      <c r="GMC219" s="409"/>
      <c r="GMD219" s="379"/>
      <c r="GME219" s="379"/>
      <c r="GMI219" s="5"/>
      <c r="GMJ219" s="5"/>
      <c r="GMK219" s="5"/>
      <c r="GMM219" s="5"/>
      <c r="GMO219" s="5"/>
      <c r="GMP219" s="5"/>
      <c r="GMQ219" s="5"/>
      <c r="GMR219" s="18"/>
      <c r="GMU219" s="409"/>
      <c r="GMV219" s="409"/>
      <c r="GMW219" s="409"/>
      <c r="GMX219" s="409"/>
      <c r="GMY219" s="409"/>
      <c r="GMZ219" s="409"/>
      <c r="GNA219" s="379"/>
      <c r="GNB219" s="379"/>
      <c r="GNF219" s="5"/>
      <c r="GNG219" s="5"/>
      <c r="GNH219" s="5"/>
      <c r="GNJ219" s="5"/>
      <c r="GNL219" s="5"/>
      <c r="GNM219" s="5"/>
      <c r="GNN219" s="5"/>
      <c r="GNO219" s="18"/>
      <c r="GNR219" s="409"/>
      <c r="GNS219" s="409"/>
      <c r="GNT219" s="409"/>
      <c r="GNU219" s="409"/>
      <c r="GNV219" s="409"/>
      <c r="GNW219" s="409"/>
      <c r="GNX219" s="379"/>
      <c r="GNY219" s="379"/>
      <c r="GOC219" s="5"/>
      <c r="GOD219" s="5"/>
      <c r="GOE219" s="5"/>
      <c r="GOG219" s="5"/>
      <c r="GOI219" s="5"/>
      <c r="GOJ219" s="5"/>
      <c r="GOK219" s="5"/>
      <c r="GOL219" s="18"/>
      <c r="GOO219" s="409"/>
      <c r="GOP219" s="409"/>
      <c r="GOQ219" s="409"/>
      <c r="GOR219" s="409"/>
      <c r="GOS219" s="409"/>
      <c r="GOT219" s="409"/>
      <c r="GOU219" s="379"/>
      <c r="GOV219" s="379"/>
      <c r="GOZ219" s="5"/>
      <c r="GPA219" s="5"/>
      <c r="GPB219" s="5"/>
      <c r="GPD219" s="5"/>
      <c r="GPF219" s="5"/>
      <c r="GPG219" s="5"/>
      <c r="GPH219" s="5"/>
      <c r="GPI219" s="18"/>
      <c r="GPL219" s="409"/>
      <c r="GPM219" s="409"/>
      <c r="GPN219" s="409"/>
      <c r="GPO219" s="409"/>
      <c r="GPP219" s="409"/>
      <c r="GPQ219" s="409"/>
      <c r="GPR219" s="379"/>
      <c r="GPS219" s="379"/>
      <c r="GPW219" s="5"/>
      <c r="GPX219" s="5"/>
      <c r="GPY219" s="5"/>
      <c r="GQA219" s="5"/>
      <c r="GQC219" s="5"/>
      <c r="GQD219" s="5"/>
      <c r="GQE219" s="5"/>
      <c r="GQF219" s="18"/>
      <c r="GQI219" s="409"/>
      <c r="GQJ219" s="409"/>
      <c r="GQK219" s="409"/>
      <c r="GQL219" s="409"/>
      <c r="GQM219" s="409"/>
      <c r="GQN219" s="409"/>
      <c r="GQO219" s="379"/>
      <c r="GQP219" s="379"/>
      <c r="GQT219" s="5"/>
      <c r="GQU219" s="5"/>
      <c r="GQV219" s="5"/>
      <c r="GQX219" s="5"/>
      <c r="GQZ219" s="5"/>
      <c r="GRA219" s="5"/>
      <c r="GRB219" s="5"/>
      <c r="GRC219" s="18"/>
      <c r="GRF219" s="409"/>
      <c r="GRG219" s="409"/>
      <c r="GRH219" s="409"/>
      <c r="GRI219" s="409"/>
      <c r="GRJ219" s="409"/>
      <c r="GRK219" s="409"/>
      <c r="GRL219" s="379"/>
      <c r="GRM219" s="379"/>
      <c r="GRQ219" s="5"/>
      <c r="GRR219" s="5"/>
      <c r="GRS219" s="5"/>
      <c r="GRU219" s="5"/>
      <c r="GRW219" s="5"/>
      <c r="GRX219" s="5"/>
      <c r="GRY219" s="5"/>
      <c r="GRZ219" s="18"/>
      <c r="GSC219" s="409"/>
      <c r="GSD219" s="409"/>
      <c r="GSE219" s="409"/>
      <c r="GSF219" s="409"/>
      <c r="GSG219" s="409"/>
      <c r="GSH219" s="409"/>
      <c r="GSI219" s="379"/>
      <c r="GSJ219" s="379"/>
      <c r="GSN219" s="5"/>
      <c r="GSO219" s="5"/>
      <c r="GSP219" s="5"/>
      <c r="GSR219" s="5"/>
      <c r="GST219" s="5"/>
      <c r="GSU219" s="5"/>
      <c r="GSV219" s="5"/>
      <c r="GSW219" s="18"/>
      <c r="GSZ219" s="409"/>
      <c r="GTA219" s="409"/>
      <c r="GTB219" s="409"/>
      <c r="GTC219" s="409"/>
      <c r="GTD219" s="409"/>
      <c r="GTE219" s="409"/>
      <c r="GTF219" s="379"/>
      <c r="GTG219" s="379"/>
      <c r="GTK219" s="5"/>
      <c r="GTL219" s="5"/>
      <c r="GTM219" s="5"/>
      <c r="GTO219" s="5"/>
      <c r="GTQ219" s="5"/>
      <c r="GTR219" s="5"/>
      <c r="GTS219" s="5"/>
      <c r="GTT219" s="18"/>
      <c r="GTW219" s="409"/>
      <c r="GTX219" s="409"/>
      <c r="GTY219" s="409"/>
      <c r="GTZ219" s="409"/>
      <c r="GUA219" s="409"/>
      <c r="GUB219" s="409"/>
      <c r="GUC219" s="379"/>
      <c r="GUD219" s="379"/>
      <c r="GUH219" s="5"/>
      <c r="GUI219" s="5"/>
      <c r="GUJ219" s="5"/>
      <c r="GUL219" s="5"/>
      <c r="GUN219" s="5"/>
      <c r="GUO219" s="5"/>
      <c r="GUP219" s="5"/>
      <c r="GUQ219" s="18"/>
      <c r="GUT219" s="409"/>
      <c r="GUU219" s="409"/>
      <c r="GUV219" s="409"/>
      <c r="GUW219" s="409"/>
      <c r="GUX219" s="409"/>
      <c r="GUY219" s="409"/>
      <c r="GUZ219" s="379"/>
      <c r="GVA219" s="379"/>
      <c r="GVE219" s="5"/>
      <c r="GVF219" s="5"/>
      <c r="GVG219" s="5"/>
      <c r="GVI219" s="5"/>
      <c r="GVK219" s="5"/>
      <c r="GVL219" s="5"/>
      <c r="GVM219" s="5"/>
      <c r="GVN219" s="18"/>
      <c r="GVQ219" s="409"/>
      <c r="GVR219" s="409"/>
      <c r="GVS219" s="409"/>
      <c r="GVT219" s="409"/>
      <c r="GVU219" s="409"/>
      <c r="GVV219" s="409"/>
      <c r="GVW219" s="379"/>
      <c r="GVX219" s="379"/>
      <c r="GWB219" s="5"/>
      <c r="GWC219" s="5"/>
      <c r="GWD219" s="5"/>
      <c r="GWF219" s="5"/>
      <c r="GWH219" s="5"/>
      <c r="GWI219" s="5"/>
      <c r="GWJ219" s="5"/>
      <c r="GWK219" s="18"/>
      <c r="GWN219" s="409"/>
      <c r="GWO219" s="409"/>
      <c r="GWP219" s="409"/>
      <c r="GWQ219" s="409"/>
      <c r="GWR219" s="409"/>
      <c r="GWS219" s="409"/>
      <c r="GWT219" s="379"/>
      <c r="GWU219" s="379"/>
      <c r="GWY219" s="5"/>
      <c r="GWZ219" s="5"/>
      <c r="GXA219" s="5"/>
      <c r="GXC219" s="5"/>
      <c r="GXE219" s="5"/>
      <c r="GXF219" s="5"/>
      <c r="GXG219" s="5"/>
      <c r="GXH219" s="18"/>
      <c r="GXK219" s="409"/>
      <c r="GXL219" s="409"/>
      <c r="GXM219" s="409"/>
      <c r="GXN219" s="409"/>
      <c r="GXO219" s="409"/>
      <c r="GXP219" s="409"/>
      <c r="GXQ219" s="379"/>
      <c r="GXR219" s="379"/>
      <c r="GXV219" s="5"/>
      <c r="GXW219" s="5"/>
      <c r="GXX219" s="5"/>
      <c r="GXZ219" s="5"/>
      <c r="GYB219" s="5"/>
      <c r="GYC219" s="5"/>
      <c r="GYD219" s="5"/>
      <c r="GYE219" s="18"/>
      <c r="GYH219" s="409"/>
      <c r="GYI219" s="409"/>
      <c r="GYJ219" s="409"/>
      <c r="GYK219" s="409"/>
      <c r="GYL219" s="409"/>
      <c r="GYM219" s="409"/>
      <c r="GYN219" s="379"/>
      <c r="GYO219" s="379"/>
      <c r="GYS219" s="5"/>
      <c r="GYT219" s="5"/>
      <c r="GYU219" s="5"/>
      <c r="GYW219" s="5"/>
      <c r="GYY219" s="5"/>
      <c r="GYZ219" s="5"/>
      <c r="GZA219" s="5"/>
      <c r="GZB219" s="18"/>
      <c r="GZE219" s="409"/>
      <c r="GZF219" s="409"/>
      <c r="GZG219" s="409"/>
      <c r="GZH219" s="409"/>
      <c r="GZI219" s="409"/>
      <c r="GZJ219" s="409"/>
      <c r="GZK219" s="379"/>
      <c r="GZL219" s="379"/>
      <c r="GZP219" s="5"/>
      <c r="GZQ219" s="5"/>
      <c r="GZR219" s="5"/>
      <c r="GZT219" s="5"/>
      <c r="GZV219" s="5"/>
      <c r="GZW219" s="5"/>
      <c r="GZX219" s="5"/>
      <c r="GZY219" s="18"/>
      <c r="HAB219" s="409"/>
      <c r="HAC219" s="409"/>
      <c r="HAD219" s="409"/>
      <c r="HAE219" s="409"/>
      <c r="HAF219" s="409"/>
      <c r="HAG219" s="409"/>
      <c r="HAH219" s="379"/>
      <c r="HAI219" s="379"/>
      <c r="HAM219" s="5"/>
      <c r="HAN219" s="5"/>
      <c r="HAO219" s="5"/>
      <c r="HAQ219" s="5"/>
      <c r="HAS219" s="5"/>
      <c r="HAT219" s="5"/>
      <c r="HAU219" s="5"/>
      <c r="HAV219" s="18"/>
      <c r="HAY219" s="409"/>
      <c r="HAZ219" s="409"/>
      <c r="HBA219" s="409"/>
      <c r="HBB219" s="409"/>
      <c r="HBC219" s="409"/>
      <c r="HBD219" s="409"/>
      <c r="HBE219" s="379"/>
      <c r="HBF219" s="379"/>
      <c r="HBJ219" s="5"/>
      <c r="HBK219" s="5"/>
      <c r="HBL219" s="5"/>
      <c r="HBN219" s="5"/>
      <c r="HBP219" s="5"/>
      <c r="HBQ219" s="5"/>
      <c r="HBR219" s="5"/>
      <c r="HBS219" s="18"/>
      <c r="HBV219" s="409"/>
      <c r="HBW219" s="409"/>
      <c r="HBX219" s="409"/>
      <c r="HBY219" s="409"/>
      <c r="HBZ219" s="409"/>
      <c r="HCA219" s="409"/>
      <c r="HCB219" s="379"/>
      <c r="HCC219" s="379"/>
      <c r="HCG219" s="5"/>
      <c r="HCH219" s="5"/>
      <c r="HCI219" s="5"/>
      <c r="HCK219" s="5"/>
      <c r="HCM219" s="5"/>
      <c r="HCN219" s="5"/>
      <c r="HCO219" s="5"/>
      <c r="HCP219" s="18"/>
      <c r="HCS219" s="409"/>
      <c r="HCT219" s="409"/>
      <c r="HCU219" s="409"/>
      <c r="HCV219" s="409"/>
      <c r="HCW219" s="409"/>
      <c r="HCX219" s="409"/>
      <c r="HCY219" s="379"/>
      <c r="HCZ219" s="379"/>
      <c r="HDD219" s="5"/>
      <c r="HDE219" s="5"/>
      <c r="HDF219" s="5"/>
      <c r="HDH219" s="5"/>
      <c r="HDJ219" s="5"/>
      <c r="HDK219" s="5"/>
      <c r="HDL219" s="5"/>
      <c r="HDM219" s="18"/>
      <c r="HDP219" s="409"/>
      <c r="HDQ219" s="409"/>
      <c r="HDR219" s="409"/>
      <c r="HDS219" s="409"/>
      <c r="HDT219" s="409"/>
      <c r="HDU219" s="409"/>
      <c r="HDV219" s="379"/>
      <c r="HDW219" s="379"/>
      <c r="HEA219" s="5"/>
      <c r="HEB219" s="5"/>
      <c r="HEC219" s="5"/>
      <c r="HEE219" s="5"/>
      <c r="HEG219" s="5"/>
      <c r="HEH219" s="5"/>
      <c r="HEI219" s="5"/>
      <c r="HEJ219" s="18"/>
      <c r="HEM219" s="409"/>
      <c r="HEN219" s="409"/>
      <c r="HEO219" s="409"/>
      <c r="HEP219" s="409"/>
      <c r="HEQ219" s="409"/>
      <c r="HER219" s="409"/>
      <c r="HES219" s="379"/>
      <c r="HET219" s="379"/>
      <c r="HEX219" s="5"/>
      <c r="HEY219" s="5"/>
      <c r="HEZ219" s="5"/>
      <c r="HFB219" s="5"/>
      <c r="HFD219" s="5"/>
      <c r="HFE219" s="5"/>
      <c r="HFF219" s="5"/>
      <c r="HFG219" s="18"/>
      <c r="HFJ219" s="409"/>
      <c r="HFK219" s="409"/>
      <c r="HFL219" s="409"/>
      <c r="HFM219" s="409"/>
      <c r="HFN219" s="409"/>
      <c r="HFO219" s="409"/>
      <c r="HFP219" s="379"/>
      <c r="HFQ219" s="379"/>
      <c r="HFU219" s="5"/>
      <c r="HFV219" s="5"/>
      <c r="HFW219" s="5"/>
      <c r="HFY219" s="5"/>
      <c r="HGA219" s="5"/>
      <c r="HGB219" s="5"/>
      <c r="HGC219" s="5"/>
      <c r="HGD219" s="18"/>
      <c r="HGG219" s="409"/>
      <c r="HGH219" s="409"/>
      <c r="HGI219" s="409"/>
      <c r="HGJ219" s="409"/>
      <c r="HGK219" s="409"/>
      <c r="HGL219" s="409"/>
      <c r="HGM219" s="379"/>
      <c r="HGN219" s="379"/>
      <c r="HGR219" s="5"/>
      <c r="HGS219" s="5"/>
      <c r="HGT219" s="5"/>
      <c r="HGV219" s="5"/>
      <c r="HGX219" s="5"/>
      <c r="HGY219" s="5"/>
      <c r="HGZ219" s="5"/>
      <c r="HHA219" s="18"/>
      <c r="HHD219" s="409"/>
      <c r="HHE219" s="409"/>
      <c r="HHF219" s="409"/>
      <c r="HHG219" s="409"/>
      <c r="HHH219" s="409"/>
      <c r="HHI219" s="409"/>
      <c r="HHJ219" s="379"/>
      <c r="HHK219" s="379"/>
      <c r="HHO219" s="5"/>
      <c r="HHP219" s="5"/>
      <c r="HHQ219" s="5"/>
      <c r="HHS219" s="5"/>
      <c r="HHU219" s="5"/>
      <c r="HHV219" s="5"/>
      <c r="HHW219" s="5"/>
      <c r="HHX219" s="18"/>
      <c r="HIA219" s="409"/>
      <c r="HIB219" s="409"/>
      <c r="HIC219" s="409"/>
      <c r="HID219" s="409"/>
      <c r="HIE219" s="409"/>
      <c r="HIF219" s="409"/>
      <c r="HIG219" s="379"/>
      <c r="HIH219" s="379"/>
      <c r="HIL219" s="5"/>
      <c r="HIM219" s="5"/>
      <c r="HIN219" s="5"/>
      <c r="HIP219" s="5"/>
      <c r="HIR219" s="5"/>
      <c r="HIS219" s="5"/>
      <c r="HIT219" s="5"/>
      <c r="HIU219" s="18"/>
      <c r="HIX219" s="409"/>
      <c r="HIY219" s="409"/>
      <c r="HIZ219" s="409"/>
      <c r="HJA219" s="409"/>
      <c r="HJB219" s="409"/>
      <c r="HJC219" s="409"/>
      <c r="HJD219" s="379"/>
      <c r="HJE219" s="379"/>
      <c r="HJI219" s="5"/>
      <c r="HJJ219" s="5"/>
      <c r="HJK219" s="5"/>
      <c r="HJM219" s="5"/>
      <c r="HJO219" s="5"/>
      <c r="HJP219" s="5"/>
      <c r="HJQ219" s="5"/>
      <c r="HJR219" s="18"/>
      <c r="HJU219" s="409"/>
      <c r="HJV219" s="409"/>
      <c r="HJW219" s="409"/>
      <c r="HJX219" s="409"/>
      <c r="HJY219" s="409"/>
      <c r="HJZ219" s="409"/>
      <c r="HKA219" s="379"/>
      <c r="HKB219" s="379"/>
      <c r="HKF219" s="5"/>
      <c r="HKG219" s="5"/>
      <c r="HKH219" s="5"/>
      <c r="HKJ219" s="5"/>
      <c r="HKL219" s="5"/>
      <c r="HKM219" s="5"/>
      <c r="HKN219" s="5"/>
      <c r="HKO219" s="18"/>
      <c r="HKR219" s="409"/>
      <c r="HKS219" s="409"/>
      <c r="HKT219" s="409"/>
      <c r="HKU219" s="409"/>
      <c r="HKV219" s="409"/>
      <c r="HKW219" s="409"/>
      <c r="HKX219" s="379"/>
      <c r="HKY219" s="379"/>
      <c r="HLC219" s="5"/>
      <c r="HLD219" s="5"/>
      <c r="HLE219" s="5"/>
      <c r="HLG219" s="5"/>
      <c r="HLI219" s="5"/>
      <c r="HLJ219" s="5"/>
      <c r="HLK219" s="5"/>
      <c r="HLL219" s="18"/>
      <c r="HLO219" s="409"/>
      <c r="HLP219" s="409"/>
      <c r="HLQ219" s="409"/>
      <c r="HLR219" s="409"/>
      <c r="HLS219" s="409"/>
      <c r="HLT219" s="409"/>
      <c r="HLU219" s="379"/>
      <c r="HLV219" s="379"/>
      <c r="HLZ219" s="5"/>
      <c r="HMA219" s="5"/>
      <c r="HMB219" s="5"/>
      <c r="HMD219" s="5"/>
      <c r="HMF219" s="5"/>
      <c r="HMG219" s="5"/>
      <c r="HMH219" s="5"/>
      <c r="HMI219" s="18"/>
      <c r="HML219" s="409"/>
      <c r="HMM219" s="409"/>
      <c r="HMN219" s="409"/>
      <c r="HMO219" s="409"/>
      <c r="HMP219" s="409"/>
      <c r="HMQ219" s="409"/>
      <c r="HMR219" s="379"/>
      <c r="HMS219" s="379"/>
      <c r="HMW219" s="5"/>
      <c r="HMX219" s="5"/>
      <c r="HMY219" s="5"/>
      <c r="HNA219" s="5"/>
      <c r="HNC219" s="5"/>
      <c r="HND219" s="5"/>
      <c r="HNE219" s="5"/>
      <c r="HNF219" s="18"/>
      <c r="HNI219" s="409"/>
      <c r="HNJ219" s="409"/>
      <c r="HNK219" s="409"/>
      <c r="HNL219" s="409"/>
      <c r="HNM219" s="409"/>
      <c r="HNN219" s="409"/>
      <c r="HNO219" s="379"/>
      <c r="HNP219" s="379"/>
      <c r="HNT219" s="5"/>
      <c r="HNU219" s="5"/>
      <c r="HNV219" s="5"/>
      <c r="HNX219" s="5"/>
      <c r="HNZ219" s="5"/>
      <c r="HOA219" s="5"/>
      <c r="HOB219" s="5"/>
      <c r="HOC219" s="18"/>
      <c r="HOF219" s="409"/>
      <c r="HOG219" s="409"/>
      <c r="HOH219" s="409"/>
      <c r="HOI219" s="409"/>
      <c r="HOJ219" s="409"/>
      <c r="HOK219" s="409"/>
      <c r="HOL219" s="379"/>
      <c r="HOM219" s="379"/>
      <c r="HOQ219" s="5"/>
      <c r="HOR219" s="5"/>
      <c r="HOS219" s="5"/>
      <c r="HOU219" s="5"/>
      <c r="HOW219" s="5"/>
      <c r="HOX219" s="5"/>
      <c r="HOY219" s="5"/>
      <c r="HOZ219" s="18"/>
      <c r="HPC219" s="409"/>
      <c r="HPD219" s="409"/>
      <c r="HPE219" s="409"/>
      <c r="HPF219" s="409"/>
      <c r="HPG219" s="409"/>
      <c r="HPH219" s="409"/>
      <c r="HPI219" s="379"/>
      <c r="HPJ219" s="379"/>
      <c r="HPN219" s="5"/>
      <c r="HPO219" s="5"/>
      <c r="HPP219" s="5"/>
      <c r="HPR219" s="5"/>
      <c r="HPT219" s="5"/>
      <c r="HPU219" s="5"/>
      <c r="HPV219" s="5"/>
      <c r="HPW219" s="18"/>
      <c r="HPZ219" s="409"/>
      <c r="HQA219" s="409"/>
      <c r="HQB219" s="409"/>
      <c r="HQC219" s="409"/>
      <c r="HQD219" s="409"/>
      <c r="HQE219" s="409"/>
      <c r="HQF219" s="379"/>
      <c r="HQG219" s="379"/>
      <c r="HQK219" s="5"/>
      <c r="HQL219" s="5"/>
      <c r="HQM219" s="5"/>
      <c r="HQO219" s="5"/>
      <c r="HQQ219" s="5"/>
      <c r="HQR219" s="5"/>
      <c r="HQS219" s="5"/>
      <c r="HQT219" s="18"/>
      <c r="HQW219" s="409"/>
      <c r="HQX219" s="409"/>
      <c r="HQY219" s="409"/>
      <c r="HQZ219" s="409"/>
      <c r="HRA219" s="409"/>
      <c r="HRB219" s="409"/>
      <c r="HRC219" s="379"/>
      <c r="HRD219" s="379"/>
      <c r="HRH219" s="5"/>
      <c r="HRI219" s="5"/>
      <c r="HRJ219" s="5"/>
      <c r="HRL219" s="5"/>
      <c r="HRN219" s="5"/>
      <c r="HRO219" s="5"/>
      <c r="HRP219" s="5"/>
      <c r="HRQ219" s="18"/>
      <c r="HRT219" s="409"/>
      <c r="HRU219" s="409"/>
      <c r="HRV219" s="409"/>
      <c r="HRW219" s="409"/>
      <c r="HRX219" s="409"/>
      <c r="HRY219" s="409"/>
      <c r="HRZ219" s="379"/>
      <c r="HSA219" s="379"/>
      <c r="HSE219" s="5"/>
      <c r="HSF219" s="5"/>
      <c r="HSG219" s="5"/>
      <c r="HSI219" s="5"/>
      <c r="HSK219" s="5"/>
      <c r="HSL219" s="5"/>
      <c r="HSM219" s="5"/>
      <c r="HSN219" s="18"/>
      <c r="HSQ219" s="409"/>
      <c r="HSR219" s="409"/>
      <c r="HSS219" s="409"/>
      <c r="HST219" s="409"/>
      <c r="HSU219" s="409"/>
      <c r="HSV219" s="409"/>
      <c r="HSW219" s="379"/>
      <c r="HSX219" s="379"/>
      <c r="HTB219" s="5"/>
      <c r="HTC219" s="5"/>
      <c r="HTD219" s="5"/>
      <c r="HTF219" s="5"/>
      <c r="HTH219" s="5"/>
      <c r="HTI219" s="5"/>
      <c r="HTJ219" s="5"/>
      <c r="HTK219" s="18"/>
      <c r="HTN219" s="409"/>
      <c r="HTO219" s="409"/>
      <c r="HTP219" s="409"/>
      <c r="HTQ219" s="409"/>
      <c r="HTR219" s="409"/>
      <c r="HTS219" s="409"/>
      <c r="HTT219" s="379"/>
      <c r="HTU219" s="379"/>
      <c r="HTY219" s="5"/>
      <c r="HTZ219" s="5"/>
      <c r="HUA219" s="5"/>
      <c r="HUC219" s="5"/>
      <c r="HUE219" s="5"/>
      <c r="HUF219" s="5"/>
      <c r="HUG219" s="5"/>
      <c r="HUH219" s="18"/>
      <c r="HUK219" s="409"/>
      <c r="HUL219" s="409"/>
      <c r="HUM219" s="409"/>
      <c r="HUN219" s="409"/>
      <c r="HUO219" s="409"/>
      <c r="HUP219" s="409"/>
      <c r="HUQ219" s="379"/>
      <c r="HUR219" s="379"/>
      <c r="HUV219" s="5"/>
      <c r="HUW219" s="5"/>
      <c r="HUX219" s="5"/>
      <c r="HUZ219" s="5"/>
      <c r="HVB219" s="5"/>
      <c r="HVC219" s="5"/>
      <c r="HVD219" s="5"/>
      <c r="HVE219" s="18"/>
      <c r="HVH219" s="409"/>
      <c r="HVI219" s="409"/>
      <c r="HVJ219" s="409"/>
      <c r="HVK219" s="409"/>
      <c r="HVL219" s="409"/>
      <c r="HVM219" s="409"/>
      <c r="HVN219" s="379"/>
      <c r="HVO219" s="379"/>
      <c r="HVS219" s="5"/>
      <c r="HVT219" s="5"/>
      <c r="HVU219" s="5"/>
      <c r="HVW219" s="5"/>
      <c r="HVY219" s="5"/>
      <c r="HVZ219" s="5"/>
      <c r="HWA219" s="5"/>
      <c r="HWB219" s="18"/>
      <c r="HWE219" s="409"/>
      <c r="HWF219" s="409"/>
      <c r="HWG219" s="409"/>
      <c r="HWH219" s="409"/>
      <c r="HWI219" s="409"/>
      <c r="HWJ219" s="409"/>
      <c r="HWK219" s="379"/>
      <c r="HWL219" s="379"/>
      <c r="HWP219" s="5"/>
      <c r="HWQ219" s="5"/>
      <c r="HWR219" s="5"/>
      <c r="HWT219" s="5"/>
      <c r="HWV219" s="5"/>
      <c r="HWW219" s="5"/>
      <c r="HWX219" s="5"/>
      <c r="HWY219" s="18"/>
      <c r="HXB219" s="409"/>
      <c r="HXC219" s="409"/>
      <c r="HXD219" s="409"/>
      <c r="HXE219" s="409"/>
      <c r="HXF219" s="409"/>
      <c r="HXG219" s="409"/>
      <c r="HXH219" s="379"/>
      <c r="HXI219" s="379"/>
      <c r="HXM219" s="5"/>
      <c r="HXN219" s="5"/>
      <c r="HXO219" s="5"/>
      <c r="HXQ219" s="5"/>
      <c r="HXS219" s="5"/>
      <c r="HXT219" s="5"/>
      <c r="HXU219" s="5"/>
      <c r="HXV219" s="18"/>
      <c r="HXY219" s="409"/>
      <c r="HXZ219" s="409"/>
      <c r="HYA219" s="409"/>
      <c r="HYB219" s="409"/>
      <c r="HYC219" s="409"/>
      <c r="HYD219" s="409"/>
      <c r="HYE219" s="379"/>
      <c r="HYF219" s="379"/>
      <c r="HYJ219" s="5"/>
      <c r="HYK219" s="5"/>
      <c r="HYL219" s="5"/>
      <c r="HYN219" s="5"/>
      <c r="HYP219" s="5"/>
      <c r="HYQ219" s="5"/>
      <c r="HYR219" s="5"/>
      <c r="HYS219" s="18"/>
      <c r="HYV219" s="409"/>
      <c r="HYW219" s="409"/>
      <c r="HYX219" s="409"/>
      <c r="HYY219" s="409"/>
      <c r="HYZ219" s="409"/>
      <c r="HZA219" s="409"/>
      <c r="HZB219" s="379"/>
      <c r="HZC219" s="379"/>
      <c r="HZG219" s="5"/>
      <c r="HZH219" s="5"/>
      <c r="HZI219" s="5"/>
      <c r="HZK219" s="5"/>
      <c r="HZM219" s="5"/>
      <c r="HZN219" s="5"/>
      <c r="HZO219" s="5"/>
      <c r="HZP219" s="18"/>
      <c r="HZS219" s="409"/>
      <c r="HZT219" s="409"/>
      <c r="HZU219" s="409"/>
      <c r="HZV219" s="409"/>
      <c r="HZW219" s="409"/>
      <c r="HZX219" s="409"/>
      <c r="HZY219" s="379"/>
      <c r="HZZ219" s="379"/>
      <c r="IAD219" s="5"/>
      <c r="IAE219" s="5"/>
      <c r="IAF219" s="5"/>
      <c r="IAH219" s="5"/>
      <c r="IAJ219" s="5"/>
      <c r="IAK219" s="5"/>
      <c r="IAL219" s="5"/>
      <c r="IAM219" s="18"/>
      <c r="IAP219" s="409"/>
      <c r="IAQ219" s="409"/>
      <c r="IAR219" s="409"/>
      <c r="IAS219" s="409"/>
      <c r="IAT219" s="409"/>
      <c r="IAU219" s="409"/>
      <c r="IAV219" s="379"/>
      <c r="IAW219" s="379"/>
      <c r="IBA219" s="5"/>
      <c r="IBB219" s="5"/>
      <c r="IBC219" s="5"/>
      <c r="IBE219" s="5"/>
      <c r="IBG219" s="5"/>
      <c r="IBH219" s="5"/>
      <c r="IBI219" s="5"/>
      <c r="IBJ219" s="18"/>
      <c r="IBM219" s="409"/>
      <c r="IBN219" s="409"/>
      <c r="IBO219" s="409"/>
      <c r="IBP219" s="409"/>
      <c r="IBQ219" s="409"/>
      <c r="IBR219" s="409"/>
      <c r="IBS219" s="379"/>
      <c r="IBT219" s="379"/>
      <c r="IBX219" s="5"/>
      <c r="IBY219" s="5"/>
      <c r="IBZ219" s="5"/>
      <c r="ICB219" s="5"/>
      <c r="ICD219" s="5"/>
      <c r="ICE219" s="5"/>
      <c r="ICF219" s="5"/>
      <c r="ICG219" s="18"/>
      <c r="ICJ219" s="409"/>
      <c r="ICK219" s="409"/>
      <c r="ICL219" s="409"/>
      <c r="ICM219" s="409"/>
      <c r="ICN219" s="409"/>
      <c r="ICO219" s="409"/>
      <c r="ICP219" s="379"/>
      <c r="ICQ219" s="379"/>
      <c r="ICU219" s="5"/>
      <c r="ICV219" s="5"/>
      <c r="ICW219" s="5"/>
      <c r="ICY219" s="5"/>
      <c r="IDA219" s="5"/>
      <c r="IDB219" s="5"/>
      <c r="IDC219" s="5"/>
      <c r="IDD219" s="18"/>
      <c r="IDG219" s="409"/>
      <c r="IDH219" s="409"/>
      <c r="IDI219" s="409"/>
      <c r="IDJ219" s="409"/>
      <c r="IDK219" s="409"/>
      <c r="IDL219" s="409"/>
      <c r="IDM219" s="379"/>
      <c r="IDN219" s="379"/>
      <c r="IDR219" s="5"/>
      <c r="IDS219" s="5"/>
      <c r="IDT219" s="5"/>
      <c r="IDV219" s="5"/>
      <c r="IDX219" s="5"/>
      <c r="IDY219" s="5"/>
      <c r="IDZ219" s="5"/>
      <c r="IEA219" s="18"/>
      <c r="IED219" s="409"/>
      <c r="IEE219" s="409"/>
      <c r="IEF219" s="409"/>
      <c r="IEG219" s="409"/>
      <c r="IEH219" s="409"/>
      <c r="IEI219" s="409"/>
      <c r="IEJ219" s="379"/>
      <c r="IEK219" s="379"/>
      <c r="IEO219" s="5"/>
      <c r="IEP219" s="5"/>
      <c r="IEQ219" s="5"/>
      <c r="IES219" s="5"/>
      <c r="IEU219" s="5"/>
      <c r="IEV219" s="5"/>
      <c r="IEW219" s="5"/>
      <c r="IEX219" s="18"/>
      <c r="IFA219" s="409"/>
      <c r="IFB219" s="409"/>
      <c r="IFC219" s="409"/>
      <c r="IFD219" s="409"/>
      <c r="IFE219" s="409"/>
      <c r="IFF219" s="409"/>
      <c r="IFG219" s="379"/>
      <c r="IFH219" s="379"/>
      <c r="IFL219" s="5"/>
      <c r="IFM219" s="5"/>
      <c r="IFN219" s="5"/>
      <c r="IFP219" s="5"/>
      <c r="IFR219" s="5"/>
      <c r="IFS219" s="5"/>
      <c r="IFT219" s="5"/>
      <c r="IFU219" s="18"/>
      <c r="IFX219" s="409"/>
      <c r="IFY219" s="409"/>
      <c r="IFZ219" s="409"/>
      <c r="IGA219" s="409"/>
      <c r="IGB219" s="409"/>
      <c r="IGC219" s="409"/>
      <c r="IGD219" s="379"/>
      <c r="IGE219" s="379"/>
      <c r="IGI219" s="5"/>
      <c r="IGJ219" s="5"/>
      <c r="IGK219" s="5"/>
      <c r="IGM219" s="5"/>
      <c r="IGO219" s="5"/>
      <c r="IGP219" s="5"/>
      <c r="IGQ219" s="5"/>
      <c r="IGR219" s="18"/>
      <c r="IGU219" s="409"/>
      <c r="IGV219" s="409"/>
      <c r="IGW219" s="409"/>
      <c r="IGX219" s="409"/>
      <c r="IGY219" s="409"/>
      <c r="IGZ219" s="409"/>
      <c r="IHA219" s="379"/>
      <c r="IHB219" s="379"/>
      <c r="IHF219" s="5"/>
      <c r="IHG219" s="5"/>
      <c r="IHH219" s="5"/>
      <c r="IHJ219" s="5"/>
      <c r="IHL219" s="5"/>
      <c r="IHM219" s="5"/>
      <c r="IHN219" s="5"/>
      <c r="IHO219" s="18"/>
      <c r="IHR219" s="409"/>
      <c r="IHS219" s="409"/>
      <c r="IHT219" s="409"/>
      <c r="IHU219" s="409"/>
      <c r="IHV219" s="409"/>
      <c r="IHW219" s="409"/>
      <c r="IHX219" s="379"/>
      <c r="IHY219" s="379"/>
      <c r="IIC219" s="5"/>
      <c r="IID219" s="5"/>
      <c r="IIE219" s="5"/>
      <c r="IIG219" s="5"/>
      <c r="III219" s="5"/>
      <c r="IIJ219" s="5"/>
      <c r="IIK219" s="5"/>
      <c r="IIL219" s="18"/>
      <c r="IIO219" s="409"/>
      <c r="IIP219" s="409"/>
      <c r="IIQ219" s="409"/>
      <c r="IIR219" s="409"/>
      <c r="IIS219" s="409"/>
      <c r="IIT219" s="409"/>
      <c r="IIU219" s="379"/>
      <c r="IIV219" s="379"/>
      <c r="IIZ219" s="5"/>
      <c r="IJA219" s="5"/>
      <c r="IJB219" s="5"/>
      <c r="IJD219" s="5"/>
      <c r="IJF219" s="5"/>
      <c r="IJG219" s="5"/>
      <c r="IJH219" s="5"/>
      <c r="IJI219" s="18"/>
      <c r="IJL219" s="409"/>
      <c r="IJM219" s="409"/>
      <c r="IJN219" s="409"/>
      <c r="IJO219" s="409"/>
      <c r="IJP219" s="409"/>
      <c r="IJQ219" s="409"/>
      <c r="IJR219" s="379"/>
      <c r="IJS219" s="379"/>
      <c r="IJW219" s="5"/>
      <c r="IJX219" s="5"/>
      <c r="IJY219" s="5"/>
      <c r="IKA219" s="5"/>
      <c r="IKC219" s="5"/>
      <c r="IKD219" s="5"/>
      <c r="IKE219" s="5"/>
      <c r="IKF219" s="18"/>
      <c r="IKI219" s="409"/>
      <c r="IKJ219" s="409"/>
      <c r="IKK219" s="409"/>
      <c r="IKL219" s="409"/>
      <c r="IKM219" s="409"/>
      <c r="IKN219" s="409"/>
      <c r="IKO219" s="379"/>
      <c r="IKP219" s="379"/>
      <c r="IKT219" s="5"/>
      <c r="IKU219" s="5"/>
      <c r="IKV219" s="5"/>
      <c r="IKX219" s="5"/>
      <c r="IKZ219" s="5"/>
      <c r="ILA219" s="5"/>
      <c r="ILB219" s="5"/>
      <c r="ILC219" s="18"/>
      <c r="ILF219" s="409"/>
      <c r="ILG219" s="409"/>
      <c r="ILH219" s="409"/>
      <c r="ILI219" s="409"/>
      <c r="ILJ219" s="409"/>
      <c r="ILK219" s="409"/>
      <c r="ILL219" s="379"/>
      <c r="ILM219" s="379"/>
      <c r="ILQ219" s="5"/>
      <c r="ILR219" s="5"/>
      <c r="ILS219" s="5"/>
      <c r="ILU219" s="5"/>
      <c r="ILW219" s="5"/>
      <c r="ILX219" s="5"/>
      <c r="ILY219" s="5"/>
      <c r="ILZ219" s="18"/>
      <c r="IMC219" s="409"/>
      <c r="IMD219" s="409"/>
      <c r="IME219" s="409"/>
      <c r="IMF219" s="409"/>
      <c r="IMG219" s="409"/>
      <c r="IMH219" s="409"/>
      <c r="IMI219" s="379"/>
      <c r="IMJ219" s="379"/>
      <c r="IMN219" s="5"/>
      <c r="IMO219" s="5"/>
      <c r="IMP219" s="5"/>
      <c r="IMR219" s="5"/>
      <c r="IMT219" s="5"/>
      <c r="IMU219" s="5"/>
      <c r="IMV219" s="5"/>
      <c r="IMW219" s="18"/>
      <c r="IMZ219" s="409"/>
      <c r="INA219" s="409"/>
      <c r="INB219" s="409"/>
      <c r="INC219" s="409"/>
      <c r="IND219" s="409"/>
      <c r="INE219" s="409"/>
      <c r="INF219" s="379"/>
      <c r="ING219" s="379"/>
      <c r="INK219" s="5"/>
      <c r="INL219" s="5"/>
      <c r="INM219" s="5"/>
      <c r="INO219" s="5"/>
      <c r="INQ219" s="5"/>
      <c r="INR219" s="5"/>
      <c r="INS219" s="5"/>
      <c r="INT219" s="18"/>
      <c r="INW219" s="409"/>
      <c r="INX219" s="409"/>
      <c r="INY219" s="409"/>
      <c r="INZ219" s="409"/>
      <c r="IOA219" s="409"/>
      <c r="IOB219" s="409"/>
      <c r="IOC219" s="379"/>
      <c r="IOD219" s="379"/>
      <c r="IOH219" s="5"/>
      <c r="IOI219" s="5"/>
      <c r="IOJ219" s="5"/>
      <c r="IOL219" s="5"/>
      <c r="ION219" s="5"/>
      <c r="IOO219" s="5"/>
      <c r="IOP219" s="5"/>
      <c r="IOQ219" s="18"/>
      <c r="IOT219" s="409"/>
      <c r="IOU219" s="409"/>
      <c r="IOV219" s="409"/>
      <c r="IOW219" s="409"/>
      <c r="IOX219" s="409"/>
      <c r="IOY219" s="409"/>
      <c r="IOZ219" s="379"/>
      <c r="IPA219" s="379"/>
      <c r="IPE219" s="5"/>
      <c r="IPF219" s="5"/>
      <c r="IPG219" s="5"/>
      <c r="IPI219" s="5"/>
      <c r="IPK219" s="5"/>
      <c r="IPL219" s="5"/>
      <c r="IPM219" s="5"/>
      <c r="IPN219" s="18"/>
      <c r="IPQ219" s="409"/>
      <c r="IPR219" s="409"/>
      <c r="IPS219" s="409"/>
      <c r="IPT219" s="409"/>
      <c r="IPU219" s="409"/>
      <c r="IPV219" s="409"/>
      <c r="IPW219" s="379"/>
      <c r="IPX219" s="379"/>
      <c r="IQB219" s="5"/>
      <c r="IQC219" s="5"/>
      <c r="IQD219" s="5"/>
      <c r="IQF219" s="5"/>
      <c r="IQH219" s="5"/>
      <c r="IQI219" s="5"/>
      <c r="IQJ219" s="5"/>
      <c r="IQK219" s="18"/>
      <c r="IQN219" s="409"/>
      <c r="IQO219" s="409"/>
      <c r="IQP219" s="409"/>
      <c r="IQQ219" s="409"/>
      <c r="IQR219" s="409"/>
      <c r="IQS219" s="409"/>
      <c r="IQT219" s="379"/>
      <c r="IQU219" s="379"/>
      <c r="IQY219" s="5"/>
      <c r="IQZ219" s="5"/>
      <c r="IRA219" s="5"/>
      <c r="IRC219" s="5"/>
      <c r="IRE219" s="5"/>
      <c r="IRF219" s="5"/>
      <c r="IRG219" s="5"/>
      <c r="IRH219" s="18"/>
      <c r="IRK219" s="409"/>
      <c r="IRL219" s="409"/>
      <c r="IRM219" s="409"/>
      <c r="IRN219" s="409"/>
      <c r="IRO219" s="409"/>
      <c r="IRP219" s="409"/>
      <c r="IRQ219" s="379"/>
      <c r="IRR219" s="379"/>
      <c r="IRV219" s="5"/>
      <c r="IRW219" s="5"/>
      <c r="IRX219" s="5"/>
      <c r="IRZ219" s="5"/>
      <c r="ISB219" s="5"/>
      <c r="ISC219" s="5"/>
      <c r="ISD219" s="5"/>
      <c r="ISE219" s="18"/>
      <c r="ISH219" s="409"/>
      <c r="ISI219" s="409"/>
      <c r="ISJ219" s="409"/>
      <c r="ISK219" s="409"/>
      <c r="ISL219" s="409"/>
      <c r="ISM219" s="409"/>
      <c r="ISN219" s="379"/>
      <c r="ISO219" s="379"/>
      <c r="ISS219" s="5"/>
      <c r="IST219" s="5"/>
      <c r="ISU219" s="5"/>
      <c r="ISW219" s="5"/>
      <c r="ISY219" s="5"/>
      <c r="ISZ219" s="5"/>
      <c r="ITA219" s="5"/>
      <c r="ITB219" s="18"/>
      <c r="ITE219" s="409"/>
      <c r="ITF219" s="409"/>
      <c r="ITG219" s="409"/>
      <c r="ITH219" s="409"/>
      <c r="ITI219" s="409"/>
      <c r="ITJ219" s="409"/>
      <c r="ITK219" s="379"/>
      <c r="ITL219" s="379"/>
      <c r="ITP219" s="5"/>
      <c r="ITQ219" s="5"/>
      <c r="ITR219" s="5"/>
      <c r="ITT219" s="5"/>
      <c r="ITV219" s="5"/>
      <c r="ITW219" s="5"/>
      <c r="ITX219" s="5"/>
      <c r="ITY219" s="18"/>
      <c r="IUB219" s="409"/>
      <c r="IUC219" s="409"/>
      <c r="IUD219" s="409"/>
      <c r="IUE219" s="409"/>
      <c r="IUF219" s="409"/>
      <c r="IUG219" s="409"/>
      <c r="IUH219" s="379"/>
      <c r="IUI219" s="379"/>
      <c r="IUM219" s="5"/>
      <c r="IUN219" s="5"/>
      <c r="IUO219" s="5"/>
      <c r="IUQ219" s="5"/>
      <c r="IUS219" s="5"/>
      <c r="IUT219" s="5"/>
      <c r="IUU219" s="5"/>
      <c r="IUV219" s="18"/>
      <c r="IUY219" s="409"/>
      <c r="IUZ219" s="409"/>
      <c r="IVA219" s="409"/>
      <c r="IVB219" s="409"/>
      <c r="IVC219" s="409"/>
      <c r="IVD219" s="409"/>
      <c r="IVE219" s="379"/>
      <c r="IVF219" s="379"/>
      <c r="IVJ219" s="5"/>
      <c r="IVK219" s="5"/>
      <c r="IVL219" s="5"/>
      <c r="IVN219" s="5"/>
      <c r="IVP219" s="5"/>
      <c r="IVQ219" s="5"/>
      <c r="IVR219" s="5"/>
      <c r="IVS219" s="18"/>
      <c r="IVV219" s="409"/>
      <c r="IVW219" s="409"/>
      <c r="IVX219" s="409"/>
      <c r="IVY219" s="409"/>
      <c r="IVZ219" s="409"/>
      <c r="IWA219" s="409"/>
      <c r="IWB219" s="379"/>
      <c r="IWC219" s="379"/>
      <c r="IWG219" s="5"/>
      <c r="IWH219" s="5"/>
      <c r="IWI219" s="5"/>
      <c r="IWK219" s="5"/>
      <c r="IWM219" s="5"/>
      <c r="IWN219" s="5"/>
      <c r="IWO219" s="5"/>
      <c r="IWP219" s="18"/>
      <c r="IWS219" s="409"/>
      <c r="IWT219" s="409"/>
      <c r="IWU219" s="409"/>
      <c r="IWV219" s="409"/>
      <c r="IWW219" s="409"/>
      <c r="IWX219" s="409"/>
      <c r="IWY219" s="379"/>
      <c r="IWZ219" s="379"/>
      <c r="IXD219" s="5"/>
      <c r="IXE219" s="5"/>
      <c r="IXF219" s="5"/>
      <c r="IXH219" s="5"/>
      <c r="IXJ219" s="5"/>
      <c r="IXK219" s="5"/>
      <c r="IXL219" s="5"/>
      <c r="IXM219" s="18"/>
      <c r="IXP219" s="409"/>
      <c r="IXQ219" s="409"/>
      <c r="IXR219" s="409"/>
      <c r="IXS219" s="409"/>
      <c r="IXT219" s="409"/>
      <c r="IXU219" s="409"/>
      <c r="IXV219" s="379"/>
      <c r="IXW219" s="379"/>
      <c r="IYA219" s="5"/>
      <c r="IYB219" s="5"/>
      <c r="IYC219" s="5"/>
      <c r="IYE219" s="5"/>
      <c r="IYG219" s="5"/>
      <c r="IYH219" s="5"/>
      <c r="IYI219" s="5"/>
      <c r="IYJ219" s="18"/>
      <c r="IYM219" s="409"/>
      <c r="IYN219" s="409"/>
      <c r="IYO219" s="409"/>
      <c r="IYP219" s="409"/>
      <c r="IYQ219" s="409"/>
      <c r="IYR219" s="409"/>
      <c r="IYS219" s="379"/>
      <c r="IYT219" s="379"/>
      <c r="IYX219" s="5"/>
      <c r="IYY219" s="5"/>
      <c r="IYZ219" s="5"/>
      <c r="IZB219" s="5"/>
      <c r="IZD219" s="5"/>
      <c r="IZE219" s="5"/>
      <c r="IZF219" s="5"/>
      <c r="IZG219" s="18"/>
      <c r="IZJ219" s="409"/>
      <c r="IZK219" s="409"/>
      <c r="IZL219" s="409"/>
      <c r="IZM219" s="409"/>
      <c r="IZN219" s="409"/>
      <c r="IZO219" s="409"/>
      <c r="IZP219" s="379"/>
      <c r="IZQ219" s="379"/>
      <c r="IZU219" s="5"/>
      <c r="IZV219" s="5"/>
      <c r="IZW219" s="5"/>
      <c r="IZY219" s="5"/>
      <c r="JAA219" s="5"/>
      <c r="JAB219" s="5"/>
      <c r="JAC219" s="5"/>
      <c r="JAD219" s="18"/>
      <c r="JAG219" s="409"/>
      <c r="JAH219" s="409"/>
      <c r="JAI219" s="409"/>
      <c r="JAJ219" s="409"/>
      <c r="JAK219" s="409"/>
      <c r="JAL219" s="409"/>
      <c r="JAM219" s="379"/>
      <c r="JAN219" s="379"/>
      <c r="JAR219" s="5"/>
      <c r="JAS219" s="5"/>
      <c r="JAT219" s="5"/>
      <c r="JAV219" s="5"/>
      <c r="JAX219" s="5"/>
      <c r="JAY219" s="5"/>
      <c r="JAZ219" s="5"/>
      <c r="JBA219" s="18"/>
      <c r="JBD219" s="409"/>
      <c r="JBE219" s="409"/>
      <c r="JBF219" s="409"/>
      <c r="JBG219" s="409"/>
      <c r="JBH219" s="409"/>
      <c r="JBI219" s="409"/>
      <c r="JBJ219" s="379"/>
      <c r="JBK219" s="379"/>
      <c r="JBO219" s="5"/>
      <c r="JBP219" s="5"/>
      <c r="JBQ219" s="5"/>
      <c r="JBS219" s="5"/>
      <c r="JBU219" s="5"/>
      <c r="JBV219" s="5"/>
      <c r="JBW219" s="5"/>
      <c r="JBX219" s="18"/>
      <c r="JCA219" s="409"/>
      <c r="JCB219" s="409"/>
      <c r="JCC219" s="409"/>
      <c r="JCD219" s="409"/>
      <c r="JCE219" s="409"/>
      <c r="JCF219" s="409"/>
      <c r="JCG219" s="379"/>
      <c r="JCH219" s="379"/>
      <c r="JCL219" s="5"/>
      <c r="JCM219" s="5"/>
      <c r="JCN219" s="5"/>
      <c r="JCP219" s="5"/>
      <c r="JCR219" s="5"/>
      <c r="JCS219" s="5"/>
      <c r="JCT219" s="5"/>
      <c r="JCU219" s="18"/>
      <c r="JCX219" s="409"/>
      <c r="JCY219" s="409"/>
      <c r="JCZ219" s="409"/>
      <c r="JDA219" s="409"/>
      <c r="JDB219" s="409"/>
      <c r="JDC219" s="409"/>
      <c r="JDD219" s="379"/>
      <c r="JDE219" s="379"/>
      <c r="JDI219" s="5"/>
      <c r="JDJ219" s="5"/>
      <c r="JDK219" s="5"/>
      <c r="JDM219" s="5"/>
      <c r="JDO219" s="5"/>
      <c r="JDP219" s="5"/>
      <c r="JDQ219" s="5"/>
      <c r="JDR219" s="18"/>
      <c r="JDU219" s="409"/>
      <c r="JDV219" s="409"/>
      <c r="JDW219" s="409"/>
      <c r="JDX219" s="409"/>
      <c r="JDY219" s="409"/>
      <c r="JDZ219" s="409"/>
      <c r="JEA219" s="379"/>
      <c r="JEB219" s="379"/>
      <c r="JEF219" s="5"/>
      <c r="JEG219" s="5"/>
      <c r="JEH219" s="5"/>
      <c r="JEJ219" s="5"/>
      <c r="JEL219" s="5"/>
      <c r="JEM219" s="5"/>
      <c r="JEN219" s="5"/>
      <c r="JEO219" s="18"/>
      <c r="JER219" s="409"/>
      <c r="JES219" s="409"/>
      <c r="JET219" s="409"/>
      <c r="JEU219" s="409"/>
      <c r="JEV219" s="409"/>
      <c r="JEW219" s="409"/>
      <c r="JEX219" s="379"/>
      <c r="JEY219" s="379"/>
      <c r="JFC219" s="5"/>
      <c r="JFD219" s="5"/>
      <c r="JFE219" s="5"/>
      <c r="JFG219" s="5"/>
      <c r="JFI219" s="5"/>
      <c r="JFJ219" s="5"/>
      <c r="JFK219" s="5"/>
      <c r="JFL219" s="18"/>
      <c r="JFO219" s="409"/>
      <c r="JFP219" s="409"/>
      <c r="JFQ219" s="409"/>
      <c r="JFR219" s="409"/>
      <c r="JFS219" s="409"/>
      <c r="JFT219" s="409"/>
      <c r="JFU219" s="379"/>
      <c r="JFV219" s="379"/>
      <c r="JFZ219" s="5"/>
      <c r="JGA219" s="5"/>
      <c r="JGB219" s="5"/>
      <c r="JGD219" s="5"/>
      <c r="JGF219" s="5"/>
      <c r="JGG219" s="5"/>
      <c r="JGH219" s="5"/>
      <c r="JGI219" s="18"/>
      <c r="JGL219" s="409"/>
      <c r="JGM219" s="409"/>
      <c r="JGN219" s="409"/>
      <c r="JGO219" s="409"/>
      <c r="JGP219" s="409"/>
      <c r="JGQ219" s="409"/>
      <c r="JGR219" s="379"/>
      <c r="JGS219" s="379"/>
      <c r="JGW219" s="5"/>
      <c r="JGX219" s="5"/>
      <c r="JGY219" s="5"/>
      <c r="JHA219" s="5"/>
      <c r="JHC219" s="5"/>
      <c r="JHD219" s="5"/>
      <c r="JHE219" s="5"/>
      <c r="JHF219" s="18"/>
      <c r="JHI219" s="409"/>
      <c r="JHJ219" s="409"/>
      <c r="JHK219" s="409"/>
      <c r="JHL219" s="409"/>
      <c r="JHM219" s="409"/>
      <c r="JHN219" s="409"/>
      <c r="JHO219" s="379"/>
      <c r="JHP219" s="379"/>
      <c r="JHT219" s="5"/>
      <c r="JHU219" s="5"/>
      <c r="JHV219" s="5"/>
      <c r="JHX219" s="5"/>
      <c r="JHZ219" s="5"/>
      <c r="JIA219" s="5"/>
      <c r="JIB219" s="5"/>
      <c r="JIC219" s="18"/>
      <c r="JIF219" s="409"/>
      <c r="JIG219" s="409"/>
      <c r="JIH219" s="409"/>
      <c r="JII219" s="409"/>
      <c r="JIJ219" s="409"/>
      <c r="JIK219" s="409"/>
      <c r="JIL219" s="379"/>
      <c r="JIM219" s="379"/>
      <c r="JIQ219" s="5"/>
      <c r="JIR219" s="5"/>
      <c r="JIS219" s="5"/>
      <c r="JIU219" s="5"/>
      <c r="JIW219" s="5"/>
      <c r="JIX219" s="5"/>
      <c r="JIY219" s="5"/>
      <c r="JIZ219" s="18"/>
      <c r="JJC219" s="409"/>
      <c r="JJD219" s="409"/>
      <c r="JJE219" s="409"/>
      <c r="JJF219" s="409"/>
      <c r="JJG219" s="409"/>
      <c r="JJH219" s="409"/>
      <c r="JJI219" s="379"/>
      <c r="JJJ219" s="379"/>
      <c r="JJN219" s="5"/>
      <c r="JJO219" s="5"/>
      <c r="JJP219" s="5"/>
      <c r="JJR219" s="5"/>
      <c r="JJT219" s="5"/>
      <c r="JJU219" s="5"/>
      <c r="JJV219" s="5"/>
      <c r="JJW219" s="18"/>
      <c r="JJZ219" s="409"/>
      <c r="JKA219" s="409"/>
      <c r="JKB219" s="409"/>
      <c r="JKC219" s="409"/>
      <c r="JKD219" s="409"/>
      <c r="JKE219" s="409"/>
      <c r="JKF219" s="379"/>
      <c r="JKG219" s="379"/>
      <c r="JKK219" s="5"/>
      <c r="JKL219" s="5"/>
      <c r="JKM219" s="5"/>
      <c r="JKO219" s="5"/>
      <c r="JKQ219" s="5"/>
      <c r="JKR219" s="5"/>
      <c r="JKS219" s="5"/>
      <c r="JKT219" s="18"/>
      <c r="JKW219" s="409"/>
      <c r="JKX219" s="409"/>
      <c r="JKY219" s="409"/>
      <c r="JKZ219" s="409"/>
      <c r="JLA219" s="409"/>
      <c r="JLB219" s="409"/>
      <c r="JLC219" s="379"/>
      <c r="JLD219" s="379"/>
      <c r="JLH219" s="5"/>
      <c r="JLI219" s="5"/>
      <c r="JLJ219" s="5"/>
      <c r="JLL219" s="5"/>
      <c r="JLN219" s="5"/>
      <c r="JLO219" s="5"/>
      <c r="JLP219" s="5"/>
      <c r="JLQ219" s="18"/>
      <c r="JLT219" s="409"/>
      <c r="JLU219" s="409"/>
      <c r="JLV219" s="409"/>
      <c r="JLW219" s="409"/>
      <c r="JLX219" s="409"/>
      <c r="JLY219" s="409"/>
      <c r="JLZ219" s="379"/>
      <c r="JMA219" s="379"/>
      <c r="JME219" s="5"/>
      <c r="JMF219" s="5"/>
      <c r="JMG219" s="5"/>
      <c r="JMI219" s="5"/>
      <c r="JMK219" s="5"/>
      <c r="JML219" s="5"/>
      <c r="JMM219" s="5"/>
      <c r="JMN219" s="18"/>
      <c r="JMQ219" s="409"/>
      <c r="JMR219" s="409"/>
      <c r="JMS219" s="409"/>
      <c r="JMT219" s="409"/>
      <c r="JMU219" s="409"/>
      <c r="JMV219" s="409"/>
      <c r="JMW219" s="379"/>
      <c r="JMX219" s="379"/>
      <c r="JNB219" s="5"/>
      <c r="JNC219" s="5"/>
      <c r="JND219" s="5"/>
      <c r="JNF219" s="5"/>
      <c r="JNH219" s="5"/>
      <c r="JNI219" s="5"/>
      <c r="JNJ219" s="5"/>
      <c r="JNK219" s="18"/>
      <c r="JNN219" s="409"/>
      <c r="JNO219" s="409"/>
      <c r="JNP219" s="409"/>
      <c r="JNQ219" s="409"/>
      <c r="JNR219" s="409"/>
      <c r="JNS219" s="409"/>
      <c r="JNT219" s="379"/>
      <c r="JNU219" s="379"/>
      <c r="JNY219" s="5"/>
      <c r="JNZ219" s="5"/>
      <c r="JOA219" s="5"/>
      <c r="JOC219" s="5"/>
      <c r="JOE219" s="5"/>
      <c r="JOF219" s="5"/>
      <c r="JOG219" s="5"/>
      <c r="JOH219" s="18"/>
      <c r="JOK219" s="409"/>
      <c r="JOL219" s="409"/>
      <c r="JOM219" s="409"/>
      <c r="JON219" s="409"/>
      <c r="JOO219" s="409"/>
      <c r="JOP219" s="409"/>
      <c r="JOQ219" s="379"/>
      <c r="JOR219" s="379"/>
      <c r="JOV219" s="5"/>
      <c r="JOW219" s="5"/>
      <c r="JOX219" s="5"/>
      <c r="JOZ219" s="5"/>
      <c r="JPB219" s="5"/>
      <c r="JPC219" s="5"/>
      <c r="JPD219" s="5"/>
      <c r="JPE219" s="18"/>
      <c r="JPH219" s="409"/>
      <c r="JPI219" s="409"/>
      <c r="JPJ219" s="409"/>
      <c r="JPK219" s="409"/>
      <c r="JPL219" s="409"/>
      <c r="JPM219" s="409"/>
      <c r="JPN219" s="379"/>
      <c r="JPO219" s="379"/>
      <c r="JPS219" s="5"/>
      <c r="JPT219" s="5"/>
      <c r="JPU219" s="5"/>
      <c r="JPW219" s="5"/>
      <c r="JPY219" s="5"/>
      <c r="JPZ219" s="5"/>
      <c r="JQA219" s="5"/>
      <c r="JQB219" s="18"/>
      <c r="JQE219" s="409"/>
      <c r="JQF219" s="409"/>
      <c r="JQG219" s="409"/>
      <c r="JQH219" s="409"/>
      <c r="JQI219" s="409"/>
      <c r="JQJ219" s="409"/>
      <c r="JQK219" s="379"/>
      <c r="JQL219" s="379"/>
      <c r="JQP219" s="5"/>
      <c r="JQQ219" s="5"/>
      <c r="JQR219" s="5"/>
      <c r="JQT219" s="5"/>
      <c r="JQV219" s="5"/>
      <c r="JQW219" s="5"/>
      <c r="JQX219" s="5"/>
      <c r="JQY219" s="18"/>
      <c r="JRB219" s="409"/>
      <c r="JRC219" s="409"/>
      <c r="JRD219" s="409"/>
      <c r="JRE219" s="409"/>
      <c r="JRF219" s="409"/>
      <c r="JRG219" s="409"/>
      <c r="JRH219" s="379"/>
      <c r="JRI219" s="379"/>
      <c r="JRM219" s="5"/>
      <c r="JRN219" s="5"/>
      <c r="JRO219" s="5"/>
      <c r="JRQ219" s="5"/>
      <c r="JRS219" s="5"/>
      <c r="JRT219" s="5"/>
      <c r="JRU219" s="5"/>
      <c r="JRV219" s="18"/>
      <c r="JRY219" s="409"/>
      <c r="JRZ219" s="409"/>
      <c r="JSA219" s="409"/>
      <c r="JSB219" s="409"/>
      <c r="JSC219" s="409"/>
      <c r="JSD219" s="409"/>
      <c r="JSE219" s="379"/>
      <c r="JSF219" s="379"/>
      <c r="JSJ219" s="5"/>
      <c r="JSK219" s="5"/>
      <c r="JSL219" s="5"/>
      <c r="JSN219" s="5"/>
      <c r="JSP219" s="5"/>
      <c r="JSQ219" s="5"/>
      <c r="JSR219" s="5"/>
      <c r="JSS219" s="18"/>
      <c r="JSV219" s="409"/>
      <c r="JSW219" s="409"/>
      <c r="JSX219" s="409"/>
      <c r="JSY219" s="409"/>
      <c r="JSZ219" s="409"/>
      <c r="JTA219" s="409"/>
      <c r="JTB219" s="379"/>
      <c r="JTC219" s="379"/>
      <c r="JTG219" s="5"/>
      <c r="JTH219" s="5"/>
      <c r="JTI219" s="5"/>
      <c r="JTK219" s="5"/>
      <c r="JTM219" s="5"/>
      <c r="JTN219" s="5"/>
      <c r="JTO219" s="5"/>
      <c r="JTP219" s="18"/>
      <c r="JTS219" s="409"/>
      <c r="JTT219" s="409"/>
      <c r="JTU219" s="409"/>
      <c r="JTV219" s="409"/>
      <c r="JTW219" s="409"/>
      <c r="JTX219" s="409"/>
      <c r="JTY219" s="379"/>
      <c r="JTZ219" s="379"/>
      <c r="JUD219" s="5"/>
      <c r="JUE219" s="5"/>
      <c r="JUF219" s="5"/>
      <c r="JUH219" s="5"/>
      <c r="JUJ219" s="5"/>
      <c r="JUK219" s="5"/>
      <c r="JUL219" s="5"/>
      <c r="JUM219" s="18"/>
      <c r="JUP219" s="409"/>
      <c r="JUQ219" s="409"/>
      <c r="JUR219" s="409"/>
      <c r="JUS219" s="409"/>
      <c r="JUT219" s="409"/>
      <c r="JUU219" s="409"/>
      <c r="JUV219" s="379"/>
      <c r="JUW219" s="379"/>
      <c r="JVA219" s="5"/>
      <c r="JVB219" s="5"/>
      <c r="JVC219" s="5"/>
      <c r="JVE219" s="5"/>
      <c r="JVG219" s="5"/>
      <c r="JVH219" s="5"/>
      <c r="JVI219" s="5"/>
      <c r="JVJ219" s="18"/>
      <c r="JVM219" s="409"/>
      <c r="JVN219" s="409"/>
      <c r="JVO219" s="409"/>
      <c r="JVP219" s="409"/>
      <c r="JVQ219" s="409"/>
      <c r="JVR219" s="409"/>
      <c r="JVS219" s="379"/>
      <c r="JVT219" s="379"/>
      <c r="JVX219" s="5"/>
      <c r="JVY219" s="5"/>
      <c r="JVZ219" s="5"/>
      <c r="JWB219" s="5"/>
      <c r="JWD219" s="5"/>
      <c r="JWE219" s="5"/>
      <c r="JWF219" s="5"/>
      <c r="JWG219" s="18"/>
      <c r="JWJ219" s="409"/>
      <c r="JWK219" s="409"/>
      <c r="JWL219" s="409"/>
      <c r="JWM219" s="409"/>
      <c r="JWN219" s="409"/>
      <c r="JWO219" s="409"/>
      <c r="JWP219" s="379"/>
      <c r="JWQ219" s="379"/>
      <c r="JWU219" s="5"/>
      <c r="JWV219" s="5"/>
      <c r="JWW219" s="5"/>
      <c r="JWY219" s="5"/>
      <c r="JXA219" s="5"/>
      <c r="JXB219" s="5"/>
      <c r="JXC219" s="5"/>
      <c r="JXD219" s="18"/>
      <c r="JXG219" s="409"/>
      <c r="JXH219" s="409"/>
      <c r="JXI219" s="409"/>
      <c r="JXJ219" s="409"/>
      <c r="JXK219" s="409"/>
      <c r="JXL219" s="409"/>
      <c r="JXM219" s="379"/>
      <c r="JXN219" s="379"/>
      <c r="JXR219" s="5"/>
      <c r="JXS219" s="5"/>
      <c r="JXT219" s="5"/>
      <c r="JXV219" s="5"/>
      <c r="JXX219" s="5"/>
      <c r="JXY219" s="5"/>
      <c r="JXZ219" s="5"/>
      <c r="JYA219" s="18"/>
      <c r="JYD219" s="409"/>
      <c r="JYE219" s="409"/>
      <c r="JYF219" s="409"/>
      <c r="JYG219" s="409"/>
      <c r="JYH219" s="409"/>
      <c r="JYI219" s="409"/>
      <c r="JYJ219" s="379"/>
      <c r="JYK219" s="379"/>
      <c r="JYO219" s="5"/>
      <c r="JYP219" s="5"/>
      <c r="JYQ219" s="5"/>
      <c r="JYS219" s="5"/>
      <c r="JYU219" s="5"/>
      <c r="JYV219" s="5"/>
      <c r="JYW219" s="5"/>
      <c r="JYX219" s="18"/>
      <c r="JZA219" s="409"/>
      <c r="JZB219" s="409"/>
      <c r="JZC219" s="409"/>
      <c r="JZD219" s="409"/>
      <c r="JZE219" s="409"/>
      <c r="JZF219" s="409"/>
      <c r="JZG219" s="379"/>
      <c r="JZH219" s="379"/>
      <c r="JZL219" s="5"/>
      <c r="JZM219" s="5"/>
      <c r="JZN219" s="5"/>
      <c r="JZP219" s="5"/>
      <c r="JZR219" s="5"/>
      <c r="JZS219" s="5"/>
      <c r="JZT219" s="5"/>
      <c r="JZU219" s="18"/>
      <c r="JZX219" s="409"/>
      <c r="JZY219" s="409"/>
      <c r="JZZ219" s="409"/>
      <c r="KAA219" s="409"/>
      <c r="KAB219" s="409"/>
      <c r="KAC219" s="409"/>
      <c r="KAD219" s="379"/>
      <c r="KAE219" s="379"/>
      <c r="KAI219" s="5"/>
      <c r="KAJ219" s="5"/>
      <c r="KAK219" s="5"/>
      <c r="KAM219" s="5"/>
      <c r="KAO219" s="5"/>
      <c r="KAP219" s="5"/>
      <c r="KAQ219" s="5"/>
      <c r="KAR219" s="18"/>
      <c r="KAU219" s="409"/>
      <c r="KAV219" s="409"/>
      <c r="KAW219" s="409"/>
      <c r="KAX219" s="409"/>
      <c r="KAY219" s="409"/>
      <c r="KAZ219" s="409"/>
      <c r="KBA219" s="379"/>
      <c r="KBB219" s="379"/>
      <c r="KBF219" s="5"/>
      <c r="KBG219" s="5"/>
      <c r="KBH219" s="5"/>
      <c r="KBJ219" s="5"/>
      <c r="KBL219" s="5"/>
      <c r="KBM219" s="5"/>
      <c r="KBN219" s="5"/>
      <c r="KBO219" s="18"/>
      <c r="KBR219" s="409"/>
      <c r="KBS219" s="409"/>
      <c r="KBT219" s="409"/>
      <c r="KBU219" s="409"/>
      <c r="KBV219" s="409"/>
      <c r="KBW219" s="409"/>
      <c r="KBX219" s="379"/>
      <c r="KBY219" s="379"/>
      <c r="KCC219" s="5"/>
      <c r="KCD219" s="5"/>
      <c r="KCE219" s="5"/>
      <c r="KCG219" s="5"/>
      <c r="KCI219" s="5"/>
      <c r="KCJ219" s="5"/>
      <c r="KCK219" s="5"/>
      <c r="KCL219" s="18"/>
      <c r="KCO219" s="409"/>
      <c r="KCP219" s="409"/>
      <c r="KCQ219" s="409"/>
      <c r="KCR219" s="409"/>
      <c r="KCS219" s="409"/>
      <c r="KCT219" s="409"/>
      <c r="KCU219" s="379"/>
      <c r="KCV219" s="379"/>
      <c r="KCZ219" s="5"/>
      <c r="KDA219" s="5"/>
      <c r="KDB219" s="5"/>
      <c r="KDD219" s="5"/>
      <c r="KDF219" s="5"/>
      <c r="KDG219" s="5"/>
      <c r="KDH219" s="5"/>
      <c r="KDI219" s="18"/>
      <c r="KDL219" s="409"/>
      <c r="KDM219" s="409"/>
      <c r="KDN219" s="409"/>
      <c r="KDO219" s="409"/>
      <c r="KDP219" s="409"/>
      <c r="KDQ219" s="409"/>
      <c r="KDR219" s="379"/>
      <c r="KDS219" s="379"/>
      <c r="KDW219" s="5"/>
      <c r="KDX219" s="5"/>
      <c r="KDY219" s="5"/>
      <c r="KEA219" s="5"/>
      <c r="KEC219" s="5"/>
      <c r="KED219" s="5"/>
      <c r="KEE219" s="5"/>
      <c r="KEF219" s="18"/>
      <c r="KEI219" s="409"/>
      <c r="KEJ219" s="409"/>
      <c r="KEK219" s="409"/>
      <c r="KEL219" s="409"/>
      <c r="KEM219" s="409"/>
      <c r="KEN219" s="409"/>
      <c r="KEO219" s="379"/>
      <c r="KEP219" s="379"/>
      <c r="KET219" s="5"/>
      <c r="KEU219" s="5"/>
      <c r="KEV219" s="5"/>
      <c r="KEX219" s="5"/>
      <c r="KEZ219" s="5"/>
      <c r="KFA219" s="5"/>
      <c r="KFB219" s="5"/>
      <c r="KFC219" s="18"/>
      <c r="KFF219" s="409"/>
      <c r="KFG219" s="409"/>
      <c r="KFH219" s="409"/>
      <c r="KFI219" s="409"/>
      <c r="KFJ219" s="409"/>
      <c r="KFK219" s="409"/>
      <c r="KFL219" s="379"/>
      <c r="KFM219" s="379"/>
      <c r="KFQ219" s="5"/>
      <c r="KFR219" s="5"/>
      <c r="KFS219" s="5"/>
      <c r="KFU219" s="5"/>
      <c r="KFW219" s="5"/>
      <c r="KFX219" s="5"/>
      <c r="KFY219" s="5"/>
      <c r="KFZ219" s="18"/>
      <c r="KGC219" s="409"/>
      <c r="KGD219" s="409"/>
      <c r="KGE219" s="409"/>
      <c r="KGF219" s="409"/>
      <c r="KGG219" s="409"/>
      <c r="KGH219" s="409"/>
      <c r="KGI219" s="379"/>
      <c r="KGJ219" s="379"/>
      <c r="KGN219" s="5"/>
      <c r="KGO219" s="5"/>
      <c r="KGP219" s="5"/>
      <c r="KGR219" s="5"/>
      <c r="KGT219" s="5"/>
      <c r="KGU219" s="5"/>
      <c r="KGV219" s="5"/>
      <c r="KGW219" s="18"/>
      <c r="KGZ219" s="409"/>
      <c r="KHA219" s="409"/>
      <c r="KHB219" s="409"/>
      <c r="KHC219" s="409"/>
      <c r="KHD219" s="409"/>
      <c r="KHE219" s="409"/>
      <c r="KHF219" s="379"/>
      <c r="KHG219" s="379"/>
      <c r="KHK219" s="5"/>
      <c r="KHL219" s="5"/>
      <c r="KHM219" s="5"/>
      <c r="KHO219" s="5"/>
      <c r="KHQ219" s="5"/>
      <c r="KHR219" s="5"/>
      <c r="KHS219" s="5"/>
      <c r="KHT219" s="18"/>
      <c r="KHW219" s="409"/>
      <c r="KHX219" s="409"/>
      <c r="KHY219" s="409"/>
      <c r="KHZ219" s="409"/>
      <c r="KIA219" s="409"/>
      <c r="KIB219" s="409"/>
      <c r="KIC219" s="379"/>
      <c r="KID219" s="379"/>
      <c r="KIH219" s="5"/>
      <c r="KII219" s="5"/>
      <c r="KIJ219" s="5"/>
      <c r="KIL219" s="5"/>
      <c r="KIN219" s="5"/>
      <c r="KIO219" s="5"/>
      <c r="KIP219" s="5"/>
      <c r="KIQ219" s="18"/>
      <c r="KIT219" s="409"/>
      <c r="KIU219" s="409"/>
      <c r="KIV219" s="409"/>
      <c r="KIW219" s="409"/>
      <c r="KIX219" s="409"/>
      <c r="KIY219" s="409"/>
      <c r="KIZ219" s="379"/>
      <c r="KJA219" s="379"/>
      <c r="KJE219" s="5"/>
      <c r="KJF219" s="5"/>
      <c r="KJG219" s="5"/>
      <c r="KJI219" s="5"/>
      <c r="KJK219" s="5"/>
      <c r="KJL219" s="5"/>
      <c r="KJM219" s="5"/>
      <c r="KJN219" s="18"/>
      <c r="KJQ219" s="409"/>
      <c r="KJR219" s="409"/>
      <c r="KJS219" s="409"/>
      <c r="KJT219" s="409"/>
      <c r="KJU219" s="409"/>
      <c r="KJV219" s="409"/>
      <c r="KJW219" s="379"/>
      <c r="KJX219" s="379"/>
      <c r="KKB219" s="5"/>
      <c r="KKC219" s="5"/>
      <c r="KKD219" s="5"/>
      <c r="KKF219" s="5"/>
      <c r="KKH219" s="5"/>
      <c r="KKI219" s="5"/>
      <c r="KKJ219" s="5"/>
      <c r="KKK219" s="18"/>
      <c r="KKN219" s="409"/>
      <c r="KKO219" s="409"/>
      <c r="KKP219" s="409"/>
      <c r="KKQ219" s="409"/>
      <c r="KKR219" s="409"/>
      <c r="KKS219" s="409"/>
      <c r="KKT219" s="379"/>
      <c r="KKU219" s="379"/>
      <c r="KKY219" s="5"/>
      <c r="KKZ219" s="5"/>
      <c r="KLA219" s="5"/>
      <c r="KLC219" s="5"/>
      <c r="KLE219" s="5"/>
      <c r="KLF219" s="5"/>
      <c r="KLG219" s="5"/>
      <c r="KLH219" s="18"/>
      <c r="KLK219" s="409"/>
      <c r="KLL219" s="409"/>
      <c r="KLM219" s="409"/>
      <c r="KLN219" s="409"/>
      <c r="KLO219" s="409"/>
      <c r="KLP219" s="409"/>
      <c r="KLQ219" s="379"/>
      <c r="KLR219" s="379"/>
      <c r="KLV219" s="5"/>
      <c r="KLW219" s="5"/>
      <c r="KLX219" s="5"/>
      <c r="KLZ219" s="5"/>
      <c r="KMB219" s="5"/>
      <c r="KMC219" s="5"/>
      <c r="KMD219" s="5"/>
      <c r="KME219" s="18"/>
      <c r="KMH219" s="409"/>
      <c r="KMI219" s="409"/>
      <c r="KMJ219" s="409"/>
      <c r="KMK219" s="409"/>
      <c r="KML219" s="409"/>
      <c r="KMM219" s="409"/>
      <c r="KMN219" s="379"/>
      <c r="KMO219" s="379"/>
      <c r="KMS219" s="5"/>
      <c r="KMT219" s="5"/>
      <c r="KMU219" s="5"/>
      <c r="KMW219" s="5"/>
      <c r="KMY219" s="5"/>
      <c r="KMZ219" s="5"/>
      <c r="KNA219" s="5"/>
      <c r="KNB219" s="18"/>
      <c r="KNE219" s="409"/>
      <c r="KNF219" s="409"/>
      <c r="KNG219" s="409"/>
      <c r="KNH219" s="409"/>
      <c r="KNI219" s="409"/>
      <c r="KNJ219" s="409"/>
      <c r="KNK219" s="379"/>
      <c r="KNL219" s="379"/>
      <c r="KNP219" s="5"/>
      <c r="KNQ219" s="5"/>
      <c r="KNR219" s="5"/>
      <c r="KNT219" s="5"/>
      <c r="KNV219" s="5"/>
      <c r="KNW219" s="5"/>
      <c r="KNX219" s="5"/>
      <c r="KNY219" s="18"/>
      <c r="KOB219" s="409"/>
      <c r="KOC219" s="409"/>
      <c r="KOD219" s="409"/>
      <c r="KOE219" s="409"/>
      <c r="KOF219" s="409"/>
      <c r="KOG219" s="409"/>
      <c r="KOH219" s="379"/>
      <c r="KOI219" s="379"/>
      <c r="KOM219" s="5"/>
      <c r="KON219" s="5"/>
      <c r="KOO219" s="5"/>
      <c r="KOQ219" s="5"/>
      <c r="KOS219" s="5"/>
      <c r="KOT219" s="5"/>
      <c r="KOU219" s="5"/>
      <c r="KOV219" s="18"/>
      <c r="KOY219" s="409"/>
      <c r="KOZ219" s="409"/>
      <c r="KPA219" s="409"/>
      <c r="KPB219" s="409"/>
      <c r="KPC219" s="409"/>
      <c r="KPD219" s="409"/>
      <c r="KPE219" s="379"/>
      <c r="KPF219" s="379"/>
      <c r="KPJ219" s="5"/>
      <c r="KPK219" s="5"/>
      <c r="KPL219" s="5"/>
      <c r="KPN219" s="5"/>
      <c r="KPP219" s="5"/>
      <c r="KPQ219" s="5"/>
      <c r="KPR219" s="5"/>
      <c r="KPS219" s="18"/>
      <c r="KPV219" s="409"/>
      <c r="KPW219" s="409"/>
      <c r="KPX219" s="409"/>
      <c r="KPY219" s="409"/>
      <c r="KPZ219" s="409"/>
      <c r="KQA219" s="409"/>
      <c r="KQB219" s="379"/>
      <c r="KQC219" s="379"/>
      <c r="KQG219" s="5"/>
      <c r="KQH219" s="5"/>
      <c r="KQI219" s="5"/>
      <c r="KQK219" s="5"/>
      <c r="KQM219" s="5"/>
      <c r="KQN219" s="5"/>
      <c r="KQO219" s="5"/>
      <c r="KQP219" s="18"/>
      <c r="KQS219" s="409"/>
      <c r="KQT219" s="409"/>
      <c r="KQU219" s="409"/>
      <c r="KQV219" s="409"/>
      <c r="KQW219" s="409"/>
      <c r="KQX219" s="409"/>
      <c r="KQY219" s="379"/>
      <c r="KQZ219" s="379"/>
      <c r="KRD219" s="5"/>
      <c r="KRE219" s="5"/>
      <c r="KRF219" s="5"/>
      <c r="KRH219" s="5"/>
      <c r="KRJ219" s="5"/>
      <c r="KRK219" s="5"/>
      <c r="KRL219" s="5"/>
      <c r="KRM219" s="18"/>
      <c r="KRP219" s="409"/>
      <c r="KRQ219" s="409"/>
      <c r="KRR219" s="409"/>
      <c r="KRS219" s="409"/>
      <c r="KRT219" s="409"/>
      <c r="KRU219" s="409"/>
      <c r="KRV219" s="379"/>
      <c r="KRW219" s="379"/>
      <c r="KSA219" s="5"/>
      <c r="KSB219" s="5"/>
      <c r="KSC219" s="5"/>
      <c r="KSE219" s="5"/>
      <c r="KSG219" s="5"/>
      <c r="KSH219" s="5"/>
      <c r="KSI219" s="5"/>
      <c r="KSJ219" s="18"/>
      <c r="KSM219" s="409"/>
      <c r="KSN219" s="409"/>
      <c r="KSO219" s="409"/>
      <c r="KSP219" s="409"/>
      <c r="KSQ219" s="409"/>
      <c r="KSR219" s="409"/>
      <c r="KSS219" s="379"/>
      <c r="KST219" s="379"/>
      <c r="KSX219" s="5"/>
      <c r="KSY219" s="5"/>
      <c r="KSZ219" s="5"/>
      <c r="KTB219" s="5"/>
      <c r="KTD219" s="5"/>
      <c r="KTE219" s="5"/>
      <c r="KTF219" s="5"/>
      <c r="KTG219" s="18"/>
      <c r="KTJ219" s="409"/>
      <c r="KTK219" s="409"/>
      <c r="KTL219" s="409"/>
      <c r="KTM219" s="409"/>
      <c r="KTN219" s="409"/>
      <c r="KTO219" s="409"/>
      <c r="KTP219" s="379"/>
      <c r="KTQ219" s="379"/>
      <c r="KTU219" s="5"/>
      <c r="KTV219" s="5"/>
      <c r="KTW219" s="5"/>
      <c r="KTY219" s="5"/>
      <c r="KUA219" s="5"/>
      <c r="KUB219" s="5"/>
      <c r="KUC219" s="5"/>
      <c r="KUD219" s="18"/>
      <c r="KUG219" s="409"/>
      <c r="KUH219" s="409"/>
      <c r="KUI219" s="409"/>
      <c r="KUJ219" s="409"/>
      <c r="KUK219" s="409"/>
      <c r="KUL219" s="409"/>
      <c r="KUM219" s="379"/>
      <c r="KUN219" s="379"/>
      <c r="KUR219" s="5"/>
      <c r="KUS219" s="5"/>
      <c r="KUT219" s="5"/>
      <c r="KUV219" s="5"/>
      <c r="KUX219" s="5"/>
      <c r="KUY219" s="5"/>
      <c r="KUZ219" s="5"/>
      <c r="KVA219" s="18"/>
      <c r="KVD219" s="409"/>
      <c r="KVE219" s="409"/>
      <c r="KVF219" s="409"/>
      <c r="KVG219" s="409"/>
      <c r="KVH219" s="409"/>
      <c r="KVI219" s="409"/>
      <c r="KVJ219" s="379"/>
      <c r="KVK219" s="379"/>
      <c r="KVO219" s="5"/>
      <c r="KVP219" s="5"/>
      <c r="KVQ219" s="5"/>
      <c r="KVS219" s="5"/>
      <c r="KVU219" s="5"/>
      <c r="KVV219" s="5"/>
      <c r="KVW219" s="5"/>
      <c r="KVX219" s="18"/>
      <c r="KWA219" s="409"/>
      <c r="KWB219" s="409"/>
      <c r="KWC219" s="409"/>
      <c r="KWD219" s="409"/>
      <c r="KWE219" s="409"/>
      <c r="KWF219" s="409"/>
      <c r="KWG219" s="379"/>
      <c r="KWH219" s="379"/>
      <c r="KWL219" s="5"/>
      <c r="KWM219" s="5"/>
      <c r="KWN219" s="5"/>
      <c r="KWP219" s="5"/>
      <c r="KWR219" s="5"/>
      <c r="KWS219" s="5"/>
      <c r="KWT219" s="5"/>
      <c r="KWU219" s="18"/>
      <c r="KWX219" s="409"/>
      <c r="KWY219" s="409"/>
      <c r="KWZ219" s="409"/>
      <c r="KXA219" s="409"/>
      <c r="KXB219" s="409"/>
      <c r="KXC219" s="409"/>
      <c r="KXD219" s="379"/>
      <c r="KXE219" s="379"/>
      <c r="KXI219" s="5"/>
      <c r="KXJ219" s="5"/>
      <c r="KXK219" s="5"/>
      <c r="KXM219" s="5"/>
      <c r="KXO219" s="5"/>
      <c r="KXP219" s="5"/>
      <c r="KXQ219" s="5"/>
      <c r="KXR219" s="18"/>
      <c r="KXU219" s="409"/>
      <c r="KXV219" s="409"/>
      <c r="KXW219" s="409"/>
      <c r="KXX219" s="409"/>
      <c r="KXY219" s="409"/>
      <c r="KXZ219" s="409"/>
      <c r="KYA219" s="379"/>
      <c r="KYB219" s="379"/>
      <c r="KYF219" s="5"/>
      <c r="KYG219" s="5"/>
      <c r="KYH219" s="5"/>
      <c r="KYJ219" s="5"/>
      <c r="KYL219" s="5"/>
      <c r="KYM219" s="5"/>
      <c r="KYN219" s="5"/>
      <c r="KYO219" s="18"/>
      <c r="KYR219" s="409"/>
      <c r="KYS219" s="409"/>
      <c r="KYT219" s="409"/>
      <c r="KYU219" s="409"/>
      <c r="KYV219" s="409"/>
      <c r="KYW219" s="409"/>
      <c r="KYX219" s="379"/>
      <c r="KYY219" s="379"/>
      <c r="KZC219" s="5"/>
      <c r="KZD219" s="5"/>
      <c r="KZE219" s="5"/>
      <c r="KZG219" s="5"/>
      <c r="KZI219" s="5"/>
      <c r="KZJ219" s="5"/>
      <c r="KZK219" s="5"/>
      <c r="KZL219" s="18"/>
      <c r="KZO219" s="409"/>
      <c r="KZP219" s="409"/>
      <c r="KZQ219" s="409"/>
      <c r="KZR219" s="409"/>
      <c r="KZS219" s="409"/>
      <c r="KZT219" s="409"/>
      <c r="KZU219" s="379"/>
      <c r="KZV219" s="379"/>
      <c r="KZZ219" s="5"/>
      <c r="LAA219" s="5"/>
      <c r="LAB219" s="5"/>
      <c r="LAD219" s="5"/>
      <c r="LAF219" s="5"/>
      <c r="LAG219" s="5"/>
      <c r="LAH219" s="5"/>
      <c r="LAI219" s="18"/>
      <c r="LAL219" s="409"/>
      <c r="LAM219" s="409"/>
      <c r="LAN219" s="409"/>
      <c r="LAO219" s="409"/>
      <c r="LAP219" s="409"/>
      <c r="LAQ219" s="409"/>
      <c r="LAR219" s="379"/>
      <c r="LAS219" s="379"/>
      <c r="LAW219" s="5"/>
      <c r="LAX219" s="5"/>
      <c r="LAY219" s="5"/>
      <c r="LBA219" s="5"/>
      <c r="LBC219" s="5"/>
      <c r="LBD219" s="5"/>
      <c r="LBE219" s="5"/>
      <c r="LBF219" s="18"/>
      <c r="LBI219" s="409"/>
      <c r="LBJ219" s="409"/>
      <c r="LBK219" s="409"/>
      <c r="LBL219" s="409"/>
      <c r="LBM219" s="409"/>
      <c r="LBN219" s="409"/>
      <c r="LBO219" s="379"/>
      <c r="LBP219" s="379"/>
      <c r="LBT219" s="5"/>
      <c r="LBU219" s="5"/>
      <c r="LBV219" s="5"/>
      <c r="LBX219" s="5"/>
      <c r="LBZ219" s="5"/>
      <c r="LCA219" s="5"/>
      <c r="LCB219" s="5"/>
      <c r="LCC219" s="18"/>
      <c r="LCF219" s="409"/>
      <c r="LCG219" s="409"/>
      <c r="LCH219" s="409"/>
      <c r="LCI219" s="409"/>
      <c r="LCJ219" s="409"/>
      <c r="LCK219" s="409"/>
      <c r="LCL219" s="379"/>
      <c r="LCM219" s="379"/>
      <c r="LCQ219" s="5"/>
      <c r="LCR219" s="5"/>
      <c r="LCS219" s="5"/>
      <c r="LCU219" s="5"/>
      <c r="LCW219" s="5"/>
      <c r="LCX219" s="5"/>
      <c r="LCY219" s="5"/>
      <c r="LCZ219" s="18"/>
      <c r="LDC219" s="409"/>
      <c r="LDD219" s="409"/>
      <c r="LDE219" s="409"/>
      <c r="LDF219" s="409"/>
      <c r="LDG219" s="409"/>
      <c r="LDH219" s="409"/>
      <c r="LDI219" s="379"/>
      <c r="LDJ219" s="379"/>
      <c r="LDN219" s="5"/>
      <c r="LDO219" s="5"/>
      <c r="LDP219" s="5"/>
      <c r="LDR219" s="5"/>
      <c r="LDT219" s="5"/>
      <c r="LDU219" s="5"/>
      <c r="LDV219" s="5"/>
      <c r="LDW219" s="18"/>
      <c r="LDZ219" s="409"/>
      <c r="LEA219" s="409"/>
      <c r="LEB219" s="409"/>
      <c r="LEC219" s="409"/>
      <c r="LED219" s="409"/>
      <c r="LEE219" s="409"/>
      <c r="LEF219" s="379"/>
      <c r="LEG219" s="379"/>
      <c r="LEK219" s="5"/>
      <c r="LEL219" s="5"/>
      <c r="LEM219" s="5"/>
      <c r="LEO219" s="5"/>
      <c r="LEQ219" s="5"/>
      <c r="LER219" s="5"/>
      <c r="LES219" s="5"/>
      <c r="LET219" s="18"/>
      <c r="LEW219" s="409"/>
      <c r="LEX219" s="409"/>
      <c r="LEY219" s="409"/>
      <c r="LEZ219" s="409"/>
      <c r="LFA219" s="409"/>
      <c r="LFB219" s="409"/>
      <c r="LFC219" s="379"/>
      <c r="LFD219" s="379"/>
      <c r="LFH219" s="5"/>
      <c r="LFI219" s="5"/>
      <c r="LFJ219" s="5"/>
      <c r="LFL219" s="5"/>
      <c r="LFN219" s="5"/>
      <c r="LFO219" s="5"/>
      <c r="LFP219" s="5"/>
      <c r="LFQ219" s="18"/>
      <c r="LFT219" s="409"/>
      <c r="LFU219" s="409"/>
      <c r="LFV219" s="409"/>
      <c r="LFW219" s="409"/>
      <c r="LFX219" s="409"/>
      <c r="LFY219" s="409"/>
      <c r="LFZ219" s="379"/>
      <c r="LGA219" s="379"/>
      <c r="LGE219" s="5"/>
      <c r="LGF219" s="5"/>
      <c r="LGG219" s="5"/>
      <c r="LGI219" s="5"/>
      <c r="LGK219" s="5"/>
      <c r="LGL219" s="5"/>
      <c r="LGM219" s="5"/>
      <c r="LGN219" s="18"/>
      <c r="LGQ219" s="409"/>
      <c r="LGR219" s="409"/>
      <c r="LGS219" s="409"/>
      <c r="LGT219" s="409"/>
      <c r="LGU219" s="409"/>
      <c r="LGV219" s="409"/>
      <c r="LGW219" s="379"/>
      <c r="LGX219" s="379"/>
      <c r="LHB219" s="5"/>
      <c r="LHC219" s="5"/>
      <c r="LHD219" s="5"/>
      <c r="LHF219" s="5"/>
      <c r="LHH219" s="5"/>
      <c r="LHI219" s="5"/>
      <c r="LHJ219" s="5"/>
      <c r="LHK219" s="18"/>
      <c r="LHN219" s="409"/>
      <c r="LHO219" s="409"/>
      <c r="LHP219" s="409"/>
      <c r="LHQ219" s="409"/>
      <c r="LHR219" s="409"/>
      <c r="LHS219" s="409"/>
      <c r="LHT219" s="379"/>
      <c r="LHU219" s="379"/>
      <c r="LHY219" s="5"/>
      <c r="LHZ219" s="5"/>
      <c r="LIA219" s="5"/>
      <c r="LIC219" s="5"/>
      <c r="LIE219" s="5"/>
      <c r="LIF219" s="5"/>
      <c r="LIG219" s="5"/>
      <c r="LIH219" s="18"/>
      <c r="LIK219" s="409"/>
      <c r="LIL219" s="409"/>
      <c r="LIM219" s="409"/>
      <c r="LIN219" s="409"/>
      <c r="LIO219" s="409"/>
      <c r="LIP219" s="409"/>
      <c r="LIQ219" s="379"/>
      <c r="LIR219" s="379"/>
      <c r="LIV219" s="5"/>
      <c r="LIW219" s="5"/>
      <c r="LIX219" s="5"/>
      <c r="LIZ219" s="5"/>
      <c r="LJB219" s="5"/>
      <c r="LJC219" s="5"/>
      <c r="LJD219" s="5"/>
      <c r="LJE219" s="18"/>
      <c r="LJH219" s="409"/>
      <c r="LJI219" s="409"/>
      <c r="LJJ219" s="409"/>
      <c r="LJK219" s="409"/>
      <c r="LJL219" s="409"/>
      <c r="LJM219" s="409"/>
      <c r="LJN219" s="379"/>
      <c r="LJO219" s="379"/>
      <c r="LJS219" s="5"/>
      <c r="LJT219" s="5"/>
      <c r="LJU219" s="5"/>
      <c r="LJW219" s="5"/>
      <c r="LJY219" s="5"/>
      <c r="LJZ219" s="5"/>
      <c r="LKA219" s="5"/>
      <c r="LKB219" s="18"/>
      <c r="LKE219" s="409"/>
      <c r="LKF219" s="409"/>
      <c r="LKG219" s="409"/>
      <c r="LKH219" s="409"/>
      <c r="LKI219" s="409"/>
      <c r="LKJ219" s="409"/>
      <c r="LKK219" s="379"/>
      <c r="LKL219" s="379"/>
      <c r="LKP219" s="5"/>
      <c r="LKQ219" s="5"/>
      <c r="LKR219" s="5"/>
      <c r="LKT219" s="5"/>
      <c r="LKV219" s="5"/>
      <c r="LKW219" s="5"/>
      <c r="LKX219" s="5"/>
      <c r="LKY219" s="18"/>
      <c r="LLB219" s="409"/>
      <c r="LLC219" s="409"/>
      <c r="LLD219" s="409"/>
      <c r="LLE219" s="409"/>
      <c r="LLF219" s="409"/>
      <c r="LLG219" s="409"/>
      <c r="LLH219" s="379"/>
      <c r="LLI219" s="379"/>
      <c r="LLM219" s="5"/>
      <c r="LLN219" s="5"/>
      <c r="LLO219" s="5"/>
      <c r="LLQ219" s="5"/>
      <c r="LLS219" s="5"/>
      <c r="LLT219" s="5"/>
      <c r="LLU219" s="5"/>
      <c r="LLV219" s="18"/>
      <c r="LLY219" s="409"/>
      <c r="LLZ219" s="409"/>
      <c r="LMA219" s="409"/>
      <c r="LMB219" s="409"/>
      <c r="LMC219" s="409"/>
      <c r="LMD219" s="409"/>
      <c r="LME219" s="379"/>
      <c r="LMF219" s="379"/>
      <c r="LMJ219" s="5"/>
      <c r="LMK219" s="5"/>
      <c r="LML219" s="5"/>
      <c r="LMN219" s="5"/>
      <c r="LMP219" s="5"/>
      <c r="LMQ219" s="5"/>
      <c r="LMR219" s="5"/>
      <c r="LMS219" s="18"/>
      <c r="LMV219" s="409"/>
      <c r="LMW219" s="409"/>
      <c r="LMX219" s="409"/>
      <c r="LMY219" s="409"/>
      <c r="LMZ219" s="409"/>
      <c r="LNA219" s="409"/>
      <c r="LNB219" s="379"/>
      <c r="LNC219" s="379"/>
      <c r="LNG219" s="5"/>
      <c r="LNH219" s="5"/>
      <c r="LNI219" s="5"/>
      <c r="LNK219" s="5"/>
      <c r="LNM219" s="5"/>
      <c r="LNN219" s="5"/>
      <c r="LNO219" s="5"/>
      <c r="LNP219" s="18"/>
      <c r="LNS219" s="409"/>
      <c r="LNT219" s="409"/>
      <c r="LNU219" s="409"/>
      <c r="LNV219" s="409"/>
      <c r="LNW219" s="409"/>
      <c r="LNX219" s="409"/>
      <c r="LNY219" s="379"/>
      <c r="LNZ219" s="379"/>
      <c r="LOD219" s="5"/>
      <c r="LOE219" s="5"/>
      <c r="LOF219" s="5"/>
      <c r="LOH219" s="5"/>
      <c r="LOJ219" s="5"/>
      <c r="LOK219" s="5"/>
      <c r="LOL219" s="5"/>
      <c r="LOM219" s="18"/>
      <c r="LOP219" s="409"/>
      <c r="LOQ219" s="409"/>
      <c r="LOR219" s="409"/>
      <c r="LOS219" s="409"/>
      <c r="LOT219" s="409"/>
      <c r="LOU219" s="409"/>
      <c r="LOV219" s="379"/>
      <c r="LOW219" s="379"/>
      <c r="LPA219" s="5"/>
      <c r="LPB219" s="5"/>
      <c r="LPC219" s="5"/>
      <c r="LPE219" s="5"/>
      <c r="LPG219" s="5"/>
      <c r="LPH219" s="5"/>
      <c r="LPI219" s="5"/>
      <c r="LPJ219" s="18"/>
      <c r="LPM219" s="409"/>
      <c r="LPN219" s="409"/>
      <c r="LPO219" s="409"/>
      <c r="LPP219" s="409"/>
      <c r="LPQ219" s="409"/>
      <c r="LPR219" s="409"/>
      <c r="LPS219" s="379"/>
      <c r="LPT219" s="379"/>
      <c r="LPX219" s="5"/>
      <c r="LPY219" s="5"/>
      <c r="LPZ219" s="5"/>
      <c r="LQB219" s="5"/>
      <c r="LQD219" s="5"/>
      <c r="LQE219" s="5"/>
      <c r="LQF219" s="5"/>
      <c r="LQG219" s="18"/>
      <c r="LQJ219" s="409"/>
      <c r="LQK219" s="409"/>
      <c r="LQL219" s="409"/>
      <c r="LQM219" s="409"/>
      <c r="LQN219" s="409"/>
      <c r="LQO219" s="409"/>
      <c r="LQP219" s="379"/>
      <c r="LQQ219" s="379"/>
      <c r="LQU219" s="5"/>
      <c r="LQV219" s="5"/>
      <c r="LQW219" s="5"/>
      <c r="LQY219" s="5"/>
      <c r="LRA219" s="5"/>
      <c r="LRB219" s="5"/>
      <c r="LRC219" s="5"/>
      <c r="LRD219" s="18"/>
      <c r="LRG219" s="409"/>
      <c r="LRH219" s="409"/>
      <c r="LRI219" s="409"/>
      <c r="LRJ219" s="409"/>
      <c r="LRK219" s="409"/>
      <c r="LRL219" s="409"/>
      <c r="LRM219" s="379"/>
      <c r="LRN219" s="379"/>
      <c r="LRR219" s="5"/>
      <c r="LRS219" s="5"/>
      <c r="LRT219" s="5"/>
      <c r="LRV219" s="5"/>
      <c r="LRX219" s="5"/>
      <c r="LRY219" s="5"/>
      <c r="LRZ219" s="5"/>
      <c r="LSA219" s="18"/>
      <c r="LSD219" s="409"/>
      <c r="LSE219" s="409"/>
      <c r="LSF219" s="409"/>
      <c r="LSG219" s="409"/>
      <c r="LSH219" s="409"/>
      <c r="LSI219" s="409"/>
      <c r="LSJ219" s="379"/>
      <c r="LSK219" s="379"/>
      <c r="LSO219" s="5"/>
      <c r="LSP219" s="5"/>
      <c r="LSQ219" s="5"/>
      <c r="LSS219" s="5"/>
      <c r="LSU219" s="5"/>
      <c r="LSV219" s="5"/>
      <c r="LSW219" s="5"/>
      <c r="LSX219" s="18"/>
      <c r="LTA219" s="409"/>
      <c r="LTB219" s="409"/>
      <c r="LTC219" s="409"/>
      <c r="LTD219" s="409"/>
      <c r="LTE219" s="409"/>
      <c r="LTF219" s="409"/>
      <c r="LTG219" s="379"/>
      <c r="LTH219" s="379"/>
      <c r="LTL219" s="5"/>
      <c r="LTM219" s="5"/>
      <c r="LTN219" s="5"/>
      <c r="LTP219" s="5"/>
      <c r="LTR219" s="5"/>
      <c r="LTS219" s="5"/>
      <c r="LTT219" s="5"/>
      <c r="LTU219" s="18"/>
      <c r="LTX219" s="409"/>
      <c r="LTY219" s="409"/>
      <c r="LTZ219" s="409"/>
      <c r="LUA219" s="409"/>
      <c r="LUB219" s="409"/>
      <c r="LUC219" s="409"/>
      <c r="LUD219" s="379"/>
      <c r="LUE219" s="379"/>
      <c r="LUI219" s="5"/>
      <c r="LUJ219" s="5"/>
      <c r="LUK219" s="5"/>
      <c r="LUM219" s="5"/>
      <c r="LUO219" s="5"/>
      <c r="LUP219" s="5"/>
      <c r="LUQ219" s="5"/>
      <c r="LUR219" s="18"/>
      <c r="LUU219" s="409"/>
      <c r="LUV219" s="409"/>
      <c r="LUW219" s="409"/>
      <c r="LUX219" s="409"/>
      <c r="LUY219" s="409"/>
      <c r="LUZ219" s="409"/>
      <c r="LVA219" s="379"/>
      <c r="LVB219" s="379"/>
      <c r="LVF219" s="5"/>
      <c r="LVG219" s="5"/>
      <c r="LVH219" s="5"/>
      <c r="LVJ219" s="5"/>
      <c r="LVL219" s="5"/>
      <c r="LVM219" s="5"/>
      <c r="LVN219" s="5"/>
      <c r="LVO219" s="18"/>
      <c r="LVR219" s="409"/>
      <c r="LVS219" s="409"/>
      <c r="LVT219" s="409"/>
      <c r="LVU219" s="409"/>
      <c r="LVV219" s="409"/>
      <c r="LVW219" s="409"/>
      <c r="LVX219" s="379"/>
      <c r="LVY219" s="379"/>
      <c r="LWC219" s="5"/>
      <c r="LWD219" s="5"/>
      <c r="LWE219" s="5"/>
      <c r="LWG219" s="5"/>
      <c r="LWI219" s="5"/>
      <c r="LWJ219" s="5"/>
      <c r="LWK219" s="5"/>
      <c r="LWL219" s="18"/>
      <c r="LWO219" s="409"/>
      <c r="LWP219" s="409"/>
      <c r="LWQ219" s="409"/>
      <c r="LWR219" s="409"/>
      <c r="LWS219" s="409"/>
      <c r="LWT219" s="409"/>
      <c r="LWU219" s="379"/>
      <c r="LWV219" s="379"/>
      <c r="LWZ219" s="5"/>
      <c r="LXA219" s="5"/>
      <c r="LXB219" s="5"/>
      <c r="LXD219" s="5"/>
      <c r="LXF219" s="5"/>
      <c r="LXG219" s="5"/>
      <c r="LXH219" s="5"/>
      <c r="LXI219" s="18"/>
      <c r="LXL219" s="409"/>
      <c r="LXM219" s="409"/>
      <c r="LXN219" s="409"/>
      <c r="LXO219" s="409"/>
      <c r="LXP219" s="409"/>
      <c r="LXQ219" s="409"/>
      <c r="LXR219" s="379"/>
      <c r="LXS219" s="379"/>
      <c r="LXW219" s="5"/>
      <c r="LXX219" s="5"/>
      <c r="LXY219" s="5"/>
      <c r="LYA219" s="5"/>
      <c r="LYC219" s="5"/>
      <c r="LYD219" s="5"/>
      <c r="LYE219" s="5"/>
      <c r="LYF219" s="18"/>
      <c r="LYI219" s="409"/>
      <c r="LYJ219" s="409"/>
      <c r="LYK219" s="409"/>
      <c r="LYL219" s="409"/>
      <c r="LYM219" s="409"/>
      <c r="LYN219" s="409"/>
      <c r="LYO219" s="379"/>
      <c r="LYP219" s="379"/>
      <c r="LYT219" s="5"/>
      <c r="LYU219" s="5"/>
      <c r="LYV219" s="5"/>
      <c r="LYX219" s="5"/>
      <c r="LYZ219" s="5"/>
      <c r="LZA219" s="5"/>
      <c r="LZB219" s="5"/>
      <c r="LZC219" s="18"/>
      <c r="LZF219" s="409"/>
      <c r="LZG219" s="409"/>
      <c r="LZH219" s="409"/>
      <c r="LZI219" s="409"/>
      <c r="LZJ219" s="409"/>
      <c r="LZK219" s="409"/>
      <c r="LZL219" s="379"/>
      <c r="LZM219" s="379"/>
      <c r="LZQ219" s="5"/>
      <c r="LZR219" s="5"/>
      <c r="LZS219" s="5"/>
      <c r="LZU219" s="5"/>
      <c r="LZW219" s="5"/>
      <c r="LZX219" s="5"/>
      <c r="LZY219" s="5"/>
      <c r="LZZ219" s="18"/>
      <c r="MAC219" s="409"/>
      <c r="MAD219" s="409"/>
      <c r="MAE219" s="409"/>
      <c r="MAF219" s="409"/>
      <c r="MAG219" s="409"/>
      <c r="MAH219" s="409"/>
      <c r="MAI219" s="379"/>
      <c r="MAJ219" s="379"/>
      <c r="MAN219" s="5"/>
      <c r="MAO219" s="5"/>
      <c r="MAP219" s="5"/>
      <c r="MAR219" s="5"/>
      <c r="MAT219" s="5"/>
      <c r="MAU219" s="5"/>
      <c r="MAV219" s="5"/>
      <c r="MAW219" s="18"/>
      <c r="MAZ219" s="409"/>
      <c r="MBA219" s="409"/>
      <c r="MBB219" s="409"/>
      <c r="MBC219" s="409"/>
      <c r="MBD219" s="409"/>
      <c r="MBE219" s="409"/>
      <c r="MBF219" s="379"/>
      <c r="MBG219" s="379"/>
      <c r="MBK219" s="5"/>
      <c r="MBL219" s="5"/>
      <c r="MBM219" s="5"/>
      <c r="MBO219" s="5"/>
      <c r="MBQ219" s="5"/>
      <c r="MBR219" s="5"/>
      <c r="MBS219" s="5"/>
      <c r="MBT219" s="18"/>
      <c r="MBW219" s="409"/>
      <c r="MBX219" s="409"/>
      <c r="MBY219" s="409"/>
      <c r="MBZ219" s="409"/>
      <c r="MCA219" s="409"/>
      <c r="MCB219" s="409"/>
      <c r="MCC219" s="379"/>
      <c r="MCD219" s="379"/>
      <c r="MCH219" s="5"/>
      <c r="MCI219" s="5"/>
      <c r="MCJ219" s="5"/>
      <c r="MCL219" s="5"/>
      <c r="MCN219" s="5"/>
      <c r="MCO219" s="5"/>
      <c r="MCP219" s="5"/>
      <c r="MCQ219" s="18"/>
      <c r="MCT219" s="409"/>
      <c r="MCU219" s="409"/>
      <c r="MCV219" s="409"/>
      <c r="MCW219" s="409"/>
      <c r="MCX219" s="409"/>
      <c r="MCY219" s="409"/>
      <c r="MCZ219" s="379"/>
      <c r="MDA219" s="379"/>
      <c r="MDE219" s="5"/>
      <c r="MDF219" s="5"/>
      <c r="MDG219" s="5"/>
      <c r="MDI219" s="5"/>
      <c r="MDK219" s="5"/>
      <c r="MDL219" s="5"/>
      <c r="MDM219" s="5"/>
      <c r="MDN219" s="18"/>
      <c r="MDQ219" s="409"/>
      <c r="MDR219" s="409"/>
      <c r="MDS219" s="409"/>
      <c r="MDT219" s="409"/>
      <c r="MDU219" s="409"/>
      <c r="MDV219" s="409"/>
      <c r="MDW219" s="379"/>
      <c r="MDX219" s="379"/>
      <c r="MEB219" s="5"/>
      <c r="MEC219" s="5"/>
      <c r="MED219" s="5"/>
      <c r="MEF219" s="5"/>
      <c r="MEH219" s="5"/>
      <c r="MEI219" s="5"/>
      <c r="MEJ219" s="5"/>
      <c r="MEK219" s="18"/>
      <c r="MEN219" s="409"/>
      <c r="MEO219" s="409"/>
      <c r="MEP219" s="409"/>
      <c r="MEQ219" s="409"/>
      <c r="MER219" s="409"/>
      <c r="MES219" s="409"/>
      <c r="MET219" s="379"/>
      <c r="MEU219" s="379"/>
      <c r="MEY219" s="5"/>
      <c r="MEZ219" s="5"/>
      <c r="MFA219" s="5"/>
      <c r="MFC219" s="5"/>
      <c r="MFE219" s="5"/>
      <c r="MFF219" s="5"/>
      <c r="MFG219" s="5"/>
      <c r="MFH219" s="18"/>
      <c r="MFK219" s="409"/>
      <c r="MFL219" s="409"/>
      <c r="MFM219" s="409"/>
      <c r="MFN219" s="409"/>
      <c r="MFO219" s="409"/>
      <c r="MFP219" s="409"/>
      <c r="MFQ219" s="379"/>
      <c r="MFR219" s="379"/>
      <c r="MFV219" s="5"/>
      <c r="MFW219" s="5"/>
      <c r="MFX219" s="5"/>
      <c r="MFZ219" s="5"/>
      <c r="MGB219" s="5"/>
      <c r="MGC219" s="5"/>
      <c r="MGD219" s="5"/>
      <c r="MGE219" s="18"/>
      <c r="MGH219" s="409"/>
      <c r="MGI219" s="409"/>
      <c r="MGJ219" s="409"/>
      <c r="MGK219" s="409"/>
      <c r="MGL219" s="409"/>
      <c r="MGM219" s="409"/>
      <c r="MGN219" s="379"/>
      <c r="MGO219" s="379"/>
      <c r="MGS219" s="5"/>
      <c r="MGT219" s="5"/>
      <c r="MGU219" s="5"/>
      <c r="MGW219" s="5"/>
      <c r="MGY219" s="5"/>
      <c r="MGZ219" s="5"/>
      <c r="MHA219" s="5"/>
      <c r="MHB219" s="18"/>
      <c r="MHE219" s="409"/>
      <c r="MHF219" s="409"/>
      <c r="MHG219" s="409"/>
      <c r="MHH219" s="409"/>
      <c r="MHI219" s="409"/>
      <c r="MHJ219" s="409"/>
      <c r="MHK219" s="379"/>
      <c r="MHL219" s="379"/>
      <c r="MHP219" s="5"/>
      <c r="MHQ219" s="5"/>
      <c r="MHR219" s="5"/>
      <c r="MHT219" s="5"/>
      <c r="MHV219" s="5"/>
      <c r="MHW219" s="5"/>
      <c r="MHX219" s="5"/>
      <c r="MHY219" s="18"/>
      <c r="MIB219" s="409"/>
      <c r="MIC219" s="409"/>
      <c r="MID219" s="409"/>
      <c r="MIE219" s="409"/>
      <c r="MIF219" s="409"/>
      <c r="MIG219" s="409"/>
      <c r="MIH219" s="379"/>
      <c r="MII219" s="379"/>
      <c r="MIM219" s="5"/>
      <c r="MIN219" s="5"/>
      <c r="MIO219" s="5"/>
      <c r="MIQ219" s="5"/>
      <c r="MIS219" s="5"/>
      <c r="MIT219" s="5"/>
      <c r="MIU219" s="5"/>
      <c r="MIV219" s="18"/>
      <c r="MIY219" s="409"/>
      <c r="MIZ219" s="409"/>
      <c r="MJA219" s="409"/>
      <c r="MJB219" s="409"/>
      <c r="MJC219" s="409"/>
      <c r="MJD219" s="409"/>
      <c r="MJE219" s="379"/>
      <c r="MJF219" s="379"/>
      <c r="MJJ219" s="5"/>
      <c r="MJK219" s="5"/>
      <c r="MJL219" s="5"/>
      <c r="MJN219" s="5"/>
      <c r="MJP219" s="5"/>
      <c r="MJQ219" s="5"/>
      <c r="MJR219" s="5"/>
      <c r="MJS219" s="18"/>
      <c r="MJV219" s="409"/>
      <c r="MJW219" s="409"/>
      <c r="MJX219" s="409"/>
      <c r="MJY219" s="409"/>
      <c r="MJZ219" s="409"/>
      <c r="MKA219" s="409"/>
      <c r="MKB219" s="379"/>
      <c r="MKC219" s="379"/>
      <c r="MKG219" s="5"/>
      <c r="MKH219" s="5"/>
      <c r="MKI219" s="5"/>
      <c r="MKK219" s="5"/>
      <c r="MKM219" s="5"/>
      <c r="MKN219" s="5"/>
      <c r="MKO219" s="5"/>
      <c r="MKP219" s="18"/>
      <c r="MKS219" s="409"/>
      <c r="MKT219" s="409"/>
      <c r="MKU219" s="409"/>
      <c r="MKV219" s="409"/>
      <c r="MKW219" s="409"/>
      <c r="MKX219" s="409"/>
      <c r="MKY219" s="379"/>
      <c r="MKZ219" s="379"/>
      <c r="MLD219" s="5"/>
      <c r="MLE219" s="5"/>
      <c r="MLF219" s="5"/>
      <c r="MLH219" s="5"/>
      <c r="MLJ219" s="5"/>
      <c r="MLK219" s="5"/>
      <c r="MLL219" s="5"/>
      <c r="MLM219" s="18"/>
      <c r="MLP219" s="409"/>
      <c r="MLQ219" s="409"/>
      <c r="MLR219" s="409"/>
      <c r="MLS219" s="409"/>
      <c r="MLT219" s="409"/>
      <c r="MLU219" s="409"/>
      <c r="MLV219" s="379"/>
      <c r="MLW219" s="379"/>
      <c r="MMA219" s="5"/>
      <c r="MMB219" s="5"/>
      <c r="MMC219" s="5"/>
      <c r="MME219" s="5"/>
      <c r="MMG219" s="5"/>
      <c r="MMH219" s="5"/>
      <c r="MMI219" s="5"/>
      <c r="MMJ219" s="18"/>
      <c r="MMM219" s="409"/>
      <c r="MMN219" s="409"/>
      <c r="MMO219" s="409"/>
      <c r="MMP219" s="409"/>
      <c r="MMQ219" s="409"/>
      <c r="MMR219" s="409"/>
      <c r="MMS219" s="379"/>
      <c r="MMT219" s="379"/>
      <c r="MMX219" s="5"/>
      <c r="MMY219" s="5"/>
      <c r="MMZ219" s="5"/>
      <c r="MNB219" s="5"/>
      <c r="MND219" s="5"/>
      <c r="MNE219" s="5"/>
      <c r="MNF219" s="5"/>
      <c r="MNG219" s="18"/>
      <c r="MNJ219" s="409"/>
      <c r="MNK219" s="409"/>
      <c r="MNL219" s="409"/>
      <c r="MNM219" s="409"/>
      <c r="MNN219" s="409"/>
      <c r="MNO219" s="409"/>
      <c r="MNP219" s="379"/>
      <c r="MNQ219" s="379"/>
      <c r="MNU219" s="5"/>
      <c r="MNV219" s="5"/>
      <c r="MNW219" s="5"/>
      <c r="MNY219" s="5"/>
      <c r="MOA219" s="5"/>
      <c r="MOB219" s="5"/>
      <c r="MOC219" s="5"/>
      <c r="MOD219" s="18"/>
      <c r="MOG219" s="409"/>
      <c r="MOH219" s="409"/>
      <c r="MOI219" s="409"/>
      <c r="MOJ219" s="409"/>
      <c r="MOK219" s="409"/>
      <c r="MOL219" s="409"/>
      <c r="MOM219" s="379"/>
      <c r="MON219" s="379"/>
      <c r="MOR219" s="5"/>
      <c r="MOS219" s="5"/>
      <c r="MOT219" s="5"/>
      <c r="MOV219" s="5"/>
      <c r="MOX219" s="5"/>
      <c r="MOY219" s="5"/>
      <c r="MOZ219" s="5"/>
      <c r="MPA219" s="18"/>
      <c r="MPD219" s="409"/>
      <c r="MPE219" s="409"/>
      <c r="MPF219" s="409"/>
      <c r="MPG219" s="409"/>
      <c r="MPH219" s="409"/>
      <c r="MPI219" s="409"/>
      <c r="MPJ219" s="379"/>
      <c r="MPK219" s="379"/>
      <c r="MPO219" s="5"/>
      <c r="MPP219" s="5"/>
      <c r="MPQ219" s="5"/>
      <c r="MPS219" s="5"/>
      <c r="MPU219" s="5"/>
      <c r="MPV219" s="5"/>
      <c r="MPW219" s="5"/>
      <c r="MPX219" s="18"/>
      <c r="MQA219" s="409"/>
      <c r="MQB219" s="409"/>
      <c r="MQC219" s="409"/>
      <c r="MQD219" s="409"/>
      <c r="MQE219" s="409"/>
      <c r="MQF219" s="409"/>
      <c r="MQG219" s="379"/>
      <c r="MQH219" s="379"/>
      <c r="MQL219" s="5"/>
      <c r="MQM219" s="5"/>
      <c r="MQN219" s="5"/>
      <c r="MQP219" s="5"/>
      <c r="MQR219" s="5"/>
      <c r="MQS219" s="5"/>
      <c r="MQT219" s="5"/>
      <c r="MQU219" s="18"/>
      <c r="MQX219" s="409"/>
      <c r="MQY219" s="409"/>
      <c r="MQZ219" s="409"/>
      <c r="MRA219" s="409"/>
      <c r="MRB219" s="409"/>
      <c r="MRC219" s="409"/>
      <c r="MRD219" s="379"/>
      <c r="MRE219" s="379"/>
      <c r="MRI219" s="5"/>
      <c r="MRJ219" s="5"/>
      <c r="MRK219" s="5"/>
      <c r="MRM219" s="5"/>
      <c r="MRO219" s="5"/>
      <c r="MRP219" s="5"/>
      <c r="MRQ219" s="5"/>
      <c r="MRR219" s="18"/>
      <c r="MRU219" s="409"/>
      <c r="MRV219" s="409"/>
      <c r="MRW219" s="409"/>
      <c r="MRX219" s="409"/>
      <c r="MRY219" s="409"/>
      <c r="MRZ219" s="409"/>
      <c r="MSA219" s="379"/>
      <c r="MSB219" s="379"/>
      <c r="MSF219" s="5"/>
      <c r="MSG219" s="5"/>
      <c r="MSH219" s="5"/>
      <c r="MSJ219" s="5"/>
      <c r="MSL219" s="5"/>
      <c r="MSM219" s="5"/>
      <c r="MSN219" s="5"/>
      <c r="MSO219" s="18"/>
      <c r="MSR219" s="409"/>
      <c r="MSS219" s="409"/>
      <c r="MST219" s="409"/>
      <c r="MSU219" s="409"/>
      <c r="MSV219" s="409"/>
      <c r="MSW219" s="409"/>
      <c r="MSX219" s="379"/>
      <c r="MSY219" s="379"/>
      <c r="MTC219" s="5"/>
      <c r="MTD219" s="5"/>
      <c r="MTE219" s="5"/>
      <c r="MTG219" s="5"/>
      <c r="MTI219" s="5"/>
      <c r="MTJ219" s="5"/>
      <c r="MTK219" s="5"/>
      <c r="MTL219" s="18"/>
      <c r="MTO219" s="409"/>
      <c r="MTP219" s="409"/>
      <c r="MTQ219" s="409"/>
      <c r="MTR219" s="409"/>
      <c r="MTS219" s="409"/>
      <c r="MTT219" s="409"/>
      <c r="MTU219" s="379"/>
      <c r="MTV219" s="379"/>
      <c r="MTZ219" s="5"/>
      <c r="MUA219" s="5"/>
      <c r="MUB219" s="5"/>
      <c r="MUD219" s="5"/>
      <c r="MUF219" s="5"/>
      <c r="MUG219" s="5"/>
      <c r="MUH219" s="5"/>
      <c r="MUI219" s="18"/>
      <c r="MUL219" s="409"/>
      <c r="MUM219" s="409"/>
      <c r="MUN219" s="409"/>
      <c r="MUO219" s="409"/>
      <c r="MUP219" s="409"/>
      <c r="MUQ219" s="409"/>
      <c r="MUR219" s="379"/>
      <c r="MUS219" s="379"/>
      <c r="MUW219" s="5"/>
      <c r="MUX219" s="5"/>
      <c r="MUY219" s="5"/>
      <c r="MVA219" s="5"/>
      <c r="MVC219" s="5"/>
      <c r="MVD219" s="5"/>
      <c r="MVE219" s="5"/>
      <c r="MVF219" s="18"/>
      <c r="MVI219" s="409"/>
      <c r="MVJ219" s="409"/>
      <c r="MVK219" s="409"/>
      <c r="MVL219" s="409"/>
      <c r="MVM219" s="409"/>
      <c r="MVN219" s="409"/>
      <c r="MVO219" s="379"/>
      <c r="MVP219" s="379"/>
      <c r="MVT219" s="5"/>
      <c r="MVU219" s="5"/>
      <c r="MVV219" s="5"/>
      <c r="MVX219" s="5"/>
      <c r="MVZ219" s="5"/>
      <c r="MWA219" s="5"/>
      <c r="MWB219" s="5"/>
      <c r="MWC219" s="18"/>
      <c r="MWF219" s="409"/>
      <c r="MWG219" s="409"/>
      <c r="MWH219" s="409"/>
      <c r="MWI219" s="409"/>
      <c r="MWJ219" s="409"/>
      <c r="MWK219" s="409"/>
      <c r="MWL219" s="379"/>
      <c r="MWM219" s="379"/>
      <c r="MWQ219" s="5"/>
      <c r="MWR219" s="5"/>
      <c r="MWS219" s="5"/>
      <c r="MWU219" s="5"/>
      <c r="MWW219" s="5"/>
      <c r="MWX219" s="5"/>
      <c r="MWY219" s="5"/>
      <c r="MWZ219" s="18"/>
      <c r="MXC219" s="409"/>
      <c r="MXD219" s="409"/>
      <c r="MXE219" s="409"/>
      <c r="MXF219" s="409"/>
      <c r="MXG219" s="409"/>
      <c r="MXH219" s="409"/>
      <c r="MXI219" s="379"/>
      <c r="MXJ219" s="379"/>
      <c r="MXN219" s="5"/>
      <c r="MXO219" s="5"/>
      <c r="MXP219" s="5"/>
      <c r="MXR219" s="5"/>
      <c r="MXT219" s="5"/>
      <c r="MXU219" s="5"/>
      <c r="MXV219" s="5"/>
      <c r="MXW219" s="18"/>
      <c r="MXZ219" s="409"/>
      <c r="MYA219" s="409"/>
      <c r="MYB219" s="409"/>
      <c r="MYC219" s="409"/>
      <c r="MYD219" s="409"/>
      <c r="MYE219" s="409"/>
      <c r="MYF219" s="379"/>
      <c r="MYG219" s="379"/>
      <c r="MYK219" s="5"/>
      <c r="MYL219" s="5"/>
      <c r="MYM219" s="5"/>
      <c r="MYO219" s="5"/>
      <c r="MYQ219" s="5"/>
      <c r="MYR219" s="5"/>
      <c r="MYS219" s="5"/>
      <c r="MYT219" s="18"/>
      <c r="MYW219" s="409"/>
      <c r="MYX219" s="409"/>
      <c r="MYY219" s="409"/>
      <c r="MYZ219" s="409"/>
      <c r="MZA219" s="409"/>
      <c r="MZB219" s="409"/>
      <c r="MZC219" s="379"/>
      <c r="MZD219" s="379"/>
      <c r="MZH219" s="5"/>
      <c r="MZI219" s="5"/>
      <c r="MZJ219" s="5"/>
      <c r="MZL219" s="5"/>
      <c r="MZN219" s="5"/>
      <c r="MZO219" s="5"/>
      <c r="MZP219" s="5"/>
      <c r="MZQ219" s="18"/>
      <c r="MZT219" s="409"/>
      <c r="MZU219" s="409"/>
      <c r="MZV219" s="409"/>
      <c r="MZW219" s="409"/>
      <c r="MZX219" s="409"/>
      <c r="MZY219" s="409"/>
      <c r="MZZ219" s="379"/>
      <c r="NAA219" s="379"/>
      <c r="NAE219" s="5"/>
      <c r="NAF219" s="5"/>
      <c r="NAG219" s="5"/>
      <c r="NAI219" s="5"/>
      <c r="NAK219" s="5"/>
      <c r="NAL219" s="5"/>
      <c r="NAM219" s="5"/>
      <c r="NAN219" s="18"/>
      <c r="NAQ219" s="409"/>
      <c r="NAR219" s="409"/>
      <c r="NAS219" s="409"/>
      <c r="NAT219" s="409"/>
      <c r="NAU219" s="409"/>
      <c r="NAV219" s="409"/>
      <c r="NAW219" s="379"/>
      <c r="NAX219" s="379"/>
      <c r="NBB219" s="5"/>
      <c r="NBC219" s="5"/>
      <c r="NBD219" s="5"/>
      <c r="NBF219" s="5"/>
      <c r="NBH219" s="5"/>
      <c r="NBI219" s="5"/>
      <c r="NBJ219" s="5"/>
      <c r="NBK219" s="18"/>
      <c r="NBN219" s="409"/>
      <c r="NBO219" s="409"/>
      <c r="NBP219" s="409"/>
      <c r="NBQ219" s="409"/>
      <c r="NBR219" s="409"/>
      <c r="NBS219" s="409"/>
      <c r="NBT219" s="379"/>
      <c r="NBU219" s="379"/>
      <c r="NBY219" s="5"/>
      <c r="NBZ219" s="5"/>
      <c r="NCA219" s="5"/>
      <c r="NCC219" s="5"/>
      <c r="NCE219" s="5"/>
      <c r="NCF219" s="5"/>
      <c r="NCG219" s="5"/>
      <c r="NCH219" s="18"/>
      <c r="NCK219" s="409"/>
      <c r="NCL219" s="409"/>
      <c r="NCM219" s="409"/>
      <c r="NCN219" s="409"/>
      <c r="NCO219" s="409"/>
      <c r="NCP219" s="409"/>
      <c r="NCQ219" s="379"/>
      <c r="NCR219" s="379"/>
      <c r="NCV219" s="5"/>
      <c r="NCW219" s="5"/>
      <c r="NCX219" s="5"/>
      <c r="NCZ219" s="5"/>
      <c r="NDB219" s="5"/>
      <c r="NDC219" s="5"/>
      <c r="NDD219" s="5"/>
      <c r="NDE219" s="18"/>
      <c r="NDH219" s="409"/>
      <c r="NDI219" s="409"/>
      <c r="NDJ219" s="409"/>
      <c r="NDK219" s="409"/>
      <c r="NDL219" s="409"/>
      <c r="NDM219" s="409"/>
      <c r="NDN219" s="379"/>
      <c r="NDO219" s="379"/>
      <c r="NDS219" s="5"/>
      <c r="NDT219" s="5"/>
      <c r="NDU219" s="5"/>
      <c r="NDW219" s="5"/>
      <c r="NDY219" s="5"/>
      <c r="NDZ219" s="5"/>
      <c r="NEA219" s="5"/>
      <c r="NEB219" s="18"/>
      <c r="NEE219" s="409"/>
      <c r="NEF219" s="409"/>
      <c r="NEG219" s="409"/>
      <c r="NEH219" s="409"/>
      <c r="NEI219" s="409"/>
      <c r="NEJ219" s="409"/>
      <c r="NEK219" s="379"/>
      <c r="NEL219" s="379"/>
      <c r="NEP219" s="5"/>
      <c r="NEQ219" s="5"/>
      <c r="NER219" s="5"/>
      <c r="NET219" s="5"/>
      <c r="NEV219" s="5"/>
      <c r="NEW219" s="5"/>
      <c r="NEX219" s="5"/>
      <c r="NEY219" s="18"/>
      <c r="NFB219" s="409"/>
      <c r="NFC219" s="409"/>
      <c r="NFD219" s="409"/>
      <c r="NFE219" s="409"/>
      <c r="NFF219" s="409"/>
      <c r="NFG219" s="409"/>
      <c r="NFH219" s="379"/>
      <c r="NFI219" s="379"/>
      <c r="NFM219" s="5"/>
      <c r="NFN219" s="5"/>
      <c r="NFO219" s="5"/>
      <c r="NFQ219" s="5"/>
      <c r="NFS219" s="5"/>
      <c r="NFT219" s="5"/>
      <c r="NFU219" s="5"/>
      <c r="NFV219" s="18"/>
      <c r="NFY219" s="409"/>
      <c r="NFZ219" s="409"/>
      <c r="NGA219" s="409"/>
      <c r="NGB219" s="409"/>
      <c r="NGC219" s="409"/>
      <c r="NGD219" s="409"/>
      <c r="NGE219" s="379"/>
      <c r="NGF219" s="379"/>
      <c r="NGJ219" s="5"/>
      <c r="NGK219" s="5"/>
      <c r="NGL219" s="5"/>
      <c r="NGN219" s="5"/>
      <c r="NGP219" s="5"/>
      <c r="NGQ219" s="5"/>
      <c r="NGR219" s="5"/>
      <c r="NGS219" s="18"/>
      <c r="NGV219" s="409"/>
      <c r="NGW219" s="409"/>
      <c r="NGX219" s="409"/>
      <c r="NGY219" s="409"/>
      <c r="NGZ219" s="409"/>
      <c r="NHA219" s="409"/>
      <c r="NHB219" s="379"/>
      <c r="NHC219" s="379"/>
      <c r="NHG219" s="5"/>
      <c r="NHH219" s="5"/>
      <c r="NHI219" s="5"/>
      <c r="NHK219" s="5"/>
      <c r="NHM219" s="5"/>
      <c r="NHN219" s="5"/>
      <c r="NHO219" s="5"/>
      <c r="NHP219" s="18"/>
      <c r="NHS219" s="409"/>
      <c r="NHT219" s="409"/>
      <c r="NHU219" s="409"/>
      <c r="NHV219" s="409"/>
      <c r="NHW219" s="409"/>
      <c r="NHX219" s="409"/>
      <c r="NHY219" s="379"/>
      <c r="NHZ219" s="379"/>
      <c r="NID219" s="5"/>
      <c r="NIE219" s="5"/>
      <c r="NIF219" s="5"/>
      <c r="NIH219" s="5"/>
      <c r="NIJ219" s="5"/>
      <c r="NIK219" s="5"/>
      <c r="NIL219" s="5"/>
      <c r="NIM219" s="18"/>
      <c r="NIP219" s="409"/>
      <c r="NIQ219" s="409"/>
      <c r="NIR219" s="409"/>
      <c r="NIS219" s="409"/>
      <c r="NIT219" s="409"/>
      <c r="NIU219" s="409"/>
      <c r="NIV219" s="379"/>
      <c r="NIW219" s="379"/>
      <c r="NJA219" s="5"/>
      <c r="NJB219" s="5"/>
      <c r="NJC219" s="5"/>
      <c r="NJE219" s="5"/>
      <c r="NJG219" s="5"/>
      <c r="NJH219" s="5"/>
      <c r="NJI219" s="5"/>
      <c r="NJJ219" s="18"/>
      <c r="NJM219" s="409"/>
      <c r="NJN219" s="409"/>
      <c r="NJO219" s="409"/>
      <c r="NJP219" s="409"/>
      <c r="NJQ219" s="409"/>
      <c r="NJR219" s="409"/>
      <c r="NJS219" s="379"/>
      <c r="NJT219" s="379"/>
      <c r="NJX219" s="5"/>
      <c r="NJY219" s="5"/>
      <c r="NJZ219" s="5"/>
      <c r="NKB219" s="5"/>
      <c r="NKD219" s="5"/>
      <c r="NKE219" s="5"/>
      <c r="NKF219" s="5"/>
      <c r="NKG219" s="18"/>
      <c r="NKJ219" s="409"/>
      <c r="NKK219" s="409"/>
      <c r="NKL219" s="409"/>
      <c r="NKM219" s="409"/>
      <c r="NKN219" s="409"/>
      <c r="NKO219" s="409"/>
      <c r="NKP219" s="379"/>
      <c r="NKQ219" s="379"/>
      <c r="NKU219" s="5"/>
      <c r="NKV219" s="5"/>
      <c r="NKW219" s="5"/>
      <c r="NKY219" s="5"/>
      <c r="NLA219" s="5"/>
      <c r="NLB219" s="5"/>
      <c r="NLC219" s="5"/>
      <c r="NLD219" s="18"/>
      <c r="NLG219" s="409"/>
      <c r="NLH219" s="409"/>
      <c r="NLI219" s="409"/>
      <c r="NLJ219" s="409"/>
      <c r="NLK219" s="409"/>
      <c r="NLL219" s="409"/>
      <c r="NLM219" s="379"/>
      <c r="NLN219" s="379"/>
      <c r="NLR219" s="5"/>
      <c r="NLS219" s="5"/>
      <c r="NLT219" s="5"/>
      <c r="NLV219" s="5"/>
      <c r="NLX219" s="5"/>
      <c r="NLY219" s="5"/>
      <c r="NLZ219" s="5"/>
      <c r="NMA219" s="18"/>
      <c r="NMD219" s="409"/>
      <c r="NME219" s="409"/>
      <c r="NMF219" s="409"/>
      <c r="NMG219" s="409"/>
      <c r="NMH219" s="409"/>
      <c r="NMI219" s="409"/>
      <c r="NMJ219" s="379"/>
      <c r="NMK219" s="379"/>
      <c r="NMO219" s="5"/>
      <c r="NMP219" s="5"/>
      <c r="NMQ219" s="5"/>
      <c r="NMS219" s="5"/>
      <c r="NMU219" s="5"/>
      <c r="NMV219" s="5"/>
      <c r="NMW219" s="5"/>
      <c r="NMX219" s="18"/>
      <c r="NNA219" s="409"/>
      <c r="NNB219" s="409"/>
      <c r="NNC219" s="409"/>
      <c r="NND219" s="409"/>
      <c r="NNE219" s="409"/>
      <c r="NNF219" s="409"/>
      <c r="NNG219" s="379"/>
      <c r="NNH219" s="379"/>
      <c r="NNL219" s="5"/>
      <c r="NNM219" s="5"/>
      <c r="NNN219" s="5"/>
      <c r="NNP219" s="5"/>
      <c r="NNR219" s="5"/>
      <c r="NNS219" s="5"/>
      <c r="NNT219" s="5"/>
      <c r="NNU219" s="18"/>
      <c r="NNX219" s="409"/>
      <c r="NNY219" s="409"/>
      <c r="NNZ219" s="409"/>
      <c r="NOA219" s="409"/>
      <c r="NOB219" s="409"/>
      <c r="NOC219" s="409"/>
      <c r="NOD219" s="379"/>
      <c r="NOE219" s="379"/>
      <c r="NOI219" s="5"/>
      <c r="NOJ219" s="5"/>
      <c r="NOK219" s="5"/>
      <c r="NOM219" s="5"/>
      <c r="NOO219" s="5"/>
      <c r="NOP219" s="5"/>
      <c r="NOQ219" s="5"/>
      <c r="NOR219" s="18"/>
      <c r="NOU219" s="409"/>
      <c r="NOV219" s="409"/>
      <c r="NOW219" s="409"/>
      <c r="NOX219" s="409"/>
      <c r="NOY219" s="409"/>
      <c r="NOZ219" s="409"/>
      <c r="NPA219" s="379"/>
      <c r="NPB219" s="379"/>
      <c r="NPF219" s="5"/>
      <c r="NPG219" s="5"/>
      <c r="NPH219" s="5"/>
      <c r="NPJ219" s="5"/>
      <c r="NPL219" s="5"/>
      <c r="NPM219" s="5"/>
      <c r="NPN219" s="5"/>
      <c r="NPO219" s="18"/>
      <c r="NPR219" s="409"/>
      <c r="NPS219" s="409"/>
      <c r="NPT219" s="409"/>
      <c r="NPU219" s="409"/>
      <c r="NPV219" s="409"/>
      <c r="NPW219" s="409"/>
      <c r="NPX219" s="379"/>
      <c r="NPY219" s="379"/>
      <c r="NQC219" s="5"/>
      <c r="NQD219" s="5"/>
      <c r="NQE219" s="5"/>
      <c r="NQG219" s="5"/>
      <c r="NQI219" s="5"/>
      <c r="NQJ219" s="5"/>
      <c r="NQK219" s="5"/>
      <c r="NQL219" s="18"/>
      <c r="NQO219" s="409"/>
      <c r="NQP219" s="409"/>
      <c r="NQQ219" s="409"/>
      <c r="NQR219" s="409"/>
      <c r="NQS219" s="409"/>
      <c r="NQT219" s="409"/>
      <c r="NQU219" s="379"/>
      <c r="NQV219" s="379"/>
      <c r="NQZ219" s="5"/>
      <c r="NRA219" s="5"/>
      <c r="NRB219" s="5"/>
      <c r="NRD219" s="5"/>
      <c r="NRF219" s="5"/>
      <c r="NRG219" s="5"/>
      <c r="NRH219" s="5"/>
      <c r="NRI219" s="18"/>
      <c r="NRL219" s="409"/>
      <c r="NRM219" s="409"/>
      <c r="NRN219" s="409"/>
      <c r="NRO219" s="409"/>
      <c r="NRP219" s="409"/>
      <c r="NRQ219" s="409"/>
      <c r="NRR219" s="379"/>
      <c r="NRS219" s="379"/>
      <c r="NRW219" s="5"/>
      <c r="NRX219" s="5"/>
      <c r="NRY219" s="5"/>
      <c r="NSA219" s="5"/>
      <c r="NSC219" s="5"/>
      <c r="NSD219" s="5"/>
      <c r="NSE219" s="5"/>
      <c r="NSF219" s="18"/>
      <c r="NSI219" s="409"/>
      <c r="NSJ219" s="409"/>
      <c r="NSK219" s="409"/>
      <c r="NSL219" s="409"/>
      <c r="NSM219" s="409"/>
      <c r="NSN219" s="409"/>
      <c r="NSO219" s="379"/>
      <c r="NSP219" s="379"/>
      <c r="NST219" s="5"/>
      <c r="NSU219" s="5"/>
      <c r="NSV219" s="5"/>
      <c r="NSX219" s="5"/>
      <c r="NSZ219" s="5"/>
      <c r="NTA219" s="5"/>
      <c r="NTB219" s="5"/>
      <c r="NTC219" s="18"/>
      <c r="NTF219" s="409"/>
      <c r="NTG219" s="409"/>
      <c r="NTH219" s="409"/>
      <c r="NTI219" s="409"/>
      <c r="NTJ219" s="409"/>
      <c r="NTK219" s="409"/>
      <c r="NTL219" s="379"/>
      <c r="NTM219" s="379"/>
      <c r="NTQ219" s="5"/>
      <c r="NTR219" s="5"/>
      <c r="NTS219" s="5"/>
      <c r="NTU219" s="5"/>
      <c r="NTW219" s="5"/>
      <c r="NTX219" s="5"/>
      <c r="NTY219" s="5"/>
      <c r="NTZ219" s="18"/>
      <c r="NUC219" s="409"/>
      <c r="NUD219" s="409"/>
      <c r="NUE219" s="409"/>
      <c r="NUF219" s="409"/>
      <c r="NUG219" s="409"/>
      <c r="NUH219" s="409"/>
      <c r="NUI219" s="379"/>
      <c r="NUJ219" s="379"/>
      <c r="NUN219" s="5"/>
      <c r="NUO219" s="5"/>
      <c r="NUP219" s="5"/>
      <c r="NUR219" s="5"/>
      <c r="NUT219" s="5"/>
      <c r="NUU219" s="5"/>
      <c r="NUV219" s="5"/>
      <c r="NUW219" s="18"/>
      <c r="NUZ219" s="409"/>
      <c r="NVA219" s="409"/>
      <c r="NVB219" s="409"/>
      <c r="NVC219" s="409"/>
      <c r="NVD219" s="409"/>
      <c r="NVE219" s="409"/>
      <c r="NVF219" s="379"/>
      <c r="NVG219" s="379"/>
      <c r="NVK219" s="5"/>
      <c r="NVL219" s="5"/>
      <c r="NVM219" s="5"/>
      <c r="NVO219" s="5"/>
      <c r="NVQ219" s="5"/>
      <c r="NVR219" s="5"/>
      <c r="NVS219" s="5"/>
      <c r="NVT219" s="18"/>
      <c r="NVW219" s="409"/>
      <c r="NVX219" s="409"/>
      <c r="NVY219" s="409"/>
      <c r="NVZ219" s="409"/>
      <c r="NWA219" s="409"/>
      <c r="NWB219" s="409"/>
      <c r="NWC219" s="379"/>
      <c r="NWD219" s="379"/>
      <c r="NWH219" s="5"/>
      <c r="NWI219" s="5"/>
      <c r="NWJ219" s="5"/>
      <c r="NWL219" s="5"/>
      <c r="NWN219" s="5"/>
      <c r="NWO219" s="5"/>
      <c r="NWP219" s="5"/>
      <c r="NWQ219" s="18"/>
      <c r="NWT219" s="409"/>
      <c r="NWU219" s="409"/>
      <c r="NWV219" s="409"/>
      <c r="NWW219" s="409"/>
      <c r="NWX219" s="409"/>
      <c r="NWY219" s="409"/>
      <c r="NWZ219" s="379"/>
      <c r="NXA219" s="379"/>
      <c r="NXE219" s="5"/>
      <c r="NXF219" s="5"/>
      <c r="NXG219" s="5"/>
      <c r="NXI219" s="5"/>
      <c r="NXK219" s="5"/>
      <c r="NXL219" s="5"/>
      <c r="NXM219" s="5"/>
      <c r="NXN219" s="18"/>
      <c r="NXQ219" s="409"/>
      <c r="NXR219" s="409"/>
      <c r="NXS219" s="409"/>
      <c r="NXT219" s="409"/>
      <c r="NXU219" s="409"/>
      <c r="NXV219" s="409"/>
      <c r="NXW219" s="379"/>
      <c r="NXX219" s="379"/>
      <c r="NYB219" s="5"/>
      <c r="NYC219" s="5"/>
      <c r="NYD219" s="5"/>
      <c r="NYF219" s="5"/>
      <c r="NYH219" s="5"/>
      <c r="NYI219" s="5"/>
      <c r="NYJ219" s="5"/>
      <c r="NYK219" s="18"/>
      <c r="NYN219" s="409"/>
      <c r="NYO219" s="409"/>
      <c r="NYP219" s="409"/>
      <c r="NYQ219" s="409"/>
      <c r="NYR219" s="409"/>
      <c r="NYS219" s="409"/>
      <c r="NYT219" s="379"/>
      <c r="NYU219" s="379"/>
      <c r="NYY219" s="5"/>
      <c r="NYZ219" s="5"/>
      <c r="NZA219" s="5"/>
      <c r="NZC219" s="5"/>
      <c r="NZE219" s="5"/>
      <c r="NZF219" s="5"/>
      <c r="NZG219" s="5"/>
      <c r="NZH219" s="18"/>
      <c r="NZK219" s="409"/>
      <c r="NZL219" s="409"/>
      <c r="NZM219" s="409"/>
      <c r="NZN219" s="409"/>
      <c r="NZO219" s="409"/>
      <c r="NZP219" s="409"/>
      <c r="NZQ219" s="379"/>
      <c r="NZR219" s="379"/>
      <c r="NZV219" s="5"/>
      <c r="NZW219" s="5"/>
      <c r="NZX219" s="5"/>
      <c r="NZZ219" s="5"/>
      <c r="OAB219" s="5"/>
      <c r="OAC219" s="5"/>
      <c r="OAD219" s="5"/>
      <c r="OAE219" s="18"/>
      <c r="OAH219" s="409"/>
      <c r="OAI219" s="409"/>
      <c r="OAJ219" s="409"/>
      <c r="OAK219" s="409"/>
      <c r="OAL219" s="409"/>
      <c r="OAM219" s="409"/>
      <c r="OAN219" s="379"/>
      <c r="OAO219" s="379"/>
      <c r="OAS219" s="5"/>
      <c r="OAT219" s="5"/>
      <c r="OAU219" s="5"/>
      <c r="OAW219" s="5"/>
      <c r="OAY219" s="5"/>
      <c r="OAZ219" s="5"/>
      <c r="OBA219" s="5"/>
      <c r="OBB219" s="18"/>
      <c r="OBE219" s="409"/>
      <c r="OBF219" s="409"/>
      <c r="OBG219" s="409"/>
      <c r="OBH219" s="409"/>
      <c r="OBI219" s="409"/>
      <c r="OBJ219" s="409"/>
      <c r="OBK219" s="379"/>
      <c r="OBL219" s="379"/>
      <c r="OBP219" s="5"/>
      <c r="OBQ219" s="5"/>
      <c r="OBR219" s="5"/>
      <c r="OBT219" s="5"/>
      <c r="OBV219" s="5"/>
      <c r="OBW219" s="5"/>
      <c r="OBX219" s="5"/>
      <c r="OBY219" s="18"/>
      <c r="OCB219" s="409"/>
      <c r="OCC219" s="409"/>
      <c r="OCD219" s="409"/>
      <c r="OCE219" s="409"/>
      <c r="OCF219" s="409"/>
      <c r="OCG219" s="409"/>
      <c r="OCH219" s="379"/>
      <c r="OCI219" s="379"/>
      <c r="OCM219" s="5"/>
      <c r="OCN219" s="5"/>
      <c r="OCO219" s="5"/>
      <c r="OCQ219" s="5"/>
      <c r="OCS219" s="5"/>
      <c r="OCT219" s="5"/>
      <c r="OCU219" s="5"/>
      <c r="OCV219" s="18"/>
      <c r="OCY219" s="409"/>
      <c r="OCZ219" s="409"/>
      <c r="ODA219" s="409"/>
      <c r="ODB219" s="409"/>
      <c r="ODC219" s="409"/>
      <c r="ODD219" s="409"/>
      <c r="ODE219" s="379"/>
      <c r="ODF219" s="379"/>
      <c r="ODJ219" s="5"/>
      <c r="ODK219" s="5"/>
      <c r="ODL219" s="5"/>
      <c r="ODN219" s="5"/>
      <c r="ODP219" s="5"/>
      <c r="ODQ219" s="5"/>
      <c r="ODR219" s="5"/>
      <c r="ODS219" s="18"/>
      <c r="ODV219" s="409"/>
      <c r="ODW219" s="409"/>
      <c r="ODX219" s="409"/>
      <c r="ODY219" s="409"/>
      <c r="ODZ219" s="409"/>
      <c r="OEA219" s="409"/>
      <c r="OEB219" s="379"/>
      <c r="OEC219" s="379"/>
      <c r="OEG219" s="5"/>
      <c r="OEH219" s="5"/>
      <c r="OEI219" s="5"/>
      <c r="OEK219" s="5"/>
      <c r="OEM219" s="5"/>
      <c r="OEN219" s="5"/>
      <c r="OEO219" s="5"/>
      <c r="OEP219" s="18"/>
      <c r="OES219" s="409"/>
      <c r="OET219" s="409"/>
      <c r="OEU219" s="409"/>
      <c r="OEV219" s="409"/>
      <c r="OEW219" s="409"/>
      <c r="OEX219" s="409"/>
      <c r="OEY219" s="379"/>
      <c r="OEZ219" s="379"/>
      <c r="OFD219" s="5"/>
      <c r="OFE219" s="5"/>
      <c r="OFF219" s="5"/>
      <c r="OFH219" s="5"/>
      <c r="OFJ219" s="5"/>
      <c r="OFK219" s="5"/>
      <c r="OFL219" s="5"/>
      <c r="OFM219" s="18"/>
      <c r="OFP219" s="409"/>
      <c r="OFQ219" s="409"/>
      <c r="OFR219" s="409"/>
      <c r="OFS219" s="409"/>
      <c r="OFT219" s="409"/>
      <c r="OFU219" s="409"/>
      <c r="OFV219" s="379"/>
      <c r="OFW219" s="379"/>
      <c r="OGA219" s="5"/>
      <c r="OGB219" s="5"/>
      <c r="OGC219" s="5"/>
      <c r="OGE219" s="5"/>
      <c r="OGG219" s="5"/>
      <c r="OGH219" s="5"/>
      <c r="OGI219" s="5"/>
      <c r="OGJ219" s="18"/>
      <c r="OGM219" s="409"/>
      <c r="OGN219" s="409"/>
      <c r="OGO219" s="409"/>
      <c r="OGP219" s="409"/>
      <c r="OGQ219" s="409"/>
      <c r="OGR219" s="409"/>
      <c r="OGS219" s="379"/>
      <c r="OGT219" s="379"/>
      <c r="OGX219" s="5"/>
      <c r="OGY219" s="5"/>
      <c r="OGZ219" s="5"/>
      <c r="OHB219" s="5"/>
      <c r="OHD219" s="5"/>
      <c r="OHE219" s="5"/>
      <c r="OHF219" s="5"/>
      <c r="OHG219" s="18"/>
      <c r="OHJ219" s="409"/>
      <c r="OHK219" s="409"/>
      <c r="OHL219" s="409"/>
      <c r="OHM219" s="409"/>
      <c r="OHN219" s="409"/>
      <c r="OHO219" s="409"/>
      <c r="OHP219" s="379"/>
      <c r="OHQ219" s="379"/>
      <c r="OHU219" s="5"/>
      <c r="OHV219" s="5"/>
      <c r="OHW219" s="5"/>
      <c r="OHY219" s="5"/>
      <c r="OIA219" s="5"/>
      <c r="OIB219" s="5"/>
      <c r="OIC219" s="5"/>
      <c r="OID219" s="18"/>
      <c r="OIG219" s="409"/>
      <c r="OIH219" s="409"/>
      <c r="OII219" s="409"/>
      <c r="OIJ219" s="409"/>
      <c r="OIK219" s="409"/>
      <c r="OIL219" s="409"/>
      <c r="OIM219" s="379"/>
      <c r="OIN219" s="379"/>
      <c r="OIR219" s="5"/>
      <c r="OIS219" s="5"/>
      <c r="OIT219" s="5"/>
      <c r="OIV219" s="5"/>
      <c r="OIX219" s="5"/>
      <c r="OIY219" s="5"/>
      <c r="OIZ219" s="5"/>
      <c r="OJA219" s="18"/>
      <c r="OJD219" s="409"/>
      <c r="OJE219" s="409"/>
      <c r="OJF219" s="409"/>
      <c r="OJG219" s="409"/>
      <c r="OJH219" s="409"/>
      <c r="OJI219" s="409"/>
      <c r="OJJ219" s="379"/>
      <c r="OJK219" s="379"/>
      <c r="OJO219" s="5"/>
      <c r="OJP219" s="5"/>
      <c r="OJQ219" s="5"/>
      <c r="OJS219" s="5"/>
      <c r="OJU219" s="5"/>
      <c r="OJV219" s="5"/>
      <c r="OJW219" s="5"/>
      <c r="OJX219" s="18"/>
      <c r="OKA219" s="409"/>
      <c r="OKB219" s="409"/>
      <c r="OKC219" s="409"/>
      <c r="OKD219" s="409"/>
      <c r="OKE219" s="409"/>
      <c r="OKF219" s="409"/>
      <c r="OKG219" s="379"/>
      <c r="OKH219" s="379"/>
      <c r="OKL219" s="5"/>
      <c r="OKM219" s="5"/>
      <c r="OKN219" s="5"/>
      <c r="OKP219" s="5"/>
      <c r="OKR219" s="5"/>
      <c r="OKS219" s="5"/>
      <c r="OKT219" s="5"/>
      <c r="OKU219" s="18"/>
      <c r="OKX219" s="409"/>
      <c r="OKY219" s="409"/>
      <c r="OKZ219" s="409"/>
      <c r="OLA219" s="409"/>
      <c r="OLB219" s="409"/>
      <c r="OLC219" s="409"/>
      <c r="OLD219" s="379"/>
      <c r="OLE219" s="379"/>
      <c r="OLI219" s="5"/>
      <c r="OLJ219" s="5"/>
      <c r="OLK219" s="5"/>
      <c r="OLM219" s="5"/>
      <c r="OLO219" s="5"/>
      <c r="OLP219" s="5"/>
      <c r="OLQ219" s="5"/>
      <c r="OLR219" s="18"/>
      <c r="OLU219" s="409"/>
      <c r="OLV219" s="409"/>
      <c r="OLW219" s="409"/>
      <c r="OLX219" s="409"/>
      <c r="OLY219" s="409"/>
      <c r="OLZ219" s="409"/>
      <c r="OMA219" s="379"/>
      <c r="OMB219" s="379"/>
      <c r="OMF219" s="5"/>
      <c r="OMG219" s="5"/>
      <c r="OMH219" s="5"/>
      <c r="OMJ219" s="5"/>
      <c r="OML219" s="5"/>
      <c r="OMM219" s="5"/>
      <c r="OMN219" s="5"/>
      <c r="OMO219" s="18"/>
      <c r="OMR219" s="409"/>
      <c r="OMS219" s="409"/>
      <c r="OMT219" s="409"/>
      <c r="OMU219" s="409"/>
      <c r="OMV219" s="409"/>
      <c r="OMW219" s="409"/>
      <c r="OMX219" s="379"/>
      <c r="OMY219" s="379"/>
      <c r="ONC219" s="5"/>
      <c r="OND219" s="5"/>
      <c r="ONE219" s="5"/>
      <c r="ONG219" s="5"/>
      <c r="ONI219" s="5"/>
      <c r="ONJ219" s="5"/>
      <c r="ONK219" s="5"/>
      <c r="ONL219" s="18"/>
      <c r="ONO219" s="409"/>
      <c r="ONP219" s="409"/>
      <c r="ONQ219" s="409"/>
      <c r="ONR219" s="409"/>
      <c r="ONS219" s="409"/>
      <c r="ONT219" s="409"/>
      <c r="ONU219" s="379"/>
      <c r="ONV219" s="379"/>
      <c r="ONZ219" s="5"/>
      <c r="OOA219" s="5"/>
      <c r="OOB219" s="5"/>
      <c r="OOD219" s="5"/>
      <c r="OOF219" s="5"/>
      <c r="OOG219" s="5"/>
      <c r="OOH219" s="5"/>
      <c r="OOI219" s="18"/>
      <c r="OOL219" s="409"/>
      <c r="OOM219" s="409"/>
      <c r="OON219" s="409"/>
      <c r="OOO219" s="409"/>
      <c r="OOP219" s="409"/>
      <c r="OOQ219" s="409"/>
      <c r="OOR219" s="379"/>
      <c r="OOS219" s="379"/>
      <c r="OOW219" s="5"/>
      <c r="OOX219" s="5"/>
      <c r="OOY219" s="5"/>
      <c r="OPA219" s="5"/>
      <c r="OPC219" s="5"/>
      <c r="OPD219" s="5"/>
      <c r="OPE219" s="5"/>
      <c r="OPF219" s="18"/>
      <c r="OPI219" s="409"/>
      <c r="OPJ219" s="409"/>
      <c r="OPK219" s="409"/>
      <c r="OPL219" s="409"/>
      <c r="OPM219" s="409"/>
      <c r="OPN219" s="409"/>
      <c r="OPO219" s="379"/>
      <c r="OPP219" s="379"/>
      <c r="OPT219" s="5"/>
      <c r="OPU219" s="5"/>
      <c r="OPV219" s="5"/>
      <c r="OPX219" s="5"/>
      <c r="OPZ219" s="5"/>
      <c r="OQA219" s="5"/>
      <c r="OQB219" s="5"/>
      <c r="OQC219" s="18"/>
      <c r="OQF219" s="409"/>
      <c r="OQG219" s="409"/>
      <c r="OQH219" s="409"/>
      <c r="OQI219" s="409"/>
      <c r="OQJ219" s="409"/>
      <c r="OQK219" s="409"/>
      <c r="OQL219" s="379"/>
      <c r="OQM219" s="379"/>
      <c r="OQQ219" s="5"/>
      <c r="OQR219" s="5"/>
      <c r="OQS219" s="5"/>
      <c r="OQU219" s="5"/>
      <c r="OQW219" s="5"/>
      <c r="OQX219" s="5"/>
      <c r="OQY219" s="5"/>
      <c r="OQZ219" s="18"/>
      <c r="ORC219" s="409"/>
      <c r="ORD219" s="409"/>
      <c r="ORE219" s="409"/>
      <c r="ORF219" s="409"/>
      <c r="ORG219" s="409"/>
      <c r="ORH219" s="409"/>
      <c r="ORI219" s="379"/>
      <c r="ORJ219" s="379"/>
      <c r="ORN219" s="5"/>
      <c r="ORO219" s="5"/>
      <c r="ORP219" s="5"/>
      <c r="ORR219" s="5"/>
      <c r="ORT219" s="5"/>
      <c r="ORU219" s="5"/>
      <c r="ORV219" s="5"/>
      <c r="ORW219" s="18"/>
      <c r="ORZ219" s="409"/>
      <c r="OSA219" s="409"/>
      <c r="OSB219" s="409"/>
      <c r="OSC219" s="409"/>
      <c r="OSD219" s="409"/>
      <c r="OSE219" s="409"/>
      <c r="OSF219" s="379"/>
      <c r="OSG219" s="379"/>
      <c r="OSK219" s="5"/>
      <c r="OSL219" s="5"/>
      <c r="OSM219" s="5"/>
      <c r="OSO219" s="5"/>
      <c r="OSQ219" s="5"/>
      <c r="OSR219" s="5"/>
      <c r="OSS219" s="5"/>
      <c r="OST219" s="18"/>
      <c r="OSW219" s="409"/>
      <c r="OSX219" s="409"/>
      <c r="OSY219" s="409"/>
      <c r="OSZ219" s="409"/>
      <c r="OTA219" s="409"/>
      <c r="OTB219" s="409"/>
      <c r="OTC219" s="379"/>
      <c r="OTD219" s="379"/>
      <c r="OTH219" s="5"/>
      <c r="OTI219" s="5"/>
      <c r="OTJ219" s="5"/>
      <c r="OTL219" s="5"/>
      <c r="OTN219" s="5"/>
      <c r="OTO219" s="5"/>
      <c r="OTP219" s="5"/>
      <c r="OTQ219" s="18"/>
      <c r="OTT219" s="409"/>
      <c r="OTU219" s="409"/>
      <c r="OTV219" s="409"/>
      <c r="OTW219" s="409"/>
      <c r="OTX219" s="409"/>
      <c r="OTY219" s="409"/>
      <c r="OTZ219" s="379"/>
      <c r="OUA219" s="379"/>
      <c r="OUE219" s="5"/>
      <c r="OUF219" s="5"/>
      <c r="OUG219" s="5"/>
      <c r="OUI219" s="5"/>
      <c r="OUK219" s="5"/>
      <c r="OUL219" s="5"/>
      <c r="OUM219" s="5"/>
      <c r="OUN219" s="18"/>
      <c r="OUQ219" s="409"/>
      <c r="OUR219" s="409"/>
      <c r="OUS219" s="409"/>
      <c r="OUT219" s="409"/>
      <c r="OUU219" s="409"/>
      <c r="OUV219" s="409"/>
      <c r="OUW219" s="379"/>
      <c r="OUX219" s="379"/>
      <c r="OVB219" s="5"/>
      <c r="OVC219" s="5"/>
      <c r="OVD219" s="5"/>
      <c r="OVF219" s="5"/>
      <c r="OVH219" s="5"/>
      <c r="OVI219" s="5"/>
      <c r="OVJ219" s="5"/>
      <c r="OVK219" s="18"/>
      <c r="OVN219" s="409"/>
      <c r="OVO219" s="409"/>
      <c r="OVP219" s="409"/>
      <c r="OVQ219" s="409"/>
      <c r="OVR219" s="409"/>
      <c r="OVS219" s="409"/>
      <c r="OVT219" s="379"/>
      <c r="OVU219" s="379"/>
      <c r="OVY219" s="5"/>
      <c r="OVZ219" s="5"/>
      <c r="OWA219" s="5"/>
      <c r="OWC219" s="5"/>
      <c r="OWE219" s="5"/>
      <c r="OWF219" s="5"/>
      <c r="OWG219" s="5"/>
      <c r="OWH219" s="18"/>
      <c r="OWK219" s="409"/>
      <c r="OWL219" s="409"/>
      <c r="OWM219" s="409"/>
      <c r="OWN219" s="409"/>
      <c r="OWO219" s="409"/>
      <c r="OWP219" s="409"/>
      <c r="OWQ219" s="379"/>
      <c r="OWR219" s="379"/>
      <c r="OWV219" s="5"/>
      <c r="OWW219" s="5"/>
      <c r="OWX219" s="5"/>
      <c r="OWZ219" s="5"/>
      <c r="OXB219" s="5"/>
      <c r="OXC219" s="5"/>
      <c r="OXD219" s="5"/>
      <c r="OXE219" s="18"/>
      <c r="OXH219" s="409"/>
      <c r="OXI219" s="409"/>
      <c r="OXJ219" s="409"/>
      <c r="OXK219" s="409"/>
      <c r="OXL219" s="409"/>
      <c r="OXM219" s="409"/>
      <c r="OXN219" s="379"/>
      <c r="OXO219" s="379"/>
      <c r="OXS219" s="5"/>
      <c r="OXT219" s="5"/>
      <c r="OXU219" s="5"/>
      <c r="OXW219" s="5"/>
      <c r="OXY219" s="5"/>
      <c r="OXZ219" s="5"/>
      <c r="OYA219" s="5"/>
      <c r="OYB219" s="18"/>
      <c r="OYE219" s="409"/>
      <c r="OYF219" s="409"/>
      <c r="OYG219" s="409"/>
      <c r="OYH219" s="409"/>
      <c r="OYI219" s="409"/>
      <c r="OYJ219" s="409"/>
      <c r="OYK219" s="379"/>
      <c r="OYL219" s="379"/>
      <c r="OYP219" s="5"/>
      <c r="OYQ219" s="5"/>
      <c r="OYR219" s="5"/>
      <c r="OYT219" s="5"/>
      <c r="OYV219" s="5"/>
      <c r="OYW219" s="5"/>
      <c r="OYX219" s="5"/>
      <c r="OYY219" s="18"/>
      <c r="OZB219" s="409"/>
      <c r="OZC219" s="409"/>
      <c r="OZD219" s="409"/>
      <c r="OZE219" s="409"/>
      <c r="OZF219" s="409"/>
      <c r="OZG219" s="409"/>
      <c r="OZH219" s="379"/>
      <c r="OZI219" s="379"/>
      <c r="OZM219" s="5"/>
      <c r="OZN219" s="5"/>
      <c r="OZO219" s="5"/>
      <c r="OZQ219" s="5"/>
      <c r="OZS219" s="5"/>
      <c r="OZT219" s="5"/>
      <c r="OZU219" s="5"/>
      <c r="OZV219" s="18"/>
      <c r="OZY219" s="409"/>
      <c r="OZZ219" s="409"/>
      <c r="PAA219" s="409"/>
      <c r="PAB219" s="409"/>
      <c r="PAC219" s="409"/>
      <c r="PAD219" s="409"/>
      <c r="PAE219" s="379"/>
      <c r="PAF219" s="379"/>
      <c r="PAJ219" s="5"/>
      <c r="PAK219" s="5"/>
      <c r="PAL219" s="5"/>
      <c r="PAN219" s="5"/>
      <c r="PAP219" s="5"/>
      <c r="PAQ219" s="5"/>
      <c r="PAR219" s="5"/>
      <c r="PAS219" s="18"/>
      <c r="PAV219" s="409"/>
      <c r="PAW219" s="409"/>
      <c r="PAX219" s="409"/>
      <c r="PAY219" s="409"/>
      <c r="PAZ219" s="409"/>
      <c r="PBA219" s="409"/>
      <c r="PBB219" s="379"/>
      <c r="PBC219" s="379"/>
      <c r="PBG219" s="5"/>
      <c r="PBH219" s="5"/>
      <c r="PBI219" s="5"/>
      <c r="PBK219" s="5"/>
      <c r="PBM219" s="5"/>
      <c r="PBN219" s="5"/>
      <c r="PBO219" s="5"/>
      <c r="PBP219" s="18"/>
      <c r="PBS219" s="409"/>
      <c r="PBT219" s="409"/>
      <c r="PBU219" s="409"/>
      <c r="PBV219" s="409"/>
      <c r="PBW219" s="409"/>
      <c r="PBX219" s="409"/>
      <c r="PBY219" s="379"/>
      <c r="PBZ219" s="379"/>
      <c r="PCD219" s="5"/>
      <c r="PCE219" s="5"/>
      <c r="PCF219" s="5"/>
      <c r="PCH219" s="5"/>
      <c r="PCJ219" s="5"/>
      <c r="PCK219" s="5"/>
      <c r="PCL219" s="5"/>
      <c r="PCM219" s="18"/>
      <c r="PCP219" s="409"/>
      <c r="PCQ219" s="409"/>
      <c r="PCR219" s="409"/>
      <c r="PCS219" s="409"/>
      <c r="PCT219" s="409"/>
      <c r="PCU219" s="409"/>
      <c r="PCV219" s="379"/>
      <c r="PCW219" s="379"/>
      <c r="PDA219" s="5"/>
      <c r="PDB219" s="5"/>
      <c r="PDC219" s="5"/>
      <c r="PDE219" s="5"/>
      <c r="PDG219" s="5"/>
      <c r="PDH219" s="5"/>
      <c r="PDI219" s="5"/>
      <c r="PDJ219" s="18"/>
      <c r="PDM219" s="409"/>
      <c r="PDN219" s="409"/>
      <c r="PDO219" s="409"/>
      <c r="PDP219" s="409"/>
      <c r="PDQ219" s="409"/>
      <c r="PDR219" s="409"/>
      <c r="PDS219" s="379"/>
      <c r="PDT219" s="379"/>
      <c r="PDX219" s="5"/>
      <c r="PDY219" s="5"/>
      <c r="PDZ219" s="5"/>
      <c r="PEB219" s="5"/>
      <c r="PED219" s="5"/>
      <c r="PEE219" s="5"/>
      <c r="PEF219" s="5"/>
      <c r="PEG219" s="18"/>
      <c r="PEJ219" s="409"/>
      <c r="PEK219" s="409"/>
      <c r="PEL219" s="409"/>
      <c r="PEM219" s="409"/>
      <c r="PEN219" s="409"/>
      <c r="PEO219" s="409"/>
      <c r="PEP219" s="379"/>
      <c r="PEQ219" s="379"/>
      <c r="PEU219" s="5"/>
      <c r="PEV219" s="5"/>
      <c r="PEW219" s="5"/>
      <c r="PEY219" s="5"/>
      <c r="PFA219" s="5"/>
      <c r="PFB219" s="5"/>
      <c r="PFC219" s="5"/>
      <c r="PFD219" s="18"/>
      <c r="PFG219" s="409"/>
      <c r="PFH219" s="409"/>
      <c r="PFI219" s="409"/>
      <c r="PFJ219" s="409"/>
      <c r="PFK219" s="409"/>
      <c r="PFL219" s="409"/>
      <c r="PFM219" s="379"/>
      <c r="PFN219" s="379"/>
      <c r="PFR219" s="5"/>
      <c r="PFS219" s="5"/>
      <c r="PFT219" s="5"/>
      <c r="PFV219" s="5"/>
      <c r="PFX219" s="5"/>
      <c r="PFY219" s="5"/>
      <c r="PFZ219" s="5"/>
      <c r="PGA219" s="18"/>
      <c r="PGD219" s="409"/>
      <c r="PGE219" s="409"/>
      <c r="PGF219" s="409"/>
      <c r="PGG219" s="409"/>
      <c r="PGH219" s="409"/>
      <c r="PGI219" s="409"/>
      <c r="PGJ219" s="379"/>
      <c r="PGK219" s="379"/>
      <c r="PGO219" s="5"/>
      <c r="PGP219" s="5"/>
      <c r="PGQ219" s="5"/>
      <c r="PGS219" s="5"/>
      <c r="PGU219" s="5"/>
      <c r="PGV219" s="5"/>
      <c r="PGW219" s="5"/>
      <c r="PGX219" s="18"/>
      <c r="PHA219" s="409"/>
      <c r="PHB219" s="409"/>
      <c r="PHC219" s="409"/>
      <c r="PHD219" s="409"/>
      <c r="PHE219" s="409"/>
      <c r="PHF219" s="409"/>
      <c r="PHG219" s="379"/>
      <c r="PHH219" s="379"/>
      <c r="PHL219" s="5"/>
      <c r="PHM219" s="5"/>
      <c r="PHN219" s="5"/>
      <c r="PHP219" s="5"/>
      <c r="PHR219" s="5"/>
      <c r="PHS219" s="5"/>
      <c r="PHT219" s="5"/>
      <c r="PHU219" s="18"/>
      <c r="PHX219" s="409"/>
      <c r="PHY219" s="409"/>
      <c r="PHZ219" s="409"/>
      <c r="PIA219" s="409"/>
      <c r="PIB219" s="409"/>
      <c r="PIC219" s="409"/>
      <c r="PID219" s="379"/>
      <c r="PIE219" s="379"/>
      <c r="PII219" s="5"/>
      <c r="PIJ219" s="5"/>
      <c r="PIK219" s="5"/>
      <c r="PIM219" s="5"/>
      <c r="PIO219" s="5"/>
      <c r="PIP219" s="5"/>
      <c r="PIQ219" s="5"/>
      <c r="PIR219" s="18"/>
      <c r="PIU219" s="409"/>
      <c r="PIV219" s="409"/>
      <c r="PIW219" s="409"/>
      <c r="PIX219" s="409"/>
      <c r="PIY219" s="409"/>
      <c r="PIZ219" s="409"/>
      <c r="PJA219" s="379"/>
      <c r="PJB219" s="379"/>
      <c r="PJF219" s="5"/>
      <c r="PJG219" s="5"/>
      <c r="PJH219" s="5"/>
      <c r="PJJ219" s="5"/>
      <c r="PJL219" s="5"/>
      <c r="PJM219" s="5"/>
      <c r="PJN219" s="5"/>
      <c r="PJO219" s="18"/>
      <c r="PJR219" s="409"/>
      <c r="PJS219" s="409"/>
      <c r="PJT219" s="409"/>
      <c r="PJU219" s="409"/>
      <c r="PJV219" s="409"/>
      <c r="PJW219" s="409"/>
      <c r="PJX219" s="379"/>
      <c r="PJY219" s="379"/>
      <c r="PKC219" s="5"/>
      <c r="PKD219" s="5"/>
      <c r="PKE219" s="5"/>
      <c r="PKG219" s="5"/>
      <c r="PKI219" s="5"/>
      <c r="PKJ219" s="5"/>
      <c r="PKK219" s="5"/>
      <c r="PKL219" s="18"/>
      <c r="PKO219" s="409"/>
      <c r="PKP219" s="409"/>
      <c r="PKQ219" s="409"/>
      <c r="PKR219" s="409"/>
      <c r="PKS219" s="409"/>
      <c r="PKT219" s="409"/>
      <c r="PKU219" s="379"/>
      <c r="PKV219" s="379"/>
      <c r="PKZ219" s="5"/>
      <c r="PLA219" s="5"/>
      <c r="PLB219" s="5"/>
      <c r="PLD219" s="5"/>
      <c r="PLF219" s="5"/>
      <c r="PLG219" s="5"/>
      <c r="PLH219" s="5"/>
      <c r="PLI219" s="18"/>
      <c r="PLL219" s="409"/>
      <c r="PLM219" s="409"/>
      <c r="PLN219" s="409"/>
      <c r="PLO219" s="409"/>
      <c r="PLP219" s="409"/>
      <c r="PLQ219" s="409"/>
      <c r="PLR219" s="379"/>
      <c r="PLS219" s="379"/>
      <c r="PLW219" s="5"/>
      <c r="PLX219" s="5"/>
      <c r="PLY219" s="5"/>
      <c r="PMA219" s="5"/>
      <c r="PMC219" s="5"/>
      <c r="PMD219" s="5"/>
      <c r="PME219" s="5"/>
      <c r="PMF219" s="18"/>
      <c r="PMI219" s="409"/>
      <c r="PMJ219" s="409"/>
      <c r="PMK219" s="409"/>
      <c r="PML219" s="409"/>
      <c r="PMM219" s="409"/>
      <c r="PMN219" s="409"/>
      <c r="PMO219" s="379"/>
      <c r="PMP219" s="379"/>
      <c r="PMT219" s="5"/>
      <c r="PMU219" s="5"/>
      <c r="PMV219" s="5"/>
      <c r="PMX219" s="5"/>
      <c r="PMZ219" s="5"/>
      <c r="PNA219" s="5"/>
      <c r="PNB219" s="5"/>
      <c r="PNC219" s="18"/>
      <c r="PNF219" s="409"/>
      <c r="PNG219" s="409"/>
      <c r="PNH219" s="409"/>
      <c r="PNI219" s="409"/>
      <c r="PNJ219" s="409"/>
      <c r="PNK219" s="409"/>
      <c r="PNL219" s="379"/>
      <c r="PNM219" s="379"/>
      <c r="PNQ219" s="5"/>
      <c r="PNR219" s="5"/>
      <c r="PNS219" s="5"/>
      <c r="PNU219" s="5"/>
      <c r="PNW219" s="5"/>
      <c r="PNX219" s="5"/>
      <c r="PNY219" s="5"/>
      <c r="PNZ219" s="18"/>
      <c r="POC219" s="409"/>
      <c r="POD219" s="409"/>
      <c r="POE219" s="409"/>
      <c r="POF219" s="409"/>
      <c r="POG219" s="409"/>
      <c r="POH219" s="409"/>
      <c r="POI219" s="379"/>
      <c r="POJ219" s="379"/>
      <c r="PON219" s="5"/>
      <c r="POO219" s="5"/>
      <c r="POP219" s="5"/>
      <c r="POR219" s="5"/>
      <c r="POT219" s="5"/>
      <c r="POU219" s="5"/>
      <c r="POV219" s="5"/>
      <c r="POW219" s="18"/>
      <c r="POZ219" s="409"/>
      <c r="PPA219" s="409"/>
      <c r="PPB219" s="409"/>
      <c r="PPC219" s="409"/>
      <c r="PPD219" s="409"/>
      <c r="PPE219" s="409"/>
      <c r="PPF219" s="379"/>
      <c r="PPG219" s="379"/>
      <c r="PPK219" s="5"/>
      <c r="PPL219" s="5"/>
      <c r="PPM219" s="5"/>
      <c r="PPO219" s="5"/>
      <c r="PPQ219" s="5"/>
      <c r="PPR219" s="5"/>
      <c r="PPS219" s="5"/>
      <c r="PPT219" s="18"/>
      <c r="PPW219" s="409"/>
      <c r="PPX219" s="409"/>
      <c r="PPY219" s="409"/>
      <c r="PPZ219" s="409"/>
      <c r="PQA219" s="409"/>
      <c r="PQB219" s="409"/>
      <c r="PQC219" s="379"/>
      <c r="PQD219" s="379"/>
      <c r="PQH219" s="5"/>
      <c r="PQI219" s="5"/>
      <c r="PQJ219" s="5"/>
      <c r="PQL219" s="5"/>
      <c r="PQN219" s="5"/>
      <c r="PQO219" s="5"/>
      <c r="PQP219" s="5"/>
      <c r="PQQ219" s="18"/>
      <c r="PQT219" s="409"/>
      <c r="PQU219" s="409"/>
      <c r="PQV219" s="409"/>
      <c r="PQW219" s="409"/>
      <c r="PQX219" s="409"/>
      <c r="PQY219" s="409"/>
      <c r="PQZ219" s="379"/>
      <c r="PRA219" s="379"/>
      <c r="PRE219" s="5"/>
      <c r="PRF219" s="5"/>
      <c r="PRG219" s="5"/>
      <c r="PRI219" s="5"/>
      <c r="PRK219" s="5"/>
      <c r="PRL219" s="5"/>
      <c r="PRM219" s="5"/>
      <c r="PRN219" s="18"/>
      <c r="PRQ219" s="409"/>
      <c r="PRR219" s="409"/>
      <c r="PRS219" s="409"/>
      <c r="PRT219" s="409"/>
      <c r="PRU219" s="409"/>
      <c r="PRV219" s="409"/>
      <c r="PRW219" s="379"/>
      <c r="PRX219" s="379"/>
      <c r="PSB219" s="5"/>
      <c r="PSC219" s="5"/>
      <c r="PSD219" s="5"/>
      <c r="PSF219" s="5"/>
      <c r="PSH219" s="5"/>
      <c r="PSI219" s="5"/>
      <c r="PSJ219" s="5"/>
      <c r="PSK219" s="18"/>
      <c r="PSN219" s="409"/>
      <c r="PSO219" s="409"/>
      <c r="PSP219" s="409"/>
      <c r="PSQ219" s="409"/>
      <c r="PSR219" s="409"/>
      <c r="PSS219" s="409"/>
      <c r="PST219" s="379"/>
      <c r="PSU219" s="379"/>
      <c r="PSY219" s="5"/>
      <c r="PSZ219" s="5"/>
      <c r="PTA219" s="5"/>
      <c r="PTC219" s="5"/>
      <c r="PTE219" s="5"/>
      <c r="PTF219" s="5"/>
      <c r="PTG219" s="5"/>
      <c r="PTH219" s="18"/>
      <c r="PTK219" s="409"/>
      <c r="PTL219" s="409"/>
      <c r="PTM219" s="409"/>
      <c r="PTN219" s="409"/>
      <c r="PTO219" s="409"/>
      <c r="PTP219" s="409"/>
      <c r="PTQ219" s="379"/>
      <c r="PTR219" s="379"/>
      <c r="PTV219" s="5"/>
      <c r="PTW219" s="5"/>
      <c r="PTX219" s="5"/>
      <c r="PTZ219" s="5"/>
      <c r="PUB219" s="5"/>
      <c r="PUC219" s="5"/>
      <c r="PUD219" s="5"/>
      <c r="PUE219" s="18"/>
      <c r="PUH219" s="409"/>
      <c r="PUI219" s="409"/>
      <c r="PUJ219" s="409"/>
      <c r="PUK219" s="409"/>
      <c r="PUL219" s="409"/>
      <c r="PUM219" s="409"/>
      <c r="PUN219" s="379"/>
      <c r="PUO219" s="379"/>
      <c r="PUS219" s="5"/>
      <c r="PUT219" s="5"/>
      <c r="PUU219" s="5"/>
      <c r="PUW219" s="5"/>
      <c r="PUY219" s="5"/>
      <c r="PUZ219" s="5"/>
      <c r="PVA219" s="5"/>
      <c r="PVB219" s="18"/>
      <c r="PVE219" s="409"/>
      <c r="PVF219" s="409"/>
      <c r="PVG219" s="409"/>
      <c r="PVH219" s="409"/>
      <c r="PVI219" s="409"/>
      <c r="PVJ219" s="409"/>
      <c r="PVK219" s="379"/>
      <c r="PVL219" s="379"/>
      <c r="PVP219" s="5"/>
      <c r="PVQ219" s="5"/>
      <c r="PVR219" s="5"/>
      <c r="PVT219" s="5"/>
      <c r="PVV219" s="5"/>
      <c r="PVW219" s="5"/>
      <c r="PVX219" s="5"/>
      <c r="PVY219" s="18"/>
      <c r="PWB219" s="409"/>
      <c r="PWC219" s="409"/>
      <c r="PWD219" s="409"/>
      <c r="PWE219" s="409"/>
      <c r="PWF219" s="409"/>
      <c r="PWG219" s="409"/>
      <c r="PWH219" s="379"/>
      <c r="PWI219" s="379"/>
      <c r="PWM219" s="5"/>
      <c r="PWN219" s="5"/>
      <c r="PWO219" s="5"/>
      <c r="PWQ219" s="5"/>
      <c r="PWS219" s="5"/>
      <c r="PWT219" s="5"/>
      <c r="PWU219" s="5"/>
      <c r="PWV219" s="18"/>
      <c r="PWY219" s="409"/>
      <c r="PWZ219" s="409"/>
      <c r="PXA219" s="409"/>
      <c r="PXB219" s="409"/>
      <c r="PXC219" s="409"/>
      <c r="PXD219" s="409"/>
      <c r="PXE219" s="379"/>
      <c r="PXF219" s="379"/>
      <c r="PXJ219" s="5"/>
      <c r="PXK219" s="5"/>
      <c r="PXL219" s="5"/>
      <c r="PXN219" s="5"/>
      <c r="PXP219" s="5"/>
      <c r="PXQ219" s="5"/>
      <c r="PXR219" s="5"/>
      <c r="PXS219" s="18"/>
      <c r="PXV219" s="409"/>
      <c r="PXW219" s="409"/>
      <c r="PXX219" s="409"/>
      <c r="PXY219" s="409"/>
      <c r="PXZ219" s="409"/>
      <c r="PYA219" s="409"/>
      <c r="PYB219" s="379"/>
      <c r="PYC219" s="379"/>
      <c r="PYG219" s="5"/>
      <c r="PYH219" s="5"/>
      <c r="PYI219" s="5"/>
      <c r="PYK219" s="5"/>
      <c r="PYM219" s="5"/>
      <c r="PYN219" s="5"/>
      <c r="PYO219" s="5"/>
      <c r="PYP219" s="18"/>
      <c r="PYS219" s="409"/>
      <c r="PYT219" s="409"/>
      <c r="PYU219" s="409"/>
      <c r="PYV219" s="409"/>
      <c r="PYW219" s="409"/>
      <c r="PYX219" s="409"/>
      <c r="PYY219" s="379"/>
      <c r="PYZ219" s="379"/>
      <c r="PZD219" s="5"/>
      <c r="PZE219" s="5"/>
      <c r="PZF219" s="5"/>
      <c r="PZH219" s="5"/>
      <c r="PZJ219" s="5"/>
      <c r="PZK219" s="5"/>
      <c r="PZL219" s="5"/>
      <c r="PZM219" s="18"/>
      <c r="PZP219" s="409"/>
      <c r="PZQ219" s="409"/>
      <c r="PZR219" s="409"/>
      <c r="PZS219" s="409"/>
      <c r="PZT219" s="409"/>
      <c r="PZU219" s="409"/>
      <c r="PZV219" s="379"/>
      <c r="PZW219" s="379"/>
      <c r="QAA219" s="5"/>
      <c r="QAB219" s="5"/>
      <c r="QAC219" s="5"/>
      <c r="QAE219" s="5"/>
      <c r="QAG219" s="5"/>
      <c r="QAH219" s="5"/>
      <c r="QAI219" s="5"/>
      <c r="QAJ219" s="18"/>
      <c r="QAM219" s="409"/>
      <c r="QAN219" s="409"/>
      <c r="QAO219" s="409"/>
      <c r="QAP219" s="409"/>
      <c r="QAQ219" s="409"/>
      <c r="QAR219" s="409"/>
      <c r="QAS219" s="379"/>
      <c r="QAT219" s="379"/>
      <c r="QAX219" s="5"/>
      <c r="QAY219" s="5"/>
      <c r="QAZ219" s="5"/>
      <c r="QBB219" s="5"/>
      <c r="QBD219" s="5"/>
      <c r="QBE219" s="5"/>
      <c r="QBF219" s="5"/>
      <c r="QBG219" s="18"/>
      <c r="QBJ219" s="409"/>
      <c r="QBK219" s="409"/>
      <c r="QBL219" s="409"/>
      <c r="QBM219" s="409"/>
      <c r="QBN219" s="409"/>
      <c r="QBO219" s="409"/>
      <c r="QBP219" s="379"/>
      <c r="QBQ219" s="379"/>
      <c r="QBU219" s="5"/>
      <c r="QBV219" s="5"/>
      <c r="QBW219" s="5"/>
      <c r="QBY219" s="5"/>
      <c r="QCA219" s="5"/>
      <c r="QCB219" s="5"/>
      <c r="QCC219" s="5"/>
      <c r="QCD219" s="18"/>
      <c r="QCG219" s="409"/>
      <c r="QCH219" s="409"/>
      <c r="QCI219" s="409"/>
      <c r="QCJ219" s="409"/>
      <c r="QCK219" s="409"/>
      <c r="QCL219" s="409"/>
      <c r="QCM219" s="379"/>
      <c r="QCN219" s="379"/>
      <c r="QCR219" s="5"/>
      <c r="QCS219" s="5"/>
      <c r="QCT219" s="5"/>
      <c r="QCV219" s="5"/>
      <c r="QCX219" s="5"/>
      <c r="QCY219" s="5"/>
      <c r="QCZ219" s="5"/>
      <c r="QDA219" s="18"/>
      <c r="QDD219" s="409"/>
      <c r="QDE219" s="409"/>
      <c r="QDF219" s="409"/>
      <c r="QDG219" s="409"/>
      <c r="QDH219" s="409"/>
      <c r="QDI219" s="409"/>
      <c r="QDJ219" s="379"/>
      <c r="QDK219" s="379"/>
      <c r="QDO219" s="5"/>
      <c r="QDP219" s="5"/>
      <c r="QDQ219" s="5"/>
      <c r="QDS219" s="5"/>
      <c r="QDU219" s="5"/>
      <c r="QDV219" s="5"/>
      <c r="QDW219" s="5"/>
      <c r="QDX219" s="18"/>
      <c r="QEA219" s="409"/>
      <c r="QEB219" s="409"/>
      <c r="QEC219" s="409"/>
      <c r="QED219" s="409"/>
      <c r="QEE219" s="409"/>
      <c r="QEF219" s="409"/>
      <c r="QEG219" s="379"/>
      <c r="QEH219" s="379"/>
      <c r="QEL219" s="5"/>
      <c r="QEM219" s="5"/>
      <c r="QEN219" s="5"/>
      <c r="QEP219" s="5"/>
      <c r="QER219" s="5"/>
      <c r="QES219" s="5"/>
      <c r="QET219" s="5"/>
      <c r="QEU219" s="18"/>
      <c r="QEX219" s="409"/>
      <c r="QEY219" s="409"/>
      <c r="QEZ219" s="409"/>
      <c r="QFA219" s="409"/>
      <c r="QFB219" s="409"/>
      <c r="QFC219" s="409"/>
      <c r="QFD219" s="379"/>
      <c r="QFE219" s="379"/>
      <c r="QFI219" s="5"/>
      <c r="QFJ219" s="5"/>
      <c r="QFK219" s="5"/>
      <c r="QFM219" s="5"/>
      <c r="QFO219" s="5"/>
      <c r="QFP219" s="5"/>
      <c r="QFQ219" s="5"/>
      <c r="QFR219" s="18"/>
      <c r="QFU219" s="409"/>
      <c r="QFV219" s="409"/>
      <c r="QFW219" s="409"/>
      <c r="QFX219" s="409"/>
      <c r="QFY219" s="409"/>
      <c r="QFZ219" s="409"/>
      <c r="QGA219" s="379"/>
      <c r="QGB219" s="379"/>
      <c r="QGF219" s="5"/>
      <c r="QGG219" s="5"/>
      <c r="QGH219" s="5"/>
      <c r="QGJ219" s="5"/>
      <c r="QGL219" s="5"/>
      <c r="QGM219" s="5"/>
      <c r="QGN219" s="5"/>
      <c r="QGO219" s="18"/>
      <c r="QGR219" s="409"/>
      <c r="QGS219" s="409"/>
      <c r="QGT219" s="409"/>
      <c r="QGU219" s="409"/>
      <c r="QGV219" s="409"/>
      <c r="QGW219" s="409"/>
      <c r="QGX219" s="379"/>
      <c r="QGY219" s="379"/>
      <c r="QHC219" s="5"/>
      <c r="QHD219" s="5"/>
      <c r="QHE219" s="5"/>
      <c r="QHG219" s="5"/>
      <c r="QHI219" s="5"/>
      <c r="QHJ219" s="5"/>
      <c r="QHK219" s="5"/>
      <c r="QHL219" s="18"/>
      <c r="QHO219" s="409"/>
      <c r="QHP219" s="409"/>
      <c r="QHQ219" s="409"/>
      <c r="QHR219" s="409"/>
      <c r="QHS219" s="409"/>
      <c r="QHT219" s="409"/>
      <c r="QHU219" s="379"/>
      <c r="QHV219" s="379"/>
      <c r="QHZ219" s="5"/>
      <c r="QIA219" s="5"/>
      <c r="QIB219" s="5"/>
      <c r="QID219" s="5"/>
      <c r="QIF219" s="5"/>
      <c r="QIG219" s="5"/>
      <c r="QIH219" s="5"/>
      <c r="QII219" s="18"/>
      <c r="QIL219" s="409"/>
      <c r="QIM219" s="409"/>
      <c r="QIN219" s="409"/>
      <c r="QIO219" s="409"/>
      <c r="QIP219" s="409"/>
      <c r="QIQ219" s="409"/>
      <c r="QIR219" s="379"/>
      <c r="QIS219" s="379"/>
      <c r="QIW219" s="5"/>
      <c r="QIX219" s="5"/>
      <c r="QIY219" s="5"/>
      <c r="QJA219" s="5"/>
      <c r="QJC219" s="5"/>
      <c r="QJD219" s="5"/>
      <c r="QJE219" s="5"/>
      <c r="QJF219" s="18"/>
      <c r="QJI219" s="409"/>
      <c r="QJJ219" s="409"/>
      <c r="QJK219" s="409"/>
      <c r="QJL219" s="409"/>
      <c r="QJM219" s="409"/>
      <c r="QJN219" s="409"/>
      <c r="QJO219" s="379"/>
      <c r="QJP219" s="379"/>
      <c r="QJT219" s="5"/>
      <c r="QJU219" s="5"/>
      <c r="QJV219" s="5"/>
      <c r="QJX219" s="5"/>
      <c r="QJZ219" s="5"/>
      <c r="QKA219" s="5"/>
      <c r="QKB219" s="5"/>
      <c r="QKC219" s="18"/>
      <c r="QKF219" s="409"/>
      <c r="QKG219" s="409"/>
      <c r="QKH219" s="409"/>
      <c r="QKI219" s="409"/>
      <c r="QKJ219" s="409"/>
      <c r="QKK219" s="409"/>
      <c r="QKL219" s="379"/>
      <c r="QKM219" s="379"/>
      <c r="QKQ219" s="5"/>
      <c r="QKR219" s="5"/>
      <c r="QKS219" s="5"/>
      <c r="QKU219" s="5"/>
      <c r="QKW219" s="5"/>
      <c r="QKX219" s="5"/>
      <c r="QKY219" s="5"/>
      <c r="QKZ219" s="18"/>
      <c r="QLC219" s="409"/>
      <c r="QLD219" s="409"/>
      <c r="QLE219" s="409"/>
      <c r="QLF219" s="409"/>
      <c r="QLG219" s="409"/>
      <c r="QLH219" s="409"/>
      <c r="QLI219" s="379"/>
      <c r="QLJ219" s="379"/>
      <c r="QLN219" s="5"/>
      <c r="QLO219" s="5"/>
      <c r="QLP219" s="5"/>
      <c r="QLR219" s="5"/>
      <c r="QLT219" s="5"/>
      <c r="QLU219" s="5"/>
      <c r="QLV219" s="5"/>
      <c r="QLW219" s="18"/>
      <c r="QLZ219" s="409"/>
      <c r="QMA219" s="409"/>
      <c r="QMB219" s="409"/>
      <c r="QMC219" s="409"/>
      <c r="QMD219" s="409"/>
      <c r="QME219" s="409"/>
      <c r="QMF219" s="379"/>
      <c r="QMG219" s="379"/>
      <c r="QMK219" s="5"/>
      <c r="QML219" s="5"/>
      <c r="QMM219" s="5"/>
      <c r="QMO219" s="5"/>
      <c r="QMQ219" s="5"/>
      <c r="QMR219" s="5"/>
      <c r="QMS219" s="5"/>
      <c r="QMT219" s="18"/>
      <c r="QMW219" s="409"/>
      <c r="QMX219" s="409"/>
      <c r="QMY219" s="409"/>
      <c r="QMZ219" s="409"/>
      <c r="QNA219" s="409"/>
      <c r="QNB219" s="409"/>
      <c r="QNC219" s="379"/>
      <c r="QND219" s="379"/>
      <c r="QNH219" s="5"/>
      <c r="QNI219" s="5"/>
      <c r="QNJ219" s="5"/>
      <c r="QNL219" s="5"/>
      <c r="QNN219" s="5"/>
      <c r="QNO219" s="5"/>
      <c r="QNP219" s="5"/>
      <c r="QNQ219" s="18"/>
      <c r="QNT219" s="409"/>
      <c r="QNU219" s="409"/>
      <c r="QNV219" s="409"/>
      <c r="QNW219" s="409"/>
      <c r="QNX219" s="409"/>
      <c r="QNY219" s="409"/>
      <c r="QNZ219" s="379"/>
      <c r="QOA219" s="379"/>
      <c r="QOE219" s="5"/>
      <c r="QOF219" s="5"/>
      <c r="QOG219" s="5"/>
      <c r="QOI219" s="5"/>
      <c r="QOK219" s="5"/>
      <c r="QOL219" s="5"/>
      <c r="QOM219" s="5"/>
      <c r="QON219" s="18"/>
      <c r="QOQ219" s="409"/>
      <c r="QOR219" s="409"/>
      <c r="QOS219" s="409"/>
      <c r="QOT219" s="409"/>
      <c r="QOU219" s="409"/>
      <c r="QOV219" s="409"/>
      <c r="QOW219" s="379"/>
      <c r="QOX219" s="379"/>
      <c r="QPB219" s="5"/>
      <c r="QPC219" s="5"/>
      <c r="QPD219" s="5"/>
      <c r="QPF219" s="5"/>
      <c r="QPH219" s="5"/>
      <c r="QPI219" s="5"/>
      <c r="QPJ219" s="5"/>
      <c r="QPK219" s="18"/>
      <c r="QPN219" s="409"/>
      <c r="QPO219" s="409"/>
      <c r="QPP219" s="409"/>
      <c r="QPQ219" s="409"/>
      <c r="QPR219" s="409"/>
      <c r="QPS219" s="409"/>
      <c r="QPT219" s="379"/>
      <c r="QPU219" s="379"/>
      <c r="QPY219" s="5"/>
      <c r="QPZ219" s="5"/>
      <c r="QQA219" s="5"/>
      <c r="QQC219" s="5"/>
      <c r="QQE219" s="5"/>
      <c r="QQF219" s="5"/>
      <c r="QQG219" s="5"/>
      <c r="QQH219" s="18"/>
      <c r="QQK219" s="409"/>
      <c r="QQL219" s="409"/>
      <c r="QQM219" s="409"/>
      <c r="QQN219" s="409"/>
      <c r="QQO219" s="409"/>
      <c r="QQP219" s="409"/>
      <c r="QQQ219" s="379"/>
      <c r="QQR219" s="379"/>
      <c r="QQV219" s="5"/>
      <c r="QQW219" s="5"/>
      <c r="QQX219" s="5"/>
      <c r="QQZ219" s="5"/>
      <c r="QRB219" s="5"/>
      <c r="QRC219" s="5"/>
      <c r="QRD219" s="5"/>
      <c r="QRE219" s="18"/>
      <c r="QRH219" s="409"/>
      <c r="QRI219" s="409"/>
      <c r="QRJ219" s="409"/>
      <c r="QRK219" s="409"/>
      <c r="QRL219" s="409"/>
      <c r="QRM219" s="409"/>
      <c r="QRN219" s="379"/>
      <c r="QRO219" s="379"/>
      <c r="QRS219" s="5"/>
      <c r="QRT219" s="5"/>
      <c r="QRU219" s="5"/>
      <c r="QRW219" s="5"/>
      <c r="QRY219" s="5"/>
      <c r="QRZ219" s="5"/>
      <c r="QSA219" s="5"/>
      <c r="QSB219" s="18"/>
      <c r="QSE219" s="409"/>
      <c r="QSF219" s="409"/>
      <c r="QSG219" s="409"/>
      <c r="QSH219" s="409"/>
      <c r="QSI219" s="409"/>
      <c r="QSJ219" s="409"/>
      <c r="QSK219" s="379"/>
      <c r="QSL219" s="379"/>
      <c r="QSP219" s="5"/>
      <c r="QSQ219" s="5"/>
      <c r="QSR219" s="5"/>
      <c r="QST219" s="5"/>
      <c r="QSV219" s="5"/>
      <c r="QSW219" s="5"/>
      <c r="QSX219" s="5"/>
      <c r="QSY219" s="18"/>
      <c r="QTB219" s="409"/>
      <c r="QTC219" s="409"/>
      <c r="QTD219" s="409"/>
      <c r="QTE219" s="409"/>
      <c r="QTF219" s="409"/>
      <c r="QTG219" s="409"/>
      <c r="QTH219" s="379"/>
      <c r="QTI219" s="379"/>
      <c r="QTM219" s="5"/>
      <c r="QTN219" s="5"/>
      <c r="QTO219" s="5"/>
      <c r="QTQ219" s="5"/>
      <c r="QTS219" s="5"/>
      <c r="QTT219" s="5"/>
      <c r="QTU219" s="5"/>
      <c r="QTV219" s="18"/>
      <c r="QTY219" s="409"/>
      <c r="QTZ219" s="409"/>
      <c r="QUA219" s="409"/>
      <c r="QUB219" s="409"/>
      <c r="QUC219" s="409"/>
      <c r="QUD219" s="409"/>
      <c r="QUE219" s="379"/>
      <c r="QUF219" s="379"/>
      <c r="QUJ219" s="5"/>
      <c r="QUK219" s="5"/>
      <c r="QUL219" s="5"/>
      <c r="QUN219" s="5"/>
      <c r="QUP219" s="5"/>
      <c r="QUQ219" s="5"/>
      <c r="QUR219" s="5"/>
      <c r="QUS219" s="18"/>
      <c r="QUV219" s="409"/>
      <c r="QUW219" s="409"/>
      <c r="QUX219" s="409"/>
      <c r="QUY219" s="409"/>
      <c r="QUZ219" s="409"/>
      <c r="QVA219" s="409"/>
      <c r="QVB219" s="379"/>
      <c r="QVC219" s="379"/>
      <c r="QVG219" s="5"/>
      <c r="QVH219" s="5"/>
      <c r="QVI219" s="5"/>
      <c r="QVK219" s="5"/>
      <c r="QVM219" s="5"/>
      <c r="QVN219" s="5"/>
      <c r="QVO219" s="5"/>
      <c r="QVP219" s="18"/>
      <c r="QVS219" s="409"/>
      <c r="QVT219" s="409"/>
      <c r="QVU219" s="409"/>
      <c r="QVV219" s="409"/>
      <c r="QVW219" s="409"/>
      <c r="QVX219" s="409"/>
      <c r="QVY219" s="379"/>
      <c r="QVZ219" s="379"/>
      <c r="QWD219" s="5"/>
      <c r="QWE219" s="5"/>
      <c r="QWF219" s="5"/>
      <c r="QWH219" s="5"/>
      <c r="QWJ219" s="5"/>
      <c r="QWK219" s="5"/>
      <c r="QWL219" s="5"/>
      <c r="QWM219" s="18"/>
      <c r="QWP219" s="409"/>
      <c r="QWQ219" s="409"/>
      <c r="QWR219" s="409"/>
      <c r="QWS219" s="409"/>
      <c r="QWT219" s="409"/>
      <c r="QWU219" s="409"/>
      <c r="QWV219" s="379"/>
      <c r="QWW219" s="379"/>
      <c r="QXA219" s="5"/>
      <c r="QXB219" s="5"/>
      <c r="QXC219" s="5"/>
      <c r="QXE219" s="5"/>
      <c r="QXG219" s="5"/>
      <c r="QXH219" s="5"/>
      <c r="QXI219" s="5"/>
      <c r="QXJ219" s="18"/>
      <c r="QXM219" s="409"/>
      <c r="QXN219" s="409"/>
      <c r="QXO219" s="409"/>
      <c r="QXP219" s="409"/>
      <c r="QXQ219" s="409"/>
      <c r="QXR219" s="409"/>
      <c r="QXS219" s="379"/>
      <c r="QXT219" s="379"/>
      <c r="QXX219" s="5"/>
      <c r="QXY219" s="5"/>
      <c r="QXZ219" s="5"/>
      <c r="QYB219" s="5"/>
      <c r="QYD219" s="5"/>
      <c r="QYE219" s="5"/>
      <c r="QYF219" s="5"/>
      <c r="QYG219" s="18"/>
      <c r="QYJ219" s="409"/>
      <c r="QYK219" s="409"/>
      <c r="QYL219" s="409"/>
      <c r="QYM219" s="409"/>
      <c r="QYN219" s="409"/>
      <c r="QYO219" s="409"/>
      <c r="QYP219" s="379"/>
      <c r="QYQ219" s="379"/>
      <c r="QYU219" s="5"/>
      <c r="QYV219" s="5"/>
      <c r="QYW219" s="5"/>
      <c r="QYY219" s="5"/>
      <c r="QZA219" s="5"/>
      <c r="QZB219" s="5"/>
      <c r="QZC219" s="5"/>
      <c r="QZD219" s="18"/>
      <c r="QZG219" s="409"/>
      <c r="QZH219" s="409"/>
      <c r="QZI219" s="409"/>
      <c r="QZJ219" s="409"/>
      <c r="QZK219" s="409"/>
      <c r="QZL219" s="409"/>
      <c r="QZM219" s="379"/>
      <c r="QZN219" s="379"/>
      <c r="QZR219" s="5"/>
      <c r="QZS219" s="5"/>
      <c r="QZT219" s="5"/>
      <c r="QZV219" s="5"/>
      <c r="QZX219" s="5"/>
      <c r="QZY219" s="5"/>
      <c r="QZZ219" s="5"/>
      <c r="RAA219" s="18"/>
      <c r="RAD219" s="409"/>
      <c r="RAE219" s="409"/>
      <c r="RAF219" s="409"/>
      <c r="RAG219" s="409"/>
      <c r="RAH219" s="409"/>
      <c r="RAI219" s="409"/>
      <c r="RAJ219" s="379"/>
      <c r="RAK219" s="379"/>
      <c r="RAO219" s="5"/>
      <c r="RAP219" s="5"/>
      <c r="RAQ219" s="5"/>
      <c r="RAS219" s="5"/>
      <c r="RAU219" s="5"/>
      <c r="RAV219" s="5"/>
      <c r="RAW219" s="5"/>
      <c r="RAX219" s="18"/>
      <c r="RBA219" s="409"/>
      <c r="RBB219" s="409"/>
      <c r="RBC219" s="409"/>
      <c r="RBD219" s="409"/>
      <c r="RBE219" s="409"/>
      <c r="RBF219" s="409"/>
      <c r="RBG219" s="379"/>
      <c r="RBH219" s="379"/>
      <c r="RBL219" s="5"/>
      <c r="RBM219" s="5"/>
      <c r="RBN219" s="5"/>
      <c r="RBP219" s="5"/>
      <c r="RBR219" s="5"/>
      <c r="RBS219" s="5"/>
      <c r="RBT219" s="5"/>
      <c r="RBU219" s="18"/>
      <c r="RBX219" s="409"/>
      <c r="RBY219" s="409"/>
      <c r="RBZ219" s="409"/>
      <c r="RCA219" s="409"/>
      <c r="RCB219" s="409"/>
      <c r="RCC219" s="409"/>
      <c r="RCD219" s="379"/>
      <c r="RCE219" s="379"/>
      <c r="RCI219" s="5"/>
      <c r="RCJ219" s="5"/>
      <c r="RCK219" s="5"/>
      <c r="RCM219" s="5"/>
      <c r="RCO219" s="5"/>
      <c r="RCP219" s="5"/>
      <c r="RCQ219" s="5"/>
      <c r="RCR219" s="18"/>
      <c r="RCU219" s="409"/>
      <c r="RCV219" s="409"/>
      <c r="RCW219" s="409"/>
      <c r="RCX219" s="409"/>
      <c r="RCY219" s="409"/>
      <c r="RCZ219" s="409"/>
      <c r="RDA219" s="379"/>
      <c r="RDB219" s="379"/>
      <c r="RDF219" s="5"/>
      <c r="RDG219" s="5"/>
      <c r="RDH219" s="5"/>
      <c r="RDJ219" s="5"/>
      <c r="RDL219" s="5"/>
      <c r="RDM219" s="5"/>
      <c r="RDN219" s="5"/>
      <c r="RDO219" s="18"/>
      <c r="RDR219" s="409"/>
      <c r="RDS219" s="409"/>
      <c r="RDT219" s="409"/>
      <c r="RDU219" s="409"/>
      <c r="RDV219" s="409"/>
      <c r="RDW219" s="409"/>
      <c r="RDX219" s="379"/>
      <c r="RDY219" s="379"/>
      <c r="REC219" s="5"/>
      <c r="RED219" s="5"/>
      <c r="REE219" s="5"/>
      <c r="REG219" s="5"/>
      <c r="REI219" s="5"/>
      <c r="REJ219" s="5"/>
      <c r="REK219" s="5"/>
      <c r="REL219" s="18"/>
      <c r="REO219" s="409"/>
      <c r="REP219" s="409"/>
      <c r="REQ219" s="409"/>
      <c r="RER219" s="409"/>
      <c r="RES219" s="409"/>
      <c r="RET219" s="409"/>
      <c r="REU219" s="379"/>
      <c r="REV219" s="379"/>
      <c r="REZ219" s="5"/>
      <c r="RFA219" s="5"/>
      <c r="RFB219" s="5"/>
      <c r="RFD219" s="5"/>
      <c r="RFF219" s="5"/>
      <c r="RFG219" s="5"/>
      <c r="RFH219" s="5"/>
      <c r="RFI219" s="18"/>
      <c r="RFL219" s="409"/>
      <c r="RFM219" s="409"/>
      <c r="RFN219" s="409"/>
      <c r="RFO219" s="409"/>
      <c r="RFP219" s="409"/>
      <c r="RFQ219" s="409"/>
      <c r="RFR219" s="379"/>
      <c r="RFS219" s="379"/>
      <c r="RFW219" s="5"/>
      <c r="RFX219" s="5"/>
      <c r="RFY219" s="5"/>
      <c r="RGA219" s="5"/>
      <c r="RGC219" s="5"/>
      <c r="RGD219" s="5"/>
      <c r="RGE219" s="5"/>
      <c r="RGF219" s="18"/>
      <c r="RGI219" s="409"/>
      <c r="RGJ219" s="409"/>
      <c r="RGK219" s="409"/>
      <c r="RGL219" s="409"/>
      <c r="RGM219" s="409"/>
      <c r="RGN219" s="409"/>
      <c r="RGO219" s="379"/>
      <c r="RGP219" s="379"/>
      <c r="RGT219" s="5"/>
      <c r="RGU219" s="5"/>
      <c r="RGV219" s="5"/>
      <c r="RGX219" s="5"/>
      <c r="RGZ219" s="5"/>
      <c r="RHA219" s="5"/>
      <c r="RHB219" s="5"/>
      <c r="RHC219" s="18"/>
      <c r="RHF219" s="409"/>
      <c r="RHG219" s="409"/>
      <c r="RHH219" s="409"/>
      <c r="RHI219" s="409"/>
      <c r="RHJ219" s="409"/>
      <c r="RHK219" s="409"/>
      <c r="RHL219" s="379"/>
      <c r="RHM219" s="379"/>
      <c r="RHQ219" s="5"/>
      <c r="RHR219" s="5"/>
      <c r="RHS219" s="5"/>
      <c r="RHU219" s="5"/>
      <c r="RHW219" s="5"/>
      <c r="RHX219" s="5"/>
      <c r="RHY219" s="5"/>
      <c r="RHZ219" s="18"/>
      <c r="RIC219" s="409"/>
      <c r="RID219" s="409"/>
      <c r="RIE219" s="409"/>
      <c r="RIF219" s="409"/>
      <c r="RIG219" s="409"/>
      <c r="RIH219" s="409"/>
      <c r="RII219" s="379"/>
      <c r="RIJ219" s="379"/>
      <c r="RIN219" s="5"/>
      <c r="RIO219" s="5"/>
      <c r="RIP219" s="5"/>
      <c r="RIR219" s="5"/>
      <c r="RIT219" s="5"/>
      <c r="RIU219" s="5"/>
      <c r="RIV219" s="5"/>
      <c r="RIW219" s="18"/>
      <c r="RIZ219" s="409"/>
      <c r="RJA219" s="409"/>
      <c r="RJB219" s="409"/>
      <c r="RJC219" s="409"/>
      <c r="RJD219" s="409"/>
      <c r="RJE219" s="409"/>
      <c r="RJF219" s="379"/>
      <c r="RJG219" s="379"/>
      <c r="RJK219" s="5"/>
      <c r="RJL219" s="5"/>
      <c r="RJM219" s="5"/>
      <c r="RJO219" s="5"/>
      <c r="RJQ219" s="5"/>
      <c r="RJR219" s="5"/>
      <c r="RJS219" s="5"/>
      <c r="RJT219" s="18"/>
      <c r="RJW219" s="409"/>
      <c r="RJX219" s="409"/>
      <c r="RJY219" s="409"/>
      <c r="RJZ219" s="409"/>
      <c r="RKA219" s="409"/>
      <c r="RKB219" s="409"/>
      <c r="RKC219" s="379"/>
      <c r="RKD219" s="379"/>
      <c r="RKH219" s="5"/>
      <c r="RKI219" s="5"/>
      <c r="RKJ219" s="5"/>
      <c r="RKL219" s="5"/>
      <c r="RKN219" s="5"/>
      <c r="RKO219" s="5"/>
      <c r="RKP219" s="5"/>
      <c r="RKQ219" s="18"/>
      <c r="RKT219" s="409"/>
      <c r="RKU219" s="409"/>
      <c r="RKV219" s="409"/>
      <c r="RKW219" s="409"/>
      <c r="RKX219" s="409"/>
      <c r="RKY219" s="409"/>
      <c r="RKZ219" s="379"/>
      <c r="RLA219" s="379"/>
      <c r="RLE219" s="5"/>
      <c r="RLF219" s="5"/>
      <c r="RLG219" s="5"/>
      <c r="RLI219" s="5"/>
      <c r="RLK219" s="5"/>
      <c r="RLL219" s="5"/>
      <c r="RLM219" s="5"/>
      <c r="RLN219" s="18"/>
      <c r="RLQ219" s="409"/>
      <c r="RLR219" s="409"/>
      <c r="RLS219" s="409"/>
      <c r="RLT219" s="409"/>
      <c r="RLU219" s="409"/>
      <c r="RLV219" s="409"/>
      <c r="RLW219" s="379"/>
      <c r="RLX219" s="379"/>
      <c r="RMB219" s="5"/>
      <c r="RMC219" s="5"/>
      <c r="RMD219" s="5"/>
      <c r="RMF219" s="5"/>
      <c r="RMH219" s="5"/>
      <c r="RMI219" s="5"/>
      <c r="RMJ219" s="5"/>
      <c r="RMK219" s="18"/>
      <c r="RMN219" s="409"/>
      <c r="RMO219" s="409"/>
      <c r="RMP219" s="409"/>
      <c r="RMQ219" s="409"/>
      <c r="RMR219" s="409"/>
      <c r="RMS219" s="409"/>
      <c r="RMT219" s="379"/>
      <c r="RMU219" s="379"/>
      <c r="RMY219" s="5"/>
      <c r="RMZ219" s="5"/>
      <c r="RNA219" s="5"/>
      <c r="RNC219" s="5"/>
      <c r="RNE219" s="5"/>
      <c r="RNF219" s="5"/>
      <c r="RNG219" s="5"/>
      <c r="RNH219" s="18"/>
      <c r="RNK219" s="409"/>
      <c r="RNL219" s="409"/>
      <c r="RNM219" s="409"/>
      <c r="RNN219" s="409"/>
      <c r="RNO219" s="409"/>
      <c r="RNP219" s="409"/>
      <c r="RNQ219" s="379"/>
      <c r="RNR219" s="379"/>
      <c r="RNV219" s="5"/>
      <c r="RNW219" s="5"/>
      <c r="RNX219" s="5"/>
      <c r="RNZ219" s="5"/>
      <c r="ROB219" s="5"/>
      <c r="ROC219" s="5"/>
      <c r="ROD219" s="5"/>
      <c r="ROE219" s="18"/>
      <c r="ROH219" s="409"/>
      <c r="ROI219" s="409"/>
      <c r="ROJ219" s="409"/>
      <c r="ROK219" s="409"/>
      <c r="ROL219" s="409"/>
      <c r="ROM219" s="409"/>
      <c r="RON219" s="379"/>
      <c r="ROO219" s="379"/>
      <c r="ROS219" s="5"/>
      <c r="ROT219" s="5"/>
      <c r="ROU219" s="5"/>
      <c r="ROW219" s="5"/>
      <c r="ROY219" s="5"/>
      <c r="ROZ219" s="5"/>
      <c r="RPA219" s="5"/>
      <c r="RPB219" s="18"/>
      <c r="RPE219" s="409"/>
      <c r="RPF219" s="409"/>
      <c r="RPG219" s="409"/>
      <c r="RPH219" s="409"/>
      <c r="RPI219" s="409"/>
      <c r="RPJ219" s="409"/>
      <c r="RPK219" s="379"/>
      <c r="RPL219" s="379"/>
      <c r="RPP219" s="5"/>
      <c r="RPQ219" s="5"/>
      <c r="RPR219" s="5"/>
      <c r="RPT219" s="5"/>
      <c r="RPV219" s="5"/>
      <c r="RPW219" s="5"/>
      <c r="RPX219" s="5"/>
      <c r="RPY219" s="18"/>
      <c r="RQB219" s="409"/>
      <c r="RQC219" s="409"/>
      <c r="RQD219" s="409"/>
      <c r="RQE219" s="409"/>
      <c r="RQF219" s="409"/>
      <c r="RQG219" s="409"/>
      <c r="RQH219" s="379"/>
      <c r="RQI219" s="379"/>
      <c r="RQM219" s="5"/>
      <c r="RQN219" s="5"/>
      <c r="RQO219" s="5"/>
      <c r="RQQ219" s="5"/>
      <c r="RQS219" s="5"/>
      <c r="RQT219" s="5"/>
      <c r="RQU219" s="5"/>
      <c r="RQV219" s="18"/>
      <c r="RQY219" s="409"/>
      <c r="RQZ219" s="409"/>
      <c r="RRA219" s="409"/>
      <c r="RRB219" s="409"/>
      <c r="RRC219" s="409"/>
      <c r="RRD219" s="409"/>
      <c r="RRE219" s="379"/>
      <c r="RRF219" s="379"/>
      <c r="RRJ219" s="5"/>
      <c r="RRK219" s="5"/>
      <c r="RRL219" s="5"/>
      <c r="RRN219" s="5"/>
      <c r="RRP219" s="5"/>
      <c r="RRQ219" s="5"/>
      <c r="RRR219" s="5"/>
      <c r="RRS219" s="18"/>
      <c r="RRV219" s="409"/>
      <c r="RRW219" s="409"/>
      <c r="RRX219" s="409"/>
      <c r="RRY219" s="409"/>
      <c r="RRZ219" s="409"/>
      <c r="RSA219" s="409"/>
      <c r="RSB219" s="379"/>
      <c r="RSC219" s="379"/>
      <c r="RSG219" s="5"/>
      <c r="RSH219" s="5"/>
      <c r="RSI219" s="5"/>
      <c r="RSK219" s="5"/>
      <c r="RSM219" s="5"/>
      <c r="RSN219" s="5"/>
      <c r="RSO219" s="5"/>
      <c r="RSP219" s="18"/>
      <c r="RSS219" s="409"/>
      <c r="RST219" s="409"/>
      <c r="RSU219" s="409"/>
      <c r="RSV219" s="409"/>
      <c r="RSW219" s="409"/>
      <c r="RSX219" s="409"/>
      <c r="RSY219" s="379"/>
      <c r="RSZ219" s="379"/>
      <c r="RTD219" s="5"/>
      <c r="RTE219" s="5"/>
      <c r="RTF219" s="5"/>
      <c r="RTH219" s="5"/>
      <c r="RTJ219" s="5"/>
      <c r="RTK219" s="5"/>
      <c r="RTL219" s="5"/>
      <c r="RTM219" s="18"/>
      <c r="RTP219" s="409"/>
      <c r="RTQ219" s="409"/>
      <c r="RTR219" s="409"/>
      <c r="RTS219" s="409"/>
      <c r="RTT219" s="409"/>
      <c r="RTU219" s="409"/>
      <c r="RTV219" s="379"/>
      <c r="RTW219" s="379"/>
      <c r="RUA219" s="5"/>
      <c r="RUB219" s="5"/>
      <c r="RUC219" s="5"/>
      <c r="RUE219" s="5"/>
      <c r="RUG219" s="5"/>
      <c r="RUH219" s="5"/>
      <c r="RUI219" s="5"/>
      <c r="RUJ219" s="18"/>
      <c r="RUM219" s="409"/>
      <c r="RUN219" s="409"/>
      <c r="RUO219" s="409"/>
      <c r="RUP219" s="409"/>
      <c r="RUQ219" s="409"/>
      <c r="RUR219" s="409"/>
      <c r="RUS219" s="379"/>
      <c r="RUT219" s="379"/>
      <c r="RUX219" s="5"/>
      <c r="RUY219" s="5"/>
      <c r="RUZ219" s="5"/>
      <c r="RVB219" s="5"/>
      <c r="RVD219" s="5"/>
      <c r="RVE219" s="5"/>
      <c r="RVF219" s="5"/>
      <c r="RVG219" s="18"/>
      <c r="RVJ219" s="409"/>
      <c r="RVK219" s="409"/>
      <c r="RVL219" s="409"/>
      <c r="RVM219" s="409"/>
      <c r="RVN219" s="409"/>
      <c r="RVO219" s="409"/>
      <c r="RVP219" s="379"/>
      <c r="RVQ219" s="379"/>
      <c r="RVU219" s="5"/>
      <c r="RVV219" s="5"/>
      <c r="RVW219" s="5"/>
      <c r="RVY219" s="5"/>
      <c r="RWA219" s="5"/>
      <c r="RWB219" s="5"/>
      <c r="RWC219" s="5"/>
      <c r="RWD219" s="18"/>
      <c r="RWG219" s="409"/>
      <c r="RWH219" s="409"/>
      <c r="RWI219" s="409"/>
      <c r="RWJ219" s="409"/>
      <c r="RWK219" s="409"/>
      <c r="RWL219" s="409"/>
      <c r="RWM219" s="379"/>
      <c r="RWN219" s="379"/>
      <c r="RWR219" s="5"/>
      <c r="RWS219" s="5"/>
      <c r="RWT219" s="5"/>
      <c r="RWV219" s="5"/>
      <c r="RWX219" s="5"/>
      <c r="RWY219" s="5"/>
      <c r="RWZ219" s="5"/>
      <c r="RXA219" s="18"/>
      <c r="RXD219" s="409"/>
      <c r="RXE219" s="409"/>
      <c r="RXF219" s="409"/>
      <c r="RXG219" s="409"/>
      <c r="RXH219" s="409"/>
      <c r="RXI219" s="409"/>
      <c r="RXJ219" s="379"/>
      <c r="RXK219" s="379"/>
      <c r="RXO219" s="5"/>
      <c r="RXP219" s="5"/>
      <c r="RXQ219" s="5"/>
      <c r="RXS219" s="5"/>
      <c r="RXU219" s="5"/>
      <c r="RXV219" s="5"/>
      <c r="RXW219" s="5"/>
      <c r="RXX219" s="18"/>
      <c r="RYA219" s="409"/>
      <c r="RYB219" s="409"/>
      <c r="RYC219" s="409"/>
      <c r="RYD219" s="409"/>
      <c r="RYE219" s="409"/>
      <c r="RYF219" s="409"/>
      <c r="RYG219" s="379"/>
      <c r="RYH219" s="379"/>
      <c r="RYL219" s="5"/>
      <c r="RYM219" s="5"/>
      <c r="RYN219" s="5"/>
      <c r="RYP219" s="5"/>
      <c r="RYR219" s="5"/>
      <c r="RYS219" s="5"/>
      <c r="RYT219" s="5"/>
      <c r="RYU219" s="18"/>
      <c r="RYX219" s="409"/>
      <c r="RYY219" s="409"/>
      <c r="RYZ219" s="409"/>
      <c r="RZA219" s="409"/>
      <c r="RZB219" s="409"/>
      <c r="RZC219" s="409"/>
      <c r="RZD219" s="379"/>
      <c r="RZE219" s="379"/>
      <c r="RZI219" s="5"/>
      <c r="RZJ219" s="5"/>
      <c r="RZK219" s="5"/>
      <c r="RZM219" s="5"/>
      <c r="RZO219" s="5"/>
      <c r="RZP219" s="5"/>
      <c r="RZQ219" s="5"/>
      <c r="RZR219" s="18"/>
      <c r="RZU219" s="409"/>
      <c r="RZV219" s="409"/>
      <c r="RZW219" s="409"/>
      <c r="RZX219" s="409"/>
      <c r="RZY219" s="409"/>
      <c r="RZZ219" s="409"/>
      <c r="SAA219" s="379"/>
      <c r="SAB219" s="379"/>
      <c r="SAF219" s="5"/>
      <c r="SAG219" s="5"/>
      <c r="SAH219" s="5"/>
      <c r="SAJ219" s="5"/>
      <c r="SAL219" s="5"/>
      <c r="SAM219" s="5"/>
      <c r="SAN219" s="5"/>
      <c r="SAO219" s="18"/>
      <c r="SAR219" s="409"/>
      <c r="SAS219" s="409"/>
      <c r="SAT219" s="409"/>
      <c r="SAU219" s="409"/>
      <c r="SAV219" s="409"/>
      <c r="SAW219" s="409"/>
      <c r="SAX219" s="379"/>
      <c r="SAY219" s="379"/>
      <c r="SBC219" s="5"/>
      <c r="SBD219" s="5"/>
      <c r="SBE219" s="5"/>
      <c r="SBG219" s="5"/>
      <c r="SBI219" s="5"/>
      <c r="SBJ219" s="5"/>
      <c r="SBK219" s="5"/>
      <c r="SBL219" s="18"/>
      <c r="SBO219" s="409"/>
      <c r="SBP219" s="409"/>
      <c r="SBQ219" s="409"/>
      <c r="SBR219" s="409"/>
      <c r="SBS219" s="409"/>
      <c r="SBT219" s="409"/>
      <c r="SBU219" s="379"/>
      <c r="SBV219" s="379"/>
      <c r="SBZ219" s="5"/>
      <c r="SCA219" s="5"/>
      <c r="SCB219" s="5"/>
      <c r="SCD219" s="5"/>
      <c r="SCF219" s="5"/>
      <c r="SCG219" s="5"/>
      <c r="SCH219" s="5"/>
      <c r="SCI219" s="18"/>
      <c r="SCL219" s="409"/>
      <c r="SCM219" s="409"/>
      <c r="SCN219" s="409"/>
      <c r="SCO219" s="409"/>
      <c r="SCP219" s="409"/>
      <c r="SCQ219" s="409"/>
      <c r="SCR219" s="379"/>
      <c r="SCS219" s="379"/>
      <c r="SCW219" s="5"/>
      <c r="SCX219" s="5"/>
      <c r="SCY219" s="5"/>
      <c r="SDA219" s="5"/>
      <c r="SDC219" s="5"/>
      <c r="SDD219" s="5"/>
      <c r="SDE219" s="5"/>
      <c r="SDF219" s="18"/>
      <c r="SDI219" s="409"/>
      <c r="SDJ219" s="409"/>
      <c r="SDK219" s="409"/>
      <c r="SDL219" s="409"/>
      <c r="SDM219" s="409"/>
      <c r="SDN219" s="409"/>
      <c r="SDO219" s="379"/>
      <c r="SDP219" s="379"/>
      <c r="SDT219" s="5"/>
      <c r="SDU219" s="5"/>
      <c r="SDV219" s="5"/>
      <c r="SDX219" s="5"/>
      <c r="SDZ219" s="5"/>
      <c r="SEA219" s="5"/>
      <c r="SEB219" s="5"/>
      <c r="SEC219" s="18"/>
      <c r="SEF219" s="409"/>
      <c r="SEG219" s="409"/>
      <c r="SEH219" s="409"/>
      <c r="SEI219" s="409"/>
      <c r="SEJ219" s="409"/>
      <c r="SEK219" s="409"/>
      <c r="SEL219" s="379"/>
      <c r="SEM219" s="379"/>
      <c r="SEQ219" s="5"/>
      <c r="SER219" s="5"/>
      <c r="SES219" s="5"/>
      <c r="SEU219" s="5"/>
      <c r="SEW219" s="5"/>
      <c r="SEX219" s="5"/>
      <c r="SEY219" s="5"/>
      <c r="SEZ219" s="18"/>
      <c r="SFC219" s="409"/>
      <c r="SFD219" s="409"/>
      <c r="SFE219" s="409"/>
      <c r="SFF219" s="409"/>
      <c r="SFG219" s="409"/>
      <c r="SFH219" s="409"/>
      <c r="SFI219" s="379"/>
      <c r="SFJ219" s="379"/>
      <c r="SFN219" s="5"/>
      <c r="SFO219" s="5"/>
      <c r="SFP219" s="5"/>
      <c r="SFR219" s="5"/>
      <c r="SFT219" s="5"/>
      <c r="SFU219" s="5"/>
      <c r="SFV219" s="5"/>
      <c r="SFW219" s="18"/>
      <c r="SFZ219" s="409"/>
      <c r="SGA219" s="409"/>
      <c r="SGB219" s="409"/>
      <c r="SGC219" s="409"/>
      <c r="SGD219" s="409"/>
      <c r="SGE219" s="409"/>
      <c r="SGF219" s="379"/>
      <c r="SGG219" s="379"/>
      <c r="SGK219" s="5"/>
      <c r="SGL219" s="5"/>
      <c r="SGM219" s="5"/>
      <c r="SGO219" s="5"/>
      <c r="SGQ219" s="5"/>
      <c r="SGR219" s="5"/>
      <c r="SGS219" s="5"/>
      <c r="SGT219" s="18"/>
      <c r="SGW219" s="409"/>
      <c r="SGX219" s="409"/>
      <c r="SGY219" s="409"/>
      <c r="SGZ219" s="409"/>
      <c r="SHA219" s="409"/>
      <c r="SHB219" s="409"/>
      <c r="SHC219" s="379"/>
      <c r="SHD219" s="379"/>
      <c r="SHH219" s="5"/>
      <c r="SHI219" s="5"/>
      <c r="SHJ219" s="5"/>
      <c r="SHL219" s="5"/>
      <c r="SHN219" s="5"/>
      <c r="SHO219" s="5"/>
      <c r="SHP219" s="5"/>
      <c r="SHQ219" s="18"/>
      <c r="SHT219" s="409"/>
      <c r="SHU219" s="409"/>
      <c r="SHV219" s="409"/>
      <c r="SHW219" s="409"/>
      <c r="SHX219" s="409"/>
      <c r="SHY219" s="409"/>
      <c r="SHZ219" s="379"/>
      <c r="SIA219" s="379"/>
      <c r="SIE219" s="5"/>
      <c r="SIF219" s="5"/>
      <c r="SIG219" s="5"/>
      <c r="SII219" s="5"/>
      <c r="SIK219" s="5"/>
      <c r="SIL219" s="5"/>
      <c r="SIM219" s="5"/>
      <c r="SIN219" s="18"/>
      <c r="SIQ219" s="409"/>
      <c r="SIR219" s="409"/>
      <c r="SIS219" s="409"/>
      <c r="SIT219" s="409"/>
      <c r="SIU219" s="409"/>
      <c r="SIV219" s="409"/>
      <c r="SIW219" s="379"/>
      <c r="SIX219" s="379"/>
      <c r="SJB219" s="5"/>
      <c r="SJC219" s="5"/>
      <c r="SJD219" s="5"/>
      <c r="SJF219" s="5"/>
      <c r="SJH219" s="5"/>
      <c r="SJI219" s="5"/>
      <c r="SJJ219" s="5"/>
      <c r="SJK219" s="18"/>
      <c r="SJN219" s="409"/>
      <c r="SJO219" s="409"/>
      <c r="SJP219" s="409"/>
      <c r="SJQ219" s="409"/>
      <c r="SJR219" s="409"/>
      <c r="SJS219" s="409"/>
      <c r="SJT219" s="379"/>
      <c r="SJU219" s="379"/>
      <c r="SJY219" s="5"/>
      <c r="SJZ219" s="5"/>
      <c r="SKA219" s="5"/>
      <c r="SKC219" s="5"/>
      <c r="SKE219" s="5"/>
      <c r="SKF219" s="5"/>
      <c r="SKG219" s="5"/>
      <c r="SKH219" s="18"/>
      <c r="SKK219" s="409"/>
      <c r="SKL219" s="409"/>
      <c r="SKM219" s="409"/>
      <c r="SKN219" s="409"/>
      <c r="SKO219" s="409"/>
      <c r="SKP219" s="409"/>
      <c r="SKQ219" s="379"/>
      <c r="SKR219" s="379"/>
      <c r="SKV219" s="5"/>
      <c r="SKW219" s="5"/>
      <c r="SKX219" s="5"/>
      <c r="SKZ219" s="5"/>
      <c r="SLB219" s="5"/>
      <c r="SLC219" s="5"/>
      <c r="SLD219" s="5"/>
      <c r="SLE219" s="18"/>
      <c r="SLH219" s="409"/>
      <c r="SLI219" s="409"/>
      <c r="SLJ219" s="409"/>
      <c r="SLK219" s="409"/>
      <c r="SLL219" s="409"/>
      <c r="SLM219" s="409"/>
      <c r="SLN219" s="379"/>
      <c r="SLO219" s="379"/>
      <c r="SLS219" s="5"/>
      <c r="SLT219" s="5"/>
      <c r="SLU219" s="5"/>
      <c r="SLW219" s="5"/>
      <c r="SLY219" s="5"/>
      <c r="SLZ219" s="5"/>
      <c r="SMA219" s="5"/>
      <c r="SMB219" s="18"/>
      <c r="SME219" s="409"/>
      <c r="SMF219" s="409"/>
      <c r="SMG219" s="409"/>
      <c r="SMH219" s="409"/>
      <c r="SMI219" s="409"/>
      <c r="SMJ219" s="409"/>
      <c r="SMK219" s="379"/>
      <c r="SML219" s="379"/>
      <c r="SMP219" s="5"/>
      <c r="SMQ219" s="5"/>
      <c r="SMR219" s="5"/>
      <c r="SMT219" s="5"/>
      <c r="SMV219" s="5"/>
      <c r="SMW219" s="5"/>
      <c r="SMX219" s="5"/>
      <c r="SMY219" s="18"/>
      <c r="SNB219" s="409"/>
      <c r="SNC219" s="409"/>
      <c r="SND219" s="409"/>
      <c r="SNE219" s="409"/>
      <c r="SNF219" s="409"/>
      <c r="SNG219" s="409"/>
      <c r="SNH219" s="379"/>
      <c r="SNI219" s="379"/>
      <c r="SNM219" s="5"/>
      <c r="SNN219" s="5"/>
      <c r="SNO219" s="5"/>
      <c r="SNQ219" s="5"/>
      <c r="SNS219" s="5"/>
      <c r="SNT219" s="5"/>
      <c r="SNU219" s="5"/>
      <c r="SNV219" s="18"/>
      <c r="SNY219" s="409"/>
      <c r="SNZ219" s="409"/>
      <c r="SOA219" s="409"/>
      <c r="SOB219" s="409"/>
      <c r="SOC219" s="409"/>
      <c r="SOD219" s="409"/>
      <c r="SOE219" s="379"/>
      <c r="SOF219" s="379"/>
      <c r="SOJ219" s="5"/>
      <c r="SOK219" s="5"/>
      <c r="SOL219" s="5"/>
      <c r="SON219" s="5"/>
      <c r="SOP219" s="5"/>
      <c r="SOQ219" s="5"/>
      <c r="SOR219" s="5"/>
      <c r="SOS219" s="18"/>
      <c r="SOV219" s="409"/>
      <c r="SOW219" s="409"/>
      <c r="SOX219" s="409"/>
      <c r="SOY219" s="409"/>
      <c r="SOZ219" s="409"/>
      <c r="SPA219" s="409"/>
      <c r="SPB219" s="379"/>
      <c r="SPC219" s="379"/>
      <c r="SPG219" s="5"/>
      <c r="SPH219" s="5"/>
      <c r="SPI219" s="5"/>
      <c r="SPK219" s="5"/>
      <c r="SPM219" s="5"/>
      <c r="SPN219" s="5"/>
      <c r="SPO219" s="5"/>
      <c r="SPP219" s="18"/>
      <c r="SPS219" s="409"/>
      <c r="SPT219" s="409"/>
      <c r="SPU219" s="409"/>
      <c r="SPV219" s="409"/>
      <c r="SPW219" s="409"/>
      <c r="SPX219" s="409"/>
      <c r="SPY219" s="379"/>
      <c r="SPZ219" s="379"/>
      <c r="SQD219" s="5"/>
      <c r="SQE219" s="5"/>
      <c r="SQF219" s="5"/>
      <c r="SQH219" s="5"/>
      <c r="SQJ219" s="5"/>
      <c r="SQK219" s="5"/>
      <c r="SQL219" s="5"/>
      <c r="SQM219" s="18"/>
      <c r="SQP219" s="409"/>
      <c r="SQQ219" s="409"/>
      <c r="SQR219" s="409"/>
      <c r="SQS219" s="409"/>
      <c r="SQT219" s="409"/>
      <c r="SQU219" s="409"/>
      <c r="SQV219" s="379"/>
      <c r="SQW219" s="379"/>
      <c r="SRA219" s="5"/>
      <c r="SRB219" s="5"/>
      <c r="SRC219" s="5"/>
      <c r="SRE219" s="5"/>
      <c r="SRG219" s="5"/>
      <c r="SRH219" s="5"/>
      <c r="SRI219" s="5"/>
      <c r="SRJ219" s="18"/>
      <c r="SRM219" s="409"/>
      <c r="SRN219" s="409"/>
      <c r="SRO219" s="409"/>
      <c r="SRP219" s="409"/>
      <c r="SRQ219" s="409"/>
      <c r="SRR219" s="409"/>
      <c r="SRS219" s="379"/>
      <c r="SRT219" s="379"/>
      <c r="SRX219" s="5"/>
      <c r="SRY219" s="5"/>
      <c r="SRZ219" s="5"/>
      <c r="SSB219" s="5"/>
      <c r="SSD219" s="5"/>
      <c r="SSE219" s="5"/>
      <c r="SSF219" s="5"/>
      <c r="SSG219" s="18"/>
      <c r="SSJ219" s="409"/>
      <c r="SSK219" s="409"/>
      <c r="SSL219" s="409"/>
      <c r="SSM219" s="409"/>
      <c r="SSN219" s="409"/>
      <c r="SSO219" s="409"/>
      <c r="SSP219" s="379"/>
      <c r="SSQ219" s="379"/>
      <c r="SSU219" s="5"/>
      <c r="SSV219" s="5"/>
      <c r="SSW219" s="5"/>
      <c r="SSY219" s="5"/>
      <c r="STA219" s="5"/>
      <c r="STB219" s="5"/>
      <c r="STC219" s="5"/>
      <c r="STD219" s="18"/>
      <c r="STG219" s="409"/>
      <c r="STH219" s="409"/>
      <c r="STI219" s="409"/>
      <c r="STJ219" s="409"/>
      <c r="STK219" s="409"/>
      <c r="STL219" s="409"/>
      <c r="STM219" s="379"/>
      <c r="STN219" s="379"/>
      <c r="STR219" s="5"/>
      <c r="STS219" s="5"/>
      <c r="STT219" s="5"/>
      <c r="STV219" s="5"/>
      <c r="STX219" s="5"/>
      <c r="STY219" s="5"/>
      <c r="STZ219" s="5"/>
      <c r="SUA219" s="18"/>
      <c r="SUD219" s="409"/>
      <c r="SUE219" s="409"/>
      <c r="SUF219" s="409"/>
      <c r="SUG219" s="409"/>
      <c r="SUH219" s="409"/>
      <c r="SUI219" s="409"/>
      <c r="SUJ219" s="379"/>
      <c r="SUK219" s="379"/>
      <c r="SUO219" s="5"/>
      <c r="SUP219" s="5"/>
      <c r="SUQ219" s="5"/>
      <c r="SUS219" s="5"/>
      <c r="SUU219" s="5"/>
      <c r="SUV219" s="5"/>
      <c r="SUW219" s="5"/>
      <c r="SUX219" s="18"/>
      <c r="SVA219" s="409"/>
      <c r="SVB219" s="409"/>
      <c r="SVC219" s="409"/>
      <c r="SVD219" s="409"/>
      <c r="SVE219" s="409"/>
      <c r="SVF219" s="409"/>
      <c r="SVG219" s="379"/>
      <c r="SVH219" s="379"/>
      <c r="SVL219" s="5"/>
      <c r="SVM219" s="5"/>
      <c r="SVN219" s="5"/>
      <c r="SVP219" s="5"/>
      <c r="SVR219" s="5"/>
      <c r="SVS219" s="5"/>
      <c r="SVT219" s="5"/>
      <c r="SVU219" s="18"/>
      <c r="SVX219" s="409"/>
      <c r="SVY219" s="409"/>
      <c r="SVZ219" s="409"/>
      <c r="SWA219" s="409"/>
      <c r="SWB219" s="409"/>
      <c r="SWC219" s="409"/>
      <c r="SWD219" s="379"/>
      <c r="SWE219" s="379"/>
      <c r="SWI219" s="5"/>
      <c r="SWJ219" s="5"/>
      <c r="SWK219" s="5"/>
      <c r="SWM219" s="5"/>
      <c r="SWO219" s="5"/>
      <c r="SWP219" s="5"/>
      <c r="SWQ219" s="5"/>
      <c r="SWR219" s="18"/>
      <c r="SWU219" s="409"/>
      <c r="SWV219" s="409"/>
      <c r="SWW219" s="409"/>
      <c r="SWX219" s="409"/>
      <c r="SWY219" s="409"/>
      <c r="SWZ219" s="409"/>
      <c r="SXA219" s="379"/>
      <c r="SXB219" s="379"/>
      <c r="SXF219" s="5"/>
      <c r="SXG219" s="5"/>
      <c r="SXH219" s="5"/>
      <c r="SXJ219" s="5"/>
      <c r="SXL219" s="5"/>
      <c r="SXM219" s="5"/>
      <c r="SXN219" s="5"/>
      <c r="SXO219" s="18"/>
      <c r="SXR219" s="409"/>
      <c r="SXS219" s="409"/>
      <c r="SXT219" s="409"/>
      <c r="SXU219" s="409"/>
      <c r="SXV219" s="409"/>
      <c r="SXW219" s="409"/>
      <c r="SXX219" s="379"/>
      <c r="SXY219" s="379"/>
      <c r="SYC219" s="5"/>
      <c r="SYD219" s="5"/>
      <c r="SYE219" s="5"/>
      <c r="SYG219" s="5"/>
      <c r="SYI219" s="5"/>
      <c r="SYJ219" s="5"/>
      <c r="SYK219" s="5"/>
      <c r="SYL219" s="18"/>
      <c r="SYO219" s="409"/>
      <c r="SYP219" s="409"/>
      <c r="SYQ219" s="409"/>
      <c r="SYR219" s="409"/>
      <c r="SYS219" s="409"/>
      <c r="SYT219" s="409"/>
      <c r="SYU219" s="379"/>
      <c r="SYV219" s="379"/>
      <c r="SYZ219" s="5"/>
      <c r="SZA219" s="5"/>
      <c r="SZB219" s="5"/>
      <c r="SZD219" s="5"/>
      <c r="SZF219" s="5"/>
      <c r="SZG219" s="5"/>
      <c r="SZH219" s="5"/>
      <c r="SZI219" s="18"/>
      <c r="SZL219" s="409"/>
      <c r="SZM219" s="409"/>
      <c r="SZN219" s="409"/>
      <c r="SZO219" s="409"/>
      <c r="SZP219" s="409"/>
      <c r="SZQ219" s="409"/>
      <c r="SZR219" s="379"/>
      <c r="SZS219" s="379"/>
      <c r="SZW219" s="5"/>
      <c r="SZX219" s="5"/>
      <c r="SZY219" s="5"/>
      <c r="TAA219" s="5"/>
      <c r="TAC219" s="5"/>
      <c r="TAD219" s="5"/>
      <c r="TAE219" s="5"/>
      <c r="TAF219" s="18"/>
      <c r="TAI219" s="409"/>
      <c r="TAJ219" s="409"/>
      <c r="TAK219" s="409"/>
      <c r="TAL219" s="409"/>
      <c r="TAM219" s="409"/>
      <c r="TAN219" s="409"/>
      <c r="TAO219" s="379"/>
      <c r="TAP219" s="379"/>
      <c r="TAT219" s="5"/>
      <c r="TAU219" s="5"/>
      <c r="TAV219" s="5"/>
      <c r="TAX219" s="5"/>
      <c r="TAZ219" s="5"/>
      <c r="TBA219" s="5"/>
      <c r="TBB219" s="5"/>
      <c r="TBC219" s="18"/>
      <c r="TBF219" s="409"/>
      <c r="TBG219" s="409"/>
      <c r="TBH219" s="409"/>
      <c r="TBI219" s="409"/>
      <c r="TBJ219" s="409"/>
      <c r="TBK219" s="409"/>
      <c r="TBL219" s="379"/>
      <c r="TBM219" s="379"/>
      <c r="TBQ219" s="5"/>
      <c r="TBR219" s="5"/>
      <c r="TBS219" s="5"/>
      <c r="TBU219" s="5"/>
      <c r="TBW219" s="5"/>
      <c r="TBX219" s="5"/>
      <c r="TBY219" s="5"/>
      <c r="TBZ219" s="18"/>
      <c r="TCC219" s="409"/>
      <c r="TCD219" s="409"/>
      <c r="TCE219" s="409"/>
      <c r="TCF219" s="409"/>
      <c r="TCG219" s="409"/>
      <c r="TCH219" s="409"/>
      <c r="TCI219" s="379"/>
      <c r="TCJ219" s="379"/>
      <c r="TCN219" s="5"/>
      <c r="TCO219" s="5"/>
      <c r="TCP219" s="5"/>
      <c r="TCR219" s="5"/>
      <c r="TCT219" s="5"/>
      <c r="TCU219" s="5"/>
      <c r="TCV219" s="5"/>
      <c r="TCW219" s="18"/>
      <c r="TCZ219" s="409"/>
      <c r="TDA219" s="409"/>
      <c r="TDB219" s="409"/>
      <c r="TDC219" s="409"/>
      <c r="TDD219" s="409"/>
      <c r="TDE219" s="409"/>
      <c r="TDF219" s="379"/>
      <c r="TDG219" s="379"/>
      <c r="TDK219" s="5"/>
      <c r="TDL219" s="5"/>
      <c r="TDM219" s="5"/>
      <c r="TDO219" s="5"/>
      <c r="TDQ219" s="5"/>
      <c r="TDR219" s="5"/>
      <c r="TDS219" s="5"/>
      <c r="TDT219" s="18"/>
      <c r="TDW219" s="409"/>
      <c r="TDX219" s="409"/>
      <c r="TDY219" s="409"/>
      <c r="TDZ219" s="409"/>
      <c r="TEA219" s="409"/>
      <c r="TEB219" s="409"/>
      <c r="TEC219" s="379"/>
      <c r="TED219" s="379"/>
      <c r="TEH219" s="5"/>
      <c r="TEI219" s="5"/>
      <c r="TEJ219" s="5"/>
      <c r="TEL219" s="5"/>
      <c r="TEN219" s="5"/>
      <c r="TEO219" s="5"/>
      <c r="TEP219" s="5"/>
      <c r="TEQ219" s="18"/>
      <c r="TET219" s="409"/>
      <c r="TEU219" s="409"/>
      <c r="TEV219" s="409"/>
      <c r="TEW219" s="409"/>
      <c r="TEX219" s="409"/>
      <c r="TEY219" s="409"/>
      <c r="TEZ219" s="379"/>
      <c r="TFA219" s="379"/>
      <c r="TFE219" s="5"/>
      <c r="TFF219" s="5"/>
      <c r="TFG219" s="5"/>
      <c r="TFI219" s="5"/>
      <c r="TFK219" s="5"/>
      <c r="TFL219" s="5"/>
      <c r="TFM219" s="5"/>
      <c r="TFN219" s="18"/>
      <c r="TFQ219" s="409"/>
      <c r="TFR219" s="409"/>
      <c r="TFS219" s="409"/>
      <c r="TFT219" s="409"/>
      <c r="TFU219" s="409"/>
      <c r="TFV219" s="409"/>
      <c r="TFW219" s="379"/>
      <c r="TFX219" s="379"/>
      <c r="TGB219" s="5"/>
      <c r="TGC219" s="5"/>
      <c r="TGD219" s="5"/>
      <c r="TGF219" s="5"/>
      <c r="TGH219" s="5"/>
      <c r="TGI219" s="5"/>
      <c r="TGJ219" s="5"/>
      <c r="TGK219" s="18"/>
      <c r="TGN219" s="409"/>
      <c r="TGO219" s="409"/>
      <c r="TGP219" s="409"/>
      <c r="TGQ219" s="409"/>
      <c r="TGR219" s="409"/>
      <c r="TGS219" s="409"/>
      <c r="TGT219" s="379"/>
      <c r="TGU219" s="379"/>
      <c r="TGY219" s="5"/>
      <c r="TGZ219" s="5"/>
      <c r="THA219" s="5"/>
      <c r="THC219" s="5"/>
      <c r="THE219" s="5"/>
      <c r="THF219" s="5"/>
      <c r="THG219" s="5"/>
      <c r="THH219" s="18"/>
      <c r="THK219" s="409"/>
      <c r="THL219" s="409"/>
      <c r="THM219" s="409"/>
      <c r="THN219" s="409"/>
      <c r="THO219" s="409"/>
      <c r="THP219" s="409"/>
      <c r="THQ219" s="379"/>
      <c r="THR219" s="379"/>
      <c r="THV219" s="5"/>
      <c r="THW219" s="5"/>
      <c r="THX219" s="5"/>
      <c r="THZ219" s="5"/>
      <c r="TIB219" s="5"/>
      <c r="TIC219" s="5"/>
      <c r="TID219" s="5"/>
      <c r="TIE219" s="18"/>
      <c r="TIH219" s="409"/>
      <c r="TII219" s="409"/>
      <c r="TIJ219" s="409"/>
      <c r="TIK219" s="409"/>
      <c r="TIL219" s="409"/>
      <c r="TIM219" s="409"/>
      <c r="TIN219" s="379"/>
      <c r="TIO219" s="379"/>
      <c r="TIS219" s="5"/>
      <c r="TIT219" s="5"/>
      <c r="TIU219" s="5"/>
      <c r="TIW219" s="5"/>
      <c r="TIY219" s="5"/>
      <c r="TIZ219" s="5"/>
      <c r="TJA219" s="5"/>
      <c r="TJB219" s="18"/>
      <c r="TJE219" s="409"/>
      <c r="TJF219" s="409"/>
      <c r="TJG219" s="409"/>
      <c r="TJH219" s="409"/>
      <c r="TJI219" s="409"/>
      <c r="TJJ219" s="409"/>
      <c r="TJK219" s="379"/>
      <c r="TJL219" s="379"/>
      <c r="TJP219" s="5"/>
      <c r="TJQ219" s="5"/>
      <c r="TJR219" s="5"/>
      <c r="TJT219" s="5"/>
      <c r="TJV219" s="5"/>
      <c r="TJW219" s="5"/>
      <c r="TJX219" s="5"/>
      <c r="TJY219" s="18"/>
      <c r="TKB219" s="409"/>
      <c r="TKC219" s="409"/>
      <c r="TKD219" s="409"/>
      <c r="TKE219" s="409"/>
      <c r="TKF219" s="409"/>
      <c r="TKG219" s="409"/>
      <c r="TKH219" s="379"/>
      <c r="TKI219" s="379"/>
      <c r="TKM219" s="5"/>
      <c r="TKN219" s="5"/>
      <c r="TKO219" s="5"/>
      <c r="TKQ219" s="5"/>
      <c r="TKS219" s="5"/>
      <c r="TKT219" s="5"/>
      <c r="TKU219" s="5"/>
      <c r="TKV219" s="18"/>
      <c r="TKY219" s="409"/>
      <c r="TKZ219" s="409"/>
      <c r="TLA219" s="409"/>
      <c r="TLB219" s="409"/>
      <c r="TLC219" s="409"/>
      <c r="TLD219" s="409"/>
      <c r="TLE219" s="379"/>
      <c r="TLF219" s="379"/>
      <c r="TLJ219" s="5"/>
      <c r="TLK219" s="5"/>
      <c r="TLL219" s="5"/>
      <c r="TLN219" s="5"/>
      <c r="TLP219" s="5"/>
      <c r="TLQ219" s="5"/>
      <c r="TLR219" s="5"/>
      <c r="TLS219" s="18"/>
      <c r="TLV219" s="409"/>
      <c r="TLW219" s="409"/>
      <c r="TLX219" s="409"/>
      <c r="TLY219" s="409"/>
      <c r="TLZ219" s="409"/>
      <c r="TMA219" s="409"/>
      <c r="TMB219" s="379"/>
      <c r="TMC219" s="379"/>
      <c r="TMG219" s="5"/>
      <c r="TMH219" s="5"/>
      <c r="TMI219" s="5"/>
      <c r="TMK219" s="5"/>
      <c r="TMM219" s="5"/>
      <c r="TMN219" s="5"/>
      <c r="TMO219" s="5"/>
      <c r="TMP219" s="18"/>
      <c r="TMS219" s="409"/>
      <c r="TMT219" s="409"/>
      <c r="TMU219" s="409"/>
      <c r="TMV219" s="409"/>
      <c r="TMW219" s="409"/>
      <c r="TMX219" s="409"/>
      <c r="TMY219" s="379"/>
      <c r="TMZ219" s="379"/>
      <c r="TND219" s="5"/>
      <c r="TNE219" s="5"/>
      <c r="TNF219" s="5"/>
      <c r="TNH219" s="5"/>
      <c r="TNJ219" s="5"/>
      <c r="TNK219" s="5"/>
      <c r="TNL219" s="5"/>
      <c r="TNM219" s="18"/>
      <c r="TNP219" s="409"/>
      <c r="TNQ219" s="409"/>
      <c r="TNR219" s="409"/>
      <c r="TNS219" s="409"/>
      <c r="TNT219" s="409"/>
      <c r="TNU219" s="409"/>
      <c r="TNV219" s="379"/>
      <c r="TNW219" s="379"/>
      <c r="TOA219" s="5"/>
      <c r="TOB219" s="5"/>
      <c r="TOC219" s="5"/>
      <c r="TOE219" s="5"/>
      <c r="TOG219" s="5"/>
      <c r="TOH219" s="5"/>
      <c r="TOI219" s="5"/>
      <c r="TOJ219" s="18"/>
      <c r="TOM219" s="409"/>
      <c r="TON219" s="409"/>
      <c r="TOO219" s="409"/>
      <c r="TOP219" s="409"/>
      <c r="TOQ219" s="409"/>
      <c r="TOR219" s="409"/>
      <c r="TOS219" s="379"/>
      <c r="TOT219" s="379"/>
      <c r="TOX219" s="5"/>
      <c r="TOY219" s="5"/>
      <c r="TOZ219" s="5"/>
      <c r="TPB219" s="5"/>
      <c r="TPD219" s="5"/>
      <c r="TPE219" s="5"/>
      <c r="TPF219" s="5"/>
      <c r="TPG219" s="18"/>
      <c r="TPJ219" s="409"/>
      <c r="TPK219" s="409"/>
      <c r="TPL219" s="409"/>
      <c r="TPM219" s="409"/>
      <c r="TPN219" s="409"/>
      <c r="TPO219" s="409"/>
      <c r="TPP219" s="379"/>
      <c r="TPQ219" s="379"/>
      <c r="TPU219" s="5"/>
      <c r="TPV219" s="5"/>
      <c r="TPW219" s="5"/>
      <c r="TPY219" s="5"/>
      <c r="TQA219" s="5"/>
      <c r="TQB219" s="5"/>
      <c r="TQC219" s="5"/>
      <c r="TQD219" s="18"/>
      <c r="TQG219" s="409"/>
      <c r="TQH219" s="409"/>
      <c r="TQI219" s="409"/>
      <c r="TQJ219" s="409"/>
      <c r="TQK219" s="409"/>
      <c r="TQL219" s="409"/>
      <c r="TQM219" s="379"/>
      <c r="TQN219" s="379"/>
      <c r="TQR219" s="5"/>
      <c r="TQS219" s="5"/>
      <c r="TQT219" s="5"/>
      <c r="TQV219" s="5"/>
      <c r="TQX219" s="5"/>
      <c r="TQY219" s="5"/>
      <c r="TQZ219" s="5"/>
      <c r="TRA219" s="18"/>
      <c r="TRD219" s="409"/>
      <c r="TRE219" s="409"/>
      <c r="TRF219" s="409"/>
      <c r="TRG219" s="409"/>
      <c r="TRH219" s="409"/>
      <c r="TRI219" s="409"/>
      <c r="TRJ219" s="379"/>
      <c r="TRK219" s="379"/>
      <c r="TRO219" s="5"/>
      <c r="TRP219" s="5"/>
      <c r="TRQ219" s="5"/>
      <c r="TRS219" s="5"/>
      <c r="TRU219" s="5"/>
      <c r="TRV219" s="5"/>
      <c r="TRW219" s="5"/>
      <c r="TRX219" s="18"/>
      <c r="TSA219" s="409"/>
      <c r="TSB219" s="409"/>
      <c r="TSC219" s="409"/>
      <c r="TSD219" s="409"/>
      <c r="TSE219" s="409"/>
      <c r="TSF219" s="409"/>
      <c r="TSG219" s="379"/>
      <c r="TSH219" s="379"/>
      <c r="TSL219" s="5"/>
      <c r="TSM219" s="5"/>
      <c r="TSN219" s="5"/>
      <c r="TSP219" s="5"/>
      <c r="TSR219" s="5"/>
      <c r="TSS219" s="5"/>
      <c r="TST219" s="5"/>
      <c r="TSU219" s="18"/>
      <c r="TSX219" s="409"/>
      <c r="TSY219" s="409"/>
      <c r="TSZ219" s="409"/>
      <c r="TTA219" s="409"/>
      <c r="TTB219" s="409"/>
      <c r="TTC219" s="409"/>
      <c r="TTD219" s="379"/>
      <c r="TTE219" s="379"/>
      <c r="TTI219" s="5"/>
      <c r="TTJ219" s="5"/>
      <c r="TTK219" s="5"/>
      <c r="TTM219" s="5"/>
      <c r="TTO219" s="5"/>
      <c r="TTP219" s="5"/>
      <c r="TTQ219" s="5"/>
      <c r="TTR219" s="18"/>
      <c r="TTU219" s="409"/>
      <c r="TTV219" s="409"/>
      <c r="TTW219" s="409"/>
      <c r="TTX219" s="409"/>
      <c r="TTY219" s="409"/>
      <c r="TTZ219" s="409"/>
      <c r="TUA219" s="379"/>
      <c r="TUB219" s="379"/>
      <c r="TUF219" s="5"/>
      <c r="TUG219" s="5"/>
      <c r="TUH219" s="5"/>
      <c r="TUJ219" s="5"/>
      <c r="TUL219" s="5"/>
      <c r="TUM219" s="5"/>
      <c r="TUN219" s="5"/>
      <c r="TUO219" s="18"/>
      <c r="TUR219" s="409"/>
      <c r="TUS219" s="409"/>
      <c r="TUT219" s="409"/>
      <c r="TUU219" s="409"/>
      <c r="TUV219" s="409"/>
      <c r="TUW219" s="409"/>
      <c r="TUX219" s="379"/>
      <c r="TUY219" s="379"/>
      <c r="TVC219" s="5"/>
      <c r="TVD219" s="5"/>
      <c r="TVE219" s="5"/>
      <c r="TVG219" s="5"/>
      <c r="TVI219" s="5"/>
      <c r="TVJ219" s="5"/>
      <c r="TVK219" s="5"/>
      <c r="TVL219" s="18"/>
      <c r="TVO219" s="409"/>
      <c r="TVP219" s="409"/>
      <c r="TVQ219" s="409"/>
      <c r="TVR219" s="409"/>
      <c r="TVS219" s="409"/>
      <c r="TVT219" s="409"/>
      <c r="TVU219" s="379"/>
      <c r="TVV219" s="379"/>
      <c r="TVZ219" s="5"/>
      <c r="TWA219" s="5"/>
      <c r="TWB219" s="5"/>
      <c r="TWD219" s="5"/>
      <c r="TWF219" s="5"/>
      <c r="TWG219" s="5"/>
      <c r="TWH219" s="5"/>
      <c r="TWI219" s="18"/>
      <c r="TWL219" s="409"/>
      <c r="TWM219" s="409"/>
      <c r="TWN219" s="409"/>
      <c r="TWO219" s="409"/>
      <c r="TWP219" s="409"/>
      <c r="TWQ219" s="409"/>
      <c r="TWR219" s="379"/>
      <c r="TWS219" s="379"/>
      <c r="TWW219" s="5"/>
      <c r="TWX219" s="5"/>
      <c r="TWY219" s="5"/>
      <c r="TXA219" s="5"/>
      <c r="TXC219" s="5"/>
      <c r="TXD219" s="5"/>
      <c r="TXE219" s="5"/>
      <c r="TXF219" s="18"/>
      <c r="TXI219" s="409"/>
      <c r="TXJ219" s="409"/>
      <c r="TXK219" s="409"/>
      <c r="TXL219" s="409"/>
      <c r="TXM219" s="409"/>
      <c r="TXN219" s="409"/>
      <c r="TXO219" s="379"/>
      <c r="TXP219" s="379"/>
      <c r="TXT219" s="5"/>
      <c r="TXU219" s="5"/>
      <c r="TXV219" s="5"/>
      <c r="TXX219" s="5"/>
      <c r="TXZ219" s="5"/>
      <c r="TYA219" s="5"/>
      <c r="TYB219" s="5"/>
      <c r="TYC219" s="18"/>
      <c r="TYF219" s="409"/>
      <c r="TYG219" s="409"/>
      <c r="TYH219" s="409"/>
      <c r="TYI219" s="409"/>
      <c r="TYJ219" s="409"/>
      <c r="TYK219" s="409"/>
      <c r="TYL219" s="379"/>
      <c r="TYM219" s="379"/>
      <c r="TYQ219" s="5"/>
      <c r="TYR219" s="5"/>
      <c r="TYS219" s="5"/>
      <c r="TYU219" s="5"/>
      <c r="TYW219" s="5"/>
      <c r="TYX219" s="5"/>
      <c r="TYY219" s="5"/>
      <c r="TYZ219" s="18"/>
      <c r="TZC219" s="409"/>
      <c r="TZD219" s="409"/>
      <c r="TZE219" s="409"/>
      <c r="TZF219" s="409"/>
      <c r="TZG219" s="409"/>
      <c r="TZH219" s="409"/>
      <c r="TZI219" s="379"/>
      <c r="TZJ219" s="379"/>
      <c r="TZN219" s="5"/>
      <c r="TZO219" s="5"/>
      <c r="TZP219" s="5"/>
      <c r="TZR219" s="5"/>
      <c r="TZT219" s="5"/>
      <c r="TZU219" s="5"/>
      <c r="TZV219" s="5"/>
      <c r="TZW219" s="18"/>
      <c r="TZZ219" s="409"/>
      <c r="UAA219" s="409"/>
      <c r="UAB219" s="409"/>
      <c r="UAC219" s="409"/>
      <c r="UAD219" s="409"/>
      <c r="UAE219" s="409"/>
      <c r="UAF219" s="379"/>
      <c r="UAG219" s="379"/>
      <c r="UAK219" s="5"/>
      <c r="UAL219" s="5"/>
      <c r="UAM219" s="5"/>
      <c r="UAO219" s="5"/>
      <c r="UAQ219" s="5"/>
      <c r="UAR219" s="5"/>
      <c r="UAS219" s="5"/>
      <c r="UAT219" s="18"/>
      <c r="UAW219" s="409"/>
      <c r="UAX219" s="409"/>
      <c r="UAY219" s="409"/>
      <c r="UAZ219" s="409"/>
      <c r="UBA219" s="409"/>
      <c r="UBB219" s="409"/>
      <c r="UBC219" s="379"/>
      <c r="UBD219" s="379"/>
      <c r="UBH219" s="5"/>
      <c r="UBI219" s="5"/>
      <c r="UBJ219" s="5"/>
      <c r="UBL219" s="5"/>
      <c r="UBN219" s="5"/>
      <c r="UBO219" s="5"/>
      <c r="UBP219" s="5"/>
      <c r="UBQ219" s="18"/>
      <c r="UBT219" s="409"/>
      <c r="UBU219" s="409"/>
      <c r="UBV219" s="409"/>
      <c r="UBW219" s="409"/>
      <c r="UBX219" s="409"/>
      <c r="UBY219" s="409"/>
      <c r="UBZ219" s="379"/>
      <c r="UCA219" s="379"/>
      <c r="UCE219" s="5"/>
      <c r="UCF219" s="5"/>
      <c r="UCG219" s="5"/>
      <c r="UCI219" s="5"/>
      <c r="UCK219" s="5"/>
      <c r="UCL219" s="5"/>
      <c r="UCM219" s="5"/>
      <c r="UCN219" s="18"/>
      <c r="UCQ219" s="409"/>
      <c r="UCR219" s="409"/>
      <c r="UCS219" s="409"/>
      <c r="UCT219" s="409"/>
      <c r="UCU219" s="409"/>
      <c r="UCV219" s="409"/>
      <c r="UCW219" s="379"/>
      <c r="UCX219" s="379"/>
      <c r="UDB219" s="5"/>
      <c r="UDC219" s="5"/>
      <c r="UDD219" s="5"/>
      <c r="UDF219" s="5"/>
      <c r="UDH219" s="5"/>
      <c r="UDI219" s="5"/>
      <c r="UDJ219" s="5"/>
      <c r="UDK219" s="18"/>
      <c r="UDN219" s="409"/>
      <c r="UDO219" s="409"/>
      <c r="UDP219" s="409"/>
      <c r="UDQ219" s="409"/>
      <c r="UDR219" s="409"/>
      <c r="UDS219" s="409"/>
      <c r="UDT219" s="379"/>
      <c r="UDU219" s="379"/>
      <c r="UDY219" s="5"/>
      <c r="UDZ219" s="5"/>
      <c r="UEA219" s="5"/>
      <c r="UEC219" s="5"/>
      <c r="UEE219" s="5"/>
      <c r="UEF219" s="5"/>
      <c r="UEG219" s="5"/>
      <c r="UEH219" s="18"/>
      <c r="UEK219" s="409"/>
      <c r="UEL219" s="409"/>
      <c r="UEM219" s="409"/>
      <c r="UEN219" s="409"/>
      <c r="UEO219" s="409"/>
      <c r="UEP219" s="409"/>
      <c r="UEQ219" s="379"/>
      <c r="UER219" s="379"/>
      <c r="UEV219" s="5"/>
      <c r="UEW219" s="5"/>
      <c r="UEX219" s="5"/>
      <c r="UEZ219" s="5"/>
      <c r="UFB219" s="5"/>
      <c r="UFC219" s="5"/>
      <c r="UFD219" s="5"/>
      <c r="UFE219" s="18"/>
      <c r="UFH219" s="409"/>
      <c r="UFI219" s="409"/>
      <c r="UFJ219" s="409"/>
      <c r="UFK219" s="409"/>
      <c r="UFL219" s="409"/>
      <c r="UFM219" s="409"/>
      <c r="UFN219" s="379"/>
      <c r="UFO219" s="379"/>
      <c r="UFS219" s="5"/>
      <c r="UFT219" s="5"/>
      <c r="UFU219" s="5"/>
      <c r="UFW219" s="5"/>
      <c r="UFY219" s="5"/>
      <c r="UFZ219" s="5"/>
      <c r="UGA219" s="5"/>
      <c r="UGB219" s="18"/>
      <c r="UGE219" s="409"/>
      <c r="UGF219" s="409"/>
      <c r="UGG219" s="409"/>
      <c r="UGH219" s="409"/>
      <c r="UGI219" s="409"/>
      <c r="UGJ219" s="409"/>
      <c r="UGK219" s="379"/>
      <c r="UGL219" s="379"/>
      <c r="UGP219" s="5"/>
      <c r="UGQ219" s="5"/>
      <c r="UGR219" s="5"/>
      <c r="UGT219" s="5"/>
      <c r="UGV219" s="5"/>
      <c r="UGW219" s="5"/>
      <c r="UGX219" s="5"/>
      <c r="UGY219" s="18"/>
      <c r="UHB219" s="409"/>
      <c r="UHC219" s="409"/>
      <c r="UHD219" s="409"/>
      <c r="UHE219" s="409"/>
      <c r="UHF219" s="409"/>
      <c r="UHG219" s="409"/>
      <c r="UHH219" s="379"/>
      <c r="UHI219" s="379"/>
      <c r="UHM219" s="5"/>
      <c r="UHN219" s="5"/>
      <c r="UHO219" s="5"/>
      <c r="UHQ219" s="5"/>
      <c r="UHS219" s="5"/>
      <c r="UHT219" s="5"/>
      <c r="UHU219" s="5"/>
      <c r="UHV219" s="18"/>
      <c r="UHY219" s="409"/>
      <c r="UHZ219" s="409"/>
      <c r="UIA219" s="409"/>
      <c r="UIB219" s="409"/>
      <c r="UIC219" s="409"/>
      <c r="UID219" s="409"/>
      <c r="UIE219" s="379"/>
      <c r="UIF219" s="379"/>
      <c r="UIJ219" s="5"/>
      <c r="UIK219" s="5"/>
      <c r="UIL219" s="5"/>
      <c r="UIN219" s="5"/>
      <c r="UIP219" s="5"/>
      <c r="UIQ219" s="5"/>
      <c r="UIR219" s="5"/>
      <c r="UIS219" s="18"/>
      <c r="UIV219" s="409"/>
      <c r="UIW219" s="409"/>
      <c r="UIX219" s="409"/>
      <c r="UIY219" s="409"/>
      <c r="UIZ219" s="409"/>
      <c r="UJA219" s="409"/>
      <c r="UJB219" s="379"/>
      <c r="UJC219" s="379"/>
      <c r="UJG219" s="5"/>
      <c r="UJH219" s="5"/>
      <c r="UJI219" s="5"/>
      <c r="UJK219" s="5"/>
      <c r="UJM219" s="5"/>
      <c r="UJN219" s="5"/>
      <c r="UJO219" s="5"/>
      <c r="UJP219" s="18"/>
      <c r="UJS219" s="409"/>
      <c r="UJT219" s="409"/>
      <c r="UJU219" s="409"/>
      <c r="UJV219" s="409"/>
      <c r="UJW219" s="409"/>
      <c r="UJX219" s="409"/>
      <c r="UJY219" s="379"/>
      <c r="UJZ219" s="379"/>
      <c r="UKD219" s="5"/>
      <c r="UKE219" s="5"/>
      <c r="UKF219" s="5"/>
      <c r="UKH219" s="5"/>
      <c r="UKJ219" s="5"/>
      <c r="UKK219" s="5"/>
      <c r="UKL219" s="5"/>
      <c r="UKM219" s="18"/>
      <c r="UKP219" s="409"/>
      <c r="UKQ219" s="409"/>
      <c r="UKR219" s="409"/>
      <c r="UKS219" s="409"/>
      <c r="UKT219" s="409"/>
      <c r="UKU219" s="409"/>
      <c r="UKV219" s="379"/>
      <c r="UKW219" s="379"/>
      <c r="ULA219" s="5"/>
      <c r="ULB219" s="5"/>
      <c r="ULC219" s="5"/>
      <c r="ULE219" s="5"/>
      <c r="ULG219" s="5"/>
      <c r="ULH219" s="5"/>
      <c r="ULI219" s="5"/>
      <c r="ULJ219" s="18"/>
      <c r="ULM219" s="409"/>
      <c r="ULN219" s="409"/>
      <c r="ULO219" s="409"/>
      <c r="ULP219" s="409"/>
      <c r="ULQ219" s="409"/>
      <c r="ULR219" s="409"/>
      <c r="ULS219" s="379"/>
      <c r="ULT219" s="379"/>
      <c r="ULX219" s="5"/>
      <c r="ULY219" s="5"/>
      <c r="ULZ219" s="5"/>
      <c r="UMB219" s="5"/>
      <c r="UMD219" s="5"/>
      <c r="UME219" s="5"/>
      <c r="UMF219" s="5"/>
      <c r="UMG219" s="18"/>
      <c r="UMJ219" s="409"/>
      <c r="UMK219" s="409"/>
      <c r="UML219" s="409"/>
      <c r="UMM219" s="409"/>
      <c r="UMN219" s="409"/>
      <c r="UMO219" s="409"/>
      <c r="UMP219" s="379"/>
      <c r="UMQ219" s="379"/>
      <c r="UMU219" s="5"/>
      <c r="UMV219" s="5"/>
      <c r="UMW219" s="5"/>
      <c r="UMY219" s="5"/>
      <c r="UNA219" s="5"/>
      <c r="UNB219" s="5"/>
      <c r="UNC219" s="5"/>
      <c r="UND219" s="18"/>
      <c r="UNG219" s="409"/>
      <c r="UNH219" s="409"/>
      <c r="UNI219" s="409"/>
      <c r="UNJ219" s="409"/>
      <c r="UNK219" s="409"/>
      <c r="UNL219" s="409"/>
      <c r="UNM219" s="379"/>
      <c r="UNN219" s="379"/>
      <c r="UNR219" s="5"/>
      <c r="UNS219" s="5"/>
      <c r="UNT219" s="5"/>
      <c r="UNV219" s="5"/>
      <c r="UNX219" s="5"/>
      <c r="UNY219" s="5"/>
      <c r="UNZ219" s="5"/>
      <c r="UOA219" s="18"/>
      <c r="UOD219" s="409"/>
      <c r="UOE219" s="409"/>
      <c r="UOF219" s="409"/>
      <c r="UOG219" s="409"/>
      <c r="UOH219" s="409"/>
      <c r="UOI219" s="409"/>
      <c r="UOJ219" s="379"/>
      <c r="UOK219" s="379"/>
      <c r="UOO219" s="5"/>
      <c r="UOP219" s="5"/>
      <c r="UOQ219" s="5"/>
      <c r="UOS219" s="5"/>
      <c r="UOU219" s="5"/>
      <c r="UOV219" s="5"/>
      <c r="UOW219" s="5"/>
      <c r="UOX219" s="18"/>
      <c r="UPA219" s="409"/>
      <c r="UPB219" s="409"/>
      <c r="UPC219" s="409"/>
      <c r="UPD219" s="409"/>
      <c r="UPE219" s="409"/>
      <c r="UPF219" s="409"/>
      <c r="UPG219" s="379"/>
      <c r="UPH219" s="379"/>
      <c r="UPL219" s="5"/>
      <c r="UPM219" s="5"/>
      <c r="UPN219" s="5"/>
      <c r="UPP219" s="5"/>
      <c r="UPR219" s="5"/>
      <c r="UPS219" s="5"/>
      <c r="UPT219" s="5"/>
      <c r="UPU219" s="18"/>
      <c r="UPX219" s="409"/>
      <c r="UPY219" s="409"/>
      <c r="UPZ219" s="409"/>
      <c r="UQA219" s="409"/>
      <c r="UQB219" s="409"/>
      <c r="UQC219" s="409"/>
      <c r="UQD219" s="379"/>
      <c r="UQE219" s="379"/>
      <c r="UQI219" s="5"/>
      <c r="UQJ219" s="5"/>
      <c r="UQK219" s="5"/>
      <c r="UQM219" s="5"/>
      <c r="UQO219" s="5"/>
      <c r="UQP219" s="5"/>
      <c r="UQQ219" s="5"/>
      <c r="UQR219" s="18"/>
      <c r="UQU219" s="409"/>
      <c r="UQV219" s="409"/>
      <c r="UQW219" s="409"/>
      <c r="UQX219" s="409"/>
      <c r="UQY219" s="409"/>
      <c r="UQZ219" s="409"/>
      <c r="URA219" s="379"/>
      <c r="URB219" s="379"/>
      <c r="URF219" s="5"/>
      <c r="URG219" s="5"/>
      <c r="URH219" s="5"/>
      <c r="URJ219" s="5"/>
      <c r="URL219" s="5"/>
      <c r="URM219" s="5"/>
      <c r="URN219" s="5"/>
      <c r="URO219" s="18"/>
      <c r="URR219" s="409"/>
      <c r="URS219" s="409"/>
      <c r="URT219" s="409"/>
      <c r="URU219" s="409"/>
      <c r="URV219" s="409"/>
      <c r="URW219" s="409"/>
      <c r="URX219" s="379"/>
      <c r="URY219" s="379"/>
      <c r="USC219" s="5"/>
      <c r="USD219" s="5"/>
      <c r="USE219" s="5"/>
      <c r="USG219" s="5"/>
      <c r="USI219" s="5"/>
      <c r="USJ219" s="5"/>
      <c r="USK219" s="5"/>
      <c r="USL219" s="18"/>
      <c r="USO219" s="409"/>
      <c r="USP219" s="409"/>
      <c r="USQ219" s="409"/>
      <c r="USR219" s="409"/>
      <c r="USS219" s="409"/>
      <c r="UST219" s="409"/>
      <c r="USU219" s="379"/>
      <c r="USV219" s="379"/>
      <c r="USZ219" s="5"/>
      <c r="UTA219" s="5"/>
      <c r="UTB219" s="5"/>
      <c r="UTD219" s="5"/>
      <c r="UTF219" s="5"/>
      <c r="UTG219" s="5"/>
      <c r="UTH219" s="5"/>
      <c r="UTI219" s="18"/>
      <c r="UTL219" s="409"/>
      <c r="UTM219" s="409"/>
      <c r="UTN219" s="409"/>
      <c r="UTO219" s="409"/>
      <c r="UTP219" s="409"/>
      <c r="UTQ219" s="409"/>
      <c r="UTR219" s="379"/>
      <c r="UTS219" s="379"/>
      <c r="UTW219" s="5"/>
      <c r="UTX219" s="5"/>
      <c r="UTY219" s="5"/>
      <c r="UUA219" s="5"/>
      <c r="UUC219" s="5"/>
      <c r="UUD219" s="5"/>
      <c r="UUE219" s="5"/>
      <c r="UUF219" s="18"/>
      <c r="UUI219" s="409"/>
      <c r="UUJ219" s="409"/>
      <c r="UUK219" s="409"/>
      <c r="UUL219" s="409"/>
      <c r="UUM219" s="409"/>
      <c r="UUN219" s="409"/>
      <c r="UUO219" s="379"/>
      <c r="UUP219" s="379"/>
      <c r="UUT219" s="5"/>
      <c r="UUU219" s="5"/>
      <c r="UUV219" s="5"/>
      <c r="UUX219" s="5"/>
      <c r="UUZ219" s="5"/>
      <c r="UVA219" s="5"/>
      <c r="UVB219" s="5"/>
      <c r="UVC219" s="18"/>
      <c r="UVF219" s="409"/>
      <c r="UVG219" s="409"/>
      <c r="UVH219" s="409"/>
      <c r="UVI219" s="409"/>
      <c r="UVJ219" s="409"/>
      <c r="UVK219" s="409"/>
      <c r="UVL219" s="379"/>
      <c r="UVM219" s="379"/>
      <c r="UVQ219" s="5"/>
      <c r="UVR219" s="5"/>
      <c r="UVS219" s="5"/>
      <c r="UVU219" s="5"/>
      <c r="UVW219" s="5"/>
      <c r="UVX219" s="5"/>
      <c r="UVY219" s="5"/>
      <c r="UVZ219" s="18"/>
      <c r="UWC219" s="409"/>
      <c r="UWD219" s="409"/>
      <c r="UWE219" s="409"/>
      <c r="UWF219" s="409"/>
      <c r="UWG219" s="409"/>
      <c r="UWH219" s="409"/>
      <c r="UWI219" s="379"/>
      <c r="UWJ219" s="379"/>
      <c r="UWN219" s="5"/>
      <c r="UWO219" s="5"/>
      <c r="UWP219" s="5"/>
      <c r="UWR219" s="5"/>
      <c r="UWT219" s="5"/>
      <c r="UWU219" s="5"/>
      <c r="UWV219" s="5"/>
      <c r="UWW219" s="18"/>
      <c r="UWZ219" s="409"/>
      <c r="UXA219" s="409"/>
      <c r="UXB219" s="409"/>
      <c r="UXC219" s="409"/>
      <c r="UXD219" s="409"/>
      <c r="UXE219" s="409"/>
      <c r="UXF219" s="379"/>
      <c r="UXG219" s="379"/>
      <c r="UXK219" s="5"/>
      <c r="UXL219" s="5"/>
      <c r="UXM219" s="5"/>
      <c r="UXO219" s="5"/>
      <c r="UXQ219" s="5"/>
      <c r="UXR219" s="5"/>
      <c r="UXS219" s="5"/>
      <c r="UXT219" s="18"/>
      <c r="UXW219" s="409"/>
      <c r="UXX219" s="409"/>
      <c r="UXY219" s="409"/>
      <c r="UXZ219" s="409"/>
      <c r="UYA219" s="409"/>
      <c r="UYB219" s="409"/>
      <c r="UYC219" s="379"/>
      <c r="UYD219" s="379"/>
      <c r="UYH219" s="5"/>
      <c r="UYI219" s="5"/>
      <c r="UYJ219" s="5"/>
      <c r="UYL219" s="5"/>
      <c r="UYN219" s="5"/>
      <c r="UYO219" s="5"/>
      <c r="UYP219" s="5"/>
      <c r="UYQ219" s="18"/>
      <c r="UYT219" s="409"/>
      <c r="UYU219" s="409"/>
      <c r="UYV219" s="409"/>
      <c r="UYW219" s="409"/>
      <c r="UYX219" s="409"/>
      <c r="UYY219" s="409"/>
      <c r="UYZ219" s="379"/>
      <c r="UZA219" s="379"/>
      <c r="UZE219" s="5"/>
      <c r="UZF219" s="5"/>
      <c r="UZG219" s="5"/>
      <c r="UZI219" s="5"/>
      <c r="UZK219" s="5"/>
      <c r="UZL219" s="5"/>
      <c r="UZM219" s="5"/>
      <c r="UZN219" s="18"/>
      <c r="UZQ219" s="409"/>
      <c r="UZR219" s="409"/>
      <c r="UZS219" s="409"/>
      <c r="UZT219" s="409"/>
      <c r="UZU219" s="409"/>
      <c r="UZV219" s="409"/>
      <c r="UZW219" s="379"/>
      <c r="UZX219" s="379"/>
      <c r="VAB219" s="5"/>
      <c r="VAC219" s="5"/>
      <c r="VAD219" s="5"/>
      <c r="VAF219" s="5"/>
      <c r="VAH219" s="5"/>
      <c r="VAI219" s="5"/>
      <c r="VAJ219" s="5"/>
      <c r="VAK219" s="18"/>
      <c r="VAN219" s="409"/>
      <c r="VAO219" s="409"/>
      <c r="VAP219" s="409"/>
      <c r="VAQ219" s="409"/>
      <c r="VAR219" s="409"/>
      <c r="VAS219" s="409"/>
      <c r="VAT219" s="379"/>
      <c r="VAU219" s="379"/>
      <c r="VAY219" s="5"/>
      <c r="VAZ219" s="5"/>
      <c r="VBA219" s="5"/>
      <c r="VBC219" s="5"/>
      <c r="VBE219" s="5"/>
      <c r="VBF219" s="5"/>
      <c r="VBG219" s="5"/>
      <c r="VBH219" s="18"/>
      <c r="VBK219" s="409"/>
      <c r="VBL219" s="409"/>
      <c r="VBM219" s="409"/>
      <c r="VBN219" s="409"/>
      <c r="VBO219" s="409"/>
      <c r="VBP219" s="409"/>
      <c r="VBQ219" s="379"/>
      <c r="VBR219" s="379"/>
      <c r="VBV219" s="5"/>
      <c r="VBW219" s="5"/>
      <c r="VBX219" s="5"/>
      <c r="VBZ219" s="5"/>
      <c r="VCB219" s="5"/>
      <c r="VCC219" s="5"/>
      <c r="VCD219" s="5"/>
      <c r="VCE219" s="18"/>
      <c r="VCH219" s="409"/>
      <c r="VCI219" s="409"/>
      <c r="VCJ219" s="409"/>
      <c r="VCK219" s="409"/>
      <c r="VCL219" s="409"/>
      <c r="VCM219" s="409"/>
      <c r="VCN219" s="379"/>
      <c r="VCO219" s="379"/>
      <c r="VCS219" s="5"/>
      <c r="VCT219" s="5"/>
      <c r="VCU219" s="5"/>
      <c r="VCW219" s="5"/>
      <c r="VCY219" s="5"/>
      <c r="VCZ219" s="5"/>
      <c r="VDA219" s="5"/>
      <c r="VDB219" s="18"/>
      <c r="VDE219" s="409"/>
      <c r="VDF219" s="409"/>
      <c r="VDG219" s="409"/>
      <c r="VDH219" s="409"/>
      <c r="VDI219" s="409"/>
      <c r="VDJ219" s="409"/>
      <c r="VDK219" s="379"/>
      <c r="VDL219" s="379"/>
      <c r="VDP219" s="5"/>
      <c r="VDQ219" s="5"/>
      <c r="VDR219" s="5"/>
      <c r="VDT219" s="5"/>
      <c r="VDV219" s="5"/>
      <c r="VDW219" s="5"/>
      <c r="VDX219" s="5"/>
      <c r="VDY219" s="18"/>
      <c r="VEB219" s="409"/>
      <c r="VEC219" s="409"/>
      <c r="VED219" s="409"/>
      <c r="VEE219" s="409"/>
      <c r="VEF219" s="409"/>
      <c r="VEG219" s="409"/>
      <c r="VEH219" s="379"/>
      <c r="VEI219" s="379"/>
      <c r="VEM219" s="5"/>
      <c r="VEN219" s="5"/>
      <c r="VEO219" s="5"/>
      <c r="VEQ219" s="5"/>
      <c r="VES219" s="5"/>
      <c r="VET219" s="5"/>
      <c r="VEU219" s="5"/>
      <c r="VEV219" s="18"/>
      <c r="VEY219" s="409"/>
      <c r="VEZ219" s="409"/>
      <c r="VFA219" s="409"/>
      <c r="VFB219" s="409"/>
      <c r="VFC219" s="409"/>
      <c r="VFD219" s="409"/>
      <c r="VFE219" s="379"/>
      <c r="VFF219" s="379"/>
      <c r="VFJ219" s="5"/>
      <c r="VFK219" s="5"/>
      <c r="VFL219" s="5"/>
      <c r="VFN219" s="5"/>
      <c r="VFP219" s="5"/>
      <c r="VFQ219" s="5"/>
      <c r="VFR219" s="5"/>
      <c r="VFS219" s="18"/>
      <c r="VFV219" s="409"/>
      <c r="VFW219" s="409"/>
      <c r="VFX219" s="409"/>
      <c r="VFY219" s="409"/>
      <c r="VFZ219" s="409"/>
      <c r="VGA219" s="409"/>
      <c r="VGB219" s="379"/>
      <c r="VGC219" s="379"/>
      <c r="VGG219" s="5"/>
      <c r="VGH219" s="5"/>
      <c r="VGI219" s="5"/>
      <c r="VGK219" s="5"/>
      <c r="VGM219" s="5"/>
      <c r="VGN219" s="5"/>
      <c r="VGO219" s="5"/>
      <c r="VGP219" s="18"/>
      <c r="VGS219" s="409"/>
      <c r="VGT219" s="409"/>
      <c r="VGU219" s="409"/>
      <c r="VGV219" s="409"/>
      <c r="VGW219" s="409"/>
      <c r="VGX219" s="409"/>
      <c r="VGY219" s="379"/>
      <c r="VGZ219" s="379"/>
      <c r="VHD219" s="5"/>
      <c r="VHE219" s="5"/>
      <c r="VHF219" s="5"/>
      <c r="VHH219" s="5"/>
      <c r="VHJ219" s="5"/>
      <c r="VHK219" s="5"/>
      <c r="VHL219" s="5"/>
      <c r="VHM219" s="18"/>
      <c r="VHP219" s="409"/>
      <c r="VHQ219" s="409"/>
      <c r="VHR219" s="409"/>
      <c r="VHS219" s="409"/>
      <c r="VHT219" s="409"/>
      <c r="VHU219" s="409"/>
      <c r="VHV219" s="379"/>
      <c r="VHW219" s="379"/>
      <c r="VIA219" s="5"/>
      <c r="VIB219" s="5"/>
      <c r="VIC219" s="5"/>
      <c r="VIE219" s="5"/>
      <c r="VIG219" s="5"/>
      <c r="VIH219" s="5"/>
      <c r="VII219" s="5"/>
      <c r="VIJ219" s="18"/>
      <c r="VIM219" s="409"/>
      <c r="VIN219" s="409"/>
      <c r="VIO219" s="409"/>
      <c r="VIP219" s="409"/>
      <c r="VIQ219" s="409"/>
      <c r="VIR219" s="409"/>
      <c r="VIS219" s="379"/>
      <c r="VIT219" s="379"/>
      <c r="VIX219" s="5"/>
      <c r="VIY219" s="5"/>
      <c r="VIZ219" s="5"/>
      <c r="VJB219" s="5"/>
      <c r="VJD219" s="5"/>
      <c r="VJE219" s="5"/>
      <c r="VJF219" s="5"/>
      <c r="VJG219" s="18"/>
      <c r="VJJ219" s="409"/>
      <c r="VJK219" s="409"/>
      <c r="VJL219" s="409"/>
      <c r="VJM219" s="409"/>
      <c r="VJN219" s="409"/>
      <c r="VJO219" s="409"/>
      <c r="VJP219" s="379"/>
      <c r="VJQ219" s="379"/>
      <c r="VJU219" s="5"/>
      <c r="VJV219" s="5"/>
      <c r="VJW219" s="5"/>
      <c r="VJY219" s="5"/>
      <c r="VKA219" s="5"/>
      <c r="VKB219" s="5"/>
      <c r="VKC219" s="5"/>
      <c r="VKD219" s="18"/>
      <c r="VKG219" s="409"/>
      <c r="VKH219" s="409"/>
      <c r="VKI219" s="409"/>
      <c r="VKJ219" s="409"/>
      <c r="VKK219" s="409"/>
      <c r="VKL219" s="409"/>
      <c r="VKM219" s="379"/>
      <c r="VKN219" s="379"/>
      <c r="VKR219" s="5"/>
      <c r="VKS219" s="5"/>
      <c r="VKT219" s="5"/>
      <c r="VKV219" s="5"/>
      <c r="VKX219" s="5"/>
      <c r="VKY219" s="5"/>
      <c r="VKZ219" s="5"/>
      <c r="VLA219" s="18"/>
      <c r="VLD219" s="409"/>
      <c r="VLE219" s="409"/>
      <c r="VLF219" s="409"/>
      <c r="VLG219" s="409"/>
      <c r="VLH219" s="409"/>
      <c r="VLI219" s="409"/>
      <c r="VLJ219" s="379"/>
      <c r="VLK219" s="379"/>
      <c r="VLO219" s="5"/>
      <c r="VLP219" s="5"/>
      <c r="VLQ219" s="5"/>
      <c r="VLS219" s="5"/>
      <c r="VLU219" s="5"/>
      <c r="VLV219" s="5"/>
      <c r="VLW219" s="5"/>
      <c r="VLX219" s="18"/>
      <c r="VMA219" s="409"/>
      <c r="VMB219" s="409"/>
      <c r="VMC219" s="409"/>
      <c r="VMD219" s="409"/>
      <c r="VME219" s="409"/>
      <c r="VMF219" s="409"/>
      <c r="VMG219" s="379"/>
      <c r="VMH219" s="379"/>
      <c r="VML219" s="5"/>
      <c r="VMM219" s="5"/>
      <c r="VMN219" s="5"/>
      <c r="VMP219" s="5"/>
      <c r="VMR219" s="5"/>
      <c r="VMS219" s="5"/>
      <c r="VMT219" s="5"/>
      <c r="VMU219" s="18"/>
      <c r="VMX219" s="409"/>
      <c r="VMY219" s="409"/>
      <c r="VMZ219" s="409"/>
      <c r="VNA219" s="409"/>
      <c r="VNB219" s="409"/>
      <c r="VNC219" s="409"/>
      <c r="VND219" s="379"/>
      <c r="VNE219" s="379"/>
      <c r="VNI219" s="5"/>
      <c r="VNJ219" s="5"/>
      <c r="VNK219" s="5"/>
      <c r="VNM219" s="5"/>
      <c r="VNO219" s="5"/>
      <c r="VNP219" s="5"/>
      <c r="VNQ219" s="5"/>
      <c r="VNR219" s="18"/>
      <c r="VNU219" s="409"/>
      <c r="VNV219" s="409"/>
      <c r="VNW219" s="409"/>
      <c r="VNX219" s="409"/>
      <c r="VNY219" s="409"/>
      <c r="VNZ219" s="409"/>
      <c r="VOA219" s="379"/>
      <c r="VOB219" s="379"/>
      <c r="VOF219" s="5"/>
      <c r="VOG219" s="5"/>
      <c r="VOH219" s="5"/>
      <c r="VOJ219" s="5"/>
      <c r="VOL219" s="5"/>
      <c r="VOM219" s="5"/>
      <c r="VON219" s="5"/>
      <c r="VOO219" s="18"/>
      <c r="VOR219" s="409"/>
      <c r="VOS219" s="409"/>
      <c r="VOT219" s="409"/>
      <c r="VOU219" s="409"/>
      <c r="VOV219" s="409"/>
      <c r="VOW219" s="409"/>
      <c r="VOX219" s="379"/>
      <c r="VOY219" s="379"/>
      <c r="VPC219" s="5"/>
      <c r="VPD219" s="5"/>
      <c r="VPE219" s="5"/>
      <c r="VPG219" s="5"/>
      <c r="VPI219" s="5"/>
      <c r="VPJ219" s="5"/>
      <c r="VPK219" s="5"/>
      <c r="VPL219" s="18"/>
      <c r="VPO219" s="409"/>
      <c r="VPP219" s="409"/>
      <c r="VPQ219" s="409"/>
      <c r="VPR219" s="409"/>
      <c r="VPS219" s="409"/>
      <c r="VPT219" s="409"/>
      <c r="VPU219" s="379"/>
      <c r="VPV219" s="379"/>
      <c r="VPZ219" s="5"/>
      <c r="VQA219" s="5"/>
      <c r="VQB219" s="5"/>
      <c r="VQD219" s="5"/>
      <c r="VQF219" s="5"/>
      <c r="VQG219" s="5"/>
      <c r="VQH219" s="5"/>
      <c r="VQI219" s="18"/>
      <c r="VQL219" s="409"/>
      <c r="VQM219" s="409"/>
      <c r="VQN219" s="409"/>
      <c r="VQO219" s="409"/>
      <c r="VQP219" s="409"/>
      <c r="VQQ219" s="409"/>
      <c r="VQR219" s="379"/>
      <c r="VQS219" s="379"/>
      <c r="VQW219" s="5"/>
      <c r="VQX219" s="5"/>
      <c r="VQY219" s="5"/>
      <c r="VRA219" s="5"/>
      <c r="VRC219" s="5"/>
      <c r="VRD219" s="5"/>
      <c r="VRE219" s="5"/>
      <c r="VRF219" s="18"/>
      <c r="VRI219" s="409"/>
      <c r="VRJ219" s="409"/>
      <c r="VRK219" s="409"/>
      <c r="VRL219" s="409"/>
      <c r="VRM219" s="409"/>
      <c r="VRN219" s="409"/>
      <c r="VRO219" s="379"/>
      <c r="VRP219" s="379"/>
      <c r="VRT219" s="5"/>
      <c r="VRU219" s="5"/>
      <c r="VRV219" s="5"/>
      <c r="VRX219" s="5"/>
      <c r="VRZ219" s="5"/>
      <c r="VSA219" s="5"/>
      <c r="VSB219" s="5"/>
      <c r="VSC219" s="18"/>
      <c r="VSF219" s="409"/>
      <c r="VSG219" s="409"/>
      <c r="VSH219" s="409"/>
      <c r="VSI219" s="409"/>
      <c r="VSJ219" s="409"/>
      <c r="VSK219" s="409"/>
      <c r="VSL219" s="379"/>
      <c r="VSM219" s="379"/>
      <c r="VSQ219" s="5"/>
      <c r="VSR219" s="5"/>
      <c r="VSS219" s="5"/>
      <c r="VSU219" s="5"/>
      <c r="VSW219" s="5"/>
      <c r="VSX219" s="5"/>
      <c r="VSY219" s="5"/>
      <c r="VSZ219" s="18"/>
      <c r="VTC219" s="409"/>
      <c r="VTD219" s="409"/>
      <c r="VTE219" s="409"/>
      <c r="VTF219" s="409"/>
      <c r="VTG219" s="409"/>
      <c r="VTH219" s="409"/>
      <c r="VTI219" s="379"/>
      <c r="VTJ219" s="379"/>
      <c r="VTN219" s="5"/>
      <c r="VTO219" s="5"/>
      <c r="VTP219" s="5"/>
      <c r="VTR219" s="5"/>
      <c r="VTT219" s="5"/>
      <c r="VTU219" s="5"/>
      <c r="VTV219" s="5"/>
      <c r="VTW219" s="18"/>
      <c r="VTZ219" s="409"/>
      <c r="VUA219" s="409"/>
      <c r="VUB219" s="409"/>
      <c r="VUC219" s="409"/>
      <c r="VUD219" s="409"/>
      <c r="VUE219" s="409"/>
      <c r="VUF219" s="379"/>
      <c r="VUG219" s="379"/>
      <c r="VUK219" s="5"/>
      <c r="VUL219" s="5"/>
      <c r="VUM219" s="5"/>
      <c r="VUO219" s="5"/>
      <c r="VUQ219" s="5"/>
      <c r="VUR219" s="5"/>
      <c r="VUS219" s="5"/>
      <c r="VUT219" s="18"/>
      <c r="VUW219" s="409"/>
      <c r="VUX219" s="409"/>
      <c r="VUY219" s="409"/>
      <c r="VUZ219" s="409"/>
      <c r="VVA219" s="409"/>
      <c r="VVB219" s="409"/>
      <c r="VVC219" s="379"/>
      <c r="VVD219" s="379"/>
      <c r="VVH219" s="5"/>
      <c r="VVI219" s="5"/>
      <c r="VVJ219" s="5"/>
      <c r="VVL219" s="5"/>
      <c r="VVN219" s="5"/>
      <c r="VVO219" s="5"/>
      <c r="VVP219" s="5"/>
      <c r="VVQ219" s="18"/>
      <c r="VVT219" s="409"/>
      <c r="VVU219" s="409"/>
      <c r="VVV219" s="409"/>
      <c r="VVW219" s="409"/>
      <c r="VVX219" s="409"/>
      <c r="VVY219" s="409"/>
      <c r="VVZ219" s="379"/>
      <c r="VWA219" s="379"/>
      <c r="VWE219" s="5"/>
      <c r="VWF219" s="5"/>
      <c r="VWG219" s="5"/>
      <c r="VWI219" s="5"/>
      <c r="VWK219" s="5"/>
      <c r="VWL219" s="5"/>
      <c r="VWM219" s="5"/>
      <c r="VWN219" s="18"/>
      <c r="VWQ219" s="409"/>
      <c r="VWR219" s="409"/>
      <c r="VWS219" s="409"/>
      <c r="VWT219" s="409"/>
      <c r="VWU219" s="409"/>
      <c r="VWV219" s="409"/>
      <c r="VWW219" s="379"/>
      <c r="VWX219" s="379"/>
      <c r="VXB219" s="5"/>
      <c r="VXC219" s="5"/>
      <c r="VXD219" s="5"/>
      <c r="VXF219" s="5"/>
      <c r="VXH219" s="5"/>
      <c r="VXI219" s="5"/>
      <c r="VXJ219" s="5"/>
      <c r="VXK219" s="18"/>
      <c r="VXN219" s="409"/>
      <c r="VXO219" s="409"/>
      <c r="VXP219" s="409"/>
      <c r="VXQ219" s="409"/>
      <c r="VXR219" s="409"/>
      <c r="VXS219" s="409"/>
      <c r="VXT219" s="379"/>
      <c r="VXU219" s="379"/>
      <c r="VXY219" s="5"/>
      <c r="VXZ219" s="5"/>
      <c r="VYA219" s="5"/>
      <c r="VYC219" s="5"/>
      <c r="VYE219" s="5"/>
      <c r="VYF219" s="5"/>
      <c r="VYG219" s="5"/>
      <c r="VYH219" s="18"/>
      <c r="VYK219" s="409"/>
      <c r="VYL219" s="409"/>
      <c r="VYM219" s="409"/>
      <c r="VYN219" s="409"/>
      <c r="VYO219" s="409"/>
      <c r="VYP219" s="409"/>
      <c r="VYQ219" s="379"/>
      <c r="VYR219" s="379"/>
      <c r="VYV219" s="5"/>
      <c r="VYW219" s="5"/>
      <c r="VYX219" s="5"/>
      <c r="VYZ219" s="5"/>
      <c r="VZB219" s="5"/>
      <c r="VZC219" s="5"/>
      <c r="VZD219" s="5"/>
      <c r="VZE219" s="18"/>
      <c r="VZH219" s="409"/>
      <c r="VZI219" s="409"/>
      <c r="VZJ219" s="409"/>
      <c r="VZK219" s="409"/>
      <c r="VZL219" s="409"/>
      <c r="VZM219" s="409"/>
      <c r="VZN219" s="379"/>
      <c r="VZO219" s="379"/>
      <c r="VZS219" s="5"/>
      <c r="VZT219" s="5"/>
      <c r="VZU219" s="5"/>
      <c r="VZW219" s="5"/>
      <c r="VZY219" s="5"/>
      <c r="VZZ219" s="5"/>
      <c r="WAA219" s="5"/>
      <c r="WAB219" s="18"/>
      <c r="WAE219" s="409"/>
      <c r="WAF219" s="409"/>
      <c r="WAG219" s="409"/>
      <c r="WAH219" s="409"/>
      <c r="WAI219" s="409"/>
      <c r="WAJ219" s="409"/>
      <c r="WAK219" s="379"/>
      <c r="WAL219" s="379"/>
      <c r="WAP219" s="5"/>
      <c r="WAQ219" s="5"/>
      <c r="WAR219" s="5"/>
      <c r="WAT219" s="5"/>
      <c r="WAV219" s="5"/>
      <c r="WAW219" s="5"/>
      <c r="WAX219" s="5"/>
      <c r="WAY219" s="18"/>
      <c r="WBB219" s="409"/>
      <c r="WBC219" s="409"/>
      <c r="WBD219" s="409"/>
      <c r="WBE219" s="409"/>
      <c r="WBF219" s="409"/>
      <c r="WBG219" s="409"/>
      <c r="WBH219" s="379"/>
      <c r="WBI219" s="379"/>
      <c r="WBM219" s="5"/>
      <c r="WBN219" s="5"/>
      <c r="WBO219" s="5"/>
      <c r="WBQ219" s="5"/>
      <c r="WBS219" s="5"/>
      <c r="WBT219" s="5"/>
      <c r="WBU219" s="5"/>
      <c r="WBV219" s="18"/>
      <c r="WBY219" s="409"/>
      <c r="WBZ219" s="409"/>
      <c r="WCA219" s="409"/>
      <c r="WCB219" s="409"/>
      <c r="WCC219" s="409"/>
      <c r="WCD219" s="409"/>
      <c r="WCE219" s="379"/>
      <c r="WCF219" s="379"/>
      <c r="WCJ219" s="5"/>
      <c r="WCK219" s="5"/>
      <c r="WCL219" s="5"/>
      <c r="WCN219" s="5"/>
      <c r="WCP219" s="5"/>
      <c r="WCQ219" s="5"/>
      <c r="WCR219" s="5"/>
      <c r="WCS219" s="18"/>
      <c r="WCV219" s="409"/>
      <c r="WCW219" s="409"/>
      <c r="WCX219" s="409"/>
      <c r="WCY219" s="409"/>
      <c r="WCZ219" s="409"/>
      <c r="WDA219" s="409"/>
      <c r="WDB219" s="379"/>
      <c r="WDC219" s="379"/>
      <c r="WDG219" s="5"/>
      <c r="WDH219" s="5"/>
      <c r="WDI219" s="5"/>
      <c r="WDK219" s="5"/>
      <c r="WDM219" s="5"/>
      <c r="WDN219" s="5"/>
      <c r="WDO219" s="5"/>
      <c r="WDP219" s="18"/>
      <c r="WDS219" s="409"/>
      <c r="WDT219" s="409"/>
      <c r="WDU219" s="409"/>
      <c r="WDV219" s="409"/>
      <c r="WDW219" s="409"/>
      <c r="WDX219" s="409"/>
      <c r="WDY219" s="379"/>
      <c r="WDZ219" s="379"/>
      <c r="WED219" s="5"/>
      <c r="WEE219" s="5"/>
      <c r="WEF219" s="5"/>
      <c r="WEH219" s="5"/>
      <c r="WEJ219" s="5"/>
      <c r="WEK219" s="5"/>
      <c r="WEL219" s="5"/>
      <c r="WEM219" s="18"/>
      <c r="WEP219" s="409"/>
      <c r="WEQ219" s="409"/>
      <c r="WER219" s="409"/>
      <c r="WES219" s="409"/>
      <c r="WET219" s="409"/>
      <c r="WEU219" s="409"/>
      <c r="WEV219" s="379"/>
      <c r="WEW219" s="379"/>
      <c r="WFA219" s="5"/>
      <c r="WFB219" s="5"/>
      <c r="WFC219" s="5"/>
      <c r="WFE219" s="5"/>
      <c r="WFG219" s="5"/>
      <c r="WFH219" s="5"/>
      <c r="WFI219" s="5"/>
      <c r="WFJ219" s="18"/>
      <c r="WFM219" s="409"/>
      <c r="WFN219" s="409"/>
      <c r="WFO219" s="409"/>
      <c r="WFP219" s="409"/>
      <c r="WFQ219" s="409"/>
      <c r="WFR219" s="409"/>
      <c r="WFS219" s="379"/>
      <c r="WFT219" s="379"/>
      <c r="WFX219" s="5"/>
      <c r="WFY219" s="5"/>
      <c r="WFZ219" s="5"/>
      <c r="WGB219" s="5"/>
      <c r="WGD219" s="5"/>
      <c r="WGE219" s="5"/>
      <c r="WGF219" s="5"/>
      <c r="WGG219" s="18"/>
      <c r="WGJ219" s="409"/>
      <c r="WGK219" s="409"/>
      <c r="WGL219" s="409"/>
      <c r="WGM219" s="409"/>
      <c r="WGN219" s="409"/>
      <c r="WGO219" s="409"/>
      <c r="WGP219" s="379"/>
      <c r="WGQ219" s="379"/>
      <c r="WGU219" s="5"/>
      <c r="WGV219" s="5"/>
      <c r="WGW219" s="5"/>
      <c r="WGY219" s="5"/>
      <c r="WHA219" s="5"/>
      <c r="WHB219" s="5"/>
      <c r="WHC219" s="5"/>
      <c r="WHD219" s="18"/>
      <c r="WHG219" s="409"/>
      <c r="WHH219" s="409"/>
      <c r="WHI219" s="409"/>
      <c r="WHJ219" s="409"/>
      <c r="WHK219" s="409"/>
      <c r="WHL219" s="409"/>
      <c r="WHM219" s="379"/>
      <c r="WHN219" s="379"/>
      <c r="WHR219" s="5"/>
      <c r="WHS219" s="5"/>
      <c r="WHT219" s="5"/>
      <c r="WHV219" s="5"/>
      <c r="WHX219" s="5"/>
      <c r="WHY219" s="5"/>
      <c r="WHZ219" s="5"/>
      <c r="WIA219" s="18"/>
      <c r="WID219" s="409"/>
      <c r="WIE219" s="409"/>
      <c r="WIF219" s="409"/>
      <c r="WIG219" s="409"/>
      <c r="WIH219" s="409"/>
      <c r="WII219" s="409"/>
      <c r="WIJ219" s="379"/>
      <c r="WIK219" s="379"/>
      <c r="WIO219" s="5"/>
      <c r="WIP219" s="5"/>
      <c r="WIQ219" s="5"/>
      <c r="WIS219" s="5"/>
      <c r="WIU219" s="5"/>
      <c r="WIV219" s="5"/>
      <c r="WIW219" s="5"/>
      <c r="WIX219" s="18"/>
      <c r="WJA219" s="409"/>
      <c r="WJB219" s="409"/>
      <c r="WJC219" s="409"/>
      <c r="WJD219" s="409"/>
      <c r="WJE219" s="409"/>
      <c r="WJF219" s="409"/>
      <c r="WJG219" s="379"/>
      <c r="WJH219" s="379"/>
      <c r="WJL219" s="5"/>
      <c r="WJM219" s="5"/>
      <c r="WJN219" s="5"/>
      <c r="WJP219" s="5"/>
      <c r="WJR219" s="5"/>
      <c r="WJS219" s="5"/>
      <c r="WJT219" s="5"/>
      <c r="WJU219" s="18"/>
      <c r="WJX219" s="409"/>
      <c r="WJY219" s="409"/>
      <c r="WJZ219" s="409"/>
      <c r="WKA219" s="409"/>
      <c r="WKB219" s="409"/>
      <c r="WKC219" s="409"/>
      <c r="WKD219" s="379"/>
      <c r="WKE219" s="379"/>
      <c r="WKI219" s="5"/>
      <c r="WKJ219" s="5"/>
      <c r="WKK219" s="5"/>
      <c r="WKM219" s="5"/>
      <c r="WKO219" s="5"/>
      <c r="WKP219" s="5"/>
      <c r="WKQ219" s="5"/>
      <c r="WKR219" s="18"/>
      <c r="WKU219" s="409"/>
      <c r="WKV219" s="409"/>
      <c r="WKW219" s="409"/>
      <c r="WKX219" s="409"/>
      <c r="WKY219" s="409"/>
      <c r="WKZ219" s="409"/>
      <c r="WLA219" s="379"/>
      <c r="WLB219" s="379"/>
      <c r="WLF219" s="5"/>
      <c r="WLG219" s="5"/>
      <c r="WLH219" s="5"/>
      <c r="WLJ219" s="5"/>
      <c r="WLL219" s="5"/>
      <c r="WLM219" s="5"/>
      <c r="WLN219" s="5"/>
      <c r="WLO219" s="18"/>
      <c r="WLR219" s="409"/>
      <c r="WLS219" s="409"/>
      <c r="WLT219" s="409"/>
      <c r="WLU219" s="409"/>
      <c r="WLV219" s="409"/>
      <c r="WLW219" s="409"/>
      <c r="WLX219" s="379"/>
      <c r="WLY219" s="379"/>
      <c r="WMC219" s="5"/>
      <c r="WMD219" s="5"/>
      <c r="WME219" s="5"/>
      <c r="WMG219" s="5"/>
      <c r="WMI219" s="5"/>
      <c r="WMJ219" s="5"/>
      <c r="WMK219" s="5"/>
      <c r="WML219" s="18"/>
      <c r="WMO219" s="409"/>
      <c r="WMP219" s="409"/>
      <c r="WMQ219" s="409"/>
      <c r="WMR219" s="409"/>
      <c r="WMS219" s="409"/>
      <c r="WMT219" s="409"/>
      <c r="WMU219" s="379"/>
      <c r="WMV219" s="379"/>
      <c r="WMZ219" s="5"/>
      <c r="WNA219" s="5"/>
      <c r="WNB219" s="5"/>
      <c r="WND219" s="5"/>
      <c r="WNF219" s="5"/>
      <c r="WNG219" s="5"/>
      <c r="WNH219" s="5"/>
      <c r="WNI219" s="18"/>
      <c r="WNL219" s="409"/>
      <c r="WNM219" s="409"/>
      <c r="WNN219" s="409"/>
      <c r="WNO219" s="409"/>
      <c r="WNP219" s="409"/>
      <c r="WNQ219" s="409"/>
      <c r="WNR219" s="379"/>
      <c r="WNS219" s="379"/>
      <c r="WNW219" s="5"/>
      <c r="WNX219" s="5"/>
      <c r="WNY219" s="5"/>
      <c r="WOA219" s="5"/>
      <c r="WOC219" s="5"/>
      <c r="WOD219" s="5"/>
      <c r="WOE219" s="5"/>
      <c r="WOF219" s="18"/>
      <c r="WOI219" s="409"/>
      <c r="WOJ219" s="409"/>
      <c r="WOK219" s="409"/>
      <c r="WOL219" s="409"/>
      <c r="WOM219" s="409"/>
      <c r="WON219" s="409"/>
      <c r="WOO219" s="379"/>
      <c r="WOP219" s="379"/>
      <c r="WOT219" s="5"/>
      <c r="WOU219" s="5"/>
      <c r="WOV219" s="5"/>
      <c r="WOX219" s="5"/>
      <c r="WOZ219" s="5"/>
      <c r="WPA219" s="5"/>
      <c r="WPB219" s="5"/>
      <c r="WPC219" s="18"/>
      <c r="WPF219" s="409"/>
      <c r="WPG219" s="409"/>
      <c r="WPH219" s="409"/>
      <c r="WPI219" s="409"/>
      <c r="WPJ219" s="409"/>
      <c r="WPK219" s="409"/>
      <c r="WPL219" s="379"/>
      <c r="WPM219" s="379"/>
      <c r="WPQ219" s="5"/>
      <c r="WPR219" s="5"/>
      <c r="WPS219" s="5"/>
      <c r="WPU219" s="5"/>
      <c r="WPW219" s="5"/>
      <c r="WPX219" s="5"/>
      <c r="WPY219" s="5"/>
      <c r="WPZ219" s="18"/>
      <c r="WQC219" s="409"/>
      <c r="WQD219" s="409"/>
      <c r="WQE219" s="409"/>
      <c r="WQF219" s="409"/>
      <c r="WQG219" s="409"/>
      <c r="WQH219" s="409"/>
      <c r="WQI219" s="379"/>
      <c r="WQJ219" s="379"/>
      <c r="WQN219" s="5"/>
      <c r="WQO219" s="5"/>
      <c r="WQP219" s="5"/>
      <c r="WQR219" s="5"/>
      <c r="WQT219" s="5"/>
      <c r="WQU219" s="5"/>
      <c r="WQV219" s="5"/>
      <c r="WQW219" s="18"/>
      <c r="WQZ219" s="409"/>
      <c r="WRA219" s="409"/>
      <c r="WRB219" s="409"/>
      <c r="WRC219" s="409"/>
      <c r="WRD219" s="409"/>
      <c r="WRE219" s="409"/>
      <c r="WRF219" s="379"/>
      <c r="WRG219" s="379"/>
      <c r="WRK219" s="5"/>
      <c r="WRL219" s="5"/>
      <c r="WRM219" s="5"/>
      <c r="WRO219" s="5"/>
      <c r="WRQ219" s="5"/>
      <c r="WRR219" s="5"/>
      <c r="WRS219" s="5"/>
      <c r="WRT219" s="18"/>
      <c r="WRW219" s="409"/>
      <c r="WRX219" s="409"/>
      <c r="WRY219" s="409"/>
      <c r="WRZ219" s="409"/>
      <c r="WSA219" s="409"/>
      <c r="WSB219" s="409"/>
      <c r="WSC219" s="379"/>
      <c r="WSD219" s="379"/>
      <c r="WSH219" s="5"/>
      <c r="WSI219" s="5"/>
      <c r="WSJ219" s="5"/>
      <c r="WSL219" s="5"/>
      <c r="WSN219" s="5"/>
      <c r="WSO219" s="5"/>
      <c r="WSP219" s="5"/>
      <c r="WSQ219" s="18"/>
      <c r="WST219" s="409"/>
      <c r="WSU219" s="409"/>
      <c r="WSV219" s="409"/>
      <c r="WSW219" s="409"/>
      <c r="WSX219" s="409"/>
      <c r="WSY219" s="409"/>
      <c r="WSZ219" s="379"/>
      <c r="WTA219" s="379"/>
      <c r="WTE219" s="5"/>
      <c r="WTF219" s="5"/>
      <c r="WTG219" s="5"/>
      <c r="WTI219" s="5"/>
      <c r="WTK219" s="5"/>
      <c r="WTL219" s="5"/>
      <c r="WTM219" s="5"/>
      <c r="WTN219" s="18"/>
      <c r="WTQ219" s="409"/>
      <c r="WTR219" s="409"/>
      <c r="WTS219" s="409"/>
      <c r="WTT219" s="409"/>
      <c r="WTU219" s="409"/>
      <c r="WTV219" s="409"/>
      <c r="WTW219" s="379"/>
      <c r="WTX219" s="379"/>
      <c r="WUB219" s="5"/>
      <c r="WUC219" s="5"/>
      <c r="WUD219" s="5"/>
      <c r="WUF219" s="5"/>
      <c r="WUH219" s="5"/>
      <c r="WUI219" s="5"/>
      <c r="WUJ219" s="5"/>
      <c r="WUK219" s="18"/>
      <c r="WUN219" s="409"/>
      <c r="WUO219" s="409"/>
      <c r="WUP219" s="409"/>
      <c r="WUQ219" s="409"/>
      <c r="WUR219" s="409"/>
      <c r="WUS219" s="409"/>
      <c r="WUT219" s="379"/>
      <c r="WUU219" s="379"/>
      <c r="WUY219" s="5"/>
      <c r="WUZ219" s="5"/>
      <c r="WVA219" s="5"/>
      <c r="WVC219" s="5"/>
      <c r="WVE219" s="5"/>
      <c r="WVF219" s="5"/>
      <c r="WVG219" s="5"/>
      <c r="WVH219" s="18"/>
      <c r="WVK219" s="409"/>
      <c r="WVL219" s="409"/>
      <c r="WVM219" s="409"/>
      <c r="WVN219" s="409"/>
      <c r="WVO219" s="409"/>
      <c r="WVP219" s="409"/>
      <c r="WVQ219" s="379"/>
      <c r="WVR219" s="379"/>
      <c r="WVV219" s="5"/>
      <c r="WVW219" s="5"/>
      <c r="WVX219" s="5"/>
      <c r="WVZ219" s="5"/>
      <c r="WWB219" s="5"/>
      <c r="WWC219" s="5"/>
      <c r="WWD219" s="5"/>
      <c r="WWE219" s="18"/>
      <c r="WWH219" s="409"/>
      <c r="WWI219" s="409"/>
      <c r="WWJ219" s="409"/>
      <c r="WWK219" s="409"/>
      <c r="WWL219" s="409"/>
      <c r="WWM219" s="409"/>
      <c r="WWN219" s="379"/>
      <c r="WWO219" s="379"/>
      <c r="WWS219" s="5"/>
      <c r="WWT219" s="5"/>
      <c r="WWU219" s="5"/>
      <c r="WWW219" s="5"/>
      <c r="WWY219" s="5"/>
      <c r="WWZ219" s="5"/>
      <c r="WXA219" s="5"/>
      <c r="WXB219" s="18"/>
      <c r="WXE219" s="409"/>
      <c r="WXF219" s="409"/>
      <c r="WXG219" s="409"/>
      <c r="WXH219" s="409"/>
      <c r="WXI219" s="409"/>
      <c r="WXJ219" s="409"/>
      <c r="WXK219" s="379"/>
      <c r="WXL219" s="379"/>
      <c r="WXP219" s="5"/>
      <c r="WXQ219" s="5"/>
      <c r="WXR219" s="5"/>
      <c r="WXT219" s="5"/>
      <c r="WXV219" s="5"/>
      <c r="WXW219" s="5"/>
      <c r="WXX219" s="5"/>
      <c r="WXY219" s="18"/>
      <c r="WYB219" s="409"/>
      <c r="WYC219" s="409"/>
      <c r="WYD219" s="409"/>
      <c r="WYE219" s="409"/>
      <c r="WYF219" s="409"/>
      <c r="WYG219" s="409"/>
      <c r="WYH219" s="379"/>
      <c r="WYI219" s="379"/>
      <c r="WYM219" s="5"/>
      <c r="WYN219" s="5"/>
      <c r="WYO219" s="5"/>
      <c r="WYQ219" s="5"/>
      <c r="WYS219" s="5"/>
      <c r="WYT219" s="5"/>
      <c r="WYU219" s="5"/>
      <c r="WYV219" s="18"/>
      <c r="WYY219" s="409"/>
      <c r="WYZ219" s="409"/>
      <c r="WZA219" s="409"/>
      <c r="WZB219" s="409"/>
      <c r="WZC219" s="409"/>
      <c r="WZD219" s="409"/>
      <c r="WZE219" s="379"/>
      <c r="WZF219" s="379"/>
      <c r="WZJ219" s="5"/>
      <c r="WZK219" s="5"/>
      <c r="WZL219" s="5"/>
      <c r="WZN219" s="5"/>
      <c r="WZP219" s="5"/>
      <c r="WZQ219" s="5"/>
      <c r="WZR219" s="5"/>
      <c r="WZS219" s="18"/>
      <c r="WZV219" s="409"/>
      <c r="WZW219" s="409"/>
      <c r="WZX219" s="409"/>
      <c r="WZY219" s="409"/>
      <c r="WZZ219" s="409"/>
      <c r="XAA219" s="409"/>
      <c r="XAB219" s="379"/>
      <c r="XAC219" s="379"/>
      <c r="XAG219" s="5"/>
      <c r="XAH219" s="5"/>
      <c r="XAI219" s="5"/>
      <c r="XAK219" s="5"/>
      <c r="XAM219" s="5"/>
      <c r="XAN219" s="5"/>
      <c r="XAO219" s="5"/>
      <c r="XAP219" s="18"/>
      <c r="XAS219" s="409"/>
      <c r="XAT219" s="409"/>
      <c r="XAU219" s="409"/>
      <c r="XAV219" s="409"/>
      <c r="XAW219" s="409"/>
      <c r="XAX219" s="409"/>
      <c r="XAY219" s="379"/>
      <c r="XAZ219" s="379"/>
      <c r="XBD219" s="5"/>
      <c r="XBE219" s="5"/>
      <c r="XBF219" s="5"/>
      <c r="XBH219" s="5"/>
      <c r="XBJ219" s="5"/>
      <c r="XBK219" s="5"/>
      <c r="XBL219" s="5"/>
      <c r="XBM219" s="18"/>
      <c r="XBP219" s="409"/>
      <c r="XBQ219" s="409"/>
      <c r="XBR219" s="409"/>
      <c r="XBS219" s="409"/>
      <c r="XBT219" s="409"/>
      <c r="XBU219" s="409"/>
      <c r="XBV219" s="379"/>
      <c r="XBW219" s="379"/>
      <c r="XCA219" s="5"/>
      <c r="XCB219" s="5"/>
      <c r="XCC219" s="5"/>
      <c r="XCE219" s="5"/>
      <c r="XCG219" s="5"/>
      <c r="XCH219" s="5"/>
      <c r="XCI219" s="5"/>
      <c r="XCJ219" s="18"/>
      <c r="XCM219" s="409"/>
      <c r="XCN219" s="409"/>
      <c r="XCO219" s="409"/>
      <c r="XCP219" s="409"/>
      <c r="XCQ219" s="409"/>
      <c r="XCR219" s="409"/>
      <c r="XCS219" s="379"/>
      <c r="XCT219" s="379"/>
      <c r="XCX219" s="5"/>
      <c r="XCY219" s="5"/>
      <c r="XCZ219" s="5"/>
      <c r="XDB219" s="5"/>
      <c r="XDD219" s="5"/>
      <c r="XDE219" s="5"/>
      <c r="XDF219" s="5"/>
      <c r="XDG219" s="18"/>
      <c r="XDJ219" s="409"/>
      <c r="XDK219" s="409"/>
      <c r="XDL219" s="409"/>
      <c r="XDM219" s="409"/>
      <c r="XDN219" s="409"/>
      <c r="XDO219" s="409"/>
      <c r="XDP219" s="379"/>
      <c r="XDQ219" s="379"/>
      <c r="XDU219" s="5"/>
      <c r="XDV219" s="5"/>
      <c r="XDW219" s="5"/>
      <c r="XDY219" s="5"/>
      <c r="XEA219" s="5"/>
      <c r="XEB219" s="5"/>
      <c r="XEC219" s="5"/>
      <c r="XED219" s="18"/>
      <c r="XEG219" s="409"/>
      <c r="XEH219" s="409"/>
      <c r="XEI219" s="409"/>
      <c r="XEJ219" s="409"/>
      <c r="XEK219" s="409"/>
      <c r="XEL219" s="409"/>
      <c r="XEM219" s="379"/>
      <c r="XEN219" s="379"/>
      <c r="XER219" s="5"/>
      <c r="XES219" s="5"/>
      <c r="XET219" s="5"/>
      <c r="XEV219" s="5"/>
      <c r="XEX219" s="5"/>
      <c r="XEY219" s="5"/>
      <c r="XEZ219" s="5"/>
      <c r="XFA219" s="18"/>
      <c r="XFD219" s="5"/>
    </row>
    <row r="220" spans="1:2047 2049:7168 7172:9215 9219:10240 10243:11262 11266:12287 12290:13309 13313:14334 14337:16384" x14ac:dyDescent="0.15">
      <c r="A220" s="1">
        <v>2018</v>
      </c>
      <c r="B220" s="5">
        <f>(K146*($E146/365))+(K147*($E147/365))</f>
        <v>15.428983417447728</v>
      </c>
      <c r="C220" s="5">
        <f>(L146*($E146/365))+(L147*($E147/365))</f>
        <v>31.218457101658252</v>
      </c>
      <c r="D220" s="5">
        <f>(M146*($E146/365))+(M147*($E147/365))</f>
        <v>30.483056957462146</v>
      </c>
      <c r="E220" s="18">
        <f t="shared" ref="E220" si="49">B220+C220+D220</f>
        <v>77.130497476568138</v>
      </c>
      <c r="G220" s="1">
        <v>2018</v>
      </c>
      <c r="H220" s="409">
        <f>(O146/$R146*100*($E146/365))+(O147/$R147*100*($E147/365))</f>
        <v>20.705417746513639</v>
      </c>
      <c r="I220" s="409"/>
      <c r="J220" s="409">
        <f>(Q146/$R146*100*($E146/365))+(Q147/$R147*100*($E147/365))</f>
        <v>38.120505957067131</v>
      </c>
      <c r="K220" s="409"/>
      <c r="L220" s="409">
        <f>(Q146/$R146*100*($E146/365))+(Q147/$R147*100*($E147/365))</f>
        <v>38.120505957067131</v>
      </c>
      <c r="M220" s="409"/>
      <c r="N220" s="379">
        <f t="shared" ref="N220" si="50">H220+J220+L220</f>
        <v>96.946429660647908</v>
      </c>
      <c r="O220" s="379"/>
      <c r="R220" s="1">
        <v>2018</v>
      </c>
      <c r="S220" s="5">
        <f>(O146*($E146/365))+(O147*($E147/365))</f>
        <v>11.491506849315069</v>
      </c>
      <c r="T220" s="5">
        <f>(P146*($E146/365))+(P147*($E147/365))</f>
        <v>22.744383561643836</v>
      </c>
      <c r="U220" s="5">
        <f>(Q146*($E146/365))+(Q147*($E147/365))</f>
        <v>19.898904109589044</v>
      </c>
      <c r="V220" s="5"/>
      <c r="W220" s="5">
        <f t="shared" ref="W220" si="51">S220+T220+U220</f>
        <v>54.134794520547942</v>
      </c>
    </row>
    <row r="221" spans="1:2047 2049:7168 7172:9215 9219:10240 10243:11262 11266:12287 12290:13309 13313:14334 14337:16384" x14ac:dyDescent="0.15">
      <c r="A221" s="1">
        <v>2019</v>
      </c>
      <c r="B221" s="5">
        <f>(K148*($E148/365))+(K149*($E149/365))+(K150*(E150/365))+(K151*(E151/365))</f>
        <v>20.418168709444846</v>
      </c>
      <c r="C221" s="5">
        <f>(L148*($E148/365))+(L149*($E149/365))+(L150*(E150/365))+(L151*(E151/365))</f>
        <v>42.544173118919993</v>
      </c>
      <c r="D221" s="5">
        <f>(M148*($E148/365))+(M149*($E149/365))+(M150*(E150/365))+(M151*(E151/365))</f>
        <v>14.051022433988486</v>
      </c>
      <c r="E221" s="18">
        <f t="shared" ref="E221:E222" si="52">B221+C221+D221</f>
        <v>77.013364262353321</v>
      </c>
      <c r="G221" s="1">
        <v>2019</v>
      </c>
      <c r="H221" s="409">
        <f>(O148/$R148*100*($E148/365))+(O149/$R149*100*($E149/365))+(O150/R150*100*(E150/365))+(O151/R151*100*(E151/365))</f>
        <v>23.898309268172284</v>
      </c>
      <c r="I221" s="409"/>
      <c r="J221" s="409">
        <f>(P148/$R148*100*($E148/365))+(P149/$R149*100*($E149/365))+(P150/R150*100*(E150/365))+(P151/R151*100*(E151/365))</f>
        <v>63.918975179853504</v>
      </c>
      <c r="K221" s="409"/>
      <c r="L221" s="409">
        <f>(Q148/$R148*100*($E148/365))+(Q149/$R149*100*($E149/365))+(Q150/R150*100*(E150/365))+(Q151/R151*100*(E151/365))</f>
        <v>12.182715551974214</v>
      </c>
      <c r="M221" s="409"/>
      <c r="N221" s="379">
        <f t="shared" ref="N221" si="53">H221+J221+L221</f>
        <v>100</v>
      </c>
      <c r="O221" s="379"/>
      <c r="R221" s="1">
        <v>2019</v>
      </c>
      <c r="S221" s="5">
        <f>(O148*($E148/365))+(O149*($E149/365))+(O150*(E150/365))+(O151*(E151/365))</f>
        <v>13.263561643835617</v>
      </c>
      <c r="T221" s="5">
        <f>(P148*($E148/365))+(P149*($E149/365))+(P150*(E150/365))+(P151*(E151/365))</f>
        <v>35.253424657534246</v>
      </c>
      <c r="U221" s="5">
        <f>(Q148*($E148/365))+(Q149*($E149/365))+(Q150*(E150/365))+(Q151*(E151/365))</f>
        <v>6.6273972602739724</v>
      </c>
      <c r="V221" s="5"/>
      <c r="W221" s="5">
        <f t="shared" ref="W221:W222" si="54">S221+T221+U221</f>
        <v>55.144383561643835</v>
      </c>
    </row>
    <row r="222" spans="1:2047 2049:7168 7172:9215 9219:10240 10243:11262 11266:12287 12290:13309 13313:14334 14337:16384" s="9" customFormat="1" x14ac:dyDescent="0.15">
      <c r="A222" s="1">
        <v>2020</v>
      </c>
      <c r="B222" s="5">
        <f>(K152*($E152/366))+(K153*($E153/366))</f>
        <v>0</v>
      </c>
      <c r="C222" s="5">
        <f>(L152*($E152/366))+(L153*($E153/366))</f>
        <v>41.666666666666671</v>
      </c>
      <c r="D222" s="5">
        <f>(M152*($E152/366))+(M153*($E153/366))</f>
        <v>41.666666666666671</v>
      </c>
      <c r="E222" s="18">
        <f t="shared" si="52"/>
        <v>83.333333333333343</v>
      </c>
      <c r="G222" s="1">
        <v>2020</v>
      </c>
      <c r="H222" s="409">
        <f>(O152/$R152*100*($E152/366))+(O153/$R153*100*($E153/366))</f>
        <v>0</v>
      </c>
      <c r="I222" s="409"/>
      <c r="J222" s="409">
        <f>(P152/$R152*100*($E152/366))+(P153/$R153*100*($E153/366))</f>
        <v>62.316176470588239</v>
      </c>
      <c r="K222" s="409"/>
      <c r="L222" s="409">
        <f>(Q152/$R152*100*($E152/366))+(Q153/$R153*100*($E153/366))</f>
        <v>37.683823529411761</v>
      </c>
      <c r="M222" s="409"/>
      <c r="N222" s="379">
        <f t="shared" ref="N222" si="55">H222+J222+L222</f>
        <v>100</v>
      </c>
      <c r="O222" s="379"/>
      <c r="R222" s="1">
        <v>2020</v>
      </c>
      <c r="S222" s="5">
        <f>(O152*($E152/366))+(O153*($E153/366))</f>
        <v>0</v>
      </c>
      <c r="T222" s="5">
        <f>(P152*($E152/366))+(P153*($E153/366))</f>
        <v>33.9</v>
      </c>
      <c r="U222" s="5">
        <f>(Q152*($E152/366))+(Q153*($E153/366))</f>
        <v>20.5</v>
      </c>
      <c r="W222" s="5">
        <f t="shared" si="54"/>
        <v>54.4</v>
      </c>
    </row>
  </sheetData>
  <mergeCells count="3267">
    <mergeCell ref="XCS219:XCT219"/>
    <mergeCell ref="XDJ219:XDK219"/>
    <mergeCell ref="XDL219:XDM219"/>
    <mergeCell ref="XDN219:XDO219"/>
    <mergeCell ref="XDP219:XDQ219"/>
    <mergeCell ref="XEG219:XEH219"/>
    <mergeCell ref="XEI219:XEJ219"/>
    <mergeCell ref="XEK219:XEL219"/>
    <mergeCell ref="XEM219:XEN219"/>
    <mergeCell ref="XAW219:XAX219"/>
    <mergeCell ref="XAY219:XAZ219"/>
    <mergeCell ref="XBP219:XBQ219"/>
    <mergeCell ref="XBR219:XBS219"/>
    <mergeCell ref="XBT219:XBU219"/>
    <mergeCell ref="XBV219:XBW219"/>
    <mergeCell ref="XCM219:XCN219"/>
    <mergeCell ref="XCO219:XCP219"/>
    <mergeCell ref="XCQ219:XCR219"/>
    <mergeCell ref="XAB219:XAC219"/>
    <mergeCell ref="XAS219:XAT219"/>
    <mergeCell ref="XAU219:XAV219"/>
    <mergeCell ref="WXE219:WXF219"/>
    <mergeCell ref="WXG219:WXH219"/>
    <mergeCell ref="WXI219:WXJ219"/>
    <mergeCell ref="WXK219:WXL219"/>
    <mergeCell ref="WYB219:WYC219"/>
    <mergeCell ref="WYD219:WYE219"/>
    <mergeCell ref="WYF219:WYG219"/>
    <mergeCell ref="WYH219:WYI219"/>
    <mergeCell ref="WYY219:WYZ219"/>
    <mergeCell ref="WUT219:WUU219"/>
    <mergeCell ref="WVK219:WVL219"/>
    <mergeCell ref="WVM219:WVN219"/>
    <mergeCell ref="WVO219:WVP219"/>
    <mergeCell ref="WVQ219:WVR219"/>
    <mergeCell ref="WWH219:WWI219"/>
    <mergeCell ref="WWJ219:WWK219"/>
    <mergeCell ref="WWL219:WWM219"/>
    <mergeCell ref="WWN219:WWO219"/>
    <mergeCell ref="WZA219:WZB219"/>
    <mergeCell ref="WZC219:WZD219"/>
    <mergeCell ref="WZE219:WZF219"/>
    <mergeCell ref="WZV219:WZW219"/>
    <mergeCell ref="WZX219:WZY219"/>
    <mergeCell ref="WZZ219:XAA219"/>
    <mergeCell ref="WSX219:WSY219"/>
    <mergeCell ref="WSZ219:WTA219"/>
    <mergeCell ref="WTQ219:WTR219"/>
    <mergeCell ref="WTS219:WTT219"/>
    <mergeCell ref="WTU219:WTV219"/>
    <mergeCell ref="WTW219:WTX219"/>
    <mergeCell ref="WUN219:WUO219"/>
    <mergeCell ref="WUP219:WUQ219"/>
    <mergeCell ref="WUR219:WUS219"/>
    <mergeCell ref="WRB219:WRC219"/>
    <mergeCell ref="WRD219:WRE219"/>
    <mergeCell ref="WRF219:WRG219"/>
    <mergeCell ref="WRW219:WRX219"/>
    <mergeCell ref="WRY219:WRZ219"/>
    <mergeCell ref="WSA219:WSB219"/>
    <mergeCell ref="WSC219:WSD219"/>
    <mergeCell ref="WST219:WSU219"/>
    <mergeCell ref="WSV219:WSW219"/>
    <mergeCell ref="WPF219:WPG219"/>
    <mergeCell ref="WPH219:WPI219"/>
    <mergeCell ref="WPJ219:WPK219"/>
    <mergeCell ref="WPL219:WPM219"/>
    <mergeCell ref="WQC219:WQD219"/>
    <mergeCell ref="WQE219:WQF219"/>
    <mergeCell ref="WQG219:WQH219"/>
    <mergeCell ref="WQI219:WQJ219"/>
    <mergeCell ref="WQZ219:WRA219"/>
    <mergeCell ref="WMU219:WMV219"/>
    <mergeCell ref="WNL219:WNM219"/>
    <mergeCell ref="WNN219:WNO219"/>
    <mergeCell ref="WNP219:WNQ219"/>
    <mergeCell ref="WNR219:WNS219"/>
    <mergeCell ref="WOI219:WOJ219"/>
    <mergeCell ref="WOK219:WOL219"/>
    <mergeCell ref="WOM219:WON219"/>
    <mergeCell ref="WOO219:WOP219"/>
    <mergeCell ref="WKY219:WKZ219"/>
    <mergeCell ref="WLA219:WLB219"/>
    <mergeCell ref="WLR219:WLS219"/>
    <mergeCell ref="WLT219:WLU219"/>
    <mergeCell ref="WLV219:WLW219"/>
    <mergeCell ref="WLX219:WLY219"/>
    <mergeCell ref="WMO219:WMP219"/>
    <mergeCell ref="WMQ219:WMR219"/>
    <mergeCell ref="WMS219:WMT219"/>
    <mergeCell ref="WJC219:WJD219"/>
    <mergeCell ref="WJE219:WJF219"/>
    <mergeCell ref="WJG219:WJH219"/>
    <mergeCell ref="WJX219:WJY219"/>
    <mergeCell ref="WJZ219:WKA219"/>
    <mergeCell ref="WKB219:WKC219"/>
    <mergeCell ref="WKD219:WKE219"/>
    <mergeCell ref="WKU219:WKV219"/>
    <mergeCell ref="WKW219:WKX219"/>
    <mergeCell ref="WHG219:WHH219"/>
    <mergeCell ref="WHI219:WHJ219"/>
    <mergeCell ref="WHK219:WHL219"/>
    <mergeCell ref="WHM219:WHN219"/>
    <mergeCell ref="WID219:WIE219"/>
    <mergeCell ref="WIF219:WIG219"/>
    <mergeCell ref="WIH219:WII219"/>
    <mergeCell ref="WIJ219:WIK219"/>
    <mergeCell ref="WJA219:WJB219"/>
    <mergeCell ref="WEV219:WEW219"/>
    <mergeCell ref="WFM219:WFN219"/>
    <mergeCell ref="WFO219:WFP219"/>
    <mergeCell ref="WFQ219:WFR219"/>
    <mergeCell ref="WFS219:WFT219"/>
    <mergeCell ref="WGJ219:WGK219"/>
    <mergeCell ref="WGL219:WGM219"/>
    <mergeCell ref="WGN219:WGO219"/>
    <mergeCell ref="WGP219:WGQ219"/>
    <mergeCell ref="WCZ219:WDA219"/>
    <mergeCell ref="WDB219:WDC219"/>
    <mergeCell ref="WDS219:WDT219"/>
    <mergeCell ref="WDU219:WDV219"/>
    <mergeCell ref="WDW219:WDX219"/>
    <mergeCell ref="WDY219:WDZ219"/>
    <mergeCell ref="WEP219:WEQ219"/>
    <mergeCell ref="WER219:WES219"/>
    <mergeCell ref="WET219:WEU219"/>
    <mergeCell ref="WBD219:WBE219"/>
    <mergeCell ref="WBF219:WBG219"/>
    <mergeCell ref="WBH219:WBI219"/>
    <mergeCell ref="WBY219:WBZ219"/>
    <mergeCell ref="WCA219:WCB219"/>
    <mergeCell ref="WCC219:WCD219"/>
    <mergeCell ref="WCE219:WCF219"/>
    <mergeCell ref="WCV219:WCW219"/>
    <mergeCell ref="WCX219:WCY219"/>
    <mergeCell ref="VZH219:VZI219"/>
    <mergeCell ref="VZJ219:VZK219"/>
    <mergeCell ref="VZL219:VZM219"/>
    <mergeCell ref="VZN219:VZO219"/>
    <mergeCell ref="WAE219:WAF219"/>
    <mergeCell ref="WAG219:WAH219"/>
    <mergeCell ref="WAI219:WAJ219"/>
    <mergeCell ref="WAK219:WAL219"/>
    <mergeCell ref="WBB219:WBC219"/>
    <mergeCell ref="VWW219:VWX219"/>
    <mergeCell ref="VXN219:VXO219"/>
    <mergeCell ref="VXP219:VXQ219"/>
    <mergeCell ref="VXR219:VXS219"/>
    <mergeCell ref="VXT219:VXU219"/>
    <mergeCell ref="VYK219:VYL219"/>
    <mergeCell ref="VYM219:VYN219"/>
    <mergeCell ref="VYO219:VYP219"/>
    <mergeCell ref="VYQ219:VYR219"/>
    <mergeCell ref="VVA219:VVB219"/>
    <mergeCell ref="VVC219:VVD219"/>
    <mergeCell ref="VVT219:VVU219"/>
    <mergeCell ref="VVV219:VVW219"/>
    <mergeCell ref="VVX219:VVY219"/>
    <mergeCell ref="VVZ219:VWA219"/>
    <mergeCell ref="VWQ219:VWR219"/>
    <mergeCell ref="VWS219:VWT219"/>
    <mergeCell ref="VWU219:VWV219"/>
    <mergeCell ref="VTE219:VTF219"/>
    <mergeCell ref="VTG219:VTH219"/>
    <mergeCell ref="VTI219:VTJ219"/>
    <mergeCell ref="VTZ219:VUA219"/>
    <mergeCell ref="VUB219:VUC219"/>
    <mergeCell ref="VUD219:VUE219"/>
    <mergeCell ref="VUF219:VUG219"/>
    <mergeCell ref="VUW219:VUX219"/>
    <mergeCell ref="VUY219:VUZ219"/>
    <mergeCell ref="VRI219:VRJ219"/>
    <mergeCell ref="VRK219:VRL219"/>
    <mergeCell ref="VRM219:VRN219"/>
    <mergeCell ref="VRO219:VRP219"/>
    <mergeCell ref="VSF219:VSG219"/>
    <mergeCell ref="VSH219:VSI219"/>
    <mergeCell ref="VSJ219:VSK219"/>
    <mergeCell ref="VSL219:VSM219"/>
    <mergeCell ref="VTC219:VTD219"/>
    <mergeCell ref="VOX219:VOY219"/>
    <mergeCell ref="VPO219:VPP219"/>
    <mergeCell ref="VPQ219:VPR219"/>
    <mergeCell ref="VPS219:VPT219"/>
    <mergeCell ref="VPU219:VPV219"/>
    <mergeCell ref="VQL219:VQM219"/>
    <mergeCell ref="VQN219:VQO219"/>
    <mergeCell ref="VQP219:VQQ219"/>
    <mergeCell ref="VQR219:VQS219"/>
    <mergeCell ref="VNB219:VNC219"/>
    <mergeCell ref="VND219:VNE219"/>
    <mergeCell ref="VNU219:VNV219"/>
    <mergeCell ref="VNW219:VNX219"/>
    <mergeCell ref="VNY219:VNZ219"/>
    <mergeCell ref="VOA219:VOB219"/>
    <mergeCell ref="VOR219:VOS219"/>
    <mergeCell ref="VOT219:VOU219"/>
    <mergeCell ref="VOV219:VOW219"/>
    <mergeCell ref="VLF219:VLG219"/>
    <mergeCell ref="VLH219:VLI219"/>
    <mergeCell ref="VLJ219:VLK219"/>
    <mergeCell ref="VMA219:VMB219"/>
    <mergeCell ref="VMC219:VMD219"/>
    <mergeCell ref="VME219:VMF219"/>
    <mergeCell ref="VMG219:VMH219"/>
    <mergeCell ref="VMX219:VMY219"/>
    <mergeCell ref="VMZ219:VNA219"/>
    <mergeCell ref="VJJ219:VJK219"/>
    <mergeCell ref="VJL219:VJM219"/>
    <mergeCell ref="VJN219:VJO219"/>
    <mergeCell ref="VJP219:VJQ219"/>
    <mergeCell ref="VKG219:VKH219"/>
    <mergeCell ref="VKI219:VKJ219"/>
    <mergeCell ref="VKK219:VKL219"/>
    <mergeCell ref="VKM219:VKN219"/>
    <mergeCell ref="VLD219:VLE219"/>
    <mergeCell ref="VGY219:VGZ219"/>
    <mergeCell ref="VHP219:VHQ219"/>
    <mergeCell ref="VHR219:VHS219"/>
    <mergeCell ref="VHT219:VHU219"/>
    <mergeCell ref="VHV219:VHW219"/>
    <mergeCell ref="VIM219:VIN219"/>
    <mergeCell ref="VIO219:VIP219"/>
    <mergeCell ref="VIQ219:VIR219"/>
    <mergeCell ref="VIS219:VIT219"/>
    <mergeCell ref="VFC219:VFD219"/>
    <mergeCell ref="VFE219:VFF219"/>
    <mergeCell ref="VFV219:VFW219"/>
    <mergeCell ref="VFX219:VFY219"/>
    <mergeCell ref="VFZ219:VGA219"/>
    <mergeCell ref="VGB219:VGC219"/>
    <mergeCell ref="VGS219:VGT219"/>
    <mergeCell ref="VGU219:VGV219"/>
    <mergeCell ref="VGW219:VGX219"/>
    <mergeCell ref="VDG219:VDH219"/>
    <mergeCell ref="VDI219:VDJ219"/>
    <mergeCell ref="VDK219:VDL219"/>
    <mergeCell ref="VEB219:VEC219"/>
    <mergeCell ref="VED219:VEE219"/>
    <mergeCell ref="VEF219:VEG219"/>
    <mergeCell ref="VEH219:VEI219"/>
    <mergeCell ref="VEY219:VEZ219"/>
    <mergeCell ref="VFA219:VFB219"/>
    <mergeCell ref="VBK219:VBL219"/>
    <mergeCell ref="VBM219:VBN219"/>
    <mergeCell ref="VBO219:VBP219"/>
    <mergeCell ref="VBQ219:VBR219"/>
    <mergeCell ref="VCH219:VCI219"/>
    <mergeCell ref="VCJ219:VCK219"/>
    <mergeCell ref="VCL219:VCM219"/>
    <mergeCell ref="VCN219:VCO219"/>
    <mergeCell ref="VDE219:VDF219"/>
    <mergeCell ref="UYZ219:UZA219"/>
    <mergeCell ref="UZQ219:UZR219"/>
    <mergeCell ref="UZS219:UZT219"/>
    <mergeCell ref="UZU219:UZV219"/>
    <mergeCell ref="UZW219:UZX219"/>
    <mergeCell ref="VAN219:VAO219"/>
    <mergeCell ref="VAP219:VAQ219"/>
    <mergeCell ref="VAR219:VAS219"/>
    <mergeCell ref="VAT219:VAU219"/>
    <mergeCell ref="UXD219:UXE219"/>
    <mergeCell ref="UXF219:UXG219"/>
    <mergeCell ref="UXW219:UXX219"/>
    <mergeCell ref="UXY219:UXZ219"/>
    <mergeCell ref="UYA219:UYB219"/>
    <mergeCell ref="UYC219:UYD219"/>
    <mergeCell ref="UYT219:UYU219"/>
    <mergeCell ref="UYV219:UYW219"/>
    <mergeCell ref="UYX219:UYY219"/>
    <mergeCell ref="UVH219:UVI219"/>
    <mergeCell ref="UVJ219:UVK219"/>
    <mergeCell ref="UVL219:UVM219"/>
    <mergeCell ref="UWC219:UWD219"/>
    <mergeCell ref="UWE219:UWF219"/>
    <mergeCell ref="UWG219:UWH219"/>
    <mergeCell ref="UWI219:UWJ219"/>
    <mergeCell ref="UWZ219:UXA219"/>
    <mergeCell ref="UXB219:UXC219"/>
    <mergeCell ref="UTL219:UTM219"/>
    <mergeCell ref="UTN219:UTO219"/>
    <mergeCell ref="UTP219:UTQ219"/>
    <mergeCell ref="UTR219:UTS219"/>
    <mergeCell ref="UUI219:UUJ219"/>
    <mergeCell ref="UUK219:UUL219"/>
    <mergeCell ref="UUM219:UUN219"/>
    <mergeCell ref="UUO219:UUP219"/>
    <mergeCell ref="UVF219:UVG219"/>
    <mergeCell ref="URA219:URB219"/>
    <mergeCell ref="URR219:URS219"/>
    <mergeCell ref="URT219:URU219"/>
    <mergeCell ref="URV219:URW219"/>
    <mergeCell ref="URX219:URY219"/>
    <mergeCell ref="USO219:USP219"/>
    <mergeCell ref="USQ219:USR219"/>
    <mergeCell ref="USS219:UST219"/>
    <mergeCell ref="USU219:USV219"/>
    <mergeCell ref="UPE219:UPF219"/>
    <mergeCell ref="UPG219:UPH219"/>
    <mergeCell ref="UPX219:UPY219"/>
    <mergeCell ref="UPZ219:UQA219"/>
    <mergeCell ref="UQB219:UQC219"/>
    <mergeCell ref="UQD219:UQE219"/>
    <mergeCell ref="UQU219:UQV219"/>
    <mergeCell ref="UQW219:UQX219"/>
    <mergeCell ref="UQY219:UQZ219"/>
    <mergeCell ref="UNI219:UNJ219"/>
    <mergeCell ref="UNK219:UNL219"/>
    <mergeCell ref="UNM219:UNN219"/>
    <mergeCell ref="UOD219:UOE219"/>
    <mergeCell ref="UOF219:UOG219"/>
    <mergeCell ref="UOH219:UOI219"/>
    <mergeCell ref="UOJ219:UOK219"/>
    <mergeCell ref="UPA219:UPB219"/>
    <mergeCell ref="UPC219:UPD219"/>
    <mergeCell ref="ULM219:ULN219"/>
    <mergeCell ref="ULO219:ULP219"/>
    <mergeCell ref="ULQ219:ULR219"/>
    <mergeCell ref="ULS219:ULT219"/>
    <mergeCell ref="UMJ219:UMK219"/>
    <mergeCell ref="UML219:UMM219"/>
    <mergeCell ref="UMN219:UMO219"/>
    <mergeCell ref="UMP219:UMQ219"/>
    <mergeCell ref="UNG219:UNH219"/>
    <mergeCell ref="UJB219:UJC219"/>
    <mergeCell ref="UJS219:UJT219"/>
    <mergeCell ref="UJU219:UJV219"/>
    <mergeCell ref="UJW219:UJX219"/>
    <mergeCell ref="UJY219:UJZ219"/>
    <mergeCell ref="UKP219:UKQ219"/>
    <mergeCell ref="UKR219:UKS219"/>
    <mergeCell ref="UKT219:UKU219"/>
    <mergeCell ref="UKV219:UKW219"/>
    <mergeCell ref="UHF219:UHG219"/>
    <mergeCell ref="UHH219:UHI219"/>
    <mergeCell ref="UHY219:UHZ219"/>
    <mergeCell ref="UIA219:UIB219"/>
    <mergeCell ref="UIC219:UID219"/>
    <mergeCell ref="UIE219:UIF219"/>
    <mergeCell ref="UIV219:UIW219"/>
    <mergeCell ref="UIX219:UIY219"/>
    <mergeCell ref="UIZ219:UJA219"/>
    <mergeCell ref="UFJ219:UFK219"/>
    <mergeCell ref="UFL219:UFM219"/>
    <mergeCell ref="UFN219:UFO219"/>
    <mergeCell ref="UGE219:UGF219"/>
    <mergeCell ref="UGG219:UGH219"/>
    <mergeCell ref="UGI219:UGJ219"/>
    <mergeCell ref="UGK219:UGL219"/>
    <mergeCell ref="UHB219:UHC219"/>
    <mergeCell ref="UHD219:UHE219"/>
    <mergeCell ref="UDN219:UDO219"/>
    <mergeCell ref="UDP219:UDQ219"/>
    <mergeCell ref="UDR219:UDS219"/>
    <mergeCell ref="UDT219:UDU219"/>
    <mergeCell ref="UEK219:UEL219"/>
    <mergeCell ref="UEM219:UEN219"/>
    <mergeCell ref="UEO219:UEP219"/>
    <mergeCell ref="UEQ219:UER219"/>
    <mergeCell ref="UFH219:UFI219"/>
    <mergeCell ref="UBC219:UBD219"/>
    <mergeCell ref="UBT219:UBU219"/>
    <mergeCell ref="UBV219:UBW219"/>
    <mergeCell ref="UBX219:UBY219"/>
    <mergeCell ref="UBZ219:UCA219"/>
    <mergeCell ref="UCQ219:UCR219"/>
    <mergeCell ref="UCS219:UCT219"/>
    <mergeCell ref="UCU219:UCV219"/>
    <mergeCell ref="UCW219:UCX219"/>
    <mergeCell ref="TZG219:TZH219"/>
    <mergeCell ref="TZI219:TZJ219"/>
    <mergeCell ref="TZZ219:UAA219"/>
    <mergeCell ref="UAB219:UAC219"/>
    <mergeCell ref="UAD219:UAE219"/>
    <mergeCell ref="UAF219:UAG219"/>
    <mergeCell ref="UAW219:UAX219"/>
    <mergeCell ref="UAY219:UAZ219"/>
    <mergeCell ref="UBA219:UBB219"/>
    <mergeCell ref="TXK219:TXL219"/>
    <mergeCell ref="TXM219:TXN219"/>
    <mergeCell ref="TXO219:TXP219"/>
    <mergeCell ref="TYF219:TYG219"/>
    <mergeCell ref="TYH219:TYI219"/>
    <mergeCell ref="TYJ219:TYK219"/>
    <mergeCell ref="TYL219:TYM219"/>
    <mergeCell ref="TZC219:TZD219"/>
    <mergeCell ref="TZE219:TZF219"/>
    <mergeCell ref="TVO219:TVP219"/>
    <mergeCell ref="TVQ219:TVR219"/>
    <mergeCell ref="TVS219:TVT219"/>
    <mergeCell ref="TVU219:TVV219"/>
    <mergeCell ref="TWL219:TWM219"/>
    <mergeCell ref="TWN219:TWO219"/>
    <mergeCell ref="TWP219:TWQ219"/>
    <mergeCell ref="TWR219:TWS219"/>
    <mergeCell ref="TXI219:TXJ219"/>
    <mergeCell ref="TTD219:TTE219"/>
    <mergeCell ref="TTU219:TTV219"/>
    <mergeCell ref="TTW219:TTX219"/>
    <mergeCell ref="TTY219:TTZ219"/>
    <mergeCell ref="TUA219:TUB219"/>
    <mergeCell ref="TUR219:TUS219"/>
    <mergeCell ref="TUT219:TUU219"/>
    <mergeCell ref="TUV219:TUW219"/>
    <mergeCell ref="TUX219:TUY219"/>
    <mergeCell ref="TRH219:TRI219"/>
    <mergeCell ref="TRJ219:TRK219"/>
    <mergeCell ref="TSA219:TSB219"/>
    <mergeCell ref="TSC219:TSD219"/>
    <mergeCell ref="TSE219:TSF219"/>
    <mergeCell ref="TSG219:TSH219"/>
    <mergeCell ref="TSX219:TSY219"/>
    <mergeCell ref="TSZ219:TTA219"/>
    <mergeCell ref="TTB219:TTC219"/>
    <mergeCell ref="TPL219:TPM219"/>
    <mergeCell ref="TPN219:TPO219"/>
    <mergeCell ref="TPP219:TPQ219"/>
    <mergeCell ref="TQG219:TQH219"/>
    <mergeCell ref="TQI219:TQJ219"/>
    <mergeCell ref="TQK219:TQL219"/>
    <mergeCell ref="TQM219:TQN219"/>
    <mergeCell ref="TRD219:TRE219"/>
    <mergeCell ref="TRF219:TRG219"/>
    <mergeCell ref="TNP219:TNQ219"/>
    <mergeCell ref="TNR219:TNS219"/>
    <mergeCell ref="TNT219:TNU219"/>
    <mergeCell ref="TNV219:TNW219"/>
    <mergeCell ref="TOM219:TON219"/>
    <mergeCell ref="TOO219:TOP219"/>
    <mergeCell ref="TOQ219:TOR219"/>
    <mergeCell ref="TOS219:TOT219"/>
    <mergeCell ref="TPJ219:TPK219"/>
    <mergeCell ref="TLE219:TLF219"/>
    <mergeCell ref="TLV219:TLW219"/>
    <mergeCell ref="TLX219:TLY219"/>
    <mergeCell ref="TLZ219:TMA219"/>
    <mergeCell ref="TMB219:TMC219"/>
    <mergeCell ref="TMS219:TMT219"/>
    <mergeCell ref="TMU219:TMV219"/>
    <mergeCell ref="TMW219:TMX219"/>
    <mergeCell ref="TMY219:TMZ219"/>
    <mergeCell ref="TJI219:TJJ219"/>
    <mergeCell ref="TJK219:TJL219"/>
    <mergeCell ref="TKB219:TKC219"/>
    <mergeCell ref="TKD219:TKE219"/>
    <mergeCell ref="TKF219:TKG219"/>
    <mergeCell ref="TKH219:TKI219"/>
    <mergeCell ref="TKY219:TKZ219"/>
    <mergeCell ref="TLA219:TLB219"/>
    <mergeCell ref="TLC219:TLD219"/>
    <mergeCell ref="THM219:THN219"/>
    <mergeCell ref="THO219:THP219"/>
    <mergeCell ref="THQ219:THR219"/>
    <mergeCell ref="TIH219:TII219"/>
    <mergeCell ref="TIJ219:TIK219"/>
    <mergeCell ref="TIL219:TIM219"/>
    <mergeCell ref="TIN219:TIO219"/>
    <mergeCell ref="TJE219:TJF219"/>
    <mergeCell ref="TJG219:TJH219"/>
    <mergeCell ref="TFQ219:TFR219"/>
    <mergeCell ref="TFS219:TFT219"/>
    <mergeCell ref="TFU219:TFV219"/>
    <mergeCell ref="TFW219:TFX219"/>
    <mergeCell ref="TGN219:TGO219"/>
    <mergeCell ref="TGP219:TGQ219"/>
    <mergeCell ref="TGR219:TGS219"/>
    <mergeCell ref="TGT219:TGU219"/>
    <mergeCell ref="THK219:THL219"/>
    <mergeCell ref="TDF219:TDG219"/>
    <mergeCell ref="TDW219:TDX219"/>
    <mergeCell ref="TDY219:TDZ219"/>
    <mergeCell ref="TEA219:TEB219"/>
    <mergeCell ref="TEC219:TED219"/>
    <mergeCell ref="TET219:TEU219"/>
    <mergeCell ref="TEV219:TEW219"/>
    <mergeCell ref="TEX219:TEY219"/>
    <mergeCell ref="TEZ219:TFA219"/>
    <mergeCell ref="TBJ219:TBK219"/>
    <mergeCell ref="TBL219:TBM219"/>
    <mergeCell ref="TCC219:TCD219"/>
    <mergeCell ref="TCE219:TCF219"/>
    <mergeCell ref="TCG219:TCH219"/>
    <mergeCell ref="TCI219:TCJ219"/>
    <mergeCell ref="TCZ219:TDA219"/>
    <mergeCell ref="TDB219:TDC219"/>
    <mergeCell ref="TDD219:TDE219"/>
    <mergeCell ref="SZN219:SZO219"/>
    <mergeCell ref="SZP219:SZQ219"/>
    <mergeCell ref="SZR219:SZS219"/>
    <mergeCell ref="TAI219:TAJ219"/>
    <mergeCell ref="TAK219:TAL219"/>
    <mergeCell ref="TAM219:TAN219"/>
    <mergeCell ref="TAO219:TAP219"/>
    <mergeCell ref="TBF219:TBG219"/>
    <mergeCell ref="TBH219:TBI219"/>
    <mergeCell ref="SXR219:SXS219"/>
    <mergeCell ref="SXT219:SXU219"/>
    <mergeCell ref="SXV219:SXW219"/>
    <mergeCell ref="SXX219:SXY219"/>
    <mergeCell ref="SYO219:SYP219"/>
    <mergeCell ref="SYQ219:SYR219"/>
    <mergeCell ref="SYS219:SYT219"/>
    <mergeCell ref="SYU219:SYV219"/>
    <mergeCell ref="SZL219:SZM219"/>
    <mergeCell ref="SVG219:SVH219"/>
    <mergeCell ref="SVX219:SVY219"/>
    <mergeCell ref="SVZ219:SWA219"/>
    <mergeCell ref="SWB219:SWC219"/>
    <mergeCell ref="SWD219:SWE219"/>
    <mergeCell ref="SWU219:SWV219"/>
    <mergeCell ref="SWW219:SWX219"/>
    <mergeCell ref="SWY219:SWZ219"/>
    <mergeCell ref="SXA219:SXB219"/>
    <mergeCell ref="STK219:STL219"/>
    <mergeCell ref="STM219:STN219"/>
    <mergeCell ref="SUD219:SUE219"/>
    <mergeCell ref="SUF219:SUG219"/>
    <mergeCell ref="SUH219:SUI219"/>
    <mergeCell ref="SUJ219:SUK219"/>
    <mergeCell ref="SVA219:SVB219"/>
    <mergeCell ref="SVC219:SVD219"/>
    <mergeCell ref="SVE219:SVF219"/>
    <mergeCell ref="SRO219:SRP219"/>
    <mergeCell ref="SRQ219:SRR219"/>
    <mergeCell ref="SRS219:SRT219"/>
    <mergeCell ref="SSJ219:SSK219"/>
    <mergeCell ref="SSL219:SSM219"/>
    <mergeCell ref="SSN219:SSO219"/>
    <mergeCell ref="SSP219:SSQ219"/>
    <mergeCell ref="STG219:STH219"/>
    <mergeCell ref="STI219:STJ219"/>
    <mergeCell ref="SPS219:SPT219"/>
    <mergeCell ref="SPU219:SPV219"/>
    <mergeCell ref="SPW219:SPX219"/>
    <mergeCell ref="SPY219:SPZ219"/>
    <mergeCell ref="SQP219:SQQ219"/>
    <mergeCell ref="SQR219:SQS219"/>
    <mergeCell ref="SQT219:SQU219"/>
    <mergeCell ref="SQV219:SQW219"/>
    <mergeCell ref="SRM219:SRN219"/>
    <mergeCell ref="SNH219:SNI219"/>
    <mergeCell ref="SNY219:SNZ219"/>
    <mergeCell ref="SOA219:SOB219"/>
    <mergeCell ref="SOC219:SOD219"/>
    <mergeCell ref="SOE219:SOF219"/>
    <mergeCell ref="SOV219:SOW219"/>
    <mergeCell ref="SOX219:SOY219"/>
    <mergeCell ref="SOZ219:SPA219"/>
    <mergeCell ref="SPB219:SPC219"/>
    <mergeCell ref="SLL219:SLM219"/>
    <mergeCell ref="SLN219:SLO219"/>
    <mergeCell ref="SME219:SMF219"/>
    <mergeCell ref="SMG219:SMH219"/>
    <mergeCell ref="SMI219:SMJ219"/>
    <mergeCell ref="SMK219:SML219"/>
    <mergeCell ref="SNB219:SNC219"/>
    <mergeCell ref="SND219:SNE219"/>
    <mergeCell ref="SNF219:SNG219"/>
    <mergeCell ref="SJP219:SJQ219"/>
    <mergeCell ref="SJR219:SJS219"/>
    <mergeCell ref="SJT219:SJU219"/>
    <mergeCell ref="SKK219:SKL219"/>
    <mergeCell ref="SKM219:SKN219"/>
    <mergeCell ref="SKO219:SKP219"/>
    <mergeCell ref="SKQ219:SKR219"/>
    <mergeCell ref="SLH219:SLI219"/>
    <mergeCell ref="SLJ219:SLK219"/>
    <mergeCell ref="SHT219:SHU219"/>
    <mergeCell ref="SHV219:SHW219"/>
    <mergeCell ref="SHX219:SHY219"/>
    <mergeCell ref="SHZ219:SIA219"/>
    <mergeCell ref="SIQ219:SIR219"/>
    <mergeCell ref="SIS219:SIT219"/>
    <mergeCell ref="SIU219:SIV219"/>
    <mergeCell ref="SIW219:SIX219"/>
    <mergeCell ref="SJN219:SJO219"/>
    <mergeCell ref="SFI219:SFJ219"/>
    <mergeCell ref="SFZ219:SGA219"/>
    <mergeCell ref="SGB219:SGC219"/>
    <mergeCell ref="SGD219:SGE219"/>
    <mergeCell ref="SGF219:SGG219"/>
    <mergeCell ref="SGW219:SGX219"/>
    <mergeCell ref="SGY219:SGZ219"/>
    <mergeCell ref="SHA219:SHB219"/>
    <mergeCell ref="SHC219:SHD219"/>
    <mergeCell ref="SDM219:SDN219"/>
    <mergeCell ref="SDO219:SDP219"/>
    <mergeCell ref="SEF219:SEG219"/>
    <mergeCell ref="SEH219:SEI219"/>
    <mergeCell ref="SEJ219:SEK219"/>
    <mergeCell ref="SEL219:SEM219"/>
    <mergeCell ref="SFC219:SFD219"/>
    <mergeCell ref="SFE219:SFF219"/>
    <mergeCell ref="SFG219:SFH219"/>
    <mergeCell ref="SBQ219:SBR219"/>
    <mergeCell ref="SBS219:SBT219"/>
    <mergeCell ref="SBU219:SBV219"/>
    <mergeCell ref="SCL219:SCM219"/>
    <mergeCell ref="SCN219:SCO219"/>
    <mergeCell ref="SCP219:SCQ219"/>
    <mergeCell ref="SCR219:SCS219"/>
    <mergeCell ref="SDI219:SDJ219"/>
    <mergeCell ref="SDK219:SDL219"/>
    <mergeCell ref="RZU219:RZV219"/>
    <mergeCell ref="RZW219:RZX219"/>
    <mergeCell ref="RZY219:RZZ219"/>
    <mergeCell ref="SAA219:SAB219"/>
    <mergeCell ref="SAR219:SAS219"/>
    <mergeCell ref="SAT219:SAU219"/>
    <mergeCell ref="SAV219:SAW219"/>
    <mergeCell ref="SAX219:SAY219"/>
    <mergeCell ref="SBO219:SBP219"/>
    <mergeCell ref="RXJ219:RXK219"/>
    <mergeCell ref="RYA219:RYB219"/>
    <mergeCell ref="RYC219:RYD219"/>
    <mergeCell ref="RYE219:RYF219"/>
    <mergeCell ref="RYG219:RYH219"/>
    <mergeCell ref="RYX219:RYY219"/>
    <mergeCell ref="RYZ219:RZA219"/>
    <mergeCell ref="RZB219:RZC219"/>
    <mergeCell ref="RZD219:RZE219"/>
    <mergeCell ref="RVN219:RVO219"/>
    <mergeCell ref="RVP219:RVQ219"/>
    <mergeCell ref="RWG219:RWH219"/>
    <mergeCell ref="RWI219:RWJ219"/>
    <mergeCell ref="RWK219:RWL219"/>
    <mergeCell ref="RWM219:RWN219"/>
    <mergeCell ref="RXD219:RXE219"/>
    <mergeCell ref="RXF219:RXG219"/>
    <mergeCell ref="RXH219:RXI219"/>
    <mergeCell ref="RTR219:RTS219"/>
    <mergeCell ref="RTT219:RTU219"/>
    <mergeCell ref="RTV219:RTW219"/>
    <mergeCell ref="RUM219:RUN219"/>
    <mergeCell ref="RUO219:RUP219"/>
    <mergeCell ref="RUQ219:RUR219"/>
    <mergeCell ref="RUS219:RUT219"/>
    <mergeCell ref="RVJ219:RVK219"/>
    <mergeCell ref="RVL219:RVM219"/>
    <mergeCell ref="RRV219:RRW219"/>
    <mergeCell ref="RRX219:RRY219"/>
    <mergeCell ref="RRZ219:RSA219"/>
    <mergeCell ref="RSB219:RSC219"/>
    <mergeCell ref="RSS219:RST219"/>
    <mergeCell ref="RSU219:RSV219"/>
    <mergeCell ref="RSW219:RSX219"/>
    <mergeCell ref="RSY219:RSZ219"/>
    <mergeCell ref="RTP219:RTQ219"/>
    <mergeCell ref="RPK219:RPL219"/>
    <mergeCell ref="RQB219:RQC219"/>
    <mergeCell ref="RQD219:RQE219"/>
    <mergeCell ref="RQF219:RQG219"/>
    <mergeCell ref="RQH219:RQI219"/>
    <mergeCell ref="RQY219:RQZ219"/>
    <mergeCell ref="RRA219:RRB219"/>
    <mergeCell ref="RRC219:RRD219"/>
    <mergeCell ref="RRE219:RRF219"/>
    <mergeCell ref="RNO219:RNP219"/>
    <mergeCell ref="RNQ219:RNR219"/>
    <mergeCell ref="ROH219:ROI219"/>
    <mergeCell ref="ROJ219:ROK219"/>
    <mergeCell ref="ROL219:ROM219"/>
    <mergeCell ref="RON219:ROO219"/>
    <mergeCell ref="RPE219:RPF219"/>
    <mergeCell ref="RPG219:RPH219"/>
    <mergeCell ref="RPI219:RPJ219"/>
    <mergeCell ref="RLS219:RLT219"/>
    <mergeCell ref="RLU219:RLV219"/>
    <mergeCell ref="RLW219:RLX219"/>
    <mergeCell ref="RMN219:RMO219"/>
    <mergeCell ref="RMP219:RMQ219"/>
    <mergeCell ref="RMR219:RMS219"/>
    <mergeCell ref="RMT219:RMU219"/>
    <mergeCell ref="RNK219:RNL219"/>
    <mergeCell ref="RNM219:RNN219"/>
    <mergeCell ref="RJW219:RJX219"/>
    <mergeCell ref="RJY219:RJZ219"/>
    <mergeCell ref="RKA219:RKB219"/>
    <mergeCell ref="RKC219:RKD219"/>
    <mergeCell ref="RKT219:RKU219"/>
    <mergeCell ref="RKV219:RKW219"/>
    <mergeCell ref="RKX219:RKY219"/>
    <mergeCell ref="RKZ219:RLA219"/>
    <mergeCell ref="RLQ219:RLR219"/>
    <mergeCell ref="RHL219:RHM219"/>
    <mergeCell ref="RIC219:RID219"/>
    <mergeCell ref="RIE219:RIF219"/>
    <mergeCell ref="RIG219:RIH219"/>
    <mergeCell ref="RII219:RIJ219"/>
    <mergeCell ref="RIZ219:RJA219"/>
    <mergeCell ref="RJB219:RJC219"/>
    <mergeCell ref="RJD219:RJE219"/>
    <mergeCell ref="RJF219:RJG219"/>
    <mergeCell ref="RFP219:RFQ219"/>
    <mergeCell ref="RFR219:RFS219"/>
    <mergeCell ref="RGI219:RGJ219"/>
    <mergeCell ref="RGK219:RGL219"/>
    <mergeCell ref="RGM219:RGN219"/>
    <mergeCell ref="RGO219:RGP219"/>
    <mergeCell ref="RHF219:RHG219"/>
    <mergeCell ref="RHH219:RHI219"/>
    <mergeCell ref="RHJ219:RHK219"/>
    <mergeCell ref="RDT219:RDU219"/>
    <mergeCell ref="RDV219:RDW219"/>
    <mergeCell ref="RDX219:RDY219"/>
    <mergeCell ref="REO219:REP219"/>
    <mergeCell ref="REQ219:RER219"/>
    <mergeCell ref="RES219:RET219"/>
    <mergeCell ref="REU219:REV219"/>
    <mergeCell ref="RFL219:RFM219"/>
    <mergeCell ref="RFN219:RFO219"/>
    <mergeCell ref="RBX219:RBY219"/>
    <mergeCell ref="RBZ219:RCA219"/>
    <mergeCell ref="RCB219:RCC219"/>
    <mergeCell ref="RCD219:RCE219"/>
    <mergeCell ref="RCU219:RCV219"/>
    <mergeCell ref="RCW219:RCX219"/>
    <mergeCell ref="RCY219:RCZ219"/>
    <mergeCell ref="RDA219:RDB219"/>
    <mergeCell ref="RDR219:RDS219"/>
    <mergeCell ref="QZM219:QZN219"/>
    <mergeCell ref="RAD219:RAE219"/>
    <mergeCell ref="RAF219:RAG219"/>
    <mergeCell ref="RAH219:RAI219"/>
    <mergeCell ref="RAJ219:RAK219"/>
    <mergeCell ref="RBA219:RBB219"/>
    <mergeCell ref="RBC219:RBD219"/>
    <mergeCell ref="RBE219:RBF219"/>
    <mergeCell ref="RBG219:RBH219"/>
    <mergeCell ref="QXQ219:QXR219"/>
    <mergeCell ref="QXS219:QXT219"/>
    <mergeCell ref="QYJ219:QYK219"/>
    <mergeCell ref="QYL219:QYM219"/>
    <mergeCell ref="QYN219:QYO219"/>
    <mergeCell ref="QYP219:QYQ219"/>
    <mergeCell ref="QZG219:QZH219"/>
    <mergeCell ref="QZI219:QZJ219"/>
    <mergeCell ref="QZK219:QZL219"/>
    <mergeCell ref="QVU219:QVV219"/>
    <mergeCell ref="QVW219:QVX219"/>
    <mergeCell ref="QVY219:QVZ219"/>
    <mergeCell ref="QWP219:QWQ219"/>
    <mergeCell ref="QWR219:QWS219"/>
    <mergeCell ref="QWT219:QWU219"/>
    <mergeCell ref="QWV219:QWW219"/>
    <mergeCell ref="QXM219:QXN219"/>
    <mergeCell ref="QXO219:QXP219"/>
    <mergeCell ref="QTY219:QTZ219"/>
    <mergeCell ref="QUA219:QUB219"/>
    <mergeCell ref="QUC219:QUD219"/>
    <mergeCell ref="QUE219:QUF219"/>
    <mergeCell ref="QUV219:QUW219"/>
    <mergeCell ref="QUX219:QUY219"/>
    <mergeCell ref="QUZ219:QVA219"/>
    <mergeCell ref="QVB219:QVC219"/>
    <mergeCell ref="QVS219:QVT219"/>
    <mergeCell ref="QRN219:QRO219"/>
    <mergeCell ref="QSE219:QSF219"/>
    <mergeCell ref="QSG219:QSH219"/>
    <mergeCell ref="QSI219:QSJ219"/>
    <mergeCell ref="QSK219:QSL219"/>
    <mergeCell ref="QTB219:QTC219"/>
    <mergeCell ref="QTD219:QTE219"/>
    <mergeCell ref="QTF219:QTG219"/>
    <mergeCell ref="QTH219:QTI219"/>
    <mergeCell ref="QPR219:QPS219"/>
    <mergeCell ref="QPT219:QPU219"/>
    <mergeCell ref="QQK219:QQL219"/>
    <mergeCell ref="QQM219:QQN219"/>
    <mergeCell ref="QQO219:QQP219"/>
    <mergeCell ref="QQQ219:QQR219"/>
    <mergeCell ref="QRH219:QRI219"/>
    <mergeCell ref="QRJ219:QRK219"/>
    <mergeCell ref="QRL219:QRM219"/>
    <mergeCell ref="QNV219:QNW219"/>
    <mergeCell ref="QNX219:QNY219"/>
    <mergeCell ref="QNZ219:QOA219"/>
    <mergeCell ref="QOQ219:QOR219"/>
    <mergeCell ref="QOS219:QOT219"/>
    <mergeCell ref="QOU219:QOV219"/>
    <mergeCell ref="QOW219:QOX219"/>
    <mergeCell ref="QPN219:QPO219"/>
    <mergeCell ref="QPP219:QPQ219"/>
    <mergeCell ref="QLZ219:QMA219"/>
    <mergeCell ref="QMB219:QMC219"/>
    <mergeCell ref="QMD219:QME219"/>
    <mergeCell ref="QMF219:QMG219"/>
    <mergeCell ref="QMW219:QMX219"/>
    <mergeCell ref="QMY219:QMZ219"/>
    <mergeCell ref="QNA219:QNB219"/>
    <mergeCell ref="QNC219:QND219"/>
    <mergeCell ref="QNT219:QNU219"/>
    <mergeCell ref="QJO219:QJP219"/>
    <mergeCell ref="QKF219:QKG219"/>
    <mergeCell ref="QKH219:QKI219"/>
    <mergeCell ref="QKJ219:QKK219"/>
    <mergeCell ref="QKL219:QKM219"/>
    <mergeCell ref="QLC219:QLD219"/>
    <mergeCell ref="QLE219:QLF219"/>
    <mergeCell ref="QLG219:QLH219"/>
    <mergeCell ref="QLI219:QLJ219"/>
    <mergeCell ref="QHS219:QHT219"/>
    <mergeCell ref="QHU219:QHV219"/>
    <mergeCell ref="QIL219:QIM219"/>
    <mergeCell ref="QIN219:QIO219"/>
    <mergeCell ref="QIP219:QIQ219"/>
    <mergeCell ref="QIR219:QIS219"/>
    <mergeCell ref="QJI219:QJJ219"/>
    <mergeCell ref="QJK219:QJL219"/>
    <mergeCell ref="QJM219:QJN219"/>
    <mergeCell ref="QFW219:QFX219"/>
    <mergeCell ref="QFY219:QFZ219"/>
    <mergeCell ref="QGA219:QGB219"/>
    <mergeCell ref="QGR219:QGS219"/>
    <mergeCell ref="QGT219:QGU219"/>
    <mergeCell ref="QGV219:QGW219"/>
    <mergeCell ref="QGX219:QGY219"/>
    <mergeCell ref="QHO219:QHP219"/>
    <mergeCell ref="QHQ219:QHR219"/>
    <mergeCell ref="QEA219:QEB219"/>
    <mergeCell ref="QEC219:QED219"/>
    <mergeCell ref="QEE219:QEF219"/>
    <mergeCell ref="QEG219:QEH219"/>
    <mergeCell ref="QEX219:QEY219"/>
    <mergeCell ref="QEZ219:QFA219"/>
    <mergeCell ref="QFB219:QFC219"/>
    <mergeCell ref="QFD219:QFE219"/>
    <mergeCell ref="QFU219:QFV219"/>
    <mergeCell ref="QBP219:QBQ219"/>
    <mergeCell ref="QCG219:QCH219"/>
    <mergeCell ref="QCI219:QCJ219"/>
    <mergeCell ref="QCK219:QCL219"/>
    <mergeCell ref="QCM219:QCN219"/>
    <mergeCell ref="QDD219:QDE219"/>
    <mergeCell ref="QDF219:QDG219"/>
    <mergeCell ref="QDH219:QDI219"/>
    <mergeCell ref="QDJ219:QDK219"/>
    <mergeCell ref="PZT219:PZU219"/>
    <mergeCell ref="PZV219:PZW219"/>
    <mergeCell ref="QAM219:QAN219"/>
    <mergeCell ref="QAO219:QAP219"/>
    <mergeCell ref="QAQ219:QAR219"/>
    <mergeCell ref="QAS219:QAT219"/>
    <mergeCell ref="QBJ219:QBK219"/>
    <mergeCell ref="QBL219:QBM219"/>
    <mergeCell ref="QBN219:QBO219"/>
    <mergeCell ref="PXX219:PXY219"/>
    <mergeCell ref="PXZ219:PYA219"/>
    <mergeCell ref="PYB219:PYC219"/>
    <mergeCell ref="PYS219:PYT219"/>
    <mergeCell ref="PYU219:PYV219"/>
    <mergeCell ref="PYW219:PYX219"/>
    <mergeCell ref="PYY219:PYZ219"/>
    <mergeCell ref="PZP219:PZQ219"/>
    <mergeCell ref="PZR219:PZS219"/>
    <mergeCell ref="PWB219:PWC219"/>
    <mergeCell ref="PWD219:PWE219"/>
    <mergeCell ref="PWF219:PWG219"/>
    <mergeCell ref="PWH219:PWI219"/>
    <mergeCell ref="PWY219:PWZ219"/>
    <mergeCell ref="PXA219:PXB219"/>
    <mergeCell ref="PXC219:PXD219"/>
    <mergeCell ref="PXE219:PXF219"/>
    <mergeCell ref="PXV219:PXW219"/>
    <mergeCell ref="PTQ219:PTR219"/>
    <mergeCell ref="PUH219:PUI219"/>
    <mergeCell ref="PUJ219:PUK219"/>
    <mergeCell ref="PUL219:PUM219"/>
    <mergeCell ref="PUN219:PUO219"/>
    <mergeCell ref="PVE219:PVF219"/>
    <mergeCell ref="PVG219:PVH219"/>
    <mergeCell ref="PVI219:PVJ219"/>
    <mergeCell ref="PVK219:PVL219"/>
    <mergeCell ref="PRU219:PRV219"/>
    <mergeCell ref="PRW219:PRX219"/>
    <mergeCell ref="PSN219:PSO219"/>
    <mergeCell ref="PSP219:PSQ219"/>
    <mergeCell ref="PSR219:PSS219"/>
    <mergeCell ref="PST219:PSU219"/>
    <mergeCell ref="PTK219:PTL219"/>
    <mergeCell ref="PTM219:PTN219"/>
    <mergeCell ref="PTO219:PTP219"/>
    <mergeCell ref="PPY219:PPZ219"/>
    <mergeCell ref="PQA219:PQB219"/>
    <mergeCell ref="PQC219:PQD219"/>
    <mergeCell ref="PQT219:PQU219"/>
    <mergeCell ref="PQV219:PQW219"/>
    <mergeCell ref="PQX219:PQY219"/>
    <mergeCell ref="PQZ219:PRA219"/>
    <mergeCell ref="PRQ219:PRR219"/>
    <mergeCell ref="PRS219:PRT219"/>
    <mergeCell ref="POC219:POD219"/>
    <mergeCell ref="POE219:POF219"/>
    <mergeCell ref="POG219:POH219"/>
    <mergeCell ref="POI219:POJ219"/>
    <mergeCell ref="POZ219:PPA219"/>
    <mergeCell ref="PPB219:PPC219"/>
    <mergeCell ref="PPD219:PPE219"/>
    <mergeCell ref="PPF219:PPG219"/>
    <mergeCell ref="PPW219:PPX219"/>
    <mergeCell ref="PLR219:PLS219"/>
    <mergeCell ref="PMI219:PMJ219"/>
    <mergeCell ref="PMK219:PML219"/>
    <mergeCell ref="PMM219:PMN219"/>
    <mergeCell ref="PMO219:PMP219"/>
    <mergeCell ref="PNF219:PNG219"/>
    <mergeCell ref="PNH219:PNI219"/>
    <mergeCell ref="PNJ219:PNK219"/>
    <mergeCell ref="PNL219:PNM219"/>
    <mergeCell ref="PJV219:PJW219"/>
    <mergeCell ref="PJX219:PJY219"/>
    <mergeCell ref="PKO219:PKP219"/>
    <mergeCell ref="PKQ219:PKR219"/>
    <mergeCell ref="PKS219:PKT219"/>
    <mergeCell ref="PKU219:PKV219"/>
    <mergeCell ref="PLL219:PLM219"/>
    <mergeCell ref="PLN219:PLO219"/>
    <mergeCell ref="PLP219:PLQ219"/>
    <mergeCell ref="PHZ219:PIA219"/>
    <mergeCell ref="PIB219:PIC219"/>
    <mergeCell ref="PID219:PIE219"/>
    <mergeCell ref="PIU219:PIV219"/>
    <mergeCell ref="PIW219:PIX219"/>
    <mergeCell ref="PIY219:PIZ219"/>
    <mergeCell ref="PJA219:PJB219"/>
    <mergeCell ref="PJR219:PJS219"/>
    <mergeCell ref="PJT219:PJU219"/>
    <mergeCell ref="PGD219:PGE219"/>
    <mergeCell ref="PGF219:PGG219"/>
    <mergeCell ref="PGH219:PGI219"/>
    <mergeCell ref="PGJ219:PGK219"/>
    <mergeCell ref="PHA219:PHB219"/>
    <mergeCell ref="PHC219:PHD219"/>
    <mergeCell ref="PHE219:PHF219"/>
    <mergeCell ref="PHG219:PHH219"/>
    <mergeCell ref="PHX219:PHY219"/>
    <mergeCell ref="PDS219:PDT219"/>
    <mergeCell ref="PEJ219:PEK219"/>
    <mergeCell ref="PEL219:PEM219"/>
    <mergeCell ref="PEN219:PEO219"/>
    <mergeCell ref="PEP219:PEQ219"/>
    <mergeCell ref="PFG219:PFH219"/>
    <mergeCell ref="PFI219:PFJ219"/>
    <mergeCell ref="PFK219:PFL219"/>
    <mergeCell ref="PFM219:PFN219"/>
    <mergeCell ref="PBW219:PBX219"/>
    <mergeCell ref="PBY219:PBZ219"/>
    <mergeCell ref="PCP219:PCQ219"/>
    <mergeCell ref="PCR219:PCS219"/>
    <mergeCell ref="PCT219:PCU219"/>
    <mergeCell ref="PCV219:PCW219"/>
    <mergeCell ref="PDM219:PDN219"/>
    <mergeCell ref="PDO219:PDP219"/>
    <mergeCell ref="PDQ219:PDR219"/>
    <mergeCell ref="PAA219:PAB219"/>
    <mergeCell ref="PAC219:PAD219"/>
    <mergeCell ref="PAE219:PAF219"/>
    <mergeCell ref="PAV219:PAW219"/>
    <mergeCell ref="PAX219:PAY219"/>
    <mergeCell ref="PAZ219:PBA219"/>
    <mergeCell ref="PBB219:PBC219"/>
    <mergeCell ref="PBS219:PBT219"/>
    <mergeCell ref="PBU219:PBV219"/>
    <mergeCell ref="OYE219:OYF219"/>
    <mergeCell ref="OYG219:OYH219"/>
    <mergeCell ref="OYI219:OYJ219"/>
    <mergeCell ref="OYK219:OYL219"/>
    <mergeCell ref="OZB219:OZC219"/>
    <mergeCell ref="OZD219:OZE219"/>
    <mergeCell ref="OZF219:OZG219"/>
    <mergeCell ref="OZH219:OZI219"/>
    <mergeCell ref="OZY219:OZZ219"/>
    <mergeCell ref="OVT219:OVU219"/>
    <mergeCell ref="OWK219:OWL219"/>
    <mergeCell ref="OWM219:OWN219"/>
    <mergeCell ref="OWO219:OWP219"/>
    <mergeCell ref="OWQ219:OWR219"/>
    <mergeCell ref="OXH219:OXI219"/>
    <mergeCell ref="OXJ219:OXK219"/>
    <mergeCell ref="OXL219:OXM219"/>
    <mergeCell ref="OXN219:OXO219"/>
    <mergeCell ref="OTX219:OTY219"/>
    <mergeCell ref="OTZ219:OUA219"/>
    <mergeCell ref="OUQ219:OUR219"/>
    <mergeCell ref="OUS219:OUT219"/>
    <mergeCell ref="OUU219:OUV219"/>
    <mergeCell ref="OUW219:OUX219"/>
    <mergeCell ref="OVN219:OVO219"/>
    <mergeCell ref="OVP219:OVQ219"/>
    <mergeCell ref="OVR219:OVS219"/>
    <mergeCell ref="OSB219:OSC219"/>
    <mergeCell ref="OSD219:OSE219"/>
    <mergeCell ref="OSF219:OSG219"/>
    <mergeCell ref="OSW219:OSX219"/>
    <mergeCell ref="OSY219:OSZ219"/>
    <mergeCell ref="OTA219:OTB219"/>
    <mergeCell ref="OTC219:OTD219"/>
    <mergeCell ref="OTT219:OTU219"/>
    <mergeCell ref="OTV219:OTW219"/>
    <mergeCell ref="OQF219:OQG219"/>
    <mergeCell ref="OQH219:OQI219"/>
    <mergeCell ref="OQJ219:OQK219"/>
    <mergeCell ref="OQL219:OQM219"/>
    <mergeCell ref="ORC219:ORD219"/>
    <mergeCell ref="ORE219:ORF219"/>
    <mergeCell ref="ORG219:ORH219"/>
    <mergeCell ref="ORI219:ORJ219"/>
    <mergeCell ref="ORZ219:OSA219"/>
    <mergeCell ref="ONU219:ONV219"/>
    <mergeCell ref="OOL219:OOM219"/>
    <mergeCell ref="OON219:OOO219"/>
    <mergeCell ref="OOP219:OOQ219"/>
    <mergeCell ref="OOR219:OOS219"/>
    <mergeCell ref="OPI219:OPJ219"/>
    <mergeCell ref="OPK219:OPL219"/>
    <mergeCell ref="OPM219:OPN219"/>
    <mergeCell ref="OPO219:OPP219"/>
    <mergeCell ref="OLY219:OLZ219"/>
    <mergeCell ref="OMA219:OMB219"/>
    <mergeCell ref="OMR219:OMS219"/>
    <mergeCell ref="OMT219:OMU219"/>
    <mergeCell ref="OMV219:OMW219"/>
    <mergeCell ref="OMX219:OMY219"/>
    <mergeCell ref="ONO219:ONP219"/>
    <mergeCell ref="ONQ219:ONR219"/>
    <mergeCell ref="ONS219:ONT219"/>
    <mergeCell ref="OKC219:OKD219"/>
    <mergeCell ref="OKE219:OKF219"/>
    <mergeCell ref="OKG219:OKH219"/>
    <mergeCell ref="OKX219:OKY219"/>
    <mergeCell ref="OKZ219:OLA219"/>
    <mergeCell ref="OLB219:OLC219"/>
    <mergeCell ref="OLD219:OLE219"/>
    <mergeCell ref="OLU219:OLV219"/>
    <mergeCell ref="OLW219:OLX219"/>
    <mergeCell ref="OIG219:OIH219"/>
    <mergeCell ref="OII219:OIJ219"/>
    <mergeCell ref="OIK219:OIL219"/>
    <mergeCell ref="OIM219:OIN219"/>
    <mergeCell ref="OJD219:OJE219"/>
    <mergeCell ref="OJF219:OJG219"/>
    <mergeCell ref="OJH219:OJI219"/>
    <mergeCell ref="OJJ219:OJK219"/>
    <mergeCell ref="OKA219:OKB219"/>
    <mergeCell ref="OFV219:OFW219"/>
    <mergeCell ref="OGM219:OGN219"/>
    <mergeCell ref="OGO219:OGP219"/>
    <mergeCell ref="OGQ219:OGR219"/>
    <mergeCell ref="OGS219:OGT219"/>
    <mergeCell ref="OHJ219:OHK219"/>
    <mergeCell ref="OHL219:OHM219"/>
    <mergeCell ref="OHN219:OHO219"/>
    <mergeCell ref="OHP219:OHQ219"/>
    <mergeCell ref="ODZ219:OEA219"/>
    <mergeCell ref="OEB219:OEC219"/>
    <mergeCell ref="OES219:OET219"/>
    <mergeCell ref="OEU219:OEV219"/>
    <mergeCell ref="OEW219:OEX219"/>
    <mergeCell ref="OEY219:OEZ219"/>
    <mergeCell ref="OFP219:OFQ219"/>
    <mergeCell ref="OFR219:OFS219"/>
    <mergeCell ref="OFT219:OFU219"/>
    <mergeCell ref="OCD219:OCE219"/>
    <mergeCell ref="OCF219:OCG219"/>
    <mergeCell ref="OCH219:OCI219"/>
    <mergeCell ref="OCY219:OCZ219"/>
    <mergeCell ref="ODA219:ODB219"/>
    <mergeCell ref="ODC219:ODD219"/>
    <mergeCell ref="ODE219:ODF219"/>
    <mergeCell ref="ODV219:ODW219"/>
    <mergeCell ref="ODX219:ODY219"/>
    <mergeCell ref="OAH219:OAI219"/>
    <mergeCell ref="OAJ219:OAK219"/>
    <mergeCell ref="OAL219:OAM219"/>
    <mergeCell ref="OAN219:OAO219"/>
    <mergeCell ref="OBE219:OBF219"/>
    <mergeCell ref="OBG219:OBH219"/>
    <mergeCell ref="OBI219:OBJ219"/>
    <mergeCell ref="OBK219:OBL219"/>
    <mergeCell ref="OCB219:OCC219"/>
    <mergeCell ref="NXW219:NXX219"/>
    <mergeCell ref="NYN219:NYO219"/>
    <mergeCell ref="NYP219:NYQ219"/>
    <mergeCell ref="NYR219:NYS219"/>
    <mergeCell ref="NYT219:NYU219"/>
    <mergeCell ref="NZK219:NZL219"/>
    <mergeCell ref="NZM219:NZN219"/>
    <mergeCell ref="NZO219:NZP219"/>
    <mergeCell ref="NZQ219:NZR219"/>
    <mergeCell ref="NWA219:NWB219"/>
    <mergeCell ref="NWC219:NWD219"/>
    <mergeCell ref="NWT219:NWU219"/>
    <mergeCell ref="NWV219:NWW219"/>
    <mergeCell ref="NWX219:NWY219"/>
    <mergeCell ref="NWZ219:NXA219"/>
    <mergeCell ref="NXQ219:NXR219"/>
    <mergeCell ref="NXS219:NXT219"/>
    <mergeCell ref="NXU219:NXV219"/>
    <mergeCell ref="NUE219:NUF219"/>
    <mergeCell ref="NUG219:NUH219"/>
    <mergeCell ref="NUI219:NUJ219"/>
    <mergeCell ref="NUZ219:NVA219"/>
    <mergeCell ref="NVB219:NVC219"/>
    <mergeCell ref="NVD219:NVE219"/>
    <mergeCell ref="NVF219:NVG219"/>
    <mergeCell ref="NVW219:NVX219"/>
    <mergeCell ref="NVY219:NVZ219"/>
    <mergeCell ref="NSI219:NSJ219"/>
    <mergeCell ref="NSK219:NSL219"/>
    <mergeCell ref="NSM219:NSN219"/>
    <mergeCell ref="NSO219:NSP219"/>
    <mergeCell ref="NTF219:NTG219"/>
    <mergeCell ref="NTH219:NTI219"/>
    <mergeCell ref="NTJ219:NTK219"/>
    <mergeCell ref="NTL219:NTM219"/>
    <mergeCell ref="NUC219:NUD219"/>
    <mergeCell ref="NPX219:NPY219"/>
    <mergeCell ref="NQO219:NQP219"/>
    <mergeCell ref="NQQ219:NQR219"/>
    <mergeCell ref="NQS219:NQT219"/>
    <mergeCell ref="NQU219:NQV219"/>
    <mergeCell ref="NRL219:NRM219"/>
    <mergeCell ref="NRN219:NRO219"/>
    <mergeCell ref="NRP219:NRQ219"/>
    <mergeCell ref="NRR219:NRS219"/>
    <mergeCell ref="NOB219:NOC219"/>
    <mergeCell ref="NOD219:NOE219"/>
    <mergeCell ref="NOU219:NOV219"/>
    <mergeCell ref="NOW219:NOX219"/>
    <mergeCell ref="NOY219:NOZ219"/>
    <mergeCell ref="NPA219:NPB219"/>
    <mergeCell ref="NPR219:NPS219"/>
    <mergeCell ref="NPT219:NPU219"/>
    <mergeCell ref="NPV219:NPW219"/>
    <mergeCell ref="NMF219:NMG219"/>
    <mergeCell ref="NMH219:NMI219"/>
    <mergeCell ref="NMJ219:NMK219"/>
    <mergeCell ref="NNA219:NNB219"/>
    <mergeCell ref="NNC219:NND219"/>
    <mergeCell ref="NNE219:NNF219"/>
    <mergeCell ref="NNG219:NNH219"/>
    <mergeCell ref="NNX219:NNY219"/>
    <mergeCell ref="NNZ219:NOA219"/>
    <mergeCell ref="NKJ219:NKK219"/>
    <mergeCell ref="NKL219:NKM219"/>
    <mergeCell ref="NKN219:NKO219"/>
    <mergeCell ref="NKP219:NKQ219"/>
    <mergeCell ref="NLG219:NLH219"/>
    <mergeCell ref="NLI219:NLJ219"/>
    <mergeCell ref="NLK219:NLL219"/>
    <mergeCell ref="NLM219:NLN219"/>
    <mergeCell ref="NMD219:NME219"/>
    <mergeCell ref="NHY219:NHZ219"/>
    <mergeCell ref="NIP219:NIQ219"/>
    <mergeCell ref="NIR219:NIS219"/>
    <mergeCell ref="NIT219:NIU219"/>
    <mergeCell ref="NIV219:NIW219"/>
    <mergeCell ref="NJM219:NJN219"/>
    <mergeCell ref="NJO219:NJP219"/>
    <mergeCell ref="NJQ219:NJR219"/>
    <mergeCell ref="NJS219:NJT219"/>
    <mergeCell ref="NGC219:NGD219"/>
    <mergeCell ref="NGE219:NGF219"/>
    <mergeCell ref="NGV219:NGW219"/>
    <mergeCell ref="NGX219:NGY219"/>
    <mergeCell ref="NGZ219:NHA219"/>
    <mergeCell ref="NHB219:NHC219"/>
    <mergeCell ref="NHS219:NHT219"/>
    <mergeCell ref="NHU219:NHV219"/>
    <mergeCell ref="NHW219:NHX219"/>
    <mergeCell ref="NEG219:NEH219"/>
    <mergeCell ref="NEI219:NEJ219"/>
    <mergeCell ref="NEK219:NEL219"/>
    <mergeCell ref="NFB219:NFC219"/>
    <mergeCell ref="NFD219:NFE219"/>
    <mergeCell ref="NFF219:NFG219"/>
    <mergeCell ref="NFH219:NFI219"/>
    <mergeCell ref="NFY219:NFZ219"/>
    <mergeCell ref="NGA219:NGB219"/>
    <mergeCell ref="NCK219:NCL219"/>
    <mergeCell ref="NCM219:NCN219"/>
    <mergeCell ref="NCO219:NCP219"/>
    <mergeCell ref="NCQ219:NCR219"/>
    <mergeCell ref="NDH219:NDI219"/>
    <mergeCell ref="NDJ219:NDK219"/>
    <mergeCell ref="NDL219:NDM219"/>
    <mergeCell ref="NDN219:NDO219"/>
    <mergeCell ref="NEE219:NEF219"/>
    <mergeCell ref="MZZ219:NAA219"/>
    <mergeCell ref="NAQ219:NAR219"/>
    <mergeCell ref="NAS219:NAT219"/>
    <mergeCell ref="NAU219:NAV219"/>
    <mergeCell ref="NAW219:NAX219"/>
    <mergeCell ref="NBN219:NBO219"/>
    <mergeCell ref="NBP219:NBQ219"/>
    <mergeCell ref="NBR219:NBS219"/>
    <mergeCell ref="NBT219:NBU219"/>
    <mergeCell ref="MYD219:MYE219"/>
    <mergeCell ref="MYF219:MYG219"/>
    <mergeCell ref="MYW219:MYX219"/>
    <mergeCell ref="MYY219:MYZ219"/>
    <mergeCell ref="MZA219:MZB219"/>
    <mergeCell ref="MZC219:MZD219"/>
    <mergeCell ref="MZT219:MZU219"/>
    <mergeCell ref="MZV219:MZW219"/>
    <mergeCell ref="MZX219:MZY219"/>
    <mergeCell ref="MWH219:MWI219"/>
    <mergeCell ref="MWJ219:MWK219"/>
    <mergeCell ref="MWL219:MWM219"/>
    <mergeCell ref="MXC219:MXD219"/>
    <mergeCell ref="MXE219:MXF219"/>
    <mergeCell ref="MXG219:MXH219"/>
    <mergeCell ref="MXI219:MXJ219"/>
    <mergeCell ref="MXZ219:MYA219"/>
    <mergeCell ref="MYB219:MYC219"/>
    <mergeCell ref="MUL219:MUM219"/>
    <mergeCell ref="MUN219:MUO219"/>
    <mergeCell ref="MUP219:MUQ219"/>
    <mergeCell ref="MUR219:MUS219"/>
    <mergeCell ref="MVI219:MVJ219"/>
    <mergeCell ref="MVK219:MVL219"/>
    <mergeCell ref="MVM219:MVN219"/>
    <mergeCell ref="MVO219:MVP219"/>
    <mergeCell ref="MWF219:MWG219"/>
    <mergeCell ref="MSA219:MSB219"/>
    <mergeCell ref="MSR219:MSS219"/>
    <mergeCell ref="MST219:MSU219"/>
    <mergeCell ref="MSV219:MSW219"/>
    <mergeCell ref="MSX219:MSY219"/>
    <mergeCell ref="MTO219:MTP219"/>
    <mergeCell ref="MTQ219:MTR219"/>
    <mergeCell ref="MTS219:MTT219"/>
    <mergeCell ref="MTU219:MTV219"/>
    <mergeCell ref="MQE219:MQF219"/>
    <mergeCell ref="MQG219:MQH219"/>
    <mergeCell ref="MQX219:MQY219"/>
    <mergeCell ref="MQZ219:MRA219"/>
    <mergeCell ref="MRB219:MRC219"/>
    <mergeCell ref="MRD219:MRE219"/>
    <mergeCell ref="MRU219:MRV219"/>
    <mergeCell ref="MRW219:MRX219"/>
    <mergeCell ref="MRY219:MRZ219"/>
    <mergeCell ref="MOI219:MOJ219"/>
    <mergeCell ref="MOK219:MOL219"/>
    <mergeCell ref="MOM219:MON219"/>
    <mergeCell ref="MPD219:MPE219"/>
    <mergeCell ref="MPF219:MPG219"/>
    <mergeCell ref="MPH219:MPI219"/>
    <mergeCell ref="MPJ219:MPK219"/>
    <mergeCell ref="MQA219:MQB219"/>
    <mergeCell ref="MQC219:MQD219"/>
    <mergeCell ref="MMM219:MMN219"/>
    <mergeCell ref="MMO219:MMP219"/>
    <mergeCell ref="MMQ219:MMR219"/>
    <mergeCell ref="MMS219:MMT219"/>
    <mergeCell ref="MNJ219:MNK219"/>
    <mergeCell ref="MNL219:MNM219"/>
    <mergeCell ref="MNN219:MNO219"/>
    <mergeCell ref="MNP219:MNQ219"/>
    <mergeCell ref="MOG219:MOH219"/>
    <mergeCell ref="MKB219:MKC219"/>
    <mergeCell ref="MKS219:MKT219"/>
    <mergeCell ref="MKU219:MKV219"/>
    <mergeCell ref="MKW219:MKX219"/>
    <mergeCell ref="MKY219:MKZ219"/>
    <mergeCell ref="MLP219:MLQ219"/>
    <mergeCell ref="MLR219:MLS219"/>
    <mergeCell ref="MLT219:MLU219"/>
    <mergeCell ref="MLV219:MLW219"/>
    <mergeCell ref="MIF219:MIG219"/>
    <mergeCell ref="MIH219:MII219"/>
    <mergeCell ref="MIY219:MIZ219"/>
    <mergeCell ref="MJA219:MJB219"/>
    <mergeCell ref="MJC219:MJD219"/>
    <mergeCell ref="MJE219:MJF219"/>
    <mergeCell ref="MJV219:MJW219"/>
    <mergeCell ref="MJX219:MJY219"/>
    <mergeCell ref="MJZ219:MKA219"/>
    <mergeCell ref="MGJ219:MGK219"/>
    <mergeCell ref="MGL219:MGM219"/>
    <mergeCell ref="MGN219:MGO219"/>
    <mergeCell ref="MHE219:MHF219"/>
    <mergeCell ref="MHG219:MHH219"/>
    <mergeCell ref="MHI219:MHJ219"/>
    <mergeCell ref="MHK219:MHL219"/>
    <mergeCell ref="MIB219:MIC219"/>
    <mergeCell ref="MID219:MIE219"/>
    <mergeCell ref="MEN219:MEO219"/>
    <mergeCell ref="MEP219:MEQ219"/>
    <mergeCell ref="MER219:MES219"/>
    <mergeCell ref="MET219:MEU219"/>
    <mergeCell ref="MFK219:MFL219"/>
    <mergeCell ref="MFM219:MFN219"/>
    <mergeCell ref="MFO219:MFP219"/>
    <mergeCell ref="MFQ219:MFR219"/>
    <mergeCell ref="MGH219:MGI219"/>
    <mergeCell ref="MCC219:MCD219"/>
    <mergeCell ref="MCT219:MCU219"/>
    <mergeCell ref="MCV219:MCW219"/>
    <mergeCell ref="MCX219:MCY219"/>
    <mergeCell ref="MCZ219:MDA219"/>
    <mergeCell ref="MDQ219:MDR219"/>
    <mergeCell ref="MDS219:MDT219"/>
    <mergeCell ref="MDU219:MDV219"/>
    <mergeCell ref="MDW219:MDX219"/>
    <mergeCell ref="MAG219:MAH219"/>
    <mergeCell ref="MAI219:MAJ219"/>
    <mergeCell ref="MAZ219:MBA219"/>
    <mergeCell ref="MBB219:MBC219"/>
    <mergeCell ref="MBD219:MBE219"/>
    <mergeCell ref="MBF219:MBG219"/>
    <mergeCell ref="MBW219:MBX219"/>
    <mergeCell ref="MBY219:MBZ219"/>
    <mergeCell ref="MCA219:MCB219"/>
    <mergeCell ref="LYK219:LYL219"/>
    <mergeCell ref="LYM219:LYN219"/>
    <mergeCell ref="LYO219:LYP219"/>
    <mergeCell ref="LZF219:LZG219"/>
    <mergeCell ref="LZH219:LZI219"/>
    <mergeCell ref="LZJ219:LZK219"/>
    <mergeCell ref="LZL219:LZM219"/>
    <mergeCell ref="MAC219:MAD219"/>
    <mergeCell ref="MAE219:MAF219"/>
    <mergeCell ref="LWO219:LWP219"/>
    <mergeCell ref="LWQ219:LWR219"/>
    <mergeCell ref="LWS219:LWT219"/>
    <mergeCell ref="LWU219:LWV219"/>
    <mergeCell ref="LXL219:LXM219"/>
    <mergeCell ref="LXN219:LXO219"/>
    <mergeCell ref="LXP219:LXQ219"/>
    <mergeCell ref="LXR219:LXS219"/>
    <mergeCell ref="LYI219:LYJ219"/>
    <mergeCell ref="LUD219:LUE219"/>
    <mergeCell ref="LUU219:LUV219"/>
    <mergeCell ref="LUW219:LUX219"/>
    <mergeCell ref="LUY219:LUZ219"/>
    <mergeCell ref="LVA219:LVB219"/>
    <mergeCell ref="LVR219:LVS219"/>
    <mergeCell ref="LVT219:LVU219"/>
    <mergeCell ref="LVV219:LVW219"/>
    <mergeCell ref="LVX219:LVY219"/>
    <mergeCell ref="LSH219:LSI219"/>
    <mergeCell ref="LSJ219:LSK219"/>
    <mergeCell ref="LTA219:LTB219"/>
    <mergeCell ref="LTC219:LTD219"/>
    <mergeCell ref="LTE219:LTF219"/>
    <mergeCell ref="LTG219:LTH219"/>
    <mergeCell ref="LTX219:LTY219"/>
    <mergeCell ref="LTZ219:LUA219"/>
    <mergeCell ref="LUB219:LUC219"/>
    <mergeCell ref="LQL219:LQM219"/>
    <mergeCell ref="LQN219:LQO219"/>
    <mergeCell ref="LQP219:LQQ219"/>
    <mergeCell ref="LRG219:LRH219"/>
    <mergeCell ref="LRI219:LRJ219"/>
    <mergeCell ref="LRK219:LRL219"/>
    <mergeCell ref="LRM219:LRN219"/>
    <mergeCell ref="LSD219:LSE219"/>
    <mergeCell ref="LSF219:LSG219"/>
    <mergeCell ref="LOP219:LOQ219"/>
    <mergeCell ref="LOR219:LOS219"/>
    <mergeCell ref="LOT219:LOU219"/>
    <mergeCell ref="LOV219:LOW219"/>
    <mergeCell ref="LPM219:LPN219"/>
    <mergeCell ref="LPO219:LPP219"/>
    <mergeCell ref="LPQ219:LPR219"/>
    <mergeCell ref="LPS219:LPT219"/>
    <mergeCell ref="LQJ219:LQK219"/>
    <mergeCell ref="LME219:LMF219"/>
    <mergeCell ref="LMV219:LMW219"/>
    <mergeCell ref="LMX219:LMY219"/>
    <mergeCell ref="LMZ219:LNA219"/>
    <mergeCell ref="LNB219:LNC219"/>
    <mergeCell ref="LNS219:LNT219"/>
    <mergeCell ref="LNU219:LNV219"/>
    <mergeCell ref="LNW219:LNX219"/>
    <mergeCell ref="LNY219:LNZ219"/>
    <mergeCell ref="LKI219:LKJ219"/>
    <mergeCell ref="LKK219:LKL219"/>
    <mergeCell ref="LLB219:LLC219"/>
    <mergeCell ref="LLD219:LLE219"/>
    <mergeCell ref="LLF219:LLG219"/>
    <mergeCell ref="LLH219:LLI219"/>
    <mergeCell ref="LLY219:LLZ219"/>
    <mergeCell ref="LMA219:LMB219"/>
    <mergeCell ref="LMC219:LMD219"/>
    <mergeCell ref="LIM219:LIN219"/>
    <mergeCell ref="LIO219:LIP219"/>
    <mergeCell ref="LIQ219:LIR219"/>
    <mergeCell ref="LJH219:LJI219"/>
    <mergeCell ref="LJJ219:LJK219"/>
    <mergeCell ref="LJL219:LJM219"/>
    <mergeCell ref="LJN219:LJO219"/>
    <mergeCell ref="LKE219:LKF219"/>
    <mergeCell ref="LKG219:LKH219"/>
    <mergeCell ref="LGQ219:LGR219"/>
    <mergeCell ref="LGS219:LGT219"/>
    <mergeCell ref="LGU219:LGV219"/>
    <mergeCell ref="LGW219:LGX219"/>
    <mergeCell ref="LHN219:LHO219"/>
    <mergeCell ref="LHP219:LHQ219"/>
    <mergeCell ref="LHR219:LHS219"/>
    <mergeCell ref="LHT219:LHU219"/>
    <mergeCell ref="LIK219:LIL219"/>
    <mergeCell ref="LEF219:LEG219"/>
    <mergeCell ref="LEW219:LEX219"/>
    <mergeCell ref="LEY219:LEZ219"/>
    <mergeCell ref="LFA219:LFB219"/>
    <mergeCell ref="LFC219:LFD219"/>
    <mergeCell ref="LFT219:LFU219"/>
    <mergeCell ref="LFV219:LFW219"/>
    <mergeCell ref="LFX219:LFY219"/>
    <mergeCell ref="LFZ219:LGA219"/>
    <mergeCell ref="LCJ219:LCK219"/>
    <mergeCell ref="LCL219:LCM219"/>
    <mergeCell ref="LDC219:LDD219"/>
    <mergeCell ref="LDE219:LDF219"/>
    <mergeCell ref="LDG219:LDH219"/>
    <mergeCell ref="LDI219:LDJ219"/>
    <mergeCell ref="LDZ219:LEA219"/>
    <mergeCell ref="LEB219:LEC219"/>
    <mergeCell ref="LED219:LEE219"/>
    <mergeCell ref="LAN219:LAO219"/>
    <mergeCell ref="LAP219:LAQ219"/>
    <mergeCell ref="LAR219:LAS219"/>
    <mergeCell ref="LBI219:LBJ219"/>
    <mergeCell ref="LBK219:LBL219"/>
    <mergeCell ref="LBM219:LBN219"/>
    <mergeCell ref="LBO219:LBP219"/>
    <mergeCell ref="LCF219:LCG219"/>
    <mergeCell ref="LCH219:LCI219"/>
    <mergeCell ref="KYR219:KYS219"/>
    <mergeCell ref="KYT219:KYU219"/>
    <mergeCell ref="KYV219:KYW219"/>
    <mergeCell ref="KYX219:KYY219"/>
    <mergeCell ref="KZO219:KZP219"/>
    <mergeCell ref="KZQ219:KZR219"/>
    <mergeCell ref="KZS219:KZT219"/>
    <mergeCell ref="KZU219:KZV219"/>
    <mergeCell ref="LAL219:LAM219"/>
    <mergeCell ref="KWG219:KWH219"/>
    <mergeCell ref="KWX219:KWY219"/>
    <mergeCell ref="KWZ219:KXA219"/>
    <mergeCell ref="KXB219:KXC219"/>
    <mergeCell ref="KXD219:KXE219"/>
    <mergeCell ref="KXU219:KXV219"/>
    <mergeCell ref="KXW219:KXX219"/>
    <mergeCell ref="KXY219:KXZ219"/>
    <mergeCell ref="KYA219:KYB219"/>
    <mergeCell ref="KUK219:KUL219"/>
    <mergeCell ref="KUM219:KUN219"/>
    <mergeCell ref="KVD219:KVE219"/>
    <mergeCell ref="KVF219:KVG219"/>
    <mergeCell ref="KVH219:KVI219"/>
    <mergeCell ref="KVJ219:KVK219"/>
    <mergeCell ref="KWA219:KWB219"/>
    <mergeCell ref="KWC219:KWD219"/>
    <mergeCell ref="KWE219:KWF219"/>
    <mergeCell ref="KSO219:KSP219"/>
    <mergeCell ref="KSQ219:KSR219"/>
    <mergeCell ref="KSS219:KST219"/>
    <mergeCell ref="KTJ219:KTK219"/>
    <mergeCell ref="KTL219:KTM219"/>
    <mergeCell ref="KTN219:KTO219"/>
    <mergeCell ref="KTP219:KTQ219"/>
    <mergeCell ref="KUG219:KUH219"/>
    <mergeCell ref="KUI219:KUJ219"/>
    <mergeCell ref="KQS219:KQT219"/>
    <mergeCell ref="KQU219:KQV219"/>
    <mergeCell ref="KQW219:KQX219"/>
    <mergeCell ref="KQY219:KQZ219"/>
    <mergeCell ref="KRP219:KRQ219"/>
    <mergeCell ref="KRR219:KRS219"/>
    <mergeCell ref="KRT219:KRU219"/>
    <mergeCell ref="KRV219:KRW219"/>
    <mergeCell ref="KSM219:KSN219"/>
    <mergeCell ref="KOH219:KOI219"/>
    <mergeCell ref="KOY219:KOZ219"/>
    <mergeCell ref="KPA219:KPB219"/>
    <mergeCell ref="KPC219:KPD219"/>
    <mergeCell ref="KPE219:KPF219"/>
    <mergeCell ref="KPV219:KPW219"/>
    <mergeCell ref="KPX219:KPY219"/>
    <mergeCell ref="KPZ219:KQA219"/>
    <mergeCell ref="KQB219:KQC219"/>
    <mergeCell ref="KML219:KMM219"/>
    <mergeCell ref="KMN219:KMO219"/>
    <mergeCell ref="KNE219:KNF219"/>
    <mergeCell ref="KNG219:KNH219"/>
    <mergeCell ref="KNI219:KNJ219"/>
    <mergeCell ref="KNK219:KNL219"/>
    <mergeCell ref="KOB219:KOC219"/>
    <mergeCell ref="KOD219:KOE219"/>
    <mergeCell ref="KOF219:KOG219"/>
    <mergeCell ref="KKP219:KKQ219"/>
    <mergeCell ref="KKR219:KKS219"/>
    <mergeCell ref="KKT219:KKU219"/>
    <mergeCell ref="KLK219:KLL219"/>
    <mergeCell ref="KLM219:KLN219"/>
    <mergeCell ref="KLO219:KLP219"/>
    <mergeCell ref="KLQ219:KLR219"/>
    <mergeCell ref="KMH219:KMI219"/>
    <mergeCell ref="KMJ219:KMK219"/>
    <mergeCell ref="KIT219:KIU219"/>
    <mergeCell ref="KIV219:KIW219"/>
    <mergeCell ref="KIX219:KIY219"/>
    <mergeCell ref="KIZ219:KJA219"/>
    <mergeCell ref="KJQ219:KJR219"/>
    <mergeCell ref="KJS219:KJT219"/>
    <mergeCell ref="KJU219:KJV219"/>
    <mergeCell ref="KJW219:KJX219"/>
    <mergeCell ref="KKN219:KKO219"/>
    <mergeCell ref="KGI219:KGJ219"/>
    <mergeCell ref="KGZ219:KHA219"/>
    <mergeCell ref="KHB219:KHC219"/>
    <mergeCell ref="KHD219:KHE219"/>
    <mergeCell ref="KHF219:KHG219"/>
    <mergeCell ref="KHW219:KHX219"/>
    <mergeCell ref="KHY219:KHZ219"/>
    <mergeCell ref="KIA219:KIB219"/>
    <mergeCell ref="KIC219:KID219"/>
    <mergeCell ref="KEM219:KEN219"/>
    <mergeCell ref="KEO219:KEP219"/>
    <mergeCell ref="KFF219:KFG219"/>
    <mergeCell ref="KFH219:KFI219"/>
    <mergeCell ref="KFJ219:KFK219"/>
    <mergeCell ref="KFL219:KFM219"/>
    <mergeCell ref="KGC219:KGD219"/>
    <mergeCell ref="KGE219:KGF219"/>
    <mergeCell ref="KGG219:KGH219"/>
    <mergeCell ref="KCQ219:KCR219"/>
    <mergeCell ref="KCS219:KCT219"/>
    <mergeCell ref="KCU219:KCV219"/>
    <mergeCell ref="KDL219:KDM219"/>
    <mergeCell ref="KDN219:KDO219"/>
    <mergeCell ref="KDP219:KDQ219"/>
    <mergeCell ref="KDR219:KDS219"/>
    <mergeCell ref="KEI219:KEJ219"/>
    <mergeCell ref="KEK219:KEL219"/>
    <mergeCell ref="KAU219:KAV219"/>
    <mergeCell ref="KAW219:KAX219"/>
    <mergeCell ref="KAY219:KAZ219"/>
    <mergeCell ref="KBA219:KBB219"/>
    <mergeCell ref="KBR219:KBS219"/>
    <mergeCell ref="KBT219:KBU219"/>
    <mergeCell ref="KBV219:KBW219"/>
    <mergeCell ref="KBX219:KBY219"/>
    <mergeCell ref="KCO219:KCP219"/>
    <mergeCell ref="JYJ219:JYK219"/>
    <mergeCell ref="JZA219:JZB219"/>
    <mergeCell ref="JZC219:JZD219"/>
    <mergeCell ref="JZE219:JZF219"/>
    <mergeCell ref="JZG219:JZH219"/>
    <mergeCell ref="JZX219:JZY219"/>
    <mergeCell ref="JZZ219:KAA219"/>
    <mergeCell ref="KAB219:KAC219"/>
    <mergeCell ref="KAD219:KAE219"/>
    <mergeCell ref="JWN219:JWO219"/>
    <mergeCell ref="JWP219:JWQ219"/>
    <mergeCell ref="JXG219:JXH219"/>
    <mergeCell ref="JXI219:JXJ219"/>
    <mergeCell ref="JXK219:JXL219"/>
    <mergeCell ref="JXM219:JXN219"/>
    <mergeCell ref="JYD219:JYE219"/>
    <mergeCell ref="JYF219:JYG219"/>
    <mergeCell ref="JYH219:JYI219"/>
    <mergeCell ref="JUR219:JUS219"/>
    <mergeCell ref="JUT219:JUU219"/>
    <mergeCell ref="JUV219:JUW219"/>
    <mergeCell ref="JVM219:JVN219"/>
    <mergeCell ref="JVO219:JVP219"/>
    <mergeCell ref="JVQ219:JVR219"/>
    <mergeCell ref="JVS219:JVT219"/>
    <mergeCell ref="JWJ219:JWK219"/>
    <mergeCell ref="JWL219:JWM219"/>
    <mergeCell ref="JSV219:JSW219"/>
    <mergeCell ref="JSX219:JSY219"/>
    <mergeCell ref="JSZ219:JTA219"/>
    <mergeCell ref="JTB219:JTC219"/>
    <mergeCell ref="JTS219:JTT219"/>
    <mergeCell ref="JTU219:JTV219"/>
    <mergeCell ref="JTW219:JTX219"/>
    <mergeCell ref="JTY219:JTZ219"/>
    <mergeCell ref="JUP219:JUQ219"/>
    <mergeCell ref="JQK219:JQL219"/>
    <mergeCell ref="JRB219:JRC219"/>
    <mergeCell ref="JRD219:JRE219"/>
    <mergeCell ref="JRF219:JRG219"/>
    <mergeCell ref="JRH219:JRI219"/>
    <mergeCell ref="JRY219:JRZ219"/>
    <mergeCell ref="JSA219:JSB219"/>
    <mergeCell ref="JSC219:JSD219"/>
    <mergeCell ref="JSE219:JSF219"/>
    <mergeCell ref="JOO219:JOP219"/>
    <mergeCell ref="JOQ219:JOR219"/>
    <mergeCell ref="JPH219:JPI219"/>
    <mergeCell ref="JPJ219:JPK219"/>
    <mergeCell ref="JPL219:JPM219"/>
    <mergeCell ref="JPN219:JPO219"/>
    <mergeCell ref="JQE219:JQF219"/>
    <mergeCell ref="JQG219:JQH219"/>
    <mergeCell ref="JQI219:JQJ219"/>
    <mergeCell ref="JMS219:JMT219"/>
    <mergeCell ref="JMU219:JMV219"/>
    <mergeCell ref="JMW219:JMX219"/>
    <mergeCell ref="JNN219:JNO219"/>
    <mergeCell ref="JNP219:JNQ219"/>
    <mergeCell ref="JNR219:JNS219"/>
    <mergeCell ref="JNT219:JNU219"/>
    <mergeCell ref="JOK219:JOL219"/>
    <mergeCell ref="JOM219:JON219"/>
    <mergeCell ref="JKW219:JKX219"/>
    <mergeCell ref="JKY219:JKZ219"/>
    <mergeCell ref="JLA219:JLB219"/>
    <mergeCell ref="JLC219:JLD219"/>
    <mergeCell ref="JLT219:JLU219"/>
    <mergeCell ref="JLV219:JLW219"/>
    <mergeCell ref="JLX219:JLY219"/>
    <mergeCell ref="JLZ219:JMA219"/>
    <mergeCell ref="JMQ219:JMR219"/>
    <mergeCell ref="JIL219:JIM219"/>
    <mergeCell ref="JJC219:JJD219"/>
    <mergeCell ref="JJE219:JJF219"/>
    <mergeCell ref="JJG219:JJH219"/>
    <mergeCell ref="JJI219:JJJ219"/>
    <mergeCell ref="JJZ219:JKA219"/>
    <mergeCell ref="JKB219:JKC219"/>
    <mergeCell ref="JKD219:JKE219"/>
    <mergeCell ref="JKF219:JKG219"/>
    <mergeCell ref="JGP219:JGQ219"/>
    <mergeCell ref="JGR219:JGS219"/>
    <mergeCell ref="JHI219:JHJ219"/>
    <mergeCell ref="JHK219:JHL219"/>
    <mergeCell ref="JHM219:JHN219"/>
    <mergeCell ref="JHO219:JHP219"/>
    <mergeCell ref="JIF219:JIG219"/>
    <mergeCell ref="JIH219:JII219"/>
    <mergeCell ref="JIJ219:JIK219"/>
    <mergeCell ref="JET219:JEU219"/>
    <mergeCell ref="JEV219:JEW219"/>
    <mergeCell ref="JEX219:JEY219"/>
    <mergeCell ref="JFO219:JFP219"/>
    <mergeCell ref="JFQ219:JFR219"/>
    <mergeCell ref="JFS219:JFT219"/>
    <mergeCell ref="JFU219:JFV219"/>
    <mergeCell ref="JGL219:JGM219"/>
    <mergeCell ref="JGN219:JGO219"/>
    <mergeCell ref="JCX219:JCY219"/>
    <mergeCell ref="JCZ219:JDA219"/>
    <mergeCell ref="JDB219:JDC219"/>
    <mergeCell ref="JDD219:JDE219"/>
    <mergeCell ref="JDU219:JDV219"/>
    <mergeCell ref="JDW219:JDX219"/>
    <mergeCell ref="JDY219:JDZ219"/>
    <mergeCell ref="JEA219:JEB219"/>
    <mergeCell ref="JER219:JES219"/>
    <mergeCell ref="JAM219:JAN219"/>
    <mergeCell ref="JBD219:JBE219"/>
    <mergeCell ref="JBF219:JBG219"/>
    <mergeCell ref="JBH219:JBI219"/>
    <mergeCell ref="JBJ219:JBK219"/>
    <mergeCell ref="JCA219:JCB219"/>
    <mergeCell ref="JCC219:JCD219"/>
    <mergeCell ref="JCE219:JCF219"/>
    <mergeCell ref="JCG219:JCH219"/>
    <mergeCell ref="IYQ219:IYR219"/>
    <mergeCell ref="IYS219:IYT219"/>
    <mergeCell ref="IZJ219:IZK219"/>
    <mergeCell ref="IZL219:IZM219"/>
    <mergeCell ref="IZN219:IZO219"/>
    <mergeCell ref="IZP219:IZQ219"/>
    <mergeCell ref="JAG219:JAH219"/>
    <mergeCell ref="JAI219:JAJ219"/>
    <mergeCell ref="JAK219:JAL219"/>
    <mergeCell ref="IWU219:IWV219"/>
    <mergeCell ref="IWW219:IWX219"/>
    <mergeCell ref="IWY219:IWZ219"/>
    <mergeCell ref="IXP219:IXQ219"/>
    <mergeCell ref="IXR219:IXS219"/>
    <mergeCell ref="IXT219:IXU219"/>
    <mergeCell ref="IXV219:IXW219"/>
    <mergeCell ref="IYM219:IYN219"/>
    <mergeCell ref="IYO219:IYP219"/>
    <mergeCell ref="IUY219:IUZ219"/>
    <mergeCell ref="IVA219:IVB219"/>
    <mergeCell ref="IVC219:IVD219"/>
    <mergeCell ref="IVE219:IVF219"/>
    <mergeCell ref="IVV219:IVW219"/>
    <mergeCell ref="IVX219:IVY219"/>
    <mergeCell ref="IVZ219:IWA219"/>
    <mergeCell ref="IWB219:IWC219"/>
    <mergeCell ref="IWS219:IWT219"/>
    <mergeCell ref="ISN219:ISO219"/>
    <mergeCell ref="ITE219:ITF219"/>
    <mergeCell ref="ITG219:ITH219"/>
    <mergeCell ref="ITI219:ITJ219"/>
    <mergeCell ref="ITK219:ITL219"/>
    <mergeCell ref="IUB219:IUC219"/>
    <mergeCell ref="IUD219:IUE219"/>
    <mergeCell ref="IUF219:IUG219"/>
    <mergeCell ref="IUH219:IUI219"/>
    <mergeCell ref="IQR219:IQS219"/>
    <mergeCell ref="IQT219:IQU219"/>
    <mergeCell ref="IRK219:IRL219"/>
    <mergeCell ref="IRM219:IRN219"/>
    <mergeCell ref="IRO219:IRP219"/>
    <mergeCell ref="IRQ219:IRR219"/>
    <mergeCell ref="ISH219:ISI219"/>
    <mergeCell ref="ISJ219:ISK219"/>
    <mergeCell ref="ISL219:ISM219"/>
    <mergeCell ref="IOV219:IOW219"/>
    <mergeCell ref="IOX219:IOY219"/>
    <mergeCell ref="IOZ219:IPA219"/>
    <mergeCell ref="IPQ219:IPR219"/>
    <mergeCell ref="IPS219:IPT219"/>
    <mergeCell ref="IPU219:IPV219"/>
    <mergeCell ref="IPW219:IPX219"/>
    <mergeCell ref="IQN219:IQO219"/>
    <mergeCell ref="IQP219:IQQ219"/>
    <mergeCell ref="IMZ219:INA219"/>
    <mergeCell ref="INB219:INC219"/>
    <mergeCell ref="IND219:INE219"/>
    <mergeCell ref="INF219:ING219"/>
    <mergeCell ref="INW219:INX219"/>
    <mergeCell ref="INY219:INZ219"/>
    <mergeCell ref="IOA219:IOB219"/>
    <mergeCell ref="IOC219:IOD219"/>
    <mergeCell ref="IOT219:IOU219"/>
    <mergeCell ref="IKO219:IKP219"/>
    <mergeCell ref="ILF219:ILG219"/>
    <mergeCell ref="ILH219:ILI219"/>
    <mergeCell ref="ILJ219:ILK219"/>
    <mergeCell ref="ILL219:ILM219"/>
    <mergeCell ref="IMC219:IMD219"/>
    <mergeCell ref="IME219:IMF219"/>
    <mergeCell ref="IMG219:IMH219"/>
    <mergeCell ref="IMI219:IMJ219"/>
    <mergeCell ref="IIS219:IIT219"/>
    <mergeCell ref="IIU219:IIV219"/>
    <mergeCell ref="IJL219:IJM219"/>
    <mergeCell ref="IJN219:IJO219"/>
    <mergeCell ref="IJP219:IJQ219"/>
    <mergeCell ref="IJR219:IJS219"/>
    <mergeCell ref="IKI219:IKJ219"/>
    <mergeCell ref="IKK219:IKL219"/>
    <mergeCell ref="IKM219:IKN219"/>
    <mergeCell ref="IGW219:IGX219"/>
    <mergeCell ref="IGY219:IGZ219"/>
    <mergeCell ref="IHA219:IHB219"/>
    <mergeCell ref="IHR219:IHS219"/>
    <mergeCell ref="IHT219:IHU219"/>
    <mergeCell ref="IHV219:IHW219"/>
    <mergeCell ref="IHX219:IHY219"/>
    <mergeCell ref="IIO219:IIP219"/>
    <mergeCell ref="IIQ219:IIR219"/>
    <mergeCell ref="IFA219:IFB219"/>
    <mergeCell ref="IFC219:IFD219"/>
    <mergeCell ref="IFE219:IFF219"/>
    <mergeCell ref="IFG219:IFH219"/>
    <mergeCell ref="IFX219:IFY219"/>
    <mergeCell ref="IFZ219:IGA219"/>
    <mergeCell ref="IGB219:IGC219"/>
    <mergeCell ref="IGD219:IGE219"/>
    <mergeCell ref="IGU219:IGV219"/>
    <mergeCell ref="ICP219:ICQ219"/>
    <mergeCell ref="IDG219:IDH219"/>
    <mergeCell ref="IDI219:IDJ219"/>
    <mergeCell ref="IDK219:IDL219"/>
    <mergeCell ref="IDM219:IDN219"/>
    <mergeCell ref="IED219:IEE219"/>
    <mergeCell ref="IEF219:IEG219"/>
    <mergeCell ref="IEH219:IEI219"/>
    <mergeCell ref="IEJ219:IEK219"/>
    <mergeCell ref="IAT219:IAU219"/>
    <mergeCell ref="IAV219:IAW219"/>
    <mergeCell ref="IBM219:IBN219"/>
    <mergeCell ref="IBO219:IBP219"/>
    <mergeCell ref="IBQ219:IBR219"/>
    <mergeCell ref="IBS219:IBT219"/>
    <mergeCell ref="ICJ219:ICK219"/>
    <mergeCell ref="ICL219:ICM219"/>
    <mergeCell ref="ICN219:ICO219"/>
    <mergeCell ref="HYX219:HYY219"/>
    <mergeCell ref="HYZ219:HZA219"/>
    <mergeCell ref="HZB219:HZC219"/>
    <mergeCell ref="HZS219:HZT219"/>
    <mergeCell ref="HZU219:HZV219"/>
    <mergeCell ref="HZW219:HZX219"/>
    <mergeCell ref="HZY219:HZZ219"/>
    <mergeCell ref="IAP219:IAQ219"/>
    <mergeCell ref="IAR219:IAS219"/>
    <mergeCell ref="HXB219:HXC219"/>
    <mergeCell ref="HXD219:HXE219"/>
    <mergeCell ref="HXF219:HXG219"/>
    <mergeCell ref="HXH219:HXI219"/>
    <mergeCell ref="HXY219:HXZ219"/>
    <mergeCell ref="HYA219:HYB219"/>
    <mergeCell ref="HYC219:HYD219"/>
    <mergeCell ref="HYE219:HYF219"/>
    <mergeCell ref="HYV219:HYW219"/>
    <mergeCell ref="HUQ219:HUR219"/>
    <mergeCell ref="HVH219:HVI219"/>
    <mergeCell ref="HVJ219:HVK219"/>
    <mergeCell ref="HVL219:HVM219"/>
    <mergeCell ref="HVN219:HVO219"/>
    <mergeCell ref="HWE219:HWF219"/>
    <mergeCell ref="HWG219:HWH219"/>
    <mergeCell ref="HWI219:HWJ219"/>
    <mergeCell ref="HWK219:HWL219"/>
    <mergeCell ref="HSU219:HSV219"/>
    <mergeCell ref="HSW219:HSX219"/>
    <mergeCell ref="HTN219:HTO219"/>
    <mergeCell ref="HTP219:HTQ219"/>
    <mergeCell ref="HTR219:HTS219"/>
    <mergeCell ref="HTT219:HTU219"/>
    <mergeCell ref="HUK219:HUL219"/>
    <mergeCell ref="HUM219:HUN219"/>
    <mergeCell ref="HUO219:HUP219"/>
    <mergeCell ref="HQY219:HQZ219"/>
    <mergeCell ref="HRA219:HRB219"/>
    <mergeCell ref="HRC219:HRD219"/>
    <mergeCell ref="HRT219:HRU219"/>
    <mergeCell ref="HRV219:HRW219"/>
    <mergeCell ref="HRX219:HRY219"/>
    <mergeCell ref="HRZ219:HSA219"/>
    <mergeCell ref="HSQ219:HSR219"/>
    <mergeCell ref="HSS219:HST219"/>
    <mergeCell ref="HPC219:HPD219"/>
    <mergeCell ref="HPE219:HPF219"/>
    <mergeCell ref="HPG219:HPH219"/>
    <mergeCell ref="HPI219:HPJ219"/>
    <mergeCell ref="HPZ219:HQA219"/>
    <mergeCell ref="HQB219:HQC219"/>
    <mergeCell ref="HQD219:HQE219"/>
    <mergeCell ref="HQF219:HQG219"/>
    <mergeCell ref="HQW219:HQX219"/>
    <mergeCell ref="HMR219:HMS219"/>
    <mergeCell ref="HNI219:HNJ219"/>
    <mergeCell ref="HNK219:HNL219"/>
    <mergeCell ref="HNM219:HNN219"/>
    <mergeCell ref="HNO219:HNP219"/>
    <mergeCell ref="HOF219:HOG219"/>
    <mergeCell ref="HOH219:HOI219"/>
    <mergeCell ref="HOJ219:HOK219"/>
    <mergeCell ref="HOL219:HOM219"/>
    <mergeCell ref="HKV219:HKW219"/>
    <mergeCell ref="HKX219:HKY219"/>
    <mergeCell ref="HLO219:HLP219"/>
    <mergeCell ref="HLQ219:HLR219"/>
    <mergeCell ref="HLS219:HLT219"/>
    <mergeCell ref="HLU219:HLV219"/>
    <mergeCell ref="HML219:HMM219"/>
    <mergeCell ref="HMN219:HMO219"/>
    <mergeCell ref="HMP219:HMQ219"/>
    <mergeCell ref="HIZ219:HJA219"/>
    <mergeCell ref="HJB219:HJC219"/>
    <mergeCell ref="HJD219:HJE219"/>
    <mergeCell ref="HJU219:HJV219"/>
    <mergeCell ref="HJW219:HJX219"/>
    <mergeCell ref="HJY219:HJZ219"/>
    <mergeCell ref="HKA219:HKB219"/>
    <mergeCell ref="HKR219:HKS219"/>
    <mergeCell ref="HKT219:HKU219"/>
    <mergeCell ref="HHD219:HHE219"/>
    <mergeCell ref="HHF219:HHG219"/>
    <mergeCell ref="HHH219:HHI219"/>
    <mergeCell ref="HHJ219:HHK219"/>
    <mergeCell ref="HIA219:HIB219"/>
    <mergeCell ref="HIC219:HID219"/>
    <mergeCell ref="HIE219:HIF219"/>
    <mergeCell ref="HIG219:HIH219"/>
    <mergeCell ref="HIX219:HIY219"/>
    <mergeCell ref="HES219:HET219"/>
    <mergeCell ref="HFJ219:HFK219"/>
    <mergeCell ref="HFL219:HFM219"/>
    <mergeCell ref="HFN219:HFO219"/>
    <mergeCell ref="HFP219:HFQ219"/>
    <mergeCell ref="HGG219:HGH219"/>
    <mergeCell ref="HGI219:HGJ219"/>
    <mergeCell ref="HGK219:HGL219"/>
    <mergeCell ref="HGM219:HGN219"/>
    <mergeCell ref="HCW219:HCX219"/>
    <mergeCell ref="HCY219:HCZ219"/>
    <mergeCell ref="HDP219:HDQ219"/>
    <mergeCell ref="HDR219:HDS219"/>
    <mergeCell ref="HDT219:HDU219"/>
    <mergeCell ref="HDV219:HDW219"/>
    <mergeCell ref="HEM219:HEN219"/>
    <mergeCell ref="HEO219:HEP219"/>
    <mergeCell ref="HEQ219:HER219"/>
    <mergeCell ref="HBA219:HBB219"/>
    <mergeCell ref="HBC219:HBD219"/>
    <mergeCell ref="HBE219:HBF219"/>
    <mergeCell ref="HBV219:HBW219"/>
    <mergeCell ref="HBX219:HBY219"/>
    <mergeCell ref="HBZ219:HCA219"/>
    <mergeCell ref="HCB219:HCC219"/>
    <mergeCell ref="HCS219:HCT219"/>
    <mergeCell ref="HCU219:HCV219"/>
    <mergeCell ref="GZE219:GZF219"/>
    <mergeCell ref="GZG219:GZH219"/>
    <mergeCell ref="GZI219:GZJ219"/>
    <mergeCell ref="GZK219:GZL219"/>
    <mergeCell ref="HAB219:HAC219"/>
    <mergeCell ref="HAD219:HAE219"/>
    <mergeCell ref="HAF219:HAG219"/>
    <mergeCell ref="HAH219:HAI219"/>
    <mergeCell ref="HAY219:HAZ219"/>
    <mergeCell ref="GWT219:GWU219"/>
    <mergeCell ref="GXK219:GXL219"/>
    <mergeCell ref="GXM219:GXN219"/>
    <mergeCell ref="GXO219:GXP219"/>
    <mergeCell ref="GXQ219:GXR219"/>
    <mergeCell ref="GYH219:GYI219"/>
    <mergeCell ref="GYJ219:GYK219"/>
    <mergeCell ref="GYL219:GYM219"/>
    <mergeCell ref="GYN219:GYO219"/>
    <mergeCell ref="GUX219:GUY219"/>
    <mergeCell ref="GUZ219:GVA219"/>
    <mergeCell ref="GVQ219:GVR219"/>
    <mergeCell ref="GVS219:GVT219"/>
    <mergeCell ref="GVU219:GVV219"/>
    <mergeCell ref="GVW219:GVX219"/>
    <mergeCell ref="GWN219:GWO219"/>
    <mergeCell ref="GWP219:GWQ219"/>
    <mergeCell ref="GWR219:GWS219"/>
    <mergeCell ref="GTB219:GTC219"/>
    <mergeCell ref="GTD219:GTE219"/>
    <mergeCell ref="GTF219:GTG219"/>
    <mergeCell ref="GTW219:GTX219"/>
    <mergeCell ref="GTY219:GTZ219"/>
    <mergeCell ref="GUA219:GUB219"/>
    <mergeCell ref="GUC219:GUD219"/>
    <mergeCell ref="GUT219:GUU219"/>
    <mergeCell ref="GUV219:GUW219"/>
    <mergeCell ref="GRF219:GRG219"/>
    <mergeCell ref="GRH219:GRI219"/>
    <mergeCell ref="GRJ219:GRK219"/>
    <mergeCell ref="GRL219:GRM219"/>
    <mergeCell ref="GSC219:GSD219"/>
    <mergeCell ref="GSE219:GSF219"/>
    <mergeCell ref="GSG219:GSH219"/>
    <mergeCell ref="GSI219:GSJ219"/>
    <mergeCell ref="GSZ219:GTA219"/>
    <mergeCell ref="GOU219:GOV219"/>
    <mergeCell ref="GPL219:GPM219"/>
    <mergeCell ref="GPN219:GPO219"/>
    <mergeCell ref="GPP219:GPQ219"/>
    <mergeCell ref="GPR219:GPS219"/>
    <mergeCell ref="GQI219:GQJ219"/>
    <mergeCell ref="GQK219:GQL219"/>
    <mergeCell ref="GQM219:GQN219"/>
    <mergeCell ref="GQO219:GQP219"/>
    <mergeCell ref="GMY219:GMZ219"/>
    <mergeCell ref="GNA219:GNB219"/>
    <mergeCell ref="GNR219:GNS219"/>
    <mergeCell ref="GNT219:GNU219"/>
    <mergeCell ref="GNV219:GNW219"/>
    <mergeCell ref="GNX219:GNY219"/>
    <mergeCell ref="GOO219:GOP219"/>
    <mergeCell ref="GOQ219:GOR219"/>
    <mergeCell ref="GOS219:GOT219"/>
    <mergeCell ref="GLC219:GLD219"/>
    <mergeCell ref="GLE219:GLF219"/>
    <mergeCell ref="GLG219:GLH219"/>
    <mergeCell ref="GLX219:GLY219"/>
    <mergeCell ref="GLZ219:GMA219"/>
    <mergeCell ref="GMB219:GMC219"/>
    <mergeCell ref="GMD219:GME219"/>
    <mergeCell ref="GMU219:GMV219"/>
    <mergeCell ref="GMW219:GMX219"/>
    <mergeCell ref="GJG219:GJH219"/>
    <mergeCell ref="GJI219:GJJ219"/>
    <mergeCell ref="GJK219:GJL219"/>
    <mergeCell ref="GJM219:GJN219"/>
    <mergeCell ref="GKD219:GKE219"/>
    <mergeCell ref="GKF219:GKG219"/>
    <mergeCell ref="GKH219:GKI219"/>
    <mergeCell ref="GKJ219:GKK219"/>
    <mergeCell ref="GLA219:GLB219"/>
    <mergeCell ref="GGV219:GGW219"/>
    <mergeCell ref="GHM219:GHN219"/>
    <mergeCell ref="GHO219:GHP219"/>
    <mergeCell ref="GHQ219:GHR219"/>
    <mergeCell ref="GHS219:GHT219"/>
    <mergeCell ref="GIJ219:GIK219"/>
    <mergeCell ref="GIL219:GIM219"/>
    <mergeCell ref="GIN219:GIO219"/>
    <mergeCell ref="GIP219:GIQ219"/>
    <mergeCell ref="GEZ219:GFA219"/>
    <mergeCell ref="GFB219:GFC219"/>
    <mergeCell ref="GFS219:GFT219"/>
    <mergeCell ref="GFU219:GFV219"/>
    <mergeCell ref="GFW219:GFX219"/>
    <mergeCell ref="GFY219:GFZ219"/>
    <mergeCell ref="GGP219:GGQ219"/>
    <mergeCell ref="GGR219:GGS219"/>
    <mergeCell ref="GGT219:GGU219"/>
    <mergeCell ref="GDD219:GDE219"/>
    <mergeCell ref="GDF219:GDG219"/>
    <mergeCell ref="GDH219:GDI219"/>
    <mergeCell ref="GDY219:GDZ219"/>
    <mergeCell ref="GEA219:GEB219"/>
    <mergeCell ref="GEC219:GED219"/>
    <mergeCell ref="GEE219:GEF219"/>
    <mergeCell ref="GEV219:GEW219"/>
    <mergeCell ref="GEX219:GEY219"/>
    <mergeCell ref="GBH219:GBI219"/>
    <mergeCell ref="GBJ219:GBK219"/>
    <mergeCell ref="GBL219:GBM219"/>
    <mergeCell ref="GBN219:GBO219"/>
    <mergeCell ref="GCE219:GCF219"/>
    <mergeCell ref="GCG219:GCH219"/>
    <mergeCell ref="GCI219:GCJ219"/>
    <mergeCell ref="GCK219:GCL219"/>
    <mergeCell ref="GDB219:GDC219"/>
    <mergeCell ref="FYW219:FYX219"/>
    <mergeCell ref="FZN219:FZO219"/>
    <mergeCell ref="FZP219:FZQ219"/>
    <mergeCell ref="FZR219:FZS219"/>
    <mergeCell ref="FZT219:FZU219"/>
    <mergeCell ref="GAK219:GAL219"/>
    <mergeCell ref="GAM219:GAN219"/>
    <mergeCell ref="GAO219:GAP219"/>
    <mergeCell ref="GAQ219:GAR219"/>
    <mergeCell ref="FXA219:FXB219"/>
    <mergeCell ref="FXC219:FXD219"/>
    <mergeCell ref="FXT219:FXU219"/>
    <mergeCell ref="FXV219:FXW219"/>
    <mergeCell ref="FXX219:FXY219"/>
    <mergeCell ref="FXZ219:FYA219"/>
    <mergeCell ref="FYQ219:FYR219"/>
    <mergeCell ref="FYS219:FYT219"/>
    <mergeCell ref="FYU219:FYV219"/>
    <mergeCell ref="FVE219:FVF219"/>
    <mergeCell ref="FVG219:FVH219"/>
    <mergeCell ref="FVI219:FVJ219"/>
    <mergeCell ref="FVZ219:FWA219"/>
    <mergeCell ref="FWB219:FWC219"/>
    <mergeCell ref="FWD219:FWE219"/>
    <mergeCell ref="FWF219:FWG219"/>
    <mergeCell ref="FWW219:FWX219"/>
    <mergeCell ref="FWY219:FWZ219"/>
    <mergeCell ref="FTI219:FTJ219"/>
    <mergeCell ref="FTK219:FTL219"/>
    <mergeCell ref="FTM219:FTN219"/>
    <mergeCell ref="FTO219:FTP219"/>
    <mergeCell ref="FUF219:FUG219"/>
    <mergeCell ref="FUH219:FUI219"/>
    <mergeCell ref="FUJ219:FUK219"/>
    <mergeCell ref="FUL219:FUM219"/>
    <mergeCell ref="FVC219:FVD219"/>
    <mergeCell ref="FQX219:FQY219"/>
    <mergeCell ref="FRO219:FRP219"/>
    <mergeCell ref="FRQ219:FRR219"/>
    <mergeCell ref="FRS219:FRT219"/>
    <mergeCell ref="FRU219:FRV219"/>
    <mergeCell ref="FSL219:FSM219"/>
    <mergeCell ref="FSN219:FSO219"/>
    <mergeCell ref="FSP219:FSQ219"/>
    <mergeCell ref="FSR219:FSS219"/>
    <mergeCell ref="FPB219:FPC219"/>
    <mergeCell ref="FPD219:FPE219"/>
    <mergeCell ref="FPU219:FPV219"/>
    <mergeCell ref="FPW219:FPX219"/>
    <mergeCell ref="FPY219:FPZ219"/>
    <mergeCell ref="FQA219:FQB219"/>
    <mergeCell ref="FQR219:FQS219"/>
    <mergeCell ref="FQT219:FQU219"/>
    <mergeCell ref="FQV219:FQW219"/>
    <mergeCell ref="FNF219:FNG219"/>
    <mergeCell ref="FNH219:FNI219"/>
    <mergeCell ref="FNJ219:FNK219"/>
    <mergeCell ref="FOA219:FOB219"/>
    <mergeCell ref="FOC219:FOD219"/>
    <mergeCell ref="FOE219:FOF219"/>
    <mergeCell ref="FOG219:FOH219"/>
    <mergeCell ref="FOX219:FOY219"/>
    <mergeCell ref="FOZ219:FPA219"/>
    <mergeCell ref="FLJ219:FLK219"/>
    <mergeCell ref="FLL219:FLM219"/>
    <mergeCell ref="FLN219:FLO219"/>
    <mergeCell ref="FLP219:FLQ219"/>
    <mergeCell ref="FMG219:FMH219"/>
    <mergeCell ref="FMI219:FMJ219"/>
    <mergeCell ref="FMK219:FML219"/>
    <mergeCell ref="FMM219:FMN219"/>
    <mergeCell ref="FND219:FNE219"/>
    <mergeCell ref="FIY219:FIZ219"/>
    <mergeCell ref="FJP219:FJQ219"/>
    <mergeCell ref="FJR219:FJS219"/>
    <mergeCell ref="FJT219:FJU219"/>
    <mergeCell ref="FJV219:FJW219"/>
    <mergeCell ref="FKM219:FKN219"/>
    <mergeCell ref="FKO219:FKP219"/>
    <mergeCell ref="FKQ219:FKR219"/>
    <mergeCell ref="FKS219:FKT219"/>
    <mergeCell ref="FHC219:FHD219"/>
    <mergeCell ref="FHE219:FHF219"/>
    <mergeCell ref="FHV219:FHW219"/>
    <mergeCell ref="FHX219:FHY219"/>
    <mergeCell ref="FHZ219:FIA219"/>
    <mergeCell ref="FIB219:FIC219"/>
    <mergeCell ref="FIS219:FIT219"/>
    <mergeCell ref="FIU219:FIV219"/>
    <mergeCell ref="FIW219:FIX219"/>
    <mergeCell ref="FFG219:FFH219"/>
    <mergeCell ref="FFI219:FFJ219"/>
    <mergeCell ref="FFK219:FFL219"/>
    <mergeCell ref="FGB219:FGC219"/>
    <mergeCell ref="FGD219:FGE219"/>
    <mergeCell ref="FGF219:FGG219"/>
    <mergeCell ref="FGH219:FGI219"/>
    <mergeCell ref="FGY219:FGZ219"/>
    <mergeCell ref="FHA219:FHB219"/>
    <mergeCell ref="FDK219:FDL219"/>
    <mergeCell ref="FDM219:FDN219"/>
    <mergeCell ref="FDO219:FDP219"/>
    <mergeCell ref="FDQ219:FDR219"/>
    <mergeCell ref="FEH219:FEI219"/>
    <mergeCell ref="FEJ219:FEK219"/>
    <mergeCell ref="FEL219:FEM219"/>
    <mergeCell ref="FEN219:FEO219"/>
    <mergeCell ref="FFE219:FFF219"/>
    <mergeCell ref="FAZ219:FBA219"/>
    <mergeCell ref="FBQ219:FBR219"/>
    <mergeCell ref="FBS219:FBT219"/>
    <mergeCell ref="FBU219:FBV219"/>
    <mergeCell ref="FBW219:FBX219"/>
    <mergeCell ref="FCN219:FCO219"/>
    <mergeCell ref="FCP219:FCQ219"/>
    <mergeCell ref="FCR219:FCS219"/>
    <mergeCell ref="FCT219:FCU219"/>
    <mergeCell ref="EZD219:EZE219"/>
    <mergeCell ref="EZF219:EZG219"/>
    <mergeCell ref="EZW219:EZX219"/>
    <mergeCell ref="EZY219:EZZ219"/>
    <mergeCell ref="FAA219:FAB219"/>
    <mergeCell ref="FAC219:FAD219"/>
    <mergeCell ref="FAT219:FAU219"/>
    <mergeCell ref="FAV219:FAW219"/>
    <mergeCell ref="FAX219:FAY219"/>
    <mergeCell ref="EXH219:EXI219"/>
    <mergeCell ref="EXJ219:EXK219"/>
    <mergeCell ref="EXL219:EXM219"/>
    <mergeCell ref="EYC219:EYD219"/>
    <mergeCell ref="EYE219:EYF219"/>
    <mergeCell ref="EYG219:EYH219"/>
    <mergeCell ref="EYI219:EYJ219"/>
    <mergeCell ref="EYZ219:EZA219"/>
    <mergeCell ref="EZB219:EZC219"/>
    <mergeCell ref="EVL219:EVM219"/>
    <mergeCell ref="EVN219:EVO219"/>
    <mergeCell ref="EVP219:EVQ219"/>
    <mergeCell ref="EVR219:EVS219"/>
    <mergeCell ref="EWI219:EWJ219"/>
    <mergeCell ref="EWK219:EWL219"/>
    <mergeCell ref="EWM219:EWN219"/>
    <mergeCell ref="EWO219:EWP219"/>
    <mergeCell ref="EXF219:EXG219"/>
    <mergeCell ref="ETA219:ETB219"/>
    <mergeCell ref="ETR219:ETS219"/>
    <mergeCell ref="ETT219:ETU219"/>
    <mergeCell ref="ETV219:ETW219"/>
    <mergeCell ref="ETX219:ETY219"/>
    <mergeCell ref="EUO219:EUP219"/>
    <mergeCell ref="EUQ219:EUR219"/>
    <mergeCell ref="EUS219:EUT219"/>
    <mergeCell ref="EUU219:EUV219"/>
    <mergeCell ref="ERE219:ERF219"/>
    <mergeCell ref="ERG219:ERH219"/>
    <mergeCell ref="ERX219:ERY219"/>
    <mergeCell ref="ERZ219:ESA219"/>
    <mergeCell ref="ESB219:ESC219"/>
    <mergeCell ref="ESD219:ESE219"/>
    <mergeCell ref="ESU219:ESV219"/>
    <mergeCell ref="ESW219:ESX219"/>
    <mergeCell ref="ESY219:ESZ219"/>
    <mergeCell ref="EPI219:EPJ219"/>
    <mergeCell ref="EPK219:EPL219"/>
    <mergeCell ref="EPM219:EPN219"/>
    <mergeCell ref="EQD219:EQE219"/>
    <mergeCell ref="EQF219:EQG219"/>
    <mergeCell ref="EQH219:EQI219"/>
    <mergeCell ref="EQJ219:EQK219"/>
    <mergeCell ref="ERA219:ERB219"/>
    <mergeCell ref="ERC219:ERD219"/>
    <mergeCell ref="ENM219:ENN219"/>
    <mergeCell ref="ENO219:ENP219"/>
    <mergeCell ref="ENQ219:ENR219"/>
    <mergeCell ref="ENS219:ENT219"/>
    <mergeCell ref="EOJ219:EOK219"/>
    <mergeCell ref="EOL219:EOM219"/>
    <mergeCell ref="EON219:EOO219"/>
    <mergeCell ref="EOP219:EOQ219"/>
    <mergeCell ref="EPG219:EPH219"/>
    <mergeCell ref="ELB219:ELC219"/>
    <mergeCell ref="ELS219:ELT219"/>
    <mergeCell ref="ELU219:ELV219"/>
    <mergeCell ref="ELW219:ELX219"/>
    <mergeCell ref="ELY219:ELZ219"/>
    <mergeCell ref="EMP219:EMQ219"/>
    <mergeCell ref="EMR219:EMS219"/>
    <mergeCell ref="EMT219:EMU219"/>
    <mergeCell ref="EMV219:EMW219"/>
    <mergeCell ref="EJF219:EJG219"/>
    <mergeCell ref="EJH219:EJI219"/>
    <mergeCell ref="EJY219:EJZ219"/>
    <mergeCell ref="EKA219:EKB219"/>
    <mergeCell ref="EKC219:EKD219"/>
    <mergeCell ref="EKE219:EKF219"/>
    <mergeCell ref="EKV219:EKW219"/>
    <mergeCell ref="EKX219:EKY219"/>
    <mergeCell ref="EKZ219:ELA219"/>
    <mergeCell ref="EHJ219:EHK219"/>
    <mergeCell ref="EHL219:EHM219"/>
    <mergeCell ref="EHN219:EHO219"/>
    <mergeCell ref="EIE219:EIF219"/>
    <mergeCell ref="EIG219:EIH219"/>
    <mergeCell ref="EII219:EIJ219"/>
    <mergeCell ref="EIK219:EIL219"/>
    <mergeCell ref="EJB219:EJC219"/>
    <mergeCell ref="EJD219:EJE219"/>
    <mergeCell ref="EFN219:EFO219"/>
    <mergeCell ref="EFP219:EFQ219"/>
    <mergeCell ref="EFR219:EFS219"/>
    <mergeCell ref="EFT219:EFU219"/>
    <mergeCell ref="EGK219:EGL219"/>
    <mergeCell ref="EGM219:EGN219"/>
    <mergeCell ref="EGO219:EGP219"/>
    <mergeCell ref="EGQ219:EGR219"/>
    <mergeCell ref="EHH219:EHI219"/>
    <mergeCell ref="EDC219:EDD219"/>
    <mergeCell ref="EDT219:EDU219"/>
    <mergeCell ref="EDV219:EDW219"/>
    <mergeCell ref="EDX219:EDY219"/>
    <mergeCell ref="EDZ219:EEA219"/>
    <mergeCell ref="EEQ219:EER219"/>
    <mergeCell ref="EES219:EET219"/>
    <mergeCell ref="EEU219:EEV219"/>
    <mergeCell ref="EEW219:EEX219"/>
    <mergeCell ref="EBG219:EBH219"/>
    <mergeCell ref="EBI219:EBJ219"/>
    <mergeCell ref="EBZ219:ECA219"/>
    <mergeCell ref="ECB219:ECC219"/>
    <mergeCell ref="ECD219:ECE219"/>
    <mergeCell ref="ECF219:ECG219"/>
    <mergeCell ref="ECW219:ECX219"/>
    <mergeCell ref="ECY219:ECZ219"/>
    <mergeCell ref="EDA219:EDB219"/>
    <mergeCell ref="DZK219:DZL219"/>
    <mergeCell ref="DZM219:DZN219"/>
    <mergeCell ref="DZO219:DZP219"/>
    <mergeCell ref="EAF219:EAG219"/>
    <mergeCell ref="EAH219:EAI219"/>
    <mergeCell ref="EAJ219:EAK219"/>
    <mergeCell ref="EAL219:EAM219"/>
    <mergeCell ref="EBC219:EBD219"/>
    <mergeCell ref="EBE219:EBF219"/>
    <mergeCell ref="DXO219:DXP219"/>
    <mergeCell ref="DXQ219:DXR219"/>
    <mergeCell ref="DXS219:DXT219"/>
    <mergeCell ref="DXU219:DXV219"/>
    <mergeCell ref="DYL219:DYM219"/>
    <mergeCell ref="DYN219:DYO219"/>
    <mergeCell ref="DYP219:DYQ219"/>
    <mergeCell ref="DYR219:DYS219"/>
    <mergeCell ref="DZI219:DZJ219"/>
    <mergeCell ref="DVD219:DVE219"/>
    <mergeCell ref="DVU219:DVV219"/>
    <mergeCell ref="DVW219:DVX219"/>
    <mergeCell ref="DVY219:DVZ219"/>
    <mergeCell ref="DWA219:DWB219"/>
    <mergeCell ref="DWR219:DWS219"/>
    <mergeCell ref="DWT219:DWU219"/>
    <mergeCell ref="DWV219:DWW219"/>
    <mergeCell ref="DWX219:DWY219"/>
    <mergeCell ref="DTH219:DTI219"/>
    <mergeCell ref="DTJ219:DTK219"/>
    <mergeCell ref="DUA219:DUB219"/>
    <mergeCell ref="DUC219:DUD219"/>
    <mergeCell ref="DUE219:DUF219"/>
    <mergeCell ref="DUG219:DUH219"/>
    <mergeCell ref="DUX219:DUY219"/>
    <mergeCell ref="DUZ219:DVA219"/>
    <mergeCell ref="DVB219:DVC219"/>
    <mergeCell ref="DRL219:DRM219"/>
    <mergeCell ref="DRN219:DRO219"/>
    <mergeCell ref="DRP219:DRQ219"/>
    <mergeCell ref="DSG219:DSH219"/>
    <mergeCell ref="DSI219:DSJ219"/>
    <mergeCell ref="DSK219:DSL219"/>
    <mergeCell ref="DSM219:DSN219"/>
    <mergeCell ref="DTD219:DTE219"/>
    <mergeCell ref="DTF219:DTG219"/>
    <mergeCell ref="DPP219:DPQ219"/>
    <mergeCell ref="DPR219:DPS219"/>
    <mergeCell ref="DPT219:DPU219"/>
    <mergeCell ref="DPV219:DPW219"/>
    <mergeCell ref="DQM219:DQN219"/>
    <mergeCell ref="DQO219:DQP219"/>
    <mergeCell ref="DQQ219:DQR219"/>
    <mergeCell ref="DQS219:DQT219"/>
    <mergeCell ref="DRJ219:DRK219"/>
    <mergeCell ref="DNE219:DNF219"/>
    <mergeCell ref="DNV219:DNW219"/>
    <mergeCell ref="DNX219:DNY219"/>
    <mergeCell ref="DNZ219:DOA219"/>
    <mergeCell ref="DOB219:DOC219"/>
    <mergeCell ref="DOS219:DOT219"/>
    <mergeCell ref="DOU219:DOV219"/>
    <mergeCell ref="DOW219:DOX219"/>
    <mergeCell ref="DOY219:DOZ219"/>
    <mergeCell ref="DLI219:DLJ219"/>
    <mergeCell ref="DLK219:DLL219"/>
    <mergeCell ref="DMB219:DMC219"/>
    <mergeCell ref="DMD219:DME219"/>
    <mergeCell ref="DMF219:DMG219"/>
    <mergeCell ref="DMH219:DMI219"/>
    <mergeCell ref="DMY219:DMZ219"/>
    <mergeCell ref="DNA219:DNB219"/>
    <mergeCell ref="DNC219:DND219"/>
    <mergeCell ref="DJM219:DJN219"/>
    <mergeCell ref="DJO219:DJP219"/>
    <mergeCell ref="DJQ219:DJR219"/>
    <mergeCell ref="DKH219:DKI219"/>
    <mergeCell ref="DKJ219:DKK219"/>
    <mergeCell ref="DKL219:DKM219"/>
    <mergeCell ref="DKN219:DKO219"/>
    <mergeCell ref="DLE219:DLF219"/>
    <mergeCell ref="DLG219:DLH219"/>
    <mergeCell ref="DHQ219:DHR219"/>
    <mergeCell ref="DHS219:DHT219"/>
    <mergeCell ref="DHU219:DHV219"/>
    <mergeCell ref="DHW219:DHX219"/>
    <mergeCell ref="DIN219:DIO219"/>
    <mergeCell ref="DIP219:DIQ219"/>
    <mergeCell ref="DIR219:DIS219"/>
    <mergeCell ref="DIT219:DIU219"/>
    <mergeCell ref="DJK219:DJL219"/>
    <mergeCell ref="DFF219:DFG219"/>
    <mergeCell ref="DFW219:DFX219"/>
    <mergeCell ref="DFY219:DFZ219"/>
    <mergeCell ref="DGA219:DGB219"/>
    <mergeCell ref="DGC219:DGD219"/>
    <mergeCell ref="DGT219:DGU219"/>
    <mergeCell ref="DGV219:DGW219"/>
    <mergeCell ref="DGX219:DGY219"/>
    <mergeCell ref="DGZ219:DHA219"/>
    <mergeCell ref="DDJ219:DDK219"/>
    <mergeCell ref="DDL219:DDM219"/>
    <mergeCell ref="DEC219:DED219"/>
    <mergeCell ref="DEE219:DEF219"/>
    <mergeCell ref="DEG219:DEH219"/>
    <mergeCell ref="DEI219:DEJ219"/>
    <mergeCell ref="DEZ219:DFA219"/>
    <mergeCell ref="DFB219:DFC219"/>
    <mergeCell ref="DFD219:DFE219"/>
    <mergeCell ref="DBN219:DBO219"/>
    <mergeCell ref="DBP219:DBQ219"/>
    <mergeCell ref="DBR219:DBS219"/>
    <mergeCell ref="DCI219:DCJ219"/>
    <mergeCell ref="DCK219:DCL219"/>
    <mergeCell ref="DCM219:DCN219"/>
    <mergeCell ref="DCO219:DCP219"/>
    <mergeCell ref="DDF219:DDG219"/>
    <mergeCell ref="DDH219:DDI219"/>
    <mergeCell ref="CZR219:CZS219"/>
    <mergeCell ref="CZT219:CZU219"/>
    <mergeCell ref="CZV219:CZW219"/>
    <mergeCell ref="CZX219:CZY219"/>
    <mergeCell ref="DAO219:DAP219"/>
    <mergeCell ref="DAQ219:DAR219"/>
    <mergeCell ref="DAS219:DAT219"/>
    <mergeCell ref="DAU219:DAV219"/>
    <mergeCell ref="DBL219:DBM219"/>
    <mergeCell ref="CXG219:CXH219"/>
    <mergeCell ref="CXX219:CXY219"/>
    <mergeCell ref="CXZ219:CYA219"/>
    <mergeCell ref="CYB219:CYC219"/>
    <mergeCell ref="CYD219:CYE219"/>
    <mergeCell ref="CYU219:CYV219"/>
    <mergeCell ref="CYW219:CYX219"/>
    <mergeCell ref="CYY219:CYZ219"/>
    <mergeCell ref="CZA219:CZB219"/>
    <mergeCell ref="CVK219:CVL219"/>
    <mergeCell ref="CVM219:CVN219"/>
    <mergeCell ref="CWD219:CWE219"/>
    <mergeCell ref="CWF219:CWG219"/>
    <mergeCell ref="CWH219:CWI219"/>
    <mergeCell ref="CWJ219:CWK219"/>
    <mergeCell ref="CXA219:CXB219"/>
    <mergeCell ref="CXC219:CXD219"/>
    <mergeCell ref="CXE219:CXF219"/>
    <mergeCell ref="CTO219:CTP219"/>
    <mergeCell ref="CTQ219:CTR219"/>
    <mergeCell ref="CTS219:CTT219"/>
    <mergeCell ref="CUJ219:CUK219"/>
    <mergeCell ref="CUL219:CUM219"/>
    <mergeCell ref="CUN219:CUO219"/>
    <mergeCell ref="CUP219:CUQ219"/>
    <mergeCell ref="CVG219:CVH219"/>
    <mergeCell ref="CVI219:CVJ219"/>
    <mergeCell ref="CRS219:CRT219"/>
    <mergeCell ref="CRU219:CRV219"/>
    <mergeCell ref="CRW219:CRX219"/>
    <mergeCell ref="CRY219:CRZ219"/>
    <mergeCell ref="CSP219:CSQ219"/>
    <mergeCell ref="CSR219:CSS219"/>
    <mergeCell ref="CST219:CSU219"/>
    <mergeCell ref="CSV219:CSW219"/>
    <mergeCell ref="CTM219:CTN219"/>
    <mergeCell ref="CPH219:CPI219"/>
    <mergeCell ref="CPY219:CPZ219"/>
    <mergeCell ref="CQA219:CQB219"/>
    <mergeCell ref="CQC219:CQD219"/>
    <mergeCell ref="CQE219:CQF219"/>
    <mergeCell ref="CQV219:CQW219"/>
    <mergeCell ref="CQX219:CQY219"/>
    <mergeCell ref="CQZ219:CRA219"/>
    <mergeCell ref="CRB219:CRC219"/>
    <mergeCell ref="CNL219:CNM219"/>
    <mergeCell ref="CNN219:CNO219"/>
    <mergeCell ref="COE219:COF219"/>
    <mergeCell ref="COG219:COH219"/>
    <mergeCell ref="COI219:COJ219"/>
    <mergeCell ref="COK219:COL219"/>
    <mergeCell ref="CPB219:CPC219"/>
    <mergeCell ref="CPD219:CPE219"/>
    <mergeCell ref="CPF219:CPG219"/>
    <mergeCell ref="CLP219:CLQ219"/>
    <mergeCell ref="CLR219:CLS219"/>
    <mergeCell ref="CLT219:CLU219"/>
    <mergeCell ref="CMK219:CML219"/>
    <mergeCell ref="CMM219:CMN219"/>
    <mergeCell ref="CMO219:CMP219"/>
    <mergeCell ref="CMQ219:CMR219"/>
    <mergeCell ref="CNH219:CNI219"/>
    <mergeCell ref="CNJ219:CNK219"/>
    <mergeCell ref="CJT219:CJU219"/>
    <mergeCell ref="CJV219:CJW219"/>
    <mergeCell ref="CJX219:CJY219"/>
    <mergeCell ref="CJZ219:CKA219"/>
    <mergeCell ref="CKQ219:CKR219"/>
    <mergeCell ref="CKS219:CKT219"/>
    <mergeCell ref="CKU219:CKV219"/>
    <mergeCell ref="CKW219:CKX219"/>
    <mergeCell ref="CLN219:CLO219"/>
    <mergeCell ref="CHI219:CHJ219"/>
    <mergeCell ref="CHZ219:CIA219"/>
    <mergeCell ref="CIB219:CIC219"/>
    <mergeCell ref="CID219:CIE219"/>
    <mergeCell ref="CIF219:CIG219"/>
    <mergeCell ref="CIW219:CIX219"/>
    <mergeCell ref="CIY219:CIZ219"/>
    <mergeCell ref="CJA219:CJB219"/>
    <mergeCell ref="CJC219:CJD219"/>
    <mergeCell ref="CFM219:CFN219"/>
    <mergeCell ref="CFO219:CFP219"/>
    <mergeCell ref="CGF219:CGG219"/>
    <mergeCell ref="CGH219:CGI219"/>
    <mergeCell ref="CGJ219:CGK219"/>
    <mergeCell ref="CGL219:CGM219"/>
    <mergeCell ref="CHC219:CHD219"/>
    <mergeCell ref="CHE219:CHF219"/>
    <mergeCell ref="CHG219:CHH219"/>
    <mergeCell ref="CDQ219:CDR219"/>
    <mergeCell ref="CDS219:CDT219"/>
    <mergeCell ref="CDU219:CDV219"/>
    <mergeCell ref="CEL219:CEM219"/>
    <mergeCell ref="CEN219:CEO219"/>
    <mergeCell ref="CEP219:CEQ219"/>
    <mergeCell ref="CER219:CES219"/>
    <mergeCell ref="CFI219:CFJ219"/>
    <mergeCell ref="CFK219:CFL219"/>
    <mergeCell ref="CBU219:CBV219"/>
    <mergeCell ref="CBW219:CBX219"/>
    <mergeCell ref="CBY219:CBZ219"/>
    <mergeCell ref="CCA219:CCB219"/>
    <mergeCell ref="CCR219:CCS219"/>
    <mergeCell ref="CCT219:CCU219"/>
    <mergeCell ref="CCV219:CCW219"/>
    <mergeCell ref="CCX219:CCY219"/>
    <mergeCell ref="CDO219:CDP219"/>
    <mergeCell ref="BZJ219:BZK219"/>
    <mergeCell ref="CAA219:CAB219"/>
    <mergeCell ref="CAC219:CAD219"/>
    <mergeCell ref="CAE219:CAF219"/>
    <mergeCell ref="CAG219:CAH219"/>
    <mergeCell ref="CAX219:CAY219"/>
    <mergeCell ref="CAZ219:CBA219"/>
    <mergeCell ref="CBB219:CBC219"/>
    <mergeCell ref="CBD219:CBE219"/>
    <mergeCell ref="BXN219:BXO219"/>
    <mergeCell ref="BXP219:BXQ219"/>
    <mergeCell ref="BYG219:BYH219"/>
    <mergeCell ref="BYI219:BYJ219"/>
    <mergeCell ref="BYK219:BYL219"/>
    <mergeCell ref="BYM219:BYN219"/>
    <mergeCell ref="BZD219:BZE219"/>
    <mergeCell ref="BZF219:BZG219"/>
    <mergeCell ref="BZH219:BZI219"/>
    <mergeCell ref="BVR219:BVS219"/>
    <mergeCell ref="BVT219:BVU219"/>
    <mergeCell ref="BVV219:BVW219"/>
    <mergeCell ref="BWM219:BWN219"/>
    <mergeCell ref="BWO219:BWP219"/>
    <mergeCell ref="BWQ219:BWR219"/>
    <mergeCell ref="BWS219:BWT219"/>
    <mergeCell ref="BXJ219:BXK219"/>
    <mergeCell ref="BXL219:BXM219"/>
    <mergeCell ref="BTV219:BTW219"/>
    <mergeCell ref="BTX219:BTY219"/>
    <mergeCell ref="BTZ219:BUA219"/>
    <mergeCell ref="BUB219:BUC219"/>
    <mergeCell ref="BUS219:BUT219"/>
    <mergeCell ref="BUU219:BUV219"/>
    <mergeCell ref="BUW219:BUX219"/>
    <mergeCell ref="BUY219:BUZ219"/>
    <mergeCell ref="BVP219:BVQ219"/>
    <mergeCell ref="BRK219:BRL219"/>
    <mergeCell ref="BSB219:BSC219"/>
    <mergeCell ref="BSD219:BSE219"/>
    <mergeCell ref="BSF219:BSG219"/>
    <mergeCell ref="BSH219:BSI219"/>
    <mergeCell ref="BSY219:BSZ219"/>
    <mergeCell ref="BTA219:BTB219"/>
    <mergeCell ref="BTC219:BTD219"/>
    <mergeCell ref="BTE219:BTF219"/>
    <mergeCell ref="BPO219:BPP219"/>
    <mergeCell ref="BPQ219:BPR219"/>
    <mergeCell ref="BQH219:BQI219"/>
    <mergeCell ref="BQJ219:BQK219"/>
    <mergeCell ref="BQL219:BQM219"/>
    <mergeCell ref="BQN219:BQO219"/>
    <mergeCell ref="BRE219:BRF219"/>
    <mergeCell ref="BRG219:BRH219"/>
    <mergeCell ref="BRI219:BRJ219"/>
    <mergeCell ref="BNS219:BNT219"/>
    <mergeCell ref="BNU219:BNV219"/>
    <mergeCell ref="BNW219:BNX219"/>
    <mergeCell ref="BON219:BOO219"/>
    <mergeCell ref="BOP219:BOQ219"/>
    <mergeCell ref="BOR219:BOS219"/>
    <mergeCell ref="BOT219:BOU219"/>
    <mergeCell ref="BPK219:BPL219"/>
    <mergeCell ref="BPM219:BPN219"/>
    <mergeCell ref="BLW219:BLX219"/>
    <mergeCell ref="BLY219:BLZ219"/>
    <mergeCell ref="BMA219:BMB219"/>
    <mergeCell ref="BMC219:BMD219"/>
    <mergeCell ref="BMT219:BMU219"/>
    <mergeCell ref="BMV219:BMW219"/>
    <mergeCell ref="BMX219:BMY219"/>
    <mergeCell ref="BMZ219:BNA219"/>
    <mergeCell ref="BNQ219:BNR219"/>
    <mergeCell ref="BJL219:BJM219"/>
    <mergeCell ref="BKC219:BKD219"/>
    <mergeCell ref="BKE219:BKF219"/>
    <mergeCell ref="BKG219:BKH219"/>
    <mergeCell ref="BKI219:BKJ219"/>
    <mergeCell ref="BKZ219:BLA219"/>
    <mergeCell ref="BLB219:BLC219"/>
    <mergeCell ref="BLD219:BLE219"/>
    <mergeCell ref="BLF219:BLG219"/>
    <mergeCell ref="BHP219:BHQ219"/>
    <mergeCell ref="BHR219:BHS219"/>
    <mergeCell ref="BII219:BIJ219"/>
    <mergeCell ref="BIK219:BIL219"/>
    <mergeCell ref="BIM219:BIN219"/>
    <mergeCell ref="BIO219:BIP219"/>
    <mergeCell ref="BJF219:BJG219"/>
    <mergeCell ref="BJH219:BJI219"/>
    <mergeCell ref="BJJ219:BJK219"/>
    <mergeCell ref="BFT219:BFU219"/>
    <mergeCell ref="BFV219:BFW219"/>
    <mergeCell ref="BFX219:BFY219"/>
    <mergeCell ref="BGO219:BGP219"/>
    <mergeCell ref="BGQ219:BGR219"/>
    <mergeCell ref="BGS219:BGT219"/>
    <mergeCell ref="BGU219:BGV219"/>
    <mergeCell ref="BHL219:BHM219"/>
    <mergeCell ref="BHN219:BHO219"/>
    <mergeCell ref="BDX219:BDY219"/>
    <mergeCell ref="BDZ219:BEA219"/>
    <mergeCell ref="BEB219:BEC219"/>
    <mergeCell ref="BED219:BEE219"/>
    <mergeCell ref="BEU219:BEV219"/>
    <mergeCell ref="BEW219:BEX219"/>
    <mergeCell ref="BEY219:BEZ219"/>
    <mergeCell ref="BFA219:BFB219"/>
    <mergeCell ref="BFR219:BFS219"/>
    <mergeCell ref="BBM219:BBN219"/>
    <mergeCell ref="BCD219:BCE219"/>
    <mergeCell ref="BCF219:BCG219"/>
    <mergeCell ref="BCH219:BCI219"/>
    <mergeCell ref="BCJ219:BCK219"/>
    <mergeCell ref="BDA219:BDB219"/>
    <mergeCell ref="BDC219:BDD219"/>
    <mergeCell ref="BDE219:BDF219"/>
    <mergeCell ref="BDG219:BDH219"/>
    <mergeCell ref="AZQ219:AZR219"/>
    <mergeCell ref="AZS219:AZT219"/>
    <mergeCell ref="BAJ219:BAK219"/>
    <mergeCell ref="BAL219:BAM219"/>
    <mergeCell ref="BAN219:BAO219"/>
    <mergeCell ref="BAP219:BAQ219"/>
    <mergeCell ref="BBG219:BBH219"/>
    <mergeCell ref="BBI219:BBJ219"/>
    <mergeCell ref="BBK219:BBL219"/>
    <mergeCell ref="AXU219:AXV219"/>
    <mergeCell ref="AXW219:AXX219"/>
    <mergeCell ref="AXY219:AXZ219"/>
    <mergeCell ref="AYP219:AYQ219"/>
    <mergeCell ref="AYR219:AYS219"/>
    <mergeCell ref="AYT219:AYU219"/>
    <mergeCell ref="AYV219:AYW219"/>
    <mergeCell ref="AZM219:AZN219"/>
    <mergeCell ref="AZO219:AZP219"/>
    <mergeCell ref="AVY219:AVZ219"/>
    <mergeCell ref="AWA219:AWB219"/>
    <mergeCell ref="AWC219:AWD219"/>
    <mergeCell ref="AWE219:AWF219"/>
    <mergeCell ref="AWV219:AWW219"/>
    <mergeCell ref="AWX219:AWY219"/>
    <mergeCell ref="AWZ219:AXA219"/>
    <mergeCell ref="AXB219:AXC219"/>
    <mergeCell ref="AXS219:AXT219"/>
    <mergeCell ref="ATN219:ATO219"/>
    <mergeCell ref="AUE219:AUF219"/>
    <mergeCell ref="AUG219:AUH219"/>
    <mergeCell ref="AUI219:AUJ219"/>
    <mergeCell ref="AUK219:AUL219"/>
    <mergeCell ref="AVB219:AVC219"/>
    <mergeCell ref="AVD219:AVE219"/>
    <mergeCell ref="AVF219:AVG219"/>
    <mergeCell ref="AVH219:AVI219"/>
    <mergeCell ref="ARR219:ARS219"/>
    <mergeCell ref="ART219:ARU219"/>
    <mergeCell ref="ASK219:ASL219"/>
    <mergeCell ref="ASM219:ASN219"/>
    <mergeCell ref="ASO219:ASP219"/>
    <mergeCell ref="ASQ219:ASR219"/>
    <mergeCell ref="ATH219:ATI219"/>
    <mergeCell ref="ATJ219:ATK219"/>
    <mergeCell ref="ATL219:ATM219"/>
    <mergeCell ref="APV219:APW219"/>
    <mergeCell ref="APX219:APY219"/>
    <mergeCell ref="APZ219:AQA219"/>
    <mergeCell ref="AQQ219:AQR219"/>
    <mergeCell ref="AQS219:AQT219"/>
    <mergeCell ref="AQU219:AQV219"/>
    <mergeCell ref="AQW219:AQX219"/>
    <mergeCell ref="ARN219:ARO219"/>
    <mergeCell ref="ARP219:ARQ219"/>
    <mergeCell ref="ANZ219:AOA219"/>
    <mergeCell ref="AOB219:AOC219"/>
    <mergeCell ref="AOD219:AOE219"/>
    <mergeCell ref="AOF219:AOG219"/>
    <mergeCell ref="AOW219:AOX219"/>
    <mergeCell ref="AOY219:AOZ219"/>
    <mergeCell ref="APA219:APB219"/>
    <mergeCell ref="APC219:APD219"/>
    <mergeCell ref="APT219:APU219"/>
    <mergeCell ref="ALO219:ALP219"/>
    <mergeCell ref="AMF219:AMG219"/>
    <mergeCell ref="AMH219:AMI219"/>
    <mergeCell ref="AMJ219:AMK219"/>
    <mergeCell ref="AML219:AMM219"/>
    <mergeCell ref="ANC219:AND219"/>
    <mergeCell ref="ANE219:ANF219"/>
    <mergeCell ref="ANG219:ANH219"/>
    <mergeCell ref="ANI219:ANJ219"/>
    <mergeCell ref="AJS219:AJT219"/>
    <mergeCell ref="AJU219:AJV219"/>
    <mergeCell ref="AKL219:AKM219"/>
    <mergeCell ref="AKN219:AKO219"/>
    <mergeCell ref="AKP219:AKQ219"/>
    <mergeCell ref="AKR219:AKS219"/>
    <mergeCell ref="ALI219:ALJ219"/>
    <mergeCell ref="ALK219:ALL219"/>
    <mergeCell ref="ALM219:ALN219"/>
    <mergeCell ref="AHW219:AHX219"/>
    <mergeCell ref="AHY219:AHZ219"/>
    <mergeCell ref="AIA219:AIB219"/>
    <mergeCell ref="AIR219:AIS219"/>
    <mergeCell ref="AIT219:AIU219"/>
    <mergeCell ref="AIV219:AIW219"/>
    <mergeCell ref="AIX219:AIY219"/>
    <mergeCell ref="AJO219:AJP219"/>
    <mergeCell ref="AJQ219:AJR219"/>
    <mergeCell ref="AGA219:AGB219"/>
    <mergeCell ref="AGC219:AGD219"/>
    <mergeCell ref="AGE219:AGF219"/>
    <mergeCell ref="AGG219:AGH219"/>
    <mergeCell ref="AGX219:AGY219"/>
    <mergeCell ref="AGZ219:AHA219"/>
    <mergeCell ref="AHB219:AHC219"/>
    <mergeCell ref="AHD219:AHE219"/>
    <mergeCell ref="AHU219:AHV219"/>
    <mergeCell ref="ADP219:ADQ219"/>
    <mergeCell ref="AEG219:AEH219"/>
    <mergeCell ref="AEI219:AEJ219"/>
    <mergeCell ref="AEK219:AEL219"/>
    <mergeCell ref="AEM219:AEN219"/>
    <mergeCell ref="AFD219:AFE219"/>
    <mergeCell ref="AFF219:AFG219"/>
    <mergeCell ref="AFH219:AFI219"/>
    <mergeCell ref="AFJ219:AFK219"/>
    <mergeCell ref="ABT219:ABU219"/>
    <mergeCell ref="ABV219:ABW219"/>
    <mergeCell ref="ACM219:ACN219"/>
    <mergeCell ref="ACO219:ACP219"/>
    <mergeCell ref="ACQ219:ACR219"/>
    <mergeCell ref="ACS219:ACT219"/>
    <mergeCell ref="ADJ219:ADK219"/>
    <mergeCell ref="ADL219:ADM219"/>
    <mergeCell ref="ADN219:ADO219"/>
    <mergeCell ref="ZX219:ZY219"/>
    <mergeCell ref="ZZ219:AAA219"/>
    <mergeCell ref="AAB219:AAC219"/>
    <mergeCell ref="AAS219:AAT219"/>
    <mergeCell ref="AAU219:AAV219"/>
    <mergeCell ref="AAW219:AAX219"/>
    <mergeCell ref="AAY219:AAZ219"/>
    <mergeCell ref="ABP219:ABQ219"/>
    <mergeCell ref="ABR219:ABS219"/>
    <mergeCell ref="YB219:YC219"/>
    <mergeCell ref="YD219:YE219"/>
    <mergeCell ref="YF219:YG219"/>
    <mergeCell ref="YH219:YI219"/>
    <mergeCell ref="YY219:YZ219"/>
    <mergeCell ref="ZA219:ZB219"/>
    <mergeCell ref="ZC219:ZD219"/>
    <mergeCell ref="ZE219:ZF219"/>
    <mergeCell ref="ZV219:ZW219"/>
    <mergeCell ref="VQ219:VR219"/>
    <mergeCell ref="WH219:WI219"/>
    <mergeCell ref="WJ219:WK219"/>
    <mergeCell ref="WL219:WM219"/>
    <mergeCell ref="WN219:WO219"/>
    <mergeCell ref="XE219:XF219"/>
    <mergeCell ref="XG219:XH219"/>
    <mergeCell ref="XI219:XJ219"/>
    <mergeCell ref="XK219:XL219"/>
    <mergeCell ref="TU219:TV219"/>
    <mergeCell ref="TW219:TX219"/>
    <mergeCell ref="UN219:UO219"/>
    <mergeCell ref="UP219:UQ219"/>
    <mergeCell ref="UR219:US219"/>
    <mergeCell ref="UT219:UU219"/>
    <mergeCell ref="VK219:VL219"/>
    <mergeCell ref="VM219:VN219"/>
    <mergeCell ref="VO219:VP219"/>
    <mergeCell ref="RY219:RZ219"/>
    <mergeCell ref="SA219:SB219"/>
    <mergeCell ref="SC219:SD219"/>
    <mergeCell ref="ST219:SU219"/>
    <mergeCell ref="SV219:SW219"/>
    <mergeCell ref="SX219:SY219"/>
    <mergeCell ref="SZ219:TA219"/>
    <mergeCell ref="TQ219:TR219"/>
    <mergeCell ref="TS219:TT219"/>
    <mergeCell ref="QC219:QD219"/>
    <mergeCell ref="QE219:QF219"/>
    <mergeCell ref="QG219:QH219"/>
    <mergeCell ref="QI219:QJ219"/>
    <mergeCell ref="QZ219:RA219"/>
    <mergeCell ref="RB219:RC219"/>
    <mergeCell ref="RD219:RE219"/>
    <mergeCell ref="RF219:RG219"/>
    <mergeCell ref="RW219:RX219"/>
    <mergeCell ref="NR219:NS219"/>
    <mergeCell ref="OI219:OJ219"/>
    <mergeCell ref="OK219:OL219"/>
    <mergeCell ref="OM219:ON219"/>
    <mergeCell ref="OO219:OP219"/>
    <mergeCell ref="PF219:PG219"/>
    <mergeCell ref="PH219:PI219"/>
    <mergeCell ref="PJ219:PK219"/>
    <mergeCell ref="PL219:PM219"/>
    <mergeCell ref="LV219:LW219"/>
    <mergeCell ref="LX219:LY219"/>
    <mergeCell ref="MO219:MP219"/>
    <mergeCell ref="MQ219:MR219"/>
    <mergeCell ref="MS219:MT219"/>
    <mergeCell ref="MU219:MV219"/>
    <mergeCell ref="NL219:NM219"/>
    <mergeCell ref="NN219:NO219"/>
    <mergeCell ref="NP219:NQ219"/>
    <mergeCell ref="JZ219:KA219"/>
    <mergeCell ref="KB219:KC219"/>
    <mergeCell ref="KD219:KE219"/>
    <mergeCell ref="KU219:KV219"/>
    <mergeCell ref="KW219:KX219"/>
    <mergeCell ref="KY219:KZ219"/>
    <mergeCell ref="LA219:LB219"/>
    <mergeCell ref="LR219:LS219"/>
    <mergeCell ref="LT219:LU219"/>
    <mergeCell ref="ID219:IE219"/>
    <mergeCell ref="IF219:IG219"/>
    <mergeCell ref="IH219:II219"/>
    <mergeCell ref="IJ219:IK219"/>
    <mergeCell ref="JA219:JB219"/>
    <mergeCell ref="JC219:JD219"/>
    <mergeCell ref="JE219:JF219"/>
    <mergeCell ref="JG219:JH219"/>
    <mergeCell ref="JX219:JY219"/>
    <mergeCell ref="FS219:FT219"/>
    <mergeCell ref="GJ219:GK219"/>
    <mergeCell ref="GL219:GM219"/>
    <mergeCell ref="GN219:GO219"/>
    <mergeCell ref="GP219:GQ219"/>
    <mergeCell ref="HG219:HH219"/>
    <mergeCell ref="HI219:HJ219"/>
    <mergeCell ref="HK219:HL219"/>
    <mergeCell ref="HM219:HN219"/>
    <mergeCell ref="DW219:DX219"/>
    <mergeCell ref="DY219:DZ219"/>
    <mergeCell ref="EP219:EQ219"/>
    <mergeCell ref="ER219:ES219"/>
    <mergeCell ref="ET219:EU219"/>
    <mergeCell ref="EV219:EW219"/>
    <mergeCell ref="FM219:FN219"/>
    <mergeCell ref="FO219:FP219"/>
    <mergeCell ref="FQ219:FR219"/>
    <mergeCell ref="CA219:CB219"/>
    <mergeCell ref="CC219:CD219"/>
    <mergeCell ref="CE219:CF219"/>
    <mergeCell ref="CV219:CW219"/>
    <mergeCell ref="CX219:CY219"/>
    <mergeCell ref="CZ219:DA219"/>
    <mergeCell ref="DB219:DC219"/>
    <mergeCell ref="DS219:DT219"/>
    <mergeCell ref="DU219:DV219"/>
    <mergeCell ref="AE219:AF219"/>
    <mergeCell ref="AG219:AH219"/>
    <mergeCell ref="AI219:AJ219"/>
    <mergeCell ref="AK219:AL219"/>
    <mergeCell ref="BB219:BC219"/>
    <mergeCell ref="BD219:BE219"/>
    <mergeCell ref="BF219:BG219"/>
    <mergeCell ref="BH219:BI219"/>
    <mergeCell ref="BY219:BZ219"/>
    <mergeCell ref="H216:I216"/>
    <mergeCell ref="J216:K216"/>
    <mergeCell ref="L216:M216"/>
    <mergeCell ref="N216:O216"/>
    <mergeCell ref="N162:O162"/>
    <mergeCell ref="N161:O161"/>
    <mergeCell ref="H165:I165"/>
    <mergeCell ref="J165:K165"/>
    <mergeCell ref="L165:M165"/>
    <mergeCell ref="L166:M166"/>
    <mergeCell ref="N166:O166"/>
    <mergeCell ref="H163:I163"/>
    <mergeCell ref="J163:K163"/>
    <mergeCell ref="L163:M163"/>
    <mergeCell ref="N163:O163"/>
    <mergeCell ref="H164:I164"/>
    <mergeCell ref="J164:K164"/>
    <mergeCell ref="L164:M164"/>
    <mergeCell ref="N164:O164"/>
    <mergeCell ref="N165:O165"/>
    <mergeCell ref="H166:I166"/>
    <mergeCell ref="J166:K166"/>
    <mergeCell ref="H169:I169"/>
    <mergeCell ref="H174:I174"/>
    <mergeCell ref="J174:K174"/>
    <mergeCell ref="L174:M174"/>
    <mergeCell ref="N174:O174"/>
    <mergeCell ref="H171:I171"/>
    <mergeCell ref="J171:K171"/>
    <mergeCell ref="L171:M171"/>
    <mergeCell ref="N171:O171"/>
    <mergeCell ref="H219:I219"/>
    <mergeCell ref="J219:K219"/>
    <mergeCell ref="L219:M219"/>
    <mergeCell ref="N219:O219"/>
    <mergeCell ref="H218:I218"/>
    <mergeCell ref="J218:K218"/>
    <mergeCell ref="L218:M218"/>
    <mergeCell ref="N218:O218"/>
    <mergeCell ref="H217:I217"/>
    <mergeCell ref="J217:K217"/>
    <mergeCell ref="L217:M217"/>
    <mergeCell ref="N217:O217"/>
    <mergeCell ref="N173:O173"/>
    <mergeCell ref="N172:O172"/>
    <mergeCell ref="N177:O177"/>
    <mergeCell ref="H178:I178"/>
    <mergeCell ref="J178:K178"/>
    <mergeCell ref="L178:M178"/>
    <mergeCell ref="N178:O178"/>
    <mergeCell ref="H175:I175"/>
    <mergeCell ref="J175:K175"/>
    <mergeCell ref="L175:M175"/>
    <mergeCell ref="N175:O175"/>
    <mergeCell ref="H176:I176"/>
    <mergeCell ref="H162:I162"/>
    <mergeCell ref="J162:K162"/>
    <mergeCell ref="L162:M162"/>
    <mergeCell ref="H161:I161"/>
    <mergeCell ref="J161:K161"/>
    <mergeCell ref="L161:M161"/>
    <mergeCell ref="C139:D139"/>
    <mergeCell ref="C141:D141"/>
    <mergeCell ref="C143:D143"/>
    <mergeCell ref="C142:D142"/>
    <mergeCell ref="C144:D144"/>
    <mergeCell ref="C145:D145"/>
    <mergeCell ref="C155:D155"/>
    <mergeCell ref="H173:I173"/>
    <mergeCell ref="J173:K173"/>
    <mergeCell ref="L173:M173"/>
    <mergeCell ref="H172:I172"/>
    <mergeCell ref="J172:K172"/>
    <mergeCell ref="L172:M172"/>
    <mergeCell ref="J169:K169"/>
    <mergeCell ref="C150:D150"/>
    <mergeCell ref="C151:D151"/>
    <mergeCell ref="C149:D149"/>
    <mergeCell ref="C148:D148"/>
    <mergeCell ref="C119:D119"/>
    <mergeCell ref="C111:D111"/>
    <mergeCell ref="C113:D113"/>
    <mergeCell ref="C115:D115"/>
    <mergeCell ref="C116:D116"/>
    <mergeCell ref="N160:O160"/>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1:D131"/>
    <mergeCell ref="C132:D132"/>
    <mergeCell ref="H160:I160"/>
    <mergeCell ref="C146:D146"/>
    <mergeCell ref="C147:D147"/>
    <mergeCell ref="J160:K160"/>
    <mergeCell ref="L160:M160"/>
    <mergeCell ref="C133:D133"/>
    <mergeCell ref="C152:D152"/>
    <mergeCell ref="C153:D153"/>
    <mergeCell ref="C102:D102"/>
    <mergeCell ref="C103:D103"/>
    <mergeCell ref="C104:D104"/>
    <mergeCell ref="C105:D105"/>
    <mergeCell ref="C106:D106"/>
    <mergeCell ref="C107:D107"/>
    <mergeCell ref="C108:D108"/>
    <mergeCell ref="C109:D109"/>
    <mergeCell ref="C110:D110"/>
    <mergeCell ref="C93:D93"/>
    <mergeCell ref="C94:D94"/>
    <mergeCell ref="C95:D95"/>
    <mergeCell ref="C96:D96"/>
    <mergeCell ref="C97:D97"/>
    <mergeCell ref="C98:D98"/>
    <mergeCell ref="C99:D99"/>
    <mergeCell ref="C100:D100"/>
    <mergeCell ref="C101:D101"/>
    <mergeCell ref="C85:D85"/>
    <mergeCell ref="C86:D86"/>
    <mergeCell ref="C87:D87"/>
    <mergeCell ref="C88:D88"/>
    <mergeCell ref="C89:D89"/>
    <mergeCell ref="C90:D90"/>
    <mergeCell ref="C91:D91"/>
    <mergeCell ref="C92:D92"/>
    <mergeCell ref="C75:D75"/>
    <mergeCell ref="C76:D76"/>
    <mergeCell ref="C77:D77"/>
    <mergeCell ref="C78:D78"/>
    <mergeCell ref="C79:D79"/>
    <mergeCell ref="C80:D80"/>
    <mergeCell ref="C81:D81"/>
    <mergeCell ref="C82:D82"/>
    <mergeCell ref="C83:D83"/>
    <mergeCell ref="C68:D68"/>
    <mergeCell ref="C69:D69"/>
    <mergeCell ref="C70:D70"/>
    <mergeCell ref="C71:D71"/>
    <mergeCell ref="C72:D72"/>
    <mergeCell ref="C73:D73"/>
    <mergeCell ref="C74:D74"/>
    <mergeCell ref="C57:D57"/>
    <mergeCell ref="C58:D58"/>
    <mergeCell ref="C59:D59"/>
    <mergeCell ref="C60:D60"/>
    <mergeCell ref="C61:D61"/>
    <mergeCell ref="C62:D62"/>
    <mergeCell ref="C63:D63"/>
    <mergeCell ref="C64:D64"/>
    <mergeCell ref="C65:D65"/>
    <mergeCell ref="C84:D84"/>
    <mergeCell ref="C51:D51"/>
    <mergeCell ref="C52:D52"/>
    <mergeCell ref="C53:D53"/>
    <mergeCell ref="C54:D54"/>
    <mergeCell ref="C55:D55"/>
    <mergeCell ref="C56:D56"/>
    <mergeCell ref="C39:D39"/>
    <mergeCell ref="C40:D40"/>
    <mergeCell ref="C41:D41"/>
    <mergeCell ref="C42:D42"/>
    <mergeCell ref="C43:D43"/>
    <mergeCell ref="C44:D44"/>
    <mergeCell ref="C45:D45"/>
    <mergeCell ref="C46:D46"/>
    <mergeCell ref="C47:D47"/>
    <mergeCell ref="C66:D66"/>
    <mergeCell ref="C67:D67"/>
    <mergeCell ref="C33:D33"/>
    <mergeCell ref="C34:D34"/>
    <mergeCell ref="C35:D35"/>
    <mergeCell ref="C36:D36"/>
    <mergeCell ref="C37:D37"/>
    <mergeCell ref="C38:D38"/>
    <mergeCell ref="C8:D8"/>
    <mergeCell ref="K4:N4"/>
    <mergeCell ref="O4:R4"/>
    <mergeCell ref="S4:S5"/>
    <mergeCell ref="T4:T5"/>
    <mergeCell ref="Z4:AC4"/>
    <mergeCell ref="AD4:AG4"/>
    <mergeCell ref="AH4:AK4"/>
    <mergeCell ref="C48:D48"/>
    <mergeCell ref="C49:D49"/>
    <mergeCell ref="C50:D50"/>
    <mergeCell ref="C26:D26"/>
    <mergeCell ref="C27:D27"/>
    <mergeCell ref="C28:D28"/>
    <mergeCell ref="C29:D29"/>
    <mergeCell ref="C9:D9"/>
    <mergeCell ref="C10:D10"/>
    <mergeCell ref="C11:D11"/>
    <mergeCell ref="C12:D12"/>
    <mergeCell ref="C13:D13"/>
    <mergeCell ref="C14:D14"/>
    <mergeCell ref="C15:D15"/>
    <mergeCell ref="C16:D16"/>
    <mergeCell ref="C17:D17"/>
    <mergeCell ref="C18:D18"/>
    <mergeCell ref="C19:D19"/>
    <mergeCell ref="AL4:AO4"/>
    <mergeCell ref="C7:D7"/>
    <mergeCell ref="C6:D6"/>
    <mergeCell ref="U4:U5"/>
    <mergeCell ref="V4:Y4"/>
    <mergeCell ref="A4:A5"/>
    <mergeCell ref="B4:B5"/>
    <mergeCell ref="C4:D5"/>
    <mergeCell ref="E4:E5"/>
    <mergeCell ref="F4:F5"/>
    <mergeCell ref="G4:J4"/>
    <mergeCell ref="AP4:AS4"/>
    <mergeCell ref="G3:M3"/>
    <mergeCell ref="O3:Q3"/>
    <mergeCell ref="L169:M169"/>
    <mergeCell ref="N169:O169"/>
    <mergeCell ref="H170:I170"/>
    <mergeCell ref="J170:K170"/>
    <mergeCell ref="L170:M170"/>
    <mergeCell ref="N170:O170"/>
    <mergeCell ref="H167:I167"/>
    <mergeCell ref="J167:K167"/>
    <mergeCell ref="L167:M167"/>
    <mergeCell ref="N167:O167"/>
    <mergeCell ref="H168:I168"/>
    <mergeCell ref="J168:K168"/>
    <mergeCell ref="L168:M168"/>
    <mergeCell ref="N168:O168"/>
    <mergeCell ref="R158:W158"/>
    <mergeCell ref="C30:D30"/>
    <mergeCell ref="C31:D31"/>
    <mergeCell ref="C32:D32"/>
    <mergeCell ref="J176:K176"/>
    <mergeCell ref="L176:M176"/>
    <mergeCell ref="N176:O176"/>
    <mergeCell ref="H179:I179"/>
    <mergeCell ref="H180:I180"/>
    <mergeCell ref="H181:I181"/>
    <mergeCell ref="H182:I182"/>
    <mergeCell ref="H183:I183"/>
    <mergeCell ref="H184:I184"/>
    <mergeCell ref="H177:I177"/>
    <mergeCell ref="J177:K177"/>
    <mergeCell ref="L177:M177"/>
    <mergeCell ref="J183:K183"/>
    <mergeCell ref="J184:K184"/>
    <mergeCell ref="L179:M179"/>
    <mergeCell ref="L180:M180"/>
    <mergeCell ref="L181:M181"/>
    <mergeCell ref="L182:M182"/>
    <mergeCell ref="L183:M183"/>
    <mergeCell ref="L184:M184"/>
    <mergeCell ref="J179:K179"/>
    <mergeCell ref="J180:K180"/>
    <mergeCell ref="J181:K181"/>
    <mergeCell ref="J182:K182"/>
    <mergeCell ref="L185:M185"/>
    <mergeCell ref="L186:M186"/>
    <mergeCell ref="L187:M187"/>
    <mergeCell ref="L188:M188"/>
    <mergeCell ref="L189:M189"/>
    <mergeCell ref="L190:M190"/>
    <mergeCell ref="J185:K185"/>
    <mergeCell ref="J186:K186"/>
    <mergeCell ref="J187:K187"/>
    <mergeCell ref="H185:I185"/>
    <mergeCell ref="H186:I186"/>
    <mergeCell ref="H187:I187"/>
    <mergeCell ref="H188:I188"/>
    <mergeCell ref="H189:I189"/>
    <mergeCell ref="H190:I190"/>
    <mergeCell ref="J194:K194"/>
    <mergeCell ref="J195:K195"/>
    <mergeCell ref="J188:K188"/>
    <mergeCell ref="J189:K189"/>
    <mergeCell ref="L192:M192"/>
    <mergeCell ref="L193:M193"/>
    <mergeCell ref="L194:M194"/>
    <mergeCell ref="L195:M195"/>
    <mergeCell ref="J190:K190"/>
    <mergeCell ref="J191:K191"/>
    <mergeCell ref="J192:K192"/>
    <mergeCell ref="J193:K193"/>
    <mergeCell ref="H191:I191"/>
    <mergeCell ref="H192:I192"/>
    <mergeCell ref="H193:I193"/>
    <mergeCell ref="H194:I194"/>
    <mergeCell ref="H195:I195"/>
    <mergeCell ref="C20:D20"/>
    <mergeCell ref="C21:D21"/>
    <mergeCell ref="C22:D22"/>
    <mergeCell ref="C23:D23"/>
    <mergeCell ref="C24:D24"/>
    <mergeCell ref="C25:D25"/>
    <mergeCell ref="C123:D123"/>
    <mergeCell ref="C124:D124"/>
    <mergeCell ref="C125:D125"/>
    <mergeCell ref="C126:D126"/>
    <mergeCell ref="C127:D127"/>
    <mergeCell ref="C128:D128"/>
    <mergeCell ref="N200:O200"/>
    <mergeCell ref="N201:O201"/>
    <mergeCell ref="N190:O190"/>
    <mergeCell ref="N191:O191"/>
    <mergeCell ref="N192:O192"/>
    <mergeCell ref="N193:O193"/>
    <mergeCell ref="N194:O194"/>
    <mergeCell ref="N179:O179"/>
    <mergeCell ref="N180:O180"/>
    <mergeCell ref="N181:O181"/>
    <mergeCell ref="N182:O182"/>
    <mergeCell ref="N183:O183"/>
    <mergeCell ref="N195:O195"/>
    <mergeCell ref="N184:O184"/>
    <mergeCell ref="N185:O185"/>
    <mergeCell ref="N186:O186"/>
    <mergeCell ref="N187:O187"/>
    <mergeCell ref="N188:O188"/>
    <mergeCell ref="N189:O189"/>
    <mergeCell ref="L191:M191"/>
    <mergeCell ref="H203:I203"/>
    <mergeCell ref="H201:I201"/>
    <mergeCell ref="H202:I202"/>
    <mergeCell ref="J200:K200"/>
    <mergeCell ref="J201:K201"/>
    <mergeCell ref="J202:K202"/>
    <mergeCell ref="L198:M198"/>
    <mergeCell ref="L199:M199"/>
    <mergeCell ref="L200:M200"/>
    <mergeCell ref="L201:M201"/>
    <mergeCell ref="H204:I204"/>
    <mergeCell ref="J204:K204"/>
    <mergeCell ref="L204:M204"/>
    <mergeCell ref="N204:O204"/>
    <mergeCell ref="N202:O202"/>
    <mergeCell ref="N203:O203"/>
    <mergeCell ref="N196:O196"/>
    <mergeCell ref="L202:M202"/>
    <mergeCell ref="J198:K198"/>
    <mergeCell ref="J199:K199"/>
    <mergeCell ref="H199:I199"/>
    <mergeCell ref="H200:I200"/>
    <mergeCell ref="H196:I196"/>
    <mergeCell ref="J196:K196"/>
    <mergeCell ref="H197:I197"/>
    <mergeCell ref="H198:I198"/>
    <mergeCell ref="L196:M196"/>
    <mergeCell ref="J197:K197"/>
    <mergeCell ref="AT4:AW4"/>
    <mergeCell ref="AX4:BA4"/>
    <mergeCell ref="H215:I215"/>
    <mergeCell ref="J215:K215"/>
    <mergeCell ref="L215:M215"/>
    <mergeCell ref="N215:O215"/>
    <mergeCell ref="H213:I213"/>
    <mergeCell ref="J213:K213"/>
    <mergeCell ref="L213:M213"/>
    <mergeCell ref="N213:O213"/>
    <mergeCell ref="H214:I214"/>
    <mergeCell ref="J214:K214"/>
    <mergeCell ref="L214:M214"/>
    <mergeCell ref="N214:O214"/>
    <mergeCell ref="J211:K211"/>
    <mergeCell ref="L211:M211"/>
    <mergeCell ref="N211:O211"/>
    <mergeCell ref="H212:I212"/>
    <mergeCell ref="H205:I205"/>
    <mergeCell ref="J205:K205"/>
    <mergeCell ref="L205:M205"/>
    <mergeCell ref="N205:O205"/>
    <mergeCell ref="H206:I206"/>
    <mergeCell ref="J206:K206"/>
    <mergeCell ref="L206:M206"/>
    <mergeCell ref="N206:O206"/>
    <mergeCell ref="N197:O197"/>
    <mergeCell ref="N198:O198"/>
    <mergeCell ref="N199:O199"/>
    <mergeCell ref="L203:M203"/>
    <mergeCell ref="L197:M197"/>
    <mergeCell ref="J203:K203"/>
    <mergeCell ref="H222:I222"/>
    <mergeCell ref="J222:K222"/>
    <mergeCell ref="L222:M222"/>
    <mergeCell ref="N222:O222"/>
    <mergeCell ref="J212:K212"/>
    <mergeCell ref="L212:M212"/>
    <mergeCell ref="N212:O212"/>
    <mergeCell ref="H211:I211"/>
    <mergeCell ref="H209:I209"/>
    <mergeCell ref="J209:K209"/>
    <mergeCell ref="L209:M209"/>
    <mergeCell ref="N209:O209"/>
    <mergeCell ref="H210:I210"/>
    <mergeCell ref="J210:K210"/>
    <mergeCell ref="L210:M210"/>
    <mergeCell ref="N210:O210"/>
    <mergeCell ref="H207:I207"/>
    <mergeCell ref="J207:K207"/>
    <mergeCell ref="L207:M207"/>
    <mergeCell ref="N207:O207"/>
    <mergeCell ref="H208:I208"/>
    <mergeCell ref="J208:K208"/>
    <mergeCell ref="L208:M208"/>
    <mergeCell ref="N208:O208"/>
    <mergeCell ref="J221:K221"/>
    <mergeCell ref="L221:M221"/>
    <mergeCell ref="H221:I221"/>
    <mergeCell ref="N221:O221"/>
    <mergeCell ref="H220:I220"/>
    <mergeCell ref="J220:K220"/>
    <mergeCell ref="L220:M220"/>
    <mergeCell ref="N220:O22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A214"/>
  <sheetViews>
    <sheetView zoomScale="81" zoomScaleNormal="120" workbookViewId="0">
      <pane xSplit="1" ySplit="5" topLeftCell="B40" activePane="bottomRight" state="frozen"/>
      <selection pane="topRight" activeCell="B1" sqref="B1"/>
      <selection pane="bottomLeft" activeCell="A6" sqref="A6"/>
      <selection pane="bottomRight" activeCell="AY97" sqref="AY97"/>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23" customWidth="1"/>
    <col min="47" max="53" width="5.6640625" style="1" customWidth="1"/>
    <col min="54" max="16384" width="10.6640625" style="1"/>
  </cols>
  <sheetData>
    <row r="1" spans="1:53" ht="15" customHeight="1" x14ac:dyDescent="0.15">
      <c r="B1" s="16" t="s">
        <v>14</v>
      </c>
    </row>
    <row r="2" spans="1:53" ht="15" customHeight="1" x14ac:dyDescent="0.15">
      <c r="B2" s="16" t="s">
        <v>60</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7" t="s">
        <v>23</v>
      </c>
      <c r="AU5" s="186" t="s">
        <v>24</v>
      </c>
      <c r="AV5" s="186" t="s">
        <v>25</v>
      </c>
      <c r="AW5" s="188" t="s">
        <v>1197</v>
      </c>
      <c r="AX5" s="186" t="s">
        <v>23</v>
      </c>
      <c r="AY5" s="186" t="s">
        <v>24</v>
      </c>
      <c r="AZ5" s="186" t="s">
        <v>25</v>
      </c>
      <c r="BA5" s="189" t="s">
        <v>1197</v>
      </c>
    </row>
    <row r="6" spans="1:53" s="140" customFormat="1" x14ac:dyDescent="0.15">
      <c r="A6" s="146">
        <v>1959</v>
      </c>
      <c r="B6" s="296"/>
      <c r="C6" s="416" t="s">
        <v>684</v>
      </c>
      <c r="D6" s="416"/>
      <c r="E6" s="140">
        <v>0</v>
      </c>
      <c r="G6" s="148">
        <v>17</v>
      </c>
      <c r="J6" s="154">
        <v>17</v>
      </c>
      <c r="K6" s="134">
        <f t="shared" ref="K6:M8" si="0">G6/$J6*100</f>
        <v>100</v>
      </c>
      <c r="L6" s="134">
        <f t="shared" si="0"/>
        <v>0</v>
      </c>
      <c r="M6" s="134">
        <f t="shared" si="0"/>
        <v>0</v>
      </c>
      <c r="N6" s="150">
        <f>K6+L6+M6</f>
        <v>100</v>
      </c>
      <c r="O6" s="133">
        <v>61.5</v>
      </c>
      <c r="P6" s="134"/>
      <c r="Q6" s="134"/>
      <c r="R6" s="135">
        <f>O6+P6+Q6</f>
        <v>61.5</v>
      </c>
      <c r="S6" s="140">
        <v>1</v>
      </c>
      <c r="T6" s="308"/>
      <c r="U6" s="296"/>
      <c r="V6" s="139" t="s">
        <v>494</v>
      </c>
      <c r="W6" s="140" t="s">
        <v>74</v>
      </c>
      <c r="X6" s="140" t="s">
        <v>11</v>
      </c>
      <c r="Y6" s="141">
        <v>61.5</v>
      </c>
      <c r="AD6" s="139"/>
      <c r="AG6" s="141"/>
      <c r="AL6" s="139"/>
      <c r="AO6" s="141"/>
      <c r="AP6" s="139"/>
      <c r="AS6" s="141"/>
      <c r="AT6" s="158"/>
      <c r="AW6" s="141"/>
      <c r="BA6" s="142"/>
    </row>
    <row r="7" spans="1:53" s="140" customFormat="1" x14ac:dyDescent="0.15">
      <c r="A7" s="146">
        <v>1959</v>
      </c>
      <c r="B7" s="296"/>
      <c r="C7" s="416" t="s">
        <v>684</v>
      </c>
      <c r="D7" s="416"/>
      <c r="E7" s="140">
        <v>365</v>
      </c>
      <c r="G7" s="148">
        <v>17</v>
      </c>
      <c r="J7" s="154">
        <v>17</v>
      </c>
      <c r="K7" s="134">
        <f t="shared" si="0"/>
        <v>100</v>
      </c>
      <c r="L7" s="134">
        <f t="shared" si="0"/>
        <v>0</v>
      </c>
      <c r="M7" s="134">
        <f t="shared" si="0"/>
        <v>0</v>
      </c>
      <c r="N7" s="150">
        <f>K7+L7+M7</f>
        <v>100</v>
      </c>
      <c r="O7" s="133">
        <v>61.5</v>
      </c>
      <c r="P7" s="134"/>
      <c r="Q7" s="134"/>
      <c r="R7" s="135">
        <f>O7+P7+Q7</f>
        <v>61.5</v>
      </c>
      <c r="S7" s="140">
        <v>1</v>
      </c>
      <c r="T7" s="308"/>
      <c r="U7" s="296"/>
      <c r="V7" s="139" t="s">
        <v>494</v>
      </c>
      <c r="W7" s="140" t="s">
        <v>74</v>
      </c>
      <c r="X7" s="140" t="s">
        <v>11</v>
      </c>
      <c r="Y7" s="141">
        <v>61.5</v>
      </c>
      <c r="AD7" s="139"/>
      <c r="AG7" s="141"/>
      <c r="AL7" s="139"/>
      <c r="AO7" s="141"/>
      <c r="AP7" s="139"/>
      <c r="AS7" s="141"/>
      <c r="AT7" s="158"/>
      <c r="AW7" s="141"/>
      <c r="BA7" s="142"/>
    </row>
    <row r="8" spans="1:53" s="29" customFormat="1" x14ac:dyDescent="0.15">
      <c r="A8" s="52">
        <v>1960</v>
      </c>
      <c r="B8" s="295"/>
      <c r="C8" s="411" t="s">
        <v>684</v>
      </c>
      <c r="D8" s="411"/>
      <c r="E8" s="29">
        <v>200</v>
      </c>
      <c r="G8" s="66">
        <v>17</v>
      </c>
      <c r="J8" s="73">
        <v>17</v>
      </c>
      <c r="K8" s="47">
        <f t="shared" si="0"/>
        <v>100</v>
      </c>
      <c r="L8" s="47">
        <f t="shared" si="0"/>
        <v>0</v>
      </c>
      <c r="M8" s="47">
        <f t="shared" si="0"/>
        <v>0</v>
      </c>
      <c r="N8" s="68">
        <f>K8+L8+M8</f>
        <v>100</v>
      </c>
      <c r="O8" s="46">
        <v>61.5</v>
      </c>
      <c r="P8" s="47"/>
      <c r="Q8" s="47"/>
      <c r="R8" s="48">
        <f>O8+P8+Q8</f>
        <v>61.5</v>
      </c>
      <c r="S8" s="29">
        <v>1</v>
      </c>
      <c r="T8" s="286"/>
      <c r="U8" s="295"/>
      <c r="V8" s="38" t="s">
        <v>494</v>
      </c>
      <c r="W8" s="29" t="s">
        <v>74</v>
      </c>
      <c r="X8" s="29" t="s">
        <v>11</v>
      </c>
      <c r="Y8" s="39">
        <v>61.5</v>
      </c>
      <c r="AD8" s="38"/>
      <c r="AG8" s="39"/>
      <c r="AL8" s="38"/>
      <c r="AO8" s="39"/>
      <c r="AP8" s="38"/>
      <c r="AS8" s="39"/>
      <c r="AT8" s="94"/>
      <c r="AW8" s="39"/>
      <c r="BA8" s="40"/>
    </row>
    <row r="9" spans="1:53" s="171" customFormat="1" x14ac:dyDescent="0.15">
      <c r="A9" s="216">
        <v>1960</v>
      </c>
      <c r="B9" s="283">
        <v>22116</v>
      </c>
      <c r="C9" s="410" t="s">
        <v>686</v>
      </c>
      <c r="D9" s="410"/>
      <c r="E9" s="171">
        <v>142</v>
      </c>
      <c r="F9" s="171">
        <v>2</v>
      </c>
      <c r="G9" s="233">
        <v>13</v>
      </c>
      <c r="J9" s="241">
        <v>13</v>
      </c>
      <c r="K9" s="214">
        <f t="shared" ref="K9:M50" si="1">G9/$J9*100</f>
        <v>100</v>
      </c>
      <c r="L9" s="214">
        <f t="shared" si="1"/>
        <v>0</v>
      </c>
      <c r="M9" s="214">
        <f t="shared" si="1"/>
        <v>0</v>
      </c>
      <c r="N9" s="235">
        <f t="shared" ref="N9:N50" si="2">K9+L9+M9</f>
        <v>100</v>
      </c>
      <c r="O9" s="213">
        <v>61.5</v>
      </c>
      <c r="P9" s="214"/>
      <c r="Q9" s="214"/>
      <c r="R9" s="215">
        <f t="shared" ref="R9:R72" si="3">O9+P9+Q9</f>
        <v>61.5</v>
      </c>
      <c r="S9" s="171">
        <v>1</v>
      </c>
      <c r="T9" s="285"/>
      <c r="U9" s="283">
        <v>22116</v>
      </c>
      <c r="V9" s="178" t="s">
        <v>494</v>
      </c>
      <c r="W9" s="171" t="s">
        <v>74</v>
      </c>
      <c r="X9" s="171" t="s">
        <v>11</v>
      </c>
      <c r="Y9" s="179">
        <v>61.5</v>
      </c>
      <c r="AD9" s="178"/>
      <c r="AG9" s="179"/>
      <c r="AL9" s="178"/>
      <c r="AO9" s="179"/>
      <c r="AP9" s="178"/>
      <c r="AS9" s="179"/>
      <c r="AT9" s="253"/>
      <c r="AW9" s="179"/>
      <c r="BA9" s="180"/>
    </row>
    <row r="10" spans="1:53" s="29" customFormat="1" x14ac:dyDescent="0.15">
      <c r="A10" s="52">
        <v>1960</v>
      </c>
      <c r="B10" s="295">
        <v>22258</v>
      </c>
      <c r="C10" s="411" t="s">
        <v>685</v>
      </c>
      <c r="D10" s="411"/>
      <c r="E10" s="29">
        <f>366-E8-E9</f>
        <v>24</v>
      </c>
      <c r="F10" s="29">
        <v>1</v>
      </c>
      <c r="G10" s="66">
        <v>15</v>
      </c>
      <c r="J10" s="73">
        <v>15</v>
      </c>
      <c r="K10" s="47">
        <f t="shared" si="1"/>
        <v>100</v>
      </c>
      <c r="L10" s="47">
        <f t="shared" si="1"/>
        <v>0</v>
      </c>
      <c r="M10" s="47">
        <f t="shared" si="1"/>
        <v>0</v>
      </c>
      <c r="N10" s="68">
        <f t="shared" si="2"/>
        <v>100</v>
      </c>
      <c r="O10" s="46">
        <v>63.4</v>
      </c>
      <c r="P10" s="47"/>
      <c r="Q10" s="47"/>
      <c r="R10" s="48">
        <f t="shared" si="3"/>
        <v>63.4</v>
      </c>
      <c r="S10" s="29">
        <v>1</v>
      </c>
      <c r="T10" s="286">
        <v>22240</v>
      </c>
      <c r="U10" s="295">
        <v>22258</v>
      </c>
      <c r="V10" s="38" t="s">
        <v>494</v>
      </c>
      <c r="W10" s="29" t="s">
        <v>74</v>
      </c>
      <c r="X10" s="29" t="s">
        <v>11</v>
      </c>
      <c r="Y10" s="39">
        <v>63.4</v>
      </c>
      <c r="AD10" s="38"/>
      <c r="AG10" s="39"/>
      <c r="AL10" s="38"/>
      <c r="AO10" s="39"/>
      <c r="AP10" s="38"/>
      <c r="AS10" s="39"/>
      <c r="AT10" s="94"/>
      <c r="AW10" s="39"/>
      <c r="BA10" s="40"/>
    </row>
    <row r="11" spans="1:53" s="29" customFormat="1" x14ac:dyDescent="0.15">
      <c r="A11" s="52">
        <v>1961</v>
      </c>
      <c r="B11" s="295"/>
      <c r="C11" s="411" t="s">
        <v>685</v>
      </c>
      <c r="D11" s="411"/>
      <c r="E11" s="29">
        <v>0</v>
      </c>
      <c r="G11" s="66">
        <v>15</v>
      </c>
      <c r="J11" s="73">
        <v>15</v>
      </c>
      <c r="K11" s="47">
        <f t="shared" si="1"/>
        <v>100</v>
      </c>
      <c r="L11" s="47">
        <f t="shared" si="1"/>
        <v>0</v>
      </c>
      <c r="M11" s="47">
        <f t="shared" si="1"/>
        <v>0</v>
      </c>
      <c r="N11" s="68">
        <f t="shared" si="2"/>
        <v>100</v>
      </c>
      <c r="O11" s="46">
        <v>63.4</v>
      </c>
      <c r="P11" s="47"/>
      <c r="Q11" s="47"/>
      <c r="R11" s="48">
        <f t="shared" si="3"/>
        <v>63.4</v>
      </c>
      <c r="S11" s="29">
        <v>1</v>
      </c>
      <c r="T11" s="286"/>
      <c r="U11" s="295"/>
      <c r="V11" s="38" t="s">
        <v>494</v>
      </c>
      <c r="W11" s="29" t="s">
        <v>74</v>
      </c>
      <c r="X11" s="29" t="s">
        <v>11</v>
      </c>
      <c r="Y11" s="39">
        <v>63.4</v>
      </c>
      <c r="AD11" s="38"/>
      <c r="AG11" s="39"/>
      <c r="AL11" s="38"/>
      <c r="AO11" s="39"/>
      <c r="AP11" s="38"/>
      <c r="AS11" s="39"/>
      <c r="AT11" s="94"/>
      <c r="AW11" s="39"/>
      <c r="BA11" s="40"/>
    </row>
    <row r="12" spans="1:53" s="29" customFormat="1" x14ac:dyDescent="0.15">
      <c r="A12" s="52">
        <v>1961</v>
      </c>
      <c r="B12" s="295"/>
      <c r="C12" s="411" t="s">
        <v>685</v>
      </c>
      <c r="D12" s="411"/>
      <c r="E12" s="29">
        <v>365</v>
      </c>
      <c r="G12" s="66">
        <v>15</v>
      </c>
      <c r="J12" s="73">
        <v>15</v>
      </c>
      <c r="K12" s="47">
        <f t="shared" si="1"/>
        <v>100</v>
      </c>
      <c r="L12" s="47">
        <f t="shared" si="1"/>
        <v>0</v>
      </c>
      <c r="M12" s="47">
        <f t="shared" si="1"/>
        <v>0</v>
      </c>
      <c r="N12" s="68">
        <f t="shared" si="2"/>
        <v>100</v>
      </c>
      <c r="O12" s="46">
        <v>63.4</v>
      </c>
      <c r="P12" s="47"/>
      <c r="Q12" s="47"/>
      <c r="R12" s="48">
        <f t="shared" si="3"/>
        <v>63.4</v>
      </c>
      <c r="S12" s="29">
        <v>1</v>
      </c>
      <c r="T12" s="286"/>
      <c r="U12" s="295"/>
      <c r="V12" s="38" t="s">
        <v>494</v>
      </c>
      <c r="W12" s="29" t="s">
        <v>74</v>
      </c>
      <c r="X12" s="29" t="s">
        <v>11</v>
      </c>
      <c r="Y12" s="39">
        <v>63.4</v>
      </c>
      <c r="AD12" s="38"/>
      <c r="AG12" s="39"/>
      <c r="AL12" s="38"/>
      <c r="AO12" s="39"/>
      <c r="AP12" s="38"/>
      <c r="AS12" s="39"/>
      <c r="AT12" s="94"/>
      <c r="AW12" s="39"/>
      <c r="BA12" s="40"/>
    </row>
    <row r="13" spans="1:53" s="29" customFormat="1" x14ac:dyDescent="0.15">
      <c r="A13" s="52">
        <v>1962</v>
      </c>
      <c r="B13" s="295"/>
      <c r="C13" s="411" t="s">
        <v>685</v>
      </c>
      <c r="D13" s="411"/>
      <c r="E13" s="29">
        <v>0</v>
      </c>
      <c r="G13" s="66">
        <v>15</v>
      </c>
      <c r="J13" s="73">
        <v>15</v>
      </c>
      <c r="K13" s="47">
        <f t="shared" si="1"/>
        <v>100</v>
      </c>
      <c r="L13" s="47">
        <f t="shared" si="1"/>
        <v>0</v>
      </c>
      <c r="M13" s="47">
        <f t="shared" si="1"/>
        <v>0</v>
      </c>
      <c r="N13" s="68">
        <f t="shared" si="2"/>
        <v>100</v>
      </c>
      <c r="O13" s="46">
        <v>63.4</v>
      </c>
      <c r="P13" s="47"/>
      <c r="Q13" s="47"/>
      <c r="R13" s="48">
        <f t="shared" si="3"/>
        <v>63.4</v>
      </c>
      <c r="S13" s="29">
        <v>1</v>
      </c>
      <c r="T13" s="286"/>
      <c r="U13" s="295"/>
      <c r="V13" s="38" t="s">
        <v>494</v>
      </c>
      <c r="W13" s="29" t="s">
        <v>74</v>
      </c>
      <c r="X13" s="29" t="s">
        <v>11</v>
      </c>
      <c r="Y13" s="39">
        <v>63.4</v>
      </c>
      <c r="AD13" s="38"/>
      <c r="AG13" s="39"/>
      <c r="AL13" s="38"/>
      <c r="AO13" s="39"/>
      <c r="AP13" s="38"/>
      <c r="AS13" s="39"/>
      <c r="AT13" s="94"/>
      <c r="AW13" s="39"/>
      <c r="BA13" s="40"/>
    </row>
    <row r="14" spans="1:53" s="29" customFormat="1" x14ac:dyDescent="0.15">
      <c r="A14" s="52">
        <v>1962</v>
      </c>
      <c r="B14" s="295"/>
      <c r="C14" s="411" t="s">
        <v>685</v>
      </c>
      <c r="D14" s="411"/>
      <c r="E14" s="29">
        <v>365</v>
      </c>
      <c r="G14" s="66">
        <v>15</v>
      </c>
      <c r="J14" s="73">
        <v>15</v>
      </c>
      <c r="K14" s="47">
        <f t="shared" si="1"/>
        <v>100</v>
      </c>
      <c r="L14" s="47">
        <f t="shared" si="1"/>
        <v>0</v>
      </c>
      <c r="M14" s="47">
        <f t="shared" si="1"/>
        <v>0</v>
      </c>
      <c r="N14" s="68">
        <f t="shared" si="2"/>
        <v>100</v>
      </c>
      <c r="O14" s="46">
        <v>63.4</v>
      </c>
      <c r="P14" s="47"/>
      <c r="Q14" s="47"/>
      <c r="R14" s="48">
        <f t="shared" si="3"/>
        <v>63.4</v>
      </c>
      <c r="S14" s="29">
        <v>1</v>
      </c>
      <c r="T14" s="286"/>
      <c r="U14" s="295"/>
      <c r="V14" s="38" t="s">
        <v>494</v>
      </c>
      <c r="W14" s="29" t="s">
        <v>74</v>
      </c>
      <c r="X14" s="29" t="s">
        <v>11</v>
      </c>
      <c r="Y14" s="39">
        <v>63.4</v>
      </c>
      <c r="AD14" s="38"/>
      <c r="AG14" s="39"/>
      <c r="AL14" s="38"/>
      <c r="AO14" s="39"/>
      <c r="AP14" s="38"/>
      <c r="AS14" s="39"/>
      <c r="AT14" s="94"/>
      <c r="AW14" s="39"/>
      <c r="BA14" s="40"/>
    </row>
    <row r="15" spans="1:53" s="29" customFormat="1" x14ac:dyDescent="0.15">
      <c r="A15" s="52">
        <v>1962.6</v>
      </c>
      <c r="B15" s="295"/>
      <c r="C15" s="411" t="s">
        <v>685</v>
      </c>
      <c r="D15" s="411"/>
      <c r="E15" s="29">
        <v>342</v>
      </c>
      <c r="G15" s="66">
        <v>15</v>
      </c>
      <c r="J15" s="73">
        <v>15</v>
      </c>
      <c r="K15" s="47">
        <f t="shared" si="1"/>
        <v>100</v>
      </c>
      <c r="L15" s="47">
        <f t="shared" si="1"/>
        <v>0</v>
      </c>
      <c r="M15" s="47">
        <f t="shared" si="1"/>
        <v>0</v>
      </c>
      <c r="N15" s="68">
        <f t="shared" si="2"/>
        <v>100</v>
      </c>
      <c r="O15" s="46">
        <v>63.4</v>
      </c>
      <c r="P15" s="47"/>
      <c r="Q15" s="47"/>
      <c r="R15" s="48">
        <f t="shared" si="3"/>
        <v>63.4</v>
      </c>
      <c r="S15" s="29">
        <v>1</v>
      </c>
      <c r="T15" s="286"/>
      <c r="U15" s="295"/>
      <c r="V15" s="38" t="s">
        <v>494</v>
      </c>
      <c r="W15" s="29" t="s">
        <v>74</v>
      </c>
      <c r="X15" s="29" t="s">
        <v>11</v>
      </c>
      <c r="Y15" s="39">
        <v>63.4</v>
      </c>
      <c r="AD15" s="38"/>
      <c r="AG15" s="39"/>
      <c r="AL15" s="38"/>
      <c r="AO15" s="39"/>
      <c r="AP15" s="38"/>
      <c r="AS15" s="39"/>
      <c r="AT15" s="94"/>
      <c r="AW15" s="39"/>
      <c r="BA15" s="40"/>
    </row>
    <row r="16" spans="1:53" s="171" customFormat="1" x14ac:dyDescent="0.15">
      <c r="A16" s="216">
        <v>1963.05714285714</v>
      </c>
      <c r="B16" s="283">
        <v>23354</v>
      </c>
      <c r="C16" s="410" t="s">
        <v>687</v>
      </c>
      <c r="D16" s="410"/>
      <c r="E16" s="171">
        <f>365-E15</f>
        <v>23</v>
      </c>
      <c r="F16" s="171">
        <v>1</v>
      </c>
      <c r="G16" s="233">
        <v>15</v>
      </c>
      <c r="J16" s="241">
        <v>15</v>
      </c>
      <c r="K16" s="214">
        <f t="shared" si="1"/>
        <v>100</v>
      </c>
      <c r="L16" s="214">
        <f t="shared" si="1"/>
        <v>0</v>
      </c>
      <c r="M16" s="214">
        <f t="shared" si="1"/>
        <v>0</v>
      </c>
      <c r="N16" s="235">
        <f t="shared" si="2"/>
        <v>100</v>
      </c>
      <c r="O16" s="213">
        <v>60.6</v>
      </c>
      <c r="P16" s="214"/>
      <c r="Q16" s="214"/>
      <c r="R16" s="215">
        <f t="shared" si="3"/>
        <v>60.6</v>
      </c>
      <c r="S16" s="171">
        <v>1</v>
      </c>
      <c r="T16" s="285">
        <v>23336</v>
      </c>
      <c r="U16" s="283">
        <v>23354</v>
      </c>
      <c r="V16" s="178" t="s">
        <v>494</v>
      </c>
      <c r="W16" s="171" t="s">
        <v>74</v>
      </c>
      <c r="X16" s="171" t="s">
        <v>11</v>
      </c>
      <c r="Y16" s="179">
        <v>60.6</v>
      </c>
      <c r="AD16" s="178"/>
      <c r="AG16" s="179"/>
      <c r="AL16" s="178"/>
      <c r="AO16" s="179"/>
      <c r="AP16" s="178"/>
      <c r="AS16" s="179"/>
      <c r="AT16" s="253"/>
      <c r="AW16" s="179"/>
      <c r="BA16" s="180"/>
    </row>
    <row r="17" spans="1:53" s="171" customFormat="1" x14ac:dyDescent="0.15">
      <c r="A17" s="216">
        <v>1963.5142857142901</v>
      </c>
      <c r="B17" s="283"/>
      <c r="C17" s="410" t="s">
        <v>687</v>
      </c>
      <c r="D17" s="410"/>
      <c r="E17" s="171">
        <v>313</v>
      </c>
      <c r="G17" s="233">
        <v>15</v>
      </c>
      <c r="J17" s="241">
        <v>15</v>
      </c>
      <c r="K17" s="214">
        <f t="shared" si="1"/>
        <v>100</v>
      </c>
      <c r="L17" s="214">
        <f t="shared" si="1"/>
        <v>0</v>
      </c>
      <c r="M17" s="214">
        <f t="shared" si="1"/>
        <v>0</v>
      </c>
      <c r="N17" s="235">
        <f t="shared" si="2"/>
        <v>100</v>
      </c>
      <c r="O17" s="213">
        <v>60.6</v>
      </c>
      <c r="P17" s="214"/>
      <c r="Q17" s="214"/>
      <c r="R17" s="215">
        <f t="shared" si="3"/>
        <v>60.6</v>
      </c>
      <c r="S17" s="171">
        <v>1</v>
      </c>
      <c r="T17" s="285"/>
      <c r="U17" s="283"/>
      <c r="V17" s="178" t="s">
        <v>494</v>
      </c>
      <c r="W17" s="171" t="s">
        <v>74</v>
      </c>
      <c r="X17" s="171" t="s">
        <v>11</v>
      </c>
      <c r="Y17" s="179">
        <v>60.6</v>
      </c>
      <c r="AD17" s="178"/>
      <c r="AG17" s="179"/>
      <c r="AL17" s="178"/>
      <c r="AO17" s="179"/>
      <c r="AP17" s="178"/>
      <c r="AS17" s="179"/>
      <c r="AT17" s="253"/>
      <c r="AW17" s="179"/>
      <c r="BA17" s="180"/>
    </row>
    <row r="18" spans="1:53" s="29" customFormat="1" x14ac:dyDescent="0.15">
      <c r="A18" s="52">
        <v>1963.9714285714299</v>
      </c>
      <c r="B18" s="295">
        <v>23690</v>
      </c>
      <c r="C18" s="411" t="s">
        <v>1172</v>
      </c>
      <c r="D18" s="411"/>
      <c r="E18" s="29">
        <f>366-E17</f>
        <v>53</v>
      </c>
      <c r="F18" s="29">
        <v>3</v>
      </c>
      <c r="G18" s="66">
        <v>15</v>
      </c>
      <c r="J18" s="73">
        <v>15</v>
      </c>
      <c r="K18" s="47">
        <f t="shared" si="1"/>
        <v>100</v>
      </c>
      <c r="L18" s="47">
        <f t="shared" si="1"/>
        <v>0</v>
      </c>
      <c r="M18" s="47">
        <f t="shared" si="1"/>
        <v>0</v>
      </c>
      <c r="N18" s="68">
        <f t="shared" si="2"/>
        <v>100</v>
      </c>
      <c r="O18" s="46">
        <v>60.6</v>
      </c>
      <c r="P18" s="47"/>
      <c r="Q18" s="47"/>
      <c r="R18" s="48">
        <f t="shared" si="3"/>
        <v>60.6</v>
      </c>
      <c r="S18" s="29">
        <v>1</v>
      </c>
      <c r="T18" s="286"/>
      <c r="U18" s="295">
        <v>23690</v>
      </c>
      <c r="V18" s="38" t="s">
        <v>494</v>
      </c>
      <c r="W18" s="29" t="s">
        <v>74</v>
      </c>
      <c r="X18" s="29" t="s">
        <v>11</v>
      </c>
      <c r="Y18" s="39">
        <v>60.6</v>
      </c>
      <c r="AD18" s="38"/>
      <c r="AG18" s="39"/>
      <c r="AL18" s="38"/>
      <c r="AO18" s="39"/>
      <c r="AP18" s="38"/>
      <c r="AS18" s="39"/>
      <c r="AT18" s="94"/>
      <c r="AW18" s="39"/>
      <c r="BA18" s="40"/>
    </row>
    <row r="19" spans="1:53" s="29" customFormat="1" x14ac:dyDescent="0.15">
      <c r="A19" s="52">
        <v>1965</v>
      </c>
      <c r="B19" s="295"/>
      <c r="C19" s="411" t="s">
        <v>1172</v>
      </c>
      <c r="D19" s="411"/>
      <c r="E19" s="29">
        <v>0</v>
      </c>
      <c r="G19" s="66">
        <v>15</v>
      </c>
      <c r="J19" s="73">
        <v>15</v>
      </c>
      <c r="K19" s="47">
        <f t="shared" si="1"/>
        <v>100</v>
      </c>
      <c r="L19" s="47">
        <f t="shared" si="1"/>
        <v>0</v>
      </c>
      <c r="M19" s="47">
        <f t="shared" si="1"/>
        <v>0</v>
      </c>
      <c r="N19" s="68">
        <f t="shared" si="2"/>
        <v>100</v>
      </c>
      <c r="O19" s="46">
        <v>60.6</v>
      </c>
      <c r="P19" s="47"/>
      <c r="Q19" s="47"/>
      <c r="R19" s="48">
        <f t="shared" si="3"/>
        <v>60.6</v>
      </c>
      <c r="S19" s="29">
        <v>1</v>
      </c>
      <c r="T19" s="286"/>
      <c r="U19" s="295"/>
      <c r="V19" s="38" t="s">
        <v>494</v>
      </c>
      <c r="W19" s="29" t="s">
        <v>74</v>
      </c>
      <c r="X19" s="29" t="s">
        <v>11</v>
      </c>
      <c r="Y19" s="39">
        <v>60.6</v>
      </c>
      <c r="AD19" s="38"/>
      <c r="AG19" s="39"/>
      <c r="AL19" s="38"/>
      <c r="AO19" s="39"/>
      <c r="AP19" s="38"/>
      <c r="AS19" s="39"/>
      <c r="AT19" s="94"/>
      <c r="AW19" s="39"/>
      <c r="BA19" s="40"/>
    </row>
    <row r="20" spans="1:53" s="29" customFormat="1" x14ac:dyDescent="0.15">
      <c r="A20" s="52">
        <v>1964.88571428572</v>
      </c>
      <c r="B20" s="295"/>
      <c r="C20" s="411" t="s">
        <v>1172</v>
      </c>
      <c r="D20" s="411"/>
      <c r="E20" s="29">
        <v>365</v>
      </c>
      <c r="G20" s="66">
        <v>15</v>
      </c>
      <c r="J20" s="73">
        <v>15</v>
      </c>
      <c r="K20" s="47">
        <f t="shared" si="1"/>
        <v>100</v>
      </c>
      <c r="L20" s="47">
        <f t="shared" si="1"/>
        <v>0</v>
      </c>
      <c r="M20" s="47">
        <f t="shared" si="1"/>
        <v>0</v>
      </c>
      <c r="N20" s="68">
        <f t="shared" si="2"/>
        <v>100</v>
      </c>
      <c r="O20" s="46">
        <v>60.6</v>
      </c>
      <c r="P20" s="47"/>
      <c r="Q20" s="47"/>
      <c r="R20" s="48">
        <f t="shared" si="3"/>
        <v>60.6</v>
      </c>
      <c r="S20" s="29">
        <v>1</v>
      </c>
      <c r="T20" s="286"/>
      <c r="U20" s="295"/>
      <c r="V20" s="38" t="s">
        <v>494</v>
      </c>
      <c r="W20" s="29" t="s">
        <v>74</v>
      </c>
      <c r="X20" s="29" t="s">
        <v>11</v>
      </c>
      <c r="Y20" s="39">
        <v>60.6</v>
      </c>
      <c r="AD20" s="38"/>
      <c r="AG20" s="39"/>
      <c r="AL20" s="38"/>
      <c r="AO20" s="39"/>
      <c r="AP20" s="38"/>
      <c r="AS20" s="39"/>
      <c r="AT20" s="94"/>
      <c r="AW20" s="39"/>
      <c r="BA20" s="40"/>
    </row>
    <row r="21" spans="1:53" s="29" customFormat="1" x14ac:dyDescent="0.15">
      <c r="A21" s="52">
        <v>1966</v>
      </c>
      <c r="B21" s="295"/>
      <c r="C21" s="411" t="s">
        <v>1172</v>
      </c>
      <c r="D21" s="411"/>
      <c r="E21" s="29">
        <v>0</v>
      </c>
      <c r="G21" s="66">
        <v>15</v>
      </c>
      <c r="J21" s="73">
        <v>15</v>
      </c>
      <c r="K21" s="47">
        <f t="shared" si="1"/>
        <v>100</v>
      </c>
      <c r="L21" s="47">
        <f t="shared" si="1"/>
        <v>0</v>
      </c>
      <c r="M21" s="47">
        <f t="shared" si="1"/>
        <v>0</v>
      </c>
      <c r="N21" s="68">
        <f t="shared" si="2"/>
        <v>100</v>
      </c>
      <c r="O21" s="46">
        <v>60.6</v>
      </c>
      <c r="P21" s="47"/>
      <c r="Q21" s="47"/>
      <c r="R21" s="48">
        <f t="shared" si="3"/>
        <v>60.6</v>
      </c>
      <c r="S21" s="29">
        <v>1</v>
      </c>
      <c r="T21" s="286"/>
      <c r="U21" s="295"/>
      <c r="V21" s="38" t="s">
        <v>494</v>
      </c>
      <c r="W21" s="29" t="s">
        <v>74</v>
      </c>
      <c r="X21" s="29" t="s">
        <v>11</v>
      </c>
      <c r="Y21" s="39">
        <v>60.6</v>
      </c>
      <c r="AD21" s="38"/>
      <c r="AG21" s="39"/>
      <c r="AL21" s="38"/>
      <c r="AO21" s="39"/>
      <c r="AP21" s="38"/>
      <c r="AS21" s="39"/>
      <c r="AT21" s="94"/>
      <c r="AW21" s="39"/>
      <c r="BA21" s="40"/>
    </row>
    <row r="22" spans="1:53" s="29" customFormat="1" x14ac:dyDescent="0.15">
      <c r="A22" s="52">
        <v>1965.8</v>
      </c>
      <c r="B22" s="295"/>
      <c r="C22" s="411" t="s">
        <v>1172</v>
      </c>
      <c r="D22" s="411"/>
      <c r="E22" s="29">
        <v>365</v>
      </c>
      <c r="G22" s="66">
        <v>15</v>
      </c>
      <c r="J22" s="73">
        <v>15</v>
      </c>
      <c r="K22" s="47">
        <f t="shared" si="1"/>
        <v>100</v>
      </c>
      <c r="L22" s="47">
        <f t="shared" si="1"/>
        <v>0</v>
      </c>
      <c r="M22" s="47">
        <f t="shared" si="1"/>
        <v>0</v>
      </c>
      <c r="N22" s="68">
        <f t="shared" si="2"/>
        <v>100</v>
      </c>
      <c r="O22" s="46">
        <v>60.6</v>
      </c>
      <c r="P22" s="47"/>
      <c r="Q22" s="47"/>
      <c r="R22" s="48">
        <f t="shared" si="3"/>
        <v>60.6</v>
      </c>
      <c r="S22" s="29">
        <v>1</v>
      </c>
      <c r="T22" s="286"/>
      <c r="U22" s="295"/>
      <c r="V22" s="38" t="s">
        <v>494</v>
      </c>
      <c r="W22" s="29" t="s">
        <v>74</v>
      </c>
      <c r="X22" s="29" t="s">
        <v>11</v>
      </c>
      <c r="Y22" s="39">
        <v>60.6</v>
      </c>
      <c r="AD22" s="38"/>
      <c r="AG22" s="39"/>
      <c r="AL22" s="38"/>
      <c r="AO22" s="39"/>
      <c r="AP22" s="38"/>
      <c r="AS22" s="39"/>
      <c r="AT22" s="94"/>
      <c r="AW22" s="39"/>
      <c r="BA22" s="40"/>
    </row>
    <row r="23" spans="1:53" s="29" customFormat="1" x14ac:dyDescent="0.15">
      <c r="A23" s="52">
        <v>1967</v>
      </c>
      <c r="B23" s="295"/>
      <c r="C23" s="411" t="s">
        <v>1172</v>
      </c>
      <c r="D23" s="411"/>
      <c r="E23" s="29">
        <v>47</v>
      </c>
      <c r="G23" s="66">
        <v>15</v>
      </c>
      <c r="J23" s="73">
        <v>15</v>
      </c>
      <c r="K23" s="47">
        <f t="shared" si="1"/>
        <v>100</v>
      </c>
      <c r="L23" s="47">
        <f t="shared" si="1"/>
        <v>0</v>
      </c>
      <c r="M23" s="47">
        <f t="shared" si="1"/>
        <v>0</v>
      </c>
      <c r="N23" s="68">
        <f t="shared" si="2"/>
        <v>100</v>
      </c>
      <c r="O23" s="46">
        <v>60.6</v>
      </c>
      <c r="P23" s="47"/>
      <c r="Q23" s="47"/>
      <c r="R23" s="48">
        <f t="shared" si="3"/>
        <v>60.6</v>
      </c>
      <c r="S23" s="29">
        <v>1</v>
      </c>
      <c r="T23" s="286"/>
      <c r="U23" s="295"/>
      <c r="V23" s="38" t="s">
        <v>494</v>
      </c>
      <c r="W23" s="29" t="s">
        <v>74</v>
      </c>
      <c r="X23" s="29" t="s">
        <v>11</v>
      </c>
      <c r="Y23" s="39">
        <v>60.6</v>
      </c>
      <c r="AD23" s="38"/>
      <c r="AG23" s="39"/>
      <c r="AL23" s="38"/>
      <c r="AO23" s="39"/>
      <c r="AP23" s="38"/>
      <c r="AS23" s="39"/>
      <c r="AT23" s="94"/>
      <c r="AW23" s="39"/>
      <c r="BA23" s="40"/>
    </row>
    <row r="24" spans="1:53" s="171" customFormat="1" x14ac:dyDescent="0.15">
      <c r="A24" s="216">
        <v>1966.7142857142901</v>
      </c>
      <c r="B24" s="283">
        <v>24520</v>
      </c>
      <c r="C24" s="410" t="s">
        <v>1173</v>
      </c>
      <c r="D24" s="410"/>
      <c r="E24" s="171">
        <f>365-E23</f>
        <v>318</v>
      </c>
      <c r="F24" s="171">
        <v>1</v>
      </c>
      <c r="G24" s="233">
        <v>15</v>
      </c>
      <c r="J24" s="241">
        <v>15</v>
      </c>
      <c r="K24" s="214">
        <f t="shared" si="1"/>
        <v>100</v>
      </c>
      <c r="L24" s="214">
        <f t="shared" si="1"/>
        <v>0</v>
      </c>
      <c r="M24" s="214">
        <f t="shared" si="1"/>
        <v>0</v>
      </c>
      <c r="N24" s="235">
        <f t="shared" si="2"/>
        <v>100</v>
      </c>
      <c r="O24" s="213">
        <v>57</v>
      </c>
      <c r="P24" s="214"/>
      <c r="Q24" s="214"/>
      <c r="R24" s="215">
        <f t="shared" si="3"/>
        <v>57</v>
      </c>
      <c r="S24" s="171">
        <v>1</v>
      </c>
      <c r="T24" s="285">
        <v>24501</v>
      </c>
      <c r="U24" s="283">
        <v>24520</v>
      </c>
      <c r="V24" s="178" t="s">
        <v>494</v>
      </c>
      <c r="W24" s="171" t="s">
        <v>74</v>
      </c>
      <c r="X24" s="171" t="s">
        <v>11</v>
      </c>
      <c r="Y24" s="179">
        <v>57</v>
      </c>
      <c r="AD24" s="178"/>
      <c r="AG24" s="179"/>
      <c r="AL24" s="178"/>
      <c r="AO24" s="179"/>
      <c r="AP24" s="178"/>
      <c r="AS24" s="179"/>
      <c r="AT24" s="253"/>
      <c r="AW24" s="179"/>
      <c r="BA24" s="180"/>
    </row>
    <row r="25" spans="1:53" s="171" customFormat="1" x14ac:dyDescent="0.15">
      <c r="A25" s="216">
        <v>1968</v>
      </c>
      <c r="B25" s="283"/>
      <c r="C25" s="410" t="s">
        <v>1173</v>
      </c>
      <c r="D25" s="410"/>
      <c r="E25" s="171">
        <v>0</v>
      </c>
      <c r="G25" s="233">
        <v>15</v>
      </c>
      <c r="J25" s="241">
        <v>15</v>
      </c>
      <c r="K25" s="214">
        <f t="shared" si="1"/>
        <v>100</v>
      </c>
      <c r="L25" s="214">
        <f t="shared" si="1"/>
        <v>0</v>
      </c>
      <c r="M25" s="214">
        <f t="shared" si="1"/>
        <v>0</v>
      </c>
      <c r="N25" s="235">
        <f t="shared" si="2"/>
        <v>100</v>
      </c>
      <c r="O25" s="213">
        <v>57</v>
      </c>
      <c r="P25" s="214"/>
      <c r="Q25" s="214"/>
      <c r="R25" s="215">
        <f t="shared" si="3"/>
        <v>57</v>
      </c>
      <c r="S25" s="171">
        <v>1</v>
      </c>
      <c r="T25" s="285"/>
      <c r="U25" s="283"/>
      <c r="V25" s="178" t="s">
        <v>494</v>
      </c>
      <c r="W25" s="171" t="s">
        <v>74</v>
      </c>
      <c r="X25" s="171" t="s">
        <v>11</v>
      </c>
      <c r="Y25" s="179">
        <v>57</v>
      </c>
      <c r="AD25" s="178"/>
      <c r="AG25" s="179"/>
      <c r="AL25" s="178"/>
      <c r="AO25" s="179"/>
      <c r="AP25" s="178"/>
      <c r="AS25" s="179"/>
      <c r="AT25" s="253"/>
      <c r="AW25" s="179"/>
      <c r="BA25" s="180"/>
    </row>
    <row r="26" spans="1:53" s="171" customFormat="1" x14ac:dyDescent="0.15">
      <c r="A26" s="216">
        <v>1967.62857142857</v>
      </c>
      <c r="B26" s="283"/>
      <c r="C26" s="410" t="s">
        <v>1173</v>
      </c>
      <c r="D26" s="410"/>
      <c r="E26" s="171">
        <v>366</v>
      </c>
      <c r="G26" s="233">
        <v>15</v>
      </c>
      <c r="J26" s="241">
        <v>15</v>
      </c>
      <c r="K26" s="214">
        <f t="shared" si="1"/>
        <v>100</v>
      </c>
      <c r="L26" s="214">
        <f t="shared" si="1"/>
        <v>0</v>
      </c>
      <c r="M26" s="214">
        <f t="shared" si="1"/>
        <v>0</v>
      </c>
      <c r="N26" s="235">
        <f t="shared" si="2"/>
        <v>100</v>
      </c>
      <c r="O26" s="213">
        <v>57</v>
      </c>
      <c r="P26" s="214"/>
      <c r="Q26" s="214"/>
      <c r="R26" s="215">
        <f t="shared" si="3"/>
        <v>57</v>
      </c>
      <c r="S26" s="171">
        <v>1</v>
      </c>
      <c r="T26" s="285"/>
      <c r="U26" s="283"/>
      <c r="V26" s="178" t="s">
        <v>494</v>
      </c>
      <c r="W26" s="171" t="s">
        <v>74</v>
      </c>
      <c r="X26" s="171" t="s">
        <v>11</v>
      </c>
      <c r="Y26" s="179">
        <v>57</v>
      </c>
      <c r="AD26" s="178"/>
      <c r="AG26" s="179"/>
      <c r="AL26" s="178"/>
      <c r="AO26" s="179"/>
      <c r="AP26" s="178"/>
      <c r="AS26" s="179"/>
      <c r="AT26" s="253"/>
      <c r="AW26" s="179"/>
      <c r="BA26" s="180"/>
    </row>
    <row r="27" spans="1:53" s="171" customFormat="1" x14ac:dyDescent="0.15">
      <c r="A27" s="216">
        <v>1969</v>
      </c>
      <c r="B27" s="283"/>
      <c r="C27" s="410" t="s">
        <v>1173</v>
      </c>
      <c r="D27" s="410"/>
      <c r="E27" s="171">
        <v>0</v>
      </c>
      <c r="G27" s="233">
        <v>15</v>
      </c>
      <c r="J27" s="241">
        <v>15</v>
      </c>
      <c r="K27" s="214">
        <f t="shared" si="1"/>
        <v>100</v>
      </c>
      <c r="L27" s="214">
        <f t="shared" si="1"/>
        <v>0</v>
      </c>
      <c r="M27" s="214">
        <f t="shared" si="1"/>
        <v>0</v>
      </c>
      <c r="N27" s="235">
        <f t="shared" si="2"/>
        <v>100</v>
      </c>
      <c r="O27" s="213">
        <v>57</v>
      </c>
      <c r="P27" s="214"/>
      <c r="Q27" s="214"/>
      <c r="R27" s="215">
        <f t="shared" si="3"/>
        <v>57</v>
      </c>
      <c r="S27" s="171">
        <v>1</v>
      </c>
      <c r="T27" s="285"/>
      <c r="U27" s="283"/>
      <c r="V27" s="178" t="s">
        <v>494</v>
      </c>
      <c r="W27" s="171" t="s">
        <v>74</v>
      </c>
      <c r="X27" s="171" t="s">
        <v>11</v>
      </c>
      <c r="Y27" s="179">
        <v>57</v>
      </c>
      <c r="AD27" s="178"/>
      <c r="AG27" s="179"/>
      <c r="AL27" s="178"/>
      <c r="AO27" s="179"/>
      <c r="AP27" s="178"/>
      <c r="AS27" s="179"/>
      <c r="AT27" s="253"/>
      <c r="AW27" s="179"/>
      <c r="BA27" s="180"/>
    </row>
    <row r="28" spans="1:53" s="171" customFormat="1" x14ac:dyDescent="0.15">
      <c r="A28" s="216">
        <v>1968.5428571428599</v>
      </c>
      <c r="B28" s="283"/>
      <c r="C28" s="410" t="s">
        <v>1173</v>
      </c>
      <c r="D28" s="410"/>
      <c r="E28" s="171">
        <v>365</v>
      </c>
      <c r="G28" s="233">
        <v>15</v>
      </c>
      <c r="J28" s="241">
        <v>15</v>
      </c>
      <c r="K28" s="214">
        <f t="shared" si="1"/>
        <v>100</v>
      </c>
      <c r="L28" s="214">
        <f t="shared" si="1"/>
        <v>0</v>
      </c>
      <c r="M28" s="214">
        <f t="shared" si="1"/>
        <v>0</v>
      </c>
      <c r="N28" s="235">
        <f t="shared" si="2"/>
        <v>100</v>
      </c>
      <c r="O28" s="213">
        <v>57</v>
      </c>
      <c r="P28" s="214"/>
      <c r="Q28" s="214"/>
      <c r="R28" s="215">
        <f t="shared" si="3"/>
        <v>57</v>
      </c>
      <c r="S28" s="171">
        <v>1</v>
      </c>
      <c r="T28" s="285">
        <v>25564</v>
      </c>
      <c r="U28" s="283"/>
      <c r="V28" s="178" t="s">
        <v>494</v>
      </c>
      <c r="W28" s="171" t="s">
        <v>74</v>
      </c>
      <c r="X28" s="171" t="s">
        <v>11</v>
      </c>
      <c r="Y28" s="179">
        <v>57</v>
      </c>
      <c r="AD28" s="178"/>
      <c r="AG28" s="179"/>
      <c r="AL28" s="178"/>
      <c r="AO28" s="179"/>
      <c r="AP28" s="178"/>
      <c r="AS28" s="179"/>
      <c r="AT28" s="253"/>
      <c r="AW28" s="179"/>
      <c r="BA28" s="180"/>
    </row>
    <row r="29" spans="1:53" s="171" customFormat="1" x14ac:dyDescent="0.15">
      <c r="A29" s="216">
        <v>1970</v>
      </c>
      <c r="B29" s="283"/>
      <c r="C29" s="410" t="s">
        <v>1173</v>
      </c>
      <c r="D29" s="410"/>
      <c r="E29" s="171">
        <v>13</v>
      </c>
      <c r="G29" s="233">
        <v>15</v>
      </c>
      <c r="J29" s="241">
        <v>15</v>
      </c>
      <c r="K29" s="214">
        <f t="shared" si="1"/>
        <v>100</v>
      </c>
      <c r="L29" s="214">
        <f t="shared" si="1"/>
        <v>0</v>
      </c>
      <c r="M29" s="214">
        <f t="shared" si="1"/>
        <v>0</v>
      </c>
      <c r="N29" s="235">
        <f t="shared" si="2"/>
        <v>100</v>
      </c>
      <c r="O29" s="213">
        <v>57</v>
      </c>
      <c r="P29" s="214"/>
      <c r="Q29" s="214"/>
      <c r="R29" s="215">
        <f t="shared" si="3"/>
        <v>57</v>
      </c>
      <c r="S29" s="171">
        <v>1</v>
      </c>
      <c r="T29" s="285"/>
      <c r="U29" s="283"/>
      <c r="V29" s="178" t="s">
        <v>494</v>
      </c>
      <c r="W29" s="171" t="s">
        <v>74</v>
      </c>
      <c r="X29" s="171" t="s">
        <v>11</v>
      </c>
      <c r="Y29" s="179">
        <v>57</v>
      </c>
      <c r="AD29" s="178"/>
      <c r="AG29" s="179"/>
      <c r="AL29" s="178"/>
      <c r="AO29" s="179"/>
      <c r="AP29" s="178"/>
      <c r="AS29" s="179"/>
      <c r="AT29" s="253"/>
      <c r="AW29" s="179"/>
      <c r="BA29" s="180"/>
    </row>
    <row r="30" spans="1:53" s="29" customFormat="1" x14ac:dyDescent="0.15">
      <c r="A30" s="52">
        <v>1970</v>
      </c>
      <c r="B30" s="295">
        <v>25582</v>
      </c>
      <c r="C30" s="411" t="s">
        <v>1174</v>
      </c>
      <c r="D30" s="411"/>
      <c r="E30" s="29">
        <f>365-E29</f>
        <v>352</v>
      </c>
      <c r="F30" s="29">
        <v>1</v>
      </c>
      <c r="G30" s="66">
        <v>15</v>
      </c>
      <c r="J30" s="73">
        <v>15</v>
      </c>
      <c r="K30" s="47">
        <f t="shared" si="1"/>
        <v>100</v>
      </c>
      <c r="L30" s="47">
        <f t="shared" si="1"/>
        <v>0</v>
      </c>
      <c r="M30" s="47">
        <f t="shared" si="1"/>
        <v>0</v>
      </c>
      <c r="N30" s="68">
        <f t="shared" si="2"/>
        <v>100</v>
      </c>
      <c r="O30" s="46">
        <v>59.3</v>
      </c>
      <c r="P30" s="47"/>
      <c r="Q30" s="47"/>
      <c r="R30" s="48">
        <f t="shared" si="3"/>
        <v>59.3</v>
      </c>
      <c r="S30" s="29">
        <v>1</v>
      </c>
      <c r="T30" s="286"/>
      <c r="U30" s="295">
        <v>25582</v>
      </c>
      <c r="V30" s="38" t="s">
        <v>494</v>
      </c>
      <c r="W30" s="29" t="s">
        <v>74</v>
      </c>
      <c r="X30" s="29" t="s">
        <v>11</v>
      </c>
      <c r="Y30" s="39">
        <v>59.3</v>
      </c>
      <c r="AD30" s="38"/>
      <c r="AG30" s="39"/>
      <c r="AL30" s="38"/>
      <c r="AO30" s="39"/>
      <c r="AP30" s="38"/>
      <c r="AS30" s="39"/>
      <c r="AT30" s="94"/>
      <c r="AW30" s="39"/>
      <c r="BA30" s="40"/>
    </row>
    <row r="31" spans="1:53" s="29" customFormat="1" x14ac:dyDescent="0.15">
      <c r="A31" s="52">
        <v>1971</v>
      </c>
      <c r="B31" s="295"/>
      <c r="C31" s="411" t="s">
        <v>1174</v>
      </c>
      <c r="D31" s="411"/>
      <c r="E31" s="29">
        <v>0</v>
      </c>
      <c r="G31" s="66">
        <v>15</v>
      </c>
      <c r="J31" s="73">
        <v>15</v>
      </c>
      <c r="K31" s="47">
        <f t="shared" si="1"/>
        <v>100</v>
      </c>
      <c r="L31" s="47">
        <f t="shared" si="1"/>
        <v>0</v>
      </c>
      <c r="M31" s="47">
        <f t="shared" si="1"/>
        <v>0</v>
      </c>
      <c r="N31" s="68">
        <f t="shared" si="2"/>
        <v>100</v>
      </c>
      <c r="O31" s="46">
        <v>59.3</v>
      </c>
      <c r="P31" s="47"/>
      <c r="Q31" s="47"/>
      <c r="R31" s="48">
        <f t="shared" si="3"/>
        <v>59.3</v>
      </c>
      <c r="S31" s="29">
        <v>1</v>
      </c>
      <c r="T31" s="286"/>
      <c r="U31" s="295"/>
      <c r="V31" s="38" t="s">
        <v>494</v>
      </c>
      <c r="W31" s="29" t="s">
        <v>74</v>
      </c>
      <c r="X31" s="29" t="s">
        <v>11</v>
      </c>
      <c r="Y31" s="39">
        <v>59.3</v>
      </c>
      <c r="AD31" s="38"/>
      <c r="AG31" s="39"/>
      <c r="AL31" s="38"/>
      <c r="AO31" s="39"/>
      <c r="AP31" s="38"/>
      <c r="AS31" s="39"/>
      <c r="AT31" s="94"/>
      <c r="AW31" s="39"/>
      <c r="BA31" s="40"/>
    </row>
    <row r="32" spans="1:53" s="29" customFormat="1" x14ac:dyDescent="0.15">
      <c r="A32" s="52">
        <v>1971</v>
      </c>
      <c r="B32" s="295"/>
      <c r="C32" s="411" t="s">
        <v>1174</v>
      </c>
      <c r="D32" s="411"/>
      <c r="E32" s="29">
        <v>365</v>
      </c>
      <c r="G32" s="66">
        <v>15</v>
      </c>
      <c r="J32" s="73">
        <v>15</v>
      </c>
      <c r="K32" s="47">
        <f t="shared" si="1"/>
        <v>100</v>
      </c>
      <c r="L32" s="47">
        <f t="shared" si="1"/>
        <v>0</v>
      </c>
      <c r="M32" s="47">
        <f t="shared" si="1"/>
        <v>0</v>
      </c>
      <c r="N32" s="68">
        <f t="shared" si="2"/>
        <v>100</v>
      </c>
      <c r="O32" s="46">
        <v>59.3</v>
      </c>
      <c r="P32" s="47"/>
      <c r="Q32" s="47"/>
      <c r="R32" s="48">
        <f t="shared" si="3"/>
        <v>59.3</v>
      </c>
      <c r="S32" s="29">
        <v>1</v>
      </c>
      <c r="T32" s="286"/>
      <c r="U32" s="295"/>
      <c r="V32" s="38" t="s">
        <v>494</v>
      </c>
      <c r="W32" s="29" t="s">
        <v>74</v>
      </c>
      <c r="X32" s="29" t="s">
        <v>11</v>
      </c>
      <c r="Y32" s="39">
        <v>59.3</v>
      </c>
      <c r="AD32" s="38"/>
      <c r="AG32" s="39"/>
      <c r="AL32" s="38"/>
      <c r="AO32" s="39"/>
      <c r="AP32" s="38"/>
      <c r="AS32" s="39"/>
      <c r="AT32" s="94"/>
      <c r="AW32" s="39"/>
      <c r="BA32" s="40"/>
    </row>
    <row r="33" spans="1:53" s="29" customFormat="1" x14ac:dyDescent="0.15">
      <c r="A33" s="52">
        <v>1972</v>
      </c>
      <c r="B33" s="295"/>
      <c r="C33" s="411" t="s">
        <v>1174</v>
      </c>
      <c r="D33" s="411"/>
      <c r="E33" s="29">
        <v>188</v>
      </c>
      <c r="G33" s="66">
        <v>15</v>
      </c>
      <c r="J33" s="73">
        <v>15</v>
      </c>
      <c r="K33" s="47">
        <f t="shared" si="1"/>
        <v>100</v>
      </c>
      <c r="L33" s="47">
        <f t="shared" si="1"/>
        <v>0</v>
      </c>
      <c r="M33" s="47">
        <f t="shared" si="1"/>
        <v>0</v>
      </c>
      <c r="N33" s="68">
        <f t="shared" si="2"/>
        <v>100</v>
      </c>
      <c r="O33" s="46">
        <v>59.3</v>
      </c>
      <c r="P33" s="47"/>
      <c r="Q33" s="47"/>
      <c r="R33" s="48">
        <f t="shared" si="3"/>
        <v>59.3</v>
      </c>
      <c r="S33" s="29">
        <v>1</v>
      </c>
      <c r="T33" s="286"/>
      <c r="U33" s="295"/>
      <c r="V33" s="38" t="s">
        <v>494</v>
      </c>
      <c r="W33" s="29" t="s">
        <v>74</v>
      </c>
      <c r="X33" s="29" t="s">
        <v>11</v>
      </c>
      <c r="Y33" s="39">
        <v>59.3</v>
      </c>
      <c r="AD33" s="38"/>
      <c r="AG33" s="39"/>
      <c r="AL33" s="38"/>
      <c r="AO33" s="39"/>
      <c r="AP33" s="38"/>
      <c r="AS33" s="39"/>
      <c r="AT33" s="94"/>
      <c r="AW33" s="39"/>
      <c r="BA33" s="40"/>
    </row>
    <row r="34" spans="1:53" s="171" customFormat="1" x14ac:dyDescent="0.15">
      <c r="A34" s="216">
        <v>1972</v>
      </c>
      <c r="B34" s="283">
        <v>26487</v>
      </c>
      <c r="C34" s="410" t="s">
        <v>688</v>
      </c>
      <c r="D34" s="410"/>
      <c r="E34" s="171">
        <v>168</v>
      </c>
      <c r="F34" s="171">
        <v>2</v>
      </c>
      <c r="G34" s="233">
        <v>15</v>
      </c>
      <c r="J34" s="241">
        <v>15</v>
      </c>
      <c r="K34" s="214">
        <f t="shared" si="1"/>
        <v>100</v>
      </c>
      <c r="L34" s="214">
        <f t="shared" si="1"/>
        <v>0</v>
      </c>
      <c r="M34" s="214">
        <f t="shared" si="1"/>
        <v>0</v>
      </c>
      <c r="N34" s="235">
        <f t="shared" si="2"/>
        <v>100</v>
      </c>
      <c r="O34" s="213">
        <v>59.3</v>
      </c>
      <c r="P34" s="214"/>
      <c r="Q34" s="214"/>
      <c r="R34" s="215">
        <f t="shared" si="3"/>
        <v>59.3</v>
      </c>
      <c r="S34" s="171">
        <v>1</v>
      </c>
      <c r="T34" s="285"/>
      <c r="U34" s="283">
        <v>26487</v>
      </c>
      <c r="V34" s="178" t="s">
        <v>494</v>
      </c>
      <c r="W34" s="171" t="s">
        <v>74</v>
      </c>
      <c r="X34" s="171" t="s">
        <v>11</v>
      </c>
      <c r="Y34" s="179">
        <v>59.3</v>
      </c>
      <c r="AD34" s="178"/>
      <c r="AG34" s="179"/>
      <c r="AL34" s="178"/>
      <c r="AO34" s="179"/>
      <c r="AP34" s="178"/>
      <c r="AS34" s="179"/>
      <c r="AT34" s="253"/>
      <c r="AW34" s="179"/>
      <c r="BA34" s="180"/>
    </row>
    <row r="35" spans="1:53" s="29" customFormat="1" x14ac:dyDescent="0.15">
      <c r="A35" s="52">
        <v>1972</v>
      </c>
      <c r="B35" s="295">
        <v>26655</v>
      </c>
      <c r="C35" s="411" t="s">
        <v>689</v>
      </c>
      <c r="D35" s="411"/>
      <c r="E35" s="29">
        <f>366-E33-E34</f>
        <v>10</v>
      </c>
      <c r="F35" s="29">
        <v>1</v>
      </c>
      <c r="G35" s="66">
        <v>15</v>
      </c>
      <c r="J35" s="73">
        <v>15</v>
      </c>
      <c r="K35" s="47">
        <f t="shared" si="1"/>
        <v>100</v>
      </c>
      <c r="L35" s="47">
        <f t="shared" si="1"/>
        <v>0</v>
      </c>
      <c r="M35" s="47">
        <f t="shared" si="1"/>
        <v>0</v>
      </c>
      <c r="N35" s="68">
        <f t="shared" si="2"/>
        <v>100</v>
      </c>
      <c r="O35" s="46">
        <v>55.2</v>
      </c>
      <c r="P35" s="47"/>
      <c r="Q35" s="47"/>
      <c r="R35" s="48">
        <f t="shared" si="3"/>
        <v>55.2</v>
      </c>
      <c r="S35" s="29">
        <v>1</v>
      </c>
      <c r="T35" s="286">
        <v>26643</v>
      </c>
      <c r="U35" s="295">
        <v>26655</v>
      </c>
      <c r="V35" s="38" t="s">
        <v>494</v>
      </c>
      <c r="W35" s="29" t="s">
        <v>74</v>
      </c>
      <c r="X35" s="29" t="s">
        <v>11</v>
      </c>
      <c r="Y35" s="39">
        <v>55.2</v>
      </c>
      <c r="AD35" s="38"/>
      <c r="AG35" s="39"/>
      <c r="AL35" s="38"/>
      <c r="AO35" s="39"/>
      <c r="AP35" s="38"/>
      <c r="AS35" s="39"/>
      <c r="AT35" s="94"/>
      <c r="AW35" s="39"/>
      <c r="BA35" s="40"/>
    </row>
    <row r="36" spans="1:53" s="29" customFormat="1" x14ac:dyDescent="0.15">
      <c r="A36" s="52">
        <v>1973</v>
      </c>
      <c r="B36" s="295"/>
      <c r="C36" s="411" t="s">
        <v>689</v>
      </c>
      <c r="D36" s="411"/>
      <c r="E36" s="29">
        <v>0</v>
      </c>
      <c r="G36" s="66">
        <v>15</v>
      </c>
      <c r="J36" s="73">
        <v>15</v>
      </c>
      <c r="K36" s="47">
        <f t="shared" si="1"/>
        <v>100</v>
      </c>
      <c r="L36" s="47">
        <f t="shared" si="1"/>
        <v>0</v>
      </c>
      <c r="M36" s="47">
        <f t="shared" si="1"/>
        <v>0</v>
      </c>
      <c r="N36" s="68">
        <f t="shared" si="2"/>
        <v>100</v>
      </c>
      <c r="O36" s="46">
        <v>55.2</v>
      </c>
      <c r="P36" s="47"/>
      <c r="Q36" s="47"/>
      <c r="R36" s="48">
        <f t="shared" si="3"/>
        <v>55.2</v>
      </c>
      <c r="S36" s="29">
        <v>1</v>
      </c>
      <c r="T36" s="286"/>
      <c r="U36" s="295"/>
      <c r="V36" s="38" t="s">
        <v>494</v>
      </c>
      <c r="W36" s="29" t="s">
        <v>74</v>
      </c>
      <c r="X36" s="29" t="s">
        <v>11</v>
      </c>
      <c r="Y36" s="39">
        <v>55.2</v>
      </c>
      <c r="AD36" s="38"/>
      <c r="AG36" s="39"/>
      <c r="AL36" s="38"/>
      <c r="AO36" s="39"/>
      <c r="AP36" s="38"/>
      <c r="AS36" s="39"/>
      <c r="AT36" s="94"/>
      <c r="AW36" s="39"/>
      <c r="BA36" s="40"/>
    </row>
    <row r="37" spans="1:53" s="29" customFormat="1" x14ac:dyDescent="0.15">
      <c r="A37" s="52">
        <v>1973</v>
      </c>
      <c r="B37" s="295"/>
      <c r="C37" s="411" t="s">
        <v>689</v>
      </c>
      <c r="D37" s="411"/>
      <c r="E37" s="29">
        <v>365</v>
      </c>
      <c r="G37" s="66">
        <v>15</v>
      </c>
      <c r="J37" s="73">
        <v>15</v>
      </c>
      <c r="K37" s="47">
        <f t="shared" si="1"/>
        <v>100</v>
      </c>
      <c r="L37" s="47">
        <f t="shared" si="1"/>
        <v>0</v>
      </c>
      <c r="M37" s="47">
        <f t="shared" si="1"/>
        <v>0</v>
      </c>
      <c r="N37" s="68">
        <f t="shared" si="2"/>
        <v>100</v>
      </c>
      <c r="O37" s="46">
        <v>55.2</v>
      </c>
      <c r="P37" s="47"/>
      <c r="Q37" s="47"/>
      <c r="R37" s="48">
        <f t="shared" si="3"/>
        <v>55.2</v>
      </c>
      <c r="S37" s="29">
        <v>1</v>
      </c>
      <c r="T37" s="286"/>
      <c r="U37" s="295"/>
      <c r="V37" s="38" t="s">
        <v>494</v>
      </c>
      <c r="W37" s="29" t="s">
        <v>74</v>
      </c>
      <c r="X37" s="29" t="s">
        <v>11</v>
      </c>
      <c r="Y37" s="39">
        <v>55.2</v>
      </c>
      <c r="AD37" s="38"/>
      <c r="AG37" s="39"/>
      <c r="AL37" s="38"/>
      <c r="AO37" s="39"/>
      <c r="AP37" s="38"/>
      <c r="AS37" s="39"/>
      <c r="AT37" s="94"/>
      <c r="AW37" s="39"/>
      <c r="BA37" s="40"/>
    </row>
    <row r="38" spans="1:53" s="29" customFormat="1" x14ac:dyDescent="0.15">
      <c r="A38" s="52">
        <v>1974</v>
      </c>
      <c r="B38" s="295"/>
      <c r="C38" s="411" t="s">
        <v>689</v>
      </c>
      <c r="D38" s="411"/>
      <c r="E38" s="29">
        <v>342</v>
      </c>
      <c r="G38" s="66">
        <v>15</v>
      </c>
      <c r="J38" s="73">
        <v>15</v>
      </c>
      <c r="K38" s="47">
        <f t="shared" si="1"/>
        <v>100</v>
      </c>
      <c r="L38" s="47">
        <f t="shared" si="1"/>
        <v>0</v>
      </c>
      <c r="M38" s="47">
        <f t="shared" si="1"/>
        <v>0</v>
      </c>
      <c r="N38" s="68">
        <f t="shared" si="2"/>
        <v>100</v>
      </c>
      <c r="O38" s="46">
        <v>55.2</v>
      </c>
      <c r="P38" s="47"/>
      <c r="Q38" s="47"/>
      <c r="R38" s="48">
        <f t="shared" si="3"/>
        <v>55.2</v>
      </c>
      <c r="S38" s="29">
        <v>1</v>
      </c>
      <c r="T38" s="286"/>
      <c r="U38" s="295"/>
      <c r="V38" s="38" t="s">
        <v>494</v>
      </c>
      <c r="W38" s="29" t="s">
        <v>74</v>
      </c>
      <c r="X38" s="29" t="s">
        <v>11</v>
      </c>
      <c r="Y38" s="39">
        <v>55.2</v>
      </c>
      <c r="AD38" s="38"/>
      <c r="AG38" s="39"/>
      <c r="AL38" s="38"/>
      <c r="AO38" s="39"/>
      <c r="AP38" s="38"/>
      <c r="AS38" s="39"/>
      <c r="AT38" s="94"/>
      <c r="AW38" s="39"/>
      <c r="BA38" s="40"/>
    </row>
    <row r="39" spans="1:53" s="171" customFormat="1" x14ac:dyDescent="0.15">
      <c r="A39" s="216">
        <v>1974</v>
      </c>
      <c r="B39" s="283">
        <v>27372</v>
      </c>
      <c r="C39" s="410" t="s">
        <v>690</v>
      </c>
      <c r="D39" s="410"/>
      <c r="E39" s="171">
        <f>365-E38</f>
        <v>23</v>
      </c>
      <c r="F39" s="171">
        <v>2</v>
      </c>
      <c r="G39" s="233">
        <v>15</v>
      </c>
      <c r="J39" s="241">
        <v>15</v>
      </c>
      <c r="K39" s="214">
        <f t="shared" si="1"/>
        <v>100</v>
      </c>
      <c r="L39" s="214">
        <f t="shared" si="1"/>
        <v>0</v>
      </c>
      <c r="M39" s="214">
        <f t="shared" si="1"/>
        <v>0</v>
      </c>
      <c r="N39" s="235">
        <f t="shared" si="2"/>
        <v>100</v>
      </c>
      <c r="O39" s="213">
        <v>55.2</v>
      </c>
      <c r="P39" s="214"/>
      <c r="Q39" s="214"/>
      <c r="R39" s="215">
        <f t="shared" si="3"/>
        <v>55.2</v>
      </c>
      <c r="S39" s="171">
        <v>1</v>
      </c>
      <c r="T39" s="285"/>
      <c r="U39" s="283">
        <v>27372</v>
      </c>
      <c r="V39" s="178" t="s">
        <v>494</v>
      </c>
      <c r="W39" s="171" t="s">
        <v>74</v>
      </c>
      <c r="X39" s="171" t="s">
        <v>11</v>
      </c>
      <c r="Y39" s="179">
        <v>55.2</v>
      </c>
      <c r="AD39" s="178"/>
      <c r="AG39" s="179"/>
      <c r="AL39" s="178"/>
      <c r="AO39" s="179"/>
      <c r="AP39" s="178"/>
      <c r="AS39" s="179"/>
      <c r="AT39" s="253"/>
      <c r="AW39" s="179"/>
      <c r="BA39" s="180"/>
    </row>
    <row r="40" spans="1:53" s="171" customFormat="1" x14ac:dyDescent="0.15">
      <c r="A40" s="216">
        <v>1975</v>
      </c>
      <c r="B40" s="283"/>
      <c r="C40" s="410" t="s">
        <v>690</v>
      </c>
      <c r="D40" s="410"/>
      <c r="E40" s="171">
        <v>0</v>
      </c>
      <c r="G40" s="233">
        <v>15</v>
      </c>
      <c r="J40" s="241">
        <v>15</v>
      </c>
      <c r="K40" s="214">
        <f t="shared" si="1"/>
        <v>100</v>
      </c>
      <c r="L40" s="214">
        <f t="shared" si="1"/>
        <v>0</v>
      </c>
      <c r="M40" s="214">
        <f t="shared" si="1"/>
        <v>0</v>
      </c>
      <c r="N40" s="235">
        <f t="shared" si="2"/>
        <v>100</v>
      </c>
      <c r="O40" s="213">
        <v>55.2</v>
      </c>
      <c r="P40" s="214"/>
      <c r="Q40" s="214"/>
      <c r="R40" s="215">
        <f t="shared" si="3"/>
        <v>55.2</v>
      </c>
      <c r="S40" s="171">
        <v>1</v>
      </c>
      <c r="T40" s="285"/>
      <c r="U40" s="283"/>
      <c r="V40" s="178" t="s">
        <v>494</v>
      </c>
      <c r="W40" s="171" t="s">
        <v>74</v>
      </c>
      <c r="X40" s="171" t="s">
        <v>11</v>
      </c>
      <c r="Y40" s="179">
        <v>55.2</v>
      </c>
      <c r="AD40" s="178"/>
      <c r="AG40" s="179"/>
      <c r="AL40" s="178"/>
      <c r="AO40" s="179"/>
      <c r="AP40" s="178"/>
      <c r="AS40" s="179"/>
      <c r="AT40" s="253"/>
      <c r="AW40" s="179"/>
      <c r="BA40" s="180"/>
    </row>
    <row r="41" spans="1:53" s="171" customFormat="1" x14ac:dyDescent="0.15">
      <c r="A41" s="216">
        <v>1975</v>
      </c>
      <c r="B41" s="283"/>
      <c r="C41" s="410" t="s">
        <v>690</v>
      </c>
      <c r="D41" s="410"/>
      <c r="E41" s="171">
        <v>365</v>
      </c>
      <c r="G41" s="233">
        <v>15</v>
      </c>
      <c r="J41" s="241">
        <v>15</v>
      </c>
      <c r="K41" s="214">
        <f t="shared" si="1"/>
        <v>100</v>
      </c>
      <c r="L41" s="214">
        <f t="shared" si="1"/>
        <v>0</v>
      </c>
      <c r="M41" s="214">
        <f t="shared" si="1"/>
        <v>0</v>
      </c>
      <c r="N41" s="235">
        <f t="shared" si="2"/>
        <v>100</v>
      </c>
      <c r="O41" s="213">
        <v>55.2</v>
      </c>
      <c r="P41" s="214"/>
      <c r="Q41" s="214"/>
      <c r="R41" s="215">
        <f t="shared" si="3"/>
        <v>55.2</v>
      </c>
      <c r="S41" s="171">
        <v>1</v>
      </c>
      <c r="T41" s="285"/>
      <c r="U41" s="283"/>
      <c r="V41" s="178" t="s">
        <v>494</v>
      </c>
      <c r="W41" s="171" t="s">
        <v>74</v>
      </c>
      <c r="X41" s="171" t="s">
        <v>11</v>
      </c>
      <c r="Y41" s="179">
        <v>55.2</v>
      </c>
      <c r="AD41" s="178"/>
      <c r="AG41" s="179"/>
      <c r="AL41" s="178"/>
      <c r="AO41" s="179"/>
      <c r="AP41" s="178"/>
      <c r="AS41" s="179"/>
      <c r="AT41" s="253"/>
      <c r="AW41" s="179"/>
      <c r="BA41" s="180"/>
    </row>
    <row r="42" spans="1:53" s="171" customFormat="1" x14ac:dyDescent="0.15">
      <c r="A42" s="216">
        <v>1976</v>
      </c>
      <c r="B42" s="283"/>
      <c r="C42" s="410" t="s">
        <v>690</v>
      </c>
      <c r="D42" s="410"/>
      <c r="E42" s="171">
        <v>358</v>
      </c>
      <c r="G42" s="233">
        <v>15</v>
      </c>
      <c r="J42" s="241">
        <v>15</v>
      </c>
      <c r="K42" s="214">
        <f t="shared" si="1"/>
        <v>100</v>
      </c>
      <c r="L42" s="214">
        <f t="shared" si="1"/>
        <v>0</v>
      </c>
      <c r="M42" s="214">
        <f t="shared" si="1"/>
        <v>0</v>
      </c>
      <c r="N42" s="235">
        <f t="shared" si="2"/>
        <v>100</v>
      </c>
      <c r="O42" s="213">
        <v>55.2</v>
      </c>
      <c r="P42" s="214"/>
      <c r="Q42" s="214"/>
      <c r="R42" s="215">
        <f t="shared" si="3"/>
        <v>55.2</v>
      </c>
      <c r="S42" s="171">
        <v>1</v>
      </c>
      <c r="T42" s="285"/>
      <c r="U42" s="283"/>
      <c r="V42" s="178" t="s">
        <v>494</v>
      </c>
      <c r="W42" s="171" t="s">
        <v>74</v>
      </c>
      <c r="X42" s="171" t="s">
        <v>11</v>
      </c>
      <c r="Y42" s="179">
        <v>55.2</v>
      </c>
      <c r="AD42" s="178"/>
      <c r="AG42" s="179"/>
      <c r="AL42" s="178"/>
      <c r="AO42" s="179"/>
      <c r="AP42" s="178"/>
      <c r="AS42" s="179"/>
      <c r="AT42" s="253"/>
      <c r="AW42" s="179"/>
      <c r="BA42" s="180"/>
    </row>
    <row r="43" spans="1:53" s="29" customFormat="1" x14ac:dyDescent="0.15">
      <c r="A43" s="52">
        <v>1976</v>
      </c>
      <c r="B43" s="295">
        <v>28118</v>
      </c>
      <c r="C43" s="411" t="s">
        <v>1453</v>
      </c>
      <c r="D43" s="411"/>
      <c r="E43" s="29">
        <f>366-E42</f>
        <v>8</v>
      </c>
      <c r="F43" s="29">
        <v>2</v>
      </c>
      <c r="G43" s="66">
        <v>15</v>
      </c>
      <c r="J43" s="73">
        <v>15</v>
      </c>
      <c r="K43" s="47">
        <f t="shared" si="1"/>
        <v>100</v>
      </c>
      <c r="L43" s="47">
        <f t="shared" si="1"/>
        <v>0</v>
      </c>
      <c r="M43" s="47">
        <f t="shared" si="1"/>
        <v>0</v>
      </c>
      <c r="N43" s="68">
        <f t="shared" si="2"/>
        <v>100</v>
      </c>
      <c r="O43" s="46">
        <v>48.7</v>
      </c>
      <c r="P43" s="47"/>
      <c r="Q43" s="47"/>
      <c r="R43" s="48">
        <f t="shared" si="3"/>
        <v>48.7</v>
      </c>
      <c r="S43" s="29">
        <v>4</v>
      </c>
      <c r="T43" s="286">
        <v>28099</v>
      </c>
      <c r="U43" s="295">
        <v>28118</v>
      </c>
      <c r="V43" s="38" t="s">
        <v>494</v>
      </c>
      <c r="W43" s="29" t="s">
        <v>74</v>
      </c>
      <c r="X43" s="29" t="s">
        <v>11</v>
      </c>
      <c r="Y43" s="39">
        <v>48.7</v>
      </c>
      <c r="AD43" s="38"/>
      <c r="AG43" s="39"/>
      <c r="AL43" s="38"/>
      <c r="AO43" s="39"/>
      <c r="AP43" s="38"/>
      <c r="AS43" s="39"/>
      <c r="AT43" s="94"/>
      <c r="AW43" s="39"/>
      <c r="BA43" s="40"/>
    </row>
    <row r="44" spans="1:53" s="29" customFormat="1" x14ac:dyDescent="0.15">
      <c r="A44" s="52">
        <v>1977</v>
      </c>
      <c r="B44" s="295"/>
      <c r="C44" s="411" t="s">
        <v>1453</v>
      </c>
      <c r="D44" s="411"/>
      <c r="E44" s="29">
        <v>0</v>
      </c>
      <c r="G44" s="66">
        <v>15</v>
      </c>
      <c r="J44" s="73">
        <v>15</v>
      </c>
      <c r="K44" s="47">
        <f t="shared" si="1"/>
        <v>100</v>
      </c>
      <c r="L44" s="47">
        <f t="shared" si="1"/>
        <v>0</v>
      </c>
      <c r="M44" s="47">
        <f t="shared" si="1"/>
        <v>0</v>
      </c>
      <c r="N44" s="68">
        <f t="shared" si="2"/>
        <v>100</v>
      </c>
      <c r="O44" s="46">
        <v>48.7</v>
      </c>
      <c r="P44" s="47"/>
      <c r="Q44" s="47"/>
      <c r="R44" s="48">
        <f t="shared" si="3"/>
        <v>48.7</v>
      </c>
      <c r="S44" s="29">
        <v>4</v>
      </c>
      <c r="T44" s="286"/>
      <c r="U44" s="295"/>
      <c r="V44" s="38" t="s">
        <v>494</v>
      </c>
      <c r="W44" s="29" t="s">
        <v>74</v>
      </c>
      <c r="X44" s="29" t="s">
        <v>11</v>
      </c>
      <c r="Y44" s="39">
        <v>48.7</v>
      </c>
      <c r="AD44" s="38"/>
      <c r="AG44" s="39"/>
      <c r="AL44" s="38"/>
      <c r="AO44" s="39"/>
      <c r="AP44" s="38"/>
      <c r="AS44" s="39"/>
      <c r="AT44" s="94"/>
      <c r="AW44" s="39"/>
      <c r="BA44" s="40"/>
    </row>
    <row r="45" spans="1:53" s="29" customFormat="1" x14ac:dyDescent="0.15">
      <c r="A45" s="52">
        <v>1977</v>
      </c>
      <c r="B45" s="295"/>
      <c r="C45" s="411" t="s">
        <v>1453</v>
      </c>
      <c r="D45" s="411"/>
      <c r="E45" s="29">
        <v>365</v>
      </c>
      <c r="G45" s="66">
        <v>15</v>
      </c>
      <c r="J45" s="73">
        <v>15</v>
      </c>
      <c r="K45" s="47">
        <f t="shared" si="1"/>
        <v>100</v>
      </c>
      <c r="L45" s="47">
        <f t="shared" si="1"/>
        <v>0</v>
      </c>
      <c r="M45" s="47">
        <f t="shared" si="1"/>
        <v>0</v>
      </c>
      <c r="N45" s="68">
        <f t="shared" si="2"/>
        <v>100</v>
      </c>
      <c r="O45" s="46">
        <v>48.7</v>
      </c>
      <c r="P45" s="47"/>
      <c r="Q45" s="47"/>
      <c r="R45" s="48">
        <f t="shared" si="3"/>
        <v>48.7</v>
      </c>
      <c r="S45" s="29">
        <v>4</v>
      </c>
      <c r="T45" s="286"/>
      <c r="U45" s="295"/>
      <c r="V45" s="38" t="s">
        <v>494</v>
      </c>
      <c r="W45" s="29" t="s">
        <v>74</v>
      </c>
      <c r="X45" s="29" t="s">
        <v>11</v>
      </c>
      <c r="Y45" s="39">
        <v>48.7</v>
      </c>
      <c r="AD45" s="38"/>
      <c r="AG45" s="39"/>
      <c r="AL45" s="38"/>
      <c r="AO45" s="39"/>
      <c r="AP45" s="38"/>
      <c r="AS45" s="39"/>
      <c r="AT45" s="94"/>
      <c r="AW45" s="39"/>
      <c r="BA45" s="40"/>
    </row>
    <row r="46" spans="1:53" s="29" customFormat="1" x14ac:dyDescent="0.15">
      <c r="A46" s="52">
        <v>1978</v>
      </c>
      <c r="B46" s="295"/>
      <c r="C46" s="411" t="s">
        <v>1453</v>
      </c>
      <c r="D46" s="411"/>
      <c r="E46" s="29">
        <v>341</v>
      </c>
      <c r="G46" s="66">
        <v>15</v>
      </c>
      <c r="J46" s="73">
        <v>15</v>
      </c>
      <c r="K46" s="47">
        <f t="shared" si="1"/>
        <v>100</v>
      </c>
      <c r="L46" s="47">
        <f t="shared" si="1"/>
        <v>0</v>
      </c>
      <c r="M46" s="47">
        <f t="shared" si="1"/>
        <v>0</v>
      </c>
      <c r="N46" s="68">
        <f t="shared" si="2"/>
        <v>100</v>
      </c>
      <c r="O46" s="46">
        <v>48.7</v>
      </c>
      <c r="P46" s="47"/>
      <c r="Q46" s="47"/>
      <c r="R46" s="48">
        <f t="shared" si="3"/>
        <v>48.7</v>
      </c>
      <c r="S46" s="29">
        <v>4</v>
      </c>
      <c r="T46" s="286"/>
      <c r="U46" s="295"/>
      <c r="V46" s="38" t="s">
        <v>494</v>
      </c>
      <c r="W46" s="29" t="s">
        <v>74</v>
      </c>
      <c r="X46" s="29" t="s">
        <v>11</v>
      </c>
      <c r="Y46" s="39">
        <v>48.7</v>
      </c>
      <c r="AD46" s="38"/>
      <c r="AG46" s="39"/>
      <c r="AL46" s="38"/>
      <c r="AO46" s="39"/>
      <c r="AP46" s="38"/>
      <c r="AS46" s="39"/>
      <c r="AT46" s="94"/>
      <c r="AW46" s="39"/>
      <c r="BA46" s="40"/>
    </row>
    <row r="47" spans="1:53" s="171" customFormat="1" x14ac:dyDescent="0.15">
      <c r="A47" s="216">
        <v>1978</v>
      </c>
      <c r="B47" s="283">
        <v>28832</v>
      </c>
      <c r="C47" s="410" t="s">
        <v>1175</v>
      </c>
      <c r="D47" s="410"/>
      <c r="E47" s="171">
        <f>365-E46</f>
        <v>24</v>
      </c>
      <c r="F47" s="171">
        <v>2</v>
      </c>
      <c r="G47" s="233">
        <v>15</v>
      </c>
      <c r="J47" s="241">
        <v>15</v>
      </c>
      <c r="K47" s="214">
        <f t="shared" si="1"/>
        <v>100</v>
      </c>
      <c r="L47" s="214">
        <f t="shared" si="1"/>
        <v>0</v>
      </c>
      <c r="M47" s="214">
        <f t="shared" si="1"/>
        <v>0</v>
      </c>
      <c r="N47" s="235">
        <f t="shared" si="2"/>
        <v>100</v>
      </c>
      <c r="O47" s="213">
        <v>48.7</v>
      </c>
      <c r="P47" s="214"/>
      <c r="Q47" s="214"/>
      <c r="R47" s="215">
        <f t="shared" si="3"/>
        <v>48.7</v>
      </c>
      <c r="S47" s="171">
        <v>4</v>
      </c>
      <c r="T47" s="285"/>
      <c r="U47" s="283">
        <v>28832</v>
      </c>
      <c r="V47" s="178" t="s">
        <v>494</v>
      </c>
      <c r="W47" s="171" t="s">
        <v>74</v>
      </c>
      <c r="X47" s="171" t="s">
        <v>11</v>
      </c>
      <c r="Y47" s="179">
        <v>48.7</v>
      </c>
      <c r="AD47" s="178"/>
      <c r="AG47" s="179"/>
      <c r="AL47" s="178"/>
      <c r="AO47" s="179"/>
      <c r="AP47" s="178"/>
      <c r="AS47" s="179"/>
      <c r="AT47" s="253"/>
      <c r="AW47" s="179"/>
      <c r="BA47" s="180"/>
    </row>
    <row r="48" spans="1:53" s="171" customFormat="1" x14ac:dyDescent="0.15">
      <c r="A48" s="216">
        <v>1979</v>
      </c>
      <c r="B48" s="283"/>
      <c r="C48" s="410" t="s">
        <v>1175</v>
      </c>
      <c r="D48" s="410"/>
      <c r="E48" s="171">
        <v>311</v>
      </c>
      <c r="G48" s="233">
        <v>15</v>
      </c>
      <c r="J48" s="241">
        <v>15</v>
      </c>
      <c r="K48" s="214">
        <f t="shared" si="1"/>
        <v>100</v>
      </c>
      <c r="L48" s="214">
        <f t="shared" si="1"/>
        <v>0</v>
      </c>
      <c r="M48" s="214">
        <f t="shared" si="1"/>
        <v>0</v>
      </c>
      <c r="N48" s="235">
        <f t="shared" si="2"/>
        <v>100</v>
      </c>
      <c r="O48" s="213">
        <v>48.7</v>
      </c>
      <c r="P48" s="214"/>
      <c r="Q48" s="214"/>
      <c r="R48" s="215">
        <f t="shared" si="3"/>
        <v>48.7</v>
      </c>
      <c r="S48" s="171">
        <v>4</v>
      </c>
      <c r="T48" s="285"/>
      <c r="U48" s="283"/>
      <c r="V48" s="178" t="s">
        <v>494</v>
      </c>
      <c r="W48" s="171" t="s">
        <v>74</v>
      </c>
      <c r="X48" s="171" t="s">
        <v>11</v>
      </c>
      <c r="Y48" s="179">
        <v>48.7</v>
      </c>
      <c r="AD48" s="178"/>
      <c r="AG48" s="179"/>
      <c r="AL48" s="178"/>
      <c r="AO48" s="179"/>
      <c r="AP48" s="178"/>
      <c r="AS48" s="179"/>
      <c r="AT48" s="253"/>
      <c r="AW48" s="179"/>
      <c r="BA48" s="180"/>
    </row>
    <row r="49" spans="1:53" s="29" customFormat="1" x14ac:dyDescent="0.15">
      <c r="A49" s="52">
        <v>1979</v>
      </c>
      <c r="B49" s="295">
        <v>29167</v>
      </c>
      <c r="C49" s="411" t="s">
        <v>1176</v>
      </c>
      <c r="D49" s="411"/>
      <c r="E49" s="29">
        <f>365-E48</f>
        <v>54</v>
      </c>
      <c r="F49" s="29">
        <v>1</v>
      </c>
      <c r="G49" s="66">
        <v>14</v>
      </c>
      <c r="J49" s="73">
        <v>14</v>
      </c>
      <c r="K49" s="47">
        <f t="shared" si="1"/>
        <v>100</v>
      </c>
      <c r="L49" s="47">
        <f t="shared" si="1"/>
        <v>0</v>
      </c>
      <c r="M49" s="47">
        <f t="shared" si="1"/>
        <v>0</v>
      </c>
      <c r="N49" s="68">
        <f t="shared" si="2"/>
        <v>100</v>
      </c>
      <c r="O49" s="46">
        <v>48.5</v>
      </c>
      <c r="P49" s="47"/>
      <c r="Q49" s="47"/>
      <c r="R49" s="48">
        <f t="shared" si="3"/>
        <v>48.5</v>
      </c>
      <c r="S49" s="29">
        <v>4</v>
      </c>
      <c r="T49" s="286">
        <v>29135</v>
      </c>
      <c r="U49" s="295">
        <v>29167</v>
      </c>
      <c r="V49" s="38" t="s">
        <v>494</v>
      </c>
      <c r="W49" s="29" t="s">
        <v>74</v>
      </c>
      <c r="X49" s="29" t="s">
        <v>11</v>
      </c>
      <c r="Y49" s="39">
        <v>48.5</v>
      </c>
      <c r="AD49" s="38"/>
      <c r="AG49" s="39"/>
      <c r="AL49" s="38"/>
      <c r="AO49" s="39"/>
      <c r="AP49" s="38"/>
      <c r="AS49" s="39"/>
      <c r="AT49" s="94"/>
      <c r="AW49" s="39"/>
      <c r="BA49" s="40"/>
    </row>
    <row r="50" spans="1:53" s="29" customFormat="1" x14ac:dyDescent="0.15">
      <c r="A50" s="52">
        <v>1980</v>
      </c>
      <c r="B50" s="295"/>
      <c r="C50" s="411" t="s">
        <v>1176</v>
      </c>
      <c r="D50" s="411"/>
      <c r="E50" s="29">
        <v>198</v>
      </c>
      <c r="G50" s="66">
        <v>14</v>
      </c>
      <c r="J50" s="73">
        <v>14</v>
      </c>
      <c r="K50" s="47">
        <f t="shared" si="1"/>
        <v>100</v>
      </c>
      <c r="L50" s="47">
        <f t="shared" si="1"/>
        <v>0</v>
      </c>
      <c r="M50" s="47">
        <f t="shared" si="1"/>
        <v>0</v>
      </c>
      <c r="N50" s="68">
        <f t="shared" si="2"/>
        <v>100</v>
      </c>
      <c r="O50" s="46">
        <v>48.5</v>
      </c>
      <c r="P50" s="47"/>
      <c r="Q50" s="47"/>
      <c r="R50" s="48">
        <f t="shared" si="3"/>
        <v>48.5</v>
      </c>
      <c r="S50" s="29">
        <v>4</v>
      </c>
      <c r="T50" s="286"/>
      <c r="U50" s="295"/>
      <c r="V50" s="38" t="s">
        <v>494</v>
      </c>
      <c r="W50" s="29" t="s">
        <v>74</v>
      </c>
      <c r="X50" s="29" t="s">
        <v>11</v>
      </c>
      <c r="Y50" s="39">
        <v>48.5</v>
      </c>
      <c r="AD50" s="38"/>
      <c r="AG50" s="39"/>
      <c r="AL50" s="38"/>
      <c r="AO50" s="39"/>
      <c r="AP50" s="38"/>
      <c r="AS50" s="39"/>
      <c r="AT50" s="94"/>
      <c r="AW50" s="39"/>
      <c r="BA50" s="40"/>
    </row>
    <row r="51" spans="1:53" s="171" customFormat="1" x14ac:dyDescent="0.15">
      <c r="A51" s="216">
        <v>1980</v>
      </c>
      <c r="B51" s="283">
        <v>29419</v>
      </c>
      <c r="C51" s="410" t="s">
        <v>691</v>
      </c>
      <c r="D51" s="410"/>
      <c r="E51" s="171">
        <f>366-E50</f>
        <v>168</v>
      </c>
      <c r="F51" s="171">
        <v>5</v>
      </c>
      <c r="G51" s="233">
        <v>15</v>
      </c>
      <c r="J51" s="241">
        <v>15</v>
      </c>
      <c r="K51" s="214">
        <f>G51/$J51*100</f>
        <v>100</v>
      </c>
      <c r="L51" s="214">
        <f t="shared" ref="L51:M93" si="4">H51/$J51*100</f>
        <v>0</v>
      </c>
      <c r="M51" s="214">
        <f t="shared" si="4"/>
        <v>0</v>
      </c>
      <c r="N51" s="235">
        <f>K51+L51+M51</f>
        <v>100</v>
      </c>
      <c r="O51" s="213">
        <v>55.6</v>
      </c>
      <c r="P51" s="214"/>
      <c r="Q51" s="214"/>
      <c r="R51" s="215">
        <f t="shared" si="3"/>
        <v>55.6</v>
      </c>
      <c r="S51" s="171">
        <v>1</v>
      </c>
      <c r="T51" s="285">
        <v>29394</v>
      </c>
      <c r="U51" s="283">
        <v>29419</v>
      </c>
      <c r="V51" s="178" t="s">
        <v>494</v>
      </c>
      <c r="W51" s="171" t="s">
        <v>74</v>
      </c>
      <c r="X51" s="171" t="s">
        <v>11</v>
      </c>
      <c r="Y51" s="179">
        <v>55.6</v>
      </c>
      <c r="AD51" s="178"/>
      <c r="AG51" s="179"/>
      <c r="AL51" s="178"/>
      <c r="AO51" s="179"/>
      <c r="AP51" s="178"/>
      <c r="AS51" s="179"/>
      <c r="AT51" s="253"/>
      <c r="AW51" s="179"/>
      <c r="BA51" s="180"/>
    </row>
    <row r="52" spans="1:53" s="171" customFormat="1" x14ac:dyDescent="0.15">
      <c r="A52" s="216">
        <v>1981</v>
      </c>
      <c r="B52" s="283"/>
      <c r="C52" s="410" t="s">
        <v>691</v>
      </c>
      <c r="D52" s="410"/>
      <c r="E52" s="171">
        <v>0</v>
      </c>
      <c r="G52" s="233">
        <v>15</v>
      </c>
      <c r="J52" s="241">
        <v>15</v>
      </c>
      <c r="K52" s="214">
        <f t="shared" ref="K52:K79" si="5">G52/$J52*100</f>
        <v>100</v>
      </c>
      <c r="L52" s="214">
        <f t="shared" si="4"/>
        <v>0</v>
      </c>
      <c r="M52" s="214">
        <f t="shared" si="4"/>
        <v>0</v>
      </c>
      <c r="N52" s="235">
        <f t="shared" ref="N52:N79" si="6">K52+L52+M52</f>
        <v>100</v>
      </c>
      <c r="O52" s="213">
        <v>55.6</v>
      </c>
      <c r="P52" s="214"/>
      <c r="Q52" s="214"/>
      <c r="R52" s="215">
        <f t="shared" si="3"/>
        <v>55.6</v>
      </c>
      <c r="S52" s="171">
        <v>1</v>
      </c>
      <c r="T52" s="285"/>
      <c r="U52" s="283"/>
      <c r="V52" s="178" t="s">
        <v>494</v>
      </c>
      <c r="W52" s="171" t="s">
        <v>74</v>
      </c>
      <c r="X52" s="171" t="s">
        <v>11</v>
      </c>
      <c r="Y52" s="179">
        <v>55.6</v>
      </c>
      <c r="AD52" s="178"/>
      <c r="AG52" s="179"/>
      <c r="AL52" s="178"/>
      <c r="AO52" s="179"/>
      <c r="AP52" s="178"/>
      <c r="AS52" s="179"/>
      <c r="AT52" s="253"/>
      <c r="AW52" s="179"/>
      <c r="BA52" s="180"/>
    </row>
    <row r="53" spans="1:53" s="171" customFormat="1" x14ac:dyDescent="0.15">
      <c r="A53" s="216">
        <v>1981</v>
      </c>
      <c r="B53" s="283"/>
      <c r="C53" s="410" t="s">
        <v>691</v>
      </c>
      <c r="D53" s="410"/>
      <c r="E53" s="171">
        <v>365</v>
      </c>
      <c r="G53" s="233">
        <v>15</v>
      </c>
      <c r="J53" s="241">
        <v>15</v>
      </c>
      <c r="K53" s="214">
        <f t="shared" si="5"/>
        <v>100</v>
      </c>
      <c r="L53" s="214">
        <f t="shared" si="4"/>
        <v>0</v>
      </c>
      <c r="M53" s="214">
        <f t="shared" si="4"/>
        <v>0</v>
      </c>
      <c r="N53" s="235">
        <f t="shared" si="6"/>
        <v>100</v>
      </c>
      <c r="O53" s="213">
        <v>55.6</v>
      </c>
      <c r="P53" s="214"/>
      <c r="Q53" s="214"/>
      <c r="R53" s="215">
        <f t="shared" si="3"/>
        <v>55.6</v>
      </c>
      <c r="S53" s="171">
        <v>1</v>
      </c>
      <c r="T53" s="285"/>
      <c r="U53" s="283"/>
      <c r="V53" s="178" t="s">
        <v>494</v>
      </c>
      <c r="W53" s="171" t="s">
        <v>74</v>
      </c>
      <c r="X53" s="171" t="s">
        <v>11</v>
      </c>
      <c r="Y53" s="179">
        <v>55.6</v>
      </c>
      <c r="AD53" s="178"/>
      <c r="AG53" s="179"/>
      <c r="AL53" s="178"/>
      <c r="AO53" s="179"/>
      <c r="AP53" s="178"/>
      <c r="AS53" s="179"/>
      <c r="AT53" s="253"/>
      <c r="AW53" s="179"/>
      <c r="BA53" s="180"/>
    </row>
    <row r="54" spans="1:53" s="171" customFormat="1" x14ac:dyDescent="0.15">
      <c r="A54" s="216">
        <v>1982</v>
      </c>
      <c r="B54" s="283"/>
      <c r="C54" s="410" t="s">
        <v>691</v>
      </c>
      <c r="D54" s="410"/>
      <c r="E54" s="171">
        <v>329</v>
      </c>
      <c r="G54" s="233">
        <v>15</v>
      </c>
      <c r="J54" s="241">
        <v>15</v>
      </c>
      <c r="K54" s="214">
        <f t="shared" si="5"/>
        <v>100</v>
      </c>
      <c r="L54" s="214">
        <f t="shared" si="4"/>
        <v>0</v>
      </c>
      <c r="M54" s="214">
        <f t="shared" si="4"/>
        <v>0</v>
      </c>
      <c r="N54" s="235">
        <f t="shared" si="6"/>
        <v>100</v>
      </c>
      <c r="O54" s="213">
        <v>55.6</v>
      </c>
      <c r="P54" s="214"/>
      <c r="Q54" s="214"/>
      <c r="R54" s="215">
        <f t="shared" si="3"/>
        <v>55.6</v>
      </c>
      <c r="S54" s="171">
        <v>1</v>
      </c>
      <c r="T54" s="285"/>
      <c r="U54" s="283"/>
      <c r="V54" s="178" t="s">
        <v>494</v>
      </c>
      <c r="W54" s="171" t="s">
        <v>74</v>
      </c>
      <c r="X54" s="171" t="s">
        <v>11</v>
      </c>
      <c r="Y54" s="179">
        <v>55.6</v>
      </c>
      <c r="AD54" s="178"/>
      <c r="AG54" s="179"/>
      <c r="AL54" s="178"/>
      <c r="AO54" s="179"/>
      <c r="AP54" s="178"/>
      <c r="AS54" s="179"/>
      <c r="AT54" s="253"/>
      <c r="AW54" s="179"/>
      <c r="BA54" s="180"/>
    </row>
    <row r="55" spans="1:53" s="29" customFormat="1" x14ac:dyDescent="0.15">
      <c r="A55" s="52">
        <v>1982</v>
      </c>
      <c r="B55" s="295">
        <v>30281</v>
      </c>
      <c r="C55" s="411" t="s">
        <v>692</v>
      </c>
      <c r="D55" s="411"/>
      <c r="E55" s="29">
        <f>365-E54</f>
        <v>36</v>
      </c>
      <c r="F55" s="29">
        <v>2</v>
      </c>
      <c r="G55" s="66">
        <v>15</v>
      </c>
      <c r="J55" s="73">
        <v>15</v>
      </c>
      <c r="K55" s="47">
        <f t="shared" si="5"/>
        <v>100</v>
      </c>
      <c r="L55" s="47">
        <f t="shared" si="4"/>
        <v>0</v>
      </c>
      <c r="M55" s="47">
        <f t="shared" si="4"/>
        <v>0</v>
      </c>
      <c r="N55" s="68">
        <f t="shared" si="6"/>
        <v>100</v>
      </c>
      <c r="O55" s="46">
        <v>55.6</v>
      </c>
      <c r="P55" s="47"/>
      <c r="Q55" s="47"/>
      <c r="R55" s="48">
        <f t="shared" si="3"/>
        <v>55.6</v>
      </c>
      <c r="S55" s="29">
        <v>1</v>
      </c>
      <c r="T55" s="286"/>
      <c r="U55" s="295">
        <v>30281</v>
      </c>
      <c r="V55" s="38" t="s">
        <v>494</v>
      </c>
      <c r="W55" s="29" t="s">
        <v>74</v>
      </c>
      <c r="X55" s="29" t="s">
        <v>11</v>
      </c>
      <c r="Y55" s="39">
        <v>55.6</v>
      </c>
      <c r="AD55" s="38"/>
      <c r="AG55" s="39"/>
      <c r="AL55" s="38"/>
      <c r="AO55" s="39"/>
      <c r="AP55" s="38"/>
      <c r="AS55" s="39"/>
      <c r="AT55" s="94"/>
      <c r="AW55" s="39"/>
      <c r="BA55" s="40"/>
    </row>
    <row r="56" spans="1:53" s="29" customFormat="1" x14ac:dyDescent="0.15">
      <c r="A56" s="52">
        <v>1983</v>
      </c>
      <c r="B56" s="295"/>
      <c r="C56" s="411" t="s">
        <v>692</v>
      </c>
      <c r="D56" s="411"/>
      <c r="E56" s="29">
        <v>359</v>
      </c>
      <c r="G56" s="66">
        <v>15</v>
      </c>
      <c r="J56" s="73">
        <v>15</v>
      </c>
      <c r="K56" s="47">
        <f t="shared" si="5"/>
        <v>100</v>
      </c>
      <c r="L56" s="47">
        <f t="shared" si="4"/>
        <v>0</v>
      </c>
      <c r="M56" s="47">
        <f t="shared" si="4"/>
        <v>0</v>
      </c>
      <c r="N56" s="68">
        <f t="shared" si="6"/>
        <v>100</v>
      </c>
      <c r="O56" s="46">
        <v>55.6</v>
      </c>
      <c r="P56" s="47"/>
      <c r="Q56" s="47"/>
      <c r="R56" s="48">
        <f t="shared" si="3"/>
        <v>55.6</v>
      </c>
      <c r="S56" s="29">
        <v>1</v>
      </c>
      <c r="T56" s="286"/>
      <c r="U56" s="295"/>
      <c r="V56" s="38" t="s">
        <v>494</v>
      </c>
      <c r="W56" s="29" t="s">
        <v>74</v>
      </c>
      <c r="X56" s="29" t="s">
        <v>11</v>
      </c>
      <c r="Y56" s="39">
        <v>55.6</v>
      </c>
      <c r="AD56" s="38"/>
      <c r="AG56" s="39"/>
      <c r="AL56" s="38"/>
      <c r="AO56" s="39"/>
      <c r="AP56" s="38"/>
      <c r="AS56" s="39"/>
      <c r="AT56" s="94"/>
      <c r="AW56" s="39"/>
      <c r="BA56" s="40"/>
    </row>
    <row r="57" spans="1:53" s="171" customFormat="1" x14ac:dyDescent="0.15">
      <c r="A57" s="216">
        <v>1983</v>
      </c>
      <c r="B57" s="283">
        <v>30676</v>
      </c>
      <c r="C57" s="410" t="s">
        <v>693</v>
      </c>
      <c r="D57" s="410"/>
      <c r="E57" s="171">
        <f>365-E56</f>
        <v>6</v>
      </c>
      <c r="F57" s="171">
        <v>1</v>
      </c>
      <c r="G57" s="233">
        <v>15</v>
      </c>
      <c r="J57" s="241">
        <v>15</v>
      </c>
      <c r="K57" s="214">
        <f t="shared" si="5"/>
        <v>100</v>
      </c>
      <c r="L57" s="214">
        <f t="shared" si="4"/>
        <v>0</v>
      </c>
      <c r="M57" s="214">
        <f t="shared" si="4"/>
        <v>0</v>
      </c>
      <c r="N57" s="235">
        <f t="shared" si="6"/>
        <v>100</v>
      </c>
      <c r="O57" s="213">
        <f t="shared" ref="O57:O62" si="7">Y57+AC57</f>
        <v>50.5</v>
      </c>
      <c r="P57" s="214"/>
      <c r="Q57" s="214"/>
      <c r="R57" s="215">
        <f t="shared" si="3"/>
        <v>50.5</v>
      </c>
      <c r="S57" s="171">
        <v>2</v>
      </c>
      <c r="T57" s="285">
        <v>30668</v>
      </c>
      <c r="U57" s="283">
        <v>30676</v>
      </c>
      <c r="V57" s="178" t="s">
        <v>494</v>
      </c>
      <c r="W57" s="171" t="s">
        <v>74</v>
      </c>
      <c r="X57" s="171" t="s">
        <v>11</v>
      </c>
      <c r="Y57" s="179">
        <v>48.9</v>
      </c>
      <c r="Z57" s="171" t="s">
        <v>495</v>
      </c>
      <c r="AA57" s="171" t="s">
        <v>22</v>
      </c>
      <c r="AB57" s="171" t="s">
        <v>11</v>
      </c>
      <c r="AC57" s="171">
        <v>1.6</v>
      </c>
      <c r="AD57" s="178"/>
      <c r="AG57" s="179"/>
      <c r="AL57" s="178"/>
      <c r="AO57" s="179"/>
      <c r="AP57" s="178"/>
      <c r="AS57" s="179"/>
      <c r="AT57" s="253"/>
      <c r="AW57" s="179"/>
      <c r="BA57" s="180"/>
    </row>
    <row r="58" spans="1:53" s="171" customFormat="1" x14ac:dyDescent="0.15">
      <c r="A58" s="216">
        <v>1984</v>
      </c>
      <c r="B58" s="283"/>
      <c r="C58" s="410" t="s">
        <v>693</v>
      </c>
      <c r="D58" s="410"/>
      <c r="E58" s="171">
        <v>305</v>
      </c>
      <c r="G58" s="233">
        <v>15</v>
      </c>
      <c r="J58" s="241">
        <v>15</v>
      </c>
      <c r="K58" s="214">
        <f t="shared" si="5"/>
        <v>100</v>
      </c>
      <c r="L58" s="214">
        <f t="shared" si="4"/>
        <v>0</v>
      </c>
      <c r="M58" s="214">
        <f t="shared" si="4"/>
        <v>0</v>
      </c>
      <c r="N58" s="235">
        <f t="shared" si="6"/>
        <v>100</v>
      </c>
      <c r="O58" s="213">
        <f t="shared" si="7"/>
        <v>50.5</v>
      </c>
      <c r="P58" s="214"/>
      <c r="Q58" s="214"/>
      <c r="R58" s="215">
        <f t="shared" si="3"/>
        <v>50.5</v>
      </c>
      <c r="S58" s="171">
        <v>2</v>
      </c>
      <c r="T58" s="285"/>
      <c r="U58" s="283"/>
      <c r="V58" s="178" t="s">
        <v>494</v>
      </c>
      <c r="W58" s="171" t="s">
        <v>74</v>
      </c>
      <c r="X58" s="171" t="s">
        <v>11</v>
      </c>
      <c r="Y58" s="179">
        <v>48.9</v>
      </c>
      <c r="Z58" s="171" t="s">
        <v>495</v>
      </c>
      <c r="AA58" s="171" t="s">
        <v>22</v>
      </c>
      <c r="AB58" s="171" t="s">
        <v>11</v>
      </c>
      <c r="AC58" s="171">
        <v>1.6</v>
      </c>
      <c r="AD58" s="178"/>
      <c r="AG58" s="179"/>
      <c r="AL58" s="178"/>
      <c r="AO58" s="179"/>
      <c r="AP58" s="178"/>
      <c r="AS58" s="179"/>
      <c r="AT58" s="253"/>
      <c r="AW58" s="179"/>
      <c r="BA58" s="180"/>
    </row>
    <row r="59" spans="1:53" s="29" customFormat="1" x14ac:dyDescent="0.15">
      <c r="A59" s="52">
        <v>1984</v>
      </c>
      <c r="B59" s="295">
        <v>30987</v>
      </c>
      <c r="C59" s="411" t="s">
        <v>694</v>
      </c>
      <c r="D59" s="411"/>
      <c r="E59" s="29">
        <f>366-E58</f>
        <v>61</v>
      </c>
      <c r="F59" s="29" t="s">
        <v>309</v>
      </c>
      <c r="G59" s="66">
        <v>15</v>
      </c>
      <c r="J59" s="73">
        <v>15</v>
      </c>
      <c r="K59" s="47">
        <f t="shared" si="5"/>
        <v>100</v>
      </c>
      <c r="L59" s="47">
        <f t="shared" si="4"/>
        <v>0</v>
      </c>
      <c r="M59" s="47">
        <f t="shared" si="4"/>
        <v>0</v>
      </c>
      <c r="N59" s="68">
        <f t="shared" si="6"/>
        <v>100</v>
      </c>
      <c r="O59" s="46">
        <f t="shared" si="7"/>
        <v>50.5</v>
      </c>
      <c r="P59" s="47"/>
      <c r="Q59" s="47"/>
      <c r="R59" s="48">
        <f t="shared" si="3"/>
        <v>50.5</v>
      </c>
      <c r="S59" s="29">
        <v>2</v>
      </c>
      <c r="T59" s="286"/>
      <c r="U59" s="295">
        <v>30987</v>
      </c>
      <c r="V59" s="38" t="s">
        <v>494</v>
      </c>
      <c r="W59" s="29" t="s">
        <v>74</v>
      </c>
      <c r="X59" s="29" t="s">
        <v>11</v>
      </c>
      <c r="Y59" s="39">
        <v>48.9</v>
      </c>
      <c r="Z59" s="29" t="s">
        <v>495</v>
      </c>
      <c r="AA59" s="29" t="s">
        <v>22</v>
      </c>
      <c r="AB59" s="29" t="s">
        <v>11</v>
      </c>
      <c r="AC59" s="29">
        <v>1.6</v>
      </c>
      <c r="AD59" s="38"/>
      <c r="AG59" s="39"/>
      <c r="AL59" s="38"/>
      <c r="AO59" s="39"/>
      <c r="AP59" s="38"/>
      <c r="AS59" s="39"/>
      <c r="AT59" s="94"/>
      <c r="AW59" s="39"/>
      <c r="BA59" s="40"/>
    </row>
    <row r="60" spans="1:53" s="29" customFormat="1" x14ac:dyDescent="0.15">
      <c r="A60" s="52">
        <v>1985</v>
      </c>
      <c r="B60" s="295"/>
      <c r="C60" s="411" t="s">
        <v>694</v>
      </c>
      <c r="D60" s="411"/>
      <c r="E60" s="29">
        <v>0</v>
      </c>
      <c r="G60" s="66">
        <v>15</v>
      </c>
      <c r="J60" s="73">
        <v>15</v>
      </c>
      <c r="K60" s="47">
        <f t="shared" si="5"/>
        <v>100</v>
      </c>
      <c r="L60" s="47">
        <f t="shared" si="4"/>
        <v>0</v>
      </c>
      <c r="M60" s="47">
        <f t="shared" si="4"/>
        <v>0</v>
      </c>
      <c r="N60" s="68">
        <f t="shared" si="6"/>
        <v>100</v>
      </c>
      <c r="O60" s="46">
        <f t="shared" si="7"/>
        <v>50.5</v>
      </c>
      <c r="P60" s="47"/>
      <c r="Q60" s="47"/>
      <c r="R60" s="48">
        <f t="shared" si="3"/>
        <v>50.5</v>
      </c>
      <c r="S60" s="29">
        <v>2</v>
      </c>
      <c r="T60" s="286"/>
      <c r="U60" s="295"/>
      <c r="V60" s="38" t="s">
        <v>494</v>
      </c>
      <c r="W60" s="29" t="s">
        <v>74</v>
      </c>
      <c r="X60" s="29" t="s">
        <v>11</v>
      </c>
      <c r="Y60" s="39">
        <v>48.9</v>
      </c>
      <c r="Z60" s="29" t="s">
        <v>495</v>
      </c>
      <c r="AA60" s="29" t="s">
        <v>22</v>
      </c>
      <c r="AB60" s="29" t="s">
        <v>11</v>
      </c>
      <c r="AC60" s="29">
        <v>1.6</v>
      </c>
      <c r="AD60" s="38"/>
      <c r="AG60" s="39"/>
      <c r="AL60" s="38"/>
      <c r="AO60" s="39"/>
      <c r="AP60" s="38"/>
      <c r="AS60" s="39"/>
      <c r="AT60" s="94"/>
      <c r="AW60" s="39"/>
      <c r="BA60" s="40"/>
    </row>
    <row r="61" spans="1:53" s="29" customFormat="1" x14ac:dyDescent="0.15">
      <c r="A61" s="52">
        <v>1985</v>
      </c>
      <c r="B61" s="295"/>
      <c r="C61" s="411" t="s">
        <v>694</v>
      </c>
      <c r="D61" s="411"/>
      <c r="E61" s="29">
        <v>365</v>
      </c>
      <c r="G61" s="66">
        <v>15</v>
      </c>
      <c r="J61" s="73">
        <v>15</v>
      </c>
      <c r="K61" s="47">
        <f t="shared" si="5"/>
        <v>100</v>
      </c>
      <c r="L61" s="47">
        <f t="shared" si="4"/>
        <v>0</v>
      </c>
      <c r="M61" s="47">
        <f t="shared" si="4"/>
        <v>0</v>
      </c>
      <c r="N61" s="68">
        <f t="shared" si="6"/>
        <v>100</v>
      </c>
      <c r="O61" s="46">
        <f t="shared" si="7"/>
        <v>50.5</v>
      </c>
      <c r="P61" s="47"/>
      <c r="Q61" s="47"/>
      <c r="R61" s="48">
        <f t="shared" si="3"/>
        <v>50.5</v>
      </c>
      <c r="S61" s="29">
        <v>2</v>
      </c>
      <c r="T61" s="286"/>
      <c r="U61" s="295"/>
      <c r="V61" s="38" t="s">
        <v>494</v>
      </c>
      <c r="W61" s="29" t="s">
        <v>74</v>
      </c>
      <c r="X61" s="29" t="s">
        <v>11</v>
      </c>
      <c r="Y61" s="39">
        <v>48.9</v>
      </c>
      <c r="Z61" s="29" t="s">
        <v>495</v>
      </c>
      <c r="AA61" s="29" t="s">
        <v>22</v>
      </c>
      <c r="AB61" s="29" t="s">
        <v>11</v>
      </c>
      <c r="AC61" s="29">
        <v>1.6</v>
      </c>
      <c r="AD61" s="38"/>
      <c r="AG61" s="39"/>
      <c r="AL61" s="38"/>
      <c r="AO61" s="39"/>
      <c r="AP61" s="38"/>
      <c r="AS61" s="39"/>
      <c r="AT61" s="94"/>
      <c r="AW61" s="39"/>
      <c r="BA61" s="40"/>
    </row>
    <row r="62" spans="1:53" s="29" customFormat="1" x14ac:dyDescent="0.15">
      <c r="A62" s="52">
        <v>1986</v>
      </c>
      <c r="B62" s="295"/>
      <c r="C62" s="411" t="s">
        <v>694</v>
      </c>
      <c r="D62" s="411"/>
      <c r="E62" s="29">
        <v>202</v>
      </c>
      <c r="G62" s="66">
        <v>15</v>
      </c>
      <c r="J62" s="73">
        <v>15</v>
      </c>
      <c r="K62" s="47">
        <f t="shared" si="5"/>
        <v>100</v>
      </c>
      <c r="L62" s="47">
        <f t="shared" si="4"/>
        <v>0</v>
      </c>
      <c r="M62" s="47">
        <f t="shared" si="4"/>
        <v>0</v>
      </c>
      <c r="N62" s="68">
        <f t="shared" si="6"/>
        <v>100</v>
      </c>
      <c r="O62" s="46">
        <f t="shared" si="7"/>
        <v>50.5</v>
      </c>
      <c r="P62" s="47"/>
      <c r="Q62" s="47"/>
      <c r="R62" s="48">
        <f t="shared" si="3"/>
        <v>50.5</v>
      </c>
      <c r="S62" s="29">
        <v>2</v>
      </c>
      <c r="T62" s="286"/>
      <c r="U62" s="295"/>
      <c r="V62" s="38" t="s">
        <v>494</v>
      </c>
      <c r="W62" s="29" t="s">
        <v>74</v>
      </c>
      <c r="X62" s="29" t="s">
        <v>11</v>
      </c>
      <c r="Y62" s="39">
        <v>48.9</v>
      </c>
      <c r="Z62" s="29" t="s">
        <v>495</v>
      </c>
      <c r="AA62" s="29" t="s">
        <v>22</v>
      </c>
      <c r="AB62" s="29" t="s">
        <v>11</v>
      </c>
      <c r="AC62" s="29">
        <v>1.6</v>
      </c>
      <c r="AD62" s="38"/>
      <c r="AG62" s="39"/>
      <c r="AL62" s="38"/>
      <c r="AO62" s="39"/>
      <c r="AP62" s="38"/>
      <c r="AS62" s="39"/>
      <c r="AT62" s="94"/>
      <c r="AW62" s="39"/>
      <c r="BA62" s="40"/>
    </row>
    <row r="63" spans="1:53" s="171" customFormat="1" x14ac:dyDescent="0.15">
      <c r="A63" s="216">
        <v>1986</v>
      </c>
      <c r="B63" s="283">
        <v>31615</v>
      </c>
      <c r="C63" s="410" t="s">
        <v>695</v>
      </c>
      <c r="D63" s="410"/>
      <c r="E63" s="171">
        <f>365-E62</f>
        <v>163</v>
      </c>
      <c r="F63" s="171">
        <v>1</v>
      </c>
      <c r="G63" s="233">
        <v>16</v>
      </c>
      <c r="J63" s="241">
        <v>16</v>
      </c>
      <c r="K63" s="214">
        <f t="shared" si="5"/>
        <v>100</v>
      </c>
      <c r="L63" s="214">
        <f t="shared" si="4"/>
        <v>0</v>
      </c>
      <c r="M63" s="214">
        <f t="shared" si="4"/>
        <v>0</v>
      </c>
      <c r="N63" s="235">
        <f t="shared" si="6"/>
        <v>100</v>
      </c>
      <c r="O63" s="213">
        <v>58.6</v>
      </c>
      <c r="P63" s="214"/>
      <c r="Q63" s="214"/>
      <c r="R63" s="215">
        <f t="shared" si="3"/>
        <v>58.6</v>
      </c>
      <c r="S63" s="171">
        <v>1</v>
      </c>
      <c r="T63" s="285">
        <v>31599</v>
      </c>
      <c r="U63" s="283">
        <v>31615</v>
      </c>
      <c r="V63" s="178" t="s">
        <v>494</v>
      </c>
      <c r="W63" s="171" t="s">
        <v>74</v>
      </c>
      <c r="X63" s="171" t="s">
        <v>11</v>
      </c>
      <c r="Y63" s="179">
        <v>58.6</v>
      </c>
      <c r="AD63" s="178"/>
      <c r="AG63" s="179"/>
      <c r="AL63" s="178"/>
      <c r="AO63" s="179"/>
      <c r="AP63" s="178"/>
      <c r="AS63" s="179"/>
      <c r="AT63" s="253"/>
      <c r="AW63" s="179"/>
      <c r="BA63" s="180"/>
    </row>
    <row r="64" spans="1:53" s="171" customFormat="1" x14ac:dyDescent="0.15">
      <c r="A64" s="216">
        <v>1987</v>
      </c>
      <c r="B64" s="283"/>
      <c r="C64" s="410" t="s">
        <v>695</v>
      </c>
      <c r="D64" s="410"/>
      <c r="E64" s="171">
        <v>309</v>
      </c>
      <c r="G64" s="233">
        <v>16</v>
      </c>
      <c r="J64" s="241">
        <v>16</v>
      </c>
      <c r="K64" s="214">
        <f t="shared" si="5"/>
        <v>100</v>
      </c>
      <c r="L64" s="214">
        <f t="shared" si="4"/>
        <v>0</v>
      </c>
      <c r="M64" s="214">
        <f t="shared" si="4"/>
        <v>0</v>
      </c>
      <c r="N64" s="235">
        <f t="shared" si="6"/>
        <v>100</v>
      </c>
      <c r="O64" s="213">
        <v>58.6</v>
      </c>
      <c r="P64" s="214"/>
      <c r="Q64" s="214"/>
      <c r="R64" s="215">
        <f t="shared" si="3"/>
        <v>58.6</v>
      </c>
      <c r="S64" s="171">
        <v>1</v>
      </c>
      <c r="T64" s="285"/>
      <c r="U64" s="283"/>
      <c r="V64" s="178" t="s">
        <v>494</v>
      </c>
      <c r="W64" s="171" t="s">
        <v>74</v>
      </c>
      <c r="X64" s="171" t="s">
        <v>11</v>
      </c>
      <c r="Y64" s="179">
        <v>58.6</v>
      </c>
      <c r="AD64" s="178"/>
      <c r="AG64" s="179"/>
      <c r="AL64" s="178"/>
      <c r="AO64" s="179"/>
      <c r="AP64" s="178"/>
      <c r="AS64" s="179"/>
      <c r="AT64" s="253"/>
      <c r="AW64" s="179"/>
      <c r="BA64" s="180"/>
    </row>
    <row r="65" spans="1:53" s="29" customFormat="1" x14ac:dyDescent="0.15">
      <c r="A65" s="52">
        <v>1987</v>
      </c>
      <c r="B65" s="295">
        <v>32087</v>
      </c>
      <c r="C65" s="411" t="s">
        <v>696</v>
      </c>
      <c r="D65" s="411"/>
      <c r="E65" s="29">
        <f>365-E64</f>
        <v>56</v>
      </c>
      <c r="F65" s="29">
        <v>2</v>
      </c>
      <c r="G65" s="66">
        <v>15</v>
      </c>
      <c r="J65" s="73">
        <v>15</v>
      </c>
      <c r="K65" s="47">
        <f t="shared" si="5"/>
        <v>100</v>
      </c>
      <c r="L65" s="47">
        <f t="shared" si="4"/>
        <v>0</v>
      </c>
      <c r="M65" s="47">
        <f t="shared" si="4"/>
        <v>0</v>
      </c>
      <c r="N65" s="68">
        <f t="shared" si="6"/>
        <v>100</v>
      </c>
      <c r="O65" s="46">
        <v>58.6</v>
      </c>
      <c r="P65" s="47"/>
      <c r="Q65" s="47"/>
      <c r="R65" s="48">
        <f t="shared" si="3"/>
        <v>58.6</v>
      </c>
      <c r="S65" s="29">
        <v>1</v>
      </c>
      <c r="T65" s="286"/>
      <c r="U65" s="295">
        <v>32087</v>
      </c>
      <c r="V65" s="38" t="s">
        <v>494</v>
      </c>
      <c r="W65" s="29" t="s">
        <v>74</v>
      </c>
      <c r="X65" s="29" t="s">
        <v>11</v>
      </c>
      <c r="Y65" s="39">
        <v>58.6</v>
      </c>
      <c r="AD65" s="38"/>
      <c r="AG65" s="39"/>
      <c r="AL65" s="38"/>
      <c r="AO65" s="39"/>
      <c r="AP65" s="38"/>
      <c r="AS65" s="39"/>
      <c r="AT65" s="94"/>
      <c r="AW65" s="39"/>
      <c r="BA65" s="40"/>
    </row>
    <row r="66" spans="1:53" s="29" customFormat="1" x14ac:dyDescent="0.15">
      <c r="A66" s="52">
        <v>1988</v>
      </c>
      <c r="B66" s="295"/>
      <c r="C66" s="411" t="s">
        <v>696</v>
      </c>
      <c r="D66" s="411"/>
      <c r="E66" s="29">
        <v>0</v>
      </c>
      <c r="G66" s="66">
        <v>15</v>
      </c>
      <c r="J66" s="73">
        <v>15</v>
      </c>
      <c r="K66" s="47">
        <f t="shared" si="5"/>
        <v>100</v>
      </c>
      <c r="L66" s="47">
        <f t="shared" si="4"/>
        <v>0</v>
      </c>
      <c r="M66" s="47">
        <f t="shared" si="4"/>
        <v>0</v>
      </c>
      <c r="N66" s="68">
        <f t="shared" si="6"/>
        <v>100</v>
      </c>
      <c r="O66" s="46">
        <v>58.6</v>
      </c>
      <c r="P66" s="47"/>
      <c r="Q66" s="47"/>
      <c r="R66" s="48">
        <f t="shared" si="3"/>
        <v>58.6</v>
      </c>
      <c r="S66" s="29">
        <v>1</v>
      </c>
      <c r="T66" s="286"/>
      <c r="U66" s="295"/>
      <c r="V66" s="38" t="s">
        <v>494</v>
      </c>
      <c r="W66" s="29" t="s">
        <v>74</v>
      </c>
      <c r="X66" s="29" t="s">
        <v>11</v>
      </c>
      <c r="Y66" s="39">
        <v>58.6</v>
      </c>
      <c r="AD66" s="38"/>
      <c r="AG66" s="39"/>
      <c r="AL66" s="38"/>
      <c r="AO66" s="39"/>
      <c r="AP66" s="38"/>
      <c r="AS66" s="39"/>
      <c r="AT66" s="94"/>
      <c r="AW66" s="39"/>
      <c r="BA66" s="40"/>
    </row>
    <row r="67" spans="1:53" s="29" customFormat="1" x14ac:dyDescent="0.15">
      <c r="A67" s="52">
        <v>1988</v>
      </c>
      <c r="B67" s="295"/>
      <c r="C67" s="411" t="s">
        <v>696</v>
      </c>
      <c r="D67" s="411"/>
      <c r="E67" s="29">
        <v>366</v>
      </c>
      <c r="G67" s="66">
        <v>15</v>
      </c>
      <c r="J67" s="73">
        <v>15</v>
      </c>
      <c r="K67" s="47">
        <f t="shared" si="5"/>
        <v>100</v>
      </c>
      <c r="L67" s="47">
        <f t="shared" si="4"/>
        <v>0</v>
      </c>
      <c r="M67" s="47">
        <f t="shared" si="4"/>
        <v>0</v>
      </c>
      <c r="N67" s="68">
        <f t="shared" si="6"/>
        <v>100</v>
      </c>
      <c r="O67" s="46">
        <v>58.6</v>
      </c>
      <c r="P67" s="47"/>
      <c r="Q67" s="47"/>
      <c r="R67" s="48">
        <f t="shared" si="3"/>
        <v>58.6</v>
      </c>
      <c r="S67" s="29">
        <v>1</v>
      </c>
      <c r="T67" s="286"/>
      <c r="U67" s="295"/>
      <c r="V67" s="38" t="s">
        <v>494</v>
      </c>
      <c r="W67" s="29" t="s">
        <v>74</v>
      </c>
      <c r="X67" s="29" t="s">
        <v>11</v>
      </c>
      <c r="Y67" s="39">
        <v>58.6</v>
      </c>
      <c r="AD67" s="38"/>
      <c r="AG67" s="39"/>
      <c r="AL67" s="38"/>
      <c r="AO67" s="39"/>
      <c r="AP67" s="38"/>
      <c r="AS67" s="39"/>
      <c r="AT67" s="94"/>
      <c r="AW67" s="39"/>
      <c r="BA67" s="40"/>
    </row>
    <row r="68" spans="1:53" s="29" customFormat="1" x14ac:dyDescent="0.15">
      <c r="A68" s="52">
        <v>1989</v>
      </c>
      <c r="B68" s="295"/>
      <c r="C68" s="411" t="s">
        <v>696</v>
      </c>
      <c r="D68" s="411"/>
      <c r="E68" s="29">
        <v>153</v>
      </c>
      <c r="G68" s="66">
        <v>15</v>
      </c>
      <c r="J68" s="73">
        <v>15</v>
      </c>
      <c r="K68" s="47">
        <f t="shared" si="5"/>
        <v>100</v>
      </c>
      <c r="L68" s="47">
        <f t="shared" si="4"/>
        <v>0</v>
      </c>
      <c r="M68" s="47">
        <f t="shared" si="4"/>
        <v>0</v>
      </c>
      <c r="N68" s="68">
        <f t="shared" si="6"/>
        <v>100</v>
      </c>
      <c r="O68" s="46">
        <v>58.6</v>
      </c>
      <c r="P68" s="47"/>
      <c r="Q68" s="47"/>
      <c r="R68" s="48">
        <f t="shared" si="3"/>
        <v>58.6</v>
      </c>
      <c r="S68" s="29">
        <v>1</v>
      </c>
      <c r="T68" s="286"/>
      <c r="U68" s="295"/>
      <c r="V68" s="38" t="s">
        <v>494</v>
      </c>
      <c r="W68" s="29" t="s">
        <v>74</v>
      </c>
      <c r="X68" s="29" t="s">
        <v>11</v>
      </c>
      <c r="Y68" s="39">
        <v>58.6</v>
      </c>
      <c r="AD68" s="38"/>
      <c r="AG68" s="39"/>
      <c r="AL68" s="38"/>
      <c r="AO68" s="39"/>
      <c r="AP68" s="38"/>
      <c r="AS68" s="39"/>
      <c r="AT68" s="94"/>
      <c r="AW68" s="39"/>
      <c r="BA68" s="40"/>
    </row>
    <row r="69" spans="1:53" s="171" customFormat="1" x14ac:dyDescent="0.15">
      <c r="A69" s="216">
        <v>1989</v>
      </c>
      <c r="B69" s="283">
        <v>32662</v>
      </c>
      <c r="C69" s="410" t="s">
        <v>697</v>
      </c>
      <c r="D69" s="410"/>
      <c r="E69" s="171">
        <v>67</v>
      </c>
      <c r="F69" s="171">
        <v>2</v>
      </c>
      <c r="G69" s="233">
        <v>15</v>
      </c>
      <c r="J69" s="241">
        <v>15</v>
      </c>
      <c r="K69" s="214">
        <f t="shared" si="5"/>
        <v>100</v>
      </c>
      <c r="L69" s="214">
        <f t="shared" si="4"/>
        <v>0</v>
      </c>
      <c r="M69" s="214">
        <f t="shared" si="4"/>
        <v>0</v>
      </c>
      <c r="N69" s="235">
        <f t="shared" si="6"/>
        <v>100</v>
      </c>
      <c r="O69" s="213">
        <v>58.6</v>
      </c>
      <c r="P69" s="214"/>
      <c r="Q69" s="214"/>
      <c r="R69" s="215">
        <f t="shared" si="3"/>
        <v>58.6</v>
      </c>
      <c r="S69" s="171">
        <v>1</v>
      </c>
      <c r="T69" s="285"/>
      <c r="U69" s="283">
        <v>32662</v>
      </c>
      <c r="V69" s="178" t="s">
        <v>494</v>
      </c>
      <c r="W69" s="171" t="s">
        <v>74</v>
      </c>
      <c r="X69" s="171" t="s">
        <v>11</v>
      </c>
      <c r="Y69" s="179">
        <v>58.6</v>
      </c>
      <c r="AD69" s="178"/>
      <c r="AG69" s="179"/>
      <c r="AL69" s="178"/>
      <c r="AO69" s="179"/>
      <c r="AP69" s="178"/>
      <c r="AS69" s="179"/>
      <c r="AT69" s="253"/>
      <c r="AW69" s="179"/>
      <c r="BA69" s="180"/>
    </row>
    <row r="70" spans="1:53" s="74" customFormat="1" x14ac:dyDescent="0.15">
      <c r="A70" s="92">
        <v>1989</v>
      </c>
      <c r="B70" s="302">
        <v>32729</v>
      </c>
      <c r="C70" s="437" t="s">
        <v>698</v>
      </c>
      <c r="D70" s="437"/>
      <c r="E70" s="74">
        <f>365-E68-E69</f>
        <v>145</v>
      </c>
      <c r="F70" s="74">
        <v>2</v>
      </c>
      <c r="G70" s="66">
        <v>15</v>
      </c>
      <c r="H70" s="29"/>
      <c r="I70" s="29"/>
      <c r="J70" s="73">
        <v>15</v>
      </c>
      <c r="K70" s="47">
        <f t="shared" si="5"/>
        <v>100</v>
      </c>
      <c r="L70" s="47">
        <f t="shared" si="4"/>
        <v>0</v>
      </c>
      <c r="M70" s="47">
        <f t="shared" si="4"/>
        <v>0</v>
      </c>
      <c r="N70" s="68">
        <f t="shared" si="6"/>
        <v>100</v>
      </c>
      <c r="O70" s="46">
        <v>58.6</v>
      </c>
      <c r="P70" s="47"/>
      <c r="Q70" s="47"/>
      <c r="R70" s="48">
        <f t="shared" si="3"/>
        <v>58.6</v>
      </c>
      <c r="S70" s="29">
        <v>1</v>
      </c>
      <c r="T70" s="286"/>
      <c r="U70" s="295">
        <v>32729</v>
      </c>
      <c r="V70" s="38" t="s">
        <v>494</v>
      </c>
      <c r="W70" s="29" t="s">
        <v>74</v>
      </c>
      <c r="X70" s="29" t="s">
        <v>11</v>
      </c>
      <c r="Y70" s="39">
        <v>58.6</v>
      </c>
      <c r="AD70" s="81"/>
      <c r="AG70" s="82"/>
      <c r="AL70" s="81"/>
      <c r="AO70" s="82"/>
      <c r="AP70" s="81"/>
      <c r="AS70" s="82"/>
      <c r="AT70" s="113"/>
      <c r="AW70" s="82"/>
      <c r="BA70" s="83"/>
    </row>
    <row r="71" spans="1:53" s="29" customFormat="1" x14ac:dyDescent="0.15">
      <c r="A71" s="29">
        <v>1990</v>
      </c>
      <c r="B71" s="295"/>
      <c r="C71" s="440" t="s">
        <v>698</v>
      </c>
      <c r="D71" s="440"/>
      <c r="E71" s="29">
        <v>58</v>
      </c>
      <c r="G71" s="95">
        <v>15</v>
      </c>
      <c r="H71" s="85"/>
      <c r="I71" s="85"/>
      <c r="J71" s="96">
        <v>15</v>
      </c>
      <c r="K71" s="97">
        <f t="shared" si="5"/>
        <v>100</v>
      </c>
      <c r="L71" s="97">
        <f t="shared" si="4"/>
        <v>0</v>
      </c>
      <c r="M71" s="97">
        <f t="shared" si="4"/>
        <v>0</v>
      </c>
      <c r="N71" s="98">
        <f t="shared" si="6"/>
        <v>100</v>
      </c>
      <c r="O71" s="99">
        <v>58.6</v>
      </c>
      <c r="P71" s="97"/>
      <c r="Q71" s="97"/>
      <c r="R71" s="100">
        <f t="shared" si="3"/>
        <v>58.6</v>
      </c>
      <c r="S71" s="85">
        <v>1</v>
      </c>
      <c r="T71" s="313"/>
      <c r="U71" s="312"/>
      <c r="V71" s="101" t="s">
        <v>494</v>
      </c>
      <c r="W71" s="85" t="s">
        <v>74</v>
      </c>
      <c r="X71" s="85" t="s">
        <v>11</v>
      </c>
      <c r="Y71" s="102">
        <v>58.6</v>
      </c>
      <c r="AD71" s="38"/>
      <c r="AG71" s="39"/>
      <c r="AL71" s="38"/>
      <c r="AO71" s="39"/>
      <c r="AP71" s="38"/>
      <c r="AS71" s="39"/>
      <c r="AT71" s="94"/>
      <c r="AW71" s="39"/>
      <c r="BA71" s="40"/>
    </row>
    <row r="72" spans="1:53" s="171" customFormat="1" x14ac:dyDescent="0.15">
      <c r="A72" s="171">
        <v>1990</v>
      </c>
      <c r="B72" s="283">
        <v>32932</v>
      </c>
      <c r="C72" s="410" t="s">
        <v>310</v>
      </c>
      <c r="D72" s="410"/>
      <c r="E72" s="171">
        <f>365-E71</f>
        <v>307</v>
      </c>
      <c r="F72" s="171">
        <v>1</v>
      </c>
      <c r="G72" s="233">
        <v>22</v>
      </c>
      <c r="J72" s="241">
        <v>22</v>
      </c>
      <c r="K72" s="214">
        <f t="shared" si="5"/>
        <v>100</v>
      </c>
      <c r="L72" s="214">
        <f t="shared" si="4"/>
        <v>0</v>
      </c>
      <c r="M72" s="214">
        <f t="shared" si="4"/>
        <v>0</v>
      </c>
      <c r="N72" s="235">
        <f t="shared" si="6"/>
        <v>100</v>
      </c>
      <c r="O72" s="213">
        <v>53.7</v>
      </c>
      <c r="P72" s="214"/>
      <c r="Q72" s="214"/>
      <c r="R72" s="215">
        <f t="shared" si="3"/>
        <v>53.7</v>
      </c>
      <c r="S72" s="171">
        <v>1</v>
      </c>
      <c r="T72" s="285">
        <v>32922</v>
      </c>
      <c r="U72" s="283">
        <v>32932</v>
      </c>
      <c r="V72" s="178" t="s">
        <v>494</v>
      </c>
      <c r="W72" s="171" t="s">
        <v>74</v>
      </c>
      <c r="X72" s="171" t="s">
        <v>11</v>
      </c>
      <c r="Y72" s="179">
        <v>53.7</v>
      </c>
      <c r="AD72" s="178"/>
      <c r="AG72" s="179"/>
      <c r="AL72" s="178"/>
      <c r="AO72" s="179"/>
      <c r="AP72" s="178"/>
      <c r="AS72" s="179"/>
      <c r="AT72" s="253"/>
      <c r="AW72" s="179"/>
      <c r="BA72" s="180"/>
    </row>
    <row r="73" spans="1:53" s="171" customFormat="1" x14ac:dyDescent="0.15">
      <c r="A73" s="171">
        <v>1991</v>
      </c>
      <c r="B73" s="283"/>
      <c r="C73" s="410" t="s">
        <v>310</v>
      </c>
      <c r="D73" s="410"/>
      <c r="E73" s="171">
        <v>308</v>
      </c>
      <c r="G73" s="233">
        <v>22</v>
      </c>
      <c r="J73" s="241">
        <v>22</v>
      </c>
      <c r="K73" s="214">
        <f t="shared" si="5"/>
        <v>100</v>
      </c>
      <c r="L73" s="214">
        <f t="shared" si="4"/>
        <v>0</v>
      </c>
      <c r="M73" s="214">
        <f t="shared" si="4"/>
        <v>0</v>
      </c>
      <c r="N73" s="235">
        <f t="shared" si="6"/>
        <v>100</v>
      </c>
      <c r="O73" s="213">
        <v>53.7</v>
      </c>
      <c r="P73" s="214"/>
      <c r="Q73" s="214"/>
      <c r="R73" s="215">
        <f t="shared" ref="R73:R131" si="8">O73+P73+Q73</f>
        <v>53.7</v>
      </c>
      <c r="S73" s="171">
        <v>1</v>
      </c>
      <c r="T73" s="285"/>
      <c r="U73" s="283"/>
      <c r="V73" s="178" t="s">
        <v>494</v>
      </c>
      <c r="W73" s="171" t="s">
        <v>74</v>
      </c>
      <c r="X73" s="171" t="s">
        <v>11</v>
      </c>
      <c r="Y73" s="179">
        <v>53.7</v>
      </c>
      <c r="AD73" s="178"/>
      <c r="AG73" s="179"/>
      <c r="AL73" s="178"/>
      <c r="AO73" s="179"/>
      <c r="AP73" s="178"/>
      <c r="AS73" s="179"/>
      <c r="AT73" s="253"/>
      <c r="AW73" s="179"/>
      <c r="BA73" s="180"/>
    </row>
    <row r="74" spans="1:53" s="29" customFormat="1" x14ac:dyDescent="0.15">
      <c r="A74" s="29">
        <v>1991</v>
      </c>
      <c r="B74" s="295">
        <v>33547</v>
      </c>
      <c r="C74" s="411" t="s">
        <v>311</v>
      </c>
      <c r="D74" s="411"/>
      <c r="E74" s="29">
        <f>365-E73</f>
        <v>57</v>
      </c>
      <c r="F74" s="29">
        <v>3</v>
      </c>
      <c r="G74" s="66">
        <v>21</v>
      </c>
      <c r="J74" s="73">
        <v>21</v>
      </c>
      <c r="K74" s="47">
        <f t="shared" si="5"/>
        <v>100</v>
      </c>
      <c r="L74" s="47">
        <f t="shared" si="4"/>
        <v>0</v>
      </c>
      <c r="M74" s="47">
        <f t="shared" si="4"/>
        <v>0</v>
      </c>
      <c r="N74" s="68">
        <f t="shared" si="6"/>
        <v>100</v>
      </c>
      <c r="O74" s="46">
        <v>53.7</v>
      </c>
      <c r="P74" s="47"/>
      <c r="Q74" s="47"/>
      <c r="R74" s="48">
        <f t="shared" si="8"/>
        <v>53.7</v>
      </c>
      <c r="S74" s="29">
        <v>1</v>
      </c>
      <c r="T74" s="286"/>
      <c r="U74" s="295">
        <v>33547</v>
      </c>
      <c r="V74" s="38" t="s">
        <v>494</v>
      </c>
      <c r="W74" s="29" t="s">
        <v>74</v>
      </c>
      <c r="X74" s="29" t="s">
        <v>11</v>
      </c>
      <c r="Y74" s="39">
        <v>53.7</v>
      </c>
      <c r="AD74" s="38"/>
      <c r="AG74" s="39"/>
      <c r="AL74" s="38"/>
      <c r="AO74" s="39"/>
      <c r="AP74" s="38"/>
      <c r="AS74" s="39"/>
      <c r="AT74" s="94"/>
      <c r="AW74" s="39"/>
      <c r="BA74" s="40"/>
    </row>
    <row r="75" spans="1:53" s="29" customFormat="1" x14ac:dyDescent="0.15">
      <c r="A75" s="29">
        <v>1992</v>
      </c>
      <c r="B75" s="295"/>
      <c r="C75" s="411" t="s">
        <v>311</v>
      </c>
      <c r="D75" s="411"/>
      <c r="E75" s="29">
        <v>346</v>
      </c>
      <c r="G75" s="66">
        <v>21</v>
      </c>
      <c r="J75" s="73">
        <v>21</v>
      </c>
      <c r="K75" s="47">
        <f t="shared" si="5"/>
        <v>100</v>
      </c>
      <c r="L75" s="47">
        <f t="shared" si="4"/>
        <v>0</v>
      </c>
      <c r="M75" s="47">
        <f t="shared" si="4"/>
        <v>0</v>
      </c>
      <c r="N75" s="68">
        <f t="shared" si="6"/>
        <v>100</v>
      </c>
      <c r="O75" s="46">
        <v>53.7</v>
      </c>
      <c r="P75" s="47"/>
      <c r="Q75" s="47"/>
      <c r="R75" s="48">
        <f t="shared" si="8"/>
        <v>53.7</v>
      </c>
      <c r="S75" s="29">
        <v>1</v>
      </c>
      <c r="T75" s="286"/>
      <c r="U75" s="295"/>
      <c r="V75" s="38" t="s">
        <v>494</v>
      </c>
      <c r="W75" s="29" t="s">
        <v>74</v>
      </c>
      <c r="X75" s="29" t="s">
        <v>11</v>
      </c>
      <c r="Y75" s="39">
        <v>53.7</v>
      </c>
      <c r="AD75" s="38"/>
      <c r="AG75" s="39"/>
      <c r="AL75" s="38"/>
      <c r="AO75" s="39"/>
      <c r="AP75" s="38"/>
      <c r="AS75" s="39"/>
      <c r="AT75" s="94"/>
      <c r="AW75" s="39"/>
      <c r="BA75" s="40"/>
    </row>
    <row r="76" spans="1:53" s="29" customFormat="1" x14ac:dyDescent="0.15">
      <c r="A76" s="29">
        <v>1992</v>
      </c>
      <c r="B76" s="303">
        <v>33950</v>
      </c>
      <c r="C76" s="411" t="s">
        <v>312</v>
      </c>
      <c r="D76" s="411"/>
      <c r="E76" s="29">
        <f>366-E75</f>
        <v>20</v>
      </c>
      <c r="F76" s="84">
        <v>0</v>
      </c>
      <c r="G76" s="66">
        <v>21</v>
      </c>
      <c r="J76" s="73">
        <v>21</v>
      </c>
      <c r="K76" s="47">
        <f t="shared" si="5"/>
        <v>100</v>
      </c>
      <c r="L76" s="47">
        <f t="shared" si="4"/>
        <v>0</v>
      </c>
      <c r="M76" s="47">
        <f t="shared" si="4"/>
        <v>0</v>
      </c>
      <c r="N76" s="68">
        <f t="shared" si="6"/>
        <v>100</v>
      </c>
      <c r="O76" s="46">
        <v>53.7</v>
      </c>
      <c r="P76" s="47"/>
      <c r="Q76" s="47"/>
      <c r="R76" s="48">
        <f t="shared" si="8"/>
        <v>53.7</v>
      </c>
      <c r="S76" s="29">
        <v>1</v>
      </c>
      <c r="T76" s="286"/>
      <c r="U76" s="295"/>
      <c r="V76" s="38" t="s">
        <v>494</v>
      </c>
      <c r="W76" s="29" t="s">
        <v>74</v>
      </c>
      <c r="X76" s="29" t="s">
        <v>11</v>
      </c>
      <c r="Y76" s="39">
        <v>53.7</v>
      </c>
      <c r="AD76" s="38"/>
      <c r="AG76" s="39"/>
      <c r="AL76" s="38"/>
      <c r="AO76" s="39"/>
      <c r="AP76" s="38"/>
      <c r="AS76" s="39"/>
      <c r="AT76" s="94"/>
      <c r="AW76" s="39"/>
      <c r="BA76" s="40"/>
    </row>
    <row r="77" spans="1:53" s="29" customFormat="1" x14ac:dyDescent="0.15">
      <c r="A77" s="29">
        <v>1993</v>
      </c>
      <c r="B77" s="295"/>
      <c r="C77" s="411" t="s">
        <v>312</v>
      </c>
      <c r="D77" s="411"/>
      <c r="E77" s="29">
        <v>220</v>
      </c>
      <c r="G77" s="66">
        <v>21</v>
      </c>
      <c r="J77" s="73">
        <v>21</v>
      </c>
      <c r="K77" s="47">
        <f t="shared" si="5"/>
        <v>100</v>
      </c>
      <c r="L77" s="47">
        <f t="shared" si="4"/>
        <v>0</v>
      </c>
      <c r="M77" s="47">
        <f t="shared" si="4"/>
        <v>0</v>
      </c>
      <c r="N77" s="68">
        <f t="shared" si="6"/>
        <v>100</v>
      </c>
      <c r="O77" s="46">
        <v>53.7</v>
      </c>
      <c r="P77" s="47"/>
      <c r="Q77" s="47"/>
      <c r="R77" s="48">
        <f t="shared" si="8"/>
        <v>53.7</v>
      </c>
      <c r="S77" s="29">
        <v>1</v>
      </c>
      <c r="T77" s="286"/>
      <c r="U77" s="295"/>
      <c r="V77" s="38" t="s">
        <v>494</v>
      </c>
      <c r="W77" s="29" t="s">
        <v>74</v>
      </c>
      <c r="X77" s="29" t="s">
        <v>11</v>
      </c>
      <c r="Y77" s="39">
        <v>53.7</v>
      </c>
      <c r="AD77" s="38"/>
      <c r="AG77" s="39"/>
      <c r="AL77" s="38"/>
      <c r="AO77" s="39"/>
      <c r="AP77" s="38"/>
      <c r="AS77" s="39"/>
      <c r="AT77" s="94"/>
      <c r="AW77" s="39"/>
      <c r="BA77" s="40"/>
    </row>
    <row r="78" spans="1:53" s="171" customFormat="1" x14ac:dyDescent="0.15">
      <c r="A78" s="171">
        <v>1993</v>
      </c>
      <c r="B78" s="283">
        <v>34190</v>
      </c>
      <c r="C78" s="410" t="s">
        <v>313</v>
      </c>
      <c r="D78" s="410"/>
      <c r="E78" s="171">
        <f>365-E77</f>
        <v>145</v>
      </c>
      <c r="F78" s="171">
        <v>5</v>
      </c>
      <c r="G78" s="233">
        <v>7</v>
      </c>
      <c r="H78" s="171">
        <v>4</v>
      </c>
      <c r="I78" s="171">
        <v>8</v>
      </c>
      <c r="J78" s="241">
        <v>21</v>
      </c>
      <c r="K78" s="214">
        <f t="shared" si="5"/>
        <v>33.333333333333329</v>
      </c>
      <c r="L78" s="214">
        <f t="shared" si="4"/>
        <v>19.047619047619047</v>
      </c>
      <c r="M78" s="214">
        <f t="shared" si="4"/>
        <v>38.095238095238095</v>
      </c>
      <c r="N78" s="235">
        <f t="shared" si="6"/>
        <v>90.476190476190482</v>
      </c>
      <c r="O78" s="213">
        <v>20.100000000000001</v>
      </c>
      <c r="P78" s="214">
        <v>10</v>
      </c>
      <c r="Q78" s="214">
        <f>16.6+0.8</f>
        <v>17.400000000000002</v>
      </c>
      <c r="R78" s="215">
        <f t="shared" si="8"/>
        <v>47.5</v>
      </c>
      <c r="S78" s="171">
        <v>5</v>
      </c>
      <c r="T78" s="285">
        <v>34168</v>
      </c>
      <c r="U78" s="283">
        <v>34190</v>
      </c>
      <c r="V78" s="178" t="s">
        <v>111</v>
      </c>
      <c r="W78" s="171" t="s">
        <v>20</v>
      </c>
      <c r="X78" s="171" t="s">
        <v>12</v>
      </c>
      <c r="Y78" s="179">
        <v>13.7</v>
      </c>
      <c r="Z78" s="171" t="s">
        <v>496</v>
      </c>
      <c r="AA78" s="171" t="s">
        <v>75</v>
      </c>
      <c r="AB78" s="171" t="s">
        <v>11</v>
      </c>
      <c r="AC78" s="171">
        <v>10.8</v>
      </c>
      <c r="AD78" s="178" t="s">
        <v>497</v>
      </c>
      <c r="AE78" s="171" t="s">
        <v>17</v>
      </c>
      <c r="AF78" s="171" t="s">
        <v>18</v>
      </c>
      <c r="AG78" s="179">
        <v>10</v>
      </c>
      <c r="AH78" s="171" t="s">
        <v>498</v>
      </c>
      <c r="AI78" s="171" t="s">
        <v>76</v>
      </c>
      <c r="AJ78" s="171" t="s">
        <v>11</v>
      </c>
      <c r="AK78" s="171">
        <v>6.8</v>
      </c>
      <c r="AL78" s="178" t="s">
        <v>499</v>
      </c>
      <c r="AM78" s="171" t="s">
        <v>97</v>
      </c>
      <c r="AN78" s="171" t="s">
        <v>12</v>
      </c>
      <c r="AO78" s="179">
        <v>2.9</v>
      </c>
      <c r="AP78" s="178" t="s">
        <v>566</v>
      </c>
      <c r="AQ78" s="171" t="s">
        <v>79</v>
      </c>
      <c r="AR78" s="171" t="s">
        <v>11</v>
      </c>
      <c r="AS78" s="179">
        <v>2.5</v>
      </c>
      <c r="AT78" s="253" t="s">
        <v>500</v>
      </c>
      <c r="AU78" s="171" t="s">
        <v>327</v>
      </c>
      <c r="AV78" s="171" t="s">
        <v>12</v>
      </c>
      <c r="AW78" s="179">
        <v>0.8</v>
      </c>
      <c r="BA78" s="180"/>
    </row>
    <row r="79" spans="1:53" s="171" customFormat="1" x14ac:dyDescent="0.15">
      <c r="A79" s="171">
        <v>1994</v>
      </c>
      <c r="B79" s="283"/>
      <c r="C79" s="410" t="s">
        <v>313</v>
      </c>
      <c r="D79" s="410"/>
      <c r="E79" s="171">
        <v>117</v>
      </c>
      <c r="G79" s="233">
        <v>7</v>
      </c>
      <c r="H79" s="171">
        <v>4</v>
      </c>
      <c r="I79" s="171">
        <v>8</v>
      </c>
      <c r="J79" s="241">
        <v>21</v>
      </c>
      <c r="K79" s="214">
        <f t="shared" si="5"/>
        <v>33.333333333333329</v>
      </c>
      <c r="L79" s="214">
        <f t="shared" si="4"/>
        <v>19.047619047619047</v>
      </c>
      <c r="M79" s="214">
        <f t="shared" si="4"/>
        <v>38.095238095238095</v>
      </c>
      <c r="N79" s="235">
        <f t="shared" si="6"/>
        <v>90.476190476190482</v>
      </c>
      <c r="O79" s="213">
        <v>20.100000000000001</v>
      </c>
      <c r="P79" s="214">
        <v>10</v>
      </c>
      <c r="Q79" s="214">
        <f>16.6+0.8</f>
        <v>17.400000000000002</v>
      </c>
      <c r="R79" s="215">
        <f t="shared" si="8"/>
        <v>47.5</v>
      </c>
      <c r="S79" s="171">
        <v>5</v>
      </c>
      <c r="T79" s="285"/>
      <c r="U79" s="283"/>
      <c r="V79" s="178" t="s">
        <v>111</v>
      </c>
      <c r="W79" s="171" t="s">
        <v>20</v>
      </c>
      <c r="X79" s="171" t="s">
        <v>12</v>
      </c>
      <c r="Y79" s="179">
        <v>13.7</v>
      </c>
      <c r="Z79" s="171" t="s">
        <v>496</v>
      </c>
      <c r="AA79" s="171" t="s">
        <v>75</v>
      </c>
      <c r="AB79" s="171" t="s">
        <v>11</v>
      </c>
      <c r="AC79" s="171">
        <v>10.8</v>
      </c>
      <c r="AD79" s="178" t="s">
        <v>497</v>
      </c>
      <c r="AE79" s="171" t="s">
        <v>17</v>
      </c>
      <c r="AF79" s="171" t="s">
        <v>18</v>
      </c>
      <c r="AG79" s="179">
        <v>10</v>
      </c>
      <c r="AH79" s="171" t="s">
        <v>498</v>
      </c>
      <c r="AI79" s="171" t="s">
        <v>76</v>
      </c>
      <c r="AJ79" s="171" t="s">
        <v>11</v>
      </c>
      <c r="AK79" s="171">
        <v>6.8</v>
      </c>
      <c r="AL79" s="178" t="s">
        <v>499</v>
      </c>
      <c r="AM79" s="171" t="s">
        <v>97</v>
      </c>
      <c r="AN79" s="171" t="s">
        <v>12</v>
      </c>
      <c r="AO79" s="179">
        <v>2.9</v>
      </c>
      <c r="AP79" s="178" t="s">
        <v>566</v>
      </c>
      <c r="AQ79" s="171" t="s">
        <v>79</v>
      </c>
      <c r="AR79" s="171" t="s">
        <v>11</v>
      </c>
      <c r="AS79" s="179">
        <v>2.5</v>
      </c>
      <c r="AT79" s="253" t="s">
        <v>500</v>
      </c>
      <c r="AU79" s="171" t="s">
        <v>327</v>
      </c>
      <c r="AV79" s="171" t="s">
        <v>12</v>
      </c>
      <c r="AW79" s="179">
        <v>0.8</v>
      </c>
      <c r="BA79" s="180"/>
    </row>
    <row r="80" spans="1:53" s="29" customFormat="1" x14ac:dyDescent="0.15">
      <c r="A80" s="29">
        <v>1994</v>
      </c>
      <c r="B80" s="295">
        <v>34452</v>
      </c>
      <c r="C80" s="411" t="s">
        <v>314</v>
      </c>
      <c r="D80" s="411"/>
      <c r="E80" s="29">
        <v>63</v>
      </c>
      <c r="F80" s="29">
        <v>2</v>
      </c>
      <c r="G80" s="66">
        <v>10</v>
      </c>
      <c r="H80" s="29">
        <v>6</v>
      </c>
      <c r="I80" s="29">
        <v>2</v>
      </c>
      <c r="J80" s="73">
        <v>21</v>
      </c>
      <c r="K80" s="47">
        <f>G80/$J80*100</f>
        <v>47.619047619047613</v>
      </c>
      <c r="L80" s="47">
        <f t="shared" si="4"/>
        <v>28.571428571428569</v>
      </c>
      <c r="M80" s="47">
        <f t="shared" si="4"/>
        <v>9.5238095238095237</v>
      </c>
      <c r="N80" s="68">
        <f>K80+L80+M80</f>
        <v>85.714285714285694</v>
      </c>
      <c r="O80" s="46">
        <v>17.600000000000001</v>
      </c>
      <c r="P80" s="47">
        <v>10</v>
      </c>
      <c r="Q80" s="47">
        <v>2.9</v>
      </c>
      <c r="R80" s="48">
        <f t="shared" si="8"/>
        <v>30.5</v>
      </c>
      <c r="S80" s="29">
        <v>5</v>
      </c>
      <c r="T80" s="286"/>
      <c r="U80" s="295">
        <v>34452</v>
      </c>
      <c r="V80" s="29" t="s">
        <v>496</v>
      </c>
      <c r="W80" s="29" t="s">
        <v>75</v>
      </c>
      <c r="X80" s="29" t="s">
        <v>11</v>
      </c>
      <c r="Y80" s="39">
        <v>10.8</v>
      </c>
      <c r="Z80" s="29" t="s">
        <v>497</v>
      </c>
      <c r="AA80" s="29" t="s">
        <v>17</v>
      </c>
      <c r="AB80" s="29" t="s">
        <v>18</v>
      </c>
      <c r="AC80" s="29">
        <v>10</v>
      </c>
      <c r="AD80" s="38" t="s">
        <v>498</v>
      </c>
      <c r="AE80" s="29" t="s">
        <v>76</v>
      </c>
      <c r="AF80" s="29" t="s">
        <v>11</v>
      </c>
      <c r="AG80" s="39">
        <v>6.8</v>
      </c>
      <c r="AH80" s="38" t="s">
        <v>499</v>
      </c>
      <c r="AI80" s="29" t="s">
        <v>97</v>
      </c>
      <c r="AJ80" s="29" t="s">
        <v>12</v>
      </c>
      <c r="AK80" s="29">
        <v>2.9</v>
      </c>
      <c r="AL80" s="38"/>
      <c r="AO80" s="39"/>
      <c r="AP80" s="38"/>
      <c r="AS80" s="39"/>
      <c r="AT80" s="94"/>
      <c r="AW80" s="39"/>
      <c r="BA80" s="40"/>
    </row>
    <row r="81" spans="1:53" s="171" customFormat="1" x14ac:dyDescent="0.15">
      <c r="A81" s="171">
        <v>1994</v>
      </c>
      <c r="B81" s="283">
        <v>34515</v>
      </c>
      <c r="C81" s="410" t="s">
        <v>315</v>
      </c>
      <c r="D81" s="410"/>
      <c r="E81" s="171">
        <f>365-E80-E79</f>
        <v>185</v>
      </c>
      <c r="F81" s="171">
        <v>2</v>
      </c>
      <c r="G81" s="233">
        <v>15</v>
      </c>
      <c r="I81" s="171">
        <v>6</v>
      </c>
      <c r="J81" s="241">
        <v>21</v>
      </c>
      <c r="K81" s="214">
        <f t="shared" ref="K81:M110" si="9">G81/$J81*100</f>
        <v>71.428571428571431</v>
      </c>
      <c r="L81" s="214">
        <f t="shared" si="4"/>
        <v>0</v>
      </c>
      <c r="M81" s="214">
        <f t="shared" si="4"/>
        <v>28.571428571428569</v>
      </c>
      <c r="N81" s="235">
        <f t="shared" ref="N81:N110" si="10">K81+L81+M81</f>
        <v>100</v>
      </c>
      <c r="O81" s="213">
        <v>43.6</v>
      </c>
      <c r="P81" s="214">
        <v>2.5</v>
      </c>
      <c r="Q81" s="214">
        <v>13.7</v>
      </c>
      <c r="R81" s="215">
        <f t="shared" si="8"/>
        <v>59.8</v>
      </c>
      <c r="S81" s="171">
        <v>3</v>
      </c>
      <c r="T81" s="285"/>
      <c r="U81" s="283">
        <v>34515</v>
      </c>
      <c r="V81" s="178" t="s">
        <v>494</v>
      </c>
      <c r="W81" s="171" t="s">
        <v>74</v>
      </c>
      <c r="X81" s="171" t="s">
        <v>11</v>
      </c>
      <c r="Y81" s="179">
        <v>43.6</v>
      </c>
      <c r="Z81" s="171" t="s">
        <v>111</v>
      </c>
      <c r="AA81" s="171" t="s">
        <v>20</v>
      </c>
      <c r="AB81" s="171" t="s">
        <v>12</v>
      </c>
      <c r="AC81" s="171">
        <v>13.7</v>
      </c>
      <c r="AD81" s="178" t="s">
        <v>567</v>
      </c>
      <c r="AE81" s="171" t="s">
        <v>79</v>
      </c>
      <c r="AF81" s="171" t="s">
        <v>18</v>
      </c>
      <c r="AG81" s="179">
        <v>2.5</v>
      </c>
      <c r="AL81" s="178"/>
      <c r="AO81" s="179"/>
      <c r="AP81" s="178"/>
      <c r="AS81" s="179"/>
      <c r="AT81" s="253"/>
      <c r="AW81" s="179"/>
      <c r="BA81" s="180"/>
    </row>
    <row r="82" spans="1:53" s="171" customFormat="1" x14ac:dyDescent="0.15">
      <c r="A82" s="171">
        <v>1995</v>
      </c>
      <c r="B82" s="283"/>
      <c r="C82" s="410" t="s">
        <v>315</v>
      </c>
      <c r="D82" s="410"/>
      <c r="E82" s="171">
        <v>219</v>
      </c>
      <c r="G82" s="233">
        <v>15</v>
      </c>
      <c r="I82" s="171">
        <v>6</v>
      </c>
      <c r="J82" s="241">
        <v>21</v>
      </c>
      <c r="K82" s="214">
        <f t="shared" si="9"/>
        <v>71.428571428571431</v>
      </c>
      <c r="L82" s="214">
        <f t="shared" si="4"/>
        <v>0</v>
      </c>
      <c r="M82" s="214">
        <f t="shared" si="4"/>
        <v>28.571428571428569</v>
      </c>
      <c r="N82" s="235">
        <f t="shared" si="10"/>
        <v>100</v>
      </c>
      <c r="O82" s="213">
        <v>43.6</v>
      </c>
      <c r="P82" s="214">
        <v>2.5</v>
      </c>
      <c r="Q82" s="214">
        <v>13.7</v>
      </c>
      <c r="R82" s="215">
        <f t="shared" si="8"/>
        <v>59.8</v>
      </c>
      <c r="S82" s="171">
        <v>3</v>
      </c>
      <c r="T82" s="285"/>
      <c r="U82" s="283"/>
      <c r="V82" s="178" t="s">
        <v>494</v>
      </c>
      <c r="W82" s="171" t="s">
        <v>74</v>
      </c>
      <c r="X82" s="171" t="s">
        <v>11</v>
      </c>
      <c r="Y82" s="179">
        <v>43.6</v>
      </c>
      <c r="Z82" s="171" t="s">
        <v>111</v>
      </c>
      <c r="AA82" s="171" t="s">
        <v>20</v>
      </c>
      <c r="AB82" s="171" t="s">
        <v>12</v>
      </c>
      <c r="AC82" s="171">
        <v>13.7</v>
      </c>
      <c r="AD82" s="178" t="s">
        <v>567</v>
      </c>
      <c r="AE82" s="171" t="s">
        <v>79</v>
      </c>
      <c r="AF82" s="171" t="s">
        <v>18</v>
      </c>
      <c r="AG82" s="179">
        <v>2.5</v>
      </c>
      <c r="AL82" s="178"/>
      <c r="AO82" s="179"/>
      <c r="AP82" s="178"/>
      <c r="AS82" s="179"/>
      <c r="AT82" s="253"/>
      <c r="AW82" s="179"/>
      <c r="BA82" s="180"/>
    </row>
    <row r="83" spans="1:53" s="171" customFormat="1" x14ac:dyDescent="0.15">
      <c r="A83" s="171">
        <v>1995</v>
      </c>
      <c r="B83" s="305">
        <v>34919</v>
      </c>
      <c r="C83" s="410" t="s">
        <v>316</v>
      </c>
      <c r="D83" s="410"/>
      <c r="E83" s="171">
        <f>365-E82</f>
        <v>146</v>
      </c>
      <c r="F83" s="244">
        <v>0</v>
      </c>
      <c r="G83" s="233">
        <v>14</v>
      </c>
      <c r="I83" s="171">
        <v>6</v>
      </c>
      <c r="J83" s="241">
        <v>21</v>
      </c>
      <c r="K83" s="214">
        <f t="shared" si="9"/>
        <v>66.666666666666657</v>
      </c>
      <c r="L83" s="214">
        <f t="shared" si="4"/>
        <v>0</v>
      </c>
      <c r="M83" s="214">
        <f t="shared" si="4"/>
        <v>28.571428571428569</v>
      </c>
      <c r="N83" s="235">
        <f t="shared" si="10"/>
        <v>95.238095238095227</v>
      </c>
      <c r="O83" s="213">
        <v>43.6</v>
      </c>
      <c r="P83" s="214">
        <v>2.5</v>
      </c>
      <c r="Q83" s="214">
        <v>13.7</v>
      </c>
      <c r="R83" s="215">
        <f t="shared" si="8"/>
        <v>59.8</v>
      </c>
      <c r="S83" s="171">
        <v>3</v>
      </c>
      <c r="T83" s="285"/>
      <c r="U83" s="283">
        <v>34919</v>
      </c>
      <c r="V83" s="178" t="s">
        <v>494</v>
      </c>
      <c r="W83" s="171" t="s">
        <v>74</v>
      </c>
      <c r="X83" s="171" t="s">
        <v>11</v>
      </c>
      <c r="Y83" s="179">
        <v>43.6</v>
      </c>
      <c r="Z83" s="171" t="s">
        <v>111</v>
      </c>
      <c r="AA83" s="171" t="s">
        <v>20</v>
      </c>
      <c r="AB83" s="171" t="s">
        <v>12</v>
      </c>
      <c r="AC83" s="171">
        <v>13.7</v>
      </c>
      <c r="AD83" s="178" t="s">
        <v>567</v>
      </c>
      <c r="AE83" s="171" t="s">
        <v>79</v>
      </c>
      <c r="AF83" s="171" t="s">
        <v>18</v>
      </c>
      <c r="AG83" s="179">
        <v>2.5</v>
      </c>
      <c r="AL83" s="178"/>
      <c r="AO83" s="179"/>
      <c r="AP83" s="178"/>
      <c r="AS83" s="179"/>
      <c r="AT83" s="253"/>
      <c r="AW83" s="179"/>
      <c r="BA83" s="180"/>
    </row>
    <row r="84" spans="1:53" s="171" customFormat="1" x14ac:dyDescent="0.15">
      <c r="A84" s="171">
        <v>1996</v>
      </c>
      <c r="B84" s="283"/>
      <c r="C84" s="410" t="s">
        <v>316</v>
      </c>
      <c r="D84" s="410"/>
      <c r="E84" s="171">
        <v>10</v>
      </c>
      <c r="G84" s="233">
        <v>14</v>
      </c>
      <c r="I84" s="171">
        <v>6</v>
      </c>
      <c r="J84" s="241">
        <v>21</v>
      </c>
      <c r="K84" s="214">
        <f t="shared" si="9"/>
        <v>66.666666666666657</v>
      </c>
      <c r="L84" s="214">
        <f t="shared" si="4"/>
        <v>0</v>
      </c>
      <c r="M84" s="214">
        <f t="shared" si="4"/>
        <v>28.571428571428569</v>
      </c>
      <c r="N84" s="235">
        <f t="shared" si="10"/>
        <v>95.238095238095227</v>
      </c>
      <c r="O84" s="213">
        <v>43.6</v>
      </c>
      <c r="P84" s="214">
        <v>2.5</v>
      </c>
      <c r="Q84" s="214">
        <v>13.7</v>
      </c>
      <c r="R84" s="215">
        <f t="shared" si="8"/>
        <v>59.8</v>
      </c>
      <c r="S84" s="171">
        <v>3</v>
      </c>
      <c r="T84" s="285"/>
      <c r="U84" s="283"/>
      <c r="V84" s="178" t="s">
        <v>494</v>
      </c>
      <c r="W84" s="171" t="s">
        <v>74</v>
      </c>
      <c r="X84" s="171" t="s">
        <v>11</v>
      </c>
      <c r="Y84" s="179">
        <v>43.6</v>
      </c>
      <c r="Z84" s="171" t="s">
        <v>111</v>
      </c>
      <c r="AA84" s="171" t="s">
        <v>20</v>
      </c>
      <c r="AB84" s="171" t="s">
        <v>12</v>
      </c>
      <c r="AC84" s="171">
        <v>13.7</v>
      </c>
      <c r="AD84" s="178" t="s">
        <v>567</v>
      </c>
      <c r="AE84" s="171" t="s">
        <v>79</v>
      </c>
      <c r="AF84" s="171" t="s">
        <v>18</v>
      </c>
      <c r="AG84" s="179">
        <v>2.5</v>
      </c>
      <c r="AL84" s="178"/>
      <c r="AO84" s="179"/>
      <c r="AP84" s="178"/>
      <c r="AS84" s="179"/>
      <c r="AT84" s="253"/>
      <c r="AW84" s="179"/>
      <c r="BA84" s="180"/>
    </row>
    <row r="85" spans="1:53" s="29" customFormat="1" x14ac:dyDescent="0.15">
      <c r="A85" s="29">
        <v>1996</v>
      </c>
      <c r="B85" s="295">
        <v>35075</v>
      </c>
      <c r="C85" s="411" t="s">
        <v>317</v>
      </c>
      <c r="D85" s="411"/>
      <c r="E85" s="29">
        <v>301</v>
      </c>
      <c r="F85" s="29">
        <v>2</v>
      </c>
      <c r="G85" s="66">
        <v>13</v>
      </c>
      <c r="I85" s="29">
        <v>7</v>
      </c>
      <c r="J85" s="73">
        <v>21</v>
      </c>
      <c r="K85" s="47">
        <f t="shared" si="9"/>
        <v>61.904761904761905</v>
      </c>
      <c r="L85" s="47">
        <f t="shared" si="4"/>
        <v>0</v>
      </c>
      <c r="M85" s="47">
        <f t="shared" si="4"/>
        <v>33.333333333333329</v>
      </c>
      <c r="N85" s="68">
        <f t="shared" si="10"/>
        <v>95.238095238095241</v>
      </c>
      <c r="O85" s="46">
        <v>43.6</v>
      </c>
      <c r="P85" s="47">
        <v>2.5</v>
      </c>
      <c r="Q85" s="47">
        <v>13.7</v>
      </c>
      <c r="R85" s="48">
        <f t="shared" si="8"/>
        <v>59.8</v>
      </c>
      <c r="S85" s="29">
        <v>3</v>
      </c>
      <c r="T85" s="286"/>
      <c r="U85" s="295">
        <v>35075</v>
      </c>
      <c r="V85" s="38" t="s">
        <v>494</v>
      </c>
      <c r="W85" s="29" t="s">
        <v>74</v>
      </c>
      <c r="X85" s="29" t="s">
        <v>11</v>
      </c>
      <c r="Y85" s="39">
        <v>43.6</v>
      </c>
      <c r="Z85" s="29" t="s">
        <v>111</v>
      </c>
      <c r="AA85" s="29" t="s">
        <v>20</v>
      </c>
      <c r="AB85" s="29" t="s">
        <v>12</v>
      </c>
      <c r="AC85" s="29">
        <v>13.7</v>
      </c>
      <c r="AD85" s="38" t="s">
        <v>567</v>
      </c>
      <c r="AE85" s="29" t="s">
        <v>79</v>
      </c>
      <c r="AF85" s="29" t="s">
        <v>18</v>
      </c>
      <c r="AG85" s="39">
        <v>2.5</v>
      </c>
      <c r="AL85" s="38"/>
      <c r="AO85" s="39"/>
      <c r="AP85" s="38"/>
      <c r="AS85" s="39"/>
      <c r="AT85" s="94"/>
      <c r="AW85" s="39"/>
      <c r="BA85" s="40"/>
    </row>
    <row r="86" spans="1:53" s="171" customFormat="1" x14ac:dyDescent="0.15">
      <c r="A86" s="171">
        <v>1996</v>
      </c>
      <c r="B86" s="283">
        <v>35376</v>
      </c>
      <c r="C86" s="410" t="s">
        <v>318</v>
      </c>
      <c r="D86" s="410"/>
      <c r="E86" s="171">
        <f>366-E85-E84</f>
        <v>55</v>
      </c>
      <c r="F86" s="171">
        <v>1</v>
      </c>
      <c r="G86" s="233">
        <v>21</v>
      </c>
      <c r="J86" s="241">
        <v>21</v>
      </c>
      <c r="K86" s="214">
        <f t="shared" si="9"/>
        <v>100</v>
      </c>
      <c r="L86" s="214">
        <f t="shared" si="4"/>
        <v>0</v>
      </c>
      <c r="M86" s="214">
        <f t="shared" si="4"/>
        <v>0</v>
      </c>
      <c r="N86" s="235">
        <f t="shared" si="10"/>
        <v>100</v>
      </c>
      <c r="O86" s="213">
        <v>47.8</v>
      </c>
      <c r="P86" s="214"/>
      <c r="Q86" s="214"/>
      <c r="R86" s="215">
        <f t="shared" si="8"/>
        <v>47.8</v>
      </c>
      <c r="S86" s="171">
        <v>4</v>
      </c>
      <c r="T86" s="285">
        <v>35358</v>
      </c>
      <c r="U86" s="283">
        <v>35376</v>
      </c>
      <c r="V86" s="178" t="s">
        <v>494</v>
      </c>
      <c r="W86" s="171" t="s">
        <v>74</v>
      </c>
      <c r="X86" s="171" t="s">
        <v>11</v>
      </c>
      <c r="Y86" s="179">
        <v>47.8</v>
      </c>
      <c r="Z86" s="244"/>
      <c r="AA86" s="244"/>
      <c r="AB86" s="244"/>
      <c r="AC86" s="244"/>
      <c r="AD86" s="256"/>
      <c r="AE86" s="244"/>
      <c r="AF86" s="244"/>
      <c r="AG86" s="255"/>
      <c r="AL86" s="178"/>
      <c r="AO86" s="179"/>
      <c r="AP86" s="178"/>
      <c r="AS86" s="179"/>
      <c r="AT86" s="253"/>
      <c r="AW86" s="179"/>
      <c r="BA86" s="180"/>
    </row>
    <row r="87" spans="1:53" s="171" customFormat="1" x14ac:dyDescent="0.15">
      <c r="A87" s="171">
        <v>1997</v>
      </c>
      <c r="B87" s="283"/>
      <c r="C87" s="410" t="s">
        <v>318</v>
      </c>
      <c r="D87" s="410"/>
      <c r="E87" s="171">
        <v>253</v>
      </c>
      <c r="G87" s="233">
        <v>21</v>
      </c>
      <c r="J87" s="241">
        <v>21</v>
      </c>
      <c r="K87" s="214">
        <f t="shared" si="9"/>
        <v>100</v>
      </c>
      <c r="L87" s="214">
        <f t="shared" si="4"/>
        <v>0</v>
      </c>
      <c r="M87" s="214">
        <f t="shared" si="4"/>
        <v>0</v>
      </c>
      <c r="N87" s="235">
        <f t="shared" si="10"/>
        <v>100</v>
      </c>
      <c r="O87" s="213">
        <v>47.8</v>
      </c>
      <c r="P87" s="214"/>
      <c r="Q87" s="214"/>
      <c r="R87" s="215">
        <f t="shared" si="8"/>
        <v>47.8</v>
      </c>
      <c r="S87" s="171">
        <v>4</v>
      </c>
      <c r="T87" s="285"/>
      <c r="U87" s="283"/>
      <c r="V87" s="178" t="s">
        <v>494</v>
      </c>
      <c r="W87" s="171" t="s">
        <v>74</v>
      </c>
      <c r="X87" s="171" t="s">
        <v>11</v>
      </c>
      <c r="Y87" s="179">
        <v>47.8</v>
      </c>
      <c r="Z87" s="244"/>
      <c r="AA87" s="244"/>
      <c r="AB87" s="244"/>
      <c r="AC87" s="244"/>
      <c r="AD87" s="256"/>
      <c r="AE87" s="244"/>
      <c r="AF87" s="244"/>
      <c r="AG87" s="255"/>
      <c r="AL87" s="178"/>
      <c r="AO87" s="179"/>
      <c r="AP87" s="178"/>
      <c r="AS87" s="179"/>
      <c r="AT87" s="253"/>
      <c r="AW87" s="179"/>
      <c r="BA87" s="180"/>
    </row>
    <row r="88" spans="1:53" s="171" customFormat="1" x14ac:dyDescent="0.15">
      <c r="A88" s="171">
        <v>1997</v>
      </c>
      <c r="B88" s="305">
        <v>35684</v>
      </c>
      <c r="C88" s="410" t="s">
        <v>318</v>
      </c>
      <c r="D88" s="410"/>
      <c r="E88" s="171">
        <f>365-E87</f>
        <v>112</v>
      </c>
      <c r="F88" s="244">
        <v>0</v>
      </c>
      <c r="G88" s="233">
        <v>21</v>
      </c>
      <c r="J88" s="241">
        <v>21</v>
      </c>
      <c r="K88" s="214">
        <f t="shared" si="9"/>
        <v>100</v>
      </c>
      <c r="L88" s="214">
        <f t="shared" si="4"/>
        <v>0</v>
      </c>
      <c r="M88" s="214">
        <f t="shared" si="4"/>
        <v>0</v>
      </c>
      <c r="N88" s="235">
        <f t="shared" si="10"/>
        <v>100</v>
      </c>
      <c r="O88" s="213">
        <v>47.8</v>
      </c>
      <c r="P88" s="214"/>
      <c r="Q88" s="214"/>
      <c r="R88" s="215">
        <f t="shared" si="8"/>
        <v>47.8</v>
      </c>
      <c r="S88" s="171">
        <v>4</v>
      </c>
      <c r="T88" s="285"/>
      <c r="U88" s="283"/>
      <c r="V88" s="178" t="s">
        <v>494</v>
      </c>
      <c r="W88" s="171" t="s">
        <v>74</v>
      </c>
      <c r="X88" s="171" t="s">
        <v>11</v>
      </c>
      <c r="Y88" s="179">
        <v>47.8</v>
      </c>
      <c r="Z88" s="244"/>
      <c r="AA88" s="244"/>
      <c r="AB88" s="244"/>
      <c r="AC88" s="244"/>
      <c r="AD88" s="256"/>
      <c r="AE88" s="244"/>
      <c r="AF88" s="244"/>
      <c r="AG88" s="255"/>
      <c r="AL88" s="178"/>
      <c r="AO88" s="179"/>
      <c r="AP88" s="178"/>
      <c r="AS88" s="179"/>
      <c r="AT88" s="253"/>
      <c r="AW88" s="179"/>
      <c r="BA88" s="180"/>
    </row>
    <row r="89" spans="1:53" s="171" customFormat="1" x14ac:dyDescent="0.15">
      <c r="A89" s="171">
        <v>1998</v>
      </c>
      <c r="B89" s="283"/>
      <c r="C89" s="410" t="s">
        <v>318</v>
      </c>
      <c r="D89" s="410"/>
      <c r="E89" s="171">
        <v>210</v>
      </c>
      <c r="G89" s="233">
        <v>21</v>
      </c>
      <c r="J89" s="241">
        <v>21</v>
      </c>
      <c r="K89" s="214">
        <f t="shared" si="9"/>
        <v>100</v>
      </c>
      <c r="L89" s="214">
        <f t="shared" si="4"/>
        <v>0</v>
      </c>
      <c r="M89" s="214">
        <f t="shared" si="4"/>
        <v>0</v>
      </c>
      <c r="N89" s="235">
        <f t="shared" si="10"/>
        <v>100</v>
      </c>
      <c r="O89" s="213">
        <v>47.8</v>
      </c>
      <c r="P89" s="214"/>
      <c r="Q89" s="214"/>
      <c r="R89" s="215">
        <f t="shared" si="8"/>
        <v>47.8</v>
      </c>
      <c r="S89" s="171">
        <v>4</v>
      </c>
      <c r="T89" s="285"/>
      <c r="U89" s="283"/>
      <c r="V89" s="178" t="s">
        <v>494</v>
      </c>
      <c r="W89" s="171" t="s">
        <v>74</v>
      </c>
      <c r="X89" s="171" t="s">
        <v>11</v>
      </c>
      <c r="Y89" s="179">
        <v>47.8</v>
      </c>
      <c r="Z89" s="244"/>
      <c r="AA89" s="244"/>
      <c r="AB89" s="244"/>
      <c r="AC89" s="244"/>
      <c r="AD89" s="256"/>
      <c r="AE89" s="244"/>
      <c r="AF89" s="244"/>
      <c r="AG89" s="255"/>
      <c r="AL89" s="178"/>
      <c r="AO89" s="179"/>
      <c r="AP89" s="178"/>
      <c r="AS89" s="179"/>
      <c r="AT89" s="253"/>
      <c r="AW89" s="179"/>
      <c r="BA89" s="180"/>
    </row>
    <row r="90" spans="1:53" s="29" customFormat="1" x14ac:dyDescent="0.15">
      <c r="A90" s="29">
        <v>1998</v>
      </c>
      <c r="B90" s="295">
        <v>36006</v>
      </c>
      <c r="C90" s="411" t="s">
        <v>319</v>
      </c>
      <c r="D90" s="411"/>
      <c r="E90" s="29">
        <f>365-E89</f>
        <v>155</v>
      </c>
      <c r="F90" s="29">
        <v>2</v>
      </c>
      <c r="G90" s="66">
        <v>20</v>
      </c>
      <c r="J90" s="73">
        <v>21</v>
      </c>
      <c r="K90" s="47">
        <f t="shared" si="9"/>
        <v>95.238095238095227</v>
      </c>
      <c r="L90" s="47">
        <f t="shared" si="4"/>
        <v>0</v>
      </c>
      <c r="M90" s="47">
        <f t="shared" si="4"/>
        <v>0</v>
      </c>
      <c r="N90" s="68">
        <f t="shared" si="10"/>
        <v>95.238095238095227</v>
      </c>
      <c r="O90" s="46">
        <v>47.8</v>
      </c>
      <c r="P90" s="47"/>
      <c r="Q90" s="47"/>
      <c r="R90" s="48">
        <f t="shared" si="8"/>
        <v>47.8</v>
      </c>
      <c r="S90" s="29">
        <v>4</v>
      </c>
      <c r="T90" s="286"/>
      <c r="U90" s="295">
        <v>36006</v>
      </c>
      <c r="V90" s="38" t="s">
        <v>494</v>
      </c>
      <c r="W90" s="29" t="s">
        <v>74</v>
      </c>
      <c r="X90" s="29" t="s">
        <v>11</v>
      </c>
      <c r="Y90" s="39">
        <v>47.8</v>
      </c>
      <c r="AD90" s="38"/>
      <c r="AG90" s="39"/>
      <c r="AL90" s="38"/>
      <c r="AO90" s="39"/>
      <c r="AP90" s="38"/>
      <c r="AS90" s="39"/>
      <c r="AT90" s="94"/>
      <c r="AW90" s="39"/>
      <c r="BA90" s="40"/>
    </row>
    <row r="91" spans="1:53" s="29" customFormat="1" x14ac:dyDescent="0.15">
      <c r="A91" s="29">
        <v>1999</v>
      </c>
      <c r="B91" s="295"/>
      <c r="C91" s="411" t="s">
        <v>319</v>
      </c>
      <c r="D91" s="411"/>
      <c r="E91" s="29">
        <v>13</v>
      </c>
      <c r="G91" s="66">
        <v>20</v>
      </c>
      <c r="J91" s="73">
        <v>21</v>
      </c>
      <c r="K91" s="47">
        <f t="shared" si="9"/>
        <v>95.238095238095227</v>
      </c>
      <c r="L91" s="47">
        <f t="shared" si="4"/>
        <v>0</v>
      </c>
      <c r="M91" s="47">
        <f t="shared" si="4"/>
        <v>0</v>
      </c>
      <c r="N91" s="68">
        <f t="shared" si="10"/>
        <v>95.238095238095227</v>
      </c>
      <c r="O91" s="46">
        <v>47.8</v>
      </c>
      <c r="P91" s="47"/>
      <c r="Q91" s="47"/>
      <c r="R91" s="48">
        <f t="shared" si="8"/>
        <v>47.8</v>
      </c>
      <c r="S91" s="29">
        <v>4</v>
      </c>
      <c r="T91" s="286"/>
      <c r="U91" s="295"/>
      <c r="V91" s="38" t="s">
        <v>494</v>
      </c>
      <c r="W91" s="29" t="s">
        <v>74</v>
      </c>
      <c r="X91" s="29" t="s">
        <v>11</v>
      </c>
      <c r="Y91" s="39">
        <v>47.8</v>
      </c>
      <c r="AD91" s="38"/>
      <c r="AG91" s="39"/>
      <c r="AL91" s="38"/>
      <c r="AO91" s="39"/>
      <c r="AP91" s="38"/>
      <c r="AS91" s="39"/>
      <c r="AT91" s="94"/>
      <c r="AW91" s="39"/>
      <c r="BA91" s="40"/>
    </row>
    <row r="92" spans="1:53" s="171" customFormat="1" x14ac:dyDescent="0.15">
      <c r="A92" s="171">
        <v>1999</v>
      </c>
      <c r="B92" s="283">
        <v>36174</v>
      </c>
      <c r="C92" s="410" t="s">
        <v>320</v>
      </c>
      <c r="D92" s="410"/>
      <c r="E92" s="171">
        <v>264</v>
      </c>
      <c r="F92" s="171">
        <v>7</v>
      </c>
      <c r="G92" s="233">
        <v>21</v>
      </c>
      <c r="J92" s="241">
        <v>22</v>
      </c>
      <c r="K92" s="214">
        <f t="shared" si="9"/>
        <v>95.454545454545453</v>
      </c>
      <c r="L92" s="214">
        <f t="shared" si="4"/>
        <v>0</v>
      </c>
      <c r="M92" s="214">
        <f t="shared" si="4"/>
        <v>0</v>
      </c>
      <c r="N92" s="235">
        <f t="shared" si="10"/>
        <v>95.454545454545453</v>
      </c>
      <c r="O92" s="213">
        <v>55.4</v>
      </c>
      <c r="P92" s="214"/>
      <c r="Q92" s="214"/>
      <c r="R92" s="215">
        <v>55.4</v>
      </c>
      <c r="S92" s="171">
        <v>2</v>
      </c>
      <c r="T92" s="285"/>
      <c r="U92" s="283">
        <v>36174</v>
      </c>
      <c r="V92" s="178" t="s">
        <v>494</v>
      </c>
      <c r="W92" s="171" t="s">
        <v>74</v>
      </c>
      <c r="X92" s="171" t="s">
        <v>11</v>
      </c>
      <c r="Y92" s="179">
        <v>47.8</v>
      </c>
      <c r="Z92" s="171" t="s">
        <v>82</v>
      </c>
      <c r="AA92" s="171" t="s">
        <v>78</v>
      </c>
      <c r="AB92" s="171" t="s">
        <v>11</v>
      </c>
      <c r="AC92" s="171">
        <v>7.6</v>
      </c>
      <c r="AD92" s="178"/>
      <c r="AG92" s="179"/>
      <c r="AL92" s="178"/>
      <c r="AO92" s="179"/>
      <c r="AP92" s="178"/>
      <c r="AS92" s="179"/>
      <c r="AT92" s="253"/>
      <c r="AW92" s="179"/>
      <c r="BA92" s="180"/>
    </row>
    <row r="93" spans="1:53" s="29" customFormat="1" x14ac:dyDescent="0.15">
      <c r="A93" s="29">
        <v>1999</v>
      </c>
      <c r="B93" s="295">
        <v>36438</v>
      </c>
      <c r="C93" s="411" t="s">
        <v>321</v>
      </c>
      <c r="D93" s="411"/>
      <c r="E93" s="29">
        <f>365-E92-E91</f>
        <v>88</v>
      </c>
      <c r="F93" s="29">
        <v>7</v>
      </c>
      <c r="G93" s="66">
        <v>21</v>
      </c>
      <c r="H93" s="29">
        <v>1</v>
      </c>
      <c r="J93" s="73">
        <v>23</v>
      </c>
      <c r="K93" s="47">
        <f t="shared" si="9"/>
        <v>91.304347826086953</v>
      </c>
      <c r="L93" s="47">
        <f t="shared" si="4"/>
        <v>4.3478260869565215</v>
      </c>
      <c r="M93" s="47">
        <f t="shared" si="4"/>
        <v>0</v>
      </c>
      <c r="N93" s="68">
        <f t="shared" si="10"/>
        <v>95.65217391304347</v>
      </c>
      <c r="O93" s="46">
        <v>55.6</v>
      </c>
      <c r="P93" s="47">
        <v>10.4</v>
      </c>
      <c r="Q93" s="47"/>
      <c r="R93" s="48">
        <v>66</v>
      </c>
      <c r="S93" s="29">
        <v>3</v>
      </c>
      <c r="T93" s="286"/>
      <c r="U93" s="295">
        <v>36438</v>
      </c>
      <c r="V93" s="38" t="s">
        <v>494</v>
      </c>
      <c r="W93" s="29" t="s">
        <v>74</v>
      </c>
      <c r="X93" s="29" t="s">
        <v>11</v>
      </c>
      <c r="Y93" s="39">
        <v>47.8</v>
      </c>
      <c r="Z93" s="29" t="s">
        <v>82</v>
      </c>
      <c r="AA93" s="29" t="s">
        <v>78</v>
      </c>
      <c r="AB93" s="29" t="s">
        <v>11</v>
      </c>
      <c r="AC93" s="29">
        <v>7.8</v>
      </c>
      <c r="AD93" s="38" t="s">
        <v>497</v>
      </c>
      <c r="AE93" s="29" t="s">
        <v>17</v>
      </c>
      <c r="AF93" s="29" t="s">
        <v>18</v>
      </c>
      <c r="AG93" s="39">
        <v>10.4</v>
      </c>
      <c r="AL93" s="38"/>
      <c r="AO93" s="39"/>
      <c r="AP93" s="38"/>
      <c r="AS93" s="39"/>
      <c r="AT93" s="94"/>
      <c r="AW93" s="39"/>
      <c r="BA93" s="40"/>
    </row>
    <row r="94" spans="1:53" s="29" customFormat="1" x14ac:dyDescent="0.15">
      <c r="A94" s="29">
        <v>2000</v>
      </c>
      <c r="B94" s="295"/>
      <c r="C94" s="411" t="s">
        <v>321</v>
      </c>
      <c r="D94" s="411"/>
      <c r="E94" s="29">
        <v>95</v>
      </c>
      <c r="G94" s="66">
        <v>21</v>
      </c>
      <c r="H94" s="29">
        <v>1</v>
      </c>
      <c r="J94" s="73">
        <v>23</v>
      </c>
      <c r="K94" s="47">
        <f t="shared" si="9"/>
        <v>91.304347826086953</v>
      </c>
      <c r="L94" s="47">
        <f t="shared" si="9"/>
        <v>4.3478260869565215</v>
      </c>
      <c r="M94" s="47">
        <f t="shared" si="9"/>
        <v>0</v>
      </c>
      <c r="N94" s="68">
        <f t="shared" si="10"/>
        <v>95.65217391304347</v>
      </c>
      <c r="O94" s="46">
        <v>55.6</v>
      </c>
      <c r="P94" s="47">
        <v>10.4</v>
      </c>
      <c r="Q94" s="47"/>
      <c r="R94" s="48">
        <v>66</v>
      </c>
      <c r="S94" s="29">
        <v>3</v>
      </c>
      <c r="T94" s="286"/>
      <c r="U94" s="295"/>
      <c r="V94" s="38" t="s">
        <v>494</v>
      </c>
      <c r="W94" s="29" t="s">
        <v>74</v>
      </c>
      <c r="X94" s="29" t="s">
        <v>11</v>
      </c>
      <c r="Y94" s="39">
        <v>47.8</v>
      </c>
      <c r="Z94" s="29" t="s">
        <v>82</v>
      </c>
      <c r="AA94" s="29" t="s">
        <v>78</v>
      </c>
      <c r="AB94" s="29" t="s">
        <v>11</v>
      </c>
      <c r="AC94" s="29">
        <v>7.8</v>
      </c>
      <c r="AD94" s="38" t="s">
        <v>497</v>
      </c>
      <c r="AE94" s="29" t="s">
        <v>17</v>
      </c>
      <c r="AF94" s="29" t="s">
        <v>18</v>
      </c>
      <c r="AG94" s="39">
        <v>10.4</v>
      </c>
      <c r="AL94" s="38"/>
      <c r="AO94" s="39"/>
      <c r="AP94" s="38"/>
      <c r="AS94" s="39"/>
      <c r="AT94" s="94"/>
      <c r="AW94" s="39"/>
      <c r="BA94" s="40"/>
    </row>
    <row r="95" spans="1:53" s="171" customFormat="1" x14ac:dyDescent="0.15">
      <c r="A95" s="171">
        <v>2000</v>
      </c>
      <c r="B95" s="283">
        <v>36621</v>
      </c>
      <c r="C95" s="410" t="s">
        <v>805</v>
      </c>
      <c r="D95" s="410"/>
      <c r="E95" s="171">
        <v>90</v>
      </c>
      <c r="F95" s="171">
        <v>2</v>
      </c>
      <c r="G95" s="233">
        <v>21</v>
      </c>
      <c r="H95" s="171">
        <v>1</v>
      </c>
      <c r="J95" s="241">
        <v>23</v>
      </c>
      <c r="K95" s="214">
        <f>G95/$J95*100</f>
        <v>91.304347826086953</v>
      </c>
      <c r="L95" s="214">
        <f>H95/$J95*100</f>
        <v>4.3478260869565215</v>
      </c>
      <c r="M95" s="214">
        <f>I95/$J95*100</f>
        <v>0</v>
      </c>
      <c r="N95" s="235">
        <f>K95+L95+M95</f>
        <v>95.65217391304347</v>
      </c>
      <c r="O95" s="213">
        <v>55.6</v>
      </c>
      <c r="P95" s="214">
        <v>10.4</v>
      </c>
      <c r="Q95" s="214"/>
      <c r="R95" s="215">
        <v>66</v>
      </c>
      <c r="S95" s="171">
        <v>3</v>
      </c>
      <c r="T95" s="285"/>
      <c r="U95" s="283">
        <v>36621</v>
      </c>
      <c r="V95" s="178" t="s">
        <v>494</v>
      </c>
      <c r="W95" s="171" t="s">
        <v>74</v>
      </c>
      <c r="X95" s="171" t="s">
        <v>11</v>
      </c>
      <c r="Y95" s="179">
        <v>47.8</v>
      </c>
      <c r="Z95" s="171" t="s">
        <v>82</v>
      </c>
      <c r="AA95" s="171" t="s">
        <v>78</v>
      </c>
      <c r="AB95" s="171" t="s">
        <v>11</v>
      </c>
      <c r="AC95" s="171">
        <v>7.8</v>
      </c>
      <c r="AD95" s="178" t="s">
        <v>497</v>
      </c>
      <c r="AE95" s="171" t="s">
        <v>17</v>
      </c>
      <c r="AF95" s="171" t="s">
        <v>18</v>
      </c>
      <c r="AG95" s="179">
        <v>10.4</v>
      </c>
      <c r="AL95" s="178"/>
      <c r="AO95" s="179"/>
      <c r="AP95" s="178"/>
      <c r="AS95" s="179"/>
      <c r="AT95" s="253"/>
      <c r="AW95" s="179"/>
      <c r="BA95" s="180"/>
    </row>
    <row r="96" spans="1:53" s="29" customFormat="1" x14ac:dyDescent="0.15">
      <c r="A96" s="29">
        <v>2000</v>
      </c>
      <c r="B96" s="295">
        <v>36711</v>
      </c>
      <c r="C96" s="411" t="s">
        <v>854</v>
      </c>
      <c r="D96" s="411"/>
      <c r="E96" s="29">
        <v>181</v>
      </c>
      <c r="F96" s="29">
        <v>1</v>
      </c>
      <c r="G96" s="66">
        <v>20</v>
      </c>
      <c r="H96" s="29">
        <v>1</v>
      </c>
      <c r="J96" s="73">
        <v>23</v>
      </c>
      <c r="K96" s="47">
        <f t="shared" si="9"/>
        <v>86.956521739130437</v>
      </c>
      <c r="L96" s="47">
        <f t="shared" si="9"/>
        <v>4.3478260869565215</v>
      </c>
      <c r="M96" s="47">
        <f t="shared" si="9"/>
        <v>0</v>
      </c>
      <c r="N96" s="68">
        <f t="shared" si="10"/>
        <v>91.304347826086953</v>
      </c>
      <c r="O96" s="46">
        <v>50</v>
      </c>
      <c r="P96" s="47">
        <v>6.5</v>
      </c>
      <c r="Q96" s="47"/>
      <c r="R96" s="48">
        <f t="shared" si="8"/>
        <v>56.5</v>
      </c>
      <c r="S96" s="29">
        <v>3</v>
      </c>
      <c r="T96" s="286">
        <v>36702</v>
      </c>
      <c r="U96" s="295">
        <v>36711</v>
      </c>
      <c r="V96" s="38" t="s">
        <v>494</v>
      </c>
      <c r="W96" s="29" t="s">
        <v>74</v>
      </c>
      <c r="X96" s="29" t="s">
        <v>11</v>
      </c>
      <c r="Y96" s="39">
        <v>48.5</v>
      </c>
      <c r="Z96" s="29" t="s">
        <v>497</v>
      </c>
      <c r="AA96" s="29" t="s">
        <v>17</v>
      </c>
      <c r="AB96" s="29" t="s">
        <v>18</v>
      </c>
      <c r="AC96" s="29">
        <v>6.5</v>
      </c>
      <c r="AD96" s="38" t="s">
        <v>501</v>
      </c>
      <c r="AE96" s="29" t="s">
        <v>327</v>
      </c>
      <c r="AF96" s="29" t="s">
        <v>11</v>
      </c>
      <c r="AG96" s="39">
        <v>1.5</v>
      </c>
      <c r="AL96" s="38"/>
      <c r="AO96" s="39"/>
      <c r="AP96" s="38"/>
      <c r="AS96" s="39"/>
      <c r="AT96" s="94"/>
      <c r="AW96" s="39"/>
      <c r="BA96" s="40"/>
    </row>
    <row r="97" spans="1:53" s="29" customFormat="1" x14ac:dyDescent="0.15">
      <c r="A97" s="29">
        <v>2001</v>
      </c>
      <c r="B97" s="295"/>
      <c r="C97" s="411" t="s">
        <v>854</v>
      </c>
      <c r="D97" s="411"/>
      <c r="E97" s="29">
        <v>115</v>
      </c>
      <c r="G97" s="66">
        <v>20</v>
      </c>
      <c r="H97" s="29">
        <v>1</v>
      </c>
      <c r="J97" s="73">
        <v>23</v>
      </c>
      <c r="K97" s="47">
        <f t="shared" si="9"/>
        <v>86.956521739130437</v>
      </c>
      <c r="L97" s="47">
        <f t="shared" si="9"/>
        <v>4.3478260869565215</v>
      </c>
      <c r="M97" s="47">
        <f t="shared" si="9"/>
        <v>0</v>
      </c>
      <c r="N97" s="68">
        <f t="shared" si="10"/>
        <v>91.304347826086953</v>
      </c>
      <c r="O97" s="46">
        <v>50</v>
      </c>
      <c r="P97" s="47">
        <v>6.5</v>
      </c>
      <c r="Q97" s="47"/>
      <c r="R97" s="48">
        <f t="shared" si="8"/>
        <v>56.5</v>
      </c>
      <c r="S97" s="29">
        <v>3</v>
      </c>
      <c r="T97" s="286"/>
      <c r="U97" s="295"/>
      <c r="V97" s="38" t="s">
        <v>494</v>
      </c>
      <c r="W97" s="29" t="s">
        <v>74</v>
      </c>
      <c r="X97" s="29" t="s">
        <v>11</v>
      </c>
      <c r="Y97" s="39">
        <v>48.5</v>
      </c>
      <c r="Z97" s="29" t="s">
        <v>497</v>
      </c>
      <c r="AA97" s="29" t="s">
        <v>17</v>
      </c>
      <c r="AB97" s="29" t="s">
        <v>18</v>
      </c>
      <c r="AC97" s="29">
        <v>6.5</v>
      </c>
      <c r="AD97" s="38" t="s">
        <v>501</v>
      </c>
      <c r="AE97" s="29" t="s">
        <v>327</v>
      </c>
      <c r="AF97" s="29" t="s">
        <v>11</v>
      </c>
      <c r="AG97" s="39">
        <v>1.5</v>
      </c>
      <c r="AL97" s="38"/>
      <c r="AO97" s="39"/>
      <c r="AP97" s="38"/>
      <c r="AS97" s="39"/>
      <c r="AT97" s="94"/>
      <c r="AW97" s="39"/>
      <c r="BA97" s="40"/>
    </row>
    <row r="98" spans="1:53" s="171" customFormat="1" x14ac:dyDescent="0.15">
      <c r="A98" s="171">
        <v>2001</v>
      </c>
      <c r="B98" s="283">
        <v>37007</v>
      </c>
      <c r="C98" s="410" t="s">
        <v>699</v>
      </c>
      <c r="D98" s="410"/>
      <c r="E98" s="171">
        <f>365-E97</f>
        <v>250</v>
      </c>
      <c r="F98" s="171">
        <v>2</v>
      </c>
      <c r="G98" s="233">
        <v>14</v>
      </c>
      <c r="H98" s="171">
        <v>1</v>
      </c>
      <c r="J98" s="241">
        <v>18</v>
      </c>
      <c r="K98" s="214">
        <f t="shared" si="9"/>
        <v>77.777777777777786</v>
      </c>
      <c r="L98" s="214">
        <f t="shared" si="9"/>
        <v>5.5555555555555554</v>
      </c>
      <c r="M98" s="214">
        <f t="shared" si="9"/>
        <v>0</v>
      </c>
      <c r="N98" s="235">
        <f t="shared" si="10"/>
        <v>83.333333333333343</v>
      </c>
      <c r="O98" s="213">
        <v>50</v>
      </c>
      <c r="P98" s="214">
        <v>6.5</v>
      </c>
      <c r="Q98" s="214"/>
      <c r="R98" s="215">
        <f t="shared" si="8"/>
        <v>56.5</v>
      </c>
      <c r="S98" s="171">
        <v>3</v>
      </c>
      <c r="T98" s="285"/>
      <c r="U98" s="283">
        <v>37007</v>
      </c>
      <c r="V98" s="178" t="s">
        <v>494</v>
      </c>
      <c r="W98" s="171" t="s">
        <v>74</v>
      </c>
      <c r="X98" s="171" t="s">
        <v>11</v>
      </c>
      <c r="Y98" s="179">
        <v>48.5</v>
      </c>
      <c r="Z98" s="171" t="s">
        <v>497</v>
      </c>
      <c r="AA98" s="171" t="s">
        <v>17</v>
      </c>
      <c r="AB98" s="171" t="s">
        <v>18</v>
      </c>
      <c r="AC98" s="171">
        <v>6.5</v>
      </c>
      <c r="AD98" s="178" t="s">
        <v>501</v>
      </c>
      <c r="AE98" s="171" t="s">
        <v>327</v>
      </c>
      <c r="AF98" s="171" t="s">
        <v>11</v>
      </c>
      <c r="AG98" s="179">
        <v>1.5</v>
      </c>
      <c r="AL98" s="178"/>
      <c r="AO98" s="179"/>
      <c r="AP98" s="178"/>
      <c r="AS98" s="179"/>
      <c r="AT98" s="253"/>
      <c r="AW98" s="179"/>
      <c r="BA98" s="180"/>
    </row>
    <row r="99" spans="1:53" s="171" customFormat="1" x14ac:dyDescent="0.15">
      <c r="A99" s="171">
        <v>2002</v>
      </c>
      <c r="B99" s="283"/>
      <c r="C99" s="410" t="s">
        <v>699</v>
      </c>
      <c r="D99" s="410"/>
      <c r="E99" s="171">
        <v>0</v>
      </c>
      <c r="G99" s="233">
        <v>14</v>
      </c>
      <c r="H99" s="171">
        <v>1</v>
      </c>
      <c r="J99" s="241">
        <v>18</v>
      </c>
      <c r="K99" s="214">
        <f t="shared" si="9"/>
        <v>77.777777777777786</v>
      </c>
      <c r="L99" s="214">
        <f t="shared" si="9"/>
        <v>5.5555555555555554</v>
      </c>
      <c r="M99" s="214">
        <f t="shared" si="9"/>
        <v>0</v>
      </c>
      <c r="N99" s="235">
        <f t="shared" si="10"/>
        <v>83.333333333333343</v>
      </c>
      <c r="O99" s="213">
        <v>50</v>
      </c>
      <c r="P99" s="214">
        <v>6.5</v>
      </c>
      <c r="Q99" s="214"/>
      <c r="R99" s="215">
        <f t="shared" si="8"/>
        <v>56.5</v>
      </c>
      <c r="S99" s="171">
        <v>3</v>
      </c>
      <c r="T99" s="285"/>
      <c r="U99" s="283"/>
      <c r="V99" s="178" t="s">
        <v>494</v>
      </c>
      <c r="W99" s="171" t="s">
        <v>74</v>
      </c>
      <c r="X99" s="171" t="s">
        <v>11</v>
      </c>
      <c r="Y99" s="179">
        <v>48.5</v>
      </c>
      <c r="Z99" s="171" t="s">
        <v>497</v>
      </c>
      <c r="AA99" s="171" t="s">
        <v>17</v>
      </c>
      <c r="AB99" s="171" t="s">
        <v>18</v>
      </c>
      <c r="AC99" s="171">
        <v>6.5</v>
      </c>
      <c r="AD99" s="178" t="s">
        <v>501</v>
      </c>
      <c r="AE99" s="171" t="s">
        <v>327</v>
      </c>
      <c r="AF99" s="171" t="s">
        <v>11</v>
      </c>
      <c r="AG99" s="179">
        <v>1.5</v>
      </c>
      <c r="AL99" s="178"/>
      <c r="AO99" s="179"/>
      <c r="AP99" s="178"/>
      <c r="AS99" s="179"/>
      <c r="AT99" s="253"/>
      <c r="AW99" s="179"/>
      <c r="BA99" s="180"/>
    </row>
    <row r="100" spans="1:53" s="171" customFormat="1" x14ac:dyDescent="0.15">
      <c r="A100" s="171">
        <v>2002</v>
      </c>
      <c r="B100" s="283"/>
      <c r="C100" s="410" t="s">
        <v>699</v>
      </c>
      <c r="D100" s="410"/>
      <c r="E100" s="171">
        <f>365-E99</f>
        <v>365</v>
      </c>
      <c r="G100" s="233">
        <v>14</v>
      </c>
      <c r="H100" s="171">
        <v>1</v>
      </c>
      <c r="J100" s="241">
        <v>18</v>
      </c>
      <c r="K100" s="214">
        <f t="shared" si="9"/>
        <v>77.777777777777786</v>
      </c>
      <c r="L100" s="214">
        <f t="shared" si="9"/>
        <v>5.5555555555555554</v>
      </c>
      <c r="M100" s="214">
        <f t="shared" si="9"/>
        <v>0</v>
      </c>
      <c r="N100" s="235">
        <f t="shared" si="10"/>
        <v>83.333333333333343</v>
      </c>
      <c r="O100" s="213">
        <v>50</v>
      </c>
      <c r="P100" s="214">
        <v>6.5</v>
      </c>
      <c r="Q100" s="214"/>
      <c r="R100" s="215">
        <f t="shared" si="8"/>
        <v>56.5</v>
      </c>
      <c r="S100" s="171">
        <v>3</v>
      </c>
      <c r="T100" s="285"/>
      <c r="U100" s="283"/>
      <c r="V100" s="178" t="s">
        <v>494</v>
      </c>
      <c r="W100" s="171" t="s">
        <v>74</v>
      </c>
      <c r="X100" s="171" t="s">
        <v>11</v>
      </c>
      <c r="Y100" s="179">
        <v>48.5</v>
      </c>
      <c r="Z100" s="171" t="s">
        <v>497</v>
      </c>
      <c r="AA100" s="171" t="s">
        <v>17</v>
      </c>
      <c r="AB100" s="171" t="s">
        <v>18</v>
      </c>
      <c r="AC100" s="171">
        <v>6.5</v>
      </c>
      <c r="AD100" s="178" t="s">
        <v>501</v>
      </c>
      <c r="AE100" s="171" t="s">
        <v>327</v>
      </c>
      <c r="AF100" s="171" t="s">
        <v>11</v>
      </c>
      <c r="AG100" s="179">
        <v>1.5</v>
      </c>
      <c r="AL100" s="178"/>
      <c r="AO100" s="179"/>
      <c r="AP100" s="178"/>
      <c r="AS100" s="179"/>
      <c r="AT100" s="253"/>
      <c r="AW100" s="179"/>
      <c r="BA100" s="180"/>
    </row>
    <row r="101" spans="1:53" s="171" customFormat="1" x14ac:dyDescent="0.15">
      <c r="A101" s="171">
        <v>2003</v>
      </c>
      <c r="B101" s="283"/>
      <c r="C101" s="410" t="s">
        <v>699</v>
      </c>
      <c r="D101" s="410"/>
      <c r="E101" s="171">
        <v>264</v>
      </c>
      <c r="G101" s="233">
        <v>14</v>
      </c>
      <c r="H101" s="171">
        <v>1</v>
      </c>
      <c r="J101" s="241">
        <v>18</v>
      </c>
      <c r="K101" s="214">
        <f t="shared" si="9"/>
        <v>77.777777777777786</v>
      </c>
      <c r="L101" s="214">
        <f t="shared" si="9"/>
        <v>5.5555555555555554</v>
      </c>
      <c r="M101" s="214">
        <f t="shared" si="9"/>
        <v>0</v>
      </c>
      <c r="N101" s="235">
        <f t="shared" si="10"/>
        <v>83.333333333333343</v>
      </c>
      <c r="O101" s="213">
        <v>50</v>
      </c>
      <c r="P101" s="214">
        <v>6.5</v>
      </c>
      <c r="Q101" s="214"/>
      <c r="R101" s="215">
        <f t="shared" si="8"/>
        <v>56.5</v>
      </c>
      <c r="S101" s="171">
        <v>3</v>
      </c>
      <c r="T101" s="285"/>
      <c r="U101" s="283"/>
      <c r="V101" s="178" t="s">
        <v>494</v>
      </c>
      <c r="W101" s="171" t="s">
        <v>74</v>
      </c>
      <c r="X101" s="171" t="s">
        <v>11</v>
      </c>
      <c r="Y101" s="179">
        <v>48.5</v>
      </c>
      <c r="Z101" s="171" t="s">
        <v>497</v>
      </c>
      <c r="AA101" s="171" t="s">
        <v>17</v>
      </c>
      <c r="AB101" s="171" t="s">
        <v>18</v>
      </c>
      <c r="AC101" s="171">
        <v>6.5</v>
      </c>
      <c r="AD101" s="178" t="s">
        <v>501</v>
      </c>
      <c r="AE101" s="171" t="s">
        <v>327</v>
      </c>
      <c r="AF101" s="171" t="s">
        <v>11</v>
      </c>
      <c r="AG101" s="179">
        <v>1.5</v>
      </c>
      <c r="AL101" s="178"/>
      <c r="AO101" s="179"/>
      <c r="AP101" s="178"/>
      <c r="AS101" s="179"/>
      <c r="AT101" s="253"/>
      <c r="AW101" s="179"/>
      <c r="BA101" s="180"/>
    </row>
    <row r="102" spans="1:53" s="171" customFormat="1" x14ac:dyDescent="0.15">
      <c r="A102" s="171">
        <v>2003</v>
      </c>
      <c r="B102" s="305">
        <v>37886</v>
      </c>
      <c r="C102" s="410" t="s">
        <v>699</v>
      </c>
      <c r="D102" s="410"/>
      <c r="E102" s="171">
        <f>365-E101</f>
        <v>101</v>
      </c>
      <c r="F102" s="244">
        <v>0</v>
      </c>
      <c r="G102" s="233">
        <v>14</v>
      </c>
      <c r="H102" s="171">
        <v>1</v>
      </c>
      <c r="J102" s="241">
        <v>18</v>
      </c>
      <c r="K102" s="214">
        <f t="shared" si="9"/>
        <v>77.777777777777786</v>
      </c>
      <c r="L102" s="214">
        <f t="shared" si="9"/>
        <v>5.5555555555555554</v>
      </c>
      <c r="M102" s="214">
        <f t="shared" si="9"/>
        <v>0</v>
      </c>
      <c r="N102" s="235">
        <f t="shared" si="10"/>
        <v>83.333333333333343</v>
      </c>
      <c r="O102" s="213">
        <f>Y102+AG102</f>
        <v>50</v>
      </c>
      <c r="P102" s="214">
        <v>7.1</v>
      </c>
      <c r="Q102" s="214"/>
      <c r="R102" s="215">
        <f t="shared" si="8"/>
        <v>57.1</v>
      </c>
      <c r="S102" s="171">
        <v>3</v>
      </c>
      <c r="T102" s="285"/>
      <c r="U102" s="283">
        <v>37886</v>
      </c>
      <c r="V102" s="178" t="s">
        <v>494</v>
      </c>
      <c r="W102" s="171" t="s">
        <v>74</v>
      </c>
      <c r="X102" s="171" t="s">
        <v>11</v>
      </c>
      <c r="Y102" s="179">
        <v>48.5</v>
      </c>
      <c r="Z102" s="171" t="s">
        <v>497</v>
      </c>
      <c r="AA102" s="171" t="s">
        <v>17</v>
      </c>
      <c r="AB102" s="171" t="s">
        <v>18</v>
      </c>
      <c r="AC102" s="171">
        <v>6.5</v>
      </c>
      <c r="AD102" s="178" t="s">
        <v>568</v>
      </c>
      <c r="AE102" s="171" t="s">
        <v>327</v>
      </c>
      <c r="AF102" s="171" t="s">
        <v>11</v>
      </c>
      <c r="AG102" s="179">
        <v>1.5</v>
      </c>
      <c r="AL102" s="178"/>
      <c r="AO102" s="179"/>
      <c r="AP102" s="178"/>
      <c r="AS102" s="179"/>
      <c r="AT102" s="253"/>
      <c r="AW102" s="179"/>
      <c r="BA102" s="180"/>
    </row>
    <row r="103" spans="1:53" s="171" customFormat="1" x14ac:dyDescent="0.15">
      <c r="A103" s="171">
        <v>2004</v>
      </c>
      <c r="B103" s="283"/>
      <c r="C103" s="410" t="s">
        <v>699</v>
      </c>
      <c r="D103" s="410"/>
      <c r="E103" s="171">
        <v>270</v>
      </c>
      <c r="G103" s="233">
        <v>14</v>
      </c>
      <c r="H103" s="171">
        <v>1</v>
      </c>
      <c r="J103" s="241">
        <v>18</v>
      </c>
      <c r="K103" s="214">
        <f t="shared" si="9"/>
        <v>77.777777777777786</v>
      </c>
      <c r="L103" s="214">
        <f t="shared" si="9"/>
        <v>5.5555555555555554</v>
      </c>
      <c r="M103" s="214">
        <f t="shared" si="9"/>
        <v>0</v>
      </c>
      <c r="N103" s="235">
        <f t="shared" si="10"/>
        <v>83.333333333333343</v>
      </c>
      <c r="O103" s="213">
        <v>50.2</v>
      </c>
      <c r="P103" s="214">
        <v>7.1</v>
      </c>
      <c r="Q103" s="214"/>
      <c r="R103" s="215">
        <f t="shared" si="8"/>
        <v>57.300000000000004</v>
      </c>
      <c r="S103" s="171">
        <v>3</v>
      </c>
      <c r="T103" s="285">
        <v>37934</v>
      </c>
      <c r="U103" s="283"/>
      <c r="V103" s="178" t="s">
        <v>494</v>
      </c>
      <c r="W103" s="171" t="s">
        <v>74</v>
      </c>
      <c r="X103" s="171" t="s">
        <v>11</v>
      </c>
      <c r="Y103" s="179">
        <v>48.5</v>
      </c>
      <c r="Z103" s="171" t="s">
        <v>497</v>
      </c>
      <c r="AA103" s="171" t="s">
        <v>17</v>
      </c>
      <c r="AB103" s="171" t="s">
        <v>18</v>
      </c>
      <c r="AC103" s="171">
        <v>6.5</v>
      </c>
      <c r="AD103" s="178" t="s">
        <v>568</v>
      </c>
      <c r="AE103" s="171" t="s">
        <v>327</v>
      </c>
      <c r="AF103" s="171" t="s">
        <v>11</v>
      </c>
      <c r="AG103" s="179">
        <v>1.5</v>
      </c>
      <c r="AL103" s="178"/>
      <c r="AO103" s="179"/>
      <c r="AP103" s="178"/>
      <c r="AS103" s="179"/>
      <c r="AT103" s="253"/>
      <c r="AW103" s="179"/>
      <c r="BA103" s="180"/>
    </row>
    <row r="104" spans="1:53" s="29" customFormat="1" x14ac:dyDescent="0.15">
      <c r="A104" s="29">
        <v>2004</v>
      </c>
      <c r="B104" s="295">
        <v>38257</v>
      </c>
      <c r="C104" s="411" t="s">
        <v>700</v>
      </c>
      <c r="D104" s="411"/>
      <c r="E104" s="29">
        <f>366-E103</f>
        <v>96</v>
      </c>
      <c r="F104" s="29">
        <v>4</v>
      </c>
      <c r="G104" s="66">
        <v>17</v>
      </c>
      <c r="H104" s="29">
        <v>1</v>
      </c>
      <c r="J104" s="73">
        <v>18</v>
      </c>
      <c r="K104" s="47">
        <f t="shared" si="9"/>
        <v>94.444444444444443</v>
      </c>
      <c r="L104" s="47">
        <f t="shared" si="9"/>
        <v>5.5555555555555554</v>
      </c>
      <c r="M104" s="47">
        <f t="shared" si="9"/>
        <v>0</v>
      </c>
      <c r="N104" s="68">
        <f t="shared" si="10"/>
        <v>100</v>
      </c>
      <c r="O104" s="46">
        <v>49.4</v>
      </c>
      <c r="P104" s="47">
        <v>7.1</v>
      </c>
      <c r="Q104" s="47"/>
      <c r="R104" s="48">
        <f t="shared" si="8"/>
        <v>56.5</v>
      </c>
      <c r="S104" s="29">
        <v>2</v>
      </c>
      <c r="T104" s="286"/>
      <c r="U104" s="295">
        <v>38257</v>
      </c>
      <c r="V104" s="38" t="s">
        <v>494</v>
      </c>
      <c r="W104" s="29" t="s">
        <v>74</v>
      </c>
      <c r="X104" s="29" t="s">
        <v>11</v>
      </c>
      <c r="Y104" s="39">
        <v>49.4</v>
      </c>
      <c r="Z104" s="29" t="s">
        <v>497</v>
      </c>
      <c r="AA104" s="29" t="s">
        <v>17</v>
      </c>
      <c r="AB104" s="29" t="s">
        <v>18</v>
      </c>
      <c r="AC104" s="29">
        <v>7.1</v>
      </c>
      <c r="AD104" s="38"/>
      <c r="AG104" s="39"/>
      <c r="AL104" s="38"/>
      <c r="AO104" s="39"/>
      <c r="AP104" s="38"/>
      <c r="AS104" s="39"/>
      <c r="AT104" s="94"/>
      <c r="AW104" s="39"/>
      <c r="BA104" s="40"/>
    </row>
    <row r="105" spans="1:53" s="29" customFormat="1" x14ac:dyDescent="0.15">
      <c r="A105" s="29">
        <v>2005</v>
      </c>
      <c r="B105" s="295"/>
      <c r="C105" s="411" t="s">
        <v>700</v>
      </c>
      <c r="D105" s="411"/>
      <c r="E105" s="29">
        <v>303</v>
      </c>
      <c r="G105" s="66">
        <v>17</v>
      </c>
      <c r="H105" s="29">
        <v>1</v>
      </c>
      <c r="J105" s="73">
        <v>18</v>
      </c>
      <c r="K105" s="47">
        <f t="shared" si="9"/>
        <v>94.444444444444443</v>
      </c>
      <c r="L105" s="47">
        <f t="shared" si="9"/>
        <v>5.5555555555555554</v>
      </c>
      <c r="M105" s="47">
        <f t="shared" si="9"/>
        <v>0</v>
      </c>
      <c r="N105" s="68">
        <f t="shared" si="10"/>
        <v>100</v>
      </c>
      <c r="O105" s="46">
        <v>49.4</v>
      </c>
      <c r="P105" s="47">
        <v>7.1</v>
      </c>
      <c r="Q105" s="47"/>
      <c r="R105" s="48">
        <f t="shared" si="8"/>
        <v>56.5</v>
      </c>
      <c r="S105" s="29">
        <v>2</v>
      </c>
      <c r="T105" s="286"/>
      <c r="U105" s="295"/>
      <c r="V105" s="38" t="s">
        <v>494</v>
      </c>
      <c r="W105" s="29" t="s">
        <v>74</v>
      </c>
      <c r="X105" s="29" t="s">
        <v>11</v>
      </c>
      <c r="Y105" s="39">
        <v>49.4</v>
      </c>
      <c r="Z105" s="29" t="s">
        <v>497</v>
      </c>
      <c r="AA105" s="29" t="s">
        <v>17</v>
      </c>
      <c r="AB105" s="29" t="s">
        <v>18</v>
      </c>
      <c r="AC105" s="29">
        <v>7.1</v>
      </c>
      <c r="AD105" s="38"/>
      <c r="AG105" s="39"/>
      <c r="AL105" s="38"/>
      <c r="AO105" s="39"/>
      <c r="AP105" s="38"/>
      <c r="AS105" s="39"/>
      <c r="AT105" s="94"/>
      <c r="AW105" s="39"/>
      <c r="BA105" s="40"/>
    </row>
    <row r="106" spans="1:53" s="171" customFormat="1" x14ac:dyDescent="0.15">
      <c r="A106" s="171">
        <v>2005</v>
      </c>
      <c r="B106" s="283">
        <v>38656</v>
      </c>
      <c r="C106" s="410" t="s">
        <v>855</v>
      </c>
      <c r="D106" s="410"/>
      <c r="E106" s="171">
        <f>365-E105</f>
        <v>62</v>
      </c>
      <c r="F106" s="171">
        <v>1</v>
      </c>
      <c r="G106" s="233">
        <v>17</v>
      </c>
      <c r="H106" s="171">
        <v>1</v>
      </c>
      <c r="J106" s="241">
        <v>18</v>
      </c>
      <c r="K106" s="214">
        <f t="shared" si="9"/>
        <v>94.444444444444443</v>
      </c>
      <c r="L106" s="214">
        <f t="shared" si="9"/>
        <v>5.5555555555555554</v>
      </c>
      <c r="M106" s="214">
        <f t="shared" si="9"/>
        <v>0</v>
      </c>
      <c r="N106" s="235">
        <f t="shared" si="10"/>
        <v>100</v>
      </c>
      <c r="O106" s="213">
        <v>61.7</v>
      </c>
      <c r="P106" s="214">
        <v>6.5</v>
      </c>
      <c r="Q106" s="214"/>
      <c r="R106" s="215">
        <f t="shared" si="8"/>
        <v>68.2</v>
      </c>
      <c r="S106" s="171">
        <v>3</v>
      </c>
      <c r="T106" s="285">
        <v>38606</v>
      </c>
      <c r="U106" s="283">
        <v>38656</v>
      </c>
      <c r="V106" s="178" t="s">
        <v>494</v>
      </c>
      <c r="W106" s="171" t="s">
        <v>74</v>
      </c>
      <c r="X106" s="171" t="s">
        <v>11</v>
      </c>
      <c r="Y106" s="179">
        <v>61.7</v>
      </c>
      <c r="Z106" s="171" t="s">
        <v>497</v>
      </c>
      <c r="AA106" s="171" t="s">
        <v>17</v>
      </c>
      <c r="AB106" s="171" t="s">
        <v>18</v>
      </c>
      <c r="AC106" s="171">
        <v>6.5</v>
      </c>
      <c r="AD106" s="178"/>
      <c r="AG106" s="179"/>
      <c r="AL106" s="178"/>
      <c r="AO106" s="179"/>
      <c r="AP106" s="178"/>
      <c r="AS106" s="179"/>
      <c r="AT106" s="253"/>
      <c r="AW106" s="179"/>
      <c r="BA106" s="180"/>
    </row>
    <row r="107" spans="1:53" s="171" customFormat="1" x14ac:dyDescent="0.15">
      <c r="A107" s="171">
        <v>2006</v>
      </c>
      <c r="B107" s="283"/>
      <c r="C107" s="410" t="s">
        <v>855</v>
      </c>
      <c r="D107" s="410"/>
      <c r="E107" s="171">
        <v>268</v>
      </c>
      <c r="G107" s="233">
        <v>17</v>
      </c>
      <c r="H107" s="171">
        <v>1</v>
      </c>
      <c r="J107" s="241">
        <v>18</v>
      </c>
      <c r="K107" s="214">
        <f t="shared" si="9"/>
        <v>94.444444444444443</v>
      </c>
      <c r="L107" s="214">
        <f t="shared" si="9"/>
        <v>5.5555555555555554</v>
      </c>
      <c r="M107" s="214">
        <f t="shared" si="9"/>
        <v>0</v>
      </c>
      <c r="N107" s="235">
        <f t="shared" si="10"/>
        <v>100</v>
      </c>
      <c r="O107" s="213">
        <v>61.7</v>
      </c>
      <c r="P107" s="214">
        <v>6.5</v>
      </c>
      <c r="Q107" s="214"/>
      <c r="R107" s="215">
        <f t="shared" si="8"/>
        <v>68.2</v>
      </c>
      <c r="S107" s="171">
        <v>3</v>
      </c>
      <c r="T107" s="285"/>
      <c r="U107" s="283"/>
      <c r="V107" s="178" t="s">
        <v>494</v>
      </c>
      <c r="W107" s="171" t="s">
        <v>74</v>
      </c>
      <c r="X107" s="171" t="s">
        <v>11</v>
      </c>
      <c r="Y107" s="179">
        <v>61.7</v>
      </c>
      <c r="Z107" s="171" t="s">
        <v>497</v>
      </c>
      <c r="AA107" s="171" t="s">
        <v>17</v>
      </c>
      <c r="AB107" s="171" t="s">
        <v>18</v>
      </c>
      <c r="AC107" s="171">
        <v>6.5</v>
      </c>
      <c r="AD107" s="178"/>
      <c r="AG107" s="179"/>
      <c r="AL107" s="178"/>
      <c r="AO107" s="179"/>
      <c r="AP107" s="178"/>
      <c r="AS107" s="179"/>
      <c r="AT107" s="253"/>
      <c r="AW107" s="179"/>
      <c r="BA107" s="180"/>
    </row>
    <row r="108" spans="1:53" s="29" customFormat="1" x14ac:dyDescent="0.15">
      <c r="A108" s="29">
        <v>2006</v>
      </c>
      <c r="B108" s="295">
        <v>38986</v>
      </c>
      <c r="C108" s="411" t="s">
        <v>701</v>
      </c>
      <c r="D108" s="411"/>
      <c r="E108" s="29">
        <f>365-E107</f>
        <v>97</v>
      </c>
      <c r="G108" s="66">
        <v>16</v>
      </c>
      <c r="H108" s="29">
        <v>1</v>
      </c>
      <c r="J108" s="73">
        <v>18</v>
      </c>
      <c r="K108" s="47">
        <f t="shared" si="9"/>
        <v>88.888888888888886</v>
      </c>
      <c r="L108" s="47">
        <f t="shared" si="9"/>
        <v>5.5555555555555554</v>
      </c>
      <c r="M108" s="47">
        <f t="shared" si="9"/>
        <v>0</v>
      </c>
      <c r="N108" s="68">
        <f t="shared" si="10"/>
        <v>94.444444444444443</v>
      </c>
      <c r="O108" s="46">
        <v>61.7</v>
      </c>
      <c r="P108" s="47">
        <v>6.5</v>
      </c>
      <c r="Q108" s="47"/>
      <c r="R108" s="48">
        <f t="shared" si="8"/>
        <v>68.2</v>
      </c>
      <c r="S108" s="29">
        <v>3</v>
      </c>
      <c r="T108" s="286"/>
      <c r="U108" s="295">
        <v>38986</v>
      </c>
      <c r="V108" s="38" t="s">
        <v>494</v>
      </c>
      <c r="W108" s="29" t="s">
        <v>74</v>
      </c>
      <c r="X108" s="29" t="s">
        <v>11</v>
      </c>
      <c r="Y108" s="39">
        <v>61.7</v>
      </c>
      <c r="Z108" s="29" t="s">
        <v>497</v>
      </c>
      <c r="AA108" s="29" t="s">
        <v>17</v>
      </c>
      <c r="AB108" s="29" t="s">
        <v>18</v>
      </c>
      <c r="AC108" s="29">
        <v>6.5</v>
      </c>
      <c r="AD108" s="38"/>
      <c r="AG108" s="39"/>
      <c r="AL108" s="38"/>
      <c r="AO108" s="39"/>
      <c r="AP108" s="38"/>
      <c r="AS108" s="39"/>
      <c r="AT108" s="94"/>
      <c r="AW108" s="39"/>
      <c r="BA108" s="40"/>
    </row>
    <row r="109" spans="1:53" s="29" customFormat="1" x14ac:dyDescent="0.15">
      <c r="A109" s="29">
        <v>2007</v>
      </c>
      <c r="B109" s="295"/>
      <c r="C109" s="411" t="s">
        <v>701</v>
      </c>
      <c r="D109" s="411"/>
      <c r="E109" s="29">
        <v>238</v>
      </c>
      <c r="G109" s="66">
        <v>16</v>
      </c>
      <c r="H109" s="29">
        <v>1</v>
      </c>
      <c r="J109" s="73">
        <v>18</v>
      </c>
      <c r="K109" s="47">
        <f t="shared" si="9"/>
        <v>88.888888888888886</v>
      </c>
      <c r="L109" s="47">
        <f t="shared" si="9"/>
        <v>5.5555555555555554</v>
      </c>
      <c r="M109" s="47">
        <f t="shared" si="9"/>
        <v>0</v>
      </c>
      <c r="N109" s="68">
        <f t="shared" si="10"/>
        <v>94.444444444444443</v>
      </c>
      <c r="O109" s="46">
        <v>61.7</v>
      </c>
      <c r="P109" s="47">
        <v>6.5</v>
      </c>
      <c r="Q109" s="47"/>
      <c r="R109" s="48">
        <f t="shared" si="8"/>
        <v>68.2</v>
      </c>
      <c r="S109" s="29">
        <v>3</v>
      </c>
      <c r="T109" s="286"/>
      <c r="U109" s="295"/>
      <c r="V109" s="38" t="s">
        <v>494</v>
      </c>
      <c r="W109" s="29" t="s">
        <v>74</v>
      </c>
      <c r="X109" s="29" t="s">
        <v>11</v>
      </c>
      <c r="Y109" s="39">
        <v>61.7</v>
      </c>
      <c r="Z109" s="29" t="s">
        <v>497</v>
      </c>
      <c r="AA109" s="29" t="s">
        <v>17</v>
      </c>
      <c r="AB109" s="29" t="s">
        <v>18</v>
      </c>
      <c r="AC109" s="29">
        <v>6.5</v>
      </c>
      <c r="AD109" s="38"/>
      <c r="AG109" s="39"/>
      <c r="AL109" s="38"/>
      <c r="AO109" s="39"/>
      <c r="AP109" s="38"/>
      <c r="AS109" s="39"/>
      <c r="AT109" s="94"/>
      <c r="AW109" s="39"/>
      <c r="BA109" s="40"/>
    </row>
    <row r="110" spans="1:53" s="29" customFormat="1" x14ac:dyDescent="0.15">
      <c r="A110" s="29">
        <v>2007</v>
      </c>
      <c r="B110" s="303">
        <v>39321</v>
      </c>
      <c r="C110" s="411" t="s">
        <v>701</v>
      </c>
      <c r="D110" s="411"/>
      <c r="E110" s="29">
        <v>30</v>
      </c>
      <c r="F110" s="84">
        <v>0</v>
      </c>
      <c r="G110" s="66">
        <v>15</v>
      </c>
      <c r="H110" s="29">
        <v>1</v>
      </c>
      <c r="J110" s="73">
        <v>18</v>
      </c>
      <c r="K110" s="47">
        <f t="shared" si="9"/>
        <v>83.333333333333343</v>
      </c>
      <c r="L110" s="47">
        <f t="shared" si="9"/>
        <v>5.5555555555555554</v>
      </c>
      <c r="M110" s="47">
        <f t="shared" si="9"/>
        <v>0</v>
      </c>
      <c r="N110" s="68">
        <f t="shared" si="10"/>
        <v>88.8888888888889</v>
      </c>
      <c r="O110" s="46">
        <v>61.7</v>
      </c>
      <c r="P110" s="47">
        <v>6.5</v>
      </c>
      <c r="Q110" s="47"/>
      <c r="R110" s="48">
        <f t="shared" si="8"/>
        <v>68.2</v>
      </c>
      <c r="S110" s="29">
        <v>3</v>
      </c>
      <c r="T110" s="286"/>
      <c r="U110" s="295">
        <v>39321</v>
      </c>
      <c r="V110" s="38" t="s">
        <v>494</v>
      </c>
      <c r="W110" s="29" t="s">
        <v>74</v>
      </c>
      <c r="X110" s="29" t="s">
        <v>11</v>
      </c>
      <c r="Y110" s="39">
        <v>61.7</v>
      </c>
      <c r="Z110" s="29" t="s">
        <v>497</v>
      </c>
      <c r="AA110" s="29" t="s">
        <v>17</v>
      </c>
      <c r="AB110" s="29" t="s">
        <v>18</v>
      </c>
      <c r="AC110" s="29">
        <v>6.5</v>
      </c>
      <c r="AD110" s="38"/>
      <c r="AG110" s="39"/>
      <c r="AL110" s="38"/>
      <c r="AO110" s="39"/>
      <c r="AP110" s="38"/>
      <c r="AS110" s="39"/>
      <c r="AT110" s="94"/>
      <c r="AW110" s="39"/>
      <c r="BA110" s="40"/>
    </row>
    <row r="111" spans="1:53" s="171" customFormat="1" x14ac:dyDescent="0.15">
      <c r="A111" s="171">
        <v>2007</v>
      </c>
      <c r="B111" s="283">
        <v>39351</v>
      </c>
      <c r="C111" s="410" t="s">
        <v>1452</v>
      </c>
      <c r="D111" s="410"/>
      <c r="E111" s="171">
        <f>365-E110-E109</f>
        <v>97</v>
      </c>
      <c r="F111" s="171">
        <v>3</v>
      </c>
      <c r="G111" s="233">
        <v>15</v>
      </c>
      <c r="H111" s="171">
        <v>1</v>
      </c>
      <c r="J111" s="241">
        <v>18</v>
      </c>
      <c r="K111" s="214">
        <f>G111/$J111*100</f>
        <v>83.333333333333343</v>
      </c>
      <c r="L111" s="214">
        <f>H111/$J111*100</f>
        <v>5.5555555555555554</v>
      </c>
      <c r="M111" s="214">
        <f>I111/$J111*100</f>
        <v>0</v>
      </c>
      <c r="N111" s="235">
        <f>K111+L111+M111</f>
        <v>88.8888888888889</v>
      </c>
      <c r="O111" s="213">
        <v>61.7</v>
      </c>
      <c r="P111" s="214">
        <v>6.5</v>
      </c>
      <c r="Q111" s="214"/>
      <c r="R111" s="215">
        <f t="shared" si="8"/>
        <v>68.2</v>
      </c>
      <c r="S111" s="171">
        <v>3</v>
      </c>
      <c r="T111" s="285"/>
      <c r="U111" s="283">
        <v>39351</v>
      </c>
      <c r="V111" s="178" t="s">
        <v>494</v>
      </c>
      <c r="W111" s="171" t="s">
        <v>74</v>
      </c>
      <c r="X111" s="171" t="s">
        <v>11</v>
      </c>
      <c r="Y111" s="179">
        <v>61.7</v>
      </c>
      <c r="Z111" s="171" t="s">
        <v>497</v>
      </c>
      <c r="AA111" s="171" t="s">
        <v>17</v>
      </c>
      <c r="AB111" s="171" t="s">
        <v>18</v>
      </c>
      <c r="AC111" s="171">
        <v>6.5</v>
      </c>
      <c r="AD111" s="178"/>
      <c r="AG111" s="179"/>
      <c r="AL111" s="178"/>
      <c r="AO111" s="179"/>
      <c r="AP111" s="178"/>
      <c r="AS111" s="179"/>
      <c r="AT111" s="253"/>
      <c r="AW111" s="179"/>
      <c r="BA111" s="180"/>
    </row>
    <row r="112" spans="1:53" s="171" customFormat="1" x14ac:dyDescent="0.15">
      <c r="A112" s="171">
        <v>2008</v>
      </c>
      <c r="B112" s="283"/>
      <c r="C112" s="410" t="s">
        <v>1452</v>
      </c>
      <c r="D112" s="410"/>
      <c r="E112" s="171">
        <v>214</v>
      </c>
      <c r="G112" s="233">
        <v>15</v>
      </c>
      <c r="H112" s="171">
        <v>1</v>
      </c>
      <c r="J112" s="241">
        <v>18</v>
      </c>
      <c r="K112" s="214">
        <f t="shared" ref="K112:K125" si="11">G112/$J112*100</f>
        <v>83.333333333333343</v>
      </c>
      <c r="L112" s="214">
        <f t="shared" ref="L112:L131" si="12">H112/$J112*100</f>
        <v>5.5555555555555554</v>
      </c>
      <c r="M112" s="214">
        <f t="shared" ref="M112:M131" si="13">I112/$J112*100</f>
        <v>0</v>
      </c>
      <c r="N112" s="235">
        <f t="shared" ref="N112:N125" si="14">K112+L112+M112</f>
        <v>88.8888888888889</v>
      </c>
      <c r="O112" s="213">
        <v>61.7</v>
      </c>
      <c r="P112" s="214">
        <v>6.5</v>
      </c>
      <c r="Q112" s="214"/>
      <c r="R112" s="215">
        <f t="shared" si="8"/>
        <v>68.2</v>
      </c>
      <c r="S112" s="171">
        <v>3</v>
      </c>
      <c r="T112" s="285"/>
      <c r="U112" s="283"/>
      <c r="V112" s="178" t="s">
        <v>494</v>
      </c>
      <c r="W112" s="171" t="s">
        <v>74</v>
      </c>
      <c r="X112" s="171" t="s">
        <v>11</v>
      </c>
      <c r="Y112" s="179">
        <v>61.7</v>
      </c>
      <c r="Z112" s="171" t="s">
        <v>497</v>
      </c>
      <c r="AA112" s="171" t="s">
        <v>17</v>
      </c>
      <c r="AB112" s="171" t="s">
        <v>18</v>
      </c>
      <c r="AC112" s="171">
        <v>6.5</v>
      </c>
      <c r="AD112" s="178"/>
      <c r="AG112" s="179"/>
      <c r="AL112" s="178"/>
      <c r="AO112" s="179"/>
      <c r="AP112" s="178"/>
      <c r="AS112" s="179"/>
      <c r="AT112" s="253"/>
      <c r="AW112" s="179"/>
      <c r="BA112" s="180"/>
    </row>
    <row r="113" spans="1:53" s="171" customFormat="1" x14ac:dyDescent="0.15">
      <c r="A113" s="171">
        <v>2008</v>
      </c>
      <c r="B113" s="305">
        <v>39662</v>
      </c>
      <c r="C113" s="410" t="s">
        <v>1452</v>
      </c>
      <c r="D113" s="410"/>
      <c r="E113" s="171">
        <v>53</v>
      </c>
      <c r="F113" s="244">
        <v>0</v>
      </c>
      <c r="G113" s="233">
        <v>16</v>
      </c>
      <c r="H113" s="171">
        <v>1</v>
      </c>
      <c r="J113" s="241">
        <v>18</v>
      </c>
      <c r="K113" s="214">
        <f t="shared" si="11"/>
        <v>88.888888888888886</v>
      </c>
      <c r="L113" s="214">
        <f t="shared" si="12"/>
        <v>5.5555555555555554</v>
      </c>
      <c r="M113" s="214">
        <f t="shared" si="13"/>
        <v>0</v>
      </c>
      <c r="N113" s="235">
        <f t="shared" si="14"/>
        <v>94.444444444444443</v>
      </c>
      <c r="O113" s="213">
        <v>61.7</v>
      </c>
      <c r="P113" s="214">
        <v>6.5</v>
      </c>
      <c r="Q113" s="214"/>
      <c r="R113" s="215">
        <f t="shared" si="8"/>
        <v>68.2</v>
      </c>
      <c r="S113" s="171">
        <v>3</v>
      </c>
      <c r="T113" s="285"/>
      <c r="U113" s="283">
        <v>39662</v>
      </c>
      <c r="V113" s="178" t="s">
        <v>494</v>
      </c>
      <c r="W113" s="171" t="s">
        <v>74</v>
      </c>
      <c r="X113" s="171" t="s">
        <v>11</v>
      </c>
      <c r="Y113" s="179">
        <v>61.7</v>
      </c>
      <c r="Z113" s="171" t="s">
        <v>497</v>
      </c>
      <c r="AA113" s="171" t="s">
        <v>17</v>
      </c>
      <c r="AB113" s="171" t="s">
        <v>18</v>
      </c>
      <c r="AC113" s="171">
        <v>6.5</v>
      </c>
      <c r="AD113" s="178"/>
      <c r="AG113" s="179"/>
      <c r="AL113" s="178"/>
      <c r="AO113" s="179"/>
      <c r="AP113" s="178"/>
      <c r="AS113" s="179"/>
      <c r="AT113" s="253"/>
      <c r="AW113" s="179"/>
      <c r="BA113" s="180"/>
    </row>
    <row r="114" spans="1:53" s="29" customFormat="1" x14ac:dyDescent="0.15">
      <c r="A114" s="29">
        <v>2008</v>
      </c>
      <c r="B114" s="295">
        <v>39715</v>
      </c>
      <c r="C114" s="411" t="s">
        <v>1177</v>
      </c>
      <c r="D114" s="411"/>
      <c r="E114" s="29">
        <f>366-E112-E113</f>
        <v>99</v>
      </c>
      <c r="G114" s="66">
        <v>17</v>
      </c>
      <c r="H114" s="29">
        <v>1</v>
      </c>
      <c r="J114" s="73">
        <v>18</v>
      </c>
      <c r="K114" s="47">
        <f t="shared" si="11"/>
        <v>94.444444444444443</v>
      </c>
      <c r="L114" s="47">
        <f t="shared" si="12"/>
        <v>5.5555555555555554</v>
      </c>
      <c r="M114" s="47">
        <f t="shared" si="13"/>
        <v>0</v>
      </c>
      <c r="N114" s="68">
        <f t="shared" si="14"/>
        <v>100</v>
      </c>
      <c r="O114" s="46">
        <v>61.7</v>
      </c>
      <c r="P114" s="47">
        <v>6.5</v>
      </c>
      <c r="Q114" s="47"/>
      <c r="R114" s="48">
        <f t="shared" si="8"/>
        <v>68.2</v>
      </c>
      <c r="S114" s="29">
        <v>3</v>
      </c>
      <c r="T114" s="286"/>
      <c r="U114" s="295">
        <v>39715</v>
      </c>
      <c r="V114" s="38" t="s">
        <v>494</v>
      </c>
      <c r="W114" s="29" t="s">
        <v>74</v>
      </c>
      <c r="X114" s="29" t="s">
        <v>11</v>
      </c>
      <c r="Y114" s="39">
        <v>61.7</v>
      </c>
      <c r="Z114" s="29" t="s">
        <v>497</v>
      </c>
      <c r="AA114" s="29" t="s">
        <v>17</v>
      </c>
      <c r="AB114" s="29" t="s">
        <v>18</v>
      </c>
      <c r="AC114" s="29">
        <v>6.5</v>
      </c>
      <c r="AD114" s="38"/>
      <c r="AG114" s="39"/>
      <c r="AL114" s="38"/>
      <c r="AO114" s="39"/>
      <c r="AP114" s="38"/>
      <c r="AS114" s="39"/>
      <c r="AT114" s="94"/>
      <c r="AW114" s="39"/>
      <c r="BA114" s="40"/>
    </row>
    <row r="115" spans="1:53" s="29" customFormat="1" x14ac:dyDescent="0.15">
      <c r="A115" s="29">
        <v>2009</v>
      </c>
      <c r="B115" s="295"/>
      <c r="C115" s="411" t="s">
        <v>1177</v>
      </c>
      <c r="D115" s="411"/>
      <c r="E115" s="29">
        <v>258</v>
      </c>
      <c r="G115" s="66">
        <v>17</v>
      </c>
      <c r="H115" s="29">
        <v>1</v>
      </c>
      <c r="J115" s="73">
        <v>18</v>
      </c>
      <c r="K115" s="47">
        <f t="shared" si="11"/>
        <v>94.444444444444443</v>
      </c>
      <c r="L115" s="47">
        <f t="shared" si="12"/>
        <v>5.5555555555555554</v>
      </c>
      <c r="M115" s="47">
        <f t="shared" si="13"/>
        <v>0</v>
      </c>
      <c r="N115" s="68">
        <f t="shared" si="14"/>
        <v>100</v>
      </c>
      <c r="O115" s="46">
        <v>61.7</v>
      </c>
      <c r="P115" s="47">
        <v>6.5</v>
      </c>
      <c r="Q115" s="47"/>
      <c r="R115" s="48">
        <f t="shared" si="8"/>
        <v>68.2</v>
      </c>
      <c r="S115" s="29">
        <v>3</v>
      </c>
      <c r="T115" s="286"/>
      <c r="U115" s="295"/>
      <c r="V115" s="38" t="s">
        <v>494</v>
      </c>
      <c r="W115" s="29" t="s">
        <v>74</v>
      </c>
      <c r="X115" s="29" t="s">
        <v>11</v>
      </c>
      <c r="Y115" s="39">
        <v>61.7</v>
      </c>
      <c r="Z115" s="29" t="s">
        <v>497</v>
      </c>
      <c r="AA115" s="29" t="s">
        <v>17</v>
      </c>
      <c r="AB115" s="29" t="s">
        <v>18</v>
      </c>
      <c r="AC115" s="29">
        <v>6.5</v>
      </c>
      <c r="AD115" s="38"/>
      <c r="AG115" s="39"/>
      <c r="AL115" s="38"/>
      <c r="AO115" s="39"/>
      <c r="AP115" s="38"/>
      <c r="AS115" s="39"/>
      <c r="AT115" s="94"/>
      <c r="AW115" s="39"/>
      <c r="BA115" s="40"/>
    </row>
    <row r="116" spans="1:53" s="171" customFormat="1" x14ac:dyDescent="0.15">
      <c r="A116" s="171">
        <v>2009</v>
      </c>
      <c r="B116" s="283">
        <v>40072</v>
      </c>
      <c r="C116" s="410" t="s">
        <v>702</v>
      </c>
      <c r="D116" s="410"/>
      <c r="E116" s="171">
        <v>107</v>
      </c>
      <c r="F116" s="171">
        <v>1</v>
      </c>
      <c r="G116" s="233">
        <v>1</v>
      </c>
      <c r="H116" s="171">
        <v>16</v>
      </c>
      <c r="I116" s="171">
        <v>1</v>
      </c>
      <c r="J116" s="241">
        <v>18</v>
      </c>
      <c r="K116" s="214">
        <f t="shared" si="11"/>
        <v>5.5555555555555554</v>
      </c>
      <c r="L116" s="214">
        <f t="shared" si="12"/>
        <v>88.888888888888886</v>
      </c>
      <c r="M116" s="214">
        <f t="shared" si="13"/>
        <v>5.5555555555555554</v>
      </c>
      <c r="N116" s="235">
        <f t="shared" si="14"/>
        <v>100</v>
      </c>
      <c r="O116" s="213">
        <v>0.6</v>
      </c>
      <c r="P116" s="214">
        <v>64.2</v>
      </c>
      <c r="Q116" s="214">
        <v>1.5</v>
      </c>
      <c r="R116" s="215">
        <f t="shared" si="8"/>
        <v>66.3</v>
      </c>
      <c r="S116" s="171">
        <v>3</v>
      </c>
      <c r="T116" s="285">
        <v>40055</v>
      </c>
      <c r="U116" s="283">
        <v>40072</v>
      </c>
      <c r="V116" s="178" t="s">
        <v>569</v>
      </c>
      <c r="W116" s="171" t="s">
        <v>96</v>
      </c>
      <c r="X116" s="171" t="s">
        <v>18</v>
      </c>
      <c r="Y116" s="179">
        <v>64.2</v>
      </c>
      <c r="Z116" s="171" t="s">
        <v>111</v>
      </c>
      <c r="AA116" s="171" t="s">
        <v>20</v>
      </c>
      <c r="AB116" s="171" t="s">
        <v>12</v>
      </c>
      <c r="AC116" s="171">
        <v>1.5</v>
      </c>
      <c r="AD116" s="178" t="s">
        <v>502</v>
      </c>
      <c r="AE116" s="171" t="s">
        <v>327</v>
      </c>
      <c r="AF116" s="171" t="s">
        <v>11</v>
      </c>
      <c r="AG116" s="179">
        <v>0.6</v>
      </c>
      <c r="AL116" s="178"/>
      <c r="AO116" s="179"/>
      <c r="AP116" s="178"/>
      <c r="AS116" s="179"/>
      <c r="AT116" s="253"/>
      <c r="AW116" s="179"/>
      <c r="BA116" s="180"/>
    </row>
    <row r="117" spans="1:53" s="171" customFormat="1" x14ac:dyDescent="0.15">
      <c r="A117" s="171">
        <v>2010</v>
      </c>
      <c r="B117" s="283"/>
      <c r="C117" s="410" t="s">
        <v>702</v>
      </c>
      <c r="D117" s="410"/>
      <c r="E117" s="171">
        <v>147</v>
      </c>
      <c r="G117" s="233">
        <v>1</v>
      </c>
      <c r="H117" s="171">
        <v>16</v>
      </c>
      <c r="I117" s="171">
        <v>1</v>
      </c>
      <c r="J117" s="241">
        <v>18</v>
      </c>
      <c r="K117" s="214">
        <f t="shared" si="11"/>
        <v>5.5555555555555554</v>
      </c>
      <c r="L117" s="214">
        <f t="shared" si="12"/>
        <v>88.888888888888886</v>
      </c>
      <c r="M117" s="214">
        <f t="shared" si="13"/>
        <v>5.5555555555555554</v>
      </c>
      <c r="N117" s="235">
        <f t="shared" si="14"/>
        <v>100</v>
      </c>
      <c r="O117" s="213">
        <v>0.6</v>
      </c>
      <c r="P117" s="214">
        <v>64.2</v>
      </c>
      <c r="Q117" s="214">
        <v>1.5</v>
      </c>
      <c r="R117" s="215">
        <f t="shared" si="8"/>
        <v>66.3</v>
      </c>
      <c r="S117" s="171">
        <v>3</v>
      </c>
      <c r="T117" s="285"/>
      <c r="U117" s="283"/>
      <c r="V117" s="178" t="s">
        <v>569</v>
      </c>
      <c r="W117" s="171" t="s">
        <v>96</v>
      </c>
      <c r="X117" s="171" t="s">
        <v>18</v>
      </c>
      <c r="Y117" s="179">
        <v>64.2</v>
      </c>
      <c r="Z117" s="171" t="s">
        <v>111</v>
      </c>
      <c r="AA117" s="171" t="s">
        <v>20</v>
      </c>
      <c r="AB117" s="171" t="s">
        <v>12</v>
      </c>
      <c r="AC117" s="171">
        <v>1.5</v>
      </c>
      <c r="AD117" s="178" t="s">
        <v>502</v>
      </c>
      <c r="AE117" s="171" t="s">
        <v>327</v>
      </c>
      <c r="AF117" s="171" t="s">
        <v>11</v>
      </c>
      <c r="AG117" s="179">
        <v>0.6</v>
      </c>
      <c r="AL117" s="178"/>
      <c r="AO117" s="179"/>
      <c r="AP117" s="178"/>
      <c r="AS117" s="179"/>
      <c r="AT117" s="253"/>
      <c r="AW117" s="179"/>
      <c r="BA117" s="180"/>
    </row>
    <row r="118" spans="1:53" s="29" customFormat="1" x14ac:dyDescent="0.15">
      <c r="A118" s="29">
        <v>2010</v>
      </c>
      <c r="B118" s="295">
        <v>40326</v>
      </c>
      <c r="C118" s="411" t="s">
        <v>703</v>
      </c>
      <c r="D118" s="411"/>
      <c r="E118" s="29">
        <v>11</v>
      </c>
      <c r="F118" s="29">
        <v>4</v>
      </c>
      <c r="G118" s="66">
        <v>1</v>
      </c>
      <c r="H118" s="29">
        <v>16</v>
      </c>
      <c r="J118" s="73">
        <v>17</v>
      </c>
      <c r="K118" s="47">
        <f t="shared" si="11"/>
        <v>5.8823529411764701</v>
      </c>
      <c r="L118" s="47">
        <f t="shared" si="12"/>
        <v>94.117647058823522</v>
      </c>
      <c r="M118" s="47">
        <f t="shared" si="13"/>
        <v>0</v>
      </c>
      <c r="N118" s="68">
        <f t="shared" si="14"/>
        <v>99.999999999999986</v>
      </c>
      <c r="O118" s="46">
        <v>0.6</v>
      </c>
      <c r="P118" s="47">
        <v>64.2</v>
      </c>
      <c r="Q118" s="47"/>
      <c r="R118" s="48">
        <f t="shared" si="8"/>
        <v>64.8</v>
      </c>
      <c r="S118" s="29">
        <v>3</v>
      </c>
      <c r="T118" s="286"/>
      <c r="U118" s="295">
        <v>40326</v>
      </c>
      <c r="V118" s="38" t="s">
        <v>569</v>
      </c>
      <c r="W118" s="29" t="s">
        <v>96</v>
      </c>
      <c r="X118" s="29" t="s">
        <v>18</v>
      </c>
      <c r="Y118" s="39">
        <v>64.2</v>
      </c>
      <c r="Z118" s="38" t="s">
        <v>502</v>
      </c>
      <c r="AA118" s="29" t="s">
        <v>327</v>
      </c>
      <c r="AB118" s="29" t="s">
        <v>11</v>
      </c>
      <c r="AC118" s="29">
        <v>0.6</v>
      </c>
      <c r="AD118" s="38"/>
      <c r="AG118" s="39"/>
      <c r="AL118" s="38"/>
      <c r="AO118" s="39"/>
      <c r="AP118" s="38"/>
      <c r="AS118" s="39"/>
      <c r="AT118" s="94"/>
      <c r="AW118" s="39"/>
      <c r="BA118" s="40"/>
    </row>
    <row r="119" spans="1:53" s="171" customFormat="1" x14ac:dyDescent="0.15">
      <c r="A119" s="171">
        <v>2010</v>
      </c>
      <c r="B119" s="283">
        <v>40337</v>
      </c>
      <c r="C119" s="410" t="s">
        <v>804</v>
      </c>
      <c r="D119" s="410"/>
      <c r="E119" s="171">
        <v>101</v>
      </c>
      <c r="F119" s="171">
        <v>1</v>
      </c>
      <c r="G119" s="233">
        <v>1</v>
      </c>
      <c r="H119" s="171">
        <v>17</v>
      </c>
      <c r="J119" s="241">
        <v>18</v>
      </c>
      <c r="K119" s="214">
        <f t="shared" si="11"/>
        <v>5.5555555555555554</v>
      </c>
      <c r="L119" s="214">
        <f t="shared" si="12"/>
        <v>94.444444444444443</v>
      </c>
      <c r="M119" s="214">
        <f t="shared" si="13"/>
        <v>0</v>
      </c>
      <c r="N119" s="235">
        <f t="shared" si="14"/>
        <v>100</v>
      </c>
      <c r="O119" s="213">
        <v>0.6</v>
      </c>
      <c r="P119" s="214">
        <v>64.2</v>
      </c>
      <c r="Q119" s="214"/>
      <c r="R119" s="215">
        <f t="shared" si="8"/>
        <v>64.8</v>
      </c>
      <c r="S119" s="171">
        <v>3</v>
      </c>
      <c r="T119" s="285"/>
      <c r="U119" s="283">
        <v>40337</v>
      </c>
      <c r="V119" s="178" t="s">
        <v>569</v>
      </c>
      <c r="W119" s="171" t="s">
        <v>96</v>
      </c>
      <c r="X119" s="171" t="s">
        <v>18</v>
      </c>
      <c r="Y119" s="179">
        <v>64.2</v>
      </c>
      <c r="Z119" s="178" t="s">
        <v>502</v>
      </c>
      <c r="AA119" s="171" t="s">
        <v>327</v>
      </c>
      <c r="AB119" s="171" t="s">
        <v>11</v>
      </c>
      <c r="AC119" s="171">
        <v>0.6</v>
      </c>
      <c r="AD119" s="178"/>
      <c r="AG119" s="179"/>
      <c r="AL119" s="178"/>
      <c r="AO119" s="179"/>
      <c r="AP119" s="178"/>
      <c r="AS119" s="179"/>
      <c r="AT119" s="253"/>
      <c r="AW119" s="179"/>
      <c r="BA119" s="180"/>
    </row>
    <row r="120" spans="1:53" s="171" customFormat="1" x14ac:dyDescent="0.15">
      <c r="A120" s="171">
        <v>2010</v>
      </c>
      <c r="B120" s="305">
        <v>40438</v>
      </c>
      <c r="C120" s="410" t="s">
        <v>804</v>
      </c>
      <c r="D120" s="410"/>
      <c r="E120" s="171">
        <f>365-E117-E118-E119</f>
        <v>106</v>
      </c>
      <c r="F120" s="244">
        <v>0</v>
      </c>
      <c r="G120" s="233">
        <v>1</v>
      </c>
      <c r="H120" s="171">
        <v>16</v>
      </c>
      <c r="J120" s="241">
        <v>18</v>
      </c>
      <c r="K120" s="214">
        <f t="shared" si="11"/>
        <v>5.5555555555555554</v>
      </c>
      <c r="L120" s="214">
        <f t="shared" si="12"/>
        <v>88.888888888888886</v>
      </c>
      <c r="M120" s="214">
        <f t="shared" si="13"/>
        <v>0</v>
      </c>
      <c r="N120" s="235">
        <f t="shared" si="14"/>
        <v>94.444444444444443</v>
      </c>
      <c r="O120" s="213">
        <v>0.6</v>
      </c>
      <c r="P120" s="214">
        <v>64.2</v>
      </c>
      <c r="Q120" s="214"/>
      <c r="R120" s="215">
        <f t="shared" si="8"/>
        <v>64.8</v>
      </c>
      <c r="S120" s="171">
        <v>3</v>
      </c>
      <c r="T120" s="285"/>
      <c r="U120" s="283"/>
      <c r="V120" s="178" t="s">
        <v>569</v>
      </c>
      <c r="W120" s="171" t="s">
        <v>96</v>
      </c>
      <c r="X120" s="171" t="s">
        <v>18</v>
      </c>
      <c r="Y120" s="179">
        <v>64.2</v>
      </c>
      <c r="Z120" s="178" t="s">
        <v>502</v>
      </c>
      <c r="AA120" s="171" t="s">
        <v>327</v>
      </c>
      <c r="AB120" s="171" t="s">
        <v>11</v>
      </c>
      <c r="AC120" s="171">
        <v>0.6</v>
      </c>
      <c r="AD120" s="178"/>
      <c r="AG120" s="179"/>
      <c r="AL120" s="178"/>
      <c r="AO120" s="179"/>
      <c r="AP120" s="178"/>
      <c r="AS120" s="179"/>
      <c r="AT120" s="253"/>
      <c r="AW120" s="179"/>
      <c r="BA120" s="180"/>
    </row>
    <row r="121" spans="1:53" s="171" customFormat="1" x14ac:dyDescent="0.15">
      <c r="A121" s="171">
        <v>2011</v>
      </c>
      <c r="B121" s="283"/>
      <c r="C121" s="410" t="s">
        <v>804</v>
      </c>
      <c r="D121" s="410"/>
      <c r="E121" s="171">
        <v>13</v>
      </c>
      <c r="G121" s="233">
        <v>1</v>
      </c>
      <c r="H121" s="171">
        <v>16</v>
      </c>
      <c r="J121" s="241">
        <v>18</v>
      </c>
      <c r="K121" s="214">
        <f t="shared" si="11"/>
        <v>5.5555555555555554</v>
      </c>
      <c r="L121" s="214">
        <f t="shared" si="12"/>
        <v>88.888888888888886</v>
      </c>
      <c r="M121" s="214">
        <f t="shared" si="13"/>
        <v>0</v>
      </c>
      <c r="N121" s="235">
        <f t="shared" si="14"/>
        <v>94.444444444444443</v>
      </c>
      <c r="O121" s="213">
        <v>0.6</v>
      </c>
      <c r="P121" s="214">
        <v>64.2</v>
      </c>
      <c r="Q121" s="214"/>
      <c r="R121" s="215">
        <f t="shared" si="8"/>
        <v>64.8</v>
      </c>
      <c r="S121" s="171">
        <v>3</v>
      </c>
      <c r="T121" s="285"/>
      <c r="U121" s="283"/>
      <c r="V121" s="178" t="s">
        <v>569</v>
      </c>
      <c r="W121" s="171" t="s">
        <v>96</v>
      </c>
      <c r="X121" s="171" t="s">
        <v>18</v>
      </c>
      <c r="Y121" s="179">
        <v>64.2</v>
      </c>
      <c r="Z121" s="178" t="s">
        <v>502</v>
      </c>
      <c r="AA121" s="171" t="s">
        <v>327</v>
      </c>
      <c r="AB121" s="171" t="s">
        <v>11</v>
      </c>
      <c r="AC121" s="171">
        <v>0.6</v>
      </c>
      <c r="AD121" s="178"/>
      <c r="AG121" s="179"/>
      <c r="AL121" s="178"/>
      <c r="AO121" s="179"/>
      <c r="AP121" s="178"/>
      <c r="AS121" s="179"/>
      <c r="AT121" s="253"/>
      <c r="AW121" s="179"/>
      <c r="BA121" s="180"/>
    </row>
    <row r="122" spans="1:53" s="171" customFormat="1" x14ac:dyDescent="0.15">
      <c r="A122" s="171">
        <v>2011</v>
      </c>
      <c r="B122" s="305">
        <v>40557</v>
      </c>
      <c r="C122" s="410" t="s">
        <v>804</v>
      </c>
      <c r="D122" s="410"/>
      <c r="E122" s="171">
        <f>365-E121-E123</f>
        <v>231</v>
      </c>
      <c r="F122" s="244">
        <v>0</v>
      </c>
      <c r="G122" s="233">
        <v>1</v>
      </c>
      <c r="H122" s="171">
        <v>15</v>
      </c>
      <c r="J122" s="241">
        <v>18</v>
      </c>
      <c r="K122" s="214">
        <f t="shared" si="11"/>
        <v>5.5555555555555554</v>
      </c>
      <c r="L122" s="214">
        <f t="shared" si="12"/>
        <v>83.333333333333343</v>
      </c>
      <c r="M122" s="214">
        <f t="shared" si="13"/>
        <v>0</v>
      </c>
      <c r="N122" s="235">
        <f t="shared" si="14"/>
        <v>88.8888888888889</v>
      </c>
      <c r="O122" s="213">
        <v>0.6</v>
      </c>
      <c r="P122" s="214">
        <v>64.2</v>
      </c>
      <c r="Q122" s="214"/>
      <c r="R122" s="215">
        <f t="shared" si="8"/>
        <v>64.8</v>
      </c>
      <c r="S122" s="171">
        <v>3</v>
      </c>
      <c r="T122" s="285"/>
      <c r="U122" s="283"/>
      <c r="V122" s="178" t="s">
        <v>569</v>
      </c>
      <c r="W122" s="171" t="s">
        <v>96</v>
      </c>
      <c r="X122" s="171" t="s">
        <v>18</v>
      </c>
      <c r="Y122" s="179">
        <v>64.2</v>
      </c>
      <c r="Z122" s="178" t="s">
        <v>502</v>
      </c>
      <c r="AA122" s="171" t="s">
        <v>327</v>
      </c>
      <c r="AB122" s="171" t="s">
        <v>11</v>
      </c>
      <c r="AC122" s="171">
        <v>0.6</v>
      </c>
      <c r="AD122" s="178"/>
      <c r="AG122" s="179"/>
      <c r="AL122" s="178"/>
      <c r="AO122" s="179"/>
      <c r="AP122" s="178"/>
      <c r="AS122" s="179"/>
      <c r="AT122" s="253"/>
      <c r="AW122" s="179"/>
      <c r="BA122" s="180"/>
    </row>
    <row r="123" spans="1:53" s="29" customFormat="1" x14ac:dyDescent="0.15">
      <c r="A123" s="29">
        <v>2011</v>
      </c>
      <c r="B123" s="295">
        <v>40788</v>
      </c>
      <c r="C123" s="434" t="s">
        <v>322</v>
      </c>
      <c r="D123" s="434"/>
      <c r="E123" s="29">
        <v>121</v>
      </c>
      <c r="F123" s="29">
        <v>1</v>
      </c>
      <c r="G123" s="66">
        <v>1</v>
      </c>
      <c r="H123" s="29">
        <v>17</v>
      </c>
      <c r="J123" s="73">
        <v>18</v>
      </c>
      <c r="K123" s="47">
        <f t="shared" si="11"/>
        <v>5.5555555555555554</v>
      </c>
      <c r="L123" s="47">
        <f t="shared" si="12"/>
        <v>94.444444444444443</v>
      </c>
      <c r="M123" s="47">
        <f t="shared" si="13"/>
        <v>0</v>
      </c>
      <c r="N123" s="68">
        <f t="shared" si="14"/>
        <v>100</v>
      </c>
      <c r="O123" s="46">
        <v>0.6</v>
      </c>
      <c r="P123" s="47">
        <v>64.2</v>
      </c>
      <c r="Q123" s="47"/>
      <c r="R123" s="48">
        <f t="shared" si="8"/>
        <v>64.8</v>
      </c>
      <c r="S123" s="29">
        <v>3</v>
      </c>
      <c r="T123" s="286"/>
      <c r="U123" s="295">
        <v>40788</v>
      </c>
      <c r="V123" s="38" t="s">
        <v>569</v>
      </c>
      <c r="W123" s="29" t="s">
        <v>96</v>
      </c>
      <c r="X123" s="29" t="s">
        <v>18</v>
      </c>
      <c r="Y123" s="39">
        <v>64.2</v>
      </c>
      <c r="Z123" s="38" t="s">
        <v>502</v>
      </c>
      <c r="AA123" s="29" t="s">
        <v>327</v>
      </c>
      <c r="AB123" s="29" t="s">
        <v>11</v>
      </c>
      <c r="AC123" s="29">
        <v>0.6</v>
      </c>
      <c r="AD123" s="38"/>
      <c r="AG123" s="39"/>
      <c r="AL123" s="38"/>
      <c r="AO123" s="39"/>
      <c r="AP123" s="38"/>
      <c r="AS123" s="39"/>
      <c r="AT123" s="94"/>
      <c r="AW123" s="39"/>
      <c r="BA123" s="40"/>
    </row>
    <row r="124" spans="1:53" s="29" customFormat="1" x14ac:dyDescent="0.15">
      <c r="A124" s="29">
        <v>2012</v>
      </c>
      <c r="B124" s="295"/>
      <c r="C124" s="434" t="s">
        <v>322</v>
      </c>
      <c r="D124" s="434"/>
      <c r="E124" s="29">
        <v>12</v>
      </c>
      <c r="G124" s="66">
        <v>1</v>
      </c>
      <c r="H124" s="29">
        <v>17</v>
      </c>
      <c r="J124" s="73">
        <v>18</v>
      </c>
      <c r="K124" s="47">
        <f t="shared" si="11"/>
        <v>5.5555555555555554</v>
      </c>
      <c r="L124" s="47">
        <f t="shared" si="12"/>
        <v>94.444444444444443</v>
      </c>
      <c r="M124" s="47">
        <f t="shared" si="13"/>
        <v>0</v>
      </c>
      <c r="N124" s="68">
        <f t="shared" si="14"/>
        <v>100</v>
      </c>
      <c r="O124" s="46">
        <v>0.6</v>
      </c>
      <c r="P124" s="47">
        <v>64.2</v>
      </c>
      <c r="Q124" s="47"/>
      <c r="R124" s="48">
        <f t="shared" si="8"/>
        <v>64.8</v>
      </c>
      <c r="S124" s="29">
        <v>3</v>
      </c>
      <c r="T124" s="286"/>
      <c r="U124" s="295"/>
      <c r="V124" s="38" t="s">
        <v>569</v>
      </c>
      <c r="W124" s="29" t="s">
        <v>96</v>
      </c>
      <c r="X124" s="29" t="s">
        <v>18</v>
      </c>
      <c r="Y124" s="39">
        <v>64.2</v>
      </c>
      <c r="Z124" s="38" t="s">
        <v>502</v>
      </c>
      <c r="AA124" s="29" t="s">
        <v>327</v>
      </c>
      <c r="AB124" s="29" t="s">
        <v>11</v>
      </c>
      <c r="AC124" s="29">
        <v>0.6</v>
      </c>
      <c r="AD124" s="38"/>
      <c r="AG124" s="39"/>
      <c r="AL124" s="38"/>
      <c r="AO124" s="39"/>
      <c r="AP124" s="38"/>
      <c r="AS124" s="39"/>
      <c r="AT124" s="94"/>
      <c r="AW124" s="39"/>
      <c r="BA124" s="40"/>
    </row>
    <row r="125" spans="1:53" s="29" customFormat="1" x14ac:dyDescent="0.15">
      <c r="A125" s="29">
        <v>2012</v>
      </c>
      <c r="B125" s="303">
        <v>40921</v>
      </c>
      <c r="C125" s="434" t="s">
        <v>322</v>
      </c>
      <c r="D125" s="434"/>
      <c r="E125" s="29">
        <v>143</v>
      </c>
      <c r="F125" s="84">
        <v>0</v>
      </c>
      <c r="G125" s="66">
        <v>1</v>
      </c>
      <c r="H125" s="29">
        <v>18</v>
      </c>
      <c r="J125" s="73">
        <v>19</v>
      </c>
      <c r="K125" s="47">
        <f t="shared" si="11"/>
        <v>5.2631578947368416</v>
      </c>
      <c r="L125" s="47">
        <f t="shared" si="12"/>
        <v>94.73684210526315</v>
      </c>
      <c r="M125" s="47">
        <f t="shared" si="13"/>
        <v>0</v>
      </c>
      <c r="N125" s="68">
        <f t="shared" si="14"/>
        <v>99.999999999999986</v>
      </c>
      <c r="O125" s="46">
        <v>0.6</v>
      </c>
      <c r="P125" s="47">
        <v>64.2</v>
      </c>
      <c r="Q125" s="47"/>
      <c r="R125" s="48">
        <f t="shared" si="8"/>
        <v>64.8</v>
      </c>
      <c r="S125" s="29">
        <v>3</v>
      </c>
      <c r="T125" s="286"/>
      <c r="U125" s="295"/>
      <c r="V125" s="38" t="s">
        <v>569</v>
      </c>
      <c r="W125" s="29" t="s">
        <v>96</v>
      </c>
      <c r="X125" s="29" t="s">
        <v>18</v>
      </c>
      <c r="Y125" s="39">
        <v>64.2</v>
      </c>
      <c r="Z125" s="38" t="s">
        <v>502</v>
      </c>
      <c r="AA125" s="29" t="s">
        <v>327</v>
      </c>
      <c r="AB125" s="29" t="s">
        <v>11</v>
      </c>
      <c r="AC125" s="29">
        <v>0.6</v>
      </c>
      <c r="AD125" s="38"/>
      <c r="AG125" s="39"/>
      <c r="AL125" s="38"/>
      <c r="AO125" s="39"/>
      <c r="AP125" s="38"/>
      <c r="AS125" s="39"/>
      <c r="AT125" s="94"/>
      <c r="AW125" s="39"/>
      <c r="BA125" s="40"/>
    </row>
    <row r="126" spans="1:53" s="29" customFormat="1" x14ac:dyDescent="0.15">
      <c r="A126" s="29">
        <v>2012</v>
      </c>
      <c r="B126" s="303">
        <v>41064</v>
      </c>
      <c r="C126" s="434" t="s">
        <v>322</v>
      </c>
      <c r="D126" s="434"/>
      <c r="E126" s="29">
        <v>98</v>
      </c>
      <c r="F126" s="84">
        <v>0</v>
      </c>
      <c r="G126" s="66">
        <v>1</v>
      </c>
      <c r="H126" s="29">
        <v>17</v>
      </c>
      <c r="J126" s="73">
        <v>19</v>
      </c>
      <c r="K126" s="47">
        <f t="shared" ref="K126:K131" si="15">G126/$J126*100</f>
        <v>5.2631578947368416</v>
      </c>
      <c r="L126" s="47">
        <f t="shared" si="12"/>
        <v>89.473684210526315</v>
      </c>
      <c r="M126" s="47">
        <f t="shared" si="13"/>
        <v>0</v>
      </c>
      <c r="N126" s="68">
        <f t="shared" ref="N126:N131" si="16">K126+L126+M126</f>
        <v>94.73684210526315</v>
      </c>
      <c r="O126" s="46">
        <v>0.6</v>
      </c>
      <c r="P126" s="47">
        <v>64.2</v>
      </c>
      <c r="Q126" s="47"/>
      <c r="R126" s="48">
        <f t="shared" si="8"/>
        <v>64.8</v>
      </c>
      <c r="S126" s="29">
        <v>3</v>
      </c>
      <c r="T126" s="286"/>
      <c r="U126" s="295"/>
      <c r="V126" s="38" t="s">
        <v>569</v>
      </c>
      <c r="W126" s="29" t="s">
        <v>96</v>
      </c>
      <c r="X126" s="29" t="s">
        <v>18</v>
      </c>
      <c r="Y126" s="39">
        <v>64.2</v>
      </c>
      <c r="Z126" s="38" t="s">
        <v>502</v>
      </c>
      <c r="AA126" s="29" t="s">
        <v>327</v>
      </c>
      <c r="AB126" s="29" t="s">
        <v>11</v>
      </c>
      <c r="AC126" s="29">
        <v>0.6</v>
      </c>
      <c r="AD126" s="38"/>
      <c r="AG126" s="39"/>
      <c r="AL126" s="38"/>
      <c r="AO126" s="39"/>
      <c r="AP126" s="38"/>
      <c r="AS126" s="39"/>
      <c r="AT126" s="94"/>
      <c r="AW126" s="39"/>
      <c r="BA126" s="40"/>
    </row>
    <row r="127" spans="1:53" s="29" customFormat="1" x14ac:dyDescent="0.15">
      <c r="A127" s="29">
        <v>2012</v>
      </c>
      <c r="B127" s="303">
        <v>41162</v>
      </c>
      <c r="C127" s="434" t="s">
        <v>322</v>
      </c>
      <c r="D127" s="434"/>
      <c r="E127" s="29">
        <v>21</v>
      </c>
      <c r="F127" s="84">
        <v>0</v>
      </c>
      <c r="G127" s="66"/>
      <c r="H127" s="29">
        <v>17</v>
      </c>
      <c r="J127" s="73">
        <v>18</v>
      </c>
      <c r="K127" s="47">
        <f t="shared" si="15"/>
        <v>0</v>
      </c>
      <c r="L127" s="47">
        <f t="shared" si="12"/>
        <v>94.444444444444443</v>
      </c>
      <c r="M127" s="47">
        <f t="shared" si="13"/>
        <v>0</v>
      </c>
      <c r="N127" s="68">
        <f t="shared" si="16"/>
        <v>94.444444444444443</v>
      </c>
      <c r="O127" s="46">
        <v>0.6</v>
      </c>
      <c r="P127" s="47">
        <v>64.2</v>
      </c>
      <c r="Q127" s="47"/>
      <c r="R127" s="48">
        <f t="shared" si="8"/>
        <v>64.8</v>
      </c>
      <c r="S127" s="29">
        <v>3</v>
      </c>
      <c r="T127" s="286"/>
      <c r="U127" s="295"/>
      <c r="V127" s="38" t="s">
        <v>569</v>
      </c>
      <c r="W127" s="29" t="s">
        <v>96</v>
      </c>
      <c r="X127" s="29" t="s">
        <v>18</v>
      </c>
      <c r="Y127" s="39">
        <v>64.2</v>
      </c>
      <c r="Z127" s="38" t="s">
        <v>502</v>
      </c>
      <c r="AA127" s="29" t="s">
        <v>327</v>
      </c>
      <c r="AB127" s="29" t="s">
        <v>11</v>
      </c>
      <c r="AC127" s="29">
        <v>0.6</v>
      </c>
      <c r="AD127" s="38"/>
      <c r="AG127" s="39"/>
      <c r="AL127" s="38"/>
      <c r="AO127" s="39"/>
      <c r="AP127" s="38"/>
      <c r="AS127" s="39"/>
      <c r="AT127" s="94"/>
      <c r="AW127" s="39"/>
      <c r="BA127" s="40"/>
    </row>
    <row r="128" spans="1:53" s="29" customFormat="1" x14ac:dyDescent="0.15">
      <c r="A128" s="29">
        <v>2012</v>
      </c>
      <c r="B128" s="303">
        <v>41183</v>
      </c>
      <c r="C128" s="434" t="s">
        <v>322</v>
      </c>
      <c r="D128" s="434"/>
      <c r="E128" s="29">
        <v>86</v>
      </c>
      <c r="F128" s="84">
        <v>0</v>
      </c>
      <c r="G128" s="66">
        <v>1</v>
      </c>
      <c r="H128" s="29">
        <v>17</v>
      </c>
      <c r="J128" s="73">
        <v>19</v>
      </c>
      <c r="K128" s="47">
        <f t="shared" si="15"/>
        <v>5.2631578947368416</v>
      </c>
      <c r="L128" s="47">
        <f t="shared" si="12"/>
        <v>89.473684210526315</v>
      </c>
      <c r="M128" s="47">
        <f t="shared" si="13"/>
        <v>0</v>
      </c>
      <c r="N128" s="68">
        <f t="shared" si="16"/>
        <v>94.73684210526315</v>
      </c>
      <c r="O128" s="46">
        <v>0.6</v>
      </c>
      <c r="P128" s="47">
        <v>64.2</v>
      </c>
      <c r="Q128" s="47"/>
      <c r="R128" s="48">
        <f t="shared" si="8"/>
        <v>64.8</v>
      </c>
      <c r="S128" s="29">
        <v>3</v>
      </c>
      <c r="T128" s="286"/>
      <c r="U128" s="295"/>
      <c r="V128" s="38" t="s">
        <v>569</v>
      </c>
      <c r="W128" s="29" t="s">
        <v>96</v>
      </c>
      <c r="X128" s="29" t="s">
        <v>18</v>
      </c>
      <c r="Y128" s="39">
        <v>64.2</v>
      </c>
      <c r="Z128" s="38" t="s">
        <v>502</v>
      </c>
      <c r="AA128" s="29" t="s">
        <v>327</v>
      </c>
      <c r="AB128" s="29" t="s">
        <v>11</v>
      </c>
      <c r="AC128" s="29">
        <v>0.6</v>
      </c>
      <c r="AD128" s="38"/>
      <c r="AG128" s="39"/>
      <c r="AL128" s="38"/>
      <c r="AO128" s="39"/>
      <c r="AP128" s="38"/>
      <c r="AS128" s="39"/>
      <c r="AT128" s="94"/>
      <c r="AW128" s="39"/>
      <c r="BA128" s="40"/>
    </row>
    <row r="129" spans="1:53" s="171" customFormat="1" x14ac:dyDescent="0.15">
      <c r="A129" s="171">
        <v>2012</v>
      </c>
      <c r="B129" s="283">
        <v>41269</v>
      </c>
      <c r="C129" s="438" t="s">
        <v>806</v>
      </c>
      <c r="D129" s="438"/>
      <c r="E129" s="171">
        <v>6</v>
      </c>
      <c r="F129" s="171">
        <v>1</v>
      </c>
      <c r="G129" s="233">
        <v>18</v>
      </c>
      <c r="H129" s="171">
        <v>1</v>
      </c>
      <c r="J129" s="241">
        <v>19</v>
      </c>
      <c r="K129" s="214">
        <f t="shared" si="15"/>
        <v>94.73684210526315</v>
      </c>
      <c r="L129" s="214">
        <f t="shared" si="12"/>
        <v>5.2631578947368416</v>
      </c>
      <c r="M129" s="214">
        <f t="shared" si="13"/>
        <v>0</v>
      </c>
      <c r="N129" s="235">
        <f t="shared" si="16"/>
        <v>99.999999999999986</v>
      </c>
      <c r="O129" s="213">
        <v>61.3</v>
      </c>
      <c r="P129" s="214">
        <v>6.5</v>
      </c>
      <c r="Q129" s="214"/>
      <c r="R129" s="215">
        <f t="shared" si="8"/>
        <v>67.8</v>
      </c>
      <c r="S129" s="171">
        <v>3</v>
      </c>
      <c r="T129" s="285">
        <v>41259</v>
      </c>
      <c r="U129" s="283">
        <v>41269</v>
      </c>
      <c r="V129" s="178" t="s">
        <v>494</v>
      </c>
      <c r="W129" s="171" t="s">
        <v>74</v>
      </c>
      <c r="X129" s="171" t="s">
        <v>11</v>
      </c>
      <c r="Y129" s="179">
        <v>61.3</v>
      </c>
      <c r="Z129" s="171" t="s">
        <v>497</v>
      </c>
      <c r="AA129" s="171" t="s">
        <v>17</v>
      </c>
      <c r="AB129" s="171" t="s">
        <v>18</v>
      </c>
      <c r="AC129" s="171">
        <v>6.5</v>
      </c>
      <c r="AD129" s="178"/>
      <c r="AG129" s="179"/>
      <c r="AL129" s="178"/>
      <c r="AO129" s="179"/>
      <c r="AP129" s="178"/>
      <c r="AS129" s="179"/>
      <c r="AT129" s="253"/>
      <c r="AW129" s="179"/>
      <c r="BA129" s="180"/>
    </row>
    <row r="130" spans="1:53" s="171" customFormat="1" x14ac:dyDescent="0.15">
      <c r="A130" s="171">
        <v>2013</v>
      </c>
      <c r="B130" s="283"/>
      <c r="C130" s="438" t="s">
        <v>806</v>
      </c>
      <c r="D130" s="438"/>
      <c r="E130" s="171">
        <v>0</v>
      </c>
      <c r="G130" s="233">
        <v>18</v>
      </c>
      <c r="H130" s="171">
        <v>1</v>
      </c>
      <c r="J130" s="241">
        <v>19</v>
      </c>
      <c r="K130" s="214">
        <f t="shared" si="15"/>
        <v>94.73684210526315</v>
      </c>
      <c r="L130" s="214">
        <f t="shared" si="12"/>
        <v>5.2631578947368416</v>
      </c>
      <c r="M130" s="214">
        <f t="shared" si="13"/>
        <v>0</v>
      </c>
      <c r="N130" s="235">
        <f t="shared" si="16"/>
        <v>99.999999999999986</v>
      </c>
      <c r="O130" s="213">
        <v>61.3</v>
      </c>
      <c r="P130" s="214">
        <v>6.5</v>
      </c>
      <c r="Q130" s="214"/>
      <c r="R130" s="215">
        <f t="shared" si="8"/>
        <v>67.8</v>
      </c>
      <c r="S130" s="171">
        <v>3</v>
      </c>
      <c r="T130" s="285"/>
      <c r="U130" s="283"/>
      <c r="V130" s="178" t="s">
        <v>494</v>
      </c>
      <c r="W130" s="171" t="s">
        <v>74</v>
      </c>
      <c r="X130" s="171" t="s">
        <v>11</v>
      </c>
      <c r="Y130" s="179">
        <v>61.3</v>
      </c>
      <c r="Z130" s="171" t="s">
        <v>497</v>
      </c>
      <c r="AA130" s="171" t="s">
        <v>17</v>
      </c>
      <c r="AB130" s="171" t="s">
        <v>18</v>
      </c>
      <c r="AC130" s="171">
        <v>6.5</v>
      </c>
      <c r="AD130" s="178"/>
      <c r="AG130" s="179"/>
      <c r="AL130" s="178"/>
      <c r="AO130" s="179"/>
      <c r="AP130" s="178"/>
      <c r="AS130" s="179"/>
      <c r="AT130" s="253"/>
      <c r="AW130" s="179"/>
      <c r="BA130" s="180"/>
    </row>
    <row r="131" spans="1:53" s="171" customFormat="1" x14ac:dyDescent="0.15">
      <c r="A131" s="171">
        <v>2013</v>
      </c>
      <c r="B131" s="283"/>
      <c r="C131" s="438" t="s">
        <v>806</v>
      </c>
      <c r="D131" s="438"/>
      <c r="E131" s="171">
        <v>365</v>
      </c>
      <c r="G131" s="233">
        <v>18</v>
      </c>
      <c r="H131" s="171">
        <v>1</v>
      </c>
      <c r="J131" s="241">
        <v>19</v>
      </c>
      <c r="K131" s="214">
        <f t="shared" si="15"/>
        <v>94.73684210526315</v>
      </c>
      <c r="L131" s="214">
        <f t="shared" si="12"/>
        <v>5.2631578947368416</v>
      </c>
      <c r="M131" s="214">
        <f t="shared" si="13"/>
        <v>0</v>
      </c>
      <c r="N131" s="235">
        <f t="shared" si="16"/>
        <v>99.999999999999986</v>
      </c>
      <c r="O131" s="213">
        <v>61.3</v>
      </c>
      <c r="P131" s="214">
        <v>6.5</v>
      </c>
      <c r="Q131" s="214"/>
      <c r="R131" s="215">
        <f t="shared" si="8"/>
        <v>67.8</v>
      </c>
      <c r="S131" s="171">
        <v>3</v>
      </c>
      <c r="T131" s="285"/>
      <c r="U131" s="283"/>
      <c r="V131" s="178" t="s">
        <v>494</v>
      </c>
      <c r="W131" s="171" t="s">
        <v>74</v>
      </c>
      <c r="X131" s="171" t="s">
        <v>11</v>
      </c>
      <c r="Y131" s="179">
        <v>61.3</v>
      </c>
      <c r="Z131" s="171" t="s">
        <v>497</v>
      </c>
      <c r="AA131" s="171" t="s">
        <v>17</v>
      </c>
      <c r="AB131" s="171" t="s">
        <v>18</v>
      </c>
      <c r="AC131" s="171">
        <v>6.5</v>
      </c>
      <c r="AD131" s="178"/>
      <c r="AG131" s="179"/>
      <c r="AL131" s="178"/>
      <c r="AO131" s="179"/>
      <c r="AP131" s="178"/>
      <c r="AS131" s="179"/>
      <c r="AT131" s="253"/>
      <c r="AW131" s="179"/>
      <c r="BA131" s="180"/>
    </row>
    <row r="132" spans="1:53" s="171" customFormat="1" x14ac:dyDescent="0.15">
      <c r="A132" s="171">
        <v>2014</v>
      </c>
      <c r="B132" s="283"/>
      <c r="C132" s="438" t="s">
        <v>806</v>
      </c>
      <c r="D132" s="438"/>
      <c r="E132" s="171">
        <v>357</v>
      </c>
      <c r="G132" s="233">
        <v>18</v>
      </c>
      <c r="H132" s="171">
        <v>1</v>
      </c>
      <c r="J132" s="241">
        <v>19</v>
      </c>
      <c r="K132" s="214">
        <f t="shared" ref="K132:M133" si="17">G132/$J132*100</f>
        <v>94.73684210526315</v>
      </c>
      <c r="L132" s="214">
        <f t="shared" si="17"/>
        <v>5.2631578947368416</v>
      </c>
      <c r="M132" s="214">
        <f t="shared" si="17"/>
        <v>0</v>
      </c>
      <c r="N132" s="235">
        <f>K132+L132+M132</f>
        <v>99.999999999999986</v>
      </c>
      <c r="O132" s="213">
        <v>61.3</v>
      </c>
      <c r="P132" s="214">
        <v>6.5</v>
      </c>
      <c r="Q132" s="214"/>
      <c r="R132" s="215">
        <f>O132+P132+Q132</f>
        <v>67.8</v>
      </c>
      <c r="S132" s="171">
        <v>3</v>
      </c>
      <c r="T132" s="285"/>
      <c r="U132" s="283"/>
      <c r="V132" s="178" t="s">
        <v>494</v>
      </c>
      <c r="W132" s="171" t="s">
        <v>74</v>
      </c>
      <c r="X132" s="171" t="s">
        <v>11</v>
      </c>
      <c r="Y132" s="179">
        <v>61.3</v>
      </c>
      <c r="Z132" s="171" t="s">
        <v>497</v>
      </c>
      <c r="AA132" s="171" t="s">
        <v>17</v>
      </c>
      <c r="AB132" s="171" t="s">
        <v>18</v>
      </c>
      <c r="AC132" s="171">
        <v>6.5</v>
      </c>
      <c r="AD132" s="178"/>
      <c r="AG132" s="179"/>
      <c r="AL132" s="178"/>
      <c r="AO132" s="179"/>
      <c r="AP132" s="178"/>
      <c r="AS132" s="179"/>
      <c r="AT132" s="253"/>
      <c r="AW132" s="179"/>
      <c r="BA132" s="180"/>
    </row>
    <row r="133" spans="1:53" s="29" customFormat="1" x14ac:dyDescent="0.15">
      <c r="A133" s="29">
        <v>2014</v>
      </c>
      <c r="B133" s="295">
        <v>41997</v>
      </c>
      <c r="C133" s="434" t="s">
        <v>1290</v>
      </c>
      <c r="D133" s="434"/>
      <c r="E133" s="29">
        <v>8</v>
      </c>
      <c r="F133" s="29">
        <v>1</v>
      </c>
      <c r="G133" s="66">
        <v>18</v>
      </c>
      <c r="H133" s="29">
        <v>1</v>
      </c>
      <c r="J133" s="73">
        <v>19</v>
      </c>
      <c r="K133" s="47">
        <f t="shared" si="17"/>
        <v>94.73684210526315</v>
      </c>
      <c r="L133" s="47">
        <f t="shared" si="17"/>
        <v>5.2631578947368416</v>
      </c>
      <c r="M133" s="47">
        <f t="shared" si="17"/>
        <v>0</v>
      </c>
      <c r="N133" s="68">
        <f>K133+L133+M133</f>
        <v>99.999999999999986</v>
      </c>
      <c r="O133" s="46">
        <v>61.1</v>
      </c>
      <c r="P133" s="47">
        <v>7.4</v>
      </c>
      <c r="Q133" s="47"/>
      <c r="R133" s="48">
        <f>O133+P133+Q133</f>
        <v>68.5</v>
      </c>
      <c r="S133" s="29">
        <v>3</v>
      </c>
      <c r="T133" s="286">
        <v>41987</v>
      </c>
      <c r="U133" s="295">
        <v>41997</v>
      </c>
      <c r="V133" s="38" t="s">
        <v>494</v>
      </c>
      <c r="W133" s="29" t="s">
        <v>74</v>
      </c>
      <c r="X133" s="29" t="s">
        <v>11</v>
      </c>
      <c r="Y133" s="39">
        <v>61.1</v>
      </c>
      <c r="Z133" s="38" t="s">
        <v>497</v>
      </c>
      <c r="AA133" s="29" t="s">
        <v>17</v>
      </c>
      <c r="AB133" s="29" t="s">
        <v>18</v>
      </c>
      <c r="AC133" s="29">
        <v>7.4</v>
      </c>
      <c r="AD133" s="38"/>
      <c r="AG133" s="39"/>
      <c r="AL133" s="38"/>
      <c r="AO133" s="39"/>
      <c r="AP133" s="38"/>
      <c r="AS133" s="39"/>
      <c r="AT133" s="94"/>
      <c r="AW133" s="39"/>
      <c r="BA133" s="40"/>
    </row>
    <row r="134" spans="1:53" s="29" customFormat="1" x14ac:dyDescent="0.15">
      <c r="A134" s="29">
        <v>2015</v>
      </c>
      <c r="B134" s="295"/>
      <c r="C134" s="434" t="s">
        <v>1290</v>
      </c>
      <c r="D134" s="434"/>
      <c r="E134" s="29">
        <v>279</v>
      </c>
      <c r="G134" s="66">
        <v>18</v>
      </c>
      <c r="H134" s="29">
        <v>1</v>
      </c>
      <c r="J134" s="73">
        <v>19</v>
      </c>
      <c r="K134" s="47">
        <f t="shared" ref="K134:K135" si="18">G134/$J134*100</f>
        <v>94.73684210526315</v>
      </c>
      <c r="L134" s="47">
        <f t="shared" ref="L134:L135" si="19">H134/$J134*100</f>
        <v>5.2631578947368416</v>
      </c>
      <c r="M134" s="47">
        <f t="shared" ref="M134:M135" si="20">I134/$J134*100</f>
        <v>0</v>
      </c>
      <c r="N134" s="68">
        <f t="shared" ref="N134:N135" si="21">K134+L134+M134</f>
        <v>99.999999999999986</v>
      </c>
      <c r="O134" s="46">
        <v>61.1</v>
      </c>
      <c r="P134" s="47">
        <v>7.4</v>
      </c>
      <c r="Q134" s="47"/>
      <c r="R134" s="48">
        <f t="shared" ref="R134:R135" si="22">O134+P134+Q134</f>
        <v>68.5</v>
      </c>
      <c r="S134" s="29">
        <v>3</v>
      </c>
      <c r="T134" s="286"/>
      <c r="U134" s="295"/>
      <c r="V134" s="38" t="s">
        <v>494</v>
      </c>
      <c r="W134" s="29" t="s">
        <v>74</v>
      </c>
      <c r="X134" s="29" t="s">
        <v>11</v>
      </c>
      <c r="Y134" s="39">
        <v>61.1</v>
      </c>
      <c r="Z134" s="38" t="s">
        <v>497</v>
      </c>
      <c r="AA134" s="29" t="s">
        <v>17</v>
      </c>
      <c r="AB134" s="29" t="s">
        <v>18</v>
      </c>
      <c r="AC134" s="29">
        <v>7.4</v>
      </c>
      <c r="AD134" s="38"/>
      <c r="AG134" s="39"/>
      <c r="AK134" s="39"/>
      <c r="AO134" s="39"/>
      <c r="AS134" s="39"/>
      <c r="AT134" s="94"/>
      <c r="AW134" s="39"/>
      <c r="BA134" s="40"/>
    </row>
    <row r="135" spans="1:53" s="29" customFormat="1" x14ac:dyDescent="0.15">
      <c r="A135" s="29">
        <v>2015</v>
      </c>
      <c r="B135" s="303">
        <v>42284</v>
      </c>
      <c r="C135" s="434" t="s">
        <v>1290</v>
      </c>
      <c r="D135" s="434"/>
      <c r="E135" s="29">
        <v>86</v>
      </c>
      <c r="F135" s="84">
        <v>0</v>
      </c>
      <c r="G135" s="66">
        <v>19</v>
      </c>
      <c r="H135" s="29">
        <v>1</v>
      </c>
      <c r="J135" s="73">
        <v>20</v>
      </c>
      <c r="K135" s="47">
        <f t="shared" si="18"/>
        <v>95</v>
      </c>
      <c r="L135" s="47">
        <f t="shared" si="19"/>
        <v>5</v>
      </c>
      <c r="M135" s="47">
        <f t="shared" si="20"/>
        <v>0</v>
      </c>
      <c r="N135" s="68">
        <f t="shared" si="21"/>
        <v>100</v>
      </c>
      <c r="O135" s="46">
        <v>61.1</v>
      </c>
      <c r="P135" s="47">
        <v>7.4</v>
      </c>
      <c r="Q135" s="47"/>
      <c r="R135" s="48">
        <f t="shared" si="22"/>
        <v>68.5</v>
      </c>
      <c r="S135" s="29">
        <v>3</v>
      </c>
      <c r="T135" s="286"/>
      <c r="U135" s="295"/>
      <c r="V135" s="38" t="s">
        <v>494</v>
      </c>
      <c r="W135" s="29" t="s">
        <v>74</v>
      </c>
      <c r="X135" s="29" t="s">
        <v>11</v>
      </c>
      <c r="Y135" s="39">
        <v>61.1</v>
      </c>
      <c r="Z135" s="38" t="s">
        <v>497</v>
      </c>
      <c r="AA135" s="29" t="s">
        <v>17</v>
      </c>
      <c r="AB135" s="29" t="s">
        <v>18</v>
      </c>
      <c r="AC135" s="29">
        <v>7.4</v>
      </c>
      <c r="AD135" s="38"/>
      <c r="AG135" s="39"/>
      <c r="AK135" s="39"/>
      <c r="AO135" s="39"/>
      <c r="AS135" s="39"/>
      <c r="AT135" s="94"/>
      <c r="AW135" s="39"/>
      <c r="BA135" s="40"/>
    </row>
    <row r="136" spans="1:53" s="29" customFormat="1" x14ac:dyDescent="0.15">
      <c r="A136" s="29">
        <v>2016</v>
      </c>
      <c r="B136" s="303"/>
      <c r="C136" s="434" t="s">
        <v>1290</v>
      </c>
      <c r="D136" s="434"/>
      <c r="E136" s="29">
        <v>0</v>
      </c>
      <c r="F136" s="84"/>
      <c r="G136" s="66">
        <v>19</v>
      </c>
      <c r="H136" s="29">
        <v>1</v>
      </c>
      <c r="J136" s="73">
        <v>20</v>
      </c>
      <c r="K136" s="47">
        <f t="shared" ref="K136" si="23">G136/$J136*100</f>
        <v>95</v>
      </c>
      <c r="L136" s="47">
        <f t="shared" ref="L136" si="24">H136/$J136*100</f>
        <v>5</v>
      </c>
      <c r="M136" s="47">
        <f t="shared" ref="M136" si="25">I136/$J136*100</f>
        <v>0</v>
      </c>
      <c r="N136" s="68">
        <f t="shared" ref="N136" si="26">K136+L136+M136</f>
        <v>100</v>
      </c>
      <c r="O136" s="46">
        <v>61.1</v>
      </c>
      <c r="P136" s="47">
        <v>7.4</v>
      </c>
      <c r="Q136" s="47"/>
      <c r="R136" s="48">
        <f t="shared" ref="R136" si="27">O136+P136+Q136</f>
        <v>68.5</v>
      </c>
      <c r="S136" s="29">
        <v>3</v>
      </c>
      <c r="T136" s="286"/>
      <c r="U136" s="295"/>
      <c r="V136" s="38" t="s">
        <v>494</v>
      </c>
      <c r="W136" s="29" t="s">
        <v>74</v>
      </c>
      <c r="X136" s="29" t="s">
        <v>11</v>
      </c>
      <c r="Y136" s="39">
        <v>61.1</v>
      </c>
      <c r="Z136" s="38" t="s">
        <v>497</v>
      </c>
      <c r="AA136" s="29" t="s">
        <v>17</v>
      </c>
      <c r="AB136" s="29" t="s">
        <v>18</v>
      </c>
      <c r="AC136" s="29">
        <v>7.4</v>
      </c>
      <c r="AD136" s="38"/>
      <c r="AG136" s="39"/>
      <c r="AK136" s="39"/>
      <c r="AO136" s="39"/>
      <c r="AS136" s="39"/>
      <c r="AT136" s="94"/>
      <c r="AW136" s="39"/>
      <c r="BA136" s="40"/>
    </row>
    <row r="137" spans="1:53" s="29" customFormat="1" x14ac:dyDescent="0.15">
      <c r="A137" s="29">
        <v>2016</v>
      </c>
      <c r="B137" s="303"/>
      <c r="C137" s="434" t="s">
        <v>1290</v>
      </c>
      <c r="D137" s="434"/>
      <c r="E137" s="29">
        <v>366</v>
      </c>
      <c r="F137" s="84"/>
      <c r="G137" s="66">
        <v>19</v>
      </c>
      <c r="H137" s="29">
        <v>1</v>
      </c>
      <c r="J137" s="73">
        <v>20</v>
      </c>
      <c r="K137" s="47">
        <f t="shared" ref="K137:K141" si="28">G137/$J137*100</f>
        <v>95</v>
      </c>
      <c r="L137" s="47">
        <f t="shared" ref="L137:L141" si="29">H137/$J137*100</f>
        <v>5</v>
      </c>
      <c r="M137" s="47">
        <f t="shared" ref="M137:M141" si="30">I137/$J137*100</f>
        <v>0</v>
      </c>
      <c r="N137" s="68">
        <f t="shared" ref="N137:N141" si="31">K137+L137+M137</f>
        <v>100</v>
      </c>
      <c r="O137" s="46">
        <v>61.1</v>
      </c>
      <c r="P137" s="47">
        <v>7.4</v>
      </c>
      <c r="Q137" s="47"/>
      <c r="R137" s="48">
        <f t="shared" ref="R137" si="32">O137+P137+Q137</f>
        <v>68.5</v>
      </c>
      <c r="S137" s="29">
        <v>3</v>
      </c>
      <c r="T137" s="286"/>
      <c r="U137" s="295"/>
      <c r="V137" s="38" t="s">
        <v>494</v>
      </c>
      <c r="W137" s="29" t="s">
        <v>74</v>
      </c>
      <c r="X137" s="29" t="s">
        <v>11</v>
      </c>
      <c r="Y137" s="39">
        <v>61.1</v>
      </c>
      <c r="Z137" s="38" t="s">
        <v>497</v>
      </c>
      <c r="AA137" s="29" t="s">
        <v>17</v>
      </c>
      <c r="AB137" s="29" t="s">
        <v>18</v>
      </c>
      <c r="AC137" s="29">
        <v>7.4</v>
      </c>
      <c r="AD137" s="38"/>
      <c r="AG137" s="39"/>
      <c r="AK137" s="39"/>
      <c r="AO137" s="39"/>
      <c r="AS137" s="39"/>
      <c r="AT137" s="94"/>
      <c r="AW137" s="39"/>
      <c r="BA137" s="40"/>
    </row>
    <row r="138" spans="1:53" s="29" customFormat="1" x14ac:dyDescent="0.15">
      <c r="A138" s="29">
        <v>2017</v>
      </c>
      <c r="B138" s="303"/>
      <c r="C138" s="434" t="s">
        <v>1290</v>
      </c>
      <c r="D138" s="434"/>
      <c r="E138" s="29">
        <v>304</v>
      </c>
      <c r="F138" s="84"/>
      <c r="G138" s="66">
        <v>19</v>
      </c>
      <c r="H138" s="29">
        <v>1</v>
      </c>
      <c r="J138" s="73">
        <v>20</v>
      </c>
      <c r="K138" s="47">
        <f t="shared" si="28"/>
        <v>95</v>
      </c>
      <c r="L138" s="47">
        <f t="shared" si="29"/>
        <v>5</v>
      </c>
      <c r="M138" s="47">
        <f t="shared" si="30"/>
        <v>0</v>
      </c>
      <c r="N138" s="68">
        <f t="shared" si="31"/>
        <v>100</v>
      </c>
      <c r="O138" s="46">
        <v>61.1</v>
      </c>
      <c r="P138" s="47">
        <v>7.4</v>
      </c>
      <c r="Q138" s="47"/>
      <c r="R138" s="48">
        <f t="shared" ref="R138:R139" si="33">O138+P138+Q138</f>
        <v>68.5</v>
      </c>
      <c r="S138" s="29">
        <v>3</v>
      </c>
      <c r="T138" s="286"/>
      <c r="U138" s="295"/>
      <c r="V138" s="38" t="s">
        <v>494</v>
      </c>
      <c r="W138" s="29" t="s">
        <v>74</v>
      </c>
      <c r="X138" s="29" t="s">
        <v>11</v>
      </c>
      <c r="Y138" s="39">
        <v>61.1</v>
      </c>
      <c r="Z138" s="38" t="s">
        <v>497</v>
      </c>
      <c r="AA138" s="29" t="s">
        <v>17</v>
      </c>
      <c r="AB138" s="29" t="s">
        <v>18</v>
      </c>
      <c r="AC138" s="29">
        <v>7.4</v>
      </c>
      <c r="AD138" s="38"/>
      <c r="AG138" s="39"/>
      <c r="AK138" s="39"/>
      <c r="AO138" s="39"/>
      <c r="AS138" s="39"/>
      <c r="AT138" s="94"/>
      <c r="AW138" s="39"/>
      <c r="BA138" s="40"/>
    </row>
    <row r="139" spans="1:53" s="171" customFormat="1" x14ac:dyDescent="0.15">
      <c r="A139" s="171">
        <v>2017</v>
      </c>
      <c r="B139" s="283">
        <v>43040</v>
      </c>
      <c r="C139" s="438" t="s">
        <v>1376</v>
      </c>
      <c r="D139" s="438"/>
      <c r="E139" s="171">
        <v>61</v>
      </c>
      <c r="F139" s="171">
        <v>1</v>
      </c>
      <c r="G139" s="233">
        <v>19</v>
      </c>
      <c r="H139" s="171">
        <v>1</v>
      </c>
      <c r="J139" s="241">
        <v>20</v>
      </c>
      <c r="K139" s="214">
        <f t="shared" si="28"/>
        <v>95</v>
      </c>
      <c r="L139" s="214">
        <f t="shared" si="29"/>
        <v>5</v>
      </c>
      <c r="M139" s="214">
        <f t="shared" si="30"/>
        <v>0</v>
      </c>
      <c r="N139" s="235">
        <f t="shared" si="31"/>
        <v>100</v>
      </c>
      <c r="O139" s="213">
        <v>60.9</v>
      </c>
      <c r="P139" s="214">
        <v>6.2</v>
      </c>
      <c r="Q139" s="214"/>
      <c r="R139" s="215">
        <f t="shared" si="33"/>
        <v>67.099999999999994</v>
      </c>
      <c r="S139" s="171">
        <v>3</v>
      </c>
      <c r="T139" s="285">
        <v>43030</v>
      </c>
      <c r="U139" s="283">
        <v>43040</v>
      </c>
      <c r="V139" s="178" t="s">
        <v>494</v>
      </c>
      <c r="W139" s="171" t="s">
        <v>74</v>
      </c>
      <c r="X139" s="171" t="s">
        <v>11</v>
      </c>
      <c r="Y139" s="179">
        <v>60.9</v>
      </c>
      <c r="Z139" s="178" t="s">
        <v>497</v>
      </c>
      <c r="AA139" s="171" t="s">
        <v>17</v>
      </c>
      <c r="AB139" s="171" t="s">
        <v>18</v>
      </c>
      <c r="AC139" s="171">
        <v>6.2</v>
      </c>
      <c r="AD139" s="178"/>
      <c r="AG139" s="179"/>
      <c r="AK139" s="179"/>
      <c r="AO139" s="179"/>
      <c r="AS139" s="179"/>
      <c r="AT139" s="253"/>
      <c r="AW139" s="179"/>
      <c r="BA139" s="180"/>
    </row>
    <row r="140" spans="1:53" s="171" customFormat="1" x14ac:dyDescent="0.15">
      <c r="A140" s="171">
        <v>2018</v>
      </c>
      <c r="B140" s="283"/>
      <c r="C140" s="438" t="s">
        <v>1376</v>
      </c>
      <c r="D140" s="438"/>
      <c r="E140" s="171">
        <v>0</v>
      </c>
      <c r="G140" s="233">
        <v>19</v>
      </c>
      <c r="H140" s="171">
        <v>1</v>
      </c>
      <c r="J140" s="241">
        <v>20</v>
      </c>
      <c r="K140" s="214">
        <f t="shared" si="28"/>
        <v>95</v>
      </c>
      <c r="L140" s="214">
        <f t="shared" si="29"/>
        <v>5</v>
      </c>
      <c r="M140" s="214">
        <f t="shared" si="30"/>
        <v>0</v>
      </c>
      <c r="N140" s="235">
        <f t="shared" si="31"/>
        <v>100</v>
      </c>
      <c r="O140" s="213">
        <v>60.9</v>
      </c>
      <c r="P140" s="214">
        <v>6.2</v>
      </c>
      <c r="Q140" s="214"/>
      <c r="R140" s="215">
        <f t="shared" ref="R140:R141" si="34">O140+P140+Q140</f>
        <v>67.099999999999994</v>
      </c>
      <c r="S140" s="171">
        <v>3</v>
      </c>
      <c r="T140" s="285"/>
      <c r="U140" s="283"/>
      <c r="V140" s="178" t="s">
        <v>494</v>
      </c>
      <c r="W140" s="171" t="s">
        <v>74</v>
      </c>
      <c r="X140" s="171" t="s">
        <v>11</v>
      </c>
      <c r="Y140" s="179">
        <v>60.9</v>
      </c>
      <c r="Z140" s="178" t="s">
        <v>497</v>
      </c>
      <c r="AA140" s="171" t="s">
        <v>17</v>
      </c>
      <c r="AB140" s="171" t="s">
        <v>18</v>
      </c>
      <c r="AC140" s="171">
        <v>6.2</v>
      </c>
      <c r="AD140" s="178"/>
      <c r="AG140" s="179"/>
      <c r="AK140" s="179"/>
      <c r="AO140" s="179"/>
      <c r="AS140" s="179"/>
      <c r="AT140" s="253"/>
      <c r="AW140" s="179"/>
      <c r="BA140" s="180"/>
    </row>
    <row r="141" spans="1:53" s="171" customFormat="1" x14ac:dyDescent="0.15">
      <c r="A141" s="171">
        <v>2018</v>
      </c>
      <c r="B141" s="283"/>
      <c r="C141" s="438" t="s">
        <v>1376</v>
      </c>
      <c r="D141" s="438"/>
      <c r="E141" s="171">
        <v>365</v>
      </c>
      <c r="G141" s="233">
        <v>19</v>
      </c>
      <c r="H141" s="171">
        <v>1</v>
      </c>
      <c r="J141" s="241">
        <v>20</v>
      </c>
      <c r="K141" s="214">
        <f t="shared" si="28"/>
        <v>95</v>
      </c>
      <c r="L141" s="214">
        <f t="shared" si="29"/>
        <v>5</v>
      </c>
      <c r="M141" s="214">
        <f t="shared" si="30"/>
        <v>0</v>
      </c>
      <c r="N141" s="235">
        <f t="shared" si="31"/>
        <v>100</v>
      </c>
      <c r="O141" s="213">
        <v>60.9</v>
      </c>
      <c r="P141" s="214">
        <v>6.2</v>
      </c>
      <c r="Q141" s="214"/>
      <c r="R141" s="215">
        <f t="shared" si="34"/>
        <v>67.099999999999994</v>
      </c>
      <c r="S141" s="171">
        <v>3</v>
      </c>
      <c r="T141" s="285"/>
      <c r="U141" s="283"/>
      <c r="V141" s="178" t="s">
        <v>494</v>
      </c>
      <c r="W141" s="171" t="s">
        <v>74</v>
      </c>
      <c r="X141" s="171" t="s">
        <v>11</v>
      </c>
      <c r="Y141" s="179">
        <v>60.9</v>
      </c>
      <c r="Z141" s="178" t="s">
        <v>497</v>
      </c>
      <c r="AA141" s="171" t="s">
        <v>17</v>
      </c>
      <c r="AB141" s="171" t="s">
        <v>18</v>
      </c>
      <c r="AC141" s="171">
        <v>6.2</v>
      </c>
      <c r="AD141" s="178"/>
      <c r="AG141" s="179"/>
      <c r="AK141" s="179"/>
      <c r="AO141" s="179"/>
      <c r="AS141" s="179"/>
      <c r="AT141" s="253"/>
      <c r="AW141" s="179"/>
      <c r="BA141" s="180"/>
    </row>
    <row r="142" spans="1:53" s="171" customFormat="1" x14ac:dyDescent="0.15">
      <c r="A142" s="171">
        <v>2019</v>
      </c>
      <c r="B142" s="283"/>
      <c r="C142" s="438" t="s">
        <v>1376</v>
      </c>
      <c r="D142" s="438"/>
      <c r="E142" s="171">
        <v>0</v>
      </c>
      <c r="G142" s="233">
        <v>19</v>
      </c>
      <c r="H142" s="171">
        <v>1</v>
      </c>
      <c r="J142" s="241">
        <v>20</v>
      </c>
      <c r="K142" s="214">
        <f t="shared" ref="K142:K145" si="35">G142/$J142*100</f>
        <v>95</v>
      </c>
      <c r="L142" s="214">
        <f t="shared" ref="L142:L145" si="36">H142/$J142*100</f>
        <v>5</v>
      </c>
      <c r="M142" s="214">
        <f t="shared" ref="M142:M145" si="37">I142/$J142*100</f>
        <v>0</v>
      </c>
      <c r="N142" s="235">
        <f t="shared" ref="N142:N145" si="38">K142+L142+M142</f>
        <v>100</v>
      </c>
      <c r="O142" s="213">
        <v>60.9</v>
      </c>
      <c r="P142" s="214">
        <v>6.2</v>
      </c>
      <c r="Q142" s="214"/>
      <c r="R142" s="215">
        <f t="shared" ref="R142:R145" si="39">O142+P142+Q142</f>
        <v>67.099999999999994</v>
      </c>
      <c r="S142" s="171">
        <v>3</v>
      </c>
      <c r="T142" s="285"/>
      <c r="U142" s="283"/>
      <c r="V142" s="178" t="s">
        <v>494</v>
      </c>
      <c r="W142" s="171" t="s">
        <v>74</v>
      </c>
      <c r="X142" s="171" t="s">
        <v>11</v>
      </c>
      <c r="Y142" s="179">
        <v>60.9</v>
      </c>
      <c r="Z142" s="178" t="s">
        <v>497</v>
      </c>
      <c r="AA142" s="171" t="s">
        <v>17</v>
      </c>
      <c r="AB142" s="171" t="s">
        <v>18</v>
      </c>
      <c r="AC142" s="171">
        <v>6.2</v>
      </c>
      <c r="AD142" s="178"/>
      <c r="AG142" s="179"/>
      <c r="AK142" s="179"/>
      <c r="AO142" s="179"/>
      <c r="AS142" s="179"/>
      <c r="AT142" s="253"/>
      <c r="AW142" s="179"/>
      <c r="BA142" s="180"/>
    </row>
    <row r="143" spans="1:53" s="171" customFormat="1" x14ac:dyDescent="0.15">
      <c r="A143" s="171">
        <v>2019</v>
      </c>
      <c r="B143" s="283"/>
      <c r="C143" s="438" t="s">
        <v>1376</v>
      </c>
      <c r="D143" s="438"/>
      <c r="E143" s="171">
        <v>365</v>
      </c>
      <c r="G143" s="233">
        <v>19</v>
      </c>
      <c r="H143" s="171">
        <v>1</v>
      </c>
      <c r="J143" s="241">
        <v>20</v>
      </c>
      <c r="K143" s="214">
        <f t="shared" si="35"/>
        <v>95</v>
      </c>
      <c r="L143" s="214">
        <f t="shared" si="36"/>
        <v>5</v>
      </c>
      <c r="M143" s="214">
        <f t="shared" si="37"/>
        <v>0</v>
      </c>
      <c r="N143" s="235">
        <f t="shared" si="38"/>
        <v>100</v>
      </c>
      <c r="O143" s="213">
        <v>60.9</v>
      </c>
      <c r="P143" s="214">
        <v>6.2</v>
      </c>
      <c r="Q143" s="214"/>
      <c r="R143" s="215">
        <f t="shared" si="39"/>
        <v>67.099999999999994</v>
      </c>
      <c r="S143" s="171">
        <v>3</v>
      </c>
      <c r="T143" s="285"/>
      <c r="U143" s="283"/>
      <c r="V143" s="178" t="s">
        <v>494</v>
      </c>
      <c r="W143" s="171" t="s">
        <v>74</v>
      </c>
      <c r="X143" s="171" t="s">
        <v>11</v>
      </c>
      <c r="Y143" s="179">
        <v>60.9</v>
      </c>
      <c r="Z143" s="178" t="s">
        <v>497</v>
      </c>
      <c r="AA143" s="171" t="s">
        <v>17</v>
      </c>
      <c r="AB143" s="171" t="s">
        <v>18</v>
      </c>
      <c r="AC143" s="179">
        <v>6.2</v>
      </c>
      <c r="AG143" s="179"/>
      <c r="AK143" s="179"/>
      <c r="AO143" s="179"/>
      <c r="AS143" s="179"/>
      <c r="AT143" s="253"/>
      <c r="AW143" s="179"/>
      <c r="BA143" s="180"/>
    </row>
    <row r="144" spans="1:53" s="171" customFormat="1" x14ac:dyDescent="0.15">
      <c r="A144" s="171">
        <v>2020</v>
      </c>
      <c r="B144" s="283"/>
      <c r="C144" s="438" t="s">
        <v>1376</v>
      </c>
      <c r="D144" s="438"/>
      <c r="E144" s="171">
        <v>259</v>
      </c>
      <c r="G144" s="233">
        <v>19</v>
      </c>
      <c r="H144" s="171">
        <v>1</v>
      </c>
      <c r="J144" s="241">
        <v>20</v>
      </c>
      <c r="K144" s="214">
        <f t="shared" si="35"/>
        <v>95</v>
      </c>
      <c r="L144" s="214">
        <f t="shared" si="36"/>
        <v>5</v>
      </c>
      <c r="M144" s="214">
        <f t="shared" si="37"/>
        <v>0</v>
      </c>
      <c r="N144" s="235">
        <f t="shared" si="38"/>
        <v>100</v>
      </c>
      <c r="O144" s="213">
        <v>60.9</v>
      </c>
      <c r="P144" s="214">
        <v>6.2</v>
      </c>
      <c r="Q144" s="214"/>
      <c r="R144" s="215">
        <f t="shared" si="39"/>
        <v>67.099999999999994</v>
      </c>
      <c r="S144" s="171">
        <v>3</v>
      </c>
      <c r="T144" s="285"/>
      <c r="U144" s="283"/>
      <c r="V144" s="178" t="s">
        <v>494</v>
      </c>
      <c r="W144" s="171" t="s">
        <v>74</v>
      </c>
      <c r="X144" s="171" t="s">
        <v>11</v>
      </c>
      <c r="Y144" s="179">
        <v>60.9</v>
      </c>
      <c r="Z144" s="178" t="s">
        <v>497</v>
      </c>
      <c r="AA144" s="171" t="s">
        <v>17</v>
      </c>
      <c r="AB144" s="171" t="s">
        <v>18</v>
      </c>
      <c r="AC144" s="179">
        <v>6.2</v>
      </c>
      <c r="AG144" s="179"/>
      <c r="AK144" s="179"/>
      <c r="AO144" s="179"/>
      <c r="AS144" s="179"/>
      <c r="AT144" s="253"/>
      <c r="AW144" s="179"/>
      <c r="BA144" s="180"/>
    </row>
    <row r="145" spans="1:53" s="29" customFormat="1" x14ac:dyDescent="0.15">
      <c r="A145" s="29">
        <v>2020</v>
      </c>
      <c r="B145" s="295">
        <v>44090</v>
      </c>
      <c r="C145" s="434" t="s">
        <v>1470</v>
      </c>
      <c r="D145" s="434"/>
      <c r="E145" s="29">
        <v>107</v>
      </c>
      <c r="F145" s="29">
        <v>3</v>
      </c>
      <c r="G145" s="66">
        <v>20</v>
      </c>
      <c r="H145" s="29">
        <v>1</v>
      </c>
      <c r="J145" s="73">
        <v>21</v>
      </c>
      <c r="K145" s="47">
        <f t="shared" si="35"/>
        <v>95.238095238095227</v>
      </c>
      <c r="L145" s="47">
        <f t="shared" si="36"/>
        <v>4.7619047619047619</v>
      </c>
      <c r="M145" s="47">
        <f t="shared" si="37"/>
        <v>0</v>
      </c>
      <c r="N145" s="68">
        <f t="shared" si="38"/>
        <v>99.999999999999986</v>
      </c>
      <c r="O145" s="46">
        <v>60.9</v>
      </c>
      <c r="P145" s="47">
        <v>6.2</v>
      </c>
      <c r="Q145" s="47"/>
      <c r="R145" s="48">
        <f t="shared" si="39"/>
        <v>67.099999999999994</v>
      </c>
      <c r="S145" s="29">
        <v>3</v>
      </c>
      <c r="T145" s="286"/>
      <c r="U145" s="295">
        <v>44090</v>
      </c>
      <c r="V145" s="38" t="s">
        <v>494</v>
      </c>
      <c r="W145" s="29" t="s">
        <v>74</v>
      </c>
      <c r="X145" s="29" t="s">
        <v>11</v>
      </c>
      <c r="Y145" s="39">
        <v>60.9</v>
      </c>
      <c r="Z145" s="38" t="s">
        <v>497</v>
      </c>
      <c r="AA145" s="29" t="s">
        <v>17</v>
      </c>
      <c r="AB145" s="29" t="s">
        <v>18</v>
      </c>
      <c r="AC145" s="39">
        <v>6.2</v>
      </c>
      <c r="AG145" s="39"/>
      <c r="AK145" s="39"/>
      <c r="AO145" s="39"/>
      <c r="AS145" s="39"/>
      <c r="AT145" s="94"/>
      <c r="AW145" s="39"/>
      <c r="BA145" s="40"/>
    </row>
    <row r="146" spans="1:53" x14ac:dyDescent="0.15">
      <c r="B146" s="273"/>
      <c r="C146" s="441"/>
      <c r="D146" s="441"/>
      <c r="F146" s="366"/>
      <c r="J146" s="26"/>
      <c r="K146" s="12"/>
      <c r="L146" s="12"/>
      <c r="M146" s="12"/>
      <c r="N146" s="20"/>
      <c r="O146" s="12"/>
      <c r="P146" s="12"/>
      <c r="Q146" s="12"/>
      <c r="R146" s="20"/>
      <c r="T146" s="340"/>
      <c r="U146" s="340"/>
    </row>
    <row r="148" spans="1:53" ht="18" customHeight="1" x14ac:dyDescent="0.15">
      <c r="B148" s="16" t="s">
        <v>1264</v>
      </c>
      <c r="H148" s="4"/>
      <c r="AT148" s="1"/>
    </row>
    <row r="149" spans="1:53" ht="9" customHeight="1" x14ac:dyDescent="0.15">
      <c r="H149" s="4"/>
      <c r="AT149" s="1"/>
    </row>
    <row r="150" spans="1:53" s="195" customFormat="1" ht="9" customHeight="1" x14ac:dyDescent="0.15">
      <c r="A150" s="193"/>
      <c r="B150" s="194" t="s">
        <v>1215</v>
      </c>
      <c r="C150" s="194"/>
      <c r="D150" s="194"/>
      <c r="E150" s="194"/>
      <c r="F150" s="194"/>
      <c r="G150" s="194" t="s">
        <v>1216</v>
      </c>
      <c r="H150" s="194"/>
      <c r="I150" s="194"/>
      <c r="J150" s="194"/>
      <c r="K150" s="194"/>
      <c r="L150" s="194"/>
      <c r="M150" s="194"/>
      <c r="N150" s="194"/>
      <c r="R150" s="388" t="s">
        <v>1217</v>
      </c>
      <c r="S150" s="388"/>
      <c r="T150" s="388"/>
      <c r="U150" s="388"/>
      <c r="V150" s="388"/>
      <c r="W150" s="388"/>
      <c r="X150" s="196"/>
      <c r="Y150" s="196"/>
      <c r="AA150" s="196"/>
      <c r="AB150" s="196"/>
      <c r="AC150" s="196"/>
      <c r="AD150" s="196"/>
    </row>
    <row r="151" spans="1:53" s="200" customFormat="1" ht="9" customHeight="1" x14ac:dyDescent="0.15">
      <c r="A151" s="197"/>
      <c r="B151" s="198" t="s">
        <v>1219</v>
      </c>
      <c r="C151" s="199"/>
      <c r="D151" s="199"/>
      <c r="E151" s="199"/>
      <c r="F151" s="199"/>
      <c r="G151" s="198" t="s">
        <v>1218</v>
      </c>
      <c r="H151" s="199"/>
      <c r="I151" s="199"/>
      <c r="J151" s="199"/>
      <c r="K151" s="199"/>
      <c r="L151" s="199"/>
      <c r="M151" s="199"/>
      <c r="N151" s="199"/>
      <c r="R151" s="201" t="s">
        <v>1220</v>
      </c>
      <c r="S151" s="202"/>
      <c r="T151" s="203"/>
      <c r="U151" s="203"/>
      <c r="V151" s="203"/>
      <c r="W151" s="201" t="s">
        <v>1221</v>
      </c>
      <c r="X151" s="203"/>
      <c r="Y151" s="203"/>
      <c r="AA151" s="203"/>
      <c r="AB151" s="203"/>
      <c r="AC151" s="203"/>
      <c r="AD151" s="203"/>
    </row>
    <row r="152" spans="1:53" s="186" customFormat="1" ht="12" customHeight="1" x14ac:dyDescent="0.15">
      <c r="A152" s="204" t="s">
        <v>3</v>
      </c>
      <c r="B152" s="205" t="s">
        <v>8</v>
      </c>
      <c r="C152" s="205" t="s">
        <v>9</v>
      </c>
      <c r="D152" s="205" t="s">
        <v>10</v>
      </c>
      <c r="E152" s="206" t="s">
        <v>1195</v>
      </c>
      <c r="F152" s="205"/>
      <c r="G152" s="186" t="s">
        <v>3</v>
      </c>
      <c r="H152" s="389" t="s">
        <v>0</v>
      </c>
      <c r="I152" s="389"/>
      <c r="J152" s="389" t="s">
        <v>1</v>
      </c>
      <c r="K152" s="389"/>
      <c r="L152" s="389" t="s">
        <v>2</v>
      </c>
      <c r="M152" s="389"/>
      <c r="N152" s="390" t="s">
        <v>1195</v>
      </c>
      <c r="O152" s="390"/>
      <c r="P152" s="207"/>
      <c r="Q152" s="207"/>
      <c r="R152" s="208" t="s">
        <v>3</v>
      </c>
      <c r="S152" s="209" t="s">
        <v>135</v>
      </c>
      <c r="T152" s="207" t="s">
        <v>133</v>
      </c>
      <c r="U152" s="205" t="s">
        <v>134</v>
      </c>
      <c r="V152" s="207"/>
      <c r="W152" s="210" t="s">
        <v>26</v>
      </c>
    </row>
    <row r="153" spans="1:53" s="140" customFormat="1" x14ac:dyDescent="0.15">
      <c r="A153" s="140">
        <v>1959</v>
      </c>
      <c r="B153" s="143">
        <f>(K6*($E6/365)) + (K7*($E7/365))</f>
        <v>100</v>
      </c>
      <c r="C153" s="143">
        <f>(L6*($E6/365)) + (L7*($E7/365))</f>
        <v>0</v>
      </c>
      <c r="D153" s="143">
        <f>(M6*($E6/365)) + (M7*($E7/365))</f>
        <v>0</v>
      </c>
      <c r="E153" s="144">
        <f>B153+C153+D153</f>
        <v>100</v>
      </c>
      <c r="G153" s="140">
        <v>1959</v>
      </c>
      <c r="H153" s="417">
        <f>(O6/$R6*100*($E6/365))+(O7/$R7*100*($E7/365))</f>
        <v>100</v>
      </c>
      <c r="I153" s="417"/>
      <c r="J153" s="417">
        <f>(P6/$R6*100*($E6/365))+(P7/$R7*100*($E7/365))</f>
        <v>0</v>
      </c>
      <c r="K153" s="417"/>
      <c r="L153" s="417">
        <f>(Q6/$R6*100*($E6/365))+(Q7/$R7*100*($E7/365))</f>
        <v>0</v>
      </c>
      <c r="M153" s="417"/>
      <c r="N153" s="412">
        <f>H153+J153+L153</f>
        <v>100</v>
      </c>
      <c r="O153" s="412"/>
      <c r="R153" s="140">
        <v>1959</v>
      </c>
      <c r="S153" s="143">
        <f>(O6*($E6/365)) + (O7*($E7/365))</f>
        <v>61.5</v>
      </c>
      <c r="T153" s="143">
        <f>(P6*($E6/365)) + (P7*($E7/365))</f>
        <v>0</v>
      </c>
      <c r="U153" s="143">
        <f>(Q6*($E6/365)) + (Q7*($E7/365))</f>
        <v>0</v>
      </c>
      <c r="V153" s="153"/>
      <c r="W153" s="143">
        <f>S153+T153+U153</f>
        <v>61.5</v>
      </c>
      <c r="AT153" s="158"/>
    </row>
    <row r="154" spans="1:53" x14ac:dyDescent="0.15">
      <c r="A154" s="1">
        <v>1960</v>
      </c>
      <c r="B154" s="5">
        <f>(K8*($E8/366))+(K9*($E9/366))+(K10*($E10/366))</f>
        <v>100</v>
      </c>
      <c r="C154" s="5">
        <f>(L8*($E8/366))+(L9*($E9/366))+(L10*($E10/366))</f>
        <v>0</v>
      </c>
      <c r="D154" s="5">
        <f>(M8*($E8/366))+(M9*($E9/366))+(M10*($E10/366))</f>
        <v>0</v>
      </c>
      <c r="E154" s="18">
        <f>B154+C154+D154</f>
        <v>100</v>
      </c>
      <c r="G154" s="1">
        <v>1960</v>
      </c>
      <c r="H154" s="409">
        <f>(O8/$R8*100*($E8/366))+(O9/$R9*100*($E9/366))+(O10/$R10*100*($E10/366))</f>
        <v>100</v>
      </c>
      <c r="I154" s="409"/>
      <c r="J154" s="409">
        <f>(P8/$R8*100*($E8/366))+(P9/$R9*100*($E9/366))+(P10/$R10*100*($E10/366))</f>
        <v>0</v>
      </c>
      <c r="K154" s="409"/>
      <c r="L154" s="409">
        <f>(Q8/$R8*100*($E8/366))+(Q9/$R9*100*($E9/366))+(Q10/$R10*100*($E10/366))</f>
        <v>0</v>
      </c>
      <c r="M154" s="409"/>
      <c r="N154" s="379">
        <f>H154+J154+L154</f>
        <v>100</v>
      </c>
      <c r="O154" s="379"/>
      <c r="R154" s="1">
        <v>1960</v>
      </c>
      <c r="S154" s="5">
        <f>(O8*($E8/366))+(O9*($E9/366))+(O10*($E10/366))</f>
        <v>61.624590163934428</v>
      </c>
      <c r="T154" s="5">
        <f>(P8*($E8/366))+(P9*($E9/366))+(P10*($E10/366))</f>
        <v>0</v>
      </c>
      <c r="U154" s="5">
        <f>(Q8*($E8/366))+(Q9*($E9/366))+(Q10*($E10/366))</f>
        <v>0</v>
      </c>
      <c r="V154" s="9"/>
      <c r="W154" s="5">
        <f>S154+T154+U154</f>
        <v>61.624590163934428</v>
      </c>
    </row>
    <row r="155" spans="1:53" x14ac:dyDescent="0.15">
      <c r="A155" s="1">
        <v>1961</v>
      </c>
      <c r="B155" s="5">
        <f>(K11*($E11/365))+(K12*($E12/365))</f>
        <v>100</v>
      </c>
      <c r="C155" s="5">
        <f>(L11*($E11/365))+(L12*($E12/365))</f>
        <v>0</v>
      </c>
      <c r="D155" s="5">
        <f>(M11*($E11/365))+(M12*($E12/365))</f>
        <v>0</v>
      </c>
      <c r="E155" s="18">
        <f t="shared" ref="E155:E207" si="40">B155+C155+D155</f>
        <v>100</v>
      </c>
      <c r="G155" s="1">
        <v>1961</v>
      </c>
      <c r="H155" s="409">
        <f>(O11/$R11*100*($E11/365))+(O12/$R12*100*($E12/365))</f>
        <v>100</v>
      </c>
      <c r="I155" s="409"/>
      <c r="J155" s="409">
        <f>(P11/$R11*100*($E11/365))+(P12/$R12*100*($E12/365))</f>
        <v>0</v>
      </c>
      <c r="K155" s="409"/>
      <c r="L155" s="409">
        <f>(Q11/$R11*100*($E11/365))+(Q12/$R12*100*($E12/365))</f>
        <v>0</v>
      </c>
      <c r="M155" s="409"/>
      <c r="N155" s="379">
        <f t="shared" ref="N155:N206" si="41">H155+J155+L155</f>
        <v>100</v>
      </c>
      <c r="O155" s="379"/>
      <c r="R155" s="1">
        <v>1961</v>
      </c>
      <c r="S155" s="5">
        <f>(O11*($E11/365))+(O12*($E12/365))</f>
        <v>63.4</v>
      </c>
      <c r="T155" s="5">
        <f>(P11*($E11/365))+(P12*($E12/365))</f>
        <v>0</v>
      </c>
      <c r="U155" s="5">
        <f>(Q11*($E11/365))+(Q12*($E12/365))</f>
        <v>0</v>
      </c>
      <c r="V155" s="9"/>
      <c r="W155" s="5">
        <f t="shared" ref="W155:W207" si="42">S155+T155+U155</f>
        <v>63.4</v>
      </c>
    </row>
    <row r="156" spans="1:53" x14ac:dyDescent="0.15">
      <c r="A156" s="1">
        <v>1962</v>
      </c>
      <c r="B156" s="5">
        <f>(K13*($E13/365))+(K14*($E14/365))</f>
        <v>100</v>
      </c>
      <c r="C156" s="5">
        <f>(L13*($E13/365))+(L14*($E14/365))</f>
        <v>0</v>
      </c>
      <c r="D156" s="5">
        <f>(M13*($E13/365))+(M14*($E14/365))</f>
        <v>0</v>
      </c>
      <c r="E156" s="18">
        <f t="shared" si="40"/>
        <v>100</v>
      </c>
      <c r="G156" s="1">
        <v>1962</v>
      </c>
      <c r="H156" s="409">
        <f>(O13/$R13*100*($E13/365))+(O14/$R14*100*($E14/365))</f>
        <v>100</v>
      </c>
      <c r="I156" s="409"/>
      <c r="J156" s="409">
        <f>(P13/$R13*100*($E13/365))+(P14/$R14*100*($E14/365))</f>
        <v>0</v>
      </c>
      <c r="K156" s="409"/>
      <c r="L156" s="409">
        <f>(Q13/$R13*100*($E13/365))+(Q14/$R14*100*($E14/365))</f>
        <v>0</v>
      </c>
      <c r="M156" s="409"/>
      <c r="N156" s="379">
        <f t="shared" si="41"/>
        <v>100</v>
      </c>
      <c r="O156" s="379"/>
      <c r="R156" s="1">
        <v>1962</v>
      </c>
      <c r="S156" s="5">
        <f>(O13*($E13/365))+(O14*($E14/365))</f>
        <v>63.4</v>
      </c>
      <c r="T156" s="5">
        <f>(P13*($E13/365))+(P14*($E14/365))</f>
        <v>0</v>
      </c>
      <c r="U156" s="5">
        <f>(Q13*($E13/365))+(Q14*($E14/365))</f>
        <v>0</v>
      </c>
      <c r="V156" s="9"/>
      <c r="W156" s="5">
        <f t="shared" si="42"/>
        <v>63.4</v>
      </c>
    </row>
    <row r="157" spans="1:53" x14ac:dyDescent="0.15">
      <c r="A157" s="1">
        <v>1963</v>
      </c>
      <c r="B157" s="5">
        <f>(K15*($E15/365))+(K16*($E16/365))</f>
        <v>100.00000000000001</v>
      </c>
      <c r="C157" s="5">
        <f>(L15*($E15/365))+(L16*($E16/365))</f>
        <v>0</v>
      </c>
      <c r="D157" s="5">
        <f>(M15*($E15/365))+(M16*($E16/365))</f>
        <v>0</v>
      </c>
      <c r="E157" s="18">
        <f t="shared" si="40"/>
        <v>100.00000000000001</v>
      </c>
      <c r="G157" s="1">
        <v>1963</v>
      </c>
      <c r="H157" s="409">
        <f>(O15/$R15*100*($E15/365))+(O16/$R16*100*($E16/365))</f>
        <v>100.00000000000001</v>
      </c>
      <c r="I157" s="409"/>
      <c r="J157" s="409">
        <f>(P15/$R15*100*($E15/365))+(P16/$R16*100*($E16/365))</f>
        <v>0</v>
      </c>
      <c r="K157" s="409"/>
      <c r="L157" s="409">
        <f>(Q15/$R15*100*($E15/365))+(Q16/$R16*100*($E16/365))</f>
        <v>0</v>
      </c>
      <c r="M157" s="409"/>
      <c r="N157" s="379">
        <f t="shared" si="41"/>
        <v>100.00000000000001</v>
      </c>
      <c r="O157" s="379"/>
      <c r="R157" s="1">
        <v>1963</v>
      </c>
      <c r="S157" s="5">
        <f>(O15*($E15/365))+(O16*($E16/365))</f>
        <v>63.223561643835616</v>
      </c>
      <c r="T157" s="5">
        <f>(P15*($E15/365))+(P16*($E16/365))</f>
        <v>0</v>
      </c>
      <c r="U157" s="5">
        <f>(Q15*($E15/365))+(Q16*($E16/365))</f>
        <v>0</v>
      </c>
      <c r="V157" s="9"/>
      <c r="W157" s="5">
        <f t="shared" si="42"/>
        <v>63.223561643835616</v>
      </c>
    </row>
    <row r="158" spans="1:53" x14ac:dyDescent="0.15">
      <c r="A158" s="1">
        <v>1964</v>
      </c>
      <c r="B158" s="5">
        <f>(K17*($E17/366))+(K18*($E18/366))</f>
        <v>100</v>
      </c>
      <c r="C158" s="5">
        <f>(L17*($E17/366))+(L18*($E18/366))</f>
        <v>0</v>
      </c>
      <c r="D158" s="5">
        <f>(M17*($E17/366))+(M18*($E18/366))</f>
        <v>0</v>
      </c>
      <c r="E158" s="18">
        <f t="shared" si="40"/>
        <v>100</v>
      </c>
      <c r="G158" s="1">
        <v>1964</v>
      </c>
      <c r="H158" s="409">
        <f>(O17/$R17*100*($E17/366))+(O18/$R18*100*($E18/366))</f>
        <v>100</v>
      </c>
      <c r="I158" s="409"/>
      <c r="J158" s="409">
        <f>(P17/$R17*100*($E17/366))+(P18/$R18*100*($E18/366))</f>
        <v>0</v>
      </c>
      <c r="K158" s="409"/>
      <c r="L158" s="409">
        <f>(Q17/$R17*100*($E17/366))+(Q18/$R18*100*($E18/366))</f>
        <v>0</v>
      </c>
      <c r="M158" s="409"/>
      <c r="N158" s="379">
        <f t="shared" si="41"/>
        <v>100</v>
      </c>
      <c r="O158" s="379"/>
      <c r="R158" s="1">
        <v>1964</v>
      </c>
      <c r="S158" s="5">
        <f>(O17*($E17/366))+(O18*($E18/366))</f>
        <v>60.599999999999994</v>
      </c>
      <c r="T158" s="5">
        <f>(P17*($E17/366))+(P18*($E18/366))</f>
        <v>0</v>
      </c>
      <c r="U158" s="5">
        <f>(Q17*($E17/366))+(Q18*($E18/366))</f>
        <v>0</v>
      </c>
      <c r="V158" s="9"/>
      <c r="W158" s="5">
        <f t="shared" si="42"/>
        <v>60.599999999999994</v>
      </c>
    </row>
    <row r="159" spans="1:53" x14ac:dyDescent="0.15">
      <c r="A159" s="1">
        <v>1965</v>
      </c>
      <c r="B159" s="5">
        <f>(K19*($E19/365))+(K20*($E20/365))</f>
        <v>100</v>
      </c>
      <c r="C159" s="5">
        <f>(L19*($E19/365))+(L20*($E20/365))</f>
        <v>0</v>
      </c>
      <c r="D159" s="5">
        <f>(M19*($E19/365))+(M20*($E20/365))</f>
        <v>0</v>
      </c>
      <c r="E159" s="18">
        <f t="shared" si="40"/>
        <v>100</v>
      </c>
      <c r="G159" s="1">
        <v>1965</v>
      </c>
      <c r="H159" s="409">
        <f>(O19/$R19*100*($E19/365))+(O20/$R20*100*($E20/365))</f>
        <v>100</v>
      </c>
      <c r="I159" s="409"/>
      <c r="J159" s="409">
        <f>(P19/$R19*100*($E19/365))+(P20/$R20*100*($E20/365))</f>
        <v>0</v>
      </c>
      <c r="K159" s="409"/>
      <c r="L159" s="409">
        <f>(Q19/$R19*100*($E19/365))+(Q20/$R20*100*($E20/365))</f>
        <v>0</v>
      </c>
      <c r="M159" s="409"/>
      <c r="N159" s="379">
        <f t="shared" si="41"/>
        <v>100</v>
      </c>
      <c r="O159" s="379"/>
      <c r="R159" s="1">
        <v>1965</v>
      </c>
      <c r="S159" s="5">
        <f>(O19*($E19/365))+(O20*($E20/365))</f>
        <v>60.6</v>
      </c>
      <c r="T159" s="5">
        <f>(P19*($E19/365))+(P20*($E20/365))</f>
        <v>0</v>
      </c>
      <c r="U159" s="5">
        <f>(Q19*($E19/365))+(Q20*($E20/365))</f>
        <v>0</v>
      </c>
      <c r="V159" s="9"/>
      <c r="W159" s="5">
        <f t="shared" si="42"/>
        <v>60.6</v>
      </c>
    </row>
    <row r="160" spans="1:53" x14ac:dyDescent="0.15">
      <c r="A160" s="1">
        <v>1966</v>
      </c>
      <c r="B160" s="5">
        <f>(K21*($E21/365))+(K22*($E22/365))</f>
        <v>100</v>
      </c>
      <c r="C160" s="5">
        <f>(L21*($E21/365))+(L22*($E22/365))</f>
        <v>0</v>
      </c>
      <c r="D160" s="5">
        <f>(M21*($E21/365))+(M22*($E22/365))</f>
        <v>0</v>
      </c>
      <c r="E160" s="18">
        <f t="shared" si="40"/>
        <v>100</v>
      </c>
      <c r="G160" s="1">
        <v>1966</v>
      </c>
      <c r="H160" s="409">
        <f>(O21/$R21*100*($E21/365))+(O22/$R22*100*($E22/365))</f>
        <v>100</v>
      </c>
      <c r="I160" s="409"/>
      <c r="J160" s="409">
        <f>(P21/$R21*100*($E21/365))+(P22/$R22*100*($E22/365))</f>
        <v>0</v>
      </c>
      <c r="K160" s="409"/>
      <c r="L160" s="409">
        <f>(Q21/$R21*100*($E21/365))+(Q22/$R22*100*($E22/365))</f>
        <v>0</v>
      </c>
      <c r="M160" s="409"/>
      <c r="N160" s="379">
        <f t="shared" si="41"/>
        <v>100</v>
      </c>
      <c r="O160" s="379"/>
      <c r="R160" s="1">
        <v>1966</v>
      </c>
      <c r="S160" s="5">
        <f>(O21*($E21/365))+(O22*($E22/365))</f>
        <v>60.6</v>
      </c>
      <c r="T160" s="5">
        <f>(P21*($E21/365))+(P22*($E22/365))</f>
        <v>0</v>
      </c>
      <c r="U160" s="5">
        <f>(Q21*($E21/365))+(Q22*($E22/365))</f>
        <v>0</v>
      </c>
      <c r="V160" s="9"/>
      <c r="W160" s="5">
        <f t="shared" si="42"/>
        <v>60.6</v>
      </c>
    </row>
    <row r="161" spans="1:23" x14ac:dyDescent="0.15">
      <c r="A161" s="1">
        <v>1967</v>
      </c>
      <c r="B161" s="5">
        <f>(K23*($E23/365))+(K24*($E24/365))</f>
        <v>100</v>
      </c>
      <c r="C161" s="5">
        <f>(L23*($E23/365))+(L24*($E24/365))</f>
        <v>0</v>
      </c>
      <c r="D161" s="5">
        <f>(M23*($E23/365))+(M24*($E24/365))</f>
        <v>0</v>
      </c>
      <c r="E161" s="18">
        <f t="shared" si="40"/>
        <v>100</v>
      </c>
      <c r="G161" s="1">
        <v>1967</v>
      </c>
      <c r="H161" s="409">
        <f>(O23/$R23*100*($E23/365))+(O24/$R24*100*($E24/365))</f>
        <v>100</v>
      </c>
      <c r="I161" s="409"/>
      <c r="J161" s="409">
        <f>(P23/$R23*100*($E23/365))+(P24/$R24*100*($E24/365))</f>
        <v>0</v>
      </c>
      <c r="K161" s="409"/>
      <c r="L161" s="409">
        <f>(Q23/$R23*100*($E23/365))+(Q24/$R24*100*($E24/365))</f>
        <v>0</v>
      </c>
      <c r="M161" s="409"/>
      <c r="N161" s="379">
        <f t="shared" si="41"/>
        <v>100</v>
      </c>
      <c r="O161" s="379"/>
      <c r="R161" s="1">
        <v>1967</v>
      </c>
      <c r="S161" s="5">
        <f>(O23*($E23/365))+(O24*($E24/365))</f>
        <v>57.463561643835618</v>
      </c>
      <c r="T161" s="5">
        <f>(P23*($E23/365))+(P24*($E24/365))</f>
        <v>0</v>
      </c>
      <c r="U161" s="5">
        <f>(Q23*($E23/365))+(Q24*($E24/365))</f>
        <v>0</v>
      </c>
      <c r="V161" s="9"/>
      <c r="W161" s="5">
        <f t="shared" si="42"/>
        <v>57.463561643835618</v>
      </c>
    </row>
    <row r="162" spans="1:23" x14ac:dyDescent="0.15">
      <c r="A162" s="1">
        <v>1968</v>
      </c>
      <c r="B162" s="5">
        <f>(K25*($E25/366))+(K26*($E26/366))</f>
        <v>100</v>
      </c>
      <c r="C162" s="5">
        <f>(L25*($E25/366))+(L26*($E26/366))</f>
        <v>0</v>
      </c>
      <c r="D162" s="5">
        <f>(M25*($E25/366))+(M26*($E26/366))</f>
        <v>0</v>
      </c>
      <c r="E162" s="18">
        <f t="shared" si="40"/>
        <v>100</v>
      </c>
      <c r="G162" s="1">
        <v>1968</v>
      </c>
      <c r="H162" s="409">
        <f>(O25/$R25*100*($E25/366))+(O26/$R26*100*($E26/366))</f>
        <v>100</v>
      </c>
      <c r="I162" s="409"/>
      <c r="J162" s="409">
        <f>(P25/$R25*100*($E25/366))+(P26/$R26*100*($E26/366))</f>
        <v>0</v>
      </c>
      <c r="K162" s="409"/>
      <c r="L162" s="409">
        <f>(Q25/$R25*100*($E25/366))+(Q26/$R26*100*($E26/366))</f>
        <v>0</v>
      </c>
      <c r="M162" s="409"/>
      <c r="N162" s="379">
        <f t="shared" si="41"/>
        <v>100</v>
      </c>
      <c r="O162" s="379"/>
      <c r="R162" s="1">
        <v>1968</v>
      </c>
      <c r="S162" s="5">
        <f>(O25*($E25/366))+(O26*($E26/366))</f>
        <v>57</v>
      </c>
      <c r="T162" s="5">
        <f>(P25*($E25/366))+(P26*($E26/366))</f>
        <v>0</v>
      </c>
      <c r="U162" s="5">
        <f>(Q25*($E25/366))+(Q26*($E26/366))</f>
        <v>0</v>
      </c>
      <c r="V162" s="9"/>
      <c r="W162" s="5">
        <f t="shared" si="42"/>
        <v>57</v>
      </c>
    </row>
    <row r="163" spans="1:23" x14ac:dyDescent="0.15">
      <c r="A163" s="1">
        <v>1969</v>
      </c>
      <c r="B163" s="5">
        <f>(K27*($E27/365))+(K28*($E28/365))</f>
        <v>100</v>
      </c>
      <c r="C163" s="5">
        <f>(L27*($E27/365))+(L28*($E28/365))</f>
        <v>0</v>
      </c>
      <c r="D163" s="5">
        <f>(M27*($E27/365))+(M28*($E28/365))</f>
        <v>0</v>
      </c>
      <c r="E163" s="18">
        <f t="shared" si="40"/>
        <v>100</v>
      </c>
      <c r="G163" s="1">
        <v>1969</v>
      </c>
      <c r="H163" s="409">
        <f>(O27/$R27*100*($E27/365))+(O28/$R28*100*($E28/365))</f>
        <v>100</v>
      </c>
      <c r="I163" s="409"/>
      <c r="J163" s="409">
        <f>(P27/$R27*100*($E27/365))+(P28/$R28*100*($E28/365))</f>
        <v>0</v>
      </c>
      <c r="K163" s="409"/>
      <c r="L163" s="409">
        <f>(Q27/$R27*100*($E27/365))+(Q28/$R28*100*($E28/365))</f>
        <v>0</v>
      </c>
      <c r="M163" s="409"/>
      <c r="N163" s="379">
        <f t="shared" si="41"/>
        <v>100</v>
      </c>
      <c r="O163" s="379"/>
      <c r="R163" s="1">
        <v>1969</v>
      </c>
      <c r="S163" s="5">
        <f>(O27*($E27/365))+(O28*($E28/365))</f>
        <v>57</v>
      </c>
      <c r="T163" s="5">
        <f>(P27*($E27/365))+(P28*($E28/365))</f>
        <v>0</v>
      </c>
      <c r="U163" s="5">
        <f>(Q27*($E27/365))+(Q28*($E28/365))</f>
        <v>0</v>
      </c>
      <c r="V163" s="9"/>
      <c r="W163" s="5">
        <f t="shared" si="42"/>
        <v>57</v>
      </c>
    </row>
    <row r="164" spans="1:23" x14ac:dyDescent="0.15">
      <c r="A164" s="1">
        <v>1970</v>
      </c>
      <c r="B164" s="5">
        <f>(K29*($E29/365))+(K30*($E30/365))</f>
        <v>100</v>
      </c>
      <c r="C164" s="5">
        <f>(L29*($E29/365))+(L30*($E30/365))</f>
        <v>0</v>
      </c>
      <c r="D164" s="5">
        <f>(M29*($E29/365))+(M30*($E30/365))</f>
        <v>0</v>
      </c>
      <c r="E164" s="18">
        <f t="shared" si="40"/>
        <v>100</v>
      </c>
      <c r="G164" s="1">
        <v>1970</v>
      </c>
      <c r="H164" s="409">
        <f>(O29/$R29*100*($E29/365))+(O30/$R30*100*($E30/365))</f>
        <v>100</v>
      </c>
      <c r="I164" s="409"/>
      <c r="J164" s="409">
        <f>(P29/$R29*100*($E29/365))+(P30/$R30*100*($E30/365))</f>
        <v>0</v>
      </c>
      <c r="K164" s="409"/>
      <c r="L164" s="409">
        <f>(Q29/$R29*100*($E29/365))+(Q30/$R30*100*($E30/365))</f>
        <v>0</v>
      </c>
      <c r="M164" s="409"/>
      <c r="N164" s="379">
        <f t="shared" si="41"/>
        <v>100</v>
      </c>
      <c r="O164" s="379"/>
      <c r="R164" s="1">
        <v>1970</v>
      </c>
      <c r="S164" s="5">
        <f>(O29*($E29/365))+(O30*($E30/365))</f>
        <v>59.218082191780823</v>
      </c>
      <c r="T164" s="5">
        <f>(P29*($E29/365))+(P30*($E30/365))</f>
        <v>0</v>
      </c>
      <c r="U164" s="5">
        <f>(Q29*($E29/365))+(Q30*($E30/365))</f>
        <v>0</v>
      </c>
      <c r="V164" s="9"/>
      <c r="W164" s="5">
        <f t="shared" si="42"/>
        <v>59.218082191780823</v>
      </c>
    </row>
    <row r="165" spans="1:23" x14ac:dyDescent="0.15">
      <c r="A165" s="1">
        <v>1971</v>
      </c>
      <c r="B165" s="5">
        <f>(K31*($E31/365))+(K32*($E32/365))</f>
        <v>100</v>
      </c>
      <c r="C165" s="5">
        <f>(L31*($E31/365))+(L32*($E32/365))</f>
        <v>0</v>
      </c>
      <c r="D165" s="5">
        <f>(M31*($E31/365))+(M32*($E32/365))</f>
        <v>0</v>
      </c>
      <c r="E165" s="18">
        <f t="shared" si="40"/>
        <v>100</v>
      </c>
      <c r="G165" s="1">
        <v>1971</v>
      </c>
      <c r="H165" s="409">
        <f>(O31/$R31*100*($E31/365))+(O32/$R32*100*($E32/365))</f>
        <v>100</v>
      </c>
      <c r="I165" s="409"/>
      <c r="J165" s="409">
        <f>(P31/$R31*100*($E31/365))+(P32/$R32*100*($E32/365))</f>
        <v>0</v>
      </c>
      <c r="K165" s="409"/>
      <c r="L165" s="409">
        <f>(Q31/$R31*100*($E31/365))+(Q32/$R32*100*($E32/365))</f>
        <v>0</v>
      </c>
      <c r="M165" s="409"/>
      <c r="N165" s="379">
        <f t="shared" si="41"/>
        <v>100</v>
      </c>
      <c r="O165" s="379"/>
      <c r="R165" s="1">
        <v>1971</v>
      </c>
      <c r="S165" s="5">
        <f>(O31*($E31/365))+(O32*($E32/365))</f>
        <v>59.3</v>
      </c>
      <c r="T165" s="5">
        <f>(P31*($E31/365))+(P32*($E32/365))</f>
        <v>0</v>
      </c>
      <c r="U165" s="5">
        <f>(Q31*($E31/365))+(Q32*($E32/365))</f>
        <v>0</v>
      </c>
      <c r="V165" s="9"/>
      <c r="W165" s="5">
        <f t="shared" si="42"/>
        <v>59.3</v>
      </c>
    </row>
    <row r="166" spans="1:23" x14ac:dyDescent="0.15">
      <c r="A166" s="1">
        <v>1972</v>
      </c>
      <c r="B166" s="5">
        <f>(K33*($E33/366))+(K34*($E34/366))+(K35*($E35/366))</f>
        <v>99.999999999999986</v>
      </c>
      <c r="C166" s="5">
        <f>(L33*($E33/366))+(L34*($E34/366))+(L35*($E35/366))</f>
        <v>0</v>
      </c>
      <c r="D166" s="5">
        <f>(M33*($E33/366))+(M34*($E34/366))+(M35*($E35/366))</f>
        <v>0</v>
      </c>
      <c r="E166" s="18">
        <f t="shared" si="40"/>
        <v>99.999999999999986</v>
      </c>
      <c r="G166" s="1">
        <v>1972</v>
      </c>
      <c r="H166" s="409">
        <f>(O33/$R33*100*($E33/366))+(O34/$R34*100*($E34/366))+(O35/$R35*100*($E35/366))</f>
        <v>99.999999999999986</v>
      </c>
      <c r="I166" s="409"/>
      <c r="J166" s="409">
        <f>(P33/$R33*100*($E33/366))+(P34/$R34*100*($E34/366))+(P35/$R35*100*($E35/366))</f>
        <v>0</v>
      </c>
      <c r="K166" s="409"/>
      <c r="L166" s="409">
        <f>(Q33/$R33*100*($E33/366))+(Q34/$R34*100*($E34/366))+(Q35/$R35*100*($E35/366))</f>
        <v>0</v>
      </c>
      <c r="M166" s="409"/>
      <c r="N166" s="379">
        <f t="shared" si="41"/>
        <v>99.999999999999986</v>
      </c>
      <c r="O166" s="379"/>
      <c r="R166" s="1">
        <v>1972</v>
      </c>
      <c r="S166" s="5">
        <f>(O33*($E33/366))+(O34*($E34/366))+(O35*($E35/366))</f>
        <v>59.187978142076503</v>
      </c>
      <c r="T166" s="5">
        <f>(P33*($E33/366))+(P34*($E34/366))+(P35*($E35/366))</f>
        <v>0</v>
      </c>
      <c r="U166" s="5">
        <f>(Q33*($E33/366))+(Q34*($E34/366))+(Q35*($E35/366))</f>
        <v>0</v>
      </c>
      <c r="V166" s="9"/>
      <c r="W166" s="5">
        <f t="shared" si="42"/>
        <v>59.187978142076503</v>
      </c>
    </row>
    <row r="167" spans="1:23" x14ac:dyDescent="0.15">
      <c r="A167" s="1">
        <v>1973</v>
      </c>
      <c r="B167" s="5">
        <f>(K36*($E36/365))+(K37*($E37/365))</f>
        <v>100</v>
      </c>
      <c r="C167" s="5">
        <f>(L36*($E36/365))+(L37*($E37/365))</f>
        <v>0</v>
      </c>
      <c r="D167" s="5">
        <f>(M36*($E36/365))+(M37*($E37/365))</f>
        <v>0</v>
      </c>
      <c r="E167" s="18">
        <f t="shared" si="40"/>
        <v>100</v>
      </c>
      <c r="G167" s="1">
        <v>1973</v>
      </c>
      <c r="H167" s="409">
        <f>(O36/$R36*100*($E36/365))+(O37/$R37*100*($E37/365))</f>
        <v>100</v>
      </c>
      <c r="I167" s="409"/>
      <c r="J167" s="409">
        <f>(P36/$R36*100*($E36/365))+(P37/$R37*100*($E37/365))</f>
        <v>0</v>
      </c>
      <c r="K167" s="409"/>
      <c r="L167" s="409">
        <f>(Q36/$R36*100*($E36/365))+(Q37/$R37*100*($E37/365))</f>
        <v>0</v>
      </c>
      <c r="M167" s="409"/>
      <c r="N167" s="379">
        <f t="shared" si="41"/>
        <v>100</v>
      </c>
      <c r="O167" s="379"/>
      <c r="R167" s="1">
        <v>1973</v>
      </c>
      <c r="S167" s="5">
        <f>(O36*($E36/365))+(O37*($E37/365))</f>
        <v>55.2</v>
      </c>
      <c r="T167" s="5">
        <f>(P36*($E36/365))+(P37*($E37/365))</f>
        <v>0</v>
      </c>
      <c r="U167" s="5">
        <f>(Q36*($E36/365))+(Q37*($E37/365))</f>
        <v>0</v>
      </c>
      <c r="V167" s="9"/>
      <c r="W167" s="5">
        <f t="shared" si="42"/>
        <v>55.2</v>
      </c>
    </row>
    <row r="168" spans="1:23" x14ac:dyDescent="0.15">
      <c r="A168" s="1">
        <v>1974</v>
      </c>
      <c r="B168" s="5">
        <f>(K38*($E38/365))+(K39*($E39/365))</f>
        <v>100.00000000000001</v>
      </c>
      <c r="C168" s="5">
        <f>(L38*($E38/365))+(L39*($E39/365))</f>
        <v>0</v>
      </c>
      <c r="D168" s="5">
        <f>(M38*($E38/365))+(M39*($E39/365))</f>
        <v>0</v>
      </c>
      <c r="E168" s="18">
        <f t="shared" si="40"/>
        <v>100.00000000000001</v>
      </c>
      <c r="G168" s="1">
        <v>1974</v>
      </c>
      <c r="H168" s="409">
        <f>(O38/$R38*100*($E38/365))+(O39/$R39*100*($E39/365))</f>
        <v>100.00000000000001</v>
      </c>
      <c r="I168" s="409"/>
      <c r="J168" s="409">
        <f>(P38/$R38*100*($E38/365))+(P39/$R39*100*($E39/365))</f>
        <v>0</v>
      </c>
      <c r="K168" s="409"/>
      <c r="L168" s="409">
        <f>(Q38/$R38*100*($E38/365))+(Q39/$R39*100*($E39/365))</f>
        <v>0</v>
      </c>
      <c r="M168" s="409"/>
      <c r="N168" s="379">
        <f t="shared" si="41"/>
        <v>100.00000000000001</v>
      </c>
      <c r="O168" s="379"/>
      <c r="R168" s="1">
        <v>1974</v>
      </c>
      <c r="S168" s="5">
        <f>(O38*($E38/365))+(O39*($E39/365))</f>
        <v>55.2</v>
      </c>
      <c r="T168" s="5">
        <f>(P38*($E38/365))+(P39*($E39/365))</f>
        <v>0</v>
      </c>
      <c r="U168" s="5">
        <f>(Q38*($E38/365))+(Q39*($E39/365))</f>
        <v>0</v>
      </c>
      <c r="V168" s="9"/>
      <c r="W168" s="5">
        <f t="shared" si="42"/>
        <v>55.2</v>
      </c>
    </row>
    <row r="169" spans="1:23" x14ac:dyDescent="0.15">
      <c r="A169" s="1">
        <v>1975</v>
      </c>
      <c r="B169" s="5">
        <f>(K40*($E40/365))+(K41*($E41/365))</f>
        <v>100</v>
      </c>
      <c r="C169" s="5">
        <f>(L40*($E40/365))+(L41*($E41/365))</f>
        <v>0</v>
      </c>
      <c r="D169" s="5">
        <f>(M40*($E40/365))+(M41*($E41/365))</f>
        <v>0</v>
      </c>
      <c r="E169" s="18">
        <f t="shared" si="40"/>
        <v>100</v>
      </c>
      <c r="G169" s="1">
        <v>1975</v>
      </c>
      <c r="H169" s="409">
        <f>(O40/$R40*100*($E40/365))+(O41/$R41*100*($E41/365))</f>
        <v>100</v>
      </c>
      <c r="I169" s="409"/>
      <c r="J169" s="409">
        <f>(P40/$R40*100*($E40/365))+(P41/$R41*100*($E41/365))</f>
        <v>0</v>
      </c>
      <c r="K169" s="409"/>
      <c r="L169" s="409">
        <f>(Q40/$R40*100*($E40/365))+(Q41/$R41*100*($E41/365))</f>
        <v>0</v>
      </c>
      <c r="M169" s="409"/>
      <c r="N169" s="379">
        <f t="shared" si="41"/>
        <v>100</v>
      </c>
      <c r="O169" s="379"/>
      <c r="R169" s="1">
        <v>1975</v>
      </c>
      <c r="S169" s="5">
        <f>(O40*($E40/365))+(O41*($E41/365))</f>
        <v>55.2</v>
      </c>
      <c r="T169" s="5">
        <f>(P40*($E40/365))+(P41*($E41/365))</f>
        <v>0</v>
      </c>
      <c r="U169" s="5">
        <f>(Q40*($E40/365))+(Q41*($E41/365))</f>
        <v>0</v>
      </c>
      <c r="V169" s="9"/>
      <c r="W169" s="5">
        <f t="shared" si="42"/>
        <v>55.2</v>
      </c>
    </row>
    <row r="170" spans="1:23" x14ac:dyDescent="0.15">
      <c r="A170" s="1">
        <v>1976</v>
      </c>
      <c r="B170" s="5">
        <f>(K42*($E42/366))+(K43*($E43/366))</f>
        <v>100</v>
      </c>
      <c r="C170" s="5">
        <f>(L42*($E42/366))+(L43*($E43/366))</f>
        <v>0</v>
      </c>
      <c r="D170" s="5">
        <f>(M42*($E42/366))+(M43*($E43/366))</f>
        <v>0</v>
      </c>
      <c r="E170" s="18">
        <f t="shared" si="40"/>
        <v>100</v>
      </c>
      <c r="G170" s="1">
        <v>1976</v>
      </c>
      <c r="H170" s="409">
        <f>(O42/$R42*100*($E42/366))+(O43/$R43*100*($E43/366))</f>
        <v>100</v>
      </c>
      <c r="I170" s="409"/>
      <c r="J170" s="409">
        <f>(P42/$R42*100*($E42/366))+(P43/$R43*100*($E43/366))</f>
        <v>0</v>
      </c>
      <c r="K170" s="409"/>
      <c r="L170" s="409">
        <f>(Q42/$R42*100*($E42/366))+(Q43/$R43*100*($E43/366))</f>
        <v>0</v>
      </c>
      <c r="M170" s="409"/>
      <c r="N170" s="379">
        <f t="shared" si="41"/>
        <v>100</v>
      </c>
      <c r="O170" s="379"/>
      <c r="R170" s="1">
        <v>1976</v>
      </c>
      <c r="S170" s="5">
        <f>(O42*($E42/366))+(O43*($E43/366))</f>
        <v>55.057923497267765</v>
      </c>
      <c r="T170" s="5">
        <f>(P42*($E42/366))+(P43*($E43/366))</f>
        <v>0</v>
      </c>
      <c r="U170" s="5">
        <f>(Q42*($E42/366))+(Q43*($E43/366))</f>
        <v>0</v>
      </c>
      <c r="V170" s="9"/>
      <c r="W170" s="5">
        <f t="shared" si="42"/>
        <v>55.057923497267765</v>
      </c>
    </row>
    <row r="171" spans="1:23" x14ac:dyDescent="0.15">
      <c r="A171" s="1">
        <v>1977</v>
      </c>
      <c r="B171" s="5">
        <f>(K44*($E44/365))+(K45*($E45/365))</f>
        <v>100</v>
      </c>
      <c r="C171" s="5">
        <f>(L44*($E44/365))+(L45*($E45/365))</f>
        <v>0</v>
      </c>
      <c r="D171" s="5">
        <f>(M44*($E44/365))+(M45*($E45/365))</f>
        <v>0</v>
      </c>
      <c r="E171" s="18">
        <f t="shared" si="40"/>
        <v>100</v>
      </c>
      <c r="G171" s="1">
        <v>1977</v>
      </c>
      <c r="H171" s="409">
        <f>(O44/$R44*100*($E44/365))+(O45/$R45*100*($E45/365))</f>
        <v>100</v>
      </c>
      <c r="I171" s="409"/>
      <c r="J171" s="409">
        <f>(P44/$R44*100*($E44/365))+(P45/$R45*100*($E45/365))</f>
        <v>0</v>
      </c>
      <c r="K171" s="409"/>
      <c r="L171" s="409">
        <f>(Q44/$R44*100*($E44/365))+(Q45/$R45*100*($E45/365))</f>
        <v>0</v>
      </c>
      <c r="M171" s="409"/>
      <c r="N171" s="379">
        <f t="shared" si="41"/>
        <v>100</v>
      </c>
      <c r="O171" s="379"/>
      <c r="R171" s="1">
        <v>1977</v>
      </c>
      <c r="S171" s="5">
        <f>(O44*($E44/365))+(O45*($E45/365))</f>
        <v>48.7</v>
      </c>
      <c r="T171" s="5">
        <f>(P44*($E44/365))+(P45*($E45/365))</f>
        <v>0</v>
      </c>
      <c r="U171" s="5">
        <f>(Q44*($E44/365))+(Q45*($E45/365))</f>
        <v>0</v>
      </c>
      <c r="V171" s="9"/>
      <c r="W171" s="5">
        <f t="shared" si="42"/>
        <v>48.7</v>
      </c>
    </row>
    <row r="172" spans="1:23" x14ac:dyDescent="0.15">
      <c r="A172" s="1">
        <v>1978</v>
      </c>
      <c r="B172" s="5">
        <f>(K46*($E46/365))+(K47*($E47/365))</f>
        <v>100</v>
      </c>
      <c r="C172" s="5">
        <f>(L46*($E46/365))+(L47*($E47/365))</f>
        <v>0</v>
      </c>
      <c r="D172" s="5">
        <f>(M46*($E46/365))+(M47*($E47/365))</f>
        <v>0</v>
      </c>
      <c r="E172" s="18">
        <f t="shared" si="40"/>
        <v>100</v>
      </c>
      <c r="G172" s="1">
        <v>1978</v>
      </c>
      <c r="H172" s="409">
        <f>(O46/$R46*100*($E46/365))+(O47/$R47*100*($E47/365))</f>
        <v>100</v>
      </c>
      <c r="I172" s="409"/>
      <c r="J172" s="409">
        <f>(P46/$R46*100*($E46/365))+(P47/$R47*100*($E47/365))</f>
        <v>0</v>
      </c>
      <c r="K172" s="409"/>
      <c r="L172" s="409">
        <f>(Q46/$R46*100*($E46/365))+(Q47/$R47*100*($E47/365))</f>
        <v>0</v>
      </c>
      <c r="M172" s="409"/>
      <c r="N172" s="379">
        <f t="shared" si="41"/>
        <v>100</v>
      </c>
      <c r="O172" s="379"/>
      <c r="R172" s="1">
        <v>1978</v>
      </c>
      <c r="S172" s="5">
        <f>(O46*($E46/365))+(O47*($E47/365))</f>
        <v>48.70000000000001</v>
      </c>
      <c r="T172" s="5">
        <f>(P46*($E46/365))+(P47*($E47/365))</f>
        <v>0</v>
      </c>
      <c r="U172" s="5">
        <f>(Q46*($E46/365))+(Q47*($E47/365))</f>
        <v>0</v>
      </c>
      <c r="V172" s="9"/>
      <c r="W172" s="5">
        <f t="shared" si="42"/>
        <v>48.70000000000001</v>
      </c>
    </row>
    <row r="173" spans="1:23" x14ac:dyDescent="0.15">
      <c r="A173" s="1">
        <v>1979</v>
      </c>
      <c r="B173" s="5">
        <f>(K48*($E48/365))+(K49*($E49/365))</f>
        <v>100.00000000000001</v>
      </c>
      <c r="C173" s="5">
        <f>(L48*($E48/365))+(L49*($E49/365))</f>
        <v>0</v>
      </c>
      <c r="D173" s="5">
        <f>(M48*($E48/365))+(M49*($E49/365))</f>
        <v>0</v>
      </c>
      <c r="E173" s="18">
        <f t="shared" si="40"/>
        <v>100.00000000000001</v>
      </c>
      <c r="G173" s="1">
        <v>1979</v>
      </c>
      <c r="H173" s="409">
        <f>(O48/$R48*100*($E48/365))+(O49/$R49*100*($E49/365))</f>
        <v>100.00000000000001</v>
      </c>
      <c r="I173" s="409"/>
      <c r="J173" s="409">
        <f>(P48/$R48*100*($E48/365))+(P49/$R49*100*($E49/365))</f>
        <v>0</v>
      </c>
      <c r="K173" s="409"/>
      <c r="L173" s="409">
        <f>(Q48/$R48*100*($E48/365))+(Q49/$R49*100*($E49/365))</f>
        <v>0</v>
      </c>
      <c r="M173" s="409"/>
      <c r="N173" s="379">
        <f t="shared" si="41"/>
        <v>100.00000000000001</v>
      </c>
      <c r="O173" s="379"/>
      <c r="R173" s="1">
        <v>1979</v>
      </c>
      <c r="S173" s="5">
        <f>(O48*($E48/365))+(O49*($E49/365))</f>
        <v>48.670410958904114</v>
      </c>
      <c r="T173" s="5">
        <f>(P48*($E48/365))+(P49*($E49/365))</f>
        <v>0</v>
      </c>
      <c r="U173" s="5">
        <f>(Q48*($E48/365))+(Q49*($E49/365))</f>
        <v>0</v>
      </c>
      <c r="V173" s="9"/>
      <c r="W173" s="5">
        <f t="shared" si="42"/>
        <v>48.670410958904114</v>
      </c>
    </row>
    <row r="174" spans="1:23" x14ac:dyDescent="0.15">
      <c r="A174" s="1">
        <v>1980</v>
      </c>
      <c r="B174" s="5">
        <f>(K50*($E50/366))+(K51*($E51/366))</f>
        <v>100</v>
      </c>
      <c r="C174" s="5">
        <f>(L50*($E50/366))+(L51*($E51/366))</f>
        <v>0</v>
      </c>
      <c r="D174" s="5">
        <f>(M50*($E50/366))+(M51*($E51/366))</f>
        <v>0</v>
      </c>
      <c r="E174" s="18">
        <f t="shared" si="40"/>
        <v>100</v>
      </c>
      <c r="G174" s="1">
        <v>1980</v>
      </c>
      <c r="H174" s="409">
        <f>(O50/$R50*100*($E50/366))+(O51/$R51*100*($E51/366))</f>
        <v>100</v>
      </c>
      <c r="I174" s="409"/>
      <c r="J174" s="409">
        <f>(P50/$R50*100*($E50/366))+(P51/$R51*100*($E51/366))</f>
        <v>0</v>
      </c>
      <c r="K174" s="409"/>
      <c r="L174" s="409">
        <f>(Q50/$R50*100*($E50/366))+(Q51/$R51*100*($E51/366))</f>
        <v>0</v>
      </c>
      <c r="M174" s="409"/>
      <c r="N174" s="379">
        <f t="shared" si="41"/>
        <v>100</v>
      </c>
      <c r="O174" s="379"/>
      <c r="R174" s="1">
        <v>1980</v>
      </c>
      <c r="S174" s="5">
        <f>(O50*($E50/366))+(O51*($E51/366))</f>
        <v>51.759016393442629</v>
      </c>
      <c r="T174" s="5">
        <f>(P50*($E50/366))+(P51*($E51/366))</f>
        <v>0</v>
      </c>
      <c r="U174" s="5">
        <f>(Q50*($E50/366))+(Q51*($E51/366))</f>
        <v>0</v>
      </c>
      <c r="V174" s="9"/>
      <c r="W174" s="5">
        <f t="shared" si="42"/>
        <v>51.759016393442629</v>
      </c>
    </row>
    <row r="175" spans="1:23" x14ac:dyDescent="0.15">
      <c r="A175" s="1">
        <v>1981</v>
      </c>
      <c r="B175" s="5">
        <f>(K52*($E52/365))+(K53*($E53/365))</f>
        <v>100</v>
      </c>
      <c r="C175" s="5">
        <f>(L52*($E52/365))+(L53*($E53/365))</f>
        <v>0</v>
      </c>
      <c r="D175" s="5">
        <f>(M52*($E52/365))+(M53*($E53/365))</f>
        <v>0</v>
      </c>
      <c r="E175" s="18">
        <f t="shared" si="40"/>
        <v>100</v>
      </c>
      <c r="G175" s="1">
        <v>1981</v>
      </c>
      <c r="H175" s="409">
        <f>(O52/$R52*100*($E52/365))+(O53/$R53*100*($E53/365))</f>
        <v>100</v>
      </c>
      <c r="I175" s="409"/>
      <c r="J175" s="409">
        <f>(P52/$R52*100*($E52/365))+(P53/$R53*100*($E53/365))</f>
        <v>0</v>
      </c>
      <c r="K175" s="409"/>
      <c r="L175" s="409">
        <f>(Q52/$R52*100*($E52/365))+(Q53/$R53*100*($E53/365))</f>
        <v>0</v>
      </c>
      <c r="M175" s="409"/>
      <c r="N175" s="379">
        <f t="shared" si="41"/>
        <v>100</v>
      </c>
      <c r="O175" s="379"/>
      <c r="R175" s="1">
        <v>1981</v>
      </c>
      <c r="S175" s="5">
        <f>(O52*($E52/365))+(O53*($E53/365))</f>
        <v>55.6</v>
      </c>
      <c r="T175" s="5">
        <f>(P52*($E52/365))+(P53*($E53/365))</f>
        <v>0</v>
      </c>
      <c r="U175" s="5">
        <f>(Q52*($E52/365))+(Q53*($E53/365))</f>
        <v>0</v>
      </c>
      <c r="V175" s="9"/>
      <c r="W175" s="5">
        <f t="shared" si="42"/>
        <v>55.6</v>
      </c>
    </row>
    <row r="176" spans="1:23" x14ac:dyDescent="0.15">
      <c r="A176" s="1">
        <v>1982</v>
      </c>
      <c r="B176" s="5">
        <f>(K54*($E54/365))+(K55*($E55/365))</f>
        <v>100</v>
      </c>
      <c r="C176" s="5">
        <f>(L54*($E54/365))+(L55*($E55/365))</f>
        <v>0</v>
      </c>
      <c r="D176" s="5">
        <f>(M54*($E54/365))+(M55*($E55/365))</f>
        <v>0</v>
      </c>
      <c r="E176" s="18">
        <f t="shared" si="40"/>
        <v>100</v>
      </c>
      <c r="G176" s="1">
        <v>1982</v>
      </c>
      <c r="H176" s="409">
        <f>(O54/$R54*100*($E54/365))+(O55/$R55*100*($E55/365))</f>
        <v>100</v>
      </c>
      <c r="I176" s="409"/>
      <c r="J176" s="409">
        <f>(P54/$R54*100*($E54/365))+(P55/$R55*100*($E55/365))</f>
        <v>0</v>
      </c>
      <c r="K176" s="409"/>
      <c r="L176" s="409">
        <f>(Q54/$R54*100*($E54/365))+(Q55/$R55*100*($E55/365))</f>
        <v>0</v>
      </c>
      <c r="M176" s="409"/>
      <c r="N176" s="379">
        <f t="shared" si="41"/>
        <v>100</v>
      </c>
      <c r="O176" s="379"/>
      <c r="R176" s="1">
        <v>1982</v>
      </c>
      <c r="S176" s="5">
        <f>(O54*($E54/365))+(O55*($E55/365))</f>
        <v>55.6</v>
      </c>
      <c r="T176" s="5">
        <f>(P54*($E54/365))+(P55*($E55/365))</f>
        <v>0</v>
      </c>
      <c r="U176" s="5">
        <f>(Q54*($E54/365))+(Q55*($E55/365))</f>
        <v>0</v>
      </c>
      <c r="V176" s="9"/>
      <c r="W176" s="5">
        <f t="shared" si="42"/>
        <v>55.6</v>
      </c>
    </row>
    <row r="177" spans="1:23" x14ac:dyDescent="0.15">
      <c r="A177" s="1">
        <v>1983</v>
      </c>
      <c r="B177" s="5">
        <f>(K56*($E56/365))+(K57*($E57/365))</f>
        <v>99.999999999999986</v>
      </c>
      <c r="C177" s="5">
        <f>(L56*($E56/365))+(L57*($E57/365))</f>
        <v>0</v>
      </c>
      <c r="D177" s="5">
        <f>(M56*($E56/365))+(M57*($E57/365))</f>
        <v>0</v>
      </c>
      <c r="E177" s="18">
        <f t="shared" si="40"/>
        <v>99.999999999999986</v>
      </c>
      <c r="G177" s="1">
        <v>1983</v>
      </c>
      <c r="H177" s="409">
        <f>(O56/$R56*100*($E56/365))+(O57/$R57*100*($E57/365))</f>
        <v>99.999999999999986</v>
      </c>
      <c r="I177" s="409"/>
      <c r="J177" s="409">
        <f>(P56/$R56*100*($E56/365))+(P57/$R57*100*($E57/365))</f>
        <v>0</v>
      </c>
      <c r="K177" s="409"/>
      <c r="L177" s="409">
        <f>(Q56/$R56*100*($E56/365))+(Q57/$R57*100*($E57/365))</f>
        <v>0</v>
      </c>
      <c r="M177" s="409"/>
      <c r="N177" s="379">
        <f t="shared" si="41"/>
        <v>99.999999999999986</v>
      </c>
      <c r="O177" s="379"/>
      <c r="R177" s="1">
        <v>1983</v>
      </c>
      <c r="S177" s="5">
        <f>(O56*($E56/365))+(O57*($E57/365))</f>
        <v>55.516164383561645</v>
      </c>
      <c r="T177" s="5">
        <f>(P56*($E56/365))+(P57*($E57/365))</f>
        <v>0</v>
      </c>
      <c r="U177" s="5">
        <f>(Q56*($E56/365))+(Q57*($E57/365))</f>
        <v>0</v>
      </c>
      <c r="V177" s="9"/>
      <c r="W177" s="5">
        <f t="shared" si="42"/>
        <v>55.516164383561645</v>
      </c>
    </row>
    <row r="178" spans="1:23" x14ac:dyDescent="0.15">
      <c r="A178" s="1">
        <v>1984</v>
      </c>
      <c r="B178" s="5">
        <f>(K58*($E58/366))+(K59*($E59/366))</f>
        <v>100</v>
      </c>
      <c r="C178" s="5">
        <f>(L58*($E58/366))+(L59*($E59/366))</f>
        <v>0</v>
      </c>
      <c r="D178" s="5">
        <f>(M58*($E58/366))+(M59*($E59/366))</f>
        <v>0</v>
      </c>
      <c r="E178" s="18">
        <f t="shared" si="40"/>
        <v>100</v>
      </c>
      <c r="G178" s="1">
        <v>1984</v>
      </c>
      <c r="H178" s="409">
        <f>(O58/$R58*100*($E58/366))+(O59/$R59*100*($E59/366))</f>
        <v>100</v>
      </c>
      <c r="I178" s="409"/>
      <c r="J178" s="409">
        <f>(P58/$R58*100*($E58/366))+(P59/$R59*100*($E59/366))</f>
        <v>0</v>
      </c>
      <c r="K178" s="409"/>
      <c r="L178" s="409">
        <f>(Q58/$R58*100*($E58/366))+(Q59/$R59*100*($E59/366))</f>
        <v>0</v>
      </c>
      <c r="M178" s="409"/>
      <c r="N178" s="379">
        <f t="shared" si="41"/>
        <v>100</v>
      </c>
      <c r="O178" s="379"/>
      <c r="R178" s="1">
        <v>1984</v>
      </c>
      <c r="S178" s="5">
        <f>(O58*($E58/366))+(O59*($E59/366))</f>
        <v>50.5</v>
      </c>
      <c r="T178" s="5">
        <f>(P58*($E58/366))+(P59*($E59/366))</f>
        <v>0</v>
      </c>
      <c r="U178" s="5">
        <f>(Q58*($E58/366))+(Q59*($E59/366))</f>
        <v>0</v>
      </c>
      <c r="V178" s="9"/>
      <c r="W178" s="5">
        <f t="shared" si="42"/>
        <v>50.5</v>
      </c>
    </row>
    <row r="179" spans="1:23" x14ac:dyDescent="0.15">
      <c r="A179" s="1">
        <v>1985</v>
      </c>
      <c r="B179" s="5">
        <f>(K60*($E60/365))+(K61*($E61/365))</f>
        <v>100</v>
      </c>
      <c r="C179" s="5">
        <f>(L60*($E60/365))+(L61*($E61/365))</f>
        <v>0</v>
      </c>
      <c r="D179" s="5">
        <f>(M60*($E60/365))+(M61*($E61/365))</f>
        <v>0</v>
      </c>
      <c r="E179" s="18">
        <f t="shared" si="40"/>
        <v>100</v>
      </c>
      <c r="G179" s="1">
        <v>1985</v>
      </c>
      <c r="H179" s="409">
        <f>(O60/$R60*100*($E60/365))+(O61/$R61*100*($E61/365))</f>
        <v>100</v>
      </c>
      <c r="I179" s="409"/>
      <c r="J179" s="409">
        <f>(P60/$R60*100*($E60/365))+(P61/$R61*100*($E61/365))</f>
        <v>0</v>
      </c>
      <c r="K179" s="409"/>
      <c r="L179" s="409">
        <f>(Q60/$R60*100*($E60/365))+(Q61/$R61*100*($E61/365))</f>
        <v>0</v>
      </c>
      <c r="M179" s="409"/>
      <c r="N179" s="379">
        <f t="shared" si="41"/>
        <v>100</v>
      </c>
      <c r="O179" s="379"/>
      <c r="R179" s="1">
        <v>1985</v>
      </c>
      <c r="S179" s="5">
        <f>(O60*($E60/365))+(O61*($E61/365))</f>
        <v>50.5</v>
      </c>
      <c r="T179" s="5">
        <f>(P60*($E60/365))+(P61*($E61/365))</f>
        <v>0</v>
      </c>
      <c r="U179" s="5">
        <f>(Q60*($E60/365))+(Q61*($E61/365))</f>
        <v>0</v>
      </c>
      <c r="V179" s="9"/>
      <c r="W179" s="5">
        <f t="shared" si="42"/>
        <v>50.5</v>
      </c>
    </row>
    <row r="180" spans="1:23" x14ac:dyDescent="0.15">
      <c r="A180" s="1">
        <v>1986</v>
      </c>
      <c r="B180" s="5">
        <f>(K62*($E62/365))+(K63*($E63/365))</f>
        <v>100</v>
      </c>
      <c r="C180" s="5">
        <f>(L62*($E62/365))+(L63*($E63/365))</f>
        <v>0</v>
      </c>
      <c r="D180" s="5">
        <f>(M62*($E62/365))+(M63*($E63/365))</f>
        <v>0</v>
      </c>
      <c r="E180" s="18">
        <f t="shared" si="40"/>
        <v>100</v>
      </c>
      <c r="G180" s="1">
        <v>1986</v>
      </c>
      <c r="H180" s="409">
        <f>(O62/$R62*100*($E62/365))+(O63/$R63*100*($E63/365))</f>
        <v>100</v>
      </c>
      <c r="I180" s="409"/>
      <c r="J180" s="409">
        <f>(P62/$R62*100*($E62/365))+(P63/$R63*100*($E63/365))</f>
        <v>0</v>
      </c>
      <c r="K180" s="409"/>
      <c r="L180" s="409">
        <f>(Q62/$R62*100*($E62/365))+(Q63/$R63*100*($E63/365))</f>
        <v>0</v>
      </c>
      <c r="M180" s="409"/>
      <c r="N180" s="379">
        <f t="shared" si="41"/>
        <v>100</v>
      </c>
      <c r="O180" s="379"/>
      <c r="R180" s="1">
        <v>1986</v>
      </c>
      <c r="S180" s="5">
        <f>(O62*($E62/365))+(O63*($E63/365))</f>
        <v>54.117260273972605</v>
      </c>
      <c r="T180" s="5">
        <f>(P62*($E62/365))+(P63*($E63/365))</f>
        <v>0</v>
      </c>
      <c r="U180" s="5">
        <f>(Q62*($E62/365))+(Q63*($E63/365))</f>
        <v>0</v>
      </c>
      <c r="V180" s="9"/>
      <c r="W180" s="5">
        <f t="shared" si="42"/>
        <v>54.117260273972605</v>
      </c>
    </row>
    <row r="181" spans="1:23" x14ac:dyDescent="0.15">
      <c r="A181" s="1">
        <v>1987</v>
      </c>
      <c r="B181" s="5">
        <f>(K64*($E64/365))+(K65*($E65/365))</f>
        <v>100</v>
      </c>
      <c r="C181" s="5">
        <f>(L64*($E64/365))+(L65*($E65/365))</f>
        <v>0</v>
      </c>
      <c r="D181" s="5">
        <f>(M64*($E64/365))+(M65*($E65/365))</f>
        <v>0</v>
      </c>
      <c r="E181" s="18">
        <f t="shared" si="40"/>
        <v>100</v>
      </c>
      <c r="G181" s="1">
        <v>1987</v>
      </c>
      <c r="H181" s="409">
        <f>(O64/$R64*100*($E64/365))+(O65/$R65*100*($E65/365))</f>
        <v>100</v>
      </c>
      <c r="I181" s="409"/>
      <c r="J181" s="409">
        <f>(P64/$R64*100*($E64/365))+(P65/$R65*100*($E65/365))</f>
        <v>0</v>
      </c>
      <c r="K181" s="409"/>
      <c r="L181" s="409">
        <f>(Q64/$R64*100*($E64/365))+(Q65/$R65*100*($E65/365))</f>
        <v>0</v>
      </c>
      <c r="M181" s="409"/>
      <c r="N181" s="379">
        <f t="shared" si="41"/>
        <v>100</v>
      </c>
      <c r="O181" s="379"/>
      <c r="R181" s="1">
        <v>1987</v>
      </c>
      <c r="S181" s="5">
        <f>(O64*($E64/365))+(O65*($E65/365))</f>
        <v>58.6</v>
      </c>
      <c r="T181" s="5">
        <f>(P64*($E64/365))+(P65*($E65/365))</f>
        <v>0</v>
      </c>
      <c r="U181" s="5">
        <f>(Q64*($E64/365))+(Q65*($E65/365))</f>
        <v>0</v>
      </c>
      <c r="V181" s="9"/>
      <c r="W181" s="5">
        <f t="shared" si="42"/>
        <v>58.6</v>
      </c>
    </row>
    <row r="182" spans="1:23" x14ac:dyDescent="0.15">
      <c r="A182" s="1">
        <v>1988</v>
      </c>
      <c r="B182" s="5">
        <f>(K66*($E66/366))+(K67*($E67/366))</f>
        <v>100</v>
      </c>
      <c r="C182" s="5">
        <f>(L66*($E66/366))+(L67*($E67/366))</f>
        <v>0</v>
      </c>
      <c r="D182" s="5">
        <f>(M66*($E66/366))+(M67*($E67/366))</f>
        <v>0</v>
      </c>
      <c r="E182" s="18">
        <f t="shared" si="40"/>
        <v>100</v>
      </c>
      <c r="G182" s="1">
        <v>1988</v>
      </c>
      <c r="H182" s="409">
        <f>(O66/$R66*100*($E66/366))+(O67/$R67*100*($E67/366))</f>
        <v>100</v>
      </c>
      <c r="I182" s="409"/>
      <c r="J182" s="409">
        <f>(P66/$R66*100*($E66/366))+(P67/$R67*100*($E67/366))</f>
        <v>0</v>
      </c>
      <c r="K182" s="409"/>
      <c r="L182" s="409">
        <f>(Q66/$R66*100*($E66/366))+(Q67/$R67*100*($E67/366))</f>
        <v>0</v>
      </c>
      <c r="M182" s="409"/>
      <c r="N182" s="379">
        <f t="shared" si="41"/>
        <v>100</v>
      </c>
      <c r="O182" s="379"/>
      <c r="R182" s="1">
        <v>1988</v>
      </c>
      <c r="S182" s="5">
        <f>(O66*($E66/366))+(O67*($E67/366))</f>
        <v>58.6</v>
      </c>
      <c r="T182" s="5">
        <f>(P66*($E66/366))+(P67*($E67/366))</f>
        <v>0</v>
      </c>
      <c r="U182" s="5">
        <f>(Q66*($E66/366))+(Q67*($E67/366))</f>
        <v>0</v>
      </c>
      <c r="V182" s="9"/>
      <c r="W182" s="5">
        <f t="shared" si="42"/>
        <v>58.6</v>
      </c>
    </row>
    <row r="183" spans="1:23" x14ac:dyDescent="0.15">
      <c r="A183" s="1">
        <v>1989</v>
      </c>
      <c r="B183" s="5">
        <f>(K68*($E68/365))+(K69*($E69/365))+(K70*($E70/365))</f>
        <v>100</v>
      </c>
      <c r="C183" s="5">
        <f>(L68*($E68/365))+(L69*($E69/365))+(L70*($E70/365))</f>
        <v>0</v>
      </c>
      <c r="D183" s="5">
        <f>(M68*($E68/365))+(M69*($E69/365))+(M70*($E70/365))</f>
        <v>0</v>
      </c>
      <c r="E183" s="18">
        <f t="shared" si="40"/>
        <v>100</v>
      </c>
      <c r="G183" s="1">
        <v>1989</v>
      </c>
      <c r="H183" s="409">
        <f>(O68/$R68*100*($E68/365))+(O69/$R69*100*($E69/365))+(O70/$R70*100*($E70/365))</f>
        <v>100</v>
      </c>
      <c r="I183" s="409"/>
      <c r="J183" s="409">
        <f>(P68/$R68*100*($E68/365))+(P69/$R69*100*($E69/365))+(P70/$R70*100*($E70/365))</f>
        <v>0</v>
      </c>
      <c r="K183" s="409"/>
      <c r="L183" s="409">
        <f>(Q68/$R68*100*($E68/365))+(Q69/$R69*100*($E69/365))+(Q70/$R70*100*($E70/365))</f>
        <v>0</v>
      </c>
      <c r="M183" s="409"/>
      <c r="N183" s="379">
        <f t="shared" si="41"/>
        <v>100</v>
      </c>
      <c r="O183" s="379"/>
      <c r="R183" s="1">
        <v>1989</v>
      </c>
      <c r="S183" s="5">
        <f>(O68*($E68/365))+(O69*($E69/365))+(O70*($E70/365))</f>
        <v>58.6</v>
      </c>
      <c r="T183" s="5">
        <f>(P68*($E68/365))+(P69*($E69/365))+(P70*($E70/365))</f>
        <v>0</v>
      </c>
      <c r="U183" s="5">
        <f>(Q68*($E68/365))+(Q69*($E69/365))+(Q70*($E70/365))</f>
        <v>0</v>
      </c>
      <c r="V183" s="9"/>
      <c r="W183" s="5">
        <f t="shared" si="42"/>
        <v>58.6</v>
      </c>
    </row>
    <row r="184" spans="1:23" x14ac:dyDescent="0.15">
      <c r="A184" s="1">
        <v>1990</v>
      </c>
      <c r="B184" s="5">
        <f>(K71*($E71/365))+(K72*($E72/365))</f>
        <v>100</v>
      </c>
      <c r="C184" s="5">
        <f>(L71*($E71/365))+(L72*($E72/365))</f>
        <v>0</v>
      </c>
      <c r="D184" s="5">
        <f>(M71*($E71/365))+(M72*($E72/365))</f>
        <v>0</v>
      </c>
      <c r="E184" s="18">
        <f t="shared" si="40"/>
        <v>100</v>
      </c>
      <c r="G184" s="1">
        <v>1990</v>
      </c>
      <c r="H184" s="409">
        <f>(O71/$R71*100*($E71/365))+(O72/$R72*100*($E72/365))</f>
        <v>100</v>
      </c>
      <c r="I184" s="409"/>
      <c r="J184" s="409">
        <f>(P71/$R71*100*($E71/365))+(P72/$R72*100*($E72/365))</f>
        <v>0</v>
      </c>
      <c r="K184" s="409"/>
      <c r="L184" s="409">
        <f>(Q71/$R71*100*($E71/365))+(Q72/$R72*100*($E72/365))</f>
        <v>0</v>
      </c>
      <c r="M184" s="409"/>
      <c r="N184" s="379">
        <f t="shared" si="41"/>
        <v>100</v>
      </c>
      <c r="O184" s="379"/>
      <c r="R184" s="1">
        <v>1990</v>
      </c>
      <c r="S184" s="5">
        <f>(O71*($E71/365))+(O72*($E72/365))</f>
        <v>54.478630136986304</v>
      </c>
      <c r="T184" s="5">
        <f>(P71*($E71/365))+(P72*($E72/365))</f>
        <v>0</v>
      </c>
      <c r="U184" s="5">
        <f>(Q71*($E71/365))+(Q72*($E72/365))</f>
        <v>0</v>
      </c>
      <c r="V184" s="9"/>
      <c r="W184" s="5">
        <f t="shared" si="42"/>
        <v>54.478630136986304</v>
      </c>
    </row>
    <row r="185" spans="1:23" x14ac:dyDescent="0.15">
      <c r="A185" s="1">
        <v>1991</v>
      </c>
      <c r="B185" s="5">
        <f>(K73*($E73/365))+(K74*($E74/365))</f>
        <v>100</v>
      </c>
      <c r="C185" s="5">
        <f>(L73*($E73/365))+(L74*($E74/365))</f>
        <v>0</v>
      </c>
      <c r="D185" s="5">
        <f>(M73*($E73/365))+(M74*($E74/365))</f>
        <v>0</v>
      </c>
      <c r="E185" s="18">
        <f t="shared" si="40"/>
        <v>100</v>
      </c>
      <c r="G185" s="1">
        <v>1991</v>
      </c>
      <c r="H185" s="409">
        <f>(O73/$R73*100*($E73/365))+(O74/$R74*100*($E74/365))</f>
        <v>100</v>
      </c>
      <c r="I185" s="409"/>
      <c r="J185" s="409">
        <f>(P73/$R73*100*($E73/365))+(P74/$R74*100*($E74/365))</f>
        <v>0</v>
      </c>
      <c r="K185" s="409"/>
      <c r="L185" s="409">
        <f>(Q73/$R73*100*($E73/365))+(Q74/$R74*100*($E74/365))</f>
        <v>0</v>
      </c>
      <c r="M185" s="409"/>
      <c r="N185" s="379">
        <f t="shared" si="41"/>
        <v>100</v>
      </c>
      <c r="O185" s="379"/>
      <c r="R185" s="1">
        <v>1991</v>
      </c>
      <c r="S185" s="5">
        <f>(O73*($E73/365))+(O74*($E74/365))</f>
        <v>53.7</v>
      </c>
      <c r="T185" s="5">
        <f>(P73*($E73/365))+(P74*($E74/365))</f>
        <v>0</v>
      </c>
      <c r="U185" s="5">
        <f>(Q73*($E73/365))+(Q74*($E74/365))</f>
        <v>0</v>
      </c>
      <c r="V185" s="9"/>
      <c r="W185" s="5">
        <f t="shared" si="42"/>
        <v>53.7</v>
      </c>
    </row>
    <row r="186" spans="1:23" x14ac:dyDescent="0.15">
      <c r="A186" s="1">
        <v>1992</v>
      </c>
      <c r="B186" s="5">
        <f>(K75*($E75/366))+(K76*($E76/366))</f>
        <v>100</v>
      </c>
      <c r="C186" s="5">
        <f>(L75*($E75/366))+(L76*($E76/366))</f>
        <v>0</v>
      </c>
      <c r="D186" s="5">
        <f>(M75*($E75/366))+(M76*($E76/366))</f>
        <v>0</v>
      </c>
      <c r="E186" s="18">
        <f t="shared" si="40"/>
        <v>100</v>
      </c>
      <c r="G186" s="1">
        <v>1992</v>
      </c>
      <c r="H186" s="409">
        <f>(O75/$R75*100*($E75/366))+(O76/$R76*100*($E76/366))</f>
        <v>100</v>
      </c>
      <c r="I186" s="409"/>
      <c r="J186" s="409">
        <f>(P75/$R75*100*($E75/366))+(P76/$R76*100*($E76/366))</f>
        <v>0</v>
      </c>
      <c r="K186" s="409"/>
      <c r="L186" s="409">
        <f>(Q75/$R75*100*($E75/366))+(Q76/$R76*100*($E76/366))</f>
        <v>0</v>
      </c>
      <c r="M186" s="409"/>
      <c r="N186" s="379">
        <f t="shared" si="41"/>
        <v>100</v>
      </c>
      <c r="O186" s="379"/>
      <c r="R186" s="1">
        <v>1992</v>
      </c>
      <c r="S186" s="5">
        <f>(O75*($E75/366))+(O76*($E76/366))</f>
        <v>53.7</v>
      </c>
      <c r="T186" s="5">
        <f>(P75*($E75/366))+(P76*($E76/366))</f>
        <v>0</v>
      </c>
      <c r="U186" s="5">
        <f>(Q75*($E75/366))+(Q76*($E76/366))</f>
        <v>0</v>
      </c>
      <c r="V186" s="9"/>
      <c r="W186" s="5">
        <f t="shared" si="42"/>
        <v>53.7</v>
      </c>
    </row>
    <row r="187" spans="1:23" x14ac:dyDescent="0.15">
      <c r="A187" s="1">
        <v>1993</v>
      </c>
      <c r="B187" s="5">
        <f>(K77*($E77/365))+(K78*($E78/365))</f>
        <v>73.515981735159812</v>
      </c>
      <c r="C187" s="5">
        <f>(L77*($E77/365))+(L78*($E78/365))</f>
        <v>7.5668623613829089</v>
      </c>
      <c r="D187" s="5">
        <f>(M77*($E77/365))+(M78*($E78/365))</f>
        <v>15.133724722765818</v>
      </c>
      <c r="E187" s="18">
        <f t="shared" si="40"/>
        <v>96.216568819308534</v>
      </c>
      <c r="G187" s="1">
        <v>1993</v>
      </c>
      <c r="H187" s="409">
        <f>(O77/$R77*100*($E77/365))+(O78/$R78*100*($E78/365))</f>
        <v>77.084354722422489</v>
      </c>
      <c r="I187" s="409"/>
      <c r="J187" s="409">
        <f>(P77/$R77*100*($E77/365))+(P78/$R78*100*($E78/365))</f>
        <v>8.3633741888968984</v>
      </c>
      <c r="K187" s="409"/>
      <c r="L187" s="409">
        <f>(Q77/$R77*100*($E77/365))+(Q78/$R78*100*($E78/365))</f>
        <v>14.552271088680607</v>
      </c>
      <c r="M187" s="409"/>
      <c r="N187" s="379">
        <f t="shared" si="41"/>
        <v>100</v>
      </c>
      <c r="O187" s="379"/>
      <c r="R187" s="1">
        <v>1993</v>
      </c>
      <c r="S187" s="5">
        <f>(O77*($E77/365))+(O78*($E78/365))</f>
        <v>40.352054794520548</v>
      </c>
      <c r="T187" s="5">
        <f>(P77*($E77/365))+(P78*($E78/365))</f>
        <v>3.9726027397260273</v>
      </c>
      <c r="U187" s="5">
        <f>(Q77*($E77/365))+(Q78*($E78/365))</f>
        <v>6.912328767123288</v>
      </c>
      <c r="V187" s="9"/>
      <c r="W187" s="5">
        <f t="shared" si="42"/>
        <v>51.236986301369868</v>
      </c>
    </row>
    <row r="188" spans="1:23" x14ac:dyDescent="0.15">
      <c r="A188" s="1">
        <v>1994</v>
      </c>
      <c r="B188" s="5">
        <f>(K79*($E79/365))+(K80*($E80/365))+(K81*($E81/365))</f>
        <v>55.107632093933461</v>
      </c>
      <c r="C188" s="5">
        <f>(L79*($E79/365))+(L80*($E80/365))+(L81*($E81/365))</f>
        <v>11.037181996086106</v>
      </c>
      <c r="D188" s="5">
        <f>(M79*($E79/365))+(M80*($E80/365))+(M81*($E81/365))</f>
        <v>28.336594911937379</v>
      </c>
      <c r="E188" s="18">
        <f t="shared" si="40"/>
        <v>94.481409001956948</v>
      </c>
      <c r="G188" s="1">
        <v>1994</v>
      </c>
      <c r="H188" s="409">
        <f>(O79/$R79*100*($E79/365))+(O80/$R80*100*($E80/365))+(O81/$R81*100*($E81/365))</f>
        <v>60.478497311966848</v>
      </c>
      <c r="I188" s="409"/>
      <c r="J188" s="409">
        <f>(P79/$R79*100*($E79/365))+(P80/$R80*100*($E80/365))+(P81/$R81*100*($E81/365))</f>
        <v>14.526419277989325</v>
      </c>
      <c r="K188" s="409"/>
      <c r="L188" s="409">
        <f>(Q79/$R79*100*($E79/365))+(Q80/$R80*100*($E80/365))+(Q81/$R81*100*($E81/365))</f>
        <v>24.995083410043833</v>
      </c>
      <c r="M188" s="409"/>
      <c r="N188" s="379">
        <f t="shared" si="41"/>
        <v>100</v>
      </c>
      <c r="O188" s="379"/>
      <c r="R188" s="1">
        <v>1994</v>
      </c>
      <c r="S188" s="5">
        <f>(O79*($E79/365))+(O80*($E80/365))+(O81*($E81/365))</f>
        <v>31.579452054794526</v>
      </c>
      <c r="T188" s="5">
        <f>(P79*($E79/365))+(P80*($E80/365))+(P81*($E81/365))</f>
        <v>6.1986301369863011</v>
      </c>
      <c r="U188" s="5">
        <f>(Q79*($E79/365))+(Q80*($E80/365))+(Q81*($E81/365))</f>
        <v>13.021917808219179</v>
      </c>
      <c r="V188" s="9"/>
      <c r="W188" s="5">
        <f t="shared" si="42"/>
        <v>50.800000000000004</v>
      </c>
    </row>
    <row r="189" spans="1:23" x14ac:dyDescent="0.15">
      <c r="A189" s="1">
        <v>1995</v>
      </c>
      <c r="B189" s="5">
        <f>(K82*($E82/365))+(K83*($E83/365))</f>
        <v>69.523809523809518</v>
      </c>
      <c r="C189" s="5">
        <f>(L82*($E82/365))+(L83*($E83/365))</f>
        <v>0</v>
      </c>
      <c r="D189" s="5">
        <f>(M82*($E82/365))+(M83*($E83/365))</f>
        <v>28.571428571428569</v>
      </c>
      <c r="E189" s="18">
        <f t="shared" si="40"/>
        <v>98.095238095238088</v>
      </c>
      <c r="G189" s="1">
        <v>1995</v>
      </c>
      <c r="H189" s="409">
        <f>(O83/$R83*100*($E83/365))+(O82/$R82*100*($E82/365))</f>
        <v>72.909698996655521</v>
      </c>
      <c r="I189" s="409"/>
      <c r="J189" s="409">
        <f>(P83/$R83*100*($E83/365))+(P82/$R82*100*($E82/365))</f>
        <v>4.1806020066889635</v>
      </c>
      <c r="K189" s="409"/>
      <c r="L189" s="409">
        <f>(Q83/$R83*100*($E83/365))+(Q82/$R82*100*($E82/365))</f>
        <v>22.909698996655518</v>
      </c>
      <c r="M189" s="409"/>
      <c r="N189" s="379">
        <f t="shared" si="41"/>
        <v>100</v>
      </c>
      <c r="O189" s="379"/>
      <c r="R189" s="1">
        <v>1995</v>
      </c>
      <c r="S189" s="5">
        <f>(O82*($E82/365))+(O83*($E83/365))</f>
        <v>43.6</v>
      </c>
      <c r="T189" s="5">
        <f>(P82*($E82/365))+(P83*($E83/365))</f>
        <v>2.5</v>
      </c>
      <c r="U189" s="5">
        <f>(Q82*($E82/365))+(Q83*($E83/365))</f>
        <v>13.7</v>
      </c>
      <c r="V189" s="9"/>
      <c r="W189" s="5">
        <f t="shared" si="42"/>
        <v>59.8</v>
      </c>
    </row>
    <row r="190" spans="1:23" x14ac:dyDescent="0.15">
      <c r="A190" s="1">
        <v>1996</v>
      </c>
      <c r="B190" s="5">
        <f>(K84*($E84/366))+(K85*($E85/366))+(K86*($E86/366))</f>
        <v>67.759562841530055</v>
      </c>
      <c r="C190" s="5">
        <f>(L84*($E84/366))+(L85*($E85/366))+(L86*($E86/366))</f>
        <v>0</v>
      </c>
      <c r="D190" s="5">
        <f>(M84*($E84/366))+(M85*($E85/366))+(M86*($E86/366))</f>
        <v>28.194119177725732</v>
      </c>
      <c r="E190" s="18">
        <f t="shared" si="40"/>
        <v>95.95368201925578</v>
      </c>
      <c r="G190" s="1">
        <v>1996</v>
      </c>
      <c r="H190" s="409">
        <f>(O84/$R84*100*($E84/366))+(O85/$R85*100*($E85/366))+(O86/$R86*100*($E86/366))</f>
        <v>76.980645868742812</v>
      </c>
      <c r="I190" s="409"/>
      <c r="J190" s="409">
        <f>(P84/$R84*100*($E84/366))+(P85/$R85*100*($E85/366))+(P86/$R86*100*($E86/366))</f>
        <v>3.5523694647001851</v>
      </c>
      <c r="K190" s="409"/>
      <c r="L190" s="409">
        <f>(Q84/$R84*100*($E84/366))+(Q85/$R85*100*($E85/366))+(Q86/$R86*100*($E86/366))</f>
        <v>19.466984666557014</v>
      </c>
      <c r="M190" s="409"/>
      <c r="N190" s="379">
        <f t="shared" si="41"/>
        <v>100.00000000000001</v>
      </c>
      <c r="O190" s="379"/>
      <c r="R190" s="1">
        <v>1996</v>
      </c>
      <c r="S190" s="5">
        <f>(O84*($E84/366))+(O85*($E85/366))+(O86*($E86/366))</f>
        <v>44.231147540983599</v>
      </c>
      <c r="T190" s="5">
        <f>(P84*($E84/366))+(P85*($E85/366))+(P86*($E86/366))</f>
        <v>2.1243169398907105</v>
      </c>
      <c r="U190" s="5">
        <f>(Q84*($E84/366))+(Q85*($E85/366))+(Q86*($E86/366))</f>
        <v>11.641256830601092</v>
      </c>
      <c r="V190" s="9"/>
      <c r="W190" s="5">
        <f t="shared" si="42"/>
        <v>57.996721311475405</v>
      </c>
    </row>
    <row r="191" spans="1:23" x14ac:dyDescent="0.15">
      <c r="A191" s="1">
        <v>1997</v>
      </c>
      <c r="B191" s="5">
        <f>(K88*($E88/365))+(K87*($E87/365))</f>
        <v>100</v>
      </c>
      <c r="C191" s="5">
        <f>(L88*($E88/365))+(L87*($E87/365))</f>
        <v>0</v>
      </c>
      <c r="D191" s="5">
        <f>(M88*($E88/365))+(M87*($E87/365))</f>
        <v>0</v>
      </c>
      <c r="E191" s="18">
        <f t="shared" si="40"/>
        <v>100</v>
      </c>
      <c r="G191" s="1">
        <v>1997</v>
      </c>
      <c r="H191" s="409">
        <f>(O87/$R87*100*($E87/365))+(O88/$R88*100*($E88/365))</f>
        <v>100</v>
      </c>
      <c r="I191" s="409"/>
      <c r="J191" s="409">
        <f>(P87/$R87*100*($E87/365))+(P88/$R88*100*($E88/365))</f>
        <v>0</v>
      </c>
      <c r="K191" s="409"/>
      <c r="L191" s="409">
        <f>(Q87/$R87*100*($E87/365))+(Q88/$R88*100*($E88/365))</f>
        <v>0</v>
      </c>
      <c r="M191" s="409"/>
      <c r="N191" s="379">
        <f t="shared" si="41"/>
        <v>100</v>
      </c>
      <c r="O191" s="379"/>
      <c r="R191" s="1">
        <v>1997</v>
      </c>
      <c r="S191" s="5">
        <f>(O88*($E88/365))+(O87*($E87/365))</f>
        <v>47.8</v>
      </c>
      <c r="T191" s="5">
        <f>(P88*($E88/365))+(P87*($E87/365))</f>
        <v>0</v>
      </c>
      <c r="U191" s="5">
        <f>(Q88*($E88/365))+(Q87*($E87/365))</f>
        <v>0</v>
      </c>
      <c r="V191" s="9"/>
      <c r="W191" s="5">
        <f t="shared" si="42"/>
        <v>47.8</v>
      </c>
    </row>
    <row r="192" spans="1:23" x14ac:dyDescent="0.15">
      <c r="A192" s="1">
        <v>1998</v>
      </c>
      <c r="B192" s="5">
        <f>(K90*($E90/365))+(K89*($E89/365))</f>
        <v>97.97782126549248</v>
      </c>
      <c r="C192" s="5">
        <f>(L90*($E90/365))+(L89*($E89/365))</f>
        <v>0</v>
      </c>
      <c r="D192" s="5">
        <f>(M90*($E90/365))+(M89*($E89/365))</f>
        <v>0</v>
      </c>
      <c r="E192" s="18">
        <f t="shared" si="40"/>
        <v>97.97782126549248</v>
      </c>
      <c r="G192" s="1">
        <v>1998</v>
      </c>
      <c r="H192" s="409">
        <f>(O90/$R90*100*($E90/365))+(O89/$R89*100*($E89/365))</f>
        <v>100</v>
      </c>
      <c r="I192" s="409"/>
      <c r="J192" s="409">
        <f>(P90/$R90*100*($E90/365))+(P89/$R89*100*($E89/365))</f>
        <v>0</v>
      </c>
      <c r="K192" s="409"/>
      <c r="L192" s="409">
        <f>(Q90/$R90*100*($E90/365))+(Q89/$R89*100*($E89/365))</f>
        <v>0</v>
      </c>
      <c r="M192" s="409"/>
      <c r="N192" s="379">
        <f t="shared" si="41"/>
        <v>100</v>
      </c>
      <c r="O192" s="379"/>
      <c r="R192" s="1">
        <v>1998</v>
      </c>
      <c r="S192" s="5">
        <f>(O90*($E90/365))+(O89*($E89/365))</f>
        <v>47.8</v>
      </c>
      <c r="T192" s="5">
        <f>(P90*($E90/365))+(P89*($E89/365))</f>
        <v>0</v>
      </c>
      <c r="U192" s="5">
        <f>(Q90*($E90/365))+(Q89*($E89/365))</f>
        <v>0</v>
      </c>
      <c r="V192" s="9"/>
      <c r="W192" s="5">
        <f t="shared" si="42"/>
        <v>47.8</v>
      </c>
    </row>
    <row r="193" spans="1:23" x14ac:dyDescent="0.15">
      <c r="A193" s="1">
        <v>1999</v>
      </c>
      <c r="B193" s="5">
        <f>(K92*($E92/365))+(K91*($E91/365))+(K93*($E93/365))</f>
        <v>94.446240676139411</v>
      </c>
      <c r="C193" s="5">
        <f>(L92*($E92/365))+(L91*($E91/365))+(L93*($E93/365))</f>
        <v>1.0482430017867779</v>
      </c>
      <c r="D193" s="5">
        <f>(M92*($E92/365))+(M91*($E91/365))+(M93*($E93/365))</f>
        <v>0</v>
      </c>
      <c r="E193" s="18">
        <f t="shared" si="40"/>
        <v>95.494483677926183</v>
      </c>
      <c r="G193" s="1">
        <v>1999</v>
      </c>
      <c r="H193" s="409">
        <f>(O91/$R91*100*($E91/365))+(O92/$R92*100*($E92/365))+(O93/$R93*100*($E93/365))</f>
        <v>96.200913242009136</v>
      </c>
      <c r="I193" s="409"/>
      <c r="J193" s="409">
        <f>(P91/$R91*100*($E91/365))+(P92/$R92*100*($E92/365))+(P93/$R93*100*($E93/365))</f>
        <v>3.7990867579908683</v>
      </c>
      <c r="K193" s="409"/>
      <c r="L193" s="409">
        <f>(Q91/$R91*100*($E91/365))+(Q92/$R92*100*($E92/365))+(Q93/$R93*100*($E93/365))</f>
        <v>0</v>
      </c>
      <c r="M193" s="409"/>
      <c r="N193" s="379">
        <f t="shared" si="41"/>
        <v>100</v>
      </c>
      <c r="O193" s="379"/>
      <c r="R193" s="1">
        <v>1999</v>
      </c>
      <c r="S193" s="5">
        <f>(O92*($E92/365))+(O91*($E91/365))+(O93*($E93/365))</f>
        <v>55.177534246575341</v>
      </c>
      <c r="T193" s="5">
        <f>(P92*($E92/365))+(P91*($E91/365))+(P93*($E93/365))</f>
        <v>2.5073972602739727</v>
      </c>
      <c r="U193" s="5">
        <f>(Q92*($E92/365))+(Q91*($E91/365))+(Q93*($E93/365))</f>
        <v>0</v>
      </c>
      <c r="V193" s="9"/>
      <c r="W193" s="5">
        <f t="shared" si="42"/>
        <v>57.684931506849317</v>
      </c>
    </row>
    <row r="194" spans="1:23" x14ac:dyDescent="0.15">
      <c r="A194" s="1">
        <v>2000</v>
      </c>
      <c r="B194" s="5">
        <f>(K96*($E96/366))+(K95*($E95/366))+(K94*($E94/366))</f>
        <v>89.154193395105722</v>
      </c>
      <c r="C194" s="5">
        <f>(L96*($E96/366))+(L95*($E95/366))+(L94*($E94/366))</f>
        <v>4.3478260869565215</v>
      </c>
      <c r="D194" s="5">
        <f>(M96*($E96/366))+(M95*($E95/366))+(M94*($E94/366))</f>
        <v>0</v>
      </c>
      <c r="E194" s="18">
        <f t="shared" si="40"/>
        <v>93.502019482062238</v>
      </c>
      <c r="G194" s="1">
        <v>2000</v>
      </c>
      <c r="H194" s="409">
        <f>(O94/$R94*100*($E94/366))+(O95/$R95*100*($E95/366))+(O96/$R96*100*($E96/366))</f>
        <v>86.345758469652267</v>
      </c>
      <c r="I194" s="409"/>
      <c r="J194" s="409">
        <f>(P94/$R94*100*($E94/366))+(P95/$R95*100*($E95/366))+(P96/$R96*100*($E96/366))</f>
        <v>13.654241530347726</v>
      </c>
      <c r="K194" s="409"/>
      <c r="L194" s="409">
        <f>(Q94/$R94*100*($E94/366))+(Q95/$R95*100*($E95/366))+(Q96/$R96*100*($E96/366))</f>
        <v>0</v>
      </c>
      <c r="M194" s="409"/>
      <c r="N194" s="379">
        <f t="shared" si="41"/>
        <v>100</v>
      </c>
      <c r="O194" s="379"/>
      <c r="R194" s="1">
        <v>2000</v>
      </c>
      <c r="S194" s="5">
        <f>(O96*($E96/366))+(O95*($E95/366))+(O94*($E94/366))</f>
        <v>52.830601092896174</v>
      </c>
      <c r="T194" s="5">
        <f>(P96*($E96/366))+(P95*($E95/366))+(P94*($E94/366))</f>
        <v>8.471311475409836</v>
      </c>
      <c r="U194" s="5">
        <f>(Q96*($E96/366))+(Q95*($E95/366))+(Q94*($E94/366))</f>
        <v>0</v>
      </c>
      <c r="V194" s="9"/>
      <c r="W194" s="5">
        <f>S194+T194+U194</f>
        <v>61.301912568306008</v>
      </c>
    </row>
    <row r="195" spans="1:23" x14ac:dyDescent="0.15">
      <c r="A195" s="1">
        <v>2001</v>
      </c>
      <c r="B195" s="5">
        <f>(K98*($E98/365))+(K97*($E97/365))</f>
        <v>80.669710806697111</v>
      </c>
      <c r="C195" s="5">
        <f>(L98*($E98/365))+(L97*($E97/365))</f>
        <v>5.1750380517503798</v>
      </c>
      <c r="D195" s="5">
        <f>(M98*($E98/365))+(M97*($E97/365))</f>
        <v>0</v>
      </c>
      <c r="E195" s="18">
        <f t="shared" si="40"/>
        <v>85.844748858447488</v>
      </c>
      <c r="G195" s="1">
        <v>2001</v>
      </c>
      <c r="H195" s="409">
        <f>(O97/$R97*100*($E97/365))+(O98/$R98*100*($E98/365))</f>
        <v>88.495575221238937</v>
      </c>
      <c r="I195" s="409"/>
      <c r="J195" s="409">
        <f>(P97/$R97*100*($E97/365))+(P98/$R98*100*($E98/365))</f>
        <v>11.504424778761061</v>
      </c>
      <c r="K195" s="409"/>
      <c r="L195" s="409">
        <f>(Q97/$R97*100*($E97/365))+(Q98/$R98*100*($E98/365))</f>
        <v>0</v>
      </c>
      <c r="M195" s="409"/>
      <c r="N195" s="379">
        <f t="shared" si="41"/>
        <v>100</v>
      </c>
      <c r="O195" s="379"/>
      <c r="R195" s="1">
        <v>2001</v>
      </c>
      <c r="S195" s="5">
        <f>(O98*($E98/365))+(O97*($E97/365))</f>
        <v>50</v>
      </c>
      <c r="T195" s="5">
        <f>(P98*($E98/365))+(P97*($E97/365))</f>
        <v>6.5</v>
      </c>
      <c r="U195" s="5">
        <f>(Q98*($E98/365))+(Q97*($E97/365))</f>
        <v>0</v>
      </c>
      <c r="V195" s="9"/>
      <c r="W195" s="5">
        <f t="shared" si="42"/>
        <v>56.5</v>
      </c>
    </row>
    <row r="196" spans="1:23" x14ac:dyDescent="0.15">
      <c r="A196" s="1">
        <v>2002</v>
      </c>
      <c r="B196" s="5">
        <f>(K100*($E100/365))+(K99*($E99/365))</f>
        <v>77.777777777777786</v>
      </c>
      <c r="C196" s="5">
        <f>(L100*($E100/365))+(L99*($E99/365))</f>
        <v>5.5555555555555554</v>
      </c>
      <c r="D196" s="5">
        <f>(M100*($E100/365))+(M99*($E99/365))</f>
        <v>0</v>
      </c>
      <c r="E196" s="18">
        <f t="shared" si="40"/>
        <v>83.333333333333343</v>
      </c>
      <c r="G196" s="1">
        <v>2002</v>
      </c>
      <c r="H196" s="409">
        <f>(O99/$R99*100*($E99/365))+(O100/$R100*100*($E100/365))</f>
        <v>88.495575221238937</v>
      </c>
      <c r="I196" s="409"/>
      <c r="J196" s="409">
        <f>(P99/$R99*100*($E99/365))+(P100/$R100*100*($E100/365))</f>
        <v>11.504424778761061</v>
      </c>
      <c r="K196" s="409"/>
      <c r="L196" s="409">
        <f>(Q99/$R99*100*($E99/365))+(Q100/$R100*100*($E100/365))</f>
        <v>0</v>
      </c>
      <c r="M196" s="409"/>
      <c r="N196" s="379">
        <f t="shared" si="41"/>
        <v>100</v>
      </c>
      <c r="O196" s="379"/>
      <c r="R196" s="1">
        <v>2002</v>
      </c>
      <c r="S196" s="5">
        <f>(O100*($E100/365))+(O99*($E99/365))</f>
        <v>50</v>
      </c>
      <c r="T196" s="5">
        <f>(P100*($E100/365))+(P99*($E99/365))</f>
        <v>6.5</v>
      </c>
      <c r="U196" s="5">
        <f>(Q100*($E100/365))+(Q99*($E99/365))</f>
        <v>0</v>
      </c>
      <c r="V196" s="9"/>
      <c r="W196" s="5">
        <f t="shared" si="42"/>
        <v>56.5</v>
      </c>
    </row>
    <row r="197" spans="1:23" x14ac:dyDescent="0.15">
      <c r="A197" s="1">
        <v>2003</v>
      </c>
      <c r="B197" s="5">
        <f>(K102*($E102/365))+(K101*($E101/365))</f>
        <v>77.777777777777786</v>
      </c>
      <c r="C197" s="5">
        <f>(L102*($E102/365))+(L101*($E101/365))</f>
        <v>5.5555555555555554</v>
      </c>
      <c r="D197" s="5">
        <f>(M102*($E102/365))+(M101*($E101/365))</f>
        <v>0</v>
      </c>
      <c r="E197" s="18">
        <f t="shared" si="40"/>
        <v>83.333333333333343</v>
      </c>
      <c r="G197" s="1">
        <v>2003</v>
      </c>
      <c r="H197" s="409">
        <f>(O101/$R101*100*($E101/365))+(O102/$R102*100*($E102/365))</f>
        <v>88.238260159539578</v>
      </c>
      <c r="I197" s="409"/>
      <c r="J197" s="409">
        <f>(P101/$R101*100*($E101/365))+(P102/$R102*100*($E102/365))</f>
        <v>11.761739840460415</v>
      </c>
      <c r="K197" s="409"/>
      <c r="L197" s="409">
        <f>(Q101/$R101*100*($E101/365))+(Q102/$R102*100*($E102/365))</f>
        <v>0</v>
      </c>
      <c r="M197" s="409"/>
      <c r="N197" s="379">
        <f t="shared" si="41"/>
        <v>100</v>
      </c>
      <c r="O197" s="379"/>
      <c r="R197" s="1">
        <v>2003</v>
      </c>
      <c r="S197" s="5">
        <f>(O102*($E102/365))+(O101*($E101/365))</f>
        <v>50</v>
      </c>
      <c r="T197" s="5">
        <f>(P102*($E102/365))+(P101*($E101/365))</f>
        <v>6.6660273972602733</v>
      </c>
      <c r="U197" s="5">
        <f>(Q102*($E102/365))+(Q101*($E101/365))</f>
        <v>0</v>
      </c>
      <c r="V197" s="9"/>
      <c r="W197" s="5">
        <f t="shared" si="42"/>
        <v>56.666027397260272</v>
      </c>
    </row>
    <row r="198" spans="1:23" x14ac:dyDescent="0.15">
      <c r="A198" s="1">
        <v>2004</v>
      </c>
      <c r="B198" s="5">
        <f>(K104*($E104/366))+(K103*($E103/366))</f>
        <v>82.149362477231335</v>
      </c>
      <c r="C198" s="5">
        <f>(L104*($E104/366))+(L103*($E103/366))</f>
        <v>5.5555555555555554</v>
      </c>
      <c r="D198" s="5">
        <f>(M104*($E104/366))+(M103*($E103/366))</f>
        <v>0</v>
      </c>
      <c r="E198" s="18">
        <f t="shared" si="40"/>
        <v>87.704918032786892</v>
      </c>
      <c r="G198" s="1">
        <v>2004</v>
      </c>
      <c r="H198" s="409">
        <f>(O103/$R103*100*($E103/366))+(O104/$R104*100*($E104/366))</f>
        <v>87.563056230503207</v>
      </c>
      <c r="I198" s="409"/>
      <c r="J198" s="409">
        <f>(P103/$R103*100*($E103/366))+(P104/$R104*100*($E104/366))</f>
        <v>12.436943769496787</v>
      </c>
      <c r="K198" s="409"/>
      <c r="L198" s="409">
        <f>(Q103/$R103*100*($E103/366))+(Q104/$R104*100*($E104/366))</f>
        <v>0</v>
      </c>
      <c r="M198" s="409"/>
      <c r="N198" s="379">
        <f t="shared" si="41"/>
        <v>100</v>
      </c>
      <c r="O198" s="379"/>
      <c r="R198" s="1">
        <v>2004</v>
      </c>
      <c r="S198" s="5">
        <f>(O104*($E104/366))+(O103*($E103/366))</f>
        <v>49.990163934426235</v>
      </c>
      <c r="T198" s="5">
        <f>(P104*($E104/366))+(P103*($E103/366))</f>
        <v>7.1</v>
      </c>
      <c r="U198" s="5">
        <f>(Q104*($E104/366))+(Q103*($E103/366))</f>
        <v>0</v>
      </c>
      <c r="V198" s="9"/>
      <c r="W198" s="5">
        <f t="shared" si="42"/>
        <v>57.090163934426236</v>
      </c>
    </row>
    <row r="199" spans="1:23" x14ac:dyDescent="0.15">
      <c r="A199" s="1">
        <v>2005</v>
      </c>
      <c r="B199" s="5">
        <f>(K106*($E106/365))+(K105*($E105/365))</f>
        <v>94.444444444444457</v>
      </c>
      <c r="C199" s="5">
        <f>(L106*($E106/365))+(L105*($E105/365))</f>
        <v>5.5555555555555554</v>
      </c>
      <c r="D199" s="5">
        <f>(M106*($E106/365))+(M105*($E105/365))</f>
        <v>0</v>
      </c>
      <c r="E199" s="18">
        <f t="shared" si="40"/>
        <v>100.00000000000001</v>
      </c>
      <c r="G199" s="1">
        <v>2005</v>
      </c>
      <c r="H199" s="409">
        <f>(O105/$R105*100*($E105/365))+(O106/$R106*100*($E106/365))</f>
        <v>87.949261067457201</v>
      </c>
      <c r="I199" s="409"/>
      <c r="J199" s="409">
        <f>(P105/$R105*100*($E105/365))+(P106/$R106*100*($E106/365))</f>
        <v>12.050738932542787</v>
      </c>
      <c r="K199" s="409"/>
      <c r="L199" s="409">
        <f>(Q105/$R105*100*($E105/365))+(Q106/$R106*100*($E106/365))</f>
        <v>0</v>
      </c>
      <c r="M199" s="409"/>
      <c r="N199" s="379">
        <f t="shared" si="41"/>
        <v>99.999999999999986</v>
      </c>
      <c r="O199" s="379"/>
      <c r="R199" s="1">
        <v>2005</v>
      </c>
      <c r="S199" s="5">
        <f>(O106*($E106/365))+(O105*($E105/365))</f>
        <v>51.489315068493148</v>
      </c>
      <c r="T199" s="5">
        <f>(P106*($E106/365))+(P105*($E105/365))</f>
        <v>6.9980821917808225</v>
      </c>
      <c r="U199" s="5">
        <f>(Q106*($E106/365))+(Q105*($E105/365))</f>
        <v>0</v>
      </c>
      <c r="V199" s="9"/>
      <c r="W199" s="5">
        <f t="shared" si="42"/>
        <v>58.487397260273973</v>
      </c>
    </row>
    <row r="200" spans="1:23" x14ac:dyDescent="0.15">
      <c r="A200" s="1">
        <v>2006</v>
      </c>
      <c r="B200" s="5">
        <f>(K108*($E108/365))+(K107*($E107/365))</f>
        <v>92.968036529680376</v>
      </c>
      <c r="C200" s="5">
        <f>(L108*($E108/365))+(L107*($E107/365))</f>
        <v>5.5555555555555554</v>
      </c>
      <c r="D200" s="5">
        <f>(M108*($E108/365))+(M107*($E107/365))</f>
        <v>0</v>
      </c>
      <c r="E200" s="18">
        <f t="shared" si="40"/>
        <v>98.523592085235933</v>
      </c>
      <c r="G200" s="1">
        <v>2006</v>
      </c>
      <c r="H200" s="409">
        <f>(O107/$R107*100*($E107/365))+(O108/$R108*100*($E108/365))</f>
        <v>90.469208211143695</v>
      </c>
      <c r="I200" s="409"/>
      <c r="J200" s="409">
        <f>(P107/$R107*100*($E107/365))+(P108/$R108*100*($E108/365))</f>
        <v>9.5307917888563054</v>
      </c>
      <c r="K200" s="409"/>
      <c r="L200" s="409">
        <f>(Q107/$R107*100*($E107/365))+(Q108/$R108*100*($E108/365))</f>
        <v>0</v>
      </c>
      <c r="M200" s="409"/>
      <c r="N200" s="379">
        <f t="shared" si="41"/>
        <v>100</v>
      </c>
      <c r="O200" s="379"/>
      <c r="R200" s="1">
        <v>2006</v>
      </c>
      <c r="S200" s="5">
        <f>(O108*($E108/365))+(O107*($E107/365))</f>
        <v>61.7</v>
      </c>
      <c r="T200" s="5">
        <f>(P108*($E108/365))+(P107*($E107/365))</f>
        <v>6.5</v>
      </c>
      <c r="U200" s="5">
        <f>(Q108*($E108/365))+(Q107*($E107/365))</f>
        <v>0</v>
      </c>
      <c r="V200" s="9"/>
      <c r="W200" s="5">
        <f t="shared" si="42"/>
        <v>68.2</v>
      </c>
    </row>
    <row r="201" spans="1:23" x14ac:dyDescent="0.15">
      <c r="A201" s="1">
        <v>2007</v>
      </c>
      <c r="B201" s="5">
        <f>(K110*($E110/365))+(K109*($E109/365))+(K111*($E111/365))</f>
        <v>86.955859969558603</v>
      </c>
      <c r="C201" s="5">
        <f>(L110*($E110/365))+(L109*($E109/365))+(L111*($E111/365))</f>
        <v>5.5555555555555554</v>
      </c>
      <c r="D201" s="5">
        <f>(M110*($E110/365))+(M109*($E109/365))+(M111*($E111/365))</f>
        <v>0</v>
      </c>
      <c r="E201" s="18">
        <f t="shared" si="40"/>
        <v>92.51141552511416</v>
      </c>
      <c r="G201" s="1">
        <v>2007</v>
      </c>
      <c r="H201" s="409">
        <f>(O109/$R109*100*($E109/365))+(O110/$R110*100*($E110/365))+(O111/$R111*100*($E111/365))</f>
        <v>90.469208211143695</v>
      </c>
      <c r="I201" s="409"/>
      <c r="J201" s="409">
        <f>(P109/$R109*100*($E109/365))+(P110/$R110*100*($E110/365))+(P111/$R111*100*($E111/365))</f>
        <v>9.5307917888563054</v>
      </c>
      <c r="K201" s="409"/>
      <c r="L201" s="409">
        <f>(Q109/$R109*100*($E109/365))+(Q110/$R110*100*($E110/365))+(Q111/$R111*100*($E111/365))</f>
        <v>0</v>
      </c>
      <c r="M201" s="409"/>
      <c r="N201" s="379">
        <f t="shared" si="41"/>
        <v>100</v>
      </c>
      <c r="O201" s="379"/>
      <c r="R201" s="1">
        <v>2007</v>
      </c>
      <c r="S201" s="5">
        <f>(O110*($E110/365))+(O109*($E109/365))+(O111*($E111/365))</f>
        <v>61.7</v>
      </c>
      <c r="T201" s="5">
        <f>(P110*($E110/365))+(P109*($E109/365))+(P111*($E111/365))</f>
        <v>6.5</v>
      </c>
      <c r="U201" s="5">
        <f>(Q110*($E110/365))+(Q109*($E109/365))+(Q111*($E111/365))</f>
        <v>0</v>
      </c>
      <c r="V201" s="9"/>
      <c r="W201" s="5">
        <f t="shared" si="42"/>
        <v>68.2</v>
      </c>
    </row>
    <row r="202" spans="1:23" x14ac:dyDescent="0.15">
      <c r="A202" s="1">
        <v>2008</v>
      </c>
      <c r="B202" s="5">
        <f>(K113*($E113/366))+(K112*($E112/366))+(K114*($E114/366))</f>
        <v>87.14329083181542</v>
      </c>
      <c r="C202" s="5">
        <f>(L113*($E113/366))+(L112*($E112/366))+(L114*($E114/366))</f>
        <v>5.5555555555555554</v>
      </c>
      <c r="D202" s="5">
        <f>(M113*($E113/366))+(M112*($E112/366))+(M114*($E114/366))</f>
        <v>0</v>
      </c>
      <c r="E202" s="18">
        <f t="shared" si="40"/>
        <v>92.698846387370978</v>
      </c>
      <c r="G202" s="1">
        <v>2008</v>
      </c>
      <c r="H202" s="409">
        <f>(O112/$R112*100*($E112/366))+(O113/$R113*100*($E113/366))+(O114/$R114*100*($E114/366))</f>
        <v>90.469208211143695</v>
      </c>
      <c r="I202" s="409"/>
      <c r="J202" s="409">
        <f>(P112/$R112*100*($E112/366))+(P113/$R113*100*($E113/366))+(P114/$R114*100*($E114/366))</f>
        <v>9.5307917888563054</v>
      </c>
      <c r="K202" s="409"/>
      <c r="L202" s="409">
        <f>(Q112/$R112*100*($E112/366))+(Q113/$R113*100*($E113/366))+(Q114/$R114*100*($E114/366))</f>
        <v>0</v>
      </c>
      <c r="M202" s="409"/>
      <c r="N202" s="379">
        <f t="shared" si="41"/>
        <v>100</v>
      </c>
      <c r="O202" s="379"/>
      <c r="R202" s="1">
        <v>2008</v>
      </c>
      <c r="S202" s="5">
        <f>(O113*($E113/366))+(O112*($E112/366))+(O114*($E114/366))</f>
        <v>61.7</v>
      </c>
      <c r="T202" s="5">
        <f>(P113*($E113/366))+(P112*($E112/366))+(P114*($E114/366))</f>
        <v>6.5</v>
      </c>
      <c r="U202" s="5">
        <f>(Q113*($E113/366))+(Q112*($E112/366))+(Q114*($E114/366))</f>
        <v>0</v>
      </c>
      <c r="V202" s="9"/>
      <c r="W202" s="5">
        <f t="shared" si="42"/>
        <v>68.2</v>
      </c>
    </row>
    <row r="203" spans="1:23" x14ac:dyDescent="0.15">
      <c r="A203" s="1">
        <v>2009</v>
      </c>
      <c r="B203" s="5">
        <f>(K115*($E115/365))+(K116*($E116/365))</f>
        <v>68.386605783866059</v>
      </c>
      <c r="C203" s="5">
        <f>(L115*($E115/365))+(L116*($E116/365))</f>
        <v>29.984779299847794</v>
      </c>
      <c r="D203" s="5">
        <f>(M115*($E115/365))+(M116*($E116/365))</f>
        <v>1.6286149162861492</v>
      </c>
      <c r="E203" s="18">
        <f t="shared" si="40"/>
        <v>100</v>
      </c>
      <c r="G203" s="1">
        <v>2009</v>
      </c>
      <c r="H203" s="409">
        <f>(O115/$R115*100*($E115/365))+(O116/$R116*100*($E116/365))</f>
        <v>64.213392596330394</v>
      </c>
      <c r="I203" s="409"/>
      <c r="J203" s="409">
        <f>(P115/$R115*100*($E115/365))+(P116/$R116*100*($E116/365))</f>
        <v>35.123370559933171</v>
      </c>
      <c r="K203" s="409"/>
      <c r="L203" s="409">
        <f>(Q115/$R115*100*($E115/365))+(Q116/$R116*100*($E116/365))</f>
        <v>0.66323684373644087</v>
      </c>
      <c r="M203" s="409"/>
      <c r="N203" s="379">
        <f t="shared" si="41"/>
        <v>100.00000000000001</v>
      </c>
      <c r="O203" s="379"/>
      <c r="R203" s="1">
        <v>2009</v>
      </c>
      <c r="S203" s="5">
        <f>(O115*($E115/365))+(O116*($E116/365))</f>
        <v>43.788493150684936</v>
      </c>
      <c r="T203" s="5">
        <f>(P115*($E115/365))+(P116*($E116/365))</f>
        <v>23.414794520547947</v>
      </c>
      <c r="U203" s="5">
        <f>(Q115*($E115/365))+(Q116*($E116/365))</f>
        <v>0.4397260273972603</v>
      </c>
      <c r="V203" s="9"/>
      <c r="W203" s="5">
        <f t="shared" si="42"/>
        <v>67.643013698630142</v>
      </c>
    </row>
    <row r="204" spans="1:23" x14ac:dyDescent="0.15">
      <c r="A204" s="1">
        <v>2010</v>
      </c>
      <c r="B204" s="5">
        <f>(K117*($E117/365))+(K118*($E118/365))+(K119*($E119/365))+(K120*($E120/365))</f>
        <v>5.5654042438893363</v>
      </c>
      <c r="C204" s="5">
        <f>(L117*($E117/365))+(L118*($E118/365))+(L119*($E119/365))+(L120*($E120/365))</f>
        <v>90.583758617602285</v>
      </c>
      <c r="D204" s="5">
        <f>(M117*($E117/365))+(M118*($E118/365))+(M119*($E119/365))+(M120*($E120/365))</f>
        <v>2.237442922374429</v>
      </c>
      <c r="E204" s="18">
        <f t="shared" si="40"/>
        <v>98.386605783866045</v>
      </c>
      <c r="G204" s="1">
        <v>2010</v>
      </c>
      <c r="H204" s="409">
        <f>(O117/$R117*100*($E117/365))+(O118/$R118*100*($E118/365))+(O119/$R119*100*($E119/365))+(O120/$R120*100*($E120/365))</f>
        <v>0.91748911249314147</v>
      </c>
      <c r="I204" s="409"/>
      <c r="J204" s="409">
        <f>(P117/$R117*100*($E117/365))+(P118/$R118*100*($E118/365))+(P119/$R119*100*($E119/365))+(P120/$R120*100*($E120/365))</f>
        <v>98.171335036766152</v>
      </c>
      <c r="K204" s="409"/>
      <c r="L204" s="409">
        <f>(Q117/$R117*100*($E117/365))+(Q118/$R118*100*($E118/365))+(Q119/$R119*100*($E119/365))+(Q120/$R120*100*($E120/365))</f>
        <v>0.91117585074071783</v>
      </c>
      <c r="M204" s="409"/>
      <c r="N204" s="379">
        <f t="shared" si="41"/>
        <v>100.00000000000001</v>
      </c>
      <c r="O204" s="379"/>
      <c r="R204" s="1">
        <v>2010</v>
      </c>
      <c r="S204" s="5">
        <f>(O117*($E117/365))+(O118*($E118/365))+(O119*($E119/365))+(O120*($E120/365))</f>
        <v>0.59999999999999987</v>
      </c>
      <c r="T204" s="5">
        <f>(P117*($E117/365))+(P118*($E118/365))+(P119*($E119/365))+(P120*($E120/365))</f>
        <v>64.2</v>
      </c>
      <c r="U204" s="5">
        <f>(Q117*($E117/365))+(Q118*($E118/365))+(Q119*($E119/365))+(Q120*($E120/365))</f>
        <v>0.60410958904109591</v>
      </c>
      <c r="V204" s="9"/>
      <c r="W204" s="5">
        <f t="shared" si="42"/>
        <v>65.404109589041099</v>
      </c>
    </row>
    <row r="205" spans="1:23" x14ac:dyDescent="0.15">
      <c r="A205" s="1">
        <v>2011</v>
      </c>
      <c r="B205" s="5">
        <f>(K121*($E121/365))+(K122*($E122/365))+(K123*($E123/365))</f>
        <v>5.5555555555555554</v>
      </c>
      <c r="C205" s="5">
        <f>(L121*($E121/365))+(L122*($E122/365))+(L123*($E123/365))</f>
        <v>87.214611872146122</v>
      </c>
      <c r="D205" s="5">
        <f>(M121*($E121/365))+(M122*($E122/365))+(M123*($E123/365))</f>
        <v>0</v>
      </c>
      <c r="E205" s="18">
        <f t="shared" si="40"/>
        <v>92.770167427701679</v>
      </c>
      <c r="G205" s="1">
        <v>2011</v>
      </c>
      <c r="H205" s="409">
        <f>(O121/$R121*100*($E121/365))+(O122/$R122*100*($E122/365))+(O123/$R123*100*($E123/365))</f>
        <v>0.92592592592592582</v>
      </c>
      <c r="I205" s="409"/>
      <c r="J205" s="409">
        <f>(P121/$R121*100*($E121/365))+(P122/$R122*100*($E122/365))+(P123/$R123*100*($E123/365))</f>
        <v>99.074074074074076</v>
      </c>
      <c r="K205" s="409"/>
      <c r="L205" s="409">
        <f>(Q121/$R121*100*($E121/365))+(Q122/$R122*100*($E122/365))+(Q123/$R123*100*($E123/365))</f>
        <v>0</v>
      </c>
      <c r="M205" s="409"/>
      <c r="N205" s="379">
        <f t="shared" si="41"/>
        <v>100</v>
      </c>
      <c r="O205" s="379"/>
      <c r="R205" s="1">
        <v>2011</v>
      </c>
      <c r="S205" s="5">
        <f>(O121*($E121/365))+(O122*($E122/365))+(O123*($E123/365))</f>
        <v>0.6</v>
      </c>
      <c r="T205" s="5">
        <f>(P121*($E121/365))+(P122*($E122/365))+(P123*($E123/365))</f>
        <v>64.2</v>
      </c>
      <c r="U205" s="5">
        <f>(Q121*($E121/365))+(Q122*($E122/365))+(Q123*($E123/365))</f>
        <v>0</v>
      </c>
      <c r="V205" s="9"/>
      <c r="W205" s="5">
        <f t="shared" si="42"/>
        <v>64.8</v>
      </c>
    </row>
    <row r="206" spans="1:23" x14ac:dyDescent="0.15">
      <c r="A206" s="1">
        <v>2012</v>
      </c>
      <c r="B206" s="5">
        <f>(K124*($E124/366))+(K125*($E125/366))+(K126*($E126/366))+(K127*($E127/366))+(K128*($E128/366))+(K129*($E129/366))</f>
        <v>6.4375419422874121</v>
      </c>
      <c r="C206" s="5">
        <f>(L124*($E124/366))+(L125*($E125/366))+(L126*($E126/366))+(L127*($E127/366))+(L128*($E128/366))+(L129*($E129/366))</f>
        <v>90.597737513181855</v>
      </c>
      <c r="D206" s="5">
        <f>(M124*($E124/366))+(M125*($E125/366))+(M126*($E126/366))+(M127*($E127/366))+(M128*($E128/366))+(M129*($E129/366))</f>
        <v>0</v>
      </c>
      <c r="E206" s="18">
        <f t="shared" si="40"/>
        <v>97.035279455469265</v>
      </c>
      <c r="G206" s="1">
        <v>2012</v>
      </c>
      <c r="H206" s="409">
        <f>(O124/$R124*100*($E124/366))+(O125/$R125*100*($E125/366))+(O126/$R126*100*($E126/366))+(O127/$R127*100*($E127/366))+(O128/$R128*100*($E128/366))+(O129/$R129*100*($E129/366))</f>
        <v>2.3929268017473442</v>
      </c>
      <c r="I206" s="409"/>
      <c r="J206" s="409">
        <f>(P124/$R124*100*($E124/366))+(P125/$R125*100*($E125/366))+(P126/$R126*100*($E126/366))+(P127/$R127*100*($E127/366))+(P128/$R128*100*($E128/366))+(P129/$R129*100*($E129/366))</f>
        <v>97.607073198252664</v>
      </c>
      <c r="K206" s="409"/>
      <c r="L206" s="409">
        <f>(Q124/$R124*100*($E124/366))+(Q125/$R125*100*($E125/366))+(Q126/$R126*100*($E126/366))+(Q127/$R127*100*($E127/366))+(Q128/$R128*100*($E128/366))+(Q129/$R129*100*($E129/366))</f>
        <v>0</v>
      </c>
      <c r="M206" s="409"/>
      <c r="N206" s="379">
        <f t="shared" si="41"/>
        <v>100.00000000000001</v>
      </c>
      <c r="O206" s="379"/>
      <c r="R206" s="1">
        <v>2012</v>
      </c>
      <c r="S206" s="5">
        <f>(O124*($E124/366))+(O125*($E125/366))+(O126*($E126/366))+(O127*($E127/366))+(O128*($E128/366))+(O129*($E129/366))</f>
        <v>1.5950819672131147</v>
      </c>
      <c r="T206" s="5">
        <f>(P124*($E124/366))+(P125*($E125/366))+(P126*($E126/366))+(P127*($E127/366))+(P128*($E128/366))+(P129*($E129/366))</f>
        <v>63.254098360655732</v>
      </c>
      <c r="U206" s="5">
        <f>(Q124*($E124/366))+(Q125*($E125/366))+(Q126*($E126/366))+(Q127*($E127/366))+(Q128*($E128/366))+(Q129*($E129/366))</f>
        <v>0</v>
      </c>
      <c r="V206" s="9"/>
      <c r="W206" s="5">
        <f t="shared" si="42"/>
        <v>64.849180327868851</v>
      </c>
    </row>
    <row r="207" spans="1:23" x14ac:dyDescent="0.15">
      <c r="A207" s="1">
        <v>2013</v>
      </c>
      <c r="B207" s="5">
        <f>(K130*($E130/365))+(K131*($E131/365))</f>
        <v>94.73684210526315</v>
      </c>
      <c r="C207" s="5">
        <f>(L130*($E130/365))+(L131*($E131/365))</f>
        <v>5.2631578947368416</v>
      </c>
      <c r="D207" s="5">
        <f>(M130*($E130/365))+(M131*($E131/365))</f>
        <v>0</v>
      </c>
      <c r="E207" s="18">
        <f t="shared" si="40"/>
        <v>99.999999999999986</v>
      </c>
      <c r="G207" s="1">
        <v>2013</v>
      </c>
      <c r="H207" s="409">
        <f>(O130/$R130*100*($E130/365))+(O131/$R131*100*($E131/365))</f>
        <v>90.412979351032448</v>
      </c>
      <c r="I207" s="409"/>
      <c r="J207" s="409">
        <f>(P130/$R130*100*($E130/365))+(P131/$R131*100*($E131/365))</f>
        <v>9.5870206489675525</v>
      </c>
      <c r="K207" s="409"/>
      <c r="L207" s="409">
        <f>(Q130/$R130*100*($E130/365))+(Q131/$R131*100*($E131/365))</f>
        <v>0</v>
      </c>
      <c r="M207" s="409"/>
      <c r="N207" s="379">
        <f>H207+J207+L207</f>
        <v>100</v>
      </c>
      <c r="O207" s="379"/>
      <c r="R207" s="1">
        <v>2013</v>
      </c>
      <c r="S207" s="5">
        <f>(O130*($E130/365))+(O131*($E131/365))</f>
        <v>61.3</v>
      </c>
      <c r="T207" s="5">
        <f>(P130*($E130/365))+(P131*($E131/365))</f>
        <v>6.5</v>
      </c>
      <c r="U207" s="5">
        <f>(Q130*($E130/365))+(Q131*($E131/365))</f>
        <v>0</v>
      </c>
      <c r="V207" s="9"/>
      <c r="W207" s="5">
        <f t="shared" si="42"/>
        <v>67.8</v>
      </c>
    </row>
    <row r="208" spans="1:23" x14ac:dyDescent="0.15">
      <c r="A208" s="1">
        <v>2014</v>
      </c>
      <c r="B208" s="5">
        <f>(K132*($E132/365))+(K133*($E133/365))</f>
        <v>94.73684210526315</v>
      </c>
      <c r="C208" s="5">
        <f>(L132*($E132/365))+(L133*($E133/365))</f>
        <v>5.2631578947368416</v>
      </c>
      <c r="D208" s="5">
        <f>(M132*($E132/365))+(M133*($E133/365))</f>
        <v>0</v>
      </c>
      <c r="E208" s="18">
        <f>B208+C208+D208</f>
        <v>99.999999999999986</v>
      </c>
      <c r="G208" s="1">
        <v>2014</v>
      </c>
      <c r="H208" s="409">
        <f>(O132/$R132*100*($E132/365))+(O133/$R133*100*($E133/365))</f>
        <v>90.386329508642049</v>
      </c>
      <c r="I208" s="409"/>
      <c r="J208" s="409">
        <f>(P132/$R132*100*($E132/365))+(P133/$R133*100*($E133/365))</f>
        <v>9.6136704913579454</v>
      </c>
      <c r="K208" s="409"/>
      <c r="L208" s="409">
        <f>(Q132/$R132*100*($E132/365))+(Q133/$R133*100*($E133/365))</f>
        <v>0</v>
      </c>
      <c r="M208" s="409"/>
      <c r="N208" s="379">
        <f>H208+J208+L208</f>
        <v>100</v>
      </c>
      <c r="O208" s="379"/>
      <c r="R208" s="1">
        <v>2014</v>
      </c>
      <c r="S208" s="5">
        <f>(O132*($E132/365))+(O133*($E133/365))</f>
        <v>61.295616438356156</v>
      </c>
      <c r="T208" s="5">
        <f>(P132*($E132/365))+(P133*($E133/365))</f>
        <v>6.5197260273972608</v>
      </c>
      <c r="U208" s="5">
        <f>(Q132*($E132/365))+(Q133*($E133/365))</f>
        <v>0</v>
      </c>
      <c r="V208" s="9"/>
      <c r="W208" s="5">
        <f>S208+T208+U208</f>
        <v>67.815342465753417</v>
      </c>
    </row>
    <row r="209" spans="1:23" x14ac:dyDescent="0.15">
      <c r="A209" s="1">
        <v>2015</v>
      </c>
      <c r="B209" s="5">
        <f>(K134*($E134/365))+(K135*($E135/365))</f>
        <v>94.798846431146359</v>
      </c>
      <c r="C209" s="5">
        <f>(L134*($E134/365))+(L135*($E135/365))</f>
        <v>5.2011535688536403</v>
      </c>
      <c r="D209" s="5">
        <f>(M134*($E134/365))+(M135*($E135/365))</f>
        <v>0</v>
      </c>
      <c r="E209" s="18">
        <f>B209+C209+D209</f>
        <v>100</v>
      </c>
      <c r="G209" s="1">
        <v>2015</v>
      </c>
      <c r="H209" s="409">
        <f>(O134/$R134*100*($E134/365))+(O135/$R135*100*($E135/365))</f>
        <v>89.197080291970806</v>
      </c>
      <c r="I209" s="409"/>
      <c r="J209" s="409">
        <f>(P134/$R134*100*($E134/365))+(P135/$R135*100*($E135/365))</f>
        <v>10.802919708029197</v>
      </c>
      <c r="K209" s="409"/>
      <c r="L209" s="409">
        <f>(Q134/$R134*100*($E134/365))+(Q135/$R135*100*($E135/365))</f>
        <v>0</v>
      </c>
      <c r="M209" s="409"/>
      <c r="N209" s="379">
        <f>H209+J209+L209</f>
        <v>100</v>
      </c>
      <c r="O209" s="379"/>
      <c r="R209" s="1">
        <v>2015</v>
      </c>
      <c r="S209" s="5">
        <f>(O134*($E134/365))+(O135*($E135/365))</f>
        <v>61.099999999999994</v>
      </c>
      <c r="T209" s="5">
        <f>(P134*($E134/365))+(P135*($E135/365))</f>
        <v>7.4</v>
      </c>
      <c r="U209" s="5">
        <f>(Q134*($E134/365))+(Q135*($E135/365))</f>
        <v>0</v>
      </c>
      <c r="V209" s="9"/>
      <c r="W209" s="5">
        <f>S209+T209+U209</f>
        <v>68.5</v>
      </c>
    </row>
    <row r="210" spans="1:23" x14ac:dyDescent="0.15">
      <c r="A210" s="1">
        <v>2016</v>
      </c>
      <c r="B210" s="5">
        <f>(K136*($E136/366))+(K137*($E137/366))</f>
        <v>95</v>
      </c>
      <c r="C210" s="5">
        <f>(L136*($E136/366))+(L137*($E137/366))</f>
        <v>5</v>
      </c>
      <c r="D210" s="5">
        <f>(M136*($E136/366))+(M137*($E137/366))</f>
        <v>0</v>
      </c>
      <c r="E210" s="18">
        <f>B210+C210+D210</f>
        <v>100</v>
      </c>
      <c r="G210" s="1">
        <v>2016</v>
      </c>
      <c r="H210" s="409">
        <f>(O136/$R136*100*($E136/366))+(O137/$R137*100*($E137/366))</f>
        <v>89.197080291970806</v>
      </c>
      <c r="I210" s="409"/>
      <c r="J210" s="409">
        <f>(P136/$R136*100*($E136/366))+(P137/$R137*100*($E137/366))</f>
        <v>10.802919708029197</v>
      </c>
      <c r="K210" s="409"/>
      <c r="L210" s="409">
        <f>(Q136/$R136*100*($E136/366))+(Q137/$R137*100*($E137/366))</f>
        <v>0</v>
      </c>
      <c r="M210" s="409"/>
      <c r="N210" s="379">
        <f>H210+J210+L210</f>
        <v>100</v>
      </c>
      <c r="O210" s="379"/>
      <c r="R210" s="1">
        <v>2016</v>
      </c>
      <c r="S210" s="5">
        <f>(O136*($E136/366))+(O137*($E137/366))</f>
        <v>61.1</v>
      </c>
      <c r="T210" s="5">
        <f>(P136*($E136/366))+(P137*($E137/366))</f>
        <v>7.4</v>
      </c>
      <c r="U210" s="5">
        <f>(Q136*($E136/366))+(Q137*($E137/366))</f>
        <v>0</v>
      </c>
      <c r="V210" s="9"/>
      <c r="W210" s="5">
        <f>S210+T210+U210</f>
        <v>68.5</v>
      </c>
    </row>
    <row r="211" spans="1:23" x14ac:dyDescent="0.15">
      <c r="A211" s="1">
        <v>2017</v>
      </c>
      <c r="B211" s="5">
        <f>(K138*($E138/365))+(K139*($E139/365))</f>
        <v>95</v>
      </c>
      <c r="C211" s="5">
        <f t="shared" ref="C211:D211" si="43">(L138*($E138/365))+(L139*($E139/365))</f>
        <v>5</v>
      </c>
      <c r="D211" s="5">
        <f t="shared" si="43"/>
        <v>0</v>
      </c>
      <c r="E211" s="18">
        <f>B211+C211+D211</f>
        <v>100</v>
      </c>
      <c r="G211" s="1">
        <v>2017</v>
      </c>
      <c r="H211" s="409">
        <f>(O138/$R138*100*($E138/365))+(O139/$R139*100*($E139/365))</f>
        <v>89.458290534582915</v>
      </c>
      <c r="I211" s="409"/>
      <c r="J211" s="409">
        <f>(P138/$R138*100*($E138/365))+(P139/$R139*100*($E139/365))</f>
        <v>10.541709465417096</v>
      </c>
      <c r="K211" s="409"/>
      <c r="L211" s="409">
        <f>(Q138/$R138*100*($E138/365))+(Q139/$R139*100*($E139/365))</f>
        <v>0</v>
      </c>
      <c r="M211" s="409"/>
      <c r="N211" s="379">
        <f>H211+J211+L211</f>
        <v>100.00000000000001</v>
      </c>
      <c r="O211" s="379"/>
      <c r="R211" s="1">
        <v>2017</v>
      </c>
      <c r="S211" s="5">
        <f>(O138*($E138/365))+(O139*($E139/365))</f>
        <v>61.066575342465754</v>
      </c>
      <c r="T211" s="5">
        <f t="shared" ref="T211:U211" si="44">(P138*($E138/365))+(P139*($E139/365))</f>
        <v>7.1994520547945209</v>
      </c>
      <c r="U211" s="5">
        <f t="shared" si="44"/>
        <v>0</v>
      </c>
      <c r="V211" s="9"/>
      <c r="W211" s="5">
        <f>S211+T211+U211</f>
        <v>68.266027397260274</v>
      </c>
    </row>
    <row r="212" spans="1:23" x14ac:dyDescent="0.15">
      <c r="A212" s="1">
        <v>2018</v>
      </c>
      <c r="B212" s="5">
        <f>(K140*($E140/365))+(K141*($E141/365))</f>
        <v>95</v>
      </c>
      <c r="C212" s="5">
        <f>(L140*($E140/365))+(L141*($E141/365))</f>
        <v>5</v>
      </c>
      <c r="D212" s="5">
        <f>(M140*($E140/365))+(M141*($E141/365))</f>
        <v>0</v>
      </c>
      <c r="E212" s="18">
        <f t="shared" ref="E212" si="45">B212+C212+D212</f>
        <v>100</v>
      </c>
      <c r="G212" s="1">
        <v>2018</v>
      </c>
      <c r="H212" s="409">
        <f>(O140/$R140*100*($E140/365))+(O141/$R141*100*($E141/365))</f>
        <v>90.760059612518646</v>
      </c>
      <c r="I212" s="409"/>
      <c r="J212" s="409">
        <f>(P140/$R140*100*($E140/365))+(P141/$R141*100*($E141/365))</f>
        <v>9.2399403874813721</v>
      </c>
      <c r="K212" s="409"/>
      <c r="L212" s="409">
        <f>(Q140/$R140*100*($E140/365))+(Q141/$R141*100*($E141/365))</f>
        <v>0</v>
      </c>
      <c r="M212" s="409"/>
      <c r="N212" s="379">
        <f t="shared" ref="N212" si="46">H212+J212+L212</f>
        <v>100.00000000000001</v>
      </c>
      <c r="O212" s="379"/>
      <c r="R212" s="1">
        <v>2018</v>
      </c>
      <c r="S212" s="5">
        <f>(O140*($E140/365))+(O141*($E141/365))</f>
        <v>60.9</v>
      </c>
      <c r="T212" s="5">
        <f>(P140*($E140/365))+(P141*($E141/365))</f>
        <v>6.2</v>
      </c>
      <c r="U212" s="5">
        <f>(Q140*($E140/365))+(Q141*($E141/365))</f>
        <v>0</v>
      </c>
      <c r="V212" s="9"/>
      <c r="W212" s="5">
        <f t="shared" ref="W212" si="47">S212+T212+U212</f>
        <v>67.099999999999994</v>
      </c>
    </row>
    <row r="213" spans="1:23" x14ac:dyDescent="0.15">
      <c r="A213" s="1">
        <v>2019</v>
      </c>
      <c r="B213" s="5">
        <f>(K142*($E142/365))+(K143*($E143/365))</f>
        <v>95</v>
      </c>
      <c r="C213" s="5">
        <f>(L142*($E142/365))+(L143*($E143/365))</f>
        <v>5</v>
      </c>
      <c r="D213" s="5">
        <f>(M142*($E142/365))+(M143*($E143/365))</f>
        <v>0</v>
      </c>
      <c r="E213" s="18">
        <f t="shared" ref="E213:E214" si="48">B213+C213+D213</f>
        <v>100</v>
      </c>
      <c r="G213" s="1">
        <v>2019</v>
      </c>
      <c r="H213" s="409">
        <f>(O142/$R142*100*($E142/365))+(O143/$R143*100*($E143/365))</f>
        <v>90.760059612518646</v>
      </c>
      <c r="I213" s="409"/>
      <c r="J213" s="409">
        <f>(P142/$R142*100*($E142/365))+(P143/$R143*100*($E143/365))</f>
        <v>9.2399403874813721</v>
      </c>
      <c r="K213" s="409"/>
      <c r="L213" s="409">
        <f>(Q142/$R142*100*($E142/365))+(Q143/$R143*100*($E143/365))</f>
        <v>0</v>
      </c>
      <c r="M213" s="409"/>
      <c r="N213" s="379">
        <f t="shared" ref="N213" si="49">H213+J213+L213</f>
        <v>100.00000000000001</v>
      </c>
      <c r="O213" s="379"/>
      <c r="R213" s="1">
        <v>2019</v>
      </c>
      <c r="S213" s="5">
        <f>(O142*($E142/365))+(O143*($E143/365))</f>
        <v>60.9</v>
      </c>
      <c r="T213" s="5">
        <f>(P142*($E142/365))+(P143*($E143/365))</f>
        <v>6.2</v>
      </c>
      <c r="U213" s="5">
        <f>(Q142*($E142/365))+(Q143*($E143/365))</f>
        <v>0</v>
      </c>
      <c r="V213" s="9"/>
      <c r="W213" s="5">
        <f t="shared" ref="W213" si="50">S213+T213+U213</f>
        <v>67.099999999999994</v>
      </c>
    </row>
    <row r="214" spans="1:23" x14ac:dyDescent="0.15">
      <c r="A214" s="1">
        <v>2020</v>
      </c>
      <c r="B214" s="5">
        <f>(K144*($E144/366))+(K145*($E145/366))</f>
        <v>95.069607077803795</v>
      </c>
      <c r="C214" s="5">
        <f>(L144*($E144/366))+(L145*($E145/366))</f>
        <v>4.9303929221962006</v>
      </c>
      <c r="D214" s="5">
        <f>(M144*($E144/366))+(M145*($E145/366))</f>
        <v>0</v>
      </c>
      <c r="E214" s="18">
        <f t="shared" si="48"/>
        <v>100</v>
      </c>
      <c r="G214" s="1">
        <v>2020</v>
      </c>
      <c r="H214" s="409">
        <f>(O144/$R144*100*($E144/366))+(O145/$R145*100*($E145/366))</f>
        <v>90.76005961251866</v>
      </c>
      <c r="I214" s="409"/>
      <c r="J214" s="409">
        <f>(P144/$R144*100*($E144/366))+(P145/$R145*100*($E145/366))</f>
        <v>9.2399403874813721</v>
      </c>
      <c r="K214" s="409"/>
      <c r="L214" s="409">
        <f>(Q144/$R144*100*($E144/366))+(Q145/$R145*100*($E145/366))</f>
        <v>0</v>
      </c>
      <c r="M214" s="409"/>
      <c r="N214" s="379">
        <f t="shared" ref="N214" si="51">H214+J214+L214</f>
        <v>100.00000000000003</v>
      </c>
      <c r="O214" s="379"/>
      <c r="R214" s="1">
        <v>2020</v>
      </c>
      <c r="S214" s="5">
        <f>(O144*($E144/366))+(O145*($E145/366))</f>
        <v>60.9</v>
      </c>
      <c r="T214" s="5">
        <f>(P144*($E144/366))+(P145*($E145/366))</f>
        <v>6.2</v>
      </c>
      <c r="U214" s="5">
        <f>(Q144*($E144/366))+(Q145*($E145/366))</f>
        <v>0</v>
      </c>
      <c r="W214" s="5">
        <f>S214+T214+U214</f>
        <v>67.099999999999994</v>
      </c>
    </row>
  </sheetData>
  <mergeCells count="415">
    <mergeCell ref="H213:I213"/>
    <mergeCell ref="J213:K213"/>
    <mergeCell ref="L213:M213"/>
    <mergeCell ref="N213:O213"/>
    <mergeCell ref="C139:D139"/>
    <mergeCell ref="C146:D146"/>
    <mergeCell ref="C140:D140"/>
    <mergeCell ref="C141:D141"/>
    <mergeCell ref="H211:I211"/>
    <mergeCell ref="J211:K211"/>
    <mergeCell ref="L211:M211"/>
    <mergeCell ref="N211:O211"/>
    <mergeCell ref="H209:I209"/>
    <mergeCell ref="J209:K209"/>
    <mergeCell ref="L209:M209"/>
    <mergeCell ref="N209:O209"/>
    <mergeCell ref="H207:I207"/>
    <mergeCell ref="J207:K207"/>
    <mergeCell ref="L207:M207"/>
    <mergeCell ref="N207:O207"/>
    <mergeCell ref="L153:M153"/>
    <mergeCell ref="N153:O153"/>
    <mergeCell ref="L155:M155"/>
    <mergeCell ref="N155:O155"/>
    <mergeCell ref="C123:D123"/>
    <mergeCell ref="C126:D126"/>
    <mergeCell ref="C133:D133"/>
    <mergeCell ref="C132:D132"/>
    <mergeCell ref="C134:D134"/>
    <mergeCell ref="C135:D135"/>
    <mergeCell ref="C136:D136"/>
    <mergeCell ref="C137:D137"/>
    <mergeCell ref="C138:D138"/>
    <mergeCell ref="C131:D131"/>
    <mergeCell ref="C142:D142"/>
    <mergeCell ref="C143:D143"/>
    <mergeCell ref="C111:D111"/>
    <mergeCell ref="C102:D102"/>
    <mergeCell ref="C103:D103"/>
    <mergeCell ref="C106:D106"/>
    <mergeCell ref="C107:D107"/>
    <mergeCell ref="C104:D104"/>
    <mergeCell ref="C105:D105"/>
    <mergeCell ref="C114:D114"/>
    <mergeCell ref="C130:D130"/>
    <mergeCell ref="C115:D115"/>
    <mergeCell ref="C124:D124"/>
    <mergeCell ref="C125:D125"/>
    <mergeCell ref="C116:D116"/>
    <mergeCell ref="C117:D117"/>
    <mergeCell ref="C108:D108"/>
    <mergeCell ref="C109:D109"/>
    <mergeCell ref="C112:D112"/>
    <mergeCell ref="C113:D113"/>
    <mergeCell ref="C110:D110"/>
    <mergeCell ref="C118:D118"/>
    <mergeCell ref="C119:D119"/>
    <mergeCell ref="C120:D120"/>
    <mergeCell ref="C121:D121"/>
    <mergeCell ref="C122:D122"/>
    <mergeCell ref="C94:D94"/>
    <mergeCell ref="C91:D91"/>
    <mergeCell ref="C92:D92"/>
    <mergeCell ref="C96:D96"/>
    <mergeCell ref="C97:D97"/>
    <mergeCell ref="C100:D100"/>
    <mergeCell ref="C101:D101"/>
    <mergeCell ref="C98:D98"/>
    <mergeCell ref="C99:D99"/>
    <mergeCell ref="C83:D83"/>
    <mergeCell ref="C84:D84"/>
    <mergeCell ref="C87:D87"/>
    <mergeCell ref="C88:D88"/>
    <mergeCell ref="C85:D85"/>
    <mergeCell ref="C86:D86"/>
    <mergeCell ref="C89:D89"/>
    <mergeCell ref="C90:D90"/>
    <mergeCell ref="C93:D93"/>
    <mergeCell ref="C76:D76"/>
    <mergeCell ref="C73:D73"/>
    <mergeCell ref="C74:D74"/>
    <mergeCell ref="C77:D77"/>
    <mergeCell ref="C78:D78"/>
    <mergeCell ref="C81:D81"/>
    <mergeCell ref="C82:D82"/>
    <mergeCell ref="C79:D79"/>
    <mergeCell ref="C80:D80"/>
    <mergeCell ref="C65:D65"/>
    <mergeCell ref="C66:D66"/>
    <mergeCell ref="C69:D69"/>
    <mergeCell ref="C70:D70"/>
    <mergeCell ref="C67:D67"/>
    <mergeCell ref="C68:D68"/>
    <mergeCell ref="C71:D71"/>
    <mergeCell ref="C72:D72"/>
    <mergeCell ref="C75:D75"/>
    <mergeCell ref="C58:D58"/>
    <mergeCell ref="C55:D55"/>
    <mergeCell ref="C56:D56"/>
    <mergeCell ref="C59:D59"/>
    <mergeCell ref="C60:D60"/>
    <mergeCell ref="C63:D63"/>
    <mergeCell ref="C64:D64"/>
    <mergeCell ref="C61:D61"/>
    <mergeCell ref="C62:D62"/>
    <mergeCell ref="C47:D47"/>
    <mergeCell ref="C48:D48"/>
    <mergeCell ref="C51:D51"/>
    <mergeCell ref="C52:D52"/>
    <mergeCell ref="C49:D49"/>
    <mergeCell ref="C50:D50"/>
    <mergeCell ref="C53:D53"/>
    <mergeCell ref="C54:D54"/>
    <mergeCell ref="C57:D57"/>
    <mergeCell ref="C40:D40"/>
    <mergeCell ref="C37:D37"/>
    <mergeCell ref="C38:D38"/>
    <mergeCell ref="C41:D41"/>
    <mergeCell ref="C42:D42"/>
    <mergeCell ref="C45:D45"/>
    <mergeCell ref="C46:D46"/>
    <mergeCell ref="C43:D43"/>
    <mergeCell ref="C44:D44"/>
    <mergeCell ref="C29:D29"/>
    <mergeCell ref="C30:D30"/>
    <mergeCell ref="C33:D33"/>
    <mergeCell ref="C34:D34"/>
    <mergeCell ref="C31:D31"/>
    <mergeCell ref="C32:D32"/>
    <mergeCell ref="C35:D35"/>
    <mergeCell ref="C36:D36"/>
    <mergeCell ref="C39:D39"/>
    <mergeCell ref="AP4:AS4"/>
    <mergeCell ref="C8:D8"/>
    <mergeCell ref="K4:N4"/>
    <mergeCell ref="O4:R4"/>
    <mergeCell ref="S4:S5"/>
    <mergeCell ref="T4:T5"/>
    <mergeCell ref="C11:D11"/>
    <mergeCell ref="C12:D12"/>
    <mergeCell ref="C13:D13"/>
    <mergeCell ref="C7:D7"/>
    <mergeCell ref="C6:D6"/>
    <mergeCell ref="C9:D9"/>
    <mergeCell ref="C10:D10"/>
    <mergeCell ref="AH4:AK4"/>
    <mergeCell ref="AL4:AO4"/>
    <mergeCell ref="U4:U5"/>
    <mergeCell ref="V4:Y4"/>
    <mergeCell ref="AD4:AG4"/>
    <mergeCell ref="A4:A5"/>
    <mergeCell ref="B4:B5"/>
    <mergeCell ref="C4:D5"/>
    <mergeCell ref="E4:E5"/>
    <mergeCell ref="F4:F5"/>
    <mergeCell ref="G4:J4"/>
    <mergeCell ref="C19:D19"/>
    <mergeCell ref="H157:I157"/>
    <mergeCell ref="J157:K157"/>
    <mergeCell ref="C95:D95"/>
    <mergeCell ref="C20:D20"/>
    <mergeCell ref="C14:D14"/>
    <mergeCell ref="C15:D15"/>
    <mergeCell ref="C16:D16"/>
    <mergeCell ref="C17:D17"/>
    <mergeCell ref="C18:D18"/>
    <mergeCell ref="C21:D21"/>
    <mergeCell ref="C22:D22"/>
    <mergeCell ref="C23:D23"/>
    <mergeCell ref="C24:D24"/>
    <mergeCell ref="C27:D27"/>
    <mergeCell ref="C28:D28"/>
    <mergeCell ref="C25:D25"/>
    <mergeCell ref="C26:D26"/>
    <mergeCell ref="G3:M3"/>
    <mergeCell ref="O3:Q3"/>
    <mergeCell ref="N156:O156"/>
    <mergeCell ref="L152:M152"/>
    <mergeCell ref="N152:O152"/>
    <mergeCell ref="H154:I154"/>
    <mergeCell ref="J154:K154"/>
    <mergeCell ref="L154:M154"/>
    <mergeCell ref="N154:O154"/>
    <mergeCell ref="H153:I153"/>
    <mergeCell ref="J153:K153"/>
    <mergeCell ref="H156:I156"/>
    <mergeCell ref="J156:K156"/>
    <mergeCell ref="L156:M156"/>
    <mergeCell ref="H152:I152"/>
    <mergeCell ref="J152:K152"/>
    <mergeCell ref="H155:I155"/>
    <mergeCell ref="J155:K155"/>
    <mergeCell ref="H159:I159"/>
    <mergeCell ref="J159:K159"/>
    <mergeCell ref="L159:M159"/>
    <mergeCell ref="N159:O159"/>
    <mergeCell ref="H160:I160"/>
    <mergeCell ref="J160:K160"/>
    <mergeCell ref="L160:M160"/>
    <mergeCell ref="N160:O160"/>
    <mergeCell ref="L157:M157"/>
    <mergeCell ref="N157:O157"/>
    <mergeCell ref="H158:I158"/>
    <mergeCell ref="J158:K158"/>
    <mergeCell ref="L158:M158"/>
    <mergeCell ref="N158:O158"/>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71:I171"/>
    <mergeCell ref="J171:K171"/>
    <mergeCell ref="L171:M171"/>
    <mergeCell ref="N171:O171"/>
    <mergeCell ref="H172:I172"/>
    <mergeCell ref="J172:K172"/>
    <mergeCell ref="L172:M172"/>
    <mergeCell ref="N172:O172"/>
    <mergeCell ref="H169:I169"/>
    <mergeCell ref="J169:K169"/>
    <mergeCell ref="L169:M169"/>
    <mergeCell ref="N169:O169"/>
    <mergeCell ref="H170:I170"/>
    <mergeCell ref="J170:K170"/>
    <mergeCell ref="L170:M170"/>
    <mergeCell ref="N170:O170"/>
    <mergeCell ref="H180:I180"/>
    <mergeCell ref="H173:I173"/>
    <mergeCell ref="J173:K173"/>
    <mergeCell ref="L173:M173"/>
    <mergeCell ref="N173:O173"/>
    <mergeCell ref="H174:I174"/>
    <mergeCell ref="J174:K174"/>
    <mergeCell ref="L174:M174"/>
    <mergeCell ref="N174:O174"/>
    <mergeCell ref="N175:O175"/>
    <mergeCell ref="H176:I176"/>
    <mergeCell ref="J176:K176"/>
    <mergeCell ref="L176:M176"/>
    <mergeCell ref="N176:O176"/>
    <mergeCell ref="H177:I177"/>
    <mergeCell ref="J177:K177"/>
    <mergeCell ref="L177:M177"/>
    <mergeCell ref="H203:I203"/>
    <mergeCell ref="H175:I175"/>
    <mergeCell ref="J175:K175"/>
    <mergeCell ref="L175:M175"/>
    <mergeCell ref="H178:I178"/>
    <mergeCell ref="J178:K178"/>
    <mergeCell ref="L178:M178"/>
    <mergeCell ref="J203:K203"/>
    <mergeCell ref="N180:O180"/>
    <mergeCell ref="N181:O181"/>
    <mergeCell ref="L181:M181"/>
    <mergeCell ref="N187:O187"/>
    <mergeCell ref="N192:O192"/>
    <mergeCell ref="N190:O190"/>
    <mergeCell ref="L194:M194"/>
    <mergeCell ref="N193:O193"/>
    <mergeCell ref="L201:M201"/>
    <mergeCell ref="L202:M202"/>
    <mergeCell ref="N178:O178"/>
    <mergeCell ref="J180:K180"/>
    <mergeCell ref="L180:M180"/>
    <mergeCell ref="H179:I179"/>
    <mergeCell ref="J179:K179"/>
    <mergeCell ref="L179:M179"/>
    <mergeCell ref="J202:K202"/>
    <mergeCell ref="J199:K199"/>
    <mergeCell ref="J197:K197"/>
    <mergeCell ref="J198:K198"/>
    <mergeCell ref="H202:I202"/>
    <mergeCell ref="H181:I181"/>
    <mergeCell ref="J181:K181"/>
    <mergeCell ref="J189:K189"/>
    <mergeCell ref="J185:K185"/>
    <mergeCell ref="J186:K186"/>
    <mergeCell ref="H193:I193"/>
    <mergeCell ref="H182:I182"/>
    <mergeCell ref="H183:I183"/>
    <mergeCell ref="H184:I184"/>
    <mergeCell ref="H185:I185"/>
    <mergeCell ref="H186:I186"/>
    <mergeCell ref="H192:I192"/>
    <mergeCell ref="H187:I187"/>
    <mergeCell ref="J193:K193"/>
    <mergeCell ref="J194:K194"/>
    <mergeCell ref="J195:K195"/>
    <mergeCell ref="J196:K196"/>
    <mergeCell ref="J187:K187"/>
    <mergeCell ref="J188:K188"/>
    <mergeCell ref="H206:I206"/>
    <mergeCell ref="J206:K206"/>
    <mergeCell ref="J182:K182"/>
    <mergeCell ref="J183:K183"/>
    <mergeCell ref="J184:K184"/>
    <mergeCell ref="J190:K190"/>
    <mergeCell ref="H200:I200"/>
    <mergeCell ref="H201:I201"/>
    <mergeCell ref="H194:I194"/>
    <mergeCell ref="H195:I195"/>
    <mergeCell ref="H196:I196"/>
    <mergeCell ref="H197:I197"/>
    <mergeCell ref="H188:I188"/>
    <mergeCell ref="H189:I189"/>
    <mergeCell ref="H190:I190"/>
    <mergeCell ref="H191:I191"/>
    <mergeCell ref="J191:K191"/>
    <mergeCell ref="J192:K192"/>
    <mergeCell ref="H204:I204"/>
    <mergeCell ref="H198:I198"/>
    <mergeCell ref="H199:I199"/>
    <mergeCell ref="J204:K204"/>
    <mergeCell ref="J200:K200"/>
    <mergeCell ref="J201:K201"/>
    <mergeCell ref="L206:M206"/>
    <mergeCell ref="N206:O206"/>
    <mergeCell ref="C127:D127"/>
    <mergeCell ref="C128:D128"/>
    <mergeCell ref="C129:D129"/>
    <mergeCell ref="R150:W150"/>
    <mergeCell ref="H205:I205"/>
    <mergeCell ref="J205:K205"/>
    <mergeCell ref="L205:M205"/>
    <mergeCell ref="N205:O205"/>
    <mergeCell ref="N203:O203"/>
    <mergeCell ref="N204:O204"/>
    <mergeCell ref="N197:O197"/>
    <mergeCell ref="N198:O198"/>
    <mergeCell ref="N199:O199"/>
    <mergeCell ref="N196:O196"/>
    <mergeCell ref="N185:O185"/>
    <mergeCell ref="N186:O186"/>
    <mergeCell ref="N191:O191"/>
    <mergeCell ref="N188:O188"/>
    <mergeCell ref="N189:O189"/>
    <mergeCell ref="L204:M204"/>
    <mergeCell ref="L198:M198"/>
    <mergeCell ref="L199:M199"/>
    <mergeCell ref="L203:M203"/>
    <mergeCell ref="L200:M200"/>
    <mergeCell ref="AT4:AW4"/>
    <mergeCell ref="AX4:BA4"/>
    <mergeCell ref="N194:O194"/>
    <mergeCell ref="N195:O195"/>
    <mergeCell ref="L188:M188"/>
    <mergeCell ref="L189:M189"/>
    <mergeCell ref="L190:M190"/>
    <mergeCell ref="L191:M191"/>
    <mergeCell ref="L192:M192"/>
    <mergeCell ref="L193:M193"/>
    <mergeCell ref="L182:M182"/>
    <mergeCell ref="L183:M183"/>
    <mergeCell ref="L184:M184"/>
    <mergeCell ref="L185:M185"/>
    <mergeCell ref="L186:M186"/>
    <mergeCell ref="L187:M187"/>
    <mergeCell ref="Z4:AC4"/>
    <mergeCell ref="L195:M195"/>
    <mergeCell ref="L196:M196"/>
    <mergeCell ref="L197:M197"/>
    <mergeCell ref="N177:O177"/>
    <mergeCell ref="N179:O179"/>
    <mergeCell ref="C144:D144"/>
    <mergeCell ref="C145:D145"/>
    <mergeCell ref="H214:I214"/>
    <mergeCell ref="J214:K214"/>
    <mergeCell ref="L214:M214"/>
    <mergeCell ref="N214:O214"/>
    <mergeCell ref="H212:I212"/>
    <mergeCell ref="J212:K212"/>
    <mergeCell ref="L212:M212"/>
    <mergeCell ref="N212:O212"/>
    <mergeCell ref="H210:I210"/>
    <mergeCell ref="J210:K210"/>
    <mergeCell ref="L210:M210"/>
    <mergeCell ref="N210:O210"/>
    <mergeCell ref="N182:O182"/>
    <mergeCell ref="N183:O183"/>
    <mergeCell ref="N184:O184"/>
    <mergeCell ref="H208:I208"/>
    <mergeCell ref="J208:K208"/>
    <mergeCell ref="L208:M208"/>
    <mergeCell ref="N208:O208"/>
    <mergeCell ref="N200:O200"/>
    <mergeCell ref="N201:O201"/>
    <mergeCell ref="N202:O20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A107"/>
  <sheetViews>
    <sheetView zoomScale="125" zoomScaleNormal="120" workbookViewId="0">
      <pane xSplit="1" ySplit="5" topLeftCell="B6" activePane="bottomRight" state="frozen"/>
      <selection pane="topRight" activeCell="B1" sqref="B1"/>
      <selection pane="bottomLeft" activeCell="A6" sqref="A6"/>
      <selection pane="bottomRight" activeCell="AE112" sqref="AE112"/>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141</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1993</v>
      </c>
      <c r="B6" s="295"/>
      <c r="C6" s="421" t="s">
        <v>1263</v>
      </c>
      <c r="D6" s="421"/>
      <c r="E6" s="29">
        <v>214</v>
      </c>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171">
        <v>1993</v>
      </c>
      <c r="B7" s="283">
        <v>34184</v>
      </c>
      <c r="C7" s="410" t="s">
        <v>1021</v>
      </c>
      <c r="D7" s="410"/>
      <c r="E7" s="171">
        <v>151</v>
      </c>
      <c r="F7" s="171" t="s">
        <v>335</v>
      </c>
      <c r="G7" s="233">
        <v>12</v>
      </c>
      <c r="I7" s="171">
        <v>3</v>
      </c>
      <c r="J7" s="241">
        <v>15</v>
      </c>
      <c r="K7" s="214">
        <f t="shared" ref="K7:K47" si="0">G7/J7*100</f>
        <v>80</v>
      </c>
      <c r="L7" s="214">
        <f t="shared" ref="L7:L47" si="1">H7/J7*100</f>
        <v>0</v>
      </c>
      <c r="M7" s="214">
        <f t="shared" ref="M7:M47" si="2">I7/J7*100</f>
        <v>20</v>
      </c>
      <c r="N7" s="235">
        <f t="shared" ref="N7:N51" si="3">SUM(K7:M7)</f>
        <v>100</v>
      </c>
      <c r="O7" s="213">
        <v>36</v>
      </c>
      <c r="P7" s="214"/>
      <c r="Q7" s="214">
        <v>12</v>
      </c>
      <c r="R7" s="215">
        <f t="shared" ref="R7:R51" si="4">SUM(O7:Q7)</f>
        <v>48</v>
      </c>
      <c r="S7" s="171">
        <v>5</v>
      </c>
      <c r="T7" s="285">
        <v>34126</v>
      </c>
      <c r="U7" s="283">
        <v>34184</v>
      </c>
      <c r="V7" s="178" t="s">
        <v>1020</v>
      </c>
      <c r="W7" s="171" t="s">
        <v>22</v>
      </c>
      <c r="X7" s="171" t="s">
        <v>11</v>
      </c>
      <c r="Y7" s="179">
        <v>36</v>
      </c>
      <c r="Z7" s="171" t="s">
        <v>1022</v>
      </c>
      <c r="AA7" s="171" t="s">
        <v>869</v>
      </c>
      <c r="AB7" s="171" t="s">
        <v>12</v>
      </c>
      <c r="AC7" s="171">
        <v>12</v>
      </c>
      <c r="AD7" s="178"/>
      <c r="AG7" s="179"/>
      <c r="AL7" s="178"/>
      <c r="AO7" s="179"/>
      <c r="AP7" s="178"/>
      <c r="AS7" s="179"/>
      <c r="AW7" s="179"/>
      <c r="BA7" s="180"/>
    </row>
    <row r="8" spans="1:53" s="171" customFormat="1" x14ac:dyDescent="0.15">
      <c r="A8" s="171">
        <v>1994</v>
      </c>
      <c r="B8" s="283"/>
      <c r="C8" s="410" t="s">
        <v>1021</v>
      </c>
      <c r="D8" s="410"/>
      <c r="E8" s="171">
        <v>257</v>
      </c>
      <c r="G8" s="233">
        <v>12</v>
      </c>
      <c r="I8" s="171">
        <v>3</v>
      </c>
      <c r="J8" s="241">
        <v>15</v>
      </c>
      <c r="K8" s="214">
        <f t="shared" si="0"/>
        <v>80</v>
      </c>
      <c r="L8" s="214">
        <f t="shared" si="1"/>
        <v>0</v>
      </c>
      <c r="M8" s="214">
        <f t="shared" si="2"/>
        <v>20</v>
      </c>
      <c r="N8" s="235">
        <f t="shared" si="3"/>
        <v>100</v>
      </c>
      <c r="O8" s="213">
        <v>36</v>
      </c>
      <c r="P8" s="214"/>
      <c r="Q8" s="214">
        <v>12</v>
      </c>
      <c r="R8" s="215">
        <f t="shared" si="4"/>
        <v>48</v>
      </c>
      <c r="S8" s="171">
        <v>5</v>
      </c>
      <c r="T8" s="285"/>
      <c r="U8" s="283"/>
      <c r="V8" s="178" t="s">
        <v>1020</v>
      </c>
      <c r="W8" s="171" t="s">
        <v>22</v>
      </c>
      <c r="X8" s="171" t="s">
        <v>11</v>
      </c>
      <c r="Y8" s="179">
        <v>36</v>
      </c>
      <c r="Z8" s="171" t="s">
        <v>1022</v>
      </c>
      <c r="AA8" s="171" t="s">
        <v>869</v>
      </c>
      <c r="AB8" s="171" t="s">
        <v>12</v>
      </c>
      <c r="AC8" s="171">
        <v>12</v>
      </c>
      <c r="AD8" s="178"/>
      <c r="AG8" s="179"/>
      <c r="AL8" s="178"/>
      <c r="AO8" s="179"/>
      <c r="AP8" s="178"/>
      <c r="AS8" s="179"/>
      <c r="AW8" s="179"/>
      <c r="BA8" s="180"/>
    </row>
    <row r="9" spans="1:53" s="29" customFormat="1" x14ac:dyDescent="0.15">
      <c r="A9" s="29">
        <v>1994</v>
      </c>
      <c r="B9" s="295">
        <v>34592</v>
      </c>
      <c r="C9" s="411" t="s">
        <v>1023</v>
      </c>
      <c r="D9" s="411"/>
      <c r="E9" s="29">
        <v>108</v>
      </c>
      <c r="F9" s="29">
        <v>4</v>
      </c>
      <c r="G9" s="66">
        <v>9</v>
      </c>
      <c r="I9" s="29">
        <v>1</v>
      </c>
      <c r="J9" s="73">
        <v>14</v>
      </c>
      <c r="K9" s="47">
        <f t="shared" si="0"/>
        <v>64.285714285714292</v>
      </c>
      <c r="L9" s="47">
        <f t="shared" si="1"/>
        <v>0</v>
      </c>
      <c r="M9" s="47">
        <f t="shared" si="2"/>
        <v>7.1428571428571423</v>
      </c>
      <c r="N9" s="68">
        <f t="shared" si="3"/>
        <v>71.428571428571431</v>
      </c>
      <c r="O9" s="46">
        <v>36</v>
      </c>
      <c r="P9" s="47"/>
      <c r="Q9" s="47"/>
      <c r="R9" s="48">
        <f t="shared" si="4"/>
        <v>36</v>
      </c>
      <c r="S9" s="29">
        <v>5</v>
      </c>
      <c r="T9" s="286"/>
      <c r="U9" s="295">
        <v>34592</v>
      </c>
      <c r="V9" s="38" t="s">
        <v>1020</v>
      </c>
      <c r="W9" s="29" t="s">
        <v>22</v>
      </c>
      <c r="X9" s="29" t="s">
        <v>11</v>
      </c>
      <c r="Y9" s="39">
        <v>36</v>
      </c>
      <c r="Z9" s="29" t="s">
        <v>1024</v>
      </c>
      <c r="AA9" s="29" t="s">
        <v>327</v>
      </c>
      <c r="AB9" s="29" t="s">
        <v>12</v>
      </c>
      <c r="AC9" s="29">
        <v>0</v>
      </c>
      <c r="AD9" s="38"/>
      <c r="AG9" s="39"/>
      <c r="AL9" s="38"/>
      <c r="AO9" s="39"/>
      <c r="AP9" s="38"/>
      <c r="AS9" s="39"/>
      <c r="AW9" s="39"/>
      <c r="BA9" s="40"/>
    </row>
    <row r="10" spans="1:53" s="29" customFormat="1" x14ac:dyDescent="0.15">
      <c r="A10" s="29">
        <v>1995</v>
      </c>
      <c r="B10" s="295"/>
      <c r="C10" s="411" t="s">
        <v>1023</v>
      </c>
      <c r="D10" s="411"/>
      <c r="E10" s="29">
        <v>354</v>
      </c>
      <c r="G10" s="66">
        <v>9</v>
      </c>
      <c r="I10" s="29">
        <v>1</v>
      </c>
      <c r="J10" s="73">
        <v>14</v>
      </c>
      <c r="K10" s="47">
        <f t="shared" si="0"/>
        <v>64.285714285714292</v>
      </c>
      <c r="L10" s="47">
        <f t="shared" si="1"/>
        <v>0</v>
      </c>
      <c r="M10" s="47">
        <f t="shared" si="2"/>
        <v>7.1428571428571423</v>
      </c>
      <c r="N10" s="68">
        <f t="shared" si="3"/>
        <v>71.428571428571431</v>
      </c>
      <c r="O10" s="46">
        <v>36</v>
      </c>
      <c r="P10" s="47"/>
      <c r="Q10" s="47"/>
      <c r="R10" s="48">
        <f t="shared" si="4"/>
        <v>36</v>
      </c>
      <c r="S10" s="29">
        <v>5</v>
      </c>
      <c r="T10" s="286"/>
      <c r="U10" s="295"/>
      <c r="V10" s="38" t="s">
        <v>1020</v>
      </c>
      <c r="W10" s="29" t="s">
        <v>22</v>
      </c>
      <c r="X10" s="29" t="s">
        <v>11</v>
      </c>
      <c r="Y10" s="39">
        <v>36</v>
      </c>
      <c r="Z10" s="29" t="s">
        <v>1024</v>
      </c>
      <c r="AA10" s="29" t="s">
        <v>327</v>
      </c>
      <c r="AB10" s="29" t="s">
        <v>12</v>
      </c>
      <c r="AC10" s="29">
        <v>0</v>
      </c>
      <c r="AD10" s="38"/>
      <c r="AG10" s="39"/>
      <c r="AL10" s="38"/>
      <c r="AO10" s="39"/>
      <c r="AP10" s="38"/>
      <c r="AS10" s="39"/>
      <c r="AW10" s="39"/>
      <c r="BA10" s="40"/>
    </row>
    <row r="11" spans="1:53" s="171" customFormat="1" x14ac:dyDescent="0.15">
      <c r="A11" s="171">
        <v>1995</v>
      </c>
      <c r="B11" s="283">
        <v>35054</v>
      </c>
      <c r="C11" s="410" t="s">
        <v>1115</v>
      </c>
      <c r="D11" s="410"/>
      <c r="E11" s="171">
        <v>11</v>
      </c>
      <c r="F11" s="171">
        <v>1</v>
      </c>
      <c r="G11" s="233">
        <v>9</v>
      </c>
      <c r="H11" s="171">
        <v>1</v>
      </c>
      <c r="I11" s="171">
        <v>5</v>
      </c>
      <c r="J11" s="241">
        <v>16</v>
      </c>
      <c r="K11" s="214">
        <f t="shared" si="0"/>
        <v>56.25</v>
      </c>
      <c r="L11" s="214">
        <f t="shared" si="1"/>
        <v>6.25</v>
      </c>
      <c r="M11" s="214">
        <f t="shared" si="2"/>
        <v>31.25</v>
      </c>
      <c r="N11" s="235">
        <f t="shared" si="3"/>
        <v>93.75</v>
      </c>
      <c r="O11" s="213">
        <v>39</v>
      </c>
      <c r="P11" s="214">
        <v>8</v>
      </c>
      <c r="Q11" s="214">
        <v>26</v>
      </c>
      <c r="R11" s="215">
        <f t="shared" si="4"/>
        <v>73</v>
      </c>
      <c r="S11" s="171">
        <v>3</v>
      </c>
      <c r="T11" s="285">
        <v>34973</v>
      </c>
      <c r="U11" s="283">
        <v>35045</v>
      </c>
      <c r="V11" s="178" t="s">
        <v>973</v>
      </c>
      <c r="W11" s="171" t="s">
        <v>20</v>
      </c>
      <c r="X11" s="171" t="s">
        <v>12</v>
      </c>
      <c r="Y11" s="179">
        <v>18</v>
      </c>
      <c r="Z11" s="178" t="s">
        <v>1020</v>
      </c>
      <c r="AA11" s="171" t="s">
        <v>22</v>
      </c>
      <c r="AB11" s="171" t="s">
        <v>11</v>
      </c>
      <c r="AC11" s="171">
        <v>17</v>
      </c>
      <c r="AD11" s="178" t="s">
        <v>1025</v>
      </c>
      <c r="AE11" s="171" t="s">
        <v>27</v>
      </c>
      <c r="AF11" s="171" t="s">
        <v>11</v>
      </c>
      <c r="AG11" s="179">
        <v>14</v>
      </c>
      <c r="AH11" s="171" t="s">
        <v>1026</v>
      </c>
      <c r="AI11" s="171" t="s">
        <v>294</v>
      </c>
      <c r="AJ11" s="171" t="s">
        <v>11</v>
      </c>
      <c r="AK11" s="171">
        <v>8</v>
      </c>
      <c r="AL11" s="178" t="s">
        <v>1118</v>
      </c>
      <c r="AM11" s="171" t="s">
        <v>115</v>
      </c>
      <c r="AN11" s="171" t="s">
        <v>12</v>
      </c>
      <c r="AO11" s="179">
        <v>8</v>
      </c>
      <c r="AP11" s="178" t="s">
        <v>1121</v>
      </c>
      <c r="AQ11" s="171" t="s">
        <v>74</v>
      </c>
      <c r="AR11" s="171" t="s">
        <v>18</v>
      </c>
      <c r="AS11" s="179">
        <v>8</v>
      </c>
      <c r="AW11" s="179"/>
      <c r="BA11" s="180"/>
    </row>
    <row r="12" spans="1:53" s="171" customFormat="1" x14ac:dyDescent="0.15">
      <c r="A12" s="171">
        <v>1996</v>
      </c>
      <c r="B12" s="283"/>
      <c r="C12" s="410" t="s">
        <v>1115</v>
      </c>
      <c r="D12" s="410"/>
      <c r="E12" s="171">
        <v>0</v>
      </c>
      <c r="G12" s="233">
        <v>9</v>
      </c>
      <c r="H12" s="171">
        <v>1</v>
      </c>
      <c r="I12" s="171">
        <v>5</v>
      </c>
      <c r="J12" s="241">
        <v>16</v>
      </c>
      <c r="K12" s="214">
        <f t="shared" si="0"/>
        <v>56.25</v>
      </c>
      <c r="L12" s="214">
        <f t="shared" si="1"/>
        <v>6.25</v>
      </c>
      <c r="M12" s="214">
        <f t="shared" si="2"/>
        <v>31.25</v>
      </c>
      <c r="N12" s="235">
        <f t="shared" si="3"/>
        <v>93.75</v>
      </c>
      <c r="O12" s="213">
        <v>39</v>
      </c>
      <c r="P12" s="214">
        <v>8</v>
      </c>
      <c r="Q12" s="214">
        <v>26</v>
      </c>
      <c r="R12" s="215">
        <f t="shared" si="4"/>
        <v>73</v>
      </c>
      <c r="S12" s="171">
        <v>3</v>
      </c>
      <c r="T12" s="285"/>
      <c r="U12" s="283"/>
      <c r="V12" s="178" t="s">
        <v>973</v>
      </c>
      <c r="W12" s="171" t="s">
        <v>20</v>
      </c>
      <c r="X12" s="171" t="s">
        <v>12</v>
      </c>
      <c r="Y12" s="179">
        <v>18</v>
      </c>
      <c r="Z12" s="178" t="s">
        <v>1020</v>
      </c>
      <c r="AA12" s="171" t="s">
        <v>22</v>
      </c>
      <c r="AB12" s="171" t="s">
        <v>11</v>
      </c>
      <c r="AC12" s="171">
        <v>17</v>
      </c>
      <c r="AD12" s="178" t="s">
        <v>1025</v>
      </c>
      <c r="AE12" s="171" t="s">
        <v>27</v>
      </c>
      <c r="AF12" s="171" t="s">
        <v>11</v>
      </c>
      <c r="AG12" s="179">
        <v>14</v>
      </c>
      <c r="AH12" s="171" t="s">
        <v>1026</v>
      </c>
      <c r="AI12" s="171" t="s">
        <v>294</v>
      </c>
      <c r="AJ12" s="171" t="s">
        <v>11</v>
      </c>
      <c r="AK12" s="171">
        <v>8</v>
      </c>
      <c r="AL12" s="178" t="s">
        <v>1118</v>
      </c>
      <c r="AM12" s="171" t="s">
        <v>115</v>
      </c>
      <c r="AN12" s="171" t="s">
        <v>12</v>
      </c>
      <c r="AO12" s="179">
        <v>8</v>
      </c>
      <c r="AP12" s="178" t="s">
        <v>1121</v>
      </c>
      <c r="AQ12" s="171" t="s">
        <v>74</v>
      </c>
      <c r="AR12" s="171" t="s">
        <v>18</v>
      </c>
      <c r="AS12" s="179">
        <v>8</v>
      </c>
      <c r="AW12" s="179"/>
      <c r="BA12" s="180"/>
    </row>
    <row r="13" spans="1:53" s="171" customFormat="1" x14ac:dyDescent="0.15">
      <c r="A13" s="171">
        <v>1996</v>
      </c>
      <c r="B13" s="283"/>
      <c r="C13" s="410" t="s">
        <v>1115</v>
      </c>
      <c r="D13" s="410"/>
      <c r="E13" s="171">
        <v>366</v>
      </c>
      <c r="G13" s="233">
        <v>9</v>
      </c>
      <c r="H13" s="171">
        <v>1</v>
      </c>
      <c r="I13" s="171">
        <v>5</v>
      </c>
      <c r="J13" s="241">
        <v>16</v>
      </c>
      <c r="K13" s="214">
        <f t="shared" si="0"/>
        <v>56.25</v>
      </c>
      <c r="L13" s="214">
        <f t="shared" si="1"/>
        <v>6.25</v>
      </c>
      <c r="M13" s="214">
        <f t="shared" si="2"/>
        <v>31.25</v>
      </c>
      <c r="N13" s="235">
        <f t="shared" si="3"/>
        <v>93.75</v>
      </c>
      <c r="O13" s="213">
        <v>39</v>
      </c>
      <c r="P13" s="214">
        <v>8</v>
      </c>
      <c r="Q13" s="214">
        <v>26</v>
      </c>
      <c r="R13" s="215">
        <f t="shared" si="4"/>
        <v>73</v>
      </c>
      <c r="S13" s="171">
        <v>3</v>
      </c>
      <c r="T13" s="285"/>
      <c r="U13" s="283"/>
      <c r="V13" s="178" t="s">
        <v>973</v>
      </c>
      <c r="W13" s="171" t="s">
        <v>20</v>
      </c>
      <c r="X13" s="171" t="s">
        <v>12</v>
      </c>
      <c r="Y13" s="179">
        <v>18</v>
      </c>
      <c r="Z13" s="178" t="s">
        <v>1020</v>
      </c>
      <c r="AA13" s="171" t="s">
        <v>22</v>
      </c>
      <c r="AB13" s="171" t="s">
        <v>11</v>
      </c>
      <c r="AC13" s="171">
        <v>17</v>
      </c>
      <c r="AD13" s="178" t="s">
        <v>1025</v>
      </c>
      <c r="AE13" s="171" t="s">
        <v>27</v>
      </c>
      <c r="AF13" s="171" t="s">
        <v>11</v>
      </c>
      <c r="AG13" s="179">
        <v>14</v>
      </c>
      <c r="AH13" s="171" t="s">
        <v>1026</v>
      </c>
      <c r="AI13" s="171" t="s">
        <v>294</v>
      </c>
      <c r="AJ13" s="171" t="s">
        <v>11</v>
      </c>
      <c r="AK13" s="171">
        <v>8</v>
      </c>
      <c r="AL13" s="178" t="s">
        <v>1118</v>
      </c>
      <c r="AM13" s="171" t="s">
        <v>115</v>
      </c>
      <c r="AN13" s="171" t="s">
        <v>12</v>
      </c>
      <c r="AO13" s="179">
        <v>8</v>
      </c>
      <c r="AP13" s="178" t="s">
        <v>1121</v>
      </c>
      <c r="AQ13" s="171" t="s">
        <v>74</v>
      </c>
      <c r="AR13" s="171" t="s">
        <v>18</v>
      </c>
      <c r="AS13" s="179">
        <v>8</v>
      </c>
      <c r="AW13" s="179"/>
      <c r="BA13" s="180"/>
    </row>
    <row r="14" spans="1:53" s="171" customFormat="1" x14ac:dyDescent="0.15">
      <c r="A14" s="171">
        <v>1997</v>
      </c>
      <c r="B14" s="283"/>
      <c r="C14" s="410" t="s">
        <v>1115</v>
      </c>
      <c r="D14" s="410"/>
      <c r="E14" s="171">
        <v>43</v>
      </c>
      <c r="G14" s="233">
        <v>9</v>
      </c>
      <c r="H14" s="171">
        <v>1</v>
      </c>
      <c r="I14" s="171">
        <v>5</v>
      </c>
      <c r="J14" s="241">
        <v>16</v>
      </c>
      <c r="K14" s="214">
        <f t="shared" si="0"/>
        <v>56.25</v>
      </c>
      <c r="L14" s="214">
        <f t="shared" si="1"/>
        <v>6.25</v>
      </c>
      <c r="M14" s="214">
        <f t="shared" si="2"/>
        <v>31.25</v>
      </c>
      <c r="N14" s="235">
        <f t="shared" si="3"/>
        <v>93.75</v>
      </c>
      <c r="O14" s="213">
        <v>39</v>
      </c>
      <c r="P14" s="214">
        <v>8</v>
      </c>
      <c r="Q14" s="214">
        <v>26</v>
      </c>
      <c r="R14" s="215">
        <f t="shared" si="4"/>
        <v>73</v>
      </c>
      <c r="S14" s="171">
        <v>3</v>
      </c>
      <c r="T14" s="285"/>
      <c r="U14" s="283"/>
      <c r="V14" s="178" t="s">
        <v>973</v>
      </c>
      <c r="W14" s="171" t="s">
        <v>20</v>
      </c>
      <c r="X14" s="171" t="s">
        <v>12</v>
      </c>
      <c r="Y14" s="179">
        <v>18</v>
      </c>
      <c r="Z14" s="178" t="s">
        <v>1020</v>
      </c>
      <c r="AA14" s="171" t="s">
        <v>22</v>
      </c>
      <c r="AB14" s="171" t="s">
        <v>11</v>
      </c>
      <c r="AC14" s="171">
        <v>17</v>
      </c>
      <c r="AD14" s="178" t="s">
        <v>1025</v>
      </c>
      <c r="AE14" s="171" t="s">
        <v>27</v>
      </c>
      <c r="AF14" s="171" t="s">
        <v>11</v>
      </c>
      <c r="AG14" s="179">
        <v>14</v>
      </c>
      <c r="AH14" s="171" t="s">
        <v>1026</v>
      </c>
      <c r="AI14" s="171" t="s">
        <v>294</v>
      </c>
      <c r="AJ14" s="171" t="s">
        <v>11</v>
      </c>
      <c r="AK14" s="171">
        <v>8</v>
      </c>
      <c r="AL14" s="178" t="s">
        <v>1118</v>
      </c>
      <c r="AM14" s="171" t="s">
        <v>115</v>
      </c>
      <c r="AN14" s="171" t="s">
        <v>12</v>
      </c>
      <c r="AO14" s="179">
        <v>8</v>
      </c>
      <c r="AP14" s="178" t="s">
        <v>1121</v>
      </c>
      <c r="AQ14" s="171" t="s">
        <v>74</v>
      </c>
      <c r="AR14" s="171" t="s">
        <v>18</v>
      </c>
      <c r="AS14" s="179">
        <v>8</v>
      </c>
      <c r="AW14" s="179"/>
      <c r="BA14" s="180"/>
    </row>
    <row r="15" spans="1:53" s="29" customFormat="1" x14ac:dyDescent="0.15">
      <c r="A15" s="29">
        <v>1997</v>
      </c>
      <c r="B15" s="295">
        <v>35474</v>
      </c>
      <c r="C15" s="411" t="s">
        <v>1116</v>
      </c>
      <c r="D15" s="411"/>
      <c r="E15" s="29">
        <v>175</v>
      </c>
      <c r="F15" s="29">
        <v>2</v>
      </c>
      <c r="G15" s="66">
        <v>11</v>
      </c>
      <c r="H15" s="29">
        <v>2</v>
      </c>
      <c r="I15" s="29">
        <v>4</v>
      </c>
      <c r="J15" s="73">
        <v>19</v>
      </c>
      <c r="K15" s="47">
        <f t="shared" si="0"/>
        <v>57.894736842105267</v>
      </c>
      <c r="L15" s="47">
        <f t="shared" si="1"/>
        <v>10.526315789473683</v>
      </c>
      <c r="M15" s="47">
        <f t="shared" si="2"/>
        <v>21.052631578947366</v>
      </c>
      <c r="N15" s="68">
        <f t="shared" si="3"/>
        <v>89.473684210526315</v>
      </c>
      <c r="O15" s="46">
        <v>39</v>
      </c>
      <c r="P15" s="47">
        <v>8</v>
      </c>
      <c r="Q15" s="47">
        <v>18</v>
      </c>
      <c r="R15" s="48">
        <f t="shared" si="4"/>
        <v>65</v>
      </c>
      <c r="S15" s="29">
        <v>3</v>
      </c>
      <c r="T15" s="286"/>
      <c r="U15" s="295">
        <v>35474</v>
      </c>
      <c r="V15" s="38" t="s">
        <v>973</v>
      </c>
      <c r="W15" s="29" t="s">
        <v>20</v>
      </c>
      <c r="X15" s="29" t="s">
        <v>12</v>
      </c>
      <c r="Y15" s="39">
        <v>18</v>
      </c>
      <c r="Z15" s="38" t="s">
        <v>1020</v>
      </c>
      <c r="AA15" s="29" t="s">
        <v>22</v>
      </c>
      <c r="AB15" s="29" t="s">
        <v>11</v>
      </c>
      <c r="AC15" s="29">
        <v>17</v>
      </c>
      <c r="AD15" s="38" t="s">
        <v>1025</v>
      </c>
      <c r="AE15" s="29" t="s">
        <v>27</v>
      </c>
      <c r="AF15" s="29" t="s">
        <v>11</v>
      </c>
      <c r="AG15" s="39">
        <v>14</v>
      </c>
      <c r="AH15" s="29" t="s">
        <v>1026</v>
      </c>
      <c r="AI15" s="29" t="s">
        <v>294</v>
      </c>
      <c r="AJ15" s="29" t="s">
        <v>11</v>
      </c>
      <c r="AK15" s="29">
        <v>8</v>
      </c>
      <c r="AL15" s="38" t="s">
        <v>1121</v>
      </c>
      <c r="AM15" s="29" t="s">
        <v>74</v>
      </c>
      <c r="AN15" s="29" t="s">
        <v>18</v>
      </c>
      <c r="AO15" s="39">
        <v>8</v>
      </c>
      <c r="AP15" s="38"/>
      <c r="AS15" s="39"/>
      <c r="AW15" s="39"/>
      <c r="BA15" s="40"/>
    </row>
    <row r="16" spans="1:53" s="171" customFormat="1" x14ac:dyDescent="0.15">
      <c r="A16" s="171">
        <v>1997</v>
      </c>
      <c r="B16" s="283">
        <v>35649</v>
      </c>
      <c r="C16" s="410" t="s">
        <v>1119</v>
      </c>
      <c r="D16" s="410"/>
      <c r="E16" s="171">
        <v>147</v>
      </c>
      <c r="F16" s="171">
        <v>2</v>
      </c>
      <c r="G16" s="233">
        <v>7</v>
      </c>
      <c r="H16" s="171">
        <v>3</v>
      </c>
      <c r="I16" s="171">
        <v>4</v>
      </c>
      <c r="J16" s="241">
        <v>14</v>
      </c>
      <c r="K16" s="214">
        <f t="shared" si="0"/>
        <v>50</v>
      </c>
      <c r="L16" s="214">
        <f t="shared" si="1"/>
        <v>21.428571428571427</v>
      </c>
      <c r="M16" s="214">
        <f t="shared" si="2"/>
        <v>28.571428571428569</v>
      </c>
      <c r="N16" s="235">
        <f t="shared" si="3"/>
        <v>100</v>
      </c>
      <c r="O16" s="213">
        <v>39</v>
      </c>
      <c r="P16" s="214">
        <v>8</v>
      </c>
      <c r="Q16" s="214">
        <v>18</v>
      </c>
      <c r="R16" s="215">
        <f t="shared" si="4"/>
        <v>65</v>
      </c>
      <c r="S16" s="171">
        <v>3</v>
      </c>
      <c r="T16" s="285"/>
      <c r="U16" s="283">
        <v>35649</v>
      </c>
      <c r="V16" s="178" t="s">
        <v>973</v>
      </c>
      <c r="W16" s="171" t="s">
        <v>20</v>
      </c>
      <c r="X16" s="171" t="s">
        <v>12</v>
      </c>
      <c r="Y16" s="179">
        <v>18</v>
      </c>
      <c r="Z16" s="178" t="s">
        <v>1020</v>
      </c>
      <c r="AA16" s="171" t="s">
        <v>22</v>
      </c>
      <c r="AB16" s="171" t="s">
        <v>11</v>
      </c>
      <c r="AC16" s="171">
        <v>17</v>
      </c>
      <c r="AD16" s="178" t="s">
        <v>1025</v>
      </c>
      <c r="AE16" s="171" t="s">
        <v>27</v>
      </c>
      <c r="AF16" s="171" t="s">
        <v>11</v>
      </c>
      <c r="AG16" s="179">
        <v>14</v>
      </c>
      <c r="AH16" s="171" t="s">
        <v>1026</v>
      </c>
      <c r="AI16" s="171" t="s">
        <v>294</v>
      </c>
      <c r="AJ16" s="171" t="s">
        <v>11</v>
      </c>
      <c r="AK16" s="171">
        <v>8</v>
      </c>
      <c r="AL16" s="178" t="s">
        <v>1121</v>
      </c>
      <c r="AM16" s="171" t="s">
        <v>74</v>
      </c>
      <c r="AN16" s="171" t="s">
        <v>18</v>
      </c>
      <c r="AO16" s="179">
        <v>8</v>
      </c>
      <c r="AP16" s="178"/>
      <c r="AS16" s="179"/>
      <c r="AW16" s="179"/>
      <c r="BA16" s="180"/>
    </row>
    <row r="17" spans="1:53" s="171" customFormat="1" x14ac:dyDescent="0.15">
      <c r="A17" s="171">
        <v>1998</v>
      </c>
      <c r="B17" s="283"/>
      <c r="C17" s="410" t="s">
        <v>1119</v>
      </c>
      <c r="D17" s="410"/>
      <c r="E17" s="171">
        <v>97</v>
      </c>
      <c r="G17" s="233">
        <v>7</v>
      </c>
      <c r="H17" s="171">
        <v>3</v>
      </c>
      <c r="I17" s="171">
        <v>4</v>
      </c>
      <c r="J17" s="241">
        <v>14</v>
      </c>
      <c r="K17" s="214">
        <f t="shared" si="0"/>
        <v>50</v>
      </c>
      <c r="L17" s="214">
        <f t="shared" si="1"/>
        <v>21.428571428571427</v>
      </c>
      <c r="M17" s="214">
        <f t="shared" si="2"/>
        <v>28.571428571428569</v>
      </c>
      <c r="N17" s="235">
        <f t="shared" si="3"/>
        <v>100</v>
      </c>
      <c r="O17" s="213">
        <v>39</v>
      </c>
      <c r="P17" s="214">
        <v>8</v>
      </c>
      <c r="Q17" s="214">
        <v>18</v>
      </c>
      <c r="R17" s="215">
        <f t="shared" si="4"/>
        <v>65</v>
      </c>
      <c r="S17" s="171">
        <v>3</v>
      </c>
      <c r="T17" s="285"/>
      <c r="U17" s="283"/>
      <c r="V17" s="178" t="s">
        <v>973</v>
      </c>
      <c r="W17" s="171" t="s">
        <v>20</v>
      </c>
      <c r="X17" s="171" t="s">
        <v>12</v>
      </c>
      <c r="Y17" s="179">
        <v>18</v>
      </c>
      <c r="Z17" s="178" t="s">
        <v>1020</v>
      </c>
      <c r="AA17" s="171" t="s">
        <v>22</v>
      </c>
      <c r="AB17" s="171" t="s">
        <v>11</v>
      </c>
      <c r="AC17" s="171">
        <v>17</v>
      </c>
      <c r="AD17" s="178" t="s">
        <v>1025</v>
      </c>
      <c r="AE17" s="171" t="s">
        <v>27</v>
      </c>
      <c r="AF17" s="171" t="s">
        <v>11</v>
      </c>
      <c r="AG17" s="179">
        <v>14</v>
      </c>
      <c r="AH17" s="171" t="s">
        <v>1026</v>
      </c>
      <c r="AI17" s="171" t="s">
        <v>294</v>
      </c>
      <c r="AJ17" s="171" t="s">
        <v>11</v>
      </c>
      <c r="AK17" s="171">
        <v>8</v>
      </c>
      <c r="AL17" s="178" t="s">
        <v>1121</v>
      </c>
      <c r="AM17" s="171" t="s">
        <v>74</v>
      </c>
      <c r="AN17" s="171" t="s">
        <v>18</v>
      </c>
      <c r="AO17" s="179">
        <v>8</v>
      </c>
      <c r="AP17" s="178"/>
      <c r="AS17" s="179"/>
      <c r="AW17" s="179"/>
      <c r="BA17" s="180"/>
    </row>
    <row r="18" spans="1:53" s="29" customFormat="1" x14ac:dyDescent="0.15">
      <c r="A18" s="29">
        <v>1998</v>
      </c>
      <c r="B18" s="295">
        <v>35893</v>
      </c>
      <c r="C18" s="411" t="s">
        <v>1120</v>
      </c>
      <c r="D18" s="411"/>
      <c r="E18" s="29">
        <v>232</v>
      </c>
      <c r="F18" s="29">
        <v>4</v>
      </c>
      <c r="G18" s="66">
        <v>9</v>
      </c>
      <c r="H18" s="29">
        <v>4</v>
      </c>
      <c r="J18" s="73">
        <v>13</v>
      </c>
      <c r="K18" s="47">
        <f t="shared" si="0"/>
        <v>69.230769230769226</v>
      </c>
      <c r="L18" s="47">
        <f t="shared" si="1"/>
        <v>30.76923076923077</v>
      </c>
      <c r="M18" s="47">
        <f t="shared" ref="M18:M27" si="5">I18/J18*100</f>
        <v>0</v>
      </c>
      <c r="N18" s="68">
        <f t="shared" ref="N18:N27" si="6">SUM(K18:M18)</f>
        <v>100</v>
      </c>
      <c r="O18" s="46">
        <v>39</v>
      </c>
      <c r="P18" s="47">
        <v>8</v>
      </c>
      <c r="Q18" s="47"/>
      <c r="R18" s="48">
        <f t="shared" si="4"/>
        <v>47</v>
      </c>
      <c r="S18" s="29">
        <v>5</v>
      </c>
      <c r="T18" s="286"/>
      <c r="U18" s="295">
        <v>35893</v>
      </c>
      <c r="V18" s="38" t="s">
        <v>1020</v>
      </c>
      <c r="W18" s="29" t="s">
        <v>22</v>
      </c>
      <c r="X18" s="29" t="s">
        <v>11</v>
      </c>
      <c r="Y18" s="39">
        <v>17</v>
      </c>
      <c r="Z18" s="38" t="s">
        <v>1025</v>
      </c>
      <c r="AA18" s="29" t="s">
        <v>27</v>
      </c>
      <c r="AB18" s="29" t="s">
        <v>11</v>
      </c>
      <c r="AC18" s="39">
        <v>14</v>
      </c>
      <c r="AD18" s="38" t="s">
        <v>1026</v>
      </c>
      <c r="AE18" s="29" t="s">
        <v>294</v>
      </c>
      <c r="AF18" s="29" t="s">
        <v>11</v>
      </c>
      <c r="AG18" s="39">
        <v>8</v>
      </c>
      <c r="AH18" s="29" t="s">
        <v>1121</v>
      </c>
      <c r="AI18" s="29" t="s">
        <v>74</v>
      </c>
      <c r="AJ18" s="29" t="s">
        <v>18</v>
      </c>
      <c r="AK18" s="29">
        <v>8</v>
      </c>
      <c r="AL18" s="38"/>
      <c r="AO18" s="39"/>
      <c r="AP18" s="38"/>
      <c r="AS18" s="39"/>
      <c r="AW18" s="39"/>
      <c r="BA18" s="40"/>
    </row>
    <row r="19" spans="1:53" s="171" customFormat="1" x14ac:dyDescent="0.15">
      <c r="A19" s="171">
        <v>1998</v>
      </c>
      <c r="B19" s="283">
        <v>36125</v>
      </c>
      <c r="C19" s="410" t="s">
        <v>1122</v>
      </c>
      <c r="D19" s="410"/>
      <c r="E19" s="171">
        <v>36</v>
      </c>
      <c r="F19" s="171">
        <v>1</v>
      </c>
      <c r="G19" s="233">
        <v>13</v>
      </c>
      <c r="I19" s="171">
        <v>2</v>
      </c>
      <c r="J19" s="241">
        <v>15</v>
      </c>
      <c r="K19" s="214">
        <f t="shared" ref="K19:K27" si="7">G19/J19*100</f>
        <v>86.666666666666671</v>
      </c>
      <c r="L19" s="214">
        <f t="shared" ref="L19:L27" si="8">H19/J19*100</f>
        <v>0</v>
      </c>
      <c r="M19" s="214">
        <f t="shared" si="5"/>
        <v>13.333333333333334</v>
      </c>
      <c r="N19" s="235">
        <f t="shared" si="6"/>
        <v>100</v>
      </c>
      <c r="O19" s="213">
        <v>41</v>
      </c>
      <c r="P19" s="214"/>
      <c r="Q19" s="214">
        <v>8</v>
      </c>
      <c r="R19" s="215">
        <f t="shared" si="4"/>
        <v>49</v>
      </c>
      <c r="S19" s="171">
        <v>5</v>
      </c>
      <c r="T19" s="285">
        <v>36071</v>
      </c>
      <c r="U19" s="283">
        <v>36125</v>
      </c>
      <c r="V19" s="178" t="s">
        <v>1020</v>
      </c>
      <c r="W19" s="171" t="s">
        <v>22</v>
      </c>
      <c r="X19" s="171" t="s">
        <v>11</v>
      </c>
      <c r="Y19" s="179">
        <v>21</v>
      </c>
      <c r="Z19" s="178" t="s">
        <v>1027</v>
      </c>
      <c r="AA19" s="171" t="s">
        <v>852</v>
      </c>
      <c r="AB19" s="171" t="s">
        <v>11</v>
      </c>
      <c r="AC19" s="179">
        <v>17</v>
      </c>
      <c r="AD19" s="171" t="s">
        <v>1028</v>
      </c>
      <c r="AE19" s="171" t="s">
        <v>1029</v>
      </c>
      <c r="AF19" s="171" t="s">
        <v>12</v>
      </c>
      <c r="AG19" s="179">
        <v>8</v>
      </c>
      <c r="AH19" s="253"/>
      <c r="AL19" s="178"/>
      <c r="AO19" s="179"/>
      <c r="AP19" s="178"/>
      <c r="AS19" s="179"/>
      <c r="AW19" s="179"/>
      <c r="BA19" s="180"/>
    </row>
    <row r="20" spans="1:53" s="171" customFormat="1" x14ac:dyDescent="0.15">
      <c r="A20" s="171">
        <v>1999</v>
      </c>
      <c r="B20" s="283"/>
      <c r="C20" s="410" t="s">
        <v>1122</v>
      </c>
      <c r="D20" s="410"/>
      <c r="E20" s="171">
        <v>34</v>
      </c>
      <c r="G20" s="233">
        <v>13</v>
      </c>
      <c r="I20" s="171">
        <v>2</v>
      </c>
      <c r="J20" s="241">
        <v>15</v>
      </c>
      <c r="K20" s="214">
        <f t="shared" si="7"/>
        <v>86.666666666666671</v>
      </c>
      <c r="L20" s="214">
        <f t="shared" si="8"/>
        <v>0</v>
      </c>
      <c r="M20" s="214">
        <f t="shared" si="5"/>
        <v>13.333333333333334</v>
      </c>
      <c r="N20" s="235">
        <f t="shared" si="6"/>
        <v>100</v>
      </c>
      <c r="O20" s="213">
        <v>41</v>
      </c>
      <c r="P20" s="214"/>
      <c r="Q20" s="214">
        <v>8</v>
      </c>
      <c r="R20" s="215">
        <f t="shared" si="4"/>
        <v>49</v>
      </c>
      <c r="S20" s="171">
        <v>5</v>
      </c>
      <c r="T20" s="285"/>
      <c r="U20" s="283"/>
      <c r="V20" s="178" t="s">
        <v>1020</v>
      </c>
      <c r="W20" s="171" t="s">
        <v>22</v>
      </c>
      <c r="X20" s="171" t="s">
        <v>11</v>
      </c>
      <c r="Y20" s="179">
        <v>21</v>
      </c>
      <c r="Z20" s="171" t="s">
        <v>1027</v>
      </c>
      <c r="AA20" s="171" t="s">
        <v>852</v>
      </c>
      <c r="AB20" s="171" t="s">
        <v>11</v>
      </c>
      <c r="AC20" s="171">
        <v>17</v>
      </c>
      <c r="AD20" s="178" t="s">
        <v>1028</v>
      </c>
      <c r="AE20" s="171" t="s">
        <v>1029</v>
      </c>
      <c r="AF20" s="171" t="s">
        <v>12</v>
      </c>
      <c r="AG20" s="179">
        <v>8</v>
      </c>
      <c r="AL20" s="178"/>
      <c r="AO20" s="179"/>
      <c r="AP20" s="178"/>
      <c r="AS20" s="179"/>
      <c r="AW20" s="179"/>
      <c r="BA20" s="180"/>
    </row>
    <row r="21" spans="1:53" s="29" customFormat="1" x14ac:dyDescent="0.15">
      <c r="A21" s="29">
        <v>1999</v>
      </c>
      <c r="B21" s="295">
        <v>36195</v>
      </c>
      <c r="C21" s="411" t="s">
        <v>1123</v>
      </c>
      <c r="D21" s="411"/>
      <c r="E21" s="29">
        <v>162</v>
      </c>
      <c r="F21" s="29">
        <v>2</v>
      </c>
      <c r="G21" s="66">
        <v>12</v>
      </c>
      <c r="I21" s="29">
        <v>3</v>
      </c>
      <c r="J21" s="73">
        <v>15</v>
      </c>
      <c r="K21" s="47">
        <f t="shared" si="7"/>
        <v>80</v>
      </c>
      <c r="L21" s="47">
        <f t="shared" si="8"/>
        <v>0</v>
      </c>
      <c r="M21" s="47">
        <f t="shared" si="5"/>
        <v>20</v>
      </c>
      <c r="N21" s="68">
        <f t="shared" si="6"/>
        <v>100</v>
      </c>
      <c r="O21" s="46">
        <v>41</v>
      </c>
      <c r="P21" s="47"/>
      <c r="Q21" s="47">
        <v>22</v>
      </c>
      <c r="R21" s="48">
        <f t="shared" si="4"/>
        <v>63</v>
      </c>
      <c r="S21" s="29">
        <v>3</v>
      </c>
      <c r="T21" s="286"/>
      <c r="U21" s="295">
        <v>36195</v>
      </c>
      <c r="V21" s="38" t="s">
        <v>1020</v>
      </c>
      <c r="W21" s="29" t="s">
        <v>22</v>
      </c>
      <c r="X21" s="29" t="s">
        <v>11</v>
      </c>
      <c r="Y21" s="39">
        <v>21</v>
      </c>
      <c r="Z21" s="38" t="s">
        <v>1027</v>
      </c>
      <c r="AA21" s="29" t="s">
        <v>852</v>
      </c>
      <c r="AB21" s="29" t="s">
        <v>11</v>
      </c>
      <c r="AC21" s="39">
        <v>17</v>
      </c>
      <c r="AD21" s="29" t="s">
        <v>1028</v>
      </c>
      <c r="AE21" s="29" t="s">
        <v>1029</v>
      </c>
      <c r="AF21" s="29" t="s">
        <v>12</v>
      </c>
      <c r="AG21" s="39">
        <v>8</v>
      </c>
      <c r="AH21" s="29" t="s">
        <v>1030</v>
      </c>
      <c r="AI21" s="29" t="s">
        <v>1031</v>
      </c>
      <c r="AJ21" s="29" t="s">
        <v>12</v>
      </c>
      <c r="AK21" s="29">
        <v>14</v>
      </c>
      <c r="AL21" s="38"/>
      <c r="AO21" s="39"/>
      <c r="AP21" s="38"/>
      <c r="AS21" s="39"/>
      <c r="AW21" s="39"/>
      <c r="BA21" s="40"/>
    </row>
    <row r="22" spans="1:53" s="171" customFormat="1" x14ac:dyDescent="0.15">
      <c r="A22" s="171">
        <v>1999</v>
      </c>
      <c r="B22" s="283">
        <v>36357</v>
      </c>
      <c r="C22" s="410" t="s">
        <v>1117</v>
      </c>
      <c r="D22" s="410"/>
      <c r="E22" s="171">
        <v>169</v>
      </c>
      <c r="F22" s="171">
        <v>2</v>
      </c>
      <c r="G22" s="233">
        <v>13</v>
      </c>
      <c r="J22" s="241">
        <v>13</v>
      </c>
      <c r="K22" s="214">
        <f t="shared" si="7"/>
        <v>100</v>
      </c>
      <c r="L22" s="214">
        <f t="shared" si="8"/>
        <v>0</v>
      </c>
      <c r="M22" s="214">
        <f t="shared" si="5"/>
        <v>0</v>
      </c>
      <c r="N22" s="235">
        <f t="shared" si="6"/>
        <v>100</v>
      </c>
      <c r="O22" s="213">
        <v>62</v>
      </c>
      <c r="P22" s="214"/>
      <c r="Q22" s="214"/>
      <c r="R22" s="215">
        <f t="shared" si="4"/>
        <v>62</v>
      </c>
      <c r="S22" s="171">
        <v>2</v>
      </c>
      <c r="T22" s="285"/>
      <c r="U22" s="283">
        <v>36357</v>
      </c>
      <c r="V22" s="178" t="s">
        <v>1032</v>
      </c>
      <c r="W22" s="171" t="s">
        <v>1050</v>
      </c>
      <c r="X22" s="171" t="s">
        <v>11</v>
      </c>
      <c r="Y22" s="179">
        <v>24</v>
      </c>
      <c r="Z22" s="178" t="s">
        <v>1020</v>
      </c>
      <c r="AA22" s="171" t="s">
        <v>22</v>
      </c>
      <c r="AB22" s="171" t="s">
        <v>11</v>
      </c>
      <c r="AC22" s="179">
        <v>21</v>
      </c>
      <c r="AD22" s="178" t="s">
        <v>1027</v>
      </c>
      <c r="AE22" s="171" t="s">
        <v>852</v>
      </c>
      <c r="AF22" s="171" t="s">
        <v>11</v>
      </c>
      <c r="AG22" s="179">
        <v>17</v>
      </c>
      <c r="AL22" s="178"/>
      <c r="AO22" s="179"/>
      <c r="AP22" s="178"/>
      <c r="AS22" s="179"/>
      <c r="AW22" s="179"/>
      <c r="BA22" s="180"/>
    </row>
    <row r="23" spans="1:53" s="171" customFormat="1" x14ac:dyDescent="0.15">
      <c r="A23" s="171">
        <v>2000</v>
      </c>
      <c r="B23" s="283"/>
      <c r="C23" s="410" t="s">
        <v>1117</v>
      </c>
      <c r="D23" s="410"/>
      <c r="E23" s="171">
        <v>124</v>
      </c>
      <c r="G23" s="233">
        <v>13</v>
      </c>
      <c r="J23" s="241">
        <v>13</v>
      </c>
      <c r="K23" s="214">
        <f t="shared" si="7"/>
        <v>100</v>
      </c>
      <c r="L23" s="214">
        <f t="shared" si="8"/>
        <v>0</v>
      </c>
      <c r="M23" s="214">
        <f t="shared" si="5"/>
        <v>0</v>
      </c>
      <c r="N23" s="235">
        <f t="shared" si="6"/>
        <v>100</v>
      </c>
      <c r="O23" s="213">
        <v>62</v>
      </c>
      <c r="P23" s="214"/>
      <c r="Q23" s="214"/>
      <c r="R23" s="215">
        <f t="shared" si="4"/>
        <v>62</v>
      </c>
      <c r="S23" s="171">
        <v>2</v>
      </c>
      <c r="T23" s="285"/>
      <c r="U23" s="283"/>
      <c r="V23" s="178" t="s">
        <v>1032</v>
      </c>
      <c r="W23" s="171" t="s">
        <v>1050</v>
      </c>
      <c r="X23" s="171" t="s">
        <v>11</v>
      </c>
      <c r="Y23" s="179">
        <v>24</v>
      </c>
      <c r="Z23" s="178" t="s">
        <v>1020</v>
      </c>
      <c r="AA23" s="171" t="s">
        <v>22</v>
      </c>
      <c r="AB23" s="171" t="s">
        <v>11</v>
      </c>
      <c r="AC23" s="171">
        <v>21</v>
      </c>
      <c r="AD23" s="178" t="s">
        <v>1027</v>
      </c>
      <c r="AE23" s="171" t="s">
        <v>852</v>
      </c>
      <c r="AF23" s="171" t="s">
        <v>11</v>
      </c>
      <c r="AG23" s="179">
        <v>17</v>
      </c>
      <c r="AL23" s="178"/>
      <c r="AO23" s="179"/>
      <c r="AP23" s="178"/>
      <c r="AS23" s="179"/>
      <c r="AW23" s="179"/>
      <c r="BA23" s="180"/>
    </row>
    <row r="24" spans="1:53" s="29" customFormat="1" x14ac:dyDescent="0.15">
      <c r="A24" s="29">
        <v>2000</v>
      </c>
      <c r="B24" s="295">
        <v>36650</v>
      </c>
      <c r="C24" s="411" t="s">
        <v>1124</v>
      </c>
      <c r="D24" s="411"/>
      <c r="E24" s="29">
        <v>242</v>
      </c>
      <c r="F24" s="29">
        <v>7</v>
      </c>
      <c r="G24" s="66">
        <v>13</v>
      </c>
      <c r="I24" s="29">
        <v>2</v>
      </c>
      <c r="J24" s="73">
        <v>15</v>
      </c>
      <c r="K24" s="47">
        <f t="shared" si="7"/>
        <v>86.666666666666671</v>
      </c>
      <c r="L24" s="47">
        <f t="shared" si="8"/>
        <v>0</v>
      </c>
      <c r="M24" s="47">
        <f t="shared" si="5"/>
        <v>13.333333333333334</v>
      </c>
      <c r="N24" s="68">
        <f t="shared" si="6"/>
        <v>100</v>
      </c>
      <c r="O24" s="46">
        <v>62</v>
      </c>
      <c r="P24" s="47"/>
      <c r="Q24" s="47">
        <v>8</v>
      </c>
      <c r="R24" s="48">
        <f t="shared" si="4"/>
        <v>70</v>
      </c>
      <c r="S24" s="29">
        <v>3</v>
      </c>
      <c r="T24" s="286"/>
      <c r="U24" s="295">
        <v>36650</v>
      </c>
      <c r="V24" s="38" t="s">
        <v>1032</v>
      </c>
      <c r="W24" s="29" t="s">
        <v>1050</v>
      </c>
      <c r="X24" s="29" t="s">
        <v>11</v>
      </c>
      <c r="Y24" s="39">
        <v>24</v>
      </c>
      <c r="Z24" s="38" t="s">
        <v>1020</v>
      </c>
      <c r="AA24" s="29" t="s">
        <v>22</v>
      </c>
      <c r="AB24" s="29" t="s">
        <v>11</v>
      </c>
      <c r="AC24" s="39">
        <v>21</v>
      </c>
      <c r="AD24" s="38" t="s">
        <v>1027</v>
      </c>
      <c r="AE24" s="29" t="s">
        <v>852</v>
      </c>
      <c r="AF24" s="29" t="s">
        <v>11</v>
      </c>
      <c r="AG24" s="39">
        <v>17</v>
      </c>
      <c r="AH24" s="29" t="s">
        <v>1028</v>
      </c>
      <c r="AI24" s="29" t="s">
        <v>1029</v>
      </c>
      <c r="AJ24" s="29" t="s">
        <v>12</v>
      </c>
      <c r="AK24" s="29">
        <v>8</v>
      </c>
      <c r="AL24" s="38"/>
      <c r="AO24" s="39"/>
      <c r="AP24" s="38"/>
      <c r="AS24" s="39"/>
      <c r="AW24" s="39"/>
      <c r="BA24" s="40"/>
    </row>
    <row r="25" spans="1:53" s="29" customFormat="1" x14ac:dyDescent="0.15">
      <c r="A25" s="29">
        <v>2001</v>
      </c>
      <c r="B25" s="295"/>
      <c r="C25" s="411" t="s">
        <v>1124</v>
      </c>
      <c r="D25" s="411"/>
      <c r="E25" s="29">
        <v>0</v>
      </c>
      <c r="G25" s="66">
        <v>13</v>
      </c>
      <c r="I25" s="29">
        <v>2</v>
      </c>
      <c r="J25" s="73">
        <v>15</v>
      </c>
      <c r="K25" s="47">
        <f t="shared" si="7"/>
        <v>86.666666666666671</v>
      </c>
      <c r="L25" s="47">
        <f t="shared" si="8"/>
        <v>0</v>
      </c>
      <c r="M25" s="47">
        <f t="shared" si="5"/>
        <v>13.333333333333334</v>
      </c>
      <c r="N25" s="68">
        <f t="shared" si="6"/>
        <v>100</v>
      </c>
      <c r="O25" s="46">
        <v>62</v>
      </c>
      <c r="P25" s="47"/>
      <c r="Q25" s="47">
        <v>8</v>
      </c>
      <c r="R25" s="48">
        <f t="shared" si="4"/>
        <v>70</v>
      </c>
      <c r="S25" s="29">
        <v>3</v>
      </c>
      <c r="T25" s="286"/>
      <c r="U25" s="295"/>
      <c r="V25" s="38" t="s">
        <v>1032</v>
      </c>
      <c r="W25" s="29" t="s">
        <v>1050</v>
      </c>
      <c r="X25" s="29" t="s">
        <v>11</v>
      </c>
      <c r="Y25" s="39">
        <v>24</v>
      </c>
      <c r="Z25" s="38" t="s">
        <v>1020</v>
      </c>
      <c r="AA25" s="29" t="s">
        <v>22</v>
      </c>
      <c r="AB25" s="29" t="s">
        <v>11</v>
      </c>
      <c r="AC25" s="39">
        <v>21</v>
      </c>
      <c r="AD25" s="38" t="s">
        <v>1027</v>
      </c>
      <c r="AE25" s="29" t="s">
        <v>852</v>
      </c>
      <c r="AF25" s="29" t="s">
        <v>11</v>
      </c>
      <c r="AG25" s="39">
        <v>17</v>
      </c>
      <c r="AH25" s="29" t="s">
        <v>1028</v>
      </c>
      <c r="AI25" s="29" t="s">
        <v>1029</v>
      </c>
      <c r="AJ25" s="29" t="s">
        <v>12</v>
      </c>
      <c r="AK25" s="29">
        <v>8</v>
      </c>
      <c r="AL25" s="38"/>
      <c r="AO25" s="39"/>
      <c r="AP25" s="38"/>
      <c r="AS25" s="39"/>
      <c r="AW25" s="39"/>
      <c r="BA25" s="40"/>
    </row>
    <row r="26" spans="1:53" s="29" customFormat="1" x14ac:dyDescent="0.15">
      <c r="A26" s="29">
        <v>2001</v>
      </c>
      <c r="B26" s="295"/>
      <c r="C26" s="411" t="s">
        <v>1124</v>
      </c>
      <c r="D26" s="411"/>
      <c r="E26" s="29">
        <v>365</v>
      </c>
      <c r="G26" s="66">
        <v>13</v>
      </c>
      <c r="I26" s="29">
        <v>2</v>
      </c>
      <c r="J26" s="73">
        <v>15</v>
      </c>
      <c r="K26" s="47">
        <f t="shared" si="7"/>
        <v>86.666666666666671</v>
      </c>
      <c r="L26" s="47">
        <f t="shared" si="8"/>
        <v>0</v>
      </c>
      <c r="M26" s="47">
        <f t="shared" si="5"/>
        <v>13.333333333333334</v>
      </c>
      <c r="N26" s="68">
        <f t="shared" si="6"/>
        <v>100</v>
      </c>
      <c r="O26" s="46">
        <v>62</v>
      </c>
      <c r="P26" s="47"/>
      <c r="Q26" s="47">
        <v>8</v>
      </c>
      <c r="R26" s="48">
        <f t="shared" si="4"/>
        <v>70</v>
      </c>
      <c r="S26" s="29">
        <v>3</v>
      </c>
      <c r="T26" s="286"/>
      <c r="U26" s="295"/>
      <c r="V26" s="38" t="s">
        <v>1032</v>
      </c>
      <c r="W26" s="29" t="s">
        <v>1050</v>
      </c>
      <c r="X26" s="29" t="s">
        <v>11</v>
      </c>
      <c r="Y26" s="39">
        <v>24</v>
      </c>
      <c r="Z26" s="38" t="s">
        <v>1020</v>
      </c>
      <c r="AA26" s="29" t="s">
        <v>22</v>
      </c>
      <c r="AB26" s="29" t="s">
        <v>11</v>
      </c>
      <c r="AC26" s="29">
        <v>21</v>
      </c>
      <c r="AD26" s="38" t="s">
        <v>1027</v>
      </c>
      <c r="AE26" s="29" t="s">
        <v>852</v>
      </c>
      <c r="AF26" s="29" t="s">
        <v>11</v>
      </c>
      <c r="AG26" s="39">
        <v>17</v>
      </c>
      <c r="AH26" s="29" t="s">
        <v>1028</v>
      </c>
      <c r="AI26" s="29" t="s">
        <v>1029</v>
      </c>
      <c r="AJ26" s="29" t="s">
        <v>12</v>
      </c>
      <c r="AK26" s="29">
        <v>8</v>
      </c>
      <c r="AL26" s="38"/>
      <c r="AO26" s="39"/>
      <c r="AP26" s="38"/>
      <c r="AS26" s="39"/>
      <c r="AW26" s="39"/>
      <c r="BA26" s="40"/>
    </row>
    <row r="27" spans="1:53" s="29" customFormat="1" x14ac:dyDescent="0.15">
      <c r="A27" s="29">
        <v>2002</v>
      </c>
      <c r="B27" s="295"/>
      <c r="C27" s="411" t="s">
        <v>1124</v>
      </c>
      <c r="D27" s="411"/>
      <c r="E27" s="29">
        <v>308</v>
      </c>
      <c r="G27" s="66">
        <v>13</v>
      </c>
      <c r="I27" s="29">
        <v>2</v>
      </c>
      <c r="J27" s="73">
        <v>15</v>
      </c>
      <c r="K27" s="47">
        <f t="shared" si="7"/>
        <v>86.666666666666671</v>
      </c>
      <c r="L27" s="47">
        <f t="shared" si="8"/>
        <v>0</v>
      </c>
      <c r="M27" s="47">
        <f t="shared" si="5"/>
        <v>13.333333333333334</v>
      </c>
      <c r="N27" s="68">
        <f t="shared" si="6"/>
        <v>100</v>
      </c>
      <c r="O27" s="46">
        <v>62</v>
      </c>
      <c r="P27" s="47"/>
      <c r="Q27" s="47">
        <v>8</v>
      </c>
      <c r="R27" s="48">
        <f t="shared" si="4"/>
        <v>70</v>
      </c>
      <c r="S27" s="29">
        <v>3</v>
      </c>
      <c r="T27" s="286"/>
      <c r="U27" s="295"/>
      <c r="V27" s="38" t="s">
        <v>1032</v>
      </c>
      <c r="W27" s="29" t="s">
        <v>1050</v>
      </c>
      <c r="X27" s="29" t="s">
        <v>11</v>
      </c>
      <c r="Y27" s="39">
        <v>24</v>
      </c>
      <c r="Z27" s="38" t="s">
        <v>1020</v>
      </c>
      <c r="AA27" s="29" t="s">
        <v>22</v>
      </c>
      <c r="AB27" s="29" t="s">
        <v>11</v>
      </c>
      <c r="AC27" s="39">
        <v>21</v>
      </c>
      <c r="AD27" s="38" t="s">
        <v>1027</v>
      </c>
      <c r="AE27" s="29" t="s">
        <v>852</v>
      </c>
      <c r="AF27" s="29" t="s">
        <v>11</v>
      </c>
      <c r="AG27" s="39">
        <v>17</v>
      </c>
      <c r="AH27" s="29" t="s">
        <v>1028</v>
      </c>
      <c r="AI27" s="29" t="s">
        <v>1029</v>
      </c>
      <c r="AJ27" s="29" t="s">
        <v>12</v>
      </c>
      <c r="AK27" s="29">
        <v>8</v>
      </c>
      <c r="AL27" s="38"/>
      <c r="AO27" s="39"/>
      <c r="AP27" s="38"/>
      <c r="AS27" s="39"/>
      <c r="AW27" s="39"/>
      <c r="BA27" s="40"/>
    </row>
    <row r="28" spans="1:53" s="171" customFormat="1" x14ac:dyDescent="0.15">
      <c r="A28" s="171">
        <v>2002</v>
      </c>
      <c r="B28" s="283">
        <v>37565</v>
      </c>
      <c r="C28" s="410" t="s">
        <v>1125</v>
      </c>
      <c r="D28" s="410"/>
      <c r="E28" s="171">
        <v>57</v>
      </c>
      <c r="F28" s="171">
        <v>1</v>
      </c>
      <c r="G28" s="233">
        <v>11</v>
      </c>
      <c r="H28" s="171">
        <v>7</v>
      </c>
      <c r="J28" s="241">
        <v>18</v>
      </c>
      <c r="K28" s="214">
        <f t="shared" si="0"/>
        <v>61.111111111111114</v>
      </c>
      <c r="L28" s="214">
        <f t="shared" si="1"/>
        <v>38.888888888888893</v>
      </c>
      <c r="M28" s="214">
        <f t="shared" si="2"/>
        <v>0</v>
      </c>
      <c r="N28" s="235">
        <f t="shared" si="3"/>
        <v>100</v>
      </c>
      <c r="O28" s="213">
        <v>33</v>
      </c>
      <c r="P28" s="214">
        <v>22</v>
      </c>
      <c r="Q28" s="214"/>
      <c r="R28" s="215">
        <f t="shared" si="4"/>
        <v>55</v>
      </c>
      <c r="S28" s="171">
        <v>2</v>
      </c>
      <c r="T28" s="285">
        <v>37534</v>
      </c>
      <c r="U28" s="283">
        <v>37565</v>
      </c>
      <c r="V28" s="178" t="s">
        <v>1033</v>
      </c>
      <c r="W28" s="171" t="s">
        <v>87</v>
      </c>
      <c r="X28" s="171" t="s">
        <v>11</v>
      </c>
      <c r="Y28" s="179">
        <v>26</v>
      </c>
      <c r="Z28" s="171" t="s">
        <v>1034</v>
      </c>
      <c r="AA28" s="171" t="s">
        <v>932</v>
      </c>
      <c r="AB28" s="171" t="s">
        <v>18</v>
      </c>
      <c r="AC28" s="171">
        <v>12</v>
      </c>
      <c r="AD28" s="178" t="s">
        <v>1027</v>
      </c>
      <c r="AE28" s="171" t="s">
        <v>852</v>
      </c>
      <c r="AF28" s="171" t="s">
        <v>11</v>
      </c>
      <c r="AG28" s="179">
        <v>7</v>
      </c>
      <c r="AH28" s="171" t="s">
        <v>1035</v>
      </c>
      <c r="AI28" s="171" t="s">
        <v>81</v>
      </c>
      <c r="AJ28" s="171" t="s">
        <v>18</v>
      </c>
      <c r="AK28" s="171">
        <v>10</v>
      </c>
      <c r="AL28" s="178"/>
      <c r="AO28" s="179"/>
      <c r="AP28" s="178"/>
      <c r="AS28" s="179"/>
      <c r="AW28" s="179"/>
      <c r="BA28" s="180"/>
    </row>
    <row r="29" spans="1:53" s="171" customFormat="1" x14ac:dyDescent="0.15">
      <c r="A29" s="171">
        <v>2003</v>
      </c>
      <c r="B29" s="306"/>
      <c r="C29" s="410" t="s">
        <v>1125</v>
      </c>
      <c r="D29" s="410"/>
      <c r="E29" s="171">
        <v>0</v>
      </c>
      <c r="G29" s="233">
        <v>11</v>
      </c>
      <c r="H29" s="171">
        <v>7</v>
      </c>
      <c r="J29" s="241">
        <v>18</v>
      </c>
      <c r="K29" s="214">
        <f t="shared" si="0"/>
        <v>61.111111111111114</v>
      </c>
      <c r="L29" s="214">
        <f t="shared" si="1"/>
        <v>38.888888888888893</v>
      </c>
      <c r="M29" s="214">
        <f t="shared" si="2"/>
        <v>0</v>
      </c>
      <c r="N29" s="235">
        <f t="shared" si="3"/>
        <v>100</v>
      </c>
      <c r="O29" s="213">
        <v>33</v>
      </c>
      <c r="P29" s="214">
        <v>22</v>
      </c>
      <c r="Q29" s="214"/>
      <c r="R29" s="215">
        <f t="shared" si="4"/>
        <v>55</v>
      </c>
      <c r="S29" s="171">
        <v>2</v>
      </c>
      <c r="T29" s="285"/>
      <c r="U29" s="283"/>
      <c r="V29" s="178" t="s">
        <v>1033</v>
      </c>
      <c r="W29" s="171" t="s">
        <v>87</v>
      </c>
      <c r="X29" s="171" t="s">
        <v>11</v>
      </c>
      <c r="Y29" s="179">
        <v>26</v>
      </c>
      <c r="Z29" s="171" t="s">
        <v>1034</v>
      </c>
      <c r="AA29" s="171" t="s">
        <v>932</v>
      </c>
      <c r="AB29" s="171" t="s">
        <v>18</v>
      </c>
      <c r="AC29" s="171">
        <v>12</v>
      </c>
      <c r="AD29" s="178" t="s">
        <v>1027</v>
      </c>
      <c r="AE29" s="171" t="s">
        <v>852</v>
      </c>
      <c r="AF29" s="171" t="s">
        <v>11</v>
      </c>
      <c r="AG29" s="179">
        <v>7</v>
      </c>
      <c r="AH29" s="171" t="s">
        <v>1035</v>
      </c>
      <c r="AI29" s="171" t="s">
        <v>81</v>
      </c>
      <c r="AJ29" s="171" t="s">
        <v>18</v>
      </c>
      <c r="AK29" s="171">
        <v>10</v>
      </c>
      <c r="AL29" s="178"/>
      <c r="AO29" s="179"/>
      <c r="AP29" s="178"/>
      <c r="AS29" s="179"/>
      <c r="AW29" s="179"/>
      <c r="BA29" s="180"/>
    </row>
    <row r="30" spans="1:53" s="171" customFormat="1" x14ac:dyDescent="0.15">
      <c r="A30" s="171">
        <v>2003</v>
      </c>
      <c r="B30" s="306"/>
      <c r="C30" s="410" t="s">
        <v>1125</v>
      </c>
      <c r="D30" s="410"/>
      <c r="E30" s="171">
        <v>365</v>
      </c>
      <c r="G30" s="233">
        <v>11</v>
      </c>
      <c r="H30" s="171">
        <v>7</v>
      </c>
      <c r="J30" s="241">
        <v>18</v>
      </c>
      <c r="K30" s="214">
        <f t="shared" si="0"/>
        <v>61.111111111111114</v>
      </c>
      <c r="L30" s="214">
        <f t="shared" si="1"/>
        <v>38.888888888888893</v>
      </c>
      <c r="M30" s="214">
        <f t="shared" si="2"/>
        <v>0</v>
      </c>
      <c r="N30" s="235">
        <f t="shared" si="3"/>
        <v>100</v>
      </c>
      <c r="O30" s="213">
        <v>33</v>
      </c>
      <c r="P30" s="214">
        <v>22</v>
      </c>
      <c r="Q30" s="214"/>
      <c r="R30" s="215">
        <f t="shared" si="4"/>
        <v>55</v>
      </c>
      <c r="S30" s="171">
        <v>2</v>
      </c>
      <c r="T30" s="285"/>
      <c r="U30" s="283"/>
      <c r="V30" s="178" t="s">
        <v>1033</v>
      </c>
      <c r="W30" s="171" t="s">
        <v>87</v>
      </c>
      <c r="X30" s="171" t="s">
        <v>11</v>
      </c>
      <c r="Y30" s="179">
        <v>26</v>
      </c>
      <c r="Z30" s="171" t="s">
        <v>1034</v>
      </c>
      <c r="AA30" s="171" t="s">
        <v>932</v>
      </c>
      <c r="AB30" s="171" t="s">
        <v>18</v>
      </c>
      <c r="AC30" s="171">
        <v>12</v>
      </c>
      <c r="AD30" s="178" t="s">
        <v>1027</v>
      </c>
      <c r="AE30" s="171" t="s">
        <v>852</v>
      </c>
      <c r="AF30" s="171" t="s">
        <v>11</v>
      </c>
      <c r="AG30" s="179">
        <v>7</v>
      </c>
      <c r="AH30" s="171" t="s">
        <v>1035</v>
      </c>
      <c r="AI30" s="171" t="s">
        <v>81</v>
      </c>
      <c r="AJ30" s="171" t="s">
        <v>18</v>
      </c>
      <c r="AK30" s="171">
        <v>10</v>
      </c>
      <c r="AL30" s="178"/>
      <c r="AO30" s="179"/>
      <c r="AP30" s="178"/>
      <c r="AS30" s="179"/>
      <c r="AW30" s="179"/>
      <c r="BA30" s="180"/>
    </row>
    <row r="31" spans="1:53" s="171" customFormat="1" x14ac:dyDescent="0.15">
      <c r="A31" s="171">
        <v>2004</v>
      </c>
      <c r="B31" s="306"/>
      <c r="C31" s="410" t="s">
        <v>1125</v>
      </c>
      <c r="D31" s="410"/>
      <c r="E31" s="171">
        <v>68</v>
      </c>
      <c r="G31" s="233">
        <v>11</v>
      </c>
      <c r="H31" s="171">
        <v>7</v>
      </c>
      <c r="J31" s="241">
        <v>18</v>
      </c>
      <c r="K31" s="214">
        <f>G31/J31*100</f>
        <v>61.111111111111114</v>
      </c>
      <c r="L31" s="214">
        <f>H31/J31*100</f>
        <v>38.888888888888893</v>
      </c>
      <c r="M31" s="214">
        <f>I31/J31*100</f>
        <v>0</v>
      </c>
      <c r="N31" s="235">
        <f t="shared" si="3"/>
        <v>100</v>
      </c>
      <c r="O31" s="213">
        <v>33</v>
      </c>
      <c r="P31" s="214">
        <v>22</v>
      </c>
      <c r="Q31" s="214"/>
      <c r="R31" s="215">
        <f t="shared" si="4"/>
        <v>55</v>
      </c>
      <c r="S31" s="171">
        <v>2</v>
      </c>
      <c r="T31" s="285"/>
      <c r="U31" s="283"/>
      <c r="V31" s="178" t="s">
        <v>1033</v>
      </c>
      <c r="W31" s="171" t="s">
        <v>87</v>
      </c>
      <c r="X31" s="171" t="s">
        <v>11</v>
      </c>
      <c r="Y31" s="179">
        <v>26</v>
      </c>
      <c r="Z31" s="171" t="s">
        <v>1034</v>
      </c>
      <c r="AA31" s="171" t="s">
        <v>932</v>
      </c>
      <c r="AB31" s="171" t="s">
        <v>18</v>
      </c>
      <c r="AC31" s="171">
        <v>12</v>
      </c>
      <c r="AD31" s="178" t="s">
        <v>1027</v>
      </c>
      <c r="AE31" s="171" t="s">
        <v>852</v>
      </c>
      <c r="AF31" s="171" t="s">
        <v>11</v>
      </c>
      <c r="AG31" s="179">
        <v>7</v>
      </c>
      <c r="AH31" s="171" t="s">
        <v>1035</v>
      </c>
      <c r="AI31" s="171" t="s">
        <v>81</v>
      </c>
      <c r="AJ31" s="171" t="s">
        <v>18</v>
      </c>
      <c r="AK31" s="171">
        <v>10</v>
      </c>
      <c r="AL31" s="178"/>
      <c r="AO31" s="179"/>
      <c r="AP31" s="178"/>
      <c r="AS31" s="179"/>
      <c r="AW31" s="179"/>
      <c r="BA31" s="180"/>
    </row>
    <row r="32" spans="1:53" s="29" customFormat="1" x14ac:dyDescent="0.15">
      <c r="A32" s="29">
        <v>2004</v>
      </c>
      <c r="B32" s="277">
        <v>38055</v>
      </c>
      <c r="C32" s="411" t="s">
        <v>1036</v>
      </c>
      <c r="D32" s="411"/>
      <c r="E32" s="29">
        <v>268</v>
      </c>
      <c r="F32" s="29">
        <v>2</v>
      </c>
      <c r="G32" s="66">
        <v>5</v>
      </c>
      <c r="H32" s="29">
        <v>11</v>
      </c>
      <c r="J32" s="73">
        <v>18</v>
      </c>
      <c r="K32" s="47">
        <f t="shared" si="0"/>
        <v>27.777777777777779</v>
      </c>
      <c r="L32" s="47">
        <f t="shared" si="1"/>
        <v>61.111111111111114</v>
      </c>
      <c r="M32" s="47">
        <f t="shared" si="2"/>
        <v>0</v>
      </c>
      <c r="N32" s="68">
        <f t="shared" si="3"/>
        <v>88.888888888888886</v>
      </c>
      <c r="O32" s="46">
        <v>20</v>
      </c>
      <c r="P32" s="47">
        <v>22</v>
      </c>
      <c r="Q32" s="47"/>
      <c r="R32" s="48">
        <f t="shared" si="4"/>
        <v>42</v>
      </c>
      <c r="S32" s="29">
        <v>5</v>
      </c>
      <c r="T32" s="286"/>
      <c r="U32" s="277">
        <v>38055</v>
      </c>
      <c r="V32" s="38" t="s">
        <v>1032</v>
      </c>
      <c r="W32" s="29" t="s">
        <v>1050</v>
      </c>
      <c r="X32" s="29" t="s">
        <v>11</v>
      </c>
      <c r="Y32" s="39">
        <v>20</v>
      </c>
      <c r="Z32" s="29" t="s">
        <v>1034</v>
      </c>
      <c r="AA32" s="29" t="s">
        <v>932</v>
      </c>
      <c r="AB32" s="29" t="s">
        <v>18</v>
      </c>
      <c r="AC32" s="29">
        <v>12</v>
      </c>
      <c r="AD32" s="38" t="s">
        <v>1035</v>
      </c>
      <c r="AE32" s="29" t="s">
        <v>81</v>
      </c>
      <c r="AF32" s="29" t="s">
        <v>18</v>
      </c>
      <c r="AG32" s="39">
        <v>10</v>
      </c>
      <c r="AL32" s="38"/>
      <c r="AO32" s="39"/>
      <c r="AP32" s="38"/>
      <c r="AS32" s="39"/>
      <c r="AW32" s="39"/>
      <c r="BA32" s="40"/>
    </row>
    <row r="33" spans="1:53" s="171" customFormat="1" x14ac:dyDescent="0.15">
      <c r="A33" s="171">
        <v>2004</v>
      </c>
      <c r="B33" s="306">
        <v>38323</v>
      </c>
      <c r="C33" s="410" t="s">
        <v>1126</v>
      </c>
      <c r="D33" s="410"/>
      <c r="E33" s="171">
        <v>30</v>
      </c>
      <c r="F33" s="171">
        <v>7</v>
      </c>
      <c r="G33" s="233">
        <v>12</v>
      </c>
      <c r="H33" s="171">
        <v>6</v>
      </c>
      <c r="J33" s="241">
        <v>18</v>
      </c>
      <c r="K33" s="214">
        <f t="shared" si="0"/>
        <v>66.666666666666657</v>
      </c>
      <c r="L33" s="214">
        <f t="shared" si="1"/>
        <v>33.333333333333329</v>
      </c>
      <c r="M33" s="214">
        <f t="shared" si="2"/>
        <v>0</v>
      </c>
      <c r="N33" s="235">
        <f t="shared" si="3"/>
        <v>99.999999999999986</v>
      </c>
      <c r="O33" s="213">
        <v>46</v>
      </c>
      <c r="P33" s="214">
        <v>22</v>
      </c>
      <c r="Q33" s="214"/>
      <c r="R33" s="215">
        <f t="shared" si="4"/>
        <v>68</v>
      </c>
      <c r="S33" s="171">
        <v>3</v>
      </c>
      <c r="T33" s="285"/>
      <c r="U33" s="306">
        <v>38323</v>
      </c>
      <c r="V33" s="178" t="s">
        <v>1033</v>
      </c>
      <c r="W33" s="171" t="s">
        <v>87</v>
      </c>
      <c r="X33" s="171" t="s">
        <v>11</v>
      </c>
      <c r="Y33" s="179">
        <v>26</v>
      </c>
      <c r="Z33" s="178" t="s">
        <v>1032</v>
      </c>
      <c r="AA33" s="171" t="s">
        <v>1050</v>
      </c>
      <c r="AB33" s="171" t="s">
        <v>11</v>
      </c>
      <c r="AC33" s="171">
        <v>20</v>
      </c>
      <c r="AD33" s="178" t="s">
        <v>1034</v>
      </c>
      <c r="AE33" s="171" t="s">
        <v>932</v>
      </c>
      <c r="AF33" s="171" t="s">
        <v>18</v>
      </c>
      <c r="AG33" s="179">
        <v>12</v>
      </c>
      <c r="AH33" s="171" t="s">
        <v>1035</v>
      </c>
      <c r="AI33" s="171" t="s">
        <v>81</v>
      </c>
      <c r="AJ33" s="171" t="s">
        <v>18</v>
      </c>
      <c r="AK33" s="171">
        <v>10</v>
      </c>
      <c r="AL33" s="178"/>
      <c r="AO33" s="179"/>
      <c r="AP33" s="178"/>
      <c r="AS33" s="179"/>
      <c r="AW33" s="179"/>
      <c r="BA33" s="180"/>
    </row>
    <row r="34" spans="1:53" s="171" customFormat="1" x14ac:dyDescent="0.15">
      <c r="A34" s="171">
        <v>2005</v>
      </c>
      <c r="B34" s="306"/>
      <c r="C34" s="410" t="s">
        <v>1126</v>
      </c>
      <c r="D34" s="410"/>
      <c r="E34" s="171">
        <v>0</v>
      </c>
      <c r="G34" s="233">
        <v>12</v>
      </c>
      <c r="H34" s="171">
        <v>6</v>
      </c>
      <c r="J34" s="241">
        <v>18</v>
      </c>
      <c r="K34" s="214">
        <f t="shared" si="0"/>
        <v>66.666666666666657</v>
      </c>
      <c r="L34" s="214">
        <f t="shared" si="1"/>
        <v>33.333333333333329</v>
      </c>
      <c r="M34" s="214">
        <f t="shared" si="2"/>
        <v>0</v>
      </c>
      <c r="N34" s="235">
        <f t="shared" si="3"/>
        <v>99.999999999999986</v>
      </c>
      <c r="O34" s="213">
        <v>46</v>
      </c>
      <c r="P34" s="214">
        <v>22</v>
      </c>
      <c r="Q34" s="214"/>
      <c r="R34" s="215">
        <f t="shared" si="4"/>
        <v>68</v>
      </c>
      <c r="S34" s="171">
        <v>3</v>
      </c>
      <c r="T34" s="285"/>
      <c r="U34" s="283"/>
      <c r="V34" s="178" t="s">
        <v>1033</v>
      </c>
      <c r="W34" s="171" t="s">
        <v>87</v>
      </c>
      <c r="X34" s="171" t="s">
        <v>11</v>
      </c>
      <c r="Y34" s="179">
        <v>26</v>
      </c>
      <c r="Z34" s="171" t="s">
        <v>1032</v>
      </c>
      <c r="AA34" s="171" t="s">
        <v>1050</v>
      </c>
      <c r="AB34" s="171" t="s">
        <v>11</v>
      </c>
      <c r="AC34" s="171">
        <v>20</v>
      </c>
      <c r="AD34" s="178" t="s">
        <v>1034</v>
      </c>
      <c r="AE34" s="171" t="s">
        <v>932</v>
      </c>
      <c r="AF34" s="171" t="s">
        <v>18</v>
      </c>
      <c r="AG34" s="179">
        <v>12</v>
      </c>
      <c r="AH34" s="171" t="s">
        <v>1035</v>
      </c>
      <c r="AI34" s="171" t="s">
        <v>81</v>
      </c>
      <c r="AJ34" s="171" t="s">
        <v>18</v>
      </c>
      <c r="AK34" s="171">
        <v>10</v>
      </c>
      <c r="AL34" s="178"/>
      <c r="AO34" s="179"/>
      <c r="AP34" s="178"/>
      <c r="AS34" s="179"/>
      <c r="AW34" s="179"/>
      <c r="BA34" s="180"/>
    </row>
    <row r="35" spans="1:53" s="171" customFormat="1" x14ac:dyDescent="0.15">
      <c r="A35" s="171">
        <v>2005</v>
      </c>
      <c r="B35" s="306"/>
      <c r="C35" s="410" t="s">
        <v>1126</v>
      </c>
      <c r="D35" s="410"/>
      <c r="E35" s="171">
        <v>365</v>
      </c>
      <c r="G35" s="233">
        <v>12</v>
      </c>
      <c r="H35" s="171">
        <v>6</v>
      </c>
      <c r="J35" s="241">
        <v>18</v>
      </c>
      <c r="K35" s="214">
        <f t="shared" si="0"/>
        <v>66.666666666666657</v>
      </c>
      <c r="L35" s="214">
        <f t="shared" si="1"/>
        <v>33.333333333333329</v>
      </c>
      <c r="M35" s="214">
        <f t="shared" si="2"/>
        <v>0</v>
      </c>
      <c r="N35" s="235">
        <f t="shared" si="3"/>
        <v>99.999999999999986</v>
      </c>
      <c r="O35" s="213">
        <v>46</v>
      </c>
      <c r="P35" s="214">
        <v>22</v>
      </c>
      <c r="Q35" s="214"/>
      <c r="R35" s="215">
        <f t="shared" si="4"/>
        <v>68</v>
      </c>
      <c r="S35" s="171">
        <v>3</v>
      </c>
      <c r="T35" s="285"/>
      <c r="U35" s="283"/>
      <c r="V35" s="178" t="s">
        <v>1033</v>
      </c>
      <c r="W35" s="171" t="s">
        <v>87</v>
      </c>
      <c r="X35" s="171" t="s">
        <v>11</v>
      </c>
      <c r="Y35" s="179">
        <v>26</v>
      </c>
      <c r="Z35" s="178" t="s">
        <v>1032</v>
      </c>
      <c r="AA35" s="171" t="s">
        <v>1050</v>
      </c>
      <c r="AB35" s="171" t="s">
        <v>11</v>
      </c>
      <c r="AC35" s="171">
        <v>20</v>
      </c>
      <c r="AD35" s="178" t="s">
        <v>1034</v>
      </c>
      <c r="AE35" s="171" t="s">
        <v>932</v>
      </c>
      <c r="AF35" s="171" t="s">
        <v>18</v>
      </c>
      <c r="AG35" s="179">
        <v>12</v>
      </c>
      <c r="AH35" s="171" t="s">
        <v>1035</v>
      </c>
      <c r="AI35" s="171" t="s">
        <v>81</v>
      </c>
      <c r="AJ35" s="171" t="s">
        <v>18</v>
      </c>
      <c r="AK35" s="171">
        <v>10</v>
      </c>
      <c r="AL35" s="178"/>
      <c r="AO35" s="179"/>
      <c r="AP35" s="178"/>
      <c r="AS35" s="179"/>
      <c r="AW35" s="179"/>
      <c r="BA35" s="180"/>
    </row>
    <row r="36" spans="1:53" s="171" customFormat="1" x14ac:dyDescent="0.15">
      <c r="A36" s="171">
        <v>2006</v>
      </c>
      <c r="B36" s="306"/>
      <c r="C36" s="410" t="s">
        <v>1126</v>
      </c>
      <c r="D36" s="410"/>
      <c r="E36" s="171">
        <v>97</v>
      </c>
      <c r="G36" s="233">
        <v>12</v>
      </c>
      <c r="H36" s="171">
        <v>6</v>
      </c>
      <c r="J36" s="241">
        <v>18</v>
      </c>
      <c r="K36" s="214">
        <f>G36/J36*100</f>
        <v>66.666666666666657</v>
      </c>
      <c r="L36" s="214">
        <f>H36/J36*100</f>
        <v>33.333333333333329</v>
      </c>
      <c r="M36" s="214">
        <f>I36/J36*100</f>
        <v>0</v>
      </c>
      <c r="N36" s="235">
        <f t="shared" si="3"/>
        <v>99.999999999999986</v>
      </c>
      <c r="O36" s="213">
        <v>46</v>
      </c>
      <c r="P36" s="214">
        <v>22</v>
      </c>
      <c r="Q36" s="214"/>
      <c r="R36" s="215">
        <f t="shared" si="4"/>
        <v>68</v>
      </c>
      <c r="S36" s="171">
        <v>3</v>
      </c>
      <c r="T36" s="285"/>
      <c r="U36" s="283"/>
      <c r="V36" s="178" t="s">
        <v>1033</v>
      </c>
      <c r="W36" s="171" t="s">
        <v>87</v>
      </c>
      <c r="X36" s="171" t="s">
        <v>11</v>
      </c>
      <c r="Y36" s="179">
        <v>26</v>
      </c>
      <c r="Z36" s="171" t="s">
        <v>1032</v>
      </c>
      <c r="AA36" s="171" t="s">
        <v>1050</v>
      </c>
      <c r="AB36" s="171" t="s">
        <v>11</v>
      </c>
      <c r="AC36" s="171">
        <v>20</v>
      </c>
      <c r="AD36" s="178" t="s">
        <v>1034</v>
      </c>
      <c r="AE36" s="171" t="s">
        <v>932</v>
      </c>
      <c r="AF36" s="171" t="s">
        <v>18</v>
      </c>
      <c r="AG36" s="179">
        <v>12</v>
      </c>
      <c r="AH36" s="171" t="s">
        <v>1035</v>
      </c>
      <c r="AI36" s="171" t="s">
        <v>81</v>
      </c>
      <c r="AJ36" s="171" t="s">
        <v>18</v>
      </c>
      <c r="AK36" s="171">
        <v>10</v>
      </c>
      <c r="AL36" s="178"/>
      <c r="AO36" s="179"/>
      <c r="AP36" s="178"/>
      <c r="AS36" s="179"/>
      <c r="AW36" s="179"/>
      <c r="BA36" s="180"/>
    </row>
    <row r="37" spans="1:53" s="29" customFormat="1" x14ac:dyDescent="0.15">
      <c r="A37" s="29">
        <v>2006</v>
      </c>
      <c r="B37" s="277">
        <v>38815</v>
      </c>
      <c r="C37" s="411" t="s">
        <v>1127</v>
      </c>
      <c r="D37" s="411"/>
      <c r="E37" s="29">
        <v>213</v>
      </c>
      <c r="F37" s="29">
        <v>4</v>
      </c>
      <c r="G37" s="66">
        <v>9</v>
      </c>
      <c r="H37" s="29">
        <v>9</v>
      </c>
      <c r="J37" s="73">
        <v>18</v>
      </c>
      <c r="K37" s="47">
        <f t="shared" si="0"/>
        <v>50</v>
      </c>
      <c r="L37" s="47">
        <f t="shared" si="1"/>
        <v>50</v>
      </c>
      <c r="M37" s="47">
        <f t="shared" si="2"/>
        <v>0</v>
      </c>
      <c r="N37" s="68">
        <f t="shared" si="3"/>
        <v>100</v>
      </c>
      <c r="O37" s="46">
        <v>20</v>
      </c>
      <c r="P37" s="47">
        <v>22</v>
      </c>
      <c r="Q37" s="47"/>
      <c r="R37" s="48">
        <f t="shared" si="4"/>
        <v>42</v>
      </c>
      <c r="S37" s="29">
        <v>5</v>
      </c>
      <c r="T37" s="286"/>
      <c r="U37" s="277">
        <v>38815</v>
      </c>
      <c r="V37" s="38" t="s">
        <v>1032</v>
      </c>
      <c r="W37" s="29" t="s">
        <v>1050</v>
      </c>
      <c r="X37" s="29" t="s">
        <v>11</v>
      </c>
      <c r="Y37" s="39">
        <v>20</v>
      </c>
      <c r="Z37" s="29" t="s">
        <v>1034</v>
      </c>
      <c r="AA37" s="29" t="s">
        <v>932</v>
      </c>
      <c r="AB37" s="29" t="s">
        <v>18</v>
      </c>
      <c r="AC37" s="29">
        <v>12</v>
      </c>
      <c r="AD37" s="38" t="s">
        <v>1035</v>
      </c>
      <c r="AE37" s="29" t="s">
        <v>81</v>
      </c>
      <c r="AF37" s="29" t="s">
        <v>18</v>
      </c>
      <c r="AG37" s="39">
        <v>10</v>
      </c>
      <c r="AH37" s="38" t="s">
        <v>1020</v>
      </c>
      <c r="AI37" s="29" t="s">
        <v>22</v>
      </c>
      <c r="AJ37" s="29" t="s">
        <v>11</v>
      </c>
      <c r="AK37" s="29">
        <v>0</v>
      </c>
      <c r="AL37" s="38"/>
      <c r="AO37" s="39"/>
      <c r="AP37" s="38"/>
      <c r="AS37" s="39"/>
      <c r="AW37" s="39"/>
      <c r="BA37" s="40"/>
    </row>
    <row r="38" spans="1:53" s="171" customFormat="1" x14ac:dyDescent="0.15">
      <c r="A38" s="171">
        <v>2006</v>
      </c>
      <c r="B38" s="306">
        <v>39028</v>
      </c>
      <c r="C38" s="410" t="s">
        <v>1128</v>
      </c>
      <c r="D38" s="410"/>
      <c r="E38" s="171">
        <v>55</v>
      </c>
      <c r="F38" s="171">
        <v>1</v>
      </c>
      <c r="G38" s="233">
        <v>9</v>
      </c>
      <c r="H38" s="171">
        <v>9</v>
      </c>
      <c r="J38" s="241">
        <v>18</v>
      </c>
      <c r="K38" s="214">
        <f t="shared" si="0"/>
        <v>50</v>
      </c>
      <c r="L38" s="214">
        <f t="shared" si="1"/>
        <v>50</v>
      </c>
      <c r="M38" s="214">
        <f t="shared" si="2"/>
        <v>0</v>
      </c>
      <c r="N38" s="235">
        <f t="shared" si="3"/>
        <v>100</v>
      </c>
      <c r="O38" s="213">
        <v>31</v>
      </c>
      <c r="P38" s="214">
        <v>28</v>
      </c>
      <c r="Q38" s="214"/>
      <c r="R38" s="215">
        <f t="shared" si="4"/>
        <v>59</v>
      </c>
      <c r="S38" s="171">
        <v>3</v>
      </c>
      <c r="T38" s="285">
        <v>38997</v>
      </c>
      <c r="U38" s="306">
        <v>39028</v>
      </c>
      <c r="V38" s="178" t="s">
        <v>1032</v>
      </c>
      <c r="W38" s="171" t="s">
        <v>1050</v>
      </c>
      <c r="X38" s="171" t="s">
        <v>11</v>
      </c>
      <c r="Y38" s="179">
        <v>23</v>
      </c>
      <c r="Z38" s="171" t="s">
        <v>1034</v>
      </c>
      <c r="AA38" s="171" t="s">
        <v>932</v>
      </c>
      <c r="AB38" s="171" t="s">
        <v>18</v>
      </c>
      <c r="AC38" s="171">
        <v>18</v>
      </c>
      <c r="AD38" s="178" t="s">
        <v>1038</v>
      </c>
      <c r="AE38" s="171" t="s">
        <v>1037</v>
      </c>
      <c r="AF38" s="171" t="s">
        <v>18</v>
      </c>
      <c r="AG38" s="179">
        <v>10</v>
      </c>
      <c r="AH38" s="178" t="s">
        <v>1027</v>
      </c>
      <c r="AI38" s="171" t="s">
        <v>852</v>
      </c>
      <c r="AJ38" s="171" t="s">
        <v>11</v>
      </c>
      <c r="AK38" s="171">
        <v>8</v>
      </c>
      <c r="AL38" s="178"/>
      <c r="AO38" s="179"/>
      <c r="AP38" s="178"/>
      <c r="AS38" s="179"/>
      <c r="AW38" s="179"/>
      <c r="BA38" s="180"/>
    </row>
    <row r="39" spans="1:53" s="171" customFormat="1" x14ac:dyDescent="0.15">
      <c r="A39" s="171">
        <v>2007</v>
      </c>
      <c r="B39" s="306"/>
      <c r="C39" s="410" t="s">
        <v>1128</v>
      </c>
      <c r="D39" s="410"/>
      <c r="E39" s="171">
        <v>353</v>
      </c>
      <c r="G39" s="233">
        <v>9</v>
      </c>
      <c r="H39" s="171">
        <v>9</v>
      </c>
      <c r="J39" s="241">
        <v>18</v>
      </c>
      <c r="K39" s="214">
        <f t="shared" si="0"/>
        <v>50</v>
      </c>
      <c r="L39" s="214">
        <f t="shared" si="1"/>
        <v>50</v>
      </c>
      <c r="M39" s="214">
        <f t="shared" si="2"/>
        <v>0</v>
      </c>
      <c r="N39" s="235">
        <f t="shared" si="3"/>
        <v>100</v>
      </c>
      <c r="O39" s="213">
        <v>31</v>
      </c>
      <c r="P39" s="214">
        <v>28</v>
      </c>
      <c r="Q39" s="214"/>
      <c r="R39" s="215">
        <f t="shared" si="4"/>
        <v>59</v>
      </c>
      <c r="S39" s="171">
        <v>3</v>
      </c>
      <c r="T39" s="285"/>
      <c r="U39" s="283"/>
      <c r="V39" s="178" t="s">
        <v>1032</v>
      </c>
      <c r="W39" s="171" t="s">
        <v>1050</v>
      </c>
      <c r="X39" s="171" t="s">
        <v>11</v>
      </c>
      <c r="Y39" s="179">
        <v>23</v>
      </c>
      <c r="Z39" s="171" t="s">
        <v>1034</v>
      </c>
      <c r="AA39" s="171" t="s">
        <v>932</v>
      </c>
      <c r="AB39" s="171" t="s">
        <v>18</v>
      </c>
      <c r="AC39" s="171">
        <v>18</v>
      </c>
      <c r="AD39" s="178" t="s">
        <v>1038</v>
      </c>
      <c r="AE39" s="171" t="s">
        <v>1037</v>
      </c>
      <c r="AF39" s="171" t="s">
        <v>18</v>
      </c>
      <c r="AG39" s="179">
        <v>10</v>
      </c>
      <c r="AH39" s="178" t="s">
        <v>1027</v>
      </c>
      <c r="AI39" s="171" t="s">
        <v>852</v>
      </c>
      <c r="AJ39" s="171" t="s">
        <v>11</v>
      </c>
      <c r="AK39" s="171">
        <v>8</v>
      </c>
      <c r="AL39" s="178"/>
      <c r="AO39" s="179"/>
      <c r="AP39" s="178"/>
      <c r="AS39" s="179"/>
      <c r="AW39" s="179"/>
      <c r="BA39" s="180"/>
    </row>
    <row r="40" spans="1:53" s="29" customFormat="1" x14ac:dyDescent="0.15">
      <c r="A40" s="29">
        <v>2007</v>
      </c>
      <c r="B40" s="277">
        <v>39436</v>
      </c>
      <c r="C40" s="411" t="s">
        <v>1039</v>
      </c>
      <c r="D40" s="411"/>
      <c r="E40" s="29">
        <v>12</v>
      </c>
      <c r="F40" s="29">
        <v>2</v>
      </c>
      <c r="G40" s="66">
        <v>10</v>
      </c>
      <c r="H40" s="29">
        <v>9</v>
      </c>
      <c r="J40" s="73">
        <v>19</v>
      </c>
      <c r="K40" s="47">
        <f t="shared" si="0"/>
        <v>52.631578947368418</v>
      </c>
      <c r="L40" s="47">
        <f t="shared" si="1"/>
        <v>47.368421052631575</v>
      </c>
      <c r="M40" s="47">
        <f t="shared" si="2"/>
        <v>0</v>
      </c>
      <c r="N40" s="68">
        <f t="shared" si="3"/>
        <v>100</v>
      </c>
      <c r="O40" s="46">
        <v>31</v>
      </c>
      <c r="P40" s="47">
        <v>28</v>
      </c>
      <c r="Q40" s="47"/>
      <c r="R40" s="48">
        <f t="shared" si="4"/>
        <v>59</v>
      </c>
      <c r="S40" s="29">
        <v>3</v>
      </c>
      <c r="T40" s="286"/>
      <c r="U40" s="277">
        <v>39436</v>
      </c>
      <c r="V40" s="38" t="s">
        <v>1032</v>
      </c>
      <c r="W40" s="29" t="s">
        <v>1050</v>
      </c>
      <c r="X40" s="29" t="s">
        <v>11</v>
      </c>
      <c r="Y40" s="39">
        <v>23</v>
      </c>
      <c r="Z40" s="29" t="s">
        <v>1034</v>
      </c>
      <c r="AA40" s="29" t="s">
        <v>932</v>
      </c>
      <c r="AB40" s="29" t="s">
        <v>18</v>
      </c>
      <c r="AC40" s="29">
        <v>18</v>
      </c>
      <c r="AD40" s="38" t="s">
        <v>1038</v>
      </c>
      <c r="AE40" s="29" t="s">
        <v>1037</v>
      </c>
      <c r="AF40" s="29" t="s">
        <v>18</v>
      </c>
      <c r="AG40" s="39">
        <v>10</v>
      </c>
      <c r="AH40" s="38" t="s">
        <v>1027</v>
      </c>
      <c r="AI40" s="29" t="s">
        <v>852</v>
      </c>
      <c r="AJ40" s="29" t="s">
        <v>11</v>
      </c>
      <c r="AK40" s="29">
        <v>8</v>
      </c>
      <c r="AL40" s="38"/>
      <c r="AO40" s="39"/>
      <c r="AP40" s="38"/>
      <c r="AS40" s="39"/>
      <c r="AW40" s="39"/>
      <c r="BA40" s="40"/>
    </row>
    <row r="41" spans="1:53" s="29" customFormat="1" x14ac:dyDescent="0.15">
      <c r="A41" s="29">
        <v>2008</v>
      </c>
      <c r="B41" s="277"/>
      <c r="C41" s="411" t="s">
        <v>1039</v>
      </c>
      <c r="D41" s="411"/>
      <c r="E41" s="29">
        <v>0</v>
      </c>
      <c r="G41" s="66">
        <v>10</v>
      </c>
      <c r="H41" s="29">
        <v>9</v>
      </c>
      <c r="J41" s="73">
        <v>19</v>
      </c>
      <c r="K41" s="47">
        <f t="shared" si="0"/>
        <v>52.631578947368418</v>
      </c>
      <c r="L41" s="47">
        <f t="shared" si="1"/>
        <v>47.368421052631575</v>
      </c>
      <c r="M41" s="47">
        <f t="shared" si="2"/>
        <v>0</v>
      </c>
      <c r="N41" s="68">
        <f t="shared" si="3"/>
        <v>100</v>
      </c>
      <c r="O41" s="46">
        <v>31</v>
      </c>
      <c r="P41" s="47">
        <v>28</v>
      </c>
      <c r="Q41" s="47"/>
      <c r="R41" s="48">
        <f t="shared" si="4"/>
        <v>59</v>
      </c>
      <c r="S41" s="29">
        <v>3</v>
      </c>
      <c r="T41" s="286"/>
      <c r="U41" s="295"/>
      <c r="V41" s="38" t="s">
        <v>1032</v>
      </c>
      <c r="W41" s="29" t="s">
        <v>1050</v>
      </c>
      <c r="X41" s="29" t="s">
        <v>11</v>
      </c>
      <c r="Y41" s="39">
        <v>23</v>
      </c>
      <c r="Z41" s="29" t="s">
        <v>1034</v>
      </c>
      <c r="AA41" s="29" t="s">
        <v>932</v>
      </c>
      <c r="AB41" s="29" t="s">
        <v>18</v>
      </c>
      <c r="AC41" s="29">
        <v>18</v>
      </c>
      <c r="AD41" s="38" t="s">
        <v>1038</v>
      </c>
      <c r="AE41" s="29" t="s">
        <v>1037</v>
      </c>
      <c r="AF41" s="29" t="s">
        <v>18</v>
      </c>
      <c r="AG41" s="39">
        <v>10</v>
      </c>
      <c r="AH41" s="29" t="s">
        <v>1027</v>
      </c>
      <c r="AI41" s="29" t="s">
        <v>852</v>
      </c>
      <c r="AJ41" s="29" t="s">
        <v>11</v>
      </c>
      <c r="AK41" s="29">
        <v>8</v>
      </c>
      <c r="AL41" s="38"/>
      <c r="AO41" s="39"/>
      <c r="AP41" s="38"/>
      <c r="AS41" s="39"/>
      <c r="AW41" s="39"/>
      <c r="BA41" s="40"/>
    </row>
    <row r="42" spans="1:53" s="29" customFormat="1" x14ac:dyDescent="0.15">
      <c r="A42" s="29">
        <v>2008</v>
      </c>
      <c r="B42" s="277"/>
      <c r="C42" s="411" t="s">
        <v>1039</v>
      </c>
      <c r="D42" s="411"/>
      <c r="E42" s="29">
        <v>366</v>
      </c>
      <c r="G42" s="66">
        <v>10</v>
      </c>
      <c r="H42" s="29">
        <v>9</v>
      </c>
      <c r="J42" s="73">
        <v>19</v>
      </c>
      <c r="K42" s="47">
        <f t="shared" si="0"/>
        <v>52.631578947368418</v>
      </c>
      <c r="L42" s="47">
        <f t="shared" si="1"/>
        <v>47.368421052631575</v>
      </c>
      <c r="M42" s="47">
        <f t="shared" si="2"/>
        <v>0</v>
      </c>
      <c r="N42" s="68">
        <f t="shared" si="3"/>
        <v>100</v>
      </c>
      <c r="O42" s="46">
        <v>31</v>
      </c>
      <c r="P42" s="47">
        <v>28</v>
      </c>
      <c r="Q42" s="47"/>
      <c r="R42" s="48">
        <f t="shared" si="4"/>
        <v>59</v>
      </c>
      <c r="S42" s="29">
        <v>3</v>
      </c>
      <c r="T42" s="286"/>
      <c r="U42" s="295"/>
      <c r="V42" s="38" t="s">
        <v>1032</v>
      </c>
      <c r="W42" s="29" t="s">
        <v>1050</v>
      </c>
      <c r="X42" s="29" t="s">
        <v>11</v>
      </c>
      <c r="Y42" s="39">
        <v>23</v>
      </c>
      <c r="Z42" s="29" t="s">
        <v>1034</v>
      </c>
      <c r="AA42" s="29" t="s">
        <v>932</v>
      </c>
      <c r="AB42" s="29" t="s">
        <v>18</v>
      </c>
      <c r="AC42" s="29">
        <v>18</v>
      </c>
      <c r="AD42" s="38" t="s">
        <v>1038</v>
      </c>
      <c r="AE42" s="29" t="s">
        <v>1037</v>
      </c>
      <c r="AF42" s="29" t="s">
        <v>18</v>
      </c>
      <c r="AG42" s="39">
        <v>10</v>
      </c>
      <c r="AH42" s="38" t="s">
        <v>1027</v>
      </c>
      <c r="AI42" s="29" t="s">
        <v>852</v>
      </c>
      <c r="AJ42" s="29" t="s">
        <v>11</v>
      </c>
      <c r="AK42" s="29">
        <v>8</v>
      </c>
      <c r="AL42" s="38"/>
      <c r="AO42" s="39"/>
      <c r="AP42" s="38"/>
      <c r="AS42" s="39"/>
      <c r="AW42" s="39"/>
      <c r="BA42" s="40"/>
    </row>
    <row r="43" spans="1:53" s="29" customFormat="1" x14ac:dyDescent="0.15">
      <c r="A43" s="29">
        <v>2009</v>
      </c>
      <c r="B43" s="277"/>
      <c r="C43" s="411" t="s">
        <v>1039</v>
      </c>
      <c r="D43" s="411"/>
      <c r="E43" s="29">
        <v>70</v>
      </c>
      <c r="G43" s="66">
        <v>10</v>
      </c>
      <c r="H43" s="29">
        <v>9</v>
      </c>
      <c r="J43" s="73">
        <v>19</v>
      </c>
      <c r="K43" s="47">
        <f t="shared" si="0"/>
        <v>52.631578947368418</v>
      </c>
      <c r="L43" s="47">
        <f t="shared" si="1"/>
        <v>47.368421052631575</v>
      </c>
      <c r="M43" s="47">
        <f t="shared" si="2"/>
        <v>0</v>
      </c>
      <c r="N43" s="68">
        <f t="shared" si="3"/>
        <v>100</v>
      </c>
      <c r="O43" s="46">
        <v>31</v>
      </c>
      <c r="P43" s="47">
        <v>28</v>
      </c>
      <c r="Q43" s="47"/>
      <c r="R43" s="48">
        <f t="shared" si="4"/>
        <v>59</v>
      </c>
      <c r="S43" s="29">
        <v>3</v>
      </c>
      <c r="T43" s="286"/>
      <c r="U43" s="295"/>
      <c r="V43" s="38" t="s">
        <v>1032</v>
      </c>
      <c r="W43" s="29" t="s">
        <v>1050</v>
      </c>
      <c r="X43" s="29" t="s">
        <v>11</v>
      </c>
      <c r="Y43" s="39">
        <v>23</v>
      </c>
      <c r="Z43" s="29" t="s">
        <v>1034</v>
      </c>
      <c r="AA43" s="29" t="s">
        <v>932</v>
      </c>
      <c r="AB43" s="29" t="s">
        <v>18</v>
      </c>
      <c r="AC43" s="29">
        <v>18</v>
      </c>
      <c r="AD43" s="38" t="s">
        <v>1038</v>
      </c>
      <c r="AE43" s="29" t="s">
        <v>1037</v>
      </c>
      <c r="AF43" s="29" t="s">
        <v>18</v>
      </c>
      <c r="AG43" s="39">
        <v>10</v>
      </c>
      <c r="AH43" s="29" t="s">
        <v>1027</v>
      </c>
      <c r="AI43" s="29" t="s">
        <v>852</v>
      </c>
      <c r="AJ43" s="29" t="s">
        <v>11</v>
      </c>
      <c r="AK43" s="29">
        <v>8</v>
      </c>
      <c r="AL43" s="38"/>
      <c r="AO43" s="39"/>
      <c r="AP43" s="38"/>
      <c r="AS43" s="39"/>
      <c r="AW43" s="39"/>
      <c r="BA43" s="40"/>
    </row>
    <row r="44" spans="1:53" s="171" customFormat="1" x14ac:dyDescent="0.15">
      <c r="A44" s="171">
        <v>2009</v>
      </c>
      <c r="B44" s="306">
        <v>39884</v>
      </c>
      <c r="C44" s="410" t="s">
        <v>1129</v>
      </c>
      <c r="D44" s="410"/>
      <c r="E44" s="171">
        <v>295</v>
      </c>
      <c r="F44" s="171">
        <v>2</v>
      </c>
      <c r="G44" s="233">
        <v>11</v>
      </c>
      <c r="H44" s="171">
        <v>4</v>
      </c>
      <c r="J44" s="241">
        <v>15</v>
      </c>
      <c r="K44" s="214">
        <f t="shared" si="0"/>
        <v>73.333333333333329</v>
      </c>
      <c r="L44" s="214">
        <f t="shared" si="1"/>
        <v>26.666666666666668</v>
      </c>
      <c r="M44" s="214">
        <f t="shared" si="2"/>
        <v>0</v>
      </c>
      <c r="N44" s="235">
        <f t="shared" si="3"/>
        <v>100</v>
      </c>
      <c r="O44" s="213">
        <v>49</v>
      </c>
      <c r="P44" s="214">
        <v>18</v>
      </c>
      <c r="R44" s="215">
        <f>SUM(O44:P44)</f>
        <v>67</v>
      </c>
      <c r="S44" s="171">
        <v>3</v>
      </c>
      <c r="T44" s="285"/>
      <c r="U44" s="283">
        <v>39884</v>
      </c>
      <c r="V44" s="178" t="s">
        <v>1032</v>
      </c>
      <c r="W44" s="171" t="s">
        <v>1050</v>
      </c>
      <c r="X44" s="171" t="s">
        <v>11</v>
      </c>
      <c r="Y44" s="179">
        <v>23</v>
      </c>
      <c r="Z44" s="171" t="s">
        <v>1033</v>
      </c>
      <c r="AA44" s="171" t="s">
        <v>87</v>
      </c>
      <c r="AB44" s="171" t="s">
        <v>11</v>
      </c>
      <c r="AC44" s="171">
        <v>18</v>
      </c>
      <c r="AD44" s="178" t="s">
        <v>1034</v>
      </c>
      <c r="AE44" s="171" t="s">
        <v>932</v>
      </c>
      <c r="AF44" s="171" t="s">
        <v>18</v>
      </c>
      <c r="AG44" s="179">
        <v>18</v>
      </c>
      <c r="AH44" s="178" t="s">
        <v>1027</v>
      </c>
      <c r="AI44" s="171" t="s">
        <v>852</v>
      </c>
      <c r="AJ44" s="171" t="s">
        <v>11</v>
      </c>
      <c r="AK44" s="171">
        <v>8</v>
      </c>
      <c r="AL44" s="178" t="s">
        <v>95</v>
      </c>
      <c r="AM44" s="171" t="s">
        <v>327</v>
      </c>
      <c r="AN44" s="171" t="s">
        <v>11</v>
      </c>
      <c r="AO44" s="179">
        <v>0</v>
      </c>
      <c r="AP44" s="178"/>
      <c r="AS44" s="179"/>
      <c r="AW44" s="179"/>
      <c r="BA44" s="180"/>
    </row>
    <row r="45" spans="1:53" s="171" customFormat="1" x14ac:dyDescent="0.15">
      <c r="A45" s="171">
        <v>2010</v>
      </c>
      <c r="B45" s="306"/>
      <c r="C45" s="410" t="s">
        <v>1129</v>
      </c>
      <c r="D45" s="410"/>
      <c r="E45" s="171">
        <v>81</v>
      </c>
      <c r="G45" s="233">
        <v>11</v>
      </c>
      <c r="H45" s="171">
        <v>4</v>
      </c>
      <c r="J45" s="241">
        <v>15</v>
      </c>
      <c r="K45" s="214">
        <f>G45/J45*100</f>
        <v>73.333333333333329</v>
      </c>
      <c r="L45" s="214">
        <f>H45/J45*100</f>
        <v>26.666666666666668</v>
      </c>
      <c r="M45" s="214">
        <f>I45/J45*100</f>
        <v>0</v>
      </c>
      <c r="N45" s="235">
        <f t="shared" si="3"/>
        <v>100</v>
      </c>
      <c r="O45" s="213">
        <v>49</v>
      </c>
      <c r="P45" s="214">
        <v>18</v>
      </c>
      <c r="R45" s="215">
        <f>SUM(O45:P45)</f>
        <v>67</v>
      </c>
      <c r="S45" s="171">
        <v>3</v>
      </c>
      <c r="T45" s="285"/>
      <c r="U45" s="283"/>
      <c r="V45" s="178" t="s">
        <v>1032</v>
      </c>
      <c r="W45" s="171" t="s">
        <v>1050</v>
      </c>
      <c r="X45" s="171" t="s">
        <v>11</v>
      </c>
      <c r="Y45" s="179">
        <v>23</v>
      </c>
      <c r="Z45" s="171" t="s">
        <v>1033</v>
      </c>
      <c r="AA45" s="171" t="s">
        <v>87</v>
      </c>
      <c r="AB45" s="171" t="s">
        <v>11</v>
      </c>
      <c r="AC45" s="171">
        <v>18</v>
      </c>
      <c r="AD45" s="178" t="s">
        <v>1034</v>
      </c>
      <c r="AE45" s="171" t="s">
        <v>932</v>
      </c>
      <c r="AF45" s="171" t="s">
        <v>18</v>
      </c>
      <c r="AG45" s="179">
        <v>18</v>
      </c>
      <c r="AH45" s="171" t="s">
        <v>1027</v>
      </c>
      <c r="AI45" s="171" t="s">
        <v>852</v>
      </c>
      <c r="AJ45" s="171" t="s">
        <v>11</v>
      </c>
      <c r="AK45" s="171">
        <v>8</v>
      </c>
      <c r="AL45" s="178" t="s">
        <v>95</v>
      </c>
      <c r="AM45" s="171" t="s">
        <v>327</v>
      </c>
      <c r="AN45" s="171" t="s">
        <v>11</v>
      </c>
      <c r="AO45" s="179">
        <v>0</v>
      </c>
      <c r="AP45" s="178"/>
      <c r="AS45" s="179"/>
      <c r="AW45" s="179"/>
      <c r="BA45" s="180"/>
    </row>
    <row r="46" spans="1:53" s="29" customFormat="1" x14ac:dyDescent="0.15">
      <c r="A46" s="29">
        <v>2010</v>
      </c>
      <c r="B46" s="277">
        <v>40260</v>
      </c>
      <c r="C46" s="411" t="s">
        <v>1130</v>
      </c>
      <c r="D46" s="411"/>
      <c r="E46" s="29">
        <v>224</v>
      </c>
      <c r="F46" s="29">
        <v>4</v>
      </c>
      <c r="G46" s="66">
        <v>8</v>
      </c>
      <c r="H46" s="29">
        <v>5</v>
      </c>
      <c r="J46" s="73">
        <v>15</v>
      </c>
      <c r="K46" s="47">
        <f t="shared" si="0"/>
        <v>53.333333333333336</v>
      </c>
      <c r="L46" s="47">
        <f t="shared" si="1"/>
        <v>33.333333333333329</v>
      </c>
      <c r="M46" s="47">
        <f t="shared" si="2"/>
        <v>0</v>
      </c>
      <c r="N46" s="68">
        <f t="shared" si="3"/>
        <v>86.666666666666657</v>
      </c>
      <c r="O46" s="46">
        <v>26</v>
      </c>
      <c r="P46" s="47">
        <v>18</v>
      </c>
      <c r="R46" s="48">
        <f>SUM(O46:P46)</f>
        <v>44</v>
      </c>
      <c r="S46" s="29">
        <v>5</v>
      </c>
      <c r="T46" s="286"/>
      <c r="U46" s="295">
        <v>40260</v>
      </c>
      <c r="V46" s="38" t="s">
        <v>1033</v>
      </c>
      <c r="W46" s="29" t="s">
        <v>87</v>
      </c>
      <c r="X46" s="29" t="s">
        <v>11</v>
      </c>
      <c r="Y46" s="39">
        <v>18</v>
      </c>
      <c r="Z46" s="29" t="s">
        <v>1034</v>
      </c>
      <c r="AA46" s="29" t="s">
        <v>932</v>
      </c>
      <c r="AB46" s="29" t="s">
        <v>18</v>
      </c>
      <c r="AC46" s="29">
        <v>18</v>
      </c>
      <c r="AD46" s="38" t="s">
        <v>1027</v>
      </c>
      <c r="AE46" s="29" t="s">
        <v>852</v>
      </c>
      <c r="AF46" s="29" t="s">
        <v>11</v>
      </c>
      <c r="AG46" s="39">
        <v>8</v>
      </c>
      <c r="AH46" s="29" t="s">
        <v>95</v>
      </c>
      <c r="AI46" s="29" t="s">
        <v>327</v>
      </c>
      <c r="AJ46" s="29" t="s">
        <v>11</v>
      </c>
      <c r="AK46" s="29">
        <v>0</v>
      </c>
      <c r="AL46" s="38"/>
      <c r="AO46" s="39"/>
      <c r="AP46" s="38"/>
      <c r="AS46" s="39"/>
      <c r="AW46" s="39"/>
      <c r="BA46" s="40"/>
    </row>
    <row r="47" spans="1:53" s="171" customFormat="1" x14ac:dyDescent="0.15">
      <c r="A47" s="171">
        <v>2010</v>
      </c>
      <c r="B47" s="306">
        <v>40484</v>
      </c>
      <c r="C47" s="410" t="s">
        <v>1131</v>
      </c>
      <c r="D47" s="410"/>
      <c r="E47" s="171">
        <v>60</v>
      </c>
      <c r="F47" s="171">
        <v>1</v>
      </c>
      <c r="G47" s="233">
        <v>8</v>
      </c>
      <c r="H47" s="171">
        <v>6</v>
      </c>
      <c r="J47" s="241">
        <v>14</v>
      </c>
      <c r="K47" s="214">
        <f t="shared" si="0"/>
        <v>57.142857142857139</v>
      </c>
      <c r="L47" s="214">
        <f t="shared" si="1"/>
        <v>42.857142857142854</v>
      </c>
      <c r="M47" s="214">
        <f t="shared" si="2"/>
        <v>0</v>
      </c>
      <c r="N47" s="235">
        <f t="shared" si="3"/>
        <v>100</v>
      </c>
      <c r="O47" s="213">
        <v>33</v>
      </c>
      <c r="P47" s="214">
        <v>22</v>
      </c>
      <c r="R47" s="215">
        <f>SUM(O47:P47)</f>
        <v>55</v>
      </c>
      <c r="S47" s="171">
        <v>2</v>
      </c>
      <c r="T47" s="285">
        <v>40453</v>
      </c>
      <c r="U47" s="283">
        <v>40484</v>
      </c>
      <c r="V47" s="178" t="s">
        <v>404</v>
      </c>
      <c r="W47" s="171" t="s">
        <v>75</v>
      </c>
      <c r="X47" s="171" t="s">
        <v>11</v>
      </c>
      <c r="Y47" s="179">
        <v>33</v>
      </c>
      <c r="Z47" s="171" t="s">
        <v>1034</v>
      </c>
      <c r="AA47" s="171" t="s">
        <v>932</v>
      </c>
      <c r="AB47" s="171" t="s">
        <v>18</v>
      </c>
      <c r="AC47" s="171">
        <v>22</v>
      </c>
      <c r="AD47" s="178"/>
      <c r="AG47" s="179"/>
      <c r="AL47" s="178"/>
      <c r="AO47" s="179"/>
      <c r="AP47" s="178"/>
      <c r="AS47" s="179"/>
      <c r="AW47" s="179"/>
      <c r="BA47" s="180"/>
    </row>
    <row r="48" spans="1:53" s="171" customFormat="1" x14ac:dyDescent="0.15">
      <c r="A48" s="171">
        <v>2011</v>
      </c>
      <c r="B48" s="306"/>
      <c r="C48" s="410" t="s">
        <v>1131</v>
      </c>
      <c r="D48" s="410"/>
      <c r="E48" s="171">
        <v>297</v>
      </c>
      <c r="G48" s="233">
        <v>8</v>
      </c>
      <c r="H48" s="171">
        <v>6</v>
      </c>
      <c r="J48" s="241">
        <v>14</v>
      </c>
      <c r="K48" s="214">
        <f t="shared" ref="K48:K53" si="9">G48/J48*100</f>
        <v>57.142857142857139</v>
      </c>
      <c r="L48" s="214">
        <f t="shared" ref="L48:L53" si="10">H48/J48*100</f>
        <v>42.857142857142854</v>
      </c>
      <c r="M48" s="214">
        <f t="shared" ref="M48:M53" si="11">I48/J48*100</f>
        <v>0</v>
      </c>
      <c r="N48" s="235">
        <f t="shared" si="3"/>
        <v>100</v>
      </c>
      <c r="O48" s="213">
        <v>33</v>
      </c>
      <c r="P48" s="214">
        <v>22</v>
      </c>
      <c r="R48" s="215">
        <f>SUM(O48:P48)</f>
        <v>55</v>
      </c>
      <c r="S48" s="171">
        <v>2</v>
      </c>
      <c r="T48" s="285"/>
      <c r="U48" s="283"/>
      <c r="V48" s="178" t="s">
        <v>404</v>
      </c>
      <c r="W48" s="171" t="s">
        <v>75</v>
      </c>
      <c r="X48" s="171" t="s">
        <v>11</v>
      </c>
      <c r="Y48" s="179">
        <v>33</v>
      </c>
      <c r="Z48" s="171" t="s">
        <v>1034</v>
      </c>
      <c r="AA48" s="171" t="s">
        <v>932</v>
      </c>
      <c r="AB48" s="171" t="s">
        <v>18</v>
      </c>
      <c r="AC48" s="171">
        <v>22</v>
      </c>
      <c r="AD48" s="178"/>
      <c r="AG48" s="179"/>
      <c r="AL48" s="178"/>
      <c r="AO48" s="179"/>
      <c r="AP48" s="178"/>
      <c r="AS48" s="179"/>
      <c r="AW48" s="179"/>
      <c r="BA48" s="180"/>
    </row>
    <row r="49" spans="1:53" s="29" customFormat="1" x14ac:dyDescent="0.15">
      <c r="A49" s="29">
        <v>2011</v>
      </c>
      <c r="B49" s="277">
        <v>40841</v>
      </c>
      <c r="C49" s="411" t="s">
        <v>1132</v>
      </c>
      <c r="D49" s="411"/>
      <c r="E49" s="29">
        <v>68</v>
      </c>
      <c r="F49" s="29">
        <v>1</v>
      </c>
      <c r="G49" s="66">
        <v>14</v>
      </c>
      <c r="J49" s="73">
        <v>14</v>
      </c>
      <c r="K49" s="47">
        <f t="shared" si="9"/>
        <v>100</v>
      </c>
      <c r="L49" s="47">
        <f t="shared" si="10"/>
        <v>0</v>
      </c>
      <c r="M49" s="47">
        <f t="shared" si="11"/>
        <v>0</v>
      </c>
      <c r="N49" s="68">
        <f t="shared" si="3"/>
        <v>100</v>
      </c>
      <c r="O49" s="46">
        <v>56</v>
      </c>
      <c r="P49" s="47"/>
      <c r="Q49" s="47"/>
      <c r="R49" s="48">
        <f t="shared" si="4"/>
        <v>56</v>
      </c>
      <c r="S49" s="29">
        <v>2</v>
      </c>
      <c r="T49" s="286">
        <v>40803</v>
      </c>
      <c r="U49" s="295">
        <v>40841</v>
      </c>
      <c r="V49" s="38" t="s">
        <v>1133</v>
      </c>
      <c r="W49" s="29" t="s">
        <v>78</v>
      </c>
      <c r="X49" s="29" t="s">
        <v>11</v>
      </c>
      <c r="Y49" s="39">
        <v>22</v>
      </c>
      <c r="Z49" s="29" t="s">
        <v>404</v>
      </c>
      <c r="AA49" s="29" t="s">
        <v>75</v>
      </c>
      <c r="AB49" s="29" t="s">
        <v>11</v>
      </c>
      <c r="AC49" s="29">
        <v>20</v>
      </c>
      <c r="AD49" s="38" t="s">
        <v>1134</v>
      </c>
      <c r="AE49" s="29" t="s">
        <v>1135</v>
      </c>
      <c r="AF49" s="29" t="s">
        <v>11</v>
      </c>
      <c r="AG49" s="39">
        <v>14</v>
      </c>
      <c r="AL49" s="38"/>
      <c r="AO49" s="39"/>
      <c r="AP49" s="38"/>
      <c r="AS49" s="39"/>
      <c r="AW49" s="39"/>
      <c r="BA49" s="40"/>
    </row>
    <row r="50" spans="1:53" s="29" customFormat="1" x14ac:dyDescent="0.15">
      <c r="A50" s="29">
        <v>2012</v>
      </c>
      <c r="B50" s="277"/>
      <c r="C50" s="411" t="s">
        <v>1132</v>
      </c>
      <c r="D50" s="411"/>
      <c r="E50" s="29">
        <v>0</v>
      </c>
      <c r="G50" s="66">
        <v>14</v>
      </c>
      <c r="J50" s="73">
        <v>14</v>
      </c>
      <c r="K50" s="47">
        <f t="shared" si="9"/>
        <v>100</v>
      </c>
      <c r="L50" s="47">
        <f t="shared" si="10"/>
        <v>0</v>
      </c>
      <c r="M50" s="47">
        <f t="shared" si="11"/>
        <v>0</v>
      </c>
      <c r="N50" s="68">
        <f t="shared" si="3"/>
        <v>100</v>
      </c>
      <c r="O50" s="46">
        <v>56</v>
      </c>
      <c r="P50" s="47"/>
      <c r="Q50" s="47"/>
      <c r="R50" s="48">
        <f t="shared" si="4"/>
        <v>56</v>
      </c>
      <c r="S50" s="29">
        <v>2</v>
      </c>
      <c r="T50" s="286"/>
      <c r="U50" s="295"/>
      <c r="V50" s="38" t="s">
        <v>1133</v>
      </c>
      <c r="W50" s="29" t="s">
        <v>78</v>
      </c>
      <c r="X50" s="29" t="s">
        <v>11</v>
      </c>
      <c r="Y50" s="39">
        <v>22</v>
      </c>
      <c r="Z50" s="29" t="s">
        <v>404</v>
      </c>
      <c r="AA50" s="29" t="s">
        <v>75</v>
      </c>
      <c r="AB50" s="29" t="s">
        <v>11</v>
      </c>
      <c r="AC50" s="29">
        <v>20</v>
      </c>
      <c r="AD50" s="38" t="s">
        <v>1134</v>
      </c>
      <c r="AE50" s="29" t="s">
        <v>1135</v>
      </c>
      <c r="AF50" s="29" t="s">
        <v>11</v>
      </c>
      <c r="AG50" s="39">
        <v>14</v>
      </c>
      <c r="AL50" s="38"/>
      <c r="AO50" s="39"/>
      <c r="AP50" s="38"/>
      <c r="AS50" s="39"/>
      <c r="AW50" s="39"/>
      <c r="BA50" s="40"/>
    </row>
    <row r="51" spans="1:53" s="29" customFormat="1" x14ac:dyDescent="0.15">
      <c r="A51" s="29">
        <v>2012</v>
      </c>
      <c r="B51" s="277"/>
      <c r="C51" s="411" t="s">
        <v>1132</v>
      </c>
      <c r="D51" s="411"/>
      <c r="E51" s="29">
        <v>366</v>
      </c>
      <c r="G51" s="66">
        <v>14</v>
      </c>
      <c r="J51" s="73">
        <v>14</v>
      </c>
      <c r="K51" s="47">
        <f t="shared" si="9"/>
        <v>100</v>
      </c>
      <c r="L51" s="47">
        <f t="shared" si="10"/>
        <v>0</v>
      </c>
      <c r="M51" s="47">
        <f t="shared" si="11"/>
        <v>0</v>
      </c>
      <c r="N51" s="68">
        <f t="shared" si="3"/>
        <v>100</v>
      </c>
      <c r="O51" s="46">
        <v>56</v>
      </c>
      <c r="P51" s="47"/>
      <c r="Q51" s="47"/>
      <c r="R51" s="48">
        <f t="shared" si="4"/>
        <v>56</v>
      </c>
      <c r="S51" s="29">
        <v>2</v>
      </c>
      <c r="T51" s="286"/>
      <c r="U51" s="295"/>
      <c r="V51" s="38" t="s">
        <v>1133</v>
      </c>
      <c r="W51" s="29" t="s">
        <v>78</v>
      </c>
      <c r="X51" s="29" t="s">
        <v>11</v>
      </c>
      <c r="Y51" s="39">
        <v>22</v>
      </c>
      <c r="Z51" s="29" t="s">
        <v>404</v>
      </c>
      <c r="AA51" s="29" t="s">
        <v>75</v>
      </c>
      <c r="AB51" s="29" t="s">
        <v>11</v>
      </c>
      <c r="AC51" s="29">
        <v>20</v>
      </c>
      <c r="AD51" s="38" t="s">
        <v>1134</v>
      </c>
      <c r="AE51" s="29" t="s">
        <v>1135</v>
      </c>
      <c r="AF51" s="29" t="s">
        <v>11</v>
      </c>
      <c r="AG51" s="39">
        <v>14</v>
      </c>
      <c r="AL51" s="38"/>
      <c r="AO51" s="39"/>
      <c r="AP51" s="38"/>
      <c r="AS51" s="39"/>
      <c r="AW51" s="39"/>
      <c r="BA51" s="40"/>
    </row>
    <row r="52" spans="1:53" s="29" customFormat="1" x14ac:dyDescent="0.15">
      <c r="A52" s="29">
        <v>2013</v>
      </c>
      <c r="B52" s="277"/>
      <c r="C52" s="411" t="s">
        <v>1132</v>
      </c>
      <c r="D52" s="411"/>
      <c r="E52" s="29">
        <v>0</v>
      </c>
      <c r="G52" s="66">
        <v>14</v>
      </c>
      <c r="J52" s="73">
        <v>14</v>
      </c>
      <c r="K52" s="47">
        <f t="shared" si="9"/>
        <v>100</v>
      </c>
      <c r="L52" s="47">
        <f t="shared" si="10"/>
        <v>0</v>
      </c>
      <c r="M52" s="47">
        <f t="shared" si="11"/>
        <v>0</v>
      </c>
      <c r="N52" s="68">
        <f t="shared" ref="N52:N57" si="12">SUM(K52:M52)</f>
        <v>100</v>
      </c>
      <c r="O52" s="46">
        <v>56</v>
      </c>
      <c r="P52" s="47"/>
      <c r="Q52" s="47"/>
      <c r="R52" s="48">
        <f>SUM(O52:Q52)</f>
        <v>56</v>
      </c>
      <c r="S52" s="29">
        <v>2</v>
      </c>
      <c r="T52" s="286"/>
      <c r="U52" s="295"/>
      <c r="V52" s="38" t="s">
        <v>1133</v>
      </c>
      <c r="W52" s="29" t="s">
        <v>78</v>
      </c>
      <c r="X52" s="29" t="s">
        <v>11</v>
      </c>
      <c r="Y52" s="39">
        <v>22</v>
      </c>
      <c r="Z52" s="29" t="s">
        <v>404</v>
      </c>
      <c r="AA52" s="29" t="s">
        <v>75</v>
      </c>
      <c r="AB52" s="29" t="s">
        <v>11</v>
      </c>
      <c r="AC52" s="29">
        <v>20</v>
      </c>
      <c r="AD52" s="38" t="s">
        <v>1134</v>
      </c>
      <c r="AE52" s="29" t="s">
        <v>1135</v>
      </c>
      <c r="AF52" s="29" t="s">
        <v>11</v>
      </c>
      <c r="AG52" s="39">
        <v>14</v>
      </c>
      <c r="AL52" s="38"/>
      <c r="AO52" s="39"/>
      <c r="AP52" s="38"/>
      <c r="AS52" s="39"/>
      <c r="AW52" s="39"/>
      <c r="BA52" s="40"/>
    </row>
    <row r="53" spans="1:53" s="29" customFormat="1" x14ac:dyDescent="0.15">
      <c r="A53" s="29">
        <v>2013</v>
      </c>
      <c r="B53" s="277"/>
      <c r="C53" s="411" t="s">
        <v>1132</v>
      </c>
      <c r="D53" s="411"/>
      <c r="E53" s="29">
        <v>365</v>
      </c>
      <c r="G53" s="66">
        <v>14</v>
      </c>
      <c r="J53" s="73">
        <v>14</v>
      </c>
      <c r="K53" s="47">
        <f t="shared" si="9"/>
        <v>100</v>
      </c>
      <c r="L53" s="47">
        <f t="shared" si="10"/>
        <v>0</v>
      </c>
      <c r="M53" s="47">
        <f t="shared" si="11"/>
        <v>0</v>
      </c>
      <c r="N53" s="68">
        <f t="shared" si="12"/>
        <v>100</v>
      </c>
      <c r="O53" s="46">
        <v>56</v>
      </c>
      <c r="P53" s="47"/>
      <c r="Q53" s="47"/>
      <c r="R53" s="48">
        <f>SUM(O53:Q53)</f>
        <v>56</v>
      </c>
      <c r="S53" s="29">
        <v>2</v>
      </c>
      <c r="T53" s="286"/>
      <c r="U53" s="295"/>
      <c r="V53" s="38" t="s">
        <v>1133</v>
      </c>
      <c r="W53" s="29" t="s">
        <v>78</v>
      </c>
      <c r="X53" s="29" t="s">
        <v>11</v>
      </c>
      <c r="Y53" s="39">
        <v>22</v>
      </c>
      <c r="Z53" s="29" t="s">
        <v>404</v>
      </c>
      <c r="AA53" s="29" t="s">
        <v>75</v>
      </c>
      <c r="AB53" s="29" t="s">
        <v>11</v>
      </c>
      <c r="AC53" s="29">
        <v>20</v>
      </c>
      <c r="AD53" s="38" t="s">
        <v>1134</v>
      </c>
      <c r="AE53" s="29" t="s">
        <v>1135</v>
      </c>
      <c r="AF53" s="29" t="s">
        <v>11</v>
      </c>
      <c r="AG53" s="39">
        <v>14</v>
      </c>
      <c r="AL53" s="38"/>
      <c r="AO53" s="39"/>
      <c r="AP53" s="38"/>
      <c r="AS53" s="39"/>
      <c r="AW53" s="39"/>
      <c r="BA53" s="40"/>
    </row>
    <row r="54" spans="1:53" s="29" customFormat="1" x14ac:dyDescent="0.15">
      <c r="A54" s="29">
        <v>2014</v>
      </c>
      <c r="B54" s="277"/>
      <c r="C54" s="411" t="s">
        <v>1132</v>
      </c>
      <c r="D54" s="411"/>
      <c r="E54" s="29">
        <v>21</v>
      </c>
      <c r="G54" s="66">
        <v>14</v>
      </c>
      <c r="J54" s="73">
        <v>14</v>
      </c>
      <c r="K54" s="47">
        <f>G54/J54*100</f>
        <v>100</v>
      </c>
      <c r="L54" s="47">
        <f>H54/J54*100</f>
        <v>0</v>
      </c>
      <c r="M54" s="47">
        <f>I54/J54*100</f>
        <v>0</v>
      </c>
      <c r="N54" s="68">
        <f t="shared" si="12"/>
        <v>100</v>
      </c>
      <c r="O54" s="46">
        <v>56</v>
      </c>
      <c r="P54" s="47"/>
      <c r="Q54" s="47"/>
      <c r="R54" s="48">
        <f>SUM(O54:Q54)</f>
        <v>56</v>
      </c>
      <c r="S54" s="29">
        <v>2</v>
      </c>
      <c r="T54" s="286"/>
      <c r="U54" s="295"/>
      <c r="V54" s="38" t="s">
        <v>1133</v>
      </c>
      <c r="W54" s="29" t="s">
        <v>78</v>
      </c>
      <c r="X54" s="29" t="s">
        <v>11</v>
      </c>
      <c r="Y54" s="39">
        <v>22</v>
      </c>
      <c r="Z54" s="29" t="s">
        <v>404</v>
      </c>
      <c r="AA54" s="29" t="s">
        <v>75</v>
      </c>
      <c r="AB54" s="29" t="s">
        <v>11</v>
      </c>
      <c r="AC54" s="29">
        <v>20</v>
      </c>
      <c r="AD54" s="38" t="s">
        <v>1134</v>
      </c>
      <c r="AE54" s="29" t="s">
        <v>1135</v>
      </c>
      <c r="AF54" s="29" t="s">
        <v>11</v>
      </c>
      <c r="AG54" s="39">
        <v>14</v>
      </c>
      <c r="AL54" s="38"/>
      <c r="AO54" s="39"/>
      <c r="AP54" s="38"/>
      <c r="AS54" s="39"/>
      <c r="AW54" s="39"/>
      <c r="BA54" s="40"/>
    </row>
    <row r="55" spans="1:53" s="171" customFormat="1" x14ac:dyDescent="0.15">
      <c r="A55" s="171">
        <v>2014</v>
      </c>
      <c r="B55" s="306">
        <v>41661</v>
      </c>
      <c r="C55" s="410" t="s">
        <v>1291</v>
      </c>
      <c r="D55" s="410"/>
      <c r="E55" s="171">
        <v>169</v>
      </c>
      <c r="F55" s="171">
        <v>2</v>
      </c>
      <c r="G55" s="233">
        <v>11</v>
      </c>
      <c r="H55" s="171">
        <v>3</v>
      </c>
      <c r="J55" s="241">
        <v>14</v>
      </c>
      <c r="K55" s="214">
        <f>G55/J55*100</f>
        <v>78.571428571428569</v>
      </c>
      <c r="L55" s="214">
        <f>H55/J55*100</f>
        <v>21.428571428571427</v>
      </c>
      <c r="M55" s="214">
        <f>I55/J55*100</f>
        <v>0</v>
      </c>
      <c r="N55" s="235">
        <f t="shared" si="12"/>
        <v>100</v>
      </c>
      <c r="O55" s="213">
        <v>50</v>
      </c>
      <c r="P55" s="214">
        <v>13</v>
      </c>
      <c r="R55" s="215">
        <f>SUM(O55:P55)</f>
        <v>63</v>
      </c>
      <c r="S55" s="171">
        <v>2</v>
      </c>
      <c r="T55" s="285"/>
      <c r="U55" s="283"/>
      <c r="V55" s="178" t="s">
        <v>1133</v>
      </c>
      <c r="W55" s="171" t="s">
        <v>78</v>
      </c>
      <c r="X55" s="171" t="s">
        <v>11</v>
      </c>
      <c r="Y55" s="179">
        <v>16</v>
      </c>
      <c r="Z55" s="171" t="s">
        <v>404</v>
      </c>
      <c r="AA55" s="171" t="s">
        <v>75</v>
      </c>
      <c r="AB55" s="171" t="s">
        <v>11</v>
      </c>
      <c r="AC55" s="171">
        <v>20</v>
      </c>
      <c r="AD55" s="178" t="s">
        <v>1134</v>
      </c>
      <c r="AE55" s="171" t="s">
        <v>1135</v>
      </c>
      <c r="AF55" s="171" t="s">
        <v>11</v>
      </c>
      <c r="AG55" s="179">
        <v>14</v>
      </c>
      <c r="AH55" s="171" t="s">
        <v>1034</v>
      </c>
      <c r="AI55" s="171" t="s">
        <v>932</v>
      </c>
      <c r="AJ55" s="171" t="s">
        <v>18</v>
      </c>
      <c r="AK55" s="171">
        <v>13</v>
      </c>
      <c r="AL55" s="178"/>
      <c r="AO55" s="179"/>
      <c r="AP55" s="178"/>
      <c r="AS55" s="179"/>
      <c r="AW55" s="179"/>
      <c r="BA55" s="180"/>
    </row>
    <row r="56" spans="1:53" s="171" customFormat="1" x14ac:dyDescent="0.15">
      <c r="A56" s="171">
        <v>2014</v>
      </c>
      <c r="B56" s="305">
        <v>41830</v>
      </c>
      <c r="C56" s="410" t="s">
        <v>1291</v>
      </c>
      <c r="D56" s="410"/>
      <c r="E56" s="171">
        <v>118</v>
      </c>
      <c r="F56" s="244">
        <v>0</v>
      </c>
      <c r="G56" s="233">
        <v>10</v>
      </c>
      <c r="H56" s="171">
        <v>3</v>
      </c>
      <c r="J56" s="241">
        <v>13</v>
      </c>
      <c r="K56" s="214">
        <f>G56/J56*100</f>
        <v>76.923076923076934</v>
      </c>
      <c r="L56" s="214">
        <f>H56/J56*100</f>
        <v>23.076923076923077</v>
      </c>
      <c r="M56" s="214">
        <f>I56/J56*100</f>
        <v>0</v>
      </c>
      <c r="N56" s="235">
        <f t="shared" si="12"/>
        <v>100.00000000000001</v>
      </c>
      <c r="O56" s="213">
        <v>50</v>
      </c>
      <c r="P56" s="214">
        <v>13</v>
      </c>
      <c r="R56" s="215">
        <f>SUM(O56:P56)</f>
        <v>63</v>
      </c>
      <c r="S56" s="171">
        <v>2</v>
      </c>
      <c r="T56" s="285"/>
      <c r="U56" s="283"/>
      <c r="V56" s="178" t="s">
        <v>1133</v>
      </c>
      <c r="W56" s="171" t="s">
        <v>78</v>
      </c>
      <c r="X56" s="171" t="s">
        <v>11</v>
      </c>
      <c r="Y56" s="179">
        <v>16</v>
      </c>
      <c r="Z56" s="171" t="s">
        <v>404</v>
      </c>
      <c r="AA56" s="171" t="s">
        <v>75</v>
      </c>
      <c r="AB56" s="171" t="s">
        <v>11</v>
      </c>
      <c r="AC56" s="171">
        <v>20</v>
      </c>
      <c r="AD56" s="178" t="s">
        <v>1134</v>
      </c>
      <c r="AE56" s="171" t="s">
        <v>1135</v>
      </c>
      <c r="AF56" s="171" t="s">
        <v>11</v>
      </c>
      <c r="AG56" s="179">
        <v>14</v>
      </c>
      <c r="AH56" s="171" t="s">
        <v>1034</v>
      </c>
      <c r="AI56" s="171" t="s">
        <v>932</v>
      </c>
      <c r="AJ56" s="171" t="s">
        <v>18</v>
      </c>
      <c r="AK56" s="171">
        <v>13</v>
      </c>
      <c r="AL56" s="178"/>
      <c r="AO56" s="179"/>
      <c r="AP56" s="178"/>
      <c r="AS56" s="179"/>
      <c r="AW56" s="179"/>
      <c r="BA56" s="180"/>
    </row>
    <row r="57" spans="1:53" s="29" customFormat="1" x14ac:dyDescent="0.15">
      <c r="A57" s="29">
        <v>2014</v>
      </c>
      <c r="B57" s="277">
        <v>41948</v>
      </c>
      <c r="C57" s="411" t="s">
        <v>1292</v>
      </c>
      <c r="D57" s="411"/>
      <c r="E57" s="29">
        <v>57</v>
      </c>
      <c r="F57" s="29">
        <v>1</v>
      </c>
      <c r="G57" s="66">
        <v>9</v>
      </c>
      <c r="H57" s="29">
        <v>5</v>
      </c>
      <c r="J57" s="73">
        <v>14</v>
      </c>
      <c r="K57" s="47">
        <f>G57/J57*100</f>
        <v>64.285714285714292</v>
      </c>
      <c r="L57" s="47">
        <f>H57/J57*100</f>
        <v>35.714285714285715</v>
      </c>
      <c r="M57" s="47">
        <f>I57/J57*100</f>
        <v>0</v>
      </c>
      <c r="N57" s="68">
        <f t="shared" si="12"/>
        <v>100</v>
      </c>
      <c r="O57" s="46">
        <v>40</v>
      </c>
      <c r="P57" s="47">
        <v>21</v>
      </c>
      <c r="R57" s="48">
        <f>SUM(O57:P57)</f>
        <v>61</v>
      </c>
      <c r="S57" s="29">
        <v>2</v>
      </c>
      <c r="T57" s="286">
        <v>41915</v>
      </c>
      <c r="U57" s="295">
        <v>41948</v>
      </c>
      <c r="V57" s="38" t="s">
        <v>404</v>
      </c>
      <c r="W57" s="29" t="s">
        <v>75</v>
      </c>
      <c r="X57" s="29" t="s">
        <v>11</v>
      </c>
      <c r="Y57" s="39">
        <v>23</v>
      </c>
      <c r="Z57" s="38" t="s">
        <v>1134</v>
      </c>
      <c r="AA57" s="29" t="s">
        <v>1135</v>
      </c>
      <c r="AB57" s="29" t="s">
        <v>11</v>
      </c>
      <c r="AC57" s="29">
        <v>17</v>
      </c>
      <c r="AD57" s="38" t="s">
        <v>1034</v>
      </c>
      <c r="AE57" s="29" t="s">
        <v>932</v>
      </c>
      <c r="AF57" s="29" t="s">
        <v>18</v>
      </c>
      <c r="AG57" s="39">
        <v>21</v>
      </c>
      <c r="AL57" s="38"/>
      <c r="AO57" s="39"/>
      <c r="AP57" s="38"/>
      <c r="AS57" s="39"/>
      <c r="AW57" s="39"/>
      <c r="BA57" s="40"/>
    </row>
    <row r="58" spans="1:53" s="29" customFormat="1" x14ac:dyDescent="0.15">
      <c r="A58" s="29">
        <v>2015</v>
      </c>
      <c r="B58" s="277"/>
      <c r="C58" s="411" t="s">
        <v>1292</v>
      </c>
      <c r="D58" s="411"/>
      <c r="E58" s="29">
        <v>307</v>
      </c>
      <c r="G58" s="66">
        <v>9</v>
      </c>
      <c r="H58" s="29">
        <v>5</v>
      </c>
      <c r="J58" s="73">
        <v>14</v>
      </c>
      <c r="K58" s="47">
        <f t="shared" ref="K58:K59" si="13">G58/J58*100</f>
        <v>64.285714285714292</v>
      </c>
      <c r="L58" s="47">
        <f t="shared" ref="L58:L59" si="14">H58/J58*100</f>
        <v>35.714285714285715</v>
      </c>
      <c r="M58" s="47">
        <f t="shared" ref="M58:M59" si="15">I58/J58*100</f>
        <v>0</v>
      </c>
      <c r="N58" s="68">
        <f t="shared" ref="N58:N59" si="16">SUM(K58:M58)</f>
        <v>100</v>
      </c>
      <c r="O58" s="46">
        <v>40</v>
      </c>
      <c r="P58" s="47">
        <v>21</v>
      </c>
      <c r="R58" s="48">
        <f t="shared" ref="R58:R59" si="17">SUM(O58:P58)</f>
        <v>61</v>
      </c>
      <c r="S58" s="29">
        <v>2</v>
      </c>
      <c r="T58" s="286"/>
      <c r="U58" s="295"/>
      <c r="V58" s="38" t="s">
        <v>404</v>
      </c>
      <c r="W58" s="29" t="s">
        <v>75</v>
      </c>
      <c r="X58" s="29" t="s">
        <v>11</v>
      </c>
      <c r="Y58" s="39">
        <v>23</v>
      </c>
      <c r="Z58" s="38" t="s">
        <v>1134</v>
      </c>
      <c r="AA58" s="29" t="s">
        <v>1135</v>
      </c>
      <c r="AB58" s="29" t="s">
        <v>11</v>
      </c>
      <c r="AC58" s="29">
        <v>17</v>
      </c>
      <c r="AD58" s="38" t="s">
        <v>1034</v>
      </c>
      <c r="AE58" s="29" t="s">
        <v>932</v>
      </c>
      <c r="AF58" s="29" t="s">
        <v>18</v>
      </c>
      <c r="AG58" s="39">
        <v>21</v>
      </c>
      <c r="AL58" s="38"/>
      <c r="AO58" s="39"/>
      <c r="AP58" s="38"/>
      <c r="AS58" s="39"/>
      <c r="AW58" s="39"/>
      <c r="BA58" s="40"/>
    </row>
    <row r="59" spans="1:53" s="29" customFormat="1" x14ac:dyDescent="0.15">
      <c r="A59" s="29">
        <v>2015</v>
      </c>
      <c r="B59" s="303">
        <v>42312</v>
      </c>
      <c r="C59" s="411" t="s">
        <v>1292</v>
      </c>
      <c r="D59" s="411"/>
      <c r="E59" s="29">
        <v>58</v>
      </c>
      <c r="F59" s="84">
        <v>0</v>
      </c>
      <c r="G59" s="66">
        <v>8</v>
      </c>
      <c r="H59" s="29">
        <v>5</v>
      </c>
      <c r="J59" s="73">
        <v>13</v>
      </c>
      <c r="K59" s="47">
        <f t="shared" si="13"/>
        <v>61.53846153846154</v>
      </c>
      <c r="L59" s="47">
        <f t="shared" si="14"/>
        <v>38.461538461538467</v>
      </c>
      <c r="M59" s="47">
        <f t="shared" si="15"/>
        <v>0</v>
      </c>
      <c r="N59" s="68">
        <f t="shared" si="16"/>
        <v>100</v>
      </c>
      <c r="O59" s="46">
        <v>40</v>
      </c>
      <c r="P59" s="47">
        <v>21</v>
      </c>
      <c r="R59" s="48">
        <f t="shared" si="17"/>
        <v>61</v>
      </c>
      <c r="S59" s="29">
        <v>2</v>
      </c>
      <c r="T59" s="286"/>
      <c r="U59" s="295"/>
      <c r="V59" s="38" t="s">
        <v>404</v>
      </c>
      <c r="W59" s="29" t="s">
        <v>75</v>
      </c>
      <c r="X59" s="29" t="s">
        <v>11</v>
      </c>
      <c r="Y59" s="39">
        <v>23</v>
      </c>
      <c r="Z59" s="38" t="s">
        <v>1134</v>
      </c>
      <c r="AA59" s="29" t="s">
        <v>1135</v>
      </c>
      <c r="AB59" s="29" t="s">
        <v>11</v>
      </c>
      <c r="AC59" s="29">
        <v>17</v>
      </c>
      <c r="AD59" s="38" t="s">
        <v>1034</v>
      </c>
      <c r="AE59" s="29" t="s">
        <v>932</v>
      </c>
      <c r="AF59" s="29" t="s">
        <v>18</v>
      </c>
      <c r="AG59" s="39">
        <v>21</v>
      </c>
      <c r="AL59" s="38"/>
      <c r="AO59" s="39"/>
      <c r="AP59" s="38"/>
      <c r="AS59" s="39"/>
      <c r="AW59" s="39"/>
      <c r="BA59" s="40"/>
    </row>
    <row r="60" spans="1:53" s="29" customFormat="1" x14ac:dyDescent="0.15">
      <c r="A60" s="29">
        <v>2016</v>
      </c>
      <c r="B60" s="303"/>
      <c r="C60" s="411" t="s">
        <v>1292</v>
      </c>
      <c r="D60" s="411"/>
      <c r="E60" s="29">
        <v>41</v>
      </c>
      <c r="F60" s="84"/>
      <c r="G60" s="66">
        <v>8</v>
      </c>
      <c r="H60" s="29">
        <v>5</v>
      </c>
      <c r="J60" s="73">
        <v>13</v>
      </c>
      <c r="K60" s="47">
        <f t="shared" ref="K60:K63" si="18">G60/J60*100</f>
        <v>61.53846153846154</v>
      </c>
      <c r="L60" s="47">
        <f t="shared" ref="L60:L63" si="19">H60/J60*100</f>
        <v>38.461538461538467</v>
      </c>
      <c r="M60" s="47">
        <f t="shared" ref="M60:M63" si="20">I60/J60*100</f>
        <v>0</v>
      </c>
      <c r="N60" s="68">
        <f t="shared" ref="N60:N63" si="21">SUM(K60:M60)</f>
        <v>100</v>
      </c>
      <c r="O60" s="46">
        <v>40</v>
      </c>
      <c r="P60" s="47">
        <v>21</v>
      </c>
      <c r="R60" s="48">
        <f t="shared" ref="R60:R61" si="22">SUM(O60:P60)</f>
        <v>61</v>
      </c>
      <c r="S60" s="29">
        <v>2</v>
      </c>
      <c r="T60" s="286"/>
      <c r="U60" s="295"/>
      <c r="V60" s="38" t="s">
        <v>404</v>
      </c>
      <c r="W60" s="29" t="s">
        <v>75</v>
      </c>
      <c r="X60" s="29" t="s">
        <v>11</v>
      </c>
      <c r="Y60" s="39">
        <v>23</v>
      </c>
      <c r="Z60" s="38" t="s">
        <v>1134</v>
      </c>
      <c r="AA60" s="29" t="s">
        <v>1135</v>
      </c>
      <c r="AB60" s="29" t="s">
        <v>11</v>
      </c>
      <c r="AC60" s="29">
        <v>17</v>
      </c>
      <c r="AD60" s="38" t="s">
        <v>1034</v>
      </c>
      <c r="AE60" s="29" t="s">
        <v>932</v>
      </c>
      <c r="AF60" s="29" t="s">
        <v>18</v>
      </c>
      <c r="AG60" s="39">
        <v>21</v>
      </c>
      <c r="AL60" s="38"/>
      <c r="AO60" s="39"/>
      <c r="AP60" s="38"/>
      <c r="AS60" s="39"/>
      <c r="AW60" s="39"/>
      <c r="BA60" s="40"/>
    </row>
    <row r="61" spans="1:53" s="171" customFormat="1" x14ac:dyDescent="0.15">
      <c r="A61" s="171">
        <v>2016</v>
      </c>
      <c r="B61" s="283">
        <v>42411</v>
      </c>
      <c r="C61" s="410" t="s">
        <v>1345</v>
      </c>
      <c r="D61" s="410"/>
      <c r="E61" s="171">
        <v>325</v>
      </c>
      <c r="F61" s="191">
        <v>2</v>
      </c>
      <c r="G61" s="233">
        <v>8</v>
      </c>
      <c r="H61" s="171">
        <v>6</v>
      </c>
      <c r="J61" s="241">
        <v>14</v>
      </c>
      <c r="K61" s="214">
        <f t="shared" si="18"/>
        <v>57.142857142857139</v>
      </c>
      <c r="L61" s="214">
        <f t="shared" si="19"/>
        <v>42.857142857142854</v>
      </c>
      <c r="M61" s="214">
        <f t="shared" si="20"/>
        <v>0</v>
      </c>
      <c r="N61" s="235">
        <f t="shared" si="21"/>
        <v>100</v>
      </c>
      <c r="O61" s="213">
        <v>40</v>
      </c>
      <c r="P61" s="214">
        <v>21</v>
      </c>
      <c r="R61" s="215">
        <f t="shared" si="22"/>
        <v>61</v>
      </c>
      <c r="S61" s="171">
        <v>2</v>
      </c>
      <c r="T61" s="285"/>
      <c r="U61" s="283">
        <v>42411</v>
      </c>
      <c r="V61" s="178" t="s">
        <v>404</v>
      </c>
      <c r="W61" s="171" t="s">
        <v>75</v>
      </c>
      <c r="X61" s="171" t="s">
        <v>11</v>
      </c>
      <c r="Y61" s="179">
        <v>23</v>
      </c>
      <c r="Z61" s="178" t="s">
        <v>1134</v>
      </c>
      <c r="AA61" s="171" t="s">
        <v>1135</v>
      </c>
      <c r="AB61" s="171" t="s">
        <v>11</v>
      </c>
      <c r="AC61" s="171">
        <v>17</v>
      </c>
      <c r="AD61" s="178" t="s">
        <v>1034</v>
      </c>
      <c r="AE61" s="171" t="s">
        <v>932</v>
      </c>
      <c r="AF61" s="171" t="s">
        <v>18</v>
      </c>
      <c r="AG61" s="179">
        <v>21</v>
      </c>
      <c r="AL61" s="178"/>
      <c r="AO61" s="179"/>
      <c r="AP61" s="178"/>
      <c r="AS61" s="179"/>
      <c r="AW61" s="179"/>
      <c r="BA61" s="180"/>
    </row>
    <row r="62" spans="1:53" s="171" customFormat="1" x14ac:dyDescent="0.15">
      <c r="A62" s="171">
        <v>2017</v>
      </c>
      <c r="B62" s="283"/>
      <c r="C62" s="410" t="s">
        <v>1345</v>
      </c>
      <c r="D62" s="410"/>
      <c r="E62" s="171">
        <v>355</v>
      </c>
      <c r="F62" s="191"/>
      <c r="G62" s="233">
        <v>8</v>
      </c>
      <c r="H62" s="171">
        <v>6</v>
      </c>
      <c r="J62" s="241">
        <v>14</v>
      </c>
      <c r="K62" s="214">
        <f t="shared" si="18"/>
        <v>57.142857142857139</v>
      </c>
      <c r="L62" s="214">
        <f t="shared" si="19"/>
        <v>42.857142857142854</v>
      </c>
      <c r="M62" s="214">
        <f t="shared" si="20"/>
        <v>0</v>
      </c>
      <c r="N62" s="235">
        <f t="shared" si="21"/>
        <v>100</v>
      </c>
      <c r="O62" s="213">
        <v>40</v>
      </c>
      <c r="P62" s="214">
        <v>21</v>
      </c>
      <c r="R62" s="215">
        <f t="shared" ref="R62:R63" si="23">SUM(O62:P62)</f>
        <v>61</v>
      </c>
      <c r="S62" s="171">
        <v>2</v>
      </c>
      <c r="T62" s="285"/>
      <c r="U62" s="283"/>
      <c r="V62" s="178" t="s">
        <v>404</v>
      </c>
      <c r="W62" s="171" t="s">
        <v>75</v>
      </c>
      <c r="X62" s="171" t="s">
        <v>11</v>
      </c>
      <c r="Y62" s="179">
        <v>23</v>
      </c>
      <c r="Z62" s="178" t="s">
        <v>1134</v>
      </c>
      <c r="AA62" s="171" t="s">
        <v>1135</v>
      </c>
      <c r="AB62" s="171" t="s">
        <v>11</v>
      </c>
      <c r="AC62" s="171">
        <v>17</v>
      </c>
      <c r="AD62" s="178" t="s">
        <v>1034</v>
      </c>
      <c r="AE62" s="171" t="s">
        <v>932</v>
      </c>
      <c r="AF62" s="171" t="s">
        <v>18</v>
      </c>
      <c r="AG62" s="179">
        <v>21</v>
      </c>
      <c r="AL62" s="178"/>
      <c r="AO62" s="179"/>
      <c r="AP62" s="178"/>
      <c r="AS62" s="179"/>
      <c r="AW62" s="179"/>
      <c r="BA62" s="180"/>
    </row>
    <row r="63" spans="1:53" s="171" customFormat="1" x14ac:dyDescent="0.15">
      <c r="A63" s="171">
        <v>2017</v>
      </c>
      <c r="B63" s="301">
        <v>43091</v>
      </c>
      <c r="C63" s="410" t="s">
        <v>1345</v>
      </c>
      <c r="D63" s="410"/>
      <c r="E63" s="171">
        <v>10</v>
      </c>
      <c r="F63" s="192">
        <v>0</v>
      </c>
      <c r="G63" s="233">
        <v>8</v>
      </c>
      <c r="H63" s="171">
        <v>5</v>
      </c>
      <c r="J63" s="241">
        <v>13</v>
      </c>
      <c r="K63" s="214">
        <f t="shared" si="18"/>
        <v>61.53846153846154</v>
      </c>
      <c r="L63" s="214">
        <f t="shared" si="19"/>
        <v>38.461538461538467</v>
      </c>
      <c r="M63" s="214">
        <f t="shared" si="20"/>
        <v>0</v>
      </c>
      <c r="N63" s="235">
        <f t="shared" si="21"/>
        <v>100</v>
      </c>
      <c r="O63" s="213">
        <v>40</v>
      </c>
      <c r="P63" s="214">
        <v>21</v>
      </c>
      <c r="R63" s="215">
        <f t="shared" si="23"/>
        <v>61</v>
      </c>
      <c r="S63" s="171">
        <v>2</v>
      </c>
      <c r="T63" s="285"/>
      <c r="U63" s="283"/>
      <c r="V63" s="178" t="s">
        <v>404</v>
      </c>
      <c r="W63" s="171" t="s">
        <v>75</v>
      </c>
      <c r="X63" s="171" t="s">
        <v>11</v>
      </c>
      <c r="Y63" s="179">
        <v>23</v>
      </c>
      <c r="Z63" s="178" t="s">
        <v>1134</v>
      </c>
      <c r="AA63" s="171" t="s">
        <v>1135</v>
      </c>
      <c r="AB63" s="171" t="s">
        <v>11</v>
      </c>
      <c r="AC63" s="171">
        <v>17</v>
      </c>
      <c r="AD63" s="178" t="s">
        <v>1034</v>
      </c>
      <c r="AE63" s="171" t="s">
        <v>932</v>
      </c>
      <c r="AF63" s="171" t="s">
        <v>18</v>
      </c>
      <c r="AG63" s="179">
        <v>21</v>
      </c>
      <c r="AL63" s="178"/>
      <c r="AO63" s="179"/>
      <c r="AP63" s="178"/>
      <c r="AS63" s="179"/>
      <c r="AW63" s="179"/>
      <c r="BA63" s="180"/>
    </row>
    <row r="64" spans="1:53" s="171" customFormat="1" x14ac:dyDescent="0.15">
      <c r="A64" s="171">
        <v>2018</v>
      </c>
      <c r="B64" s="301"/>
      <c r="C64" s="410" t="s">
        <v>1345</v>
      </c>
      <c r="D64" s="410"/>
      <c r="E64" s="171">
        <v>330</v>
      </c>
      <c r="F64" s="192"/>
      <c r="G64" s="233">
        <v>8</v>
      </c>
      <c r="H64" s="171">
        <v>5</v>
      </c>
      <c r="J64" s="241">
        <v>13</v>
      </c>
      <c r="K64" s="214">
        <f t="shared" ref="K64:K65" si="24">G64/J64*100</f>
        <v>61.53846153846154</v>
      </c>
      <c r="L64" s="214">
        <f t="shared" ref="L64:L65" si="25">H64/J64*100</f>
        <v>38.461538461538467</v>
      </c>
      <c r="M64" s="214">
        <f t="shared" ref="M64:M65" si="26">I64/J64*100</f>
        <v>0</v>
      </c>
      <c r="N64" s="235">
        <f t="shared" ref="N64:N65" si="27">SUM(K64:M64)</f>
        <v>100</v>
      </c>
      <c r="O64" s="213">
        <v>40</v>
      </c>
      <c r="P64" s="214">
        <v>21</v>
      </c>
      <c r="R64" s="215">
        <f t="shared" ref="R64" si="28">SUM(O64:P64)</f>
        <v>61</v>
      </c>
      <c r="S64" s="171">
        <v>2</v>
      </c>
      <c r="T64" s="285"/>
      <c r="U64" s="283"/>
      <c r="V64" s="178" t="s">
        <v>404</v>
      </c>
      <c r="W64" s="171" t="s">
        <v>75</v>
      </c>
      <c r="X64" s="171" t="s">
        <v>11</v>
      </c>
      <c r="Y64" s="179">
        <v>23</v>
      </c>
      <c r="Z64" s="178" t="s">
        <v>1134</v>
      </c>
      <c r="AA64" s="171" t="s">
        <v>1135</v>
      </c>
      <c r="AB64" s="171" t="s">
        <v>11</v>
      </c>
      <c r="AC64" s="171">
        <v>17</v>
      </c>
      <c r="AD64" s="178" t="s">
        <v>1034</v>
      </c>
      <c r="AE64" s="171" t="s">
        <v>932</v>
      </c>
      <c r="AF64" s="171" t="s">
        <v>18</v>
      </c>
      <c r="AG64" s="179">
        <v>21</v>
      </c>
      <c r="AK64" s="179"/>
      <c r="AO64" s="179"/>
      <c r="AP64" s="178"/>
      <c r="AS64" s="179"/>
      <c r="AW64" s="179"/>
      <c r="BA64" s="180"/>
    </row>
    <row r="65" spans="1:53" s="171" customFormat="1" x14ac:dyDescent="0.15">
      <c r="A65" s="171">
        <v>2018</v>
      </c>
      <c r="B65" s="301">
        <v>43431</v>
      </c>
      <c r="C65" s="410" t="s">
        <v>1345</v>
      </c>
      <c r="D65" s="410"/>
      <c r="E65" s="171">
        <v>35</v>
      </c>
      <c r="F65" s="192">
        <v>0</v>
      </c>
      <c r="G65" s="233">
        <v>7</v>
      </c>
      <c r="H65" s="171">
        <v>6</v>
      </c>
      <c r="J65" s="241">
        <v>13</v>
      </c>
      <c r="K65" s="214">
        <f t="shared" si="24"/>
        <v>53.846153846153847</v>
      </c>
      <c r="L65" s="214">
        <f t="shared" si="25"/>
        <v>46.153846153846153</v>
      </c>
      <c r="M65" s="214">
        <f t="shared" si="26"/>
        <v>0</v>
      </c>
      <c r="N65" s="235">
        <f t="shared" si="27"/>
        <v>100</v>
      </c>
      <c r="O65" s="213">
        <v>21</v>
      </c>
      <c r="P65" s="214">
        <v>11</v>
      </c>
      <c r="R65" s="215">
        <f t="shared" ref="R65" si="29">SUM(O65:P65)</f>
        <v>32</v>
      </c>
      <c r="S65" s="171">
        <v>5</v>
      </c>
      <c r="T65" s="285">
        <v>43379</v>
      </c>
      <c r="U65" s="283"/>
      <c r="V65" s="178" t="s">
        <v>404</v>
      </c>
      <c r="W65" s="171" t="s">
        <v>75</v>
      </c>
      <c r="X65" s="171" t="s">
        <v>11</v>
      </c>
      <c r="Y65" s="179">
        <v>8</v>
      </c>
      <c r="Z65" s="178" t="s">
        <v>1134</v>
      </c>
      <c r="AA65" s="171" t="s">
        <v>1135</v>
      </c>
      <c r="AB65" s="171" t="s">
        <v>11</v>
      </c>
      <c r="AC65" s="171">
        <v>13</v>
      </c>
      <c r="AD65" s="178" t="s">
        <v>1034</v>
      </c>
      <c r="AE65" s="171" t="s">
        <v>932</v>
      </c>
      <c r="AF65" s="171" t="s">
        <v>18</v>
      </c>
      <c r="AG65" s="179">
        <v>11</v>
      </c>
      <c r="AK65" s="179"/>
      <c r="AO65" s="179"/>
      <c r="AS65" s="179"/>
      <c r="AW65" s="179"/>
      <c r="BA65" s="180"/>
    </row>
    <row r="66" spans="1:53" s="171" customFormat="1" x14ac:dyDescent="0.15">
      <c r="A66" s="171">
        <v>2019</v>
      </c>
      <c r="B66" s="301"/>
      <c r="C66" s="410" t="s">
        <v>1345</v>
      </c>
      <c r="D66" s="410"/>
      <c r="E66" s="171">
        <v>23</v>
      </c>
      <c r="F66" s="236"/>
      <c r="G66" s="171">
        <v>7</v>
      </c>
      <c r="H66" s="171">
        <v>6</v>
      </c>
      <c r="J66" s="241">
        <v>13</v>
      </c>
      <c r="K66" s="214">
        <f t="shared" ref="K66:K69" si="30">G66/J66*100</f>
        <v>53.846153846153847</v>
      </c>
      <c r="L66" s="214">
        <f t="shared" ref="L66:L69" si="31">H66/J66*100</f>
        <v>46.153846153846153</v>
      </c>
      <c r="M66" s="214">
        <f t="shared" ref="M66:M69" si="32">I66/J66*100</f>
        <v>0</v>
      </c>
      <c r="N66" s="235">
        <f t="shared" ref="N66:N69" si="33">SUM(K66:M66)</f>
        <v>100</v>
      </c>
      <c r="O66" s="213">
        <v>21</v>
      </c>
      <c r="P66" s="214">
        <v>11</v>
      </c>
      <c r="R66" s="215">
        <f t="shared" ref="R66:R69" si="34">SUM(O66:P66)</f>
        <v>32</v>
      </c>
      <c r="S66" s="171">
        <v>5</v>
      </c>
      <c r="T66" s="285"/>
      <c r="U66" s="298"/>
      <c r="V66" s="178" t="s">
        <v>404</v>
      </c>
      <c r="W66" s="171" t="s">
        <v>75</v>
      </c>
      <c r="X66" s="171" t="s">
        <v>11</v>
      </c>
      <c r="Y66" s="179">
        <v>8</v>
      </c>
      <c r="Z66" s="178" t="s">
        <v>1134</v>
      </c>
      <c r="AA66" s="171" t="s">
        <v>1135</v>
      </c>
      <c r="AB66" s="171" t="s">
        <v>11</v>
      </c>
      <c r="AC66" s="171">
        <v>13</v>
      </c>
      <c r="AD66" s="178" t="s">
        <v>1034</v>
      </c>
      <c r="AE66" s="171" t="s">
        <v>932</v>
      </c>
      <c r="AF66" s="171" t="s">
        <v>18</v>
      </c>
      <c r="AG66" s="179">
        <v>11</v>
      </c>
      <c r="AK66" s="179"/>
      <c r="AO66" s="179"/>
      <c r="AS66" s="179"/>
      <c r="AW66" s="179"/>
      <c r="BA66" s="180"/>
    </row>
    <row r="67" spans="1:53" s="29" customFormat="1" x14ac:dyDescent="0.15">
      <c r="A67" s="29">
        <v>2019</v>
      </c>
      <c r="B67" s="277">
        <v>43488</v>
      </c>
      <c r="C67" s="411" t="s">
        <v>1420</v>
      </c>
      <c r="D67" s="411"/>
      <c r="E67" s="29">
        <v>342</v>
      </c>
      <c r="F67" s="40">
        <v>1</v>
      </c>
      <c r="G67" s="29">
        <v>11</v>
      </c>
      <c r="H67" s="29">
        <v>3</v>
      </c>
      <c r="J67" s="73">
        <v>14</v>
      </c>
      <c r="K67" s="47">
        <f t="shared" si="30"/>
        <v>78.571428571428569</v>
      </c>
      <c r="L67" s="47">
        <f t="shared" si="31"/>
        <v>21.428571428571427</v>
      </c>
      <c r="M67" s="47">
        <f t="shared" si="32"/>
        <v>0</v>
      </c>
      <c r="N67" s="48">
        <f t="shared" si="33"/>
        <v>100</v>
      </c>
      <c r="O67" s="47">
        <v>53</v>
      </c>
      <c r="P67" s="47">
        <v>13</v>
      </c>
      <c r="R67" s="48">
        <f t="shared" si="34"/>
        <v>66</v>
      </c>
      <c r="S67" s="37">
        <v>3</v>
      </c>
      <c r="T67" s="286"/>
      <c r="U67" s="292">
        <v>43488</v>
      </c>
      <c r="V67" s="29" t="s">
        <v>404</v>
      </c>
      <c r="W67" s="29" t="s">
        <v>75</v>
      </c>
      <c r="X67" s="29" t="s">
        <v>11</v>
      </c>
      <c r="Y67" s="39">
        <v>8</v>
      </c>
      <c r="Z67" s="38" t="s">
        <v>1134</v>
      </c>
      <c r="AA67" s="29" t="s">
        <v>1135</v>
      </c>
      <c r="AB67" s="29" t="s">
        <v>11</v>
      </c>
      <c r="AC67" s="29">
        <v>13</v>
      </c>
      <c r="AD67" s="38" t="s">
        <v>1421</v>
      </c>
      <c r="AE67" s="29" t="s">
        <v>1436</v>
      </c>
      <c r="AF67" s="29" t="s">
        <v>11</v>
      </c>
      <c r="AG67" s="39">
        <v>16</v>
      </c>
      <c r="AH67" s="29" t="s">
        <v>1422</v>
      </c>
      <c r="AI67" s="29" t="s">
        <v>1423</v>
      </c>
      <c r="AJ67" s="29" t="s">
        <v>11</v>
      </c>
      <c r="AK67" s="39">
        <v>16</v>
      </c>
      <c r="AL67" s="29" t="s">
        <v>1424</v>
      </c>
      <c r="AM67" s="29" t="s">
        <v>99</v>
      </c>
      <c r="AN67" s="29" t="s">
        <v>1413</v>
      </c>
      <c r="AO67" s="39">
        <v>13</v>
      </c>
      <c r="AS67" s="39"/>
      <c r="AW67" s="39"/>
      <c r="BA67" s="40"/>
    </row>
    <row r="68" spans="1:53" s="29" customFormat="1" x14ac:dyDescent="0.15">
      <c r="A68" s="29">
        <v>2020</v>
      </c>
      <c r="B68" s="277"/>
      <c r="C68" s="411" t="s">
        <v>1420</v>
      </c>
      <c r="D68" s="411"/>
      <c r="E68" s="29">
        <v>0</v>
      </c>
      <c r="F68" s="40"/>
      <c r="G68" s="29">
        <v>11</v>
      </c>
      <c r="H68" s="29">
        <v>3</v>
      </c>
      <c r="J68" s="73">
        <v>14</v>
      </c>
      <c r="K68" s="47">
        <f t="shared" si="30"/>
        <v>78.571428571428569</v>
      </c>
      <c r="L68" s="47">
        <f t="shared" si="31"/>
        <v>21.428571428571427</v>
      </c>
      <c r="M68" s="47">
        <f t="shared" si="32"/>
        <v>0</v>
      </c>
      <c r="N68" s="48">
        <f t="shared" si="33"/>
        <v>100</v>
      </c>
      <c r="O68" s="47">
        <v>53</v>
      </c>
      <c r="P68" s="47">
        <v>13</v>
      </c>
      <c r="R68" s="48">
        <f t="shared" si="34"/>
        <v>66</v>
      </c>
      <c r="S68" s="37">
        <v>3</v>
      </c>
      <c r="T68" s="286"/>
      <c r="U68" s="292"/>
      <c r="V68" s="29" t="s">
        <v>404</v>
      </c>
      <c r="W68" s="29" t="s">
        <v>75</v>
      </c>
      <c r="X68" s="29" t="s">
        <v>11</v>
      </c>
      <c r="Y68" s="39">
        <v>8</v>
      </c>
      <c r="Z68" s="29" t="s">
        <v>1134</v>
      </c>
      <c r="AA68" s="29" t="s">
        <v>1135</v>
      </c>
      <c r="AB68" s="29" t="s">
        <v>11</v>
      </c>
      <c r="AC68" s="39">
        <v>13</v>
      </c>
      <c r="AD68" s="29" t="s">
        <v>1421</v>
      </c>
      <c r="AE68" s="29" t="s">
        <v>1436</v>
      </c>
      <c r="AF68" s="29" t="s">
        <v>11</v>
      </c>
      <c r="AG68" s="39">
        <v>16</v>
      </c>
      <c r="AH68" s="29" t="s">
        <v>1422</v>
      </c>
      <c r="AI68" s="29" t="s">
        <v>1423</v>
      </c>
      <c r="AJ68" s="29" t="s">
        <v>11</v>
      </c>
      <c r="AK68" s="39">
        <v>16</v>
      </c>
      <c r="AL68" s="29" t="s">
        <v>1424</v>
      </c>
      <c r="AM68" s="29" t="s">
        <v>99</v>
      </c>
      <c r="AN68" s="29" t="s">
        <v>1413</v>
      </c>
      <c r="AO68" s="39">
        <v>13</v>
      </c>
      <c r="AS68" s="39"/>
      <c r="AW68" s="39"/>
      <c r="BA68" s="40"/>
    </row>
    <row r="69" spans="1:53" s="29" customFormat="1" x14ac:dyDescent="0.15">
      <c r="A69" s="29">
        <v>2020</v>
      </c>
      <c r="B69" s="277"/>
      <c r="C69" s="411" t="s">
        <v>1420</v>
      </c>
      <c r="D69" s="411"/>
      <c r="E69" s="29">
        <v>366</v>
      </c>
      <c r="F69" s="40"/>
      <c r="G69" s="29">
        <v>11</v>
      </c>
      <c r="H69" s="29">
        <v>3</v>
      </c>
      <c r="J69" s="73">
        <v>14</v>
      </c>
      <c r="K69" s="47">
        <f t="shared" si="30"/>
        <v>78.571428571428569</v>
      </c>
      <c r="L69" s="47">
        <f t="shared" si="31"/>
        <v>21.428571428571427</v>
      </c>
      <c r="M69" s="47">
        <f t="shared" si="32"/>
        <v>0</v>
      </c>
      <c r="N69" s="48">
        <f t="shared" si="33"/>
        <v>100</v>
      </c>
      <c r="O69" s="47">
        <v>53</v>
      </c>
      <c r="P69" s="47">
        <v>13</v>
      </c>
      <c r="R69" s="48">
        <f t="shared" si="34"/>
        <v>66</v>
      </c>
      <c r="S69" s="37">
        <v>3</v>
      </c>
      <c r="T69" s="286"/>
      <c r="U69" s="292"/>
      <c r="V69" s="29" t="s">
        <v>404</v>
      </c>
      <c r="W69" s="29" t="s">
        <v>75</v>
      </c>
      <c r="X69" s="29" t="s">
        <v>11</v>
      </c>
      <c r="Y69" s="39">
        <v>8</v>
      </c>
      <c r="Z69" s="29" t="s">
        <v>1134</v>
      </c>
      <c r="AA69" s="29" t="s">
        <v>1135</v>
      </c>
      <c r="AB69" s="29" t="s">
        <v>11</v>
      </c>
      <c r="AC69" s="39">
        <v>13</v>
      </c>
      <c r="AD69" s="29" t="s">
        <v>1421</v>
      </c>
      <c r="AE69" s="29" t="s">
        <v>1436</v>
      </c>
      <c r="AF69" s="29" t="s">
        <v>11</v>
      </c>
      <c r="AG69" s="39">
        <v>16</v>
      </c>
      <c r="AH69" s="29" t="s">
        <v>1422</v>
      </c>
      <c r="AI69" s="29" t="s">
        <v>1423</v>
      </c>
      <c r="AJ69" s="29" t="s">
        <v>11</v>
      </c>
      <c r="AK69" s="39">
        <v>16</v>
      </c>
      <c r="AL69" s="29" t="s">
        <v>1424</v>
      </c>
      <c r="AM69" s="29" t="s">
        <v>99</v>
      </c>
      <c r="AN69" s="29" t="s">
        <v>1413</v>
      </c>
      <c r="AO69" s="39">
        <v>13</v>
      </c>
      <c r="AS69" s="39"/>
      <c r="AW69" s="39"/>
      <c r="BA69" s="40"/>
    </row>
    <row r="72" spans="1:53" ht="18" customHeight="1" x14ac:dyDescent="0.15">
      <c r="B72" s="16" t="s">
        <v>1264</v>
      </c>
    </row>
    <row r="73" spans="1:53" ht="9" customHeight="1" x14ac:dyDescent="0.15"/>
    <row r="74" spans="1:53" s="195" customFormat="1" ht="9" customHeight="1" x14ac:dyDescent="0.15">
      <c r="A74" s="193"/>
      <c r="B74" s="194" t="s">
        <v>1215</v>
      </c>
      <c r="C74" s="194"/>
      <c r="D74" s="194"/>
      <c r="E74" s="194"/>
      <c r="F74" s="194"/>
      <c r="G74" s="194" t="s">
        <v>1216</v>
      </c>
      <c r="H74" s="194"/>
      <c r="I74" s="194"/>
      <c r="J74" s="194"/>
      <c r="K74" s="194"/>
      <c r="L74" s="194"/>
      <c r="M74" s="194"/>
      <c r="N74" s="194"/>
      <c r="R74" s="388" t="s">
        <v>1217</v>
      </c>
      <c r="S74" s="388"/>
      <c r="T74" s="388"/>
      <c r="U74" s="388"/>
      <c r="V74" s="388"/>
      <c r="W74" s="388"/>
      <c r="X74" s="196"/>
      <c r="Y74" s="196"/>
      <c r="AA74" s="196"/>
      <c r="AB74" s="196"/>
      <c r="AC74" s="196"/>
      <c r="AD74" s="196"/>
    </row>
    <row r="75" spans="1:53" s="200" customFormat="1" ht="9" customHeight="1" x14ac:dyDescent="0.15">
      <c r="A75" s="197"/>
      <c r="B75" s="198" t="s">
        <v>1219</v>
      </c>
      <c r="C75" s="199"/>
      <c r="D75" s="199"/>
      <c r="E75" s="199"/>
      <c r="F75" s="199"/>
      <c r="G75" s="198" t="s">
        <v>1218</v>
      </c>
      <c r="H75" s="199"/>
      <c r="I75" s="199"/>
      <c r="J75" s="199"/>
      <c r="K75" s="199"/>
      <c r="L75" s="199"/>
      <c r="M75" s="199"/>
      <c r="N75" s="199"/>
      <c r="R75" s="201" t="s">
        <v>1220</v>
      </c>
      <c r="S75" s="202"/>
      <c r="T75" s="203"/>
      <c r="U75" s="203"/>
      <c r="V75" s="203"/>
      <c r="W75" s="201" t="s">
        <v>1221</v>
      </c>
      <c r="X75" s="203"/>
      <c r="Y75" s="203"/>
      <c r="AA75" s="203"/>
      <c r="AB75" s="203"/>
      <c r="AC75" s="203"/>
      <c r="AD75" s="203"/>
    </row>
    <row r="76" spans="1:53" s="186" customFormat="1" ht="12" customHeight="1" x14ac:dyDescent="0.15">
      <c r="A76" s="204" t="s">
        <v>3</v>
      </c>
      <c r="B76" s="205" t="s">
        <v>8</v>
      </c>
      <c r="C76" s="205" t="s">
        <v>9</v>
      </c>
      <c r="D76" s="205" t="s">
        <v>10</v>
      </c>
      <c r="E76" s="206" t="s">
        <v>1195</v>
      </c>
      <c r="F76" s="205"/>
      <c r="G76" s="186" t="s">
        <v>3</v>
      </c>
      <c r="H76" s="389" t="s">
        <v>0</v>
      </c>
      <c r="I76" s="389"/>
      <c r="J76" s="389" t="s">
        <v>1</v>
      </c>
      <c r="K76" s="389"/>
      <c r="L76" s="389" t="s">
        <v>2</v>
      </c>
      <c r="M76" s="389"/>
      <c r="N76" s="390" t="s">
        <v>1195</v>
      </c>
      <c r="O76" s="390"/>
      <c r="P76" s="207"/>
      <c r="Q76" s="207"/>
      <c r="R76" s="208" t="s">
        <v>3</v>
      </c>
      <c r="S76" s="209" t="s">
        <v>135</v>
      </c>
      <c r="T76" s="207" t="s">
        <v>133</v>
      </c>
      <c r="U76" s="205" t="s">
        <v>134</v>
      </c>
      <c r="V76" s="207"/>
      <c r="W76" s="210" t="s">
        <v>26</v>
      </c>
    </row>
    <row r="77" spans="1:53" x14ac:dyDescent="0.15">
      <c r="A77" s="1">
        <v>1990</v>
      </c>
      <c r="C77" s="5"/>
      <c r="D77" s="5"/>
      <c r="E77" s="18"/>
      <c r="G77" s="1">
        <v>1990</v>
      </c>
      <c r="H77" s="387"/>
      <c r="I77" s="387"/>
      <c r="J77" s="387"/>
      <c r="K77" s="387"/>
      <c r="L77" s="387"/>
      <c r="M77" s="387"/>
      <c r="N77" s="379"/>
      <c r="O77" s="379"/>
      <c r="R77" s="1">
        <v>1990</v>
      </c>
    </row>
    <row r="78" spans="1:53" x14ac:dyDescent="0.15">
      <c r="A78" s="1">
        <v>1991</v>
      </c>
      <c r="C78" s="5"/>
      <c r="D78" s="5"/>
      <c r="E78" s="18"/>
      <c r="G78" s="1">
        <v>1991</v>
      </c>
      <c r="H78" s="380"/>
      <c r="I78" s="380"/>
      <c r="J78" s="380"/>
      <c r="K78" s="380"/>
      <c r="L78" s="380"/>
      <c r="M78" s="380"/>
      <c r="N78" s="379"/>
      <c r="O78" s="379"/>
      <c r="R78" s="1">
        <v>1991</v>
      </c>
    </row>
    <row r="79" spans="1:53" x14ac:dyDescent="0.15">
      <c r="A79" s="1">
        <v>1992</v>
      </c>
      <c r="C79" s="5"/>
      <c r="D79" s="5"/>
      <c r="E79" s="18"/>
      <c r="G79" s="1">
        <v>1992</v>
      </c>
      <c r="H79" s="380"/>
      <c r="I79" s="380"/>
      <c r="J79" s="380"/>
      <c r="K79" s="380"/>
      <c r="L79" s="380"/>
      <c r="M79" s="380"/>
      <c r="N79" s="379"/>
      <c r="O79" s="379"/>
      <c r="R79" s="1">
        <v>1992</v>
      </c>
    </row>
    <row r="80" spans="1:53" x14ac:dyDescent="0.15">
      <c r="A80" s="1">
        <v>1993</v>
      </c>
      <c r="B80" s="5">
        <f>(K7*($E7/151))</f>
        <v>80</v>
      </c>
      <c r="C80" s="5">
        <f>(L7*($E7/151))</f>
        <v>0</v>
      </c>
      <c r="D80" s="5">
        <f>(M7*($E7/151))</f>
        <v>20</v>
      </c>
      <c r="E80" s="18">
        <f t="shared" ref="E80:E99" si="35">SUM(B80:D80)</f>
        <v>100</v>
      </c>
      <c r="G80" s="1">
        <v>1993</v>
      </c>
      <c r="H80" s="380">
        <f>(O7/$R7*100*($E7/151))</f>
        <v>75</v>
      </c>
      <c r="I80" s="380"/>
      <c r="J80" s="380">
        <f>(P7/$R7*100*($E7/151))</f>
        <v>0</v>
      </c>
      <c r="K80" s="380"/>
      <c r="L80" s="380">
        <f>(Q7/$R7*100*($E7/151))</f>
        <v>25</v>
      </c>
      <c r="M80" s="380"/>
      <c r="N80" s="379">
        <f t="shared" ref="N80:N95" si="36">SUM(H80:L80)</f>
        <v>100</v>
      </c>
      <c r="O80" s="379"/>
      <c r="R80" s="1">
        <v>1993</v>
      </c>
      <c r="S80" s="5">
        <f>(O7*($E7/151))</f>
        <v>36</v>
      </c>
      <c r="T80" s="5">
        <f>(P7*($E7/151))</f>
        <v>0</v>
      </c>
      <c r="U80" s="5">
        <f>(Q7*($E7/151))</f>
        <v>12</v>
      </c>
      <c r="W80" s="5">
        <f>SUM(S80:U80)</f>
        <v>48</v>
      </c>
      <c r="Y80" s="27" t="s">
        <v>1224</v>
      </c>
    </row>
    <row r="81" spans="1:23" x14ac:dyDescent="0.15">
      <c r="A81" s="1">
        <v>1994</v>
      </c>
      <c r="B81" s="5">
        <f>(K8*($E8/365))+(K9*($E9/365))</f>
        <v>75.350293542074368</v>
      </c>
      <c r="C81" s="5">
        <f>(L8*($E8/365))+(L9*($E9/365))</f>
        <v>0</v>
      </c>
      <c r="D81" s="5">
        <f>(M8*($E8/365))+(M9*($E9/365))</f>
        <v>16.195694716242659</v>
      </c>
      <c r="E81" s="18">
        <f t="shared" si="35"/>
        <v>91.545988258317024</v>
      </c>
      <c r="G81" s="1">
        <v>1994</v>
      </c>
      <c r="H81" s="380">
        <f>(O8/$R8*100*($E8/365))+(O9/$R9*100*($E9/365))</f>
        <v>82.397260273972606</v>
      </c>
      <c r="I81" s="380"/>
      <c r="J81" s="380">
        <f>(P8/$R8*100*($E8/365))+(P9/$R9*100*($E9/365))</f>
        <v>0</v>
      </c>
      <c r="K81" s="380"/>
      <c r="L81" s="380">
        <f>(Q8/$R8*100*($E8/365))+(Q9/$R9*100*($E9/365))</f>
        <v>17.602739726027398</v>
      </c>
      <c r="M81" s="380"/>
      <c r="N81" s="379">
        <f t="shared" si="36"/>
        <v>100</v>
      </c>
      <c r="O81" s="379"/>
      <c r="R81" s="1">
        <v>1994</v>
      </c>
      <c r="S81" s="5">
        <f>(O8*($E8/365))+(O9*($E9/365))</f>
        <v>36</v>
      </c>
      <c r="T81" s="5">
        <f>(P8*($E8/365))+(P9*($E9/365))</f>
        <v>0</v>
      </c>
      <c r="U81" s="5">
        <f>(Q8*($E8/365))+(Q9*($E9/365))</f>
        <v>8.4493150684931511</v>
      </c>
      <c r="W81" s="5">
        <f t="shared" ref="W81:W99" si="37">SUM(S81:U81)</f>
        <v>44.449315068493149</v>
      </c>
    </row>
    <row r="82" spans="1:23" x14ac:dyDescent="0.15">
      <c r="A82" s="1">
        <v>1995</v>
      </c>
      <c r="B82" s="5">
        <f>(K10*($E10/365))+(K11*($E11/365))</f>
        <v>64.043542074363998</v>
      </c>
      <c r="C82" s="5">
        <f>(L10*($E10/365))+(L11*($E11/365))</f>
        <v>0.18835616438356165</v>
      </c>
      <c r="D82" s="5">
        <f>(M10*($E10/365))+(M11*($E11/365))</f>
        <v>7.8693737769080228</v>
      </c>
      <c r="E82" s="18">
        <f t="shared" si="35"/>
        <v>72.101272015655582</v>
      </c>
      <c r="G82" s="1">
        <v>1995</v>
      </c>
      <c r="H82" s="380">
        <f>(O10/$R10*100*($E10/365))+(O11/$R11*100*($E11/365))</f>
        <v>98.596359542127985</v>
      </c>
      <c r="I82" s="380"/>
      <c r="J82" s="380">
        <f>(P10/$R10*100*($E10/365))+(P11/$R11*100*($E11/365))</f>
        <v>0.33026834302871083</v>
      </c>
      <c r="K82" s="380"/>
      <c r="L82" s="380">
        <f>(Q10/$R10*100*($E10/365))+(Q11/$R11*100*($E11/365))</f>
        <v>1.0733721148433102</v>
      </c>
      <c r="M82" s="380"/>
      <c r="N82" s="379">
        <f t="shared" si="36"/>
        <v>100</v>
      </c>
      <c r="O82" s="379"/>
      <c r="R82" s="1">
        <v>1995</v>
      </c>
      <c r="S82" s="5">
        <f>(O10*($E10/365))+(O11*($E11/365))</f>
        <v>36.090410958904108</v>
      </c>
      <c r="T82" s="5">
        <f>(P10*($E10/365))+(P11*($E11/365))</f>
        <v>0.24109589041095891</v>
      </c>
      <c r="U82" s="5">
        <f>(Q10*($E10/365))+(Q11*($E11/365))</f>
        <v>0.78356164383561644</v>
      </c>
      <c r="W82" s="5">
        <f t="shared" si="37"/>
        <v>37.115068493150687</v>
      </c>
    </row>
    <row r="83" spans="1:23" x14ac:dyDescent="0.15">
      <c r="A83" s="1">
        <v>1996</v>
      </c>
      <c r="B83" s="5">
        <f>(K12*($E12/366))+(K13*($E13/366))</f>
        <v>56.25</v>
      </c>
      <c r="C83" s="5">
        <f>(L12*($E12/366))+(L13*($E13/366))</f>
        <v>6.25</v>
      </c>
      <c r="D83" s="5">
        <f>(M12*($E12/366))+(M13*($E13/366))</f>
        <v>31.25</v>
      </c>
      <c r="E83" s="18">
        <f t="shared" si="35"/>
        <v>93.75</v>
      </c>
      <c r="G83" s="1">
        <v>1996</v>
      </c>
      <c r="H83" s="380">
        <f>(O12/$R12*100*($E12/366))+(O13/$R13*100*($E13/366))</f>
        <v>53.424657534246577</v>
      </c>
      <c r="I83" s="380"/>
      <c r="J83" s="380">
        <f>(P12/$R12*100*($E12/366))+(P13/$R13*100*($E13/366))</f>
        <v>10.95890410958904</v>
      </c>
      <c r="K83" s="380"/>
      <c r="L83" s="380">
        <f>(Q12/$R12*100*($E12/366))+(Q13/$R13*100*($E13/366))</f>
        <v>35.61643835616438</v>
      </c>
      <c r="M83" s="380"/>
      <c r="N83" s="379">
        <f t="shared" si="36"/>
        <v>100</v>
      </c>
      <c r="O83" s="379"/>
      <c r="R83" s="1">
        <v>1996</v>
      </c>
      <c r="S83" s="5">
        <f>(O12*($E12/366))+(O13*($E13/366))</f>
        <v>39</v>
      </c>
      <c r="T83" s="5">
        <f>(P12*($E12/366))+(P13*($E13/366))</f>
        <v>8</v>
      </c>
      <c r="U83" s="5">
        <f>(Q12*($E12/366))+(Q13*($E13/366))</f>
        <v>26</v>
      </c>
      <c r="W83" s="5">
        <f t="shared" si="37"/>
        <v>73</v>
      </c>
    </row>
    <row r="84" spans="1:23" x14ac:dyDescent="0.15">
      <c r="A84" s="1">
        <v>1997</v>
      </c>
      <c r="B84" s="5">
        <f>(K14*($E14/365))+(K15*($E15/365))+(K16*($E16/365))</f>
        <v>54.521449170872387</v>
      </c>
      <c r="C84" s="5">
        <f>(L14*($E14/365))+(L15*($E15/365))+(L16*($E16/365))</f>
        <v>14.413302090843548</v>
      </c>
      <c r="D84" s="5">
        <f>(M14*($E14/365))+(M15*($E15/365))+(M16*($E16/365))</f>
        <v>25.282083633741887</v>
      </c>
      <c r="E84" s="18">
        <f t="shared" si="35"/>
        <v>94.216834895457822</v>
      </c>
      <c r="G84" s="1">
        <v>1997</v>
      </c>
      <c r="H84" s="380">
        <f>(O14/$R14*100*($E14/365))+(O15/$R15*100*($E15/365))+(O16/$R16*100*($E16/365))</f>
        <v>59.225370613623575</v>
      </c>
      <c r="I84" s="380"/>
      <c r="J84" s="380">
        <f>(P14/$R14*100*($E14/365))+(P15/$R15*100*($E15/365))+(P16/$R16*100*($E16/365))</f>
        <v>12.148793972025349</v>
      </c>
      <c r="K84" s="380"/>
      <c r="L84" s="380">
        <f>(Q14/$R14*100*($E14/365))+(Q15/$R15*100*($E15/365))+(Q16/$R16*100*($E16/365))</f>
        <v>28.625835414351084</v>
      </c>
      <c r="M84" s="380"/>
      <c r="N84" s="379">
        <f t="shared" si="36"/>
        <v>100.00000000000001</v>
      </c>
      <c r="O84" s="379"/>
      <c r="R84" s="1">
        <v>1997</v>
      </c>
      <c r="S84" s="5">
        <f>(O14*($E14/365))+(O15*($E15/365))+(O16*($E16/365))</f>
        <v>39</v>
      </c>
      <c r="T84" s="5">
        <f>(P14*($E14/365))+(P15*($E15/365))+(P16*($E16/365))</f>
        <v>8</v>
      </c>
      <c r="U84" s="5">
        <f>(Q14*($E14/365))+(Q15*($E15/365))+(Q16*($E16/365))</f>
        <v>18.942465753424656</v>
      </c>
      <c r="W84" s="5">
        <f t="shared" si="37"/>
        <v>65.942465753424656</v>
      </c>
    </row>
    <row r="85" spans="1:23" x14ac:dyDescent="0.15">
      <c r="A85" s="1">
        <v>1998</v>
      </c>
      <c r="B85" s="5">
        <f>(K17*($E17/365))+(K18*($E18/365))+(K19*($E19/365))</f>
        <v>65.839831401475237</v>
      </c>
      <c r="C85" s="5">
        <f>(L17*($E17/365))+(L18*($E18/365))+(L19*($E19/365))</f>
        <v>25.252145115158818</v>
      </c>
      <c r="D85" s="5">
        <f>(M17*($E17/365))+(M18*($E18/365))+(M19*($E19/365))</f>
        <v>8.9080234833659482</v>
      </c>
      <c r="E85" s="18">
        <f t="shared" si="35"/>
        <v>100</v>
      </c>
      <c r="G85" s="1">
        <v>1998</v>
      </c>
      <c r="H85" s="380">
        <f>(O17/$R17*100*($E17/365))+(O18/$R18*100*($E18/365))+(O19/$R19*100*($E19/365))</f>
        <v>76.940571856839512</v>
      </c>
      <c r="I85" s="380"/>
      <c r="J85" s="380">
        <f>(P17/$R17*100*($E17/365))+(P18/$R18*100*($E18/365))+(P19/$R19*100*($E19/365))</f>
        <v>14.089814586462795</v>
      </c>
      <c r="K85" s="380"/>
      <c r="L85" s="380">
        <f>(Q17/$R17*100*($E17/365))+(Q18/$R18*100*($E18/365))+(Q19/$R19*100*($E19/365))</f>
        <v>8.9696135566977055</v>
      </c>
      <c r="M85" s="380"/>
      <c r="N85" s="379">
        <f t="shared" si="36"/>
        <v>100.00000000000001</v>
      </c>
      <c r="O85" s="379"/>
      <c r="R85" s="1">
        <v>1998</v>
      </c>
      <c r="S85" s="5">
        <f>(O17*($E17/365))+(O18*($E18/365))+(O19*($E19/365))</f>
        <v>39.197260273972603</v>
      </c>
      <c r="T85" s="5">
        <f>(P17*($E17/365))+(P18*($E18/365))+(P19*($E19/365))</f>
        <v>7.2109589041095896</v>
      </c>
      <c r="U85" s="5">
        <f>(Q17*($E17/365))+(Q18*($E18/365))+(Q19*($E19/365))</f>
        <v>5.5726027397260278</v>
      </c>
      <c r="W85" s="5">
        <f t="shared" si="37"/>
        <v>51.980821917808221</v>
      </c>
    </row>
    <row r="86" spans="1:23" x14ac:dyDescent="0.15">
      <c r="A86" s="1">
        <v>1999</v>
      </c>
      <c r="B86" s="5">
        <f>(K20*($E20/365))+(K21*($E21/365))+(K22*($E22/365))</f>
        <v>89.881278538812779</v>
      </c>
      <c r="C86" s="5">
        <f>(L20*($E20/365))+(L21*($E21/365))+(L22*($E22/365))</f>
        <v>0</v>
      </c>
      <c r="D86" s="5">
        <f>(M20*($E20/365))+(M21*($E21/365))+(M22*($E22/365))</f>
        <v>10.118721461187215</v>
      </c>
      <c r="E86" s="18">
        <f t="shared" si="35"/>
        <v>100</v>
      </c>
      <c r="G86" s="1">
        <v>1999</v>
      </c>
      <c r="H86" s="380">
        <f>(O20/$R20*100*($E20/365))+(O21/$R21*100*($E21/365))+(O22/$R22*100*($E22/365))</f>
        <v>82.98015096449538</v>
      </c>
      <c r="I86" s="380"/>
      <c r="J86" s="380">
        <f>(P20/$R20*100*($E20/365))+(P21/$R21*100*($E21/365))+(P22/$R22*100*($E22/365))</f>
        <v>0</v>
      </c>
      <c r="K86" s="380"/>
      <c r="L86" s="380">
        <f>(Q20/$R20*100*($E20/365))+(Q21/$R21*100*($E21/365))+(Q22/$R22*100*($E22/365))</f>
        <v>17.01984903550461</v>
      </c>
      <c r="M86" s="380"/>
      <c r="N86" s="379">
        <f t="shared" si="36"/>
        <v>99.999999999999986</v>
      </c>
      <c r="O86" s="379"/>
      <c r="R86" s="1">
        <v>1999</v>
      </c>
      <c r="S86" s="5">
        <f>(O20*($E20/365))+(O21*($E21/365))+(O22*($E22/365))</f>
        <v>50.723287671232875</v>
      </c>
      <c r="T86" s="5">
        <f>(P20*($E20/365))+(P21*($E21/365))+(P22*($E22/365))</f>
        <v>0</v>
      </c>
      <c r="U86" s="5">
        <f>(Q20*($E20/365))+(Q21*($E21/365))+(Q22*($E22/365))</f>
        <v>10.509589041095891</v>
      </c>
      <c r="W86" s="5">
        <f t="shared" si="37"/>
        <v>61.232876712328768</v>
      </c>
    </row>
    <row r="87" spans="1:23" x14ac:dyDescent="0.15">
      <c r="A87" s="1">
        <v>2000</v>
      </c>
      <c r="B87" s="5">
        <f>(K23*($E23/366))+(K24*($E24/366))</f>
        <v>91.183970856102007</v>
      </c>
      <c r="C87" s="5">
        <f>(L23*($E23/366))+(L24*($E24/366))</f>
        <v>0</v>
      </c>
      <c r="D87" s="5">
        <f>(M23*($E23/366))+(M24*($E24/366))</f>
        <v>8.8160291438979961</v>
      </c>
      <c r="E87" s="18">
        <f t="shared" si="35"/>
        <v>100</v>
      </c>
      <c r="G87" s="1">
        <v>2000</v>
      </c>
      <c r="H87" s="380">
        <f>(O23/$R23*100*($E23/366))+(O24/$R24*100*($E24/366))</f>
        <v>92.44340359094457</v>
      </c>
      <c r="I87" s="380"/>
      <c r="J87" s="380">
        <f>(P23/$R23*100*($E23/366))+(P24/$R24*100*($E24/366))</f>
        <v>0</v>
      </c>
      <c r="K87" s="380"/>
      <c r="L87" s="380">
        <f>(Q23/$R23*100*($E23/366))+(Q24/$R24*100*($E24/366))</f>
        <v>7.556596409055425</v>
      </c>
      <c r="M87" s="380"/>
      <c r="N87" s="379">
        <f t="shared" si="36"/>
        <v>100</v>
      </c>
      <c r="O87" s="379"/>
      <c r="R87" s="1">
        <v>2000</v>
      </c>
      <c r="S87" s="5">
        <f>(O23*($E23/366))+(O24*($E24/366))</f>
        <v>62</v>
      </c>
      <c r="T87" s="5">
        <f>(P23*($E23/366))+(P24*($E24/366))</f>
        <v>0</v>
      </c>
      <c r="U87" s="5">
        <f>(Q23*($E23/366))+(Q24*($E24/366))</f>
        <v>5.2896174863387975</v>
      </c>
      <c r="W87" s="5">
        <f t="shared" si="37"/>
        <v>67.289617486338798</v>
      </c>
    </row>
    <row r="88" spans="1:23" x14ac:dyDescent="0.15">
      <c r="A88" s="1">
        <v>2001</v>
      </c>
      <c r="B88" s="5">
        <f>(K25*($E25/365))+(K26*($E26/365))</f>
        <v>86.666666666666671</v>
      </c>
      <c r="C88" s="5">
        <f>(L25*($E25/365))+(L26*($E26/365))</f>
        <v>0</v>
      </c>
      <c r="D88" s="5">
        <f>(M25*($E25/365))+(M26*($E26/365))</f>
        <v>13.333333333333334</v>
      </c>
      <c r="E88" s="18">
        <f t="shared" si="35"/>
        <v>100</v>
      </c>
      <c r="G88" s="1">
        <v>2001</v>
      </c>
      <c r="H88" s="380">
        <f>(O25/$R25*100*($E25/365))+(O26/$R26*100*($E26/365))</f>
        <v>88.571428571428569</v>
      </c>
      <c r="I88" s="380"/>
      <c r="J88" s="380">
        <f>(P25/$R25*100*($E25/365))+(P26/$R26*100*($E26/365))</f>
        <v>0</v>
      </c>
      <c r="K88" s="380"/>
      <c r="L88" s="380">
        <f>(Q25/$R25*100*($E25/365))+(Q26/$R26*100*($E26/365))</f>
        <v>11.428571428571429</v>
      </c>
      <c r="M88" s="380"/>
      <c r="N88" s="379">
        <f t="shared" si="36"/>
        <v>100</v>
      </c>
      <c r="O88" s="379"/>
      <c r="R88" s="1">
        <v>2001</v>
      </c>
      <c r="S88" s="5">
        <f>(O25*($E25/365))+(O26*($E26/365))</f>
        <v>62</v>
      </c>
      <c r="T88" s="5">
        <f>(P25*($E25/365))+(P26*($E26/365))</f>
        <v>0</v>
      </c>
      <c r="U88" s="5">
        <f>(Q25*($E25/365))+(Q26*($E26/365))</f>
        <v>8</v>
      </c>
      <c r="W88" s="5">
        <f t="shared" si="37"/>
        <v>70</v>
      </c>
    </row>
    <row r="89" spans="1:23" x14ac:dyDescent="0.15">
      <c r="A89" s="1">
        <v>2002</v>
      </c>
      <c r="B89" s="5">
        <f>(K27*($E27/365))+(K28*($E28/365))</f>
        <v>82.675799086757991</v>
      </c>
      <c r="C89" s="5">
        <f>(L27*($E27/365))+(L28*($E28/365))</f>
        <v>6.0730593607305945</v>
      </c>
      <c r="D89" s="5">
        <f>(M27*($E27/365))+(M28*($E28/365))</f>
        <v>11.251141552511415</v>
      </c>
      <c r="E89" s="18">
        <f t="shared" si="35"/>
        <v>100</v>
      </c>
      <c r="G89" s="1">
        <v>2002</v>
      </c>
      <c r="H89" s="380">
        <f>(O27/$R27*100*($E27/365))+(O28/$R28*100*($E28/365))</f>
        <v>84.109589041095887</v>
      </c>
      <c r="I89" s="380"/>
      <c r="J89" s="380">
        <f>(P27/$R27*100*($E27/365))+(P28/$R28*100*($E28/365))</f>
        <v>6.2465753424657535</v>
      </c>
      <c r="K89" s="380"/>
      <c r="L89" s="380">
        <f>(Q27/$R27*100*($E27/365))+(Q28/$R28*100*($E28/365))</f>
        <v>9.6438356164383556</v>
      </c>
      <c r="M89" s="380"/>
      <c r="N89" s="379">
        <f t="shared" si="36"/>
        <v>99.999999999999986</v>
      </c>
      <c r="O89" s="379"/>
      <c r="R89" s="1">
        <v>2002</v>
      </c>
      <c r="S89" s="5">
        <f>(O27*($E27/365))+(O28*($E28/365))</f>
        <v>57.471232876712328</v>
      </c>
      <c r="T89" s="5">
        <f>(P27*($E27/365))+(P28*($E28/365))</f>
        <v>3.4356164383561643</v>
      </c>
      <c r="U89" s="5">
        <f>(Q27*($E27/365))+(Q28*($E28/365))</f>
        <v>6.7506849315068491</v>
      </c>
      <c r="W89" s="5">
        <f t="shared" si="37"/>
        <v>67.657534246575338</v>
      </c>
    </row>
    <row r="90" spans="1:23" x14ac:dyDescent="0.15">
      <c r="A90" s="1">
        <v>2003</v>
      </c>
      <c r="B90" s="5">
        <f>(K29*($E29/365))+(K30*($E30/365))</f>
        <v>61.111111111111114</v>
      </c>
      <c r="C90" s="5">
        <f>(L29*($E29/365))+(L30*($E30/365))</f>
        <v>38.888888888888893</v>
      </c>
      <c r="D90" s="5">
        <f>(M29*($E29/365))+(M30*($E30/365))</f>
        <v>0</v>
      </c>
      <c r="E90" s="18">
        <f t="shared" si="35"/>
        <v>100</v>
      </c>
      <c r="G90" s="1">
        <v>2003</v>
      </c>
      <c r="H90" s="380">
        <f>(O29/$R29*100*($E29/365))+(O30/$R30*100*($E30/365))</f>
        <v>60</v>
      </c>
      <c r="I90" s="380"/>
      <c r="J90" s="380">
        <f>(P29/$R29*100*($E29/365))+(P30/$R30*100*($E30/365))</f>
        <v>40</v>
      </c>
      <c r="K90" s="380"/>
      <c r="L90" s="380">
        <f>(Q29/$R29*100*($E29/365))+(Q30/$R30*100*($E30/365))</f>
        <v>0</v>
      </c>
      <c r="M90" s="380"/>
      <c r="N90" s="379">
        <f t="shared" si="36"/>
        <v>100</v>
      </c>
      <c r="O90" s="379"/>
      <c r="R90" s="1">
        <v>2003</v>
      </c>
      <c r="S90" s="5">
        <f>(O29*($E29/365))+(O30*($E30/365))</f>
        <v>33</v>
      </c>
      <c r="T90" s="5">
        <f>(P29*($E29/365))+(P30*($E30/365))</f>
        <v>22</v>
      </c>
      <c r="U90" s="5">
        <f>(Q29*($E29/365))+(Q30*($E30/365))</f>
        <v>0</v>
      </c>
      <c r="W90" s="5">
        <f t="shared" si="37"/>
        <v>55</v>
      </c>
    </row>
    <row r="91" spans="1:23" x14ac:dyDescent="0.15">
      <c r="A91" s="1">
        <v>2004</v>
      </c>
      <c r="B91" s="5">
        <f>(K31*($E31/366))+(K32*($E32/366))+(K33*($E33/366))</f>
        <v>37.158469945355193</v>
      </c>
      <c r="C91" s="5">
        <f>(L31*($E31/366))+(L32*($E32/366))+(L33*($E33/366))</f>
        <v>54.705525197328477</v>
      </c>
      <c r="D91" s="5">
        <f>(M31*($E31/366))+(M32*($E32/366))+(M33*($E33/366))</f>
        <v>0</v>
      </c>
      <c r="E91" s="18">
        <f t="shared" si="35"/>
        <v>91.863995142683677</v>
      </c>
      <c r="G91" s="1">
        <v>2004</v>
      </c>
      <c r="H91" s="380">
        <f>(O31/$R31*100*($E31/366))+(O32/$R32*100*($E32/366))+(O33/$R33*100*($E33/366))</f>
        <v>51.560974116422528</v>
      </c>
      <c r="I91" s="380"/>
      <c r="J91" s="380">
        <f>(P31/$R31*100*($E31/366))+(P32/$R32*100*($E32/366))+(P33/$R33*100*($E33/366))</f>
        <v>48.439025883577479</v>
      </c>
      <c r="K91" s="380"/>
      <c r="L91" s="380">
        <f>(Q31/$R31*100*($E31/366))+(Q32/$R32*100*($E32/366))+(Q33/$R33*100*($E33/366))</f>
        <v>0</v>
      </c>
      <c r="M91" s="380"/>
      <c r="N91" s="379">
        <f t="shared" si="36"/>
        <v>100</v>
      </c>
      <c r="O91" s="379"/>
      <c r="R91" s="1">
        <v>2004</v>
      </c>
      <c r="S91" s="5">
        <f>(O31*($E31/366))+(O32*($E32/366))+(O33*($E33/366))</f>
        <v>24.546448087431692</v>
      </c>
      <c r="T91" s="5">
        <f>(P31*($E31/366))+(P32*($E32/366))+(P33*($E33/366))</f>
        <v>22</v>
      </c>
      <c r="U91" s="5">
        <f>(Q31*($E31/366))+(Q32*($E32/366))+(Q33*($E33/366))</f>
        <v>0</v>
      </c>
      <c r="W91" s="5">
        <f t="shared" si="37"/>
        <v>46.546448087431692</v>
      </c>
    </row>
    <row r="92" spans="1:23" x14ac:dyDescent="0.15">
      <c r="A92" s="1">
        <v>2005</v>
      </c>
      <c r="B92" s="5">
        <f>(K34*($E34/365))+(K35*($E35/365))</f>
        <v>66.666666666666657</v>
      </c>
      <c r="C92" s="5">
        <f>(L34*($E34/365))+(L35*($E35/365))</f>
        <v>33.333333333333329</v>
      </c>
      <c r="D92" s="5">
        <f>(M34*($E34/365))+(M35*($E35/365))</f>
        <v>0</v>
      </c>
      <c r="E92" s="18">
        <f t="shared" si="35"/>
        <v>99.999999999999986</v>
      </c>
      <c r="G92" s="1">
        <v>2005</v>
      </c>
      <c r="H92" s="380">
        <f>(O34/$R34*100*($E34/365))+(O35/$R35*100*($E35/365))</f>
        <v>67.64705882352942</v>
      </c>
      <c r="I92" s="380"/>
      <c r="J92" s="380">
        <f>(P34/$R34*100*($E34/365))+(P35/$R35*100*($E35/365))</f>
        <v>32.352941176470587</v>
      </c>
      <c r="K92" s="380"/>
      <c r="L92" s="380">
        <f>(Q34/$R34*100*($E34/365))+(Q35/$R35*100*($E35/365))</f>
        <v>0</v>
      </c>
      <c r="M92" s="380"/>
      <c r="N92" s="379">
        <f t="shared" si="36"/>
        <v>100</v>
      </c>
      <c r="O92" s="379"/>
      <c r="R92" s="1">
        <v>2005</v>
      </c>
      <c r="S92" s="5">
        <f>(O34*($E34/365))+(O35*($E35/365))</f>
        <v>46</v>
      </c>
      <c r="T92" s="5">
        <f>(P34*($E34/365))+(P35*($E35/365))</f>
        <v>22</v>
      </c>
      <c r="U92" s="5">
        <f>(Q34*($E34/365))+(Q35*($E35/365))</f>
        <v>0</v>
      </c>
      <c r="W92" s="5">
        <f t="shared" si="37"/>
        <v>68</v>
      </c>
    </row>
    <row r="93" spans="1:23" x14ac:dyDescent="0.15">
      <c r="A93" s="1">
        <v>2006</v>
      </c>
      <c r="B93" s="5">
        <f>(K36*($E36/365))+(K37*($E37/365))+(K38*($E38/365))</f>
        <v>54.429223744292237</v>
      </c>
      <c r="C93" s="5">
        <f>(L36*($E36/365))+(L37*($E37/365))+(L38*($E38/365))</f>
        <v>45.570776255707763</v>
      </c>
      <c r="D93" s="5">
        <f>(M36*($E36/365))+(M37*($E37/365))+(M38*($E38/365))</f>
        <v>0</v>
      </c>
      <c r="E93" s="18">
        <f t="shared" si="35"/>
        <v>100</v>
      </c>
      <c r="G93" s="1">
        <v>2006</v>
      </c>
      <c r="H93" s="380">
        <f>(O36/$R36*100*($E36/365))+(O37/$R37*100*($E37/365))+(O38/$R38*100*($E38/365))</f>
        <v>53.683431115654997</v>
      </c>
      <c r="I93" s="380"/>
      <c r="J93" s="380">
        <f>(P36/$R36*100*($E36/365))+(P37/$R37*100*($E37/365))+(P38/$R38*100*($E38/365))</f>
        <v>46.31656888434501</v>
      </c>
      <c r="K93" s="380"/>
      <c r="L93" s="380">
        <f>(Q36/$R36*100*($E36/365))+(Q37/$R37*100*($E37/365))+(Q38/$R38*100*($E38/365))</f>
        <v>0</v>
      </c>
      <c r="M93" s="380"/>
      <c r="N93" s="379">
        <f t="shared" si="36"/>
        <v>100</v>
      </c>
      <c r="O93" s="379"/>
      <c r="R93" s="1">
        <v>2006</v>
      </c>
      <c r="S93" s="5">
        <f>(O36*($E36/365))+(O37*($E37/365))+(O38*($E38/365))</f>
        <v>28.567123287671233</v>
      </c>
      <c r="T93" s="5">
        <f>(P36*($E36/365))+(P37*($E37/365))+(P38*($E38/365))</f>
        <v>22.904109589041099</v>
      </c>
      <c r="U93" s="5">
        <f>(Q36*($E36/365))+(Q37*($E37/365))+(Q38*($E38/365))</f>
        <v>0</v>
      </c>
      <c r="W93" s="5">
        <f t="shared" si="37"/>
        <v>51.471232876712335</v>
      </c>
    </row>
    <row r="94" spans="1:23" x14ac:dyDescent="0.15">
      <c r="A94" s="1">
        <v>2007</v>
      </c>
      <c r="B94" s="5">
        <f>(K39*($E39/365))+(K40*($E40/365))</f>
        <v>50.086517664023077</v>
      </c>
      <c r="C94" s="5">
        <f>(L39*($E39/365))+(L40*($E40/365))</f>
        <v>49.91348233597693</v>
      </c>
      <c r="D94" s="5">
        <f>(M39*($E39/365))+(M40*($E40/365))</f>
        <v>0</v>
      </c>
      <c r="E94" s="18">
        <f t="shared" si="35"/>
        <v>100</v>
      </c>
      <c r="G94" s="1">
        <v>2007</v>
      </c>
      <c r="H94" s="380">
        <f>(O39/$R39*100*($E39/365))+(O40/$R40*100*($E40/365))</f>
        <v>52.542372881355938</v>
      </c>
      <c r="I94" s="380"/>
      <c r="J94" s="380">
        <f>(P39/$R39*100*($E39/365))+(P40/$R40*100*($E40/365))</f>
        <v>47.457627118644069</v>
      </c>
      <c r="K94" s="380"/>
      <c r="L94" s="380">
        <f>(Q39/$R39*100*($E39/365))+(Q40/$R40*100*($E40/365))</f>
        <v>0</v>
      </c>
      <c r="M94" s="380"/>
      <c r="N94" s="379">
        <f t="shared" si="36"/>
        <v>100</v>
      </c>
      <c r="O94" s="379"/>
      <c r="R94" s="1">
        <v>2007</v>
      </c>
      <c r="S94" s="5">
        <f>(O39*($E39/365))+(O40*($E40/365))</f>
        <v>31</v>
      </c>
      <c r="T94" s="5">
        <f>(P39*($E39/365))+(P40*($E40/365))</f>
        <v>28.000000000000004</v>
      </c>
      <c r="U94" s="5">
        <f>(Q39*($E39/365))+(Q40*($E40/365))</f>
        <v>0</v>
      </c>
      <c r="W94" s="5">
        <f t="shared" si="37"/>
        <v>59</v>
      </c>
    </row>
    <row r="95" spans="1:23" x14ac:dyDescent="0.15">
      <c r="A95" s="1">
        <v>2008</v>
      </c>
      <c r="B95" s="5">
        <f>(K41*($E41/366))+(K42*($E42/366))</f>
        <v>52.631578947368418</v>
      </c>
      <c r="C95" s="5">
        <f>(L41*($E41/366))+(L42*($E42/366))</f>
        <v>47.368421052631575</v>
      </c>
      <c r="D95" s="5">
        <f>(M41*($E41/366))+(M42*($E42/366))</f>
        <v>0</v>
      </c>
      <c r="E95" s="18">
        <f t="shared" si="35"/>
        <v>100</v>
      </c>
      <c r="G95" s="1">
        <v>2008</v>
      </c>
      <c r="H95" s="380">
        <f>(O41/$R41*100*($E41/366))+(O42/$R42*100*($E42/366))</f>
        <v>52.542372881355938</v>
      </c>
      <c r="I95" s="380"/>
      <c r="J95" s="380">
        <f>(P41/$R41*100*($E41/366))+(P42/$R42*100*($E42/366))</f>
        <v>47.457627118644069</v>
      </c>
      <c r="K95" s="380"/>
      <c r="L95" s="380">
        <f>(Q41/$R41*100*($E41/366))+(Q42/$R42*100*($E42/366))</f>
        <v>0</v>
      </c>
      <c r="M95" s="380"/>
      <c r="N95" s="379">
        <f t="shared" si="36"/>
        <v>100</v>
      </c>
      <c r="O95" s="379"/>
      <c r="R95" s="1">
        <v>2008</v>
      </c>
      <c r="S95" s="5">
        <f>(O41*($E41/366))+(O42*($E42/366))</f>
        <v>31</v>
      </c>
      <c r="T95" s="5">
        <f>(P41*($E41/366))+(P42*($E42/366))</f>
        <v>28</v>
      </c>
      <c r="U95" s="5">
        <f>(Q41*($E41/366))+(Q42*($E42/366))</f>
        <v>0</v>
      </c>
      <c r="W95" s="5">
        <f t="shared" si="37"/>
        <v>59</v>
      </c>
    </row>
    <row r="96" spans="1:23" x14ac:dyDescent="0.15">
      <c r="A96" s="1">
        <v>2009</v>
      </c>
      <c r="B96" s="5">
        <f>(K43*($E43/365))+(K44*($E44/365))</f>
        <v>69.363133862052379</v>
      </c>
      <c r="C96" s="5">
        <f>(L43*($E43/365))+(L44*($E44/365))</f>
        <v>30.636866137947607</v>
      </c>
      <c r="D96" s="5">
        <f>(M43*($E43/365))+(M44*($E44/365))</f>
        <v>0</v>
      </c>
      <c r="E96" s="18">
        <f t="shared" si="35"/>
        <v>99.999999999999986</v>
      </c>
      <c r="G96" s="1">
        <v>2009</v>
      </c>
      <c r="H96" s="380">
        <f>(O43/$R43*100*($E43/365))+(O44/$R44*100*($E44/365))</f>
        <v>69.18518621196317</v>
      </c>
      <c r="I96" s="380"/>
      <c r="J96" s="380">
        <f>(P43/$R43*100*($E43/365))+(P44/$R44*100*($E44/365))</f>
        <v>30.81481378803683</v>
      </c>
      <c r="K96" s="380"/>
      <c r="L96" s="380">
        <f>(Q43/$R43*100*($E43/365))+(Q44/$R44*100*($E44/365))</f>
        <v>0</v>
      </c>
      <c r="M96" s="380"/>
      <c r="N96" s="379">
        <f t="shared" ref="N96:N101" si="38">SUM(H96:L96)</f>
        <v>100</v>
      </c>
      <c r="O96" s="379"/>
      <c r="R96" s="1">
        <v>2009</v>
      </c>
      <c r="S96" s="5">
        <f>(O43*($E43/365))+(O44*($E44/365))</f>
        <v>45.547945205479451</v>
      </c>
      <c r="T96" s="5">
        <f>(P43*($E43/365))+(P44*($E44/365))</f>
        <v>19.917808219178085</v>
      </c>
      <c r="U96" s="5">
        <f>(Q43*($E43/365))+(Q44*($E44/365))</f>
        <v>0</v>
      </c>
      <c r="W96" s="5">
        <f t="shared" si="37"/>
        <v>65.465753424657535</v>
      </c>
    </row>
    <row r="97" spans="1:23" x14ac:dyDescent="0.15">
      <c r="A97" s="1">
        <v>2010</v>
      </c>
      <c r="B97" s="5">
        <f>(K45*($E45/365))+(K46*($E46/365))+(K47*($E47/365))</f>
        <v>58.397912589693419</v>
      </c>
      <c r="C97" s="5">
        <f>(L45*($E45/365))+(L46*($E46/365))+(L47*($E47/365))</f>
        <v>33.419439008480104</v>
      </c>
      <c r="D97" s="5">
        <f>(M45*($E45/365))+(M46*($E46/365))+(M47*($E47/365))</f>
        <v>0</v>
      </c>
      <c r="E97" s="18">
        <f t="shared" si="35"/>
        <v>91.817351598173531</v>
      </c>
      <c r="G97" s="1">
        <v>2010</v>
      </c>
      <c r="H97" s="380">
        <f>(O45/$R45*100*($E45/365))+(O46/$R46*100*($E46/365))+(O47/$R47*100*($E47/365))</f>
        <v>62.356833516105652</v>
      </c>
      <c r="I97" s="380"/>
      <c r="J97" s="380">
        <f>(P45/$R45*100*($E45/365))+(P46/$R46*100*($E46/365))+(P47/$R47*100*($E47/365))</f>
        <v>37.643166483894355</v>
      </c>
      <c r="K97" s="380"/>
      <c r="L97" s="380">
        <f>(Q45/$R45*100*($E45/365))+(Q46/$R46*100*($E46/365))+(Q47/$R47*100*($E47/365))</f>
        <v>0</v>
      </c>
      <c r="M97" s="380"/>
      <c r="N97" s="379">
        <f t="shared" si="38"/>
        <v>100</v>
      </c>
      <c r="O97" s="379"/>
      <c r="R97" s="1">
        <v>2010</v>
      </c>
      <c r="S97" s="5">
        <f>(O45*($E45/365))+(O46*($E46/365))+(O47*($E47/365))</f>
        <v>32.254794520547946</v>
      </c>
      <c r="T97" s="5">
        <f>(P45*($E45/365))+(P46*($E46/365))+(P47*($E47/365))</f>
        <v>18.657534246575342</v>
      </c>
      <c r="U97" s="5">
        <f>(Q45*($E45/365))+(Q46*($E46/365))+(Q47*($E47/365))</f>
        <v>0</v>
      </c>
      <c r="W97" s="5">
        <f t="shared" si="37"/>
        <v>50.912328767123284</v>
      </c>
    </row>
    <row r="98" spans="1:23" x14ac:dyDescent="0.15">
      <c r="A98" s="1">
        <v>2011</v>
      </c>
      <c r="B98" s="5">
        <f>(K48*($E48/365))+(K49*($E49/365))</f>
        <v>65.127201565557726</v>
      </c>
      <c r="C98" s="5">
        <f>(L48*($E48/365))+(L49*($E49/365))</f>
        <v>34.872798434442267</v>
      </c>
      <c r="D98" s="5">
        <f>(M48*($E48/365))+(M49*($E49/365))</f>
        <v>0</v>
      </c>
      <c r="E98" s="18">
        <f t="shared" si="35"/>
        <v>100</v>
      </c>
      <c r="G98" s="1">
        <v>2011</v>
      </c>
      <c r="H98" s="380">
        <f>(O48/$R48*100*($E48/365))+(O49/$R49*100*($E49/365))</f>
        <v>67.452054794520549</v>
      </c>
      <c r="I98" s="380"/>
      <c r="J98" s="380">
        <f>(P48/$R48*100*($E48/365))+(P49/$R49*100*($E49/365))</f>
        <v>32.547945205479451</v>
      </c>
      <c r="K98" s="380"/>
      <c r="L98" s="380">
        <f>(Q48/$R48*100*($E48/365))+(Q49/$R49*100*($E49/365))</f>
        <v>0</v>
      </c>
      <c r="M98" s="380"/>
      <c r="N98" s="379">
        <f t="shared" si="38"/>
        <v>100</v>
      </c>
      <c r="O98" s="379"/>
      <c r="R98" s="1">
        <v>2011</v>
      </c>
      <c r="S98" s="5">
        <f>(O48*($E48/365))+(O49*($E49/365))</f>
        <v>37.284931506849318</v>
      </c>
      <c r="T98" s="5">
        <f>(P48*($E48/365))+(P49*($E49/365))</f>
        <v>17.901369863013699</v>
      </c>
      <c r="U98" s="5">
        <f>(Q48*($E48/365))+(Q49*($E49/365))</f>
        <v>0</v>
      </c>
      <c r="W98" s="5">
        <f t="shared" si="37"/>
        <v>55.186301369863017</v>
      </c>
    </row>
    <row r="99" spans="1:23" x14ac:dyDescent="0.15">
      <c r="A99" s="1">
        <v>2012</v>
      </c>
      <c r="B99" s="5">
        <f>(K50*($E50/366))+(K51*($E51/366))</f>
        <v>100</v>
      </c>
      <c r="C99" s="5">
        <f>(L50*($E50/366))+(L51*($E51/366))</f>
        <v>0</v>
      </c>
      <c r="D99" s="5">
        <f>(M50*($E50/366))+(M51*($E51/366))</f>
        <v>0</v>
      </c>
      <c r="E99" s="18">
        <f t="shared" si="35"/>
        <v>100</v>
      </c>
      <c r="G99" s="1">
        <v>2012</v>
      </c>
      <c r="H99" s="380">
        <f>(O50/$R50*100*($E50/366))+(O51/$R51*100*($E51/366))</f>
        <v>100</v>
      </c>
      <c r="I99" s="380"/>
      <c r="J99" s="380">
        <f>(P50/$R50*100*($E50/366))+(P51/$R51*100*($E51/366))</f>
        <v>0</v>
      </c>
      <c r="K99" s="380"/>
      <c r="L99" s="380">
        <f>(Q50/$R50*100*($E50/366))+(Q51/$R51*100*($E51/366))</f>
        <v>0</v>
      </c>
      <c r="M99" s="380"/>
      <c r="N99" s="379">
        <f t="shared" si="38"/>
        <v>100</v>
      </c>
      <c r="O99" s="379"/>
      <c r="R99" s="1">
        <v>2012</v>
      </c>
      <c r="S99" s="5">
        <f>(O50*($E50/366))+(O51*($E51/366))</f>
        <v>56</v>
      </c>
      <c r="T99" s="5">
        <f>(P50*($E50/366))+(P51*($E51/366))</f>
        <v>0</v>
      </c>
      <c r="U99" s="5">
        <f>(Q50*($E50/366))+(Q51*($E51/366))</f>
        <v>0</v>
      </c>
      <c r="W99" s="5">
        <f t="shared" si="37"/>
        <v>56</v>
      </c>
    </row>
    <row r="100" spans="1:23" x14ac:dyDescent="0.15">
      <c r="A100" s="1">
        <v>2013</v>
      </c>
      <c r="B100" s="5">
        <f>(K52*($E52/365))+(K53*($E53/365))</f>
        <v>100</v>
      </c>
      <c r="C100" s="5">
        <f>(L52*($E52/365))+(L53*($E53/365))</f>
        <v>0</v>
      </c>
      <c r="D100" s="5">
        <f>(M52*($E52/365))+(M53*($E53/365))</f>
        <v>0</v>
      </c>
      <c r="E100" s="18">
        <f>SUM(B100:D100)</f>
        <v>100</v>
      </c>
      <c r="G100" s="1">
        <v>2013</v>
      </c>
      <c r="H100" s="380">
        <f>(O52/$R52*100*($E52/365))+(O53/$R53*100*($E53/365))</f>
        <v>100</v>
      </c>
      <c r="I100" s="380"/>
      <c r="J100" s="380">
        <f>(P52/$R52*100*($E52/365))+(P53/$R53*100*($E53/365))</f>
        <v>0</v>
      </c>
      <c r="K100" s="380"/>
      <c r="L100" s="380">
        <f>(Q52/$R52*100*($E52/365))+(Q53/$R53*100*($E53/365))</f>
        <v>0</v>
      </c>
      <c r="M100" s="380"/>
      <c r="N100" s="379">
        <f t="shared" si="38"/>
        <v>100</v>
      </c>
      <c r="O100" s="379"/>
      <c r="R100" s="1">
        <v>2013</v>
      </c>
      <c r="S100" s="5">
        <f>(O52*($E52/365))+(O53*($E53/365))</f>
        <v>56</v>
      </c>
      <c r="T100" s="5">
        <f>(P52*($E52/365))+(P53*($E53/365))</f>
        <v>0</v>
      </c>
      <c r="U100" s="5">
        <f>(Q52*($E52/365))+(Q53*($E53/365))</f>
        <v>0</v>
      </c>
      <c r="W100" s="5">
        <f>SUM(S100:U100)</f>
        <v>56</v>
      </c>
    </row>
    <row r="101" spans="1:23" x14ac:dyDescent="0.15">
      <c r="A101" s="1">
        <v>2014</v>
      </c>
      <c r="B101" s="5">
        <f>(K54*($E54/365))+(K55*($E55/365))+(K56*($E56/365))+(K57*($E57/365))</f>
        <v>77.040493752822528</v>
      </c>
      <c r="C101" s="5">
        <f>(L54*($E54/365))+(L55*($E55/365))+(L56*($E56/365))+(L57*($E57/365))</f>
        <v>22.95950624717748</v>
      </c>
      <c r="D101" s="5">
        <f>(M54*($E54/365))+(M55*($E55/365))+(M56*($E56/365))+(M57*($E57/365))</f>
        <v>0</v>
      </c>
      <c r="E101" s="18">
        <f>SUM(B101:D101)</f>
        <v>100</v>
      </c>
      <c r="G101" s="1">
        <v>2014</v>
      </c>
      <c r="H101" s="380">
        <f>(O54/$R54*100*($E54/365))+(O55/$R55*100*($E55/365))+(O56/$R56*100*($E56/365))+(O57/$R57*100*($E57/365))</f>
        <v>78.398582728248115</v>
      </c>
      <c r="I101" s="380"/>
      <c r="J101" s="380">
        <f>(P54/$R54*100*($E54/365))+(P55/$R55*100*($E55/365))+(P56/$R56*100*($E56/365))+(P57/$R57*100*($E57/365))</f>
        <v>21.601417271751874</v>
      </c>
      <c r="K101" s="380"/>
      <c r="L101" s="380">
        <f>(Q54/$R54*100*($E54/365))+(Q55/$R55*100*($E55/365))+(Q56/$R56*100*($E56/365))+(Q57/$R57*100*($E57/365))</f>
        <v>0</v>
      </c>
      <c r="M101" s="380"/>
      <c r="N101" s="379">
        <f t="shared" si="38"/>
        <v>99.999999999999986</v>
      </c>
      <c r="O101" s="379"/>
      <c r="R101" s="1">
        <v>2014</v>
      </c>
      <c r="S101" s="5">
        <f>(O54*($E54/365))+(O55*($E55/365))+(O56*($E56/365))+(O57*($E57/365))</f>
        <v>48.783561643835618</v>
      </c>
      <c r="T101" s="5">
        <f>(P54*($E54/365))+(P55*($E55/365))+(P56*($E56/365))+(P57*($E57/365))</f>
        <v>13.501369863013698</v>
      </c>
      <c r="U101" s="5">
        <f>(Q54*($E54/365))+(Q55*($E55/365))+(Q56*($E56/365))+(Q57*($E57/365))</f>
        <v>0</v>
      </c>
      <c r="W101" s="5">
        <f>SUM(S101:U101)</f>
        <v>62.284931506849318</v>
      </c>
    </row>
    <row r="102" spans="1:23" x14ac:dyDescent="0.15">
      <c r="A102" s="1">
        <v>2015</v>
      </c>
      <c r="B102" s="5">
        <f>(K58*($E58/365))+(K59*($E59/365))</f>
        <v>63.849164534096047</v>
      </c>
      <c r="C102" s="5">
        <f>(L58*($E58/365))+(L59*($E59/365))</f>
        <v>36.15083546590396</v>
      </c>
      <c r="D102" s="5">
        <f>(M58*($E58/365))+(M59*($E59/365))</f>
        <v>0</v>
      </c>
      <c r="E102" s="18">
        <f>SUM(B102:D102)</f>
        <v>100</v>
      </c>
      <c r="G102" s="1">
        <v>2015</v>
      </c>
      <c r="H102" s="380">
        <f>(O58/$R58*100*($E58/365))+(O59/$R59*100*($E59/365))</f>
        <v>65.573770491803273</v>
      </c>
      <c r="I102" s="380"/>
      <c r="J102" s="380">
        <f>(P58/$R58*100*($E58/365))+(P59/$R59*100*($E59/365))</f>
        <v>34.42622950819672</v>
      </c>
      <c r="K102" s="380"/>
      <c r="L102" s="380">
        <f>(Q58/$R58*100*($E58/365))+(Q59/$R59*100*($E59/365))</f>
        <v>0</v>
      </c>
      <c r="M102" s="380"/>
      <c r="N102" s="379">
        <f>SUM(H102:L102)</f>
        <v>100</v>
      </c>
      <c r="O102" s="379"/>
      <c r="R102" s="1">
        <v>2015</v>
      </c>
      <c r="S102" s="5">
        <f>(O58*($E58/365))+(O59*($E59/365))</f>
        <v>40</v>
      </c>
      <c r="T102" s="5">
        <f>(P58*($E58/365))+(P59*($E59/365))</f>
        <v>21</v>
      </c>
      <c r="U102" s="5">
        <f>(Q58*($E58/365))+(Q59*($E59/365))</f>
        <v>0</v>
      </c>
      <c r="W102" s="5">
        <f>SUM(S102:U102)</f>
        <v>61</v>
      </c>
    </row>
    <row r="103" spans="1:23" x14ac:dyDescent="0.15">
      <c r="A103" s="1">
        <v>2016</v>
      </c>
      <c r="B103" s="5">
        <f>(K60*($E60/366))+(K61*($E61/366))</f>
        <v>57.635260913949438</v>
      </c>
      <c r="C103" s="5">
        <f>(L60*($E60/366))+(L61*($E61/366))</f>
        <v>42.364739086050562</v>
      </c>
      <c r="D103" s="5">
        <f>(M60*($E60/366))+(M61*($E61/366))</f>
        <v>0</v>
      </c>
      <c r="E103" s="18">
        <f t="shared" ref="E103" si="39">SUM(B103:D103)</f>
        <v>100</v>
      </c>
      <c r="G103" s="1">
        <v>2016</v>
      </c>
      <c r="H103" s="380">
        <f>(O60/$R60*100*($E60/366))+(O61/$R61*100*($E61/366))</f>
        <v>65.573770491803273</v>
      </c>
      <c r="I103" s="380"/>
      <c r="J103" s="380">
        <f>(P60/$R60*100*($E60/366))+(P61/$R61*100*($E61/366))</f>
        <v>34.42622950819672</v>
      </c>
      <c r="K103" s="380"/>
      <c r="L103" s="380">
        <f>(Q60/$R60*100*($E60/366))+(Q61/$R61*100*($E61/366))</f>
        <v>0</v>
      </c>
      <c r="M103" s="380"/>
      <c r="N103" s="379">
        <f t="shared" ref="N103" si="40">SUM(H103:L103)</f>
        <v>100</v>
      </c>
      <c r="O103" s="379"/>
      <c r="R103" s="1">
        <v>2016</v>
      </c>
      <c r="S103" s="5">
        <f>(O60*($E60/366))+(O61*($E61/366))</f>
        <v>40</v>
      </c>
      <c r="T103" s="5">
        <f>(P60*($E60/366))+(P61*($E61/366))</f>
        <v>21</v>
      </c>
      <c r="U103" s="5">
        <f>(Q60*($E60/366))+(Q61*($E61/366))</f>
        <v>0</v>
      </c>
      <c r="W103" s="5">
        <f t="shared" ref="W103" si="41">SUM(S103:U103)</f>
        <v>61</v>
      </c>
    </row>
    <row r="104" spans="1:23" x14ac:dyDescent="0.15">
      <c r="A104" s="1">
        <v>2017</v>
      </c>
      <c r="B104" s="5">
        <f>(K62*($E62/365))+(K63*($E63/365))</f>
        <v>57.263284660544933</v>
      </c>
      <c r="C104" s="5">
        <f>(L62*($E62/365))+(L63*($E63/365))</f>
        <v>42.73671533945506</v>
      </c>
      <c r="D104" s="5">
        <f>(M62*($E62/365))+(M63*($E63/365))</f>
        <v>0</v>
      </c>
      <c r="E104" s="18">
        <f t="shared" ref="E104" si="42">SUM(B104:D104)</f>
        <v>100</v>
      </c>
      <c r="G104" s="1">
        <v>2017</v>
      </c>
      <c r="H104" s="380">
        <f>(O62/$R62*100*($E62/365))+(O63/$R63*100*($E63/365))</f>
        <v>65.573770491803273</v>
      </c>
      <c r="I104" s="380"/>
      <c r="J104" s="380">
        <f>(P62/$R62*100*($E62/365))+(P63/$R63*100*($E63/365))</f>
        <v>34.42622950819672</v>
      </c>
      <c r="K104" s="380"/>
      <c r="L104" s="380">
        <f>(Q62/$R62*100*($E62/365))+(Q63/$R63*100*($E63/365))</f>
        <v>0</v>
      </c>
      <c r="M104" s="380"/>
      <c r="N104" s="379">
        <f t="shared" ref="N104" si="43">SUM(H104:L104)</f>
        <v>100</v>
      </c>
      <c r="O104" s="379"/>
      <c r="R104" s="1">
        <v>2017</v>
      </c>
      <c r="S104" s="5">
        <f>(O62*($E62/365)+(O63*($E63/365)))</f>
        <v>40</v>
      </c>
      <c r="T104" s="5">
        <f>(P62*($E62/365)+(P63*($E63/365)))</f>
        <v>21</v>
      </c>
      <c r="U104" s="5">
        <f>(Q62*($E62/365)+(Q63*($E63/365)))</f>
        <v>0</v>
      </c>
      <c r="W104" s="5">
        <f t="shared" ref="W104" si="44">SUM(S104:U104)</f>
        <v>61</v>
      </c>
    </row>
    <row r="105" spans="1:23" x14ac:dyDescent="0.15">
      <c r="A105" s="1">
        <v>2018</v>
      </c>
      <c r="B105" s="5">
        <f>(K64*($E64/365))+(K65*($E65/365))</f>
        <v>60.800842992623814</v>
      </c>
      <c r="C105" s="5">
        <f>(L64*($E64/365))+(L65*($E65/365))</f>
        <v>39.199157007376186</v>
      </c>
      <c r="D105" s="5">
        <f>(M64*($E64/365))+(M65*($E65/365))</f>
        <v>0</v>
      </c>
      <c r="E105" s="18">
        <f t="shared" ref="E105" si="45">SUM(B105:D105)</f>
        <v>100</v>
      </c>
      <c r="G105" s="1">
        <v>2018</v>
      </c>
      <c r="H105" s="380">
        <f>(O64/$R64*100*($E64/365))+(O65/$R65*100*($E65/365))</f>
        <v>65.578682910397475</v>
      </c>
      <c r="I105" s="380"/>
      <c r="J105" s="380">
        <f>(P64/$R64*100*($E64/365))+(P65/$R65*100*($E65/365))</f>
        <v>34.42131708960251</v>
      </c>
      <c r="K105" s="380"/>
      <c r="L105" s="380">
        <f>(Q64/$R64*100*($E64/365))+(Q65/$R65*100*($E65/365))</f>
        <v>0</v>
      </c>
      <c r="M105" s="380"/>
      <c r="N105" s="379">
        <f t="shared" ref="N105" si="46">SUM(H105:L105)</f>
        <v>99.999999999999986</v>
      </c>
      <c r="O105" s="379"/>
      <c r="R105" s="1">
        <v>2018</v>
      </c>
      <c r="S105" s="5">
        <f>(O64*($E64/365)+(O65*($E65/365)))</f>
        <v>38.178082191780817</v>
      </c>
      <c r="T105" s="5">
        <f>(P64*($E64/365)+(P65*($E65/365)))</f>
        <v>20.041095890410958</v>
      </c>
      <c r="U105" s="5">
        <f>(Q64*($E64/365)+(Q65*($E65/365)))</f>
        <v>0</v>
      </c>
      <c r="W105" s="5">
        <f t="shared" ref="W105" si="47">SUM(S105:U105)</f>
        <v>58.219178082191775</v>
      </c>
    </row>
    <row r="106" spans="1:23" x14ac:dyDescent="0.15">
      <c r="A106" s="1">
        <v>2019</v>
      </c>
      <c r="B106" s="5">
        <f>(K66*($E66/365))+(K67*($E67/365))</f>
        <v>77.013397561342771</v>
      </c>
      <c r="C106" s="5">
        <f>(L66*($E66/365))+(L67*($E67/365))</f>
        <v>22.986602438657229</v>
      </c>
      <c r="D106" s="5">
        <f>(M66*($E66/365))+(M67*($E67/365))</f>
        <v>0</v>
      </c>
      <c r="E106" s="18">
        <f t="shared" ref="E106:E107" si="48">SUM(B106:D106)</f>
        <v>100</v>
      </c>
      <c r="G106" s="1">
        <v>2019</v>
      </c>
      <c r="H106" s="380">
        <f>(O66/$R66*100*($E66/365))+(O67/$R67*100*($E67/365))</f>
        <v>79.378113325031137</v>
      </c>
      <c r="I106" s="380"/>
      <c r="J106" s="380">
        <f>(P66/$R66*100*($E66/365))+(P67/$R67*100*($E67/365))</f>
        <v>20.621886674968867</v>
      </c>
      <c r="K106" s="380"/>
      <c r="L106" s="380">
        <f>(Q66/$R66*100*($E66/365))+(Q67/$R67*100*($E67/365))</f>
        <v>0</v>
      </c>
      <c r="M106" s="380"/>
      <c r="N106" s="379">
        <f t="shared" ref="N106" si="49">SUM(H106:L106)</f>
        <v>100</v>
      </c>
      <c r="O106" s="379"/>
      <c r="R106" s="1">
        <v>2019</v>
      </c>
      <c r="S106" s="5">
        <f>(O66*($E66/365)+(O67*($E67/365)))</f>
        <v>50.983561643835621</v>
      </c>
      <c r="T106" s="5">
        <f>(P66*($E66/365)+(P67*($E67/365)))</f>
        <v>12.873972602739727</v>
      </c>
      <c r="U106" s="5">
        <f>(Q66*($E66/365)+(Q67*($E67/365)))</f>
        <v>0</v>
      </c>
      <c r="W106" s="5">
        <f t="shared" ref="W106:W107" si="50">SUM(S106:U106)</f>
        <v>63.857534246575348</v>
      </c>
    </row>
    <row r="107" spans="1:23" x14ac:dyDescent="0.15">
      <c r="A107" s="1">
        <v>2020</v>
      </c>
      <c r="B107" s="5">
        <f>(K68*($E68/366))+(K69*($E69/366))</f>
        <v>78.571428571428569</v>
      </c>
      <c r="C107" s="5">
        <f>(L68*($E68/366))+(L69*($E69/366))</f>
        <v>21.428571428571427</v>
      </c>
      <c r="D107" s="5">
        <f>(M68*($E68/366))+(M69*($E69/366))</f>
        <v>0</v>
      </c>
      <c r="E107" s="18">
        <f t="shared" si="48"/>
        <v>100</v>
      </c>
      <c r="G107" s="1">
        <v>2020</v>
      </c>
      <c r="H107" s="380">
        <f>(O68/$R68*100*($E68/366))+(O69/$R69*100*($E69/366))</f>
        <v>80.303030303030297</v>
      </c>
      <c r="I107" s="380"/>
      <c r="J107" s="380">
        <f>(P68/$R68*100*($E68/366))+(P69/$R69*100*($E69/366))</f>
        <v>19.696969696969695</v>
      </c>
      <c r="K107" s="380"/>
      <c r="L107" s="380">
        <f>(Q68/$R68*100*($E68/366))+(Q69/$R69*100*($E69/366))</f>
        <v>0</v>
      </c>
      <c r="M107" s="380"/>
      <c r="N107" s="379">
        <f t="shared" ref="N107" si="51">SUM(H107:L107)</f>
        <v>100</v>
      </c>
      <c r="O107" s="379"/>
      <c r="R107" s="1">
        <v>2020</v>
      </c>
      <c r="S107" s="5">
        <f>(O68*($E68/366)+(O69*($E69/366)))</f>
        <v>53</v>
      </c>
      <c r="T107" s="5">
        <f>(P68*($E68/366)+(P69*($E69/366)))</f>
        <v>13</v>
      </c>
      <c r="U107" s="5">
        <f>(Q68*($E68/366)+(Q69*($E69/366)))</f>
        <v>0</v>
      </c>
      <c r="W107" s="5">
        <f t="shared" si="50"/>
        <v>66</v>
      </c>
    </row>
  </sheetData>
  <mergeCells count="214">
    <mergeCell ref="J101:K101"/>
    <mergeCell ref="H101:I101"/>
    <mergeCell ref="L101:M101"/>
    <mergeCell ref="N101:O101"/>
    <mergeCell ref="H106:I106"/>
    <mergeCell ref="J106:K106"/>
    <mergeCell ref="L106:M106"/>
    <mergeCell ref="N106:O106"/>
    <mergeCell ref="H102:I102"/>
    <mergeCell ref="J102:K102"/>
    <mergeCell ref="L102:M102"/>
    <mergeCell ref="N102:O102"/>
    <mergeCell ref="H104:I104"/>
    <mergeCell ref="J104:K104"/>
    <mergeCell ref="L104:M104"/>
    <mergeCell ref="N104:O104"/>
    <mergeCell ref="H103:I103"/>
    <mergeCell ref="J103:K103"/>
    <mergeCell ref="L103:M103"/>
    <mergeCell ref="N103:O103"/>
    <mergeCell ref="H105:I105"/>
    <mergeCell ref="J105:K105"/>
    <mergeCell ref="L105:M105"/>
    <mergeCell ref="N105:O105"/>
    <mergeCell ref="H89:I89"/>
    <mergeCell ref="N99:O99"/>
    <mergeCell ref="N98:O98"/>
    <mergeCell ref="H98:I98"/>
    <mergeCell ref="J90:K90"/>
    <mergeCell ref="J89:K89"/>
    <mergeCell ref="J95:K95"/>
    <mergeCell ref="J96:K96"/>
    <mergeCell ref="H97:I97"/>
    <mergeCell ref="J97:K97"/>
    <mergeCell ref="H99:I99"/>
    <mergeCell ref="J98:K98"/>
    <mergeCell ref="J99:K99"/>
    <mergeCell ref="N96:O96"/>
    <mergeCell ref="N93:O93"/>
    <mergeCell ref="H95:I95"/>
    <mergeCell ref="H94:I94"/>
    <mergeCell ref="N97:O97"/>
    <mergeCell ref="N95:O95"/>
    <mergeCell ref="N94:O94"/>
    <mergeCell ref="N91:O91"/>
    <mergeCell ref="N92:O92"/>
    <mergeCell ref="H92:I92"/>
    <mergeCell ref="L90:M90"/>
    <mergeCell ref="N90:O90"/>
    <mergeCell ref="J91:K91"/>
    <mergeCell ref="J92:K92"/>
    <mergeCell ref="J93:K93"/>
    <mergeCell ref="J94:K94"/>
    <mergeCell ref="H91:I91"/>
    <mergeCell ref="H93:I93"/>
    <mergeCell ref="H90:I90"/>
    <mergeCell ref="L91:M91"/>
    <mergeCell ref="L92:M92"/>
    <mergeCell ref="H88:I88"/>
    <mergeCell ref="H83:I83"/>
    <mergeCell ref="H84:I84"/>
    <mergeCell ref="H85:I85"/>
    <mergeCell ref="H96:I96"/>
    <mergeCell ref="L93:M93"/>
    <mergeCell ref="L78:M78"/>
    <mergeCell ref="L79:M79"/>
    <mergeCell ref="L80:M80"/>
    <mergeCell ref="L81:M81"/>
    <mergeCell ref="L82:M82"/>
    <mergeCell ref="L88:M88"/>
    <mergeCell ref="L94:M94"/>
    <mergeCell ref="J78:K78"/>
    <mergeCell ref="J79:K79"/>
    <mergeCell ref="J80:K80"/>
    <mergeCell ref="J81:K81"/>
    <mergeCell ref="J83:K83"/>
    <mergeCell ref="J84:K84"/>
    <mergeCell ref="H79:I79"/>
    <mergeCell ref="H80:I80"/>
    <mergeCell ref="H87:I87"/>
    <mergeCell ref="H78:I78"/>
    <mergeCell ref="H81:I81"/>
    <mergeCell ref="L86:M86"/>
    <mergeCell ref="L87:M87"/>
    <mergeCell ref="C59:D59"/>
    <mergeCell ref="C60:D60"/>
    <mergeCell ref="C61:D61"/>
    <mergeCell ref="C62:D62"/>
    <mergeCell ref="C63:D63"/>
    <mergeCell ref="C64:D64"/>
    <mergeCell ref="C65:D65"/>
    <mergeCell ref="H86:I86"/>
    <mergeCell ref="C66:D66"/>
    <mergeCell ref="C67:D67"/>
    <mergeCell ref="H82:I82"/>
    <mergeCell ref="J82:K82"/>
    <mergeCell ref="J85:K85"/>
    <mergeCell ref="J86:K86"/>
    <mergeCell ref="C68:D68"/>
    <mergeCell ref="C69:D69"/>
    <mergeCell ref="H76:I76"/>
    <mergeCell ref="J76:K76"/>
    <mergeCell ref="L76:M76"/>
    <mergeCell ref="J87:K87"/>
    <mergeCell ref="G3:M3"/>
    <mergeCell ref="O3:Q3"/>
    <mergeCell ref="Z4:AC4"/>
    <mergeCell ref="AD4:AG4"/>
    <mergeCell ref="N77:O77"/>
    <mergeCell ref="C18:D18"/>
    <mergeCell ref="C20:D20"/>
    <mergeCell ref="C21:D21"/>
    <mergeCell ref="C38:D38"/>
    <mergeCell ref="C39:D39"/>
    <mergeCell ref="C40:D40"/>
    <mergeCell ref="C41:D41"/>
    <mergeCell ref="C42:D42"/>
    <mergeCell ref="C30:D30"/>
    <mergeCell ref="C32:D32"/>
    <mergeCell ref="C33:D33"/>
    <mergeCell ref="C35:D35"/>
    <mergeCell ref="C22:D22"/>
    <mergeCell ref="C37:D37"/>
    <mergeCell ref="C24:D24"/>
    <mergeCell ref="C25:D25"/>
    <mergeCell ref="C26:D26"/>
    <mergeCell ref="C27:D27"/>
    <mergeCell ref="C28:D28"/>
    <mergeCell ref="C6:D6"/>
    <mergeCell ref="C7:D7"/>
    <mergeCell ref="C8:D8"/>
    <mergeCell ref="J77:K77"/>
    <mergeCell ref="H77:I77"/>
    <mergeCell ref="R74:W74"/>
    <mergeCell ref="L84:M84"/>
    <mergeCell ref="N83:O83"/>
    <mergeCell ref="N84:O84"/>
    <mergeCell ref="N76:O76"/>
    <mergeCell ref="L77:M77"/>
    <mergeCell ref="C43:D43"/>
    <mergeCell ref="C44:D44"/>
    <mergeCell ref="C46:D46"/>
    <mergeCell ref="C47:D47"/>
    <mergeCell ref="C48:D48"/>
    <mergeCell ref="C49:D49"/>
    <mergeCell ref="C50:D50"/>
    <mergeCell ref="C45:D45"/>
    <mergeCell ref="C58:D58"/>
    <mergeCell ref="C51:D51"/>
    <mergeCell ref="C56:D56"/>
    <mergeCell ref="C52:D52"/>
    <mergeCell ref="C53:D53"/>
    <mergeCell ref="A4:A5"/>
    <mergeCell ref="B4:B5"/>
    <mergeCell ref="C4:D5"/>
    <mergeCell ref="E4:E5"/>
    <mergeCell ref="AP4:AS4"/>
    <mergeCell ref="S4:S5"/>
    <mergeCell ref="T4:T5"/>
    <mergeCell ref="U4:U5"/>
    <mergeCell ref="V4:Y4"/>
    <mergeCell ref="G4:J4"/>
    <mergeCell ref="AL4:AO4"/>
    <mergeCell ref="F4:F5"/>
    <mergeCell ref="O4:R4"/>
    <mergeCell ref="AH4:AK4"/>
    <mergeCell ref="C16:D16"/>
    <mergeCell ref="C19:D19"/>
    <mergeCell ref="L97:M97"/>
    <mergeCell ref="N81:O81"/>
    <mergeCell ref="C9:D9"/>
    <mergeCell ref="C10:D10"/>
    <mergeCell ref="C11:D11"/>
    <mergeCell ref="C12:D12"/>
    <mergeCell ref="C13:D13"/>
    <mergeCell ref="C14:D14"/>
    <mergeCell ref="C15:D15"/>
    <mergeCell ref="C17:D17"/>
    <mergeCell ref="C29:D29"/>
    <mergeCell ref="C31:D31"/>
    <mergeCell ref="C36:D36"/>
    <mergeCell ref="C23:D23"/>
    <mergeCell ref="C34:D34"/>
    <mergeCell ref="N87:O87"/>
    <mergeCell ref="L89:M89"/>
    <mergeCell ref="C54:D54"/>
    <mergeCell ref="J88:K88"/>
    <mergeCell ref="C55:D55"/>
    <mergeCell ref="C57:D57"/>
    <mergeCell ref="L85:M85"/>
    <mergeCell ref="H107:I107"/>
    <mergeCell ref="J107:K107"/>
    <mergeCell ref="L107:M107"/>
    <mergeCell ref="N107:O107"/>
    <mergeCell ref="AT4:AW4"/>
    <mergeCell ref="AX4:BA4"/>
    <mergeCell ref="H100:I100"/>
    <mergeCell ref="J100:K100"/>
    <mergeCell ref="L100:M100"/>
    <mergeCell ref="N100:O100"/>
    <mergeCell ref="K4:N4"/>
    <mergeCell ref="N78:O78"/>
    <mergeCell ref="L99:M99"/>
    <mergeCell ref="N79:O79"/>
    <mergeCell ref="N80:O80"/>
    <mergeCell ref="L95:M95"/>
    <mergeCell ref="L96:M96"/>
    <mergeCell ref="N88:O88"/>
    <mergeCell ref="N85:O85"/>
    <mergeCell ref="N86:O86"/>
    <mergeCell ref="N89:O89"/>
    <mergeCell ref="L98:M98"/>
    <mergeCell ref="N82:O82"/>
    <mergeCell ref="L83:M83"/>
  </mergeCells>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BA106"/>
  <sheetViews>
    <sheetView zoomScale="171" zoomScaleNormal="120" workbookViewId="0">
      <pane xSplit="1" ySplit="5" topLeftCell="B6" activePane="bottomRight" state="frozen"/>
      <selection pane="topRight" activeCell="B1" sqref="B1"/>
      <selection pane="bottomLeft" activeCell="A6" sqref="A6"/>
      <selection pane="bottomRight" activeCell="AA20" sqref="AA20"/>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142</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1992</v>
      </c>
      <c r="B6" s="295"/>
      <c r="C6" s="421" t="s">
        <v>1263</v>
      </c>
      <c r="D6" s="421"/>
      <c r="E6" s="85">
        <v>344</v>
      </c>
      <c r="F6" s="114"/>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171">
        <v>1992</v>
      </c>
      <c r="B7" s="283">
        <v>33948</v>
      </c>
      <c r="C7" s="410" t="s">
        <v>1017</v>
      </c>
      <c r="D7" s="410"/>
      <c r="E7" s="171">
        <f>366-344</f>
        <v>22</v>
      </c>
      <c r="F7" s="171" t="s">
        <v>335</v>
      </c>
      <c r="G7" s="233"/>
      <c r="I7" s="171">
        <v>19</v>
      </c>
      <c r="J7" s="241">
        <v>19</v>
      </c>
      <c r="K7" s="214">
        <f t="shared" ref="K7:K49" si="0">G7/J7*100</f>
        <v>0</v>
      </c>
      <c r="L7" s="214">
        <f t="shared" ref="L7:L49" si="1">H7/J7*100</f>
        <v>0</v>
      </c>
      <c r="M7" s="214">
        <f t="shared" ref="M7:M49" si="2">I7/J7*100</f>
        <v>100</v>
      </c>
      <c r="N7" s="235">
        <f t="shared" ref="N7:N53" si="3">SUM(K7:M7)</f>
        <v>100</v>
      </c>
      <c r="O7" s="213"/>
      <c r="P7" s="214"/>
      <c r="Q7" s="214">
        <v>51.8</v>
      </c>
      <c r="R7" s="215">
        <f t="shared" ref="R7:R53" si="4">SUM(O7:Q7)</f>
        <v>51.8</v>
      </c>
      <c r="S7" s="171">
        <v>1</v>
      </c>
      <c r="T7" s="285">
        <v>33923</v>
      </c>
      <c r="U7" s="283">
        <v>33940</v>
      </c>
      <c r="V7" s="178" t="s">
        <v>1012</v>
      </c>
      <c r="W7" s="171" t="s">
        <v>979</v>
      </c>
      <c r="X7" s="171" t="s">
        <v>12</v>
      </c>
      <c r="Y7" s="179">
        <v>51.8</v>
      </c>
      <c r="AD7" s="178"/>
      <c r="AG7" s="179"/>
      <c r="AL7" s="178"/>
      <c r="AO7" s="179"/>
      <c r="AP7" s="178"/>
      <c r="AS7" s="179"/>
      <c r="AW7" s="179"/>
      <c r="BA7" s="180"/>
    </row>
    <row r="8" spans="1:53" s="171" customFormat="1" x14ac:dyDescent="0.15">
      <c r="A8" s="171">
        <v>1993</v>
      </c>
      <c r="B8" s="283"/>
      <c r="C8" s="410" t="s">
        <v>1017</v>
      </c>
      <c r="D8" s="410"/>
      <c r="E8" s="171">
        <v>74</v>
      </c>
      <c r="G8" s="233"/>
      <c r="I8" s="171">
        <v>19</v>
      </c>
      <c r="J8" s="241">
        <v>19</v>
      </c>
      <c r="K8" s="214">
        <f t="shared" si="0"/>
        <v>0</v>
      </c>
      <c r="L8" s="214">
        <f t="shared" si="1"/>
        <v>0</v>
      </c>
      <c r="M8" s="214">
        <f t="shared" si="2"/>
        <v>100</v>
      </c>
      <c r="N8" s="235">
        <f t="shared" si="3"/>
        <v>100</v>
      </c>
      <c r="O8" s="213"/>
      <c r="P8" s="214"/>
      <c r="Q8" s="214">
        <v>51.8</v>
      </c>
      <c r="R8" s="215">
        <f t="shared" si="4"/>
        <v>51.8</v>
      </c>
      <c r="S8" s="171">
        <v>1</v>
      </c>
      <c r="T8" s="285"/>
      <c r="U8" s="283"/>
      <c r="V8" s="178" t="s">
        <v>1012</v>
      </c>
      <c r="W8" s="171" t="s">
        <v>979</v>
      </c>
      <c r="X8" s="171" t="s">
        <v>12</v>
      </c>
      <c r="Y8" s="179">
        <v>51.8</v>
      </c>
      <c r="AD8" s="178"/>
      <c r="AG8" s="179"/>
      <c r="AL8" s="178"/>
      <c r="AO8" s="179"/>
      <c r="AP8" s="178"/>
      <c r="AS8" s="179"/>
      <c r="AW8" s="179"/>
      <c r="BA8" s="180"/>
    </row>
    <row r="9" spans="1:53" s="29" customFormat="1" x14ac:dyDescent="0.15">
      <c r="A9" s="29">
        <v>1993</v>
      </c>
      <c r="B9" s="295">
        <v>34044</v>
      </c>
      <c r="C9" s="411" t="s">
        <v>1141</v>
      </c>
      <c r="D9" s="411"/>
      <c r="E9" s="29">
        <f xml:space="preserve"> 365-E8</f>
        <v>291</v>
      </c>
      <c r="F9" s="29">
        <v>1</v>
      </c>
      <c r="G9" s="66"/>
      <c r="I9" s="29">
        <v>17</v>
      </c>
      <c r="J9" s="73">
        <v>17</v>
      </c>
      <c r="K9" s="47">
        <f t="shared" si="0"/>
        <v>0</v>
      </c>
      <c r="L9" s="47">
        <f t="shared" si="1"/>
        <v>0</v>
      </c>
      <c r="M9" s="47">
        <f t="shared" si="2"/>
        <v>100</v>
      </c>
      <c r="N9" s="68">
        <f t="shared" si="3"/>
        <v>100</v>
      </c>
      <c r="O9" s="46"/>
      <c r="P9" s="47"/>
      <c r="Q9" s="47">
        <v>51.8</v>
      </c>
      <c r="R9" s="48">
        <f t="shared" si="4"/>
        <v>51.8</v>
      </c>
      <c r="S9" s="29">
        <v>1</v>
      </c>
      <c r="T9" s="286"/>
      <c r="U9" s="295">
        <v>34044</v>
      </c>
      <c r="V9" s="38" t="s">
        <v>1012</v>
      </c>
      <c r="W9" s="29" t="s">
        <v>979</v>
      </c>
      <c r="X9" s="29" t="s">
        <v>12</v>
      </c>
      <c r="Y9" s="39">
        <v>51.8</v>
      </c>
      <c r="AD9" s="38"/>
      <c r="AG9" s="39"/>
      <c r="AL9" s="38"/>
      <c r="AO9" s="39"/>
      <c r="AP9" s="38"/>
      <c r="AS9" s="39"/>
      <c r="AW9" s="39"/>
      <c r="BA9" s="40"/>
    </row>
    <row r="10" spans="1:53" s="29" customFormat="1" x14ac:dyDescent="0.15">
      <c r="A10" s="29">
        <v>1994</v>
      </c>
      <c r="B10" s="295"/>
      <c r="C10" s="411" t="s">
        <v>1141</v>
      </c>
      <c r="D10" s="411"/>
      <c r="E10" s="29">
        <v>0</v>
      </c>
      <c r="G10" s="66"/>
      <c r="I10" s="29">
        <v>17</v>
      </c>
      <c r="J10" s="73">
        <v>17</v>
      </c>
      <c r="K10" s="47">
        <f t="shared" si="0"/>
        <v>0</v>
      </c>
      <c r="L10" s="47">
        <f t="shared" si="1"/>
        <v>0</v>
      </c>
      <c r="M10" s="47">
        <f t="shared" si="2"/>
        <v>100</v>
      </c>
      <c r="N10" s="68">
        <f t="shared" si="3"/>
        <v>100</v>
      </c>
      <c r="O10" s="46"/>
      <c r="P10" s="47"/>
      <c r="Q10" s="47">
        <v>51.8</v>
      </c>
      <c r="R10" s="48">
        <f t="shared" si="4"/>
        <v>51.8</v>
      </c>
      <c r="S10" s="29">
        <v>1</v>
      </c>
      <c r="T10" s="286"/>
      <c r="U10" s="295"/>
      <c r="V10" s="38" t="s">
        <v>1012</v>
      </c>
      <c r="W10" s="29" t="s">
        <v>979</v>
      </c>
      <c r="X10" s="29" t="s">
        <v>12</v>
      </c>
      <c r="Y10" s="39">
        <v>51.8</v>
      </c>
      <c r="AD10" s="38"/>
      <c r="AG10" s="39"/>
      <c r="AL10" s="38"/>
      <c r="AO10" s="39"/>
      <c r="AP10" s="38"/>
      <c r="AS10" s="39"/>
      <c r="AW10" s="39"/>
      <c r="BA10" s="40"/>
    </row>
    <row r="11" spans="1:53" s="29" customFormat="1" x14ac:dyDescent="0.15">
      <c r="A11" s="29">
        <v>1994</v>
      </c>
      <c r="B11" s="295"/>
      <c r="C11" s="411" t="s">
        <v>1141</v>
      </c>
      <c r="D11" s="411"/>
      <c r="E11" s="29">
        <v>365</v>
      </c>
      <c r="G11" s="66"/>
      <c r="I11" s="29">
        <v>17</v>
      </c>
      <c r="J11" s="73">
        <v>17</v>
      </c>
      <c r="K11" s="47">
        <f t="shared" si="0"/>
        <v>0</v>
      </c>
      <c r="L11" s="47">
        <f t="shared" si="1"/>
        <v>0</v>
      </c>
      <c r="M11" s="47">
        <f t="shared" si="2"/>
        <v>100</v>
      </c>
      <c r="N11" s="68">
        <f t="shared" si="3"/>
        <v>100</v>
      </c>
      <c r="O11" s="46"/>
      <c r="P11" s="47"/>
      <c r="Q11" s="47">
        <v>51.8</v>
      </c>
      <c r="R11" s="48">
        <f t="shared" si="4"/>
        <v>51.8</v>
      </c>
      <c r="S11" s="29">
        <v>1</v>
      </c>
      <c r="T11" s="286"/>
      <c r="U11" s="295"/>
      <c r="V11" s="38" t="s">
        <v>1012</v>
      </c>
      <c r="W11" s="29" t="s">
        <v>979</v>
      </c>
      <c r="X11" s="29" t="s">
        <v>12</v>
      </c>
      <c r="Y11" s="39">
        <v>51.8</v>
      </c>
      <c r="AD11" s="38"/>
      <c r="AG11" s="39"/>
      <c r="AL11" s="38"/>
      <c r="AO11" s="39"/>
      <c r="AP11" s="38"/>
      <c r="AS11" s="39"/>
      <c r="AW11" s="39"/>
      <c r="BA11" s="40"/>
    </row>
    <row r="12" spans="1:53" s="29" customFormat="1" x14ac:dyDescent="0.15">
      <c r="A12" s="29">
        <v>1995</v>
      </c>
      <c r="B12" s="295"/>
      <c r="C12" s="411" t="s">
        <v>1141</v>
      </c>
      <c r="D12" s="411"/>
      <c r="E12" s="29">
        <v>0</v>
      </c>
      <c r="G12" s="66"/>
      <c r="I12" s="29">
        <v>17</v>
      </c>
      <c r="J12" s="73">
        <v>17</v>
      </c>
      <c r="K12" s="47">
        <f t="shared" si="0"/>
        <v>0</v>
      </c>
      <c r="L12" s="47">
        <f t="shared" si="1"/>
        <v>0</v>
      </c>
      <c r="M12" s="47">
        <f t="shared" si="2"/>
        <v>100</v>
      </c>
      <c r="N12" s="68">
        <f t="shared" si="3"/>
        <v>100</v>
      </c>
      <c r="O12" s="46"/>
      <c r="P12" s="47"/>
      <c r="Q12" s="47">
        <v>51.8</v>
      </c>
      <c r="R12" s="48">
        <f t="shared" si="4"/>
        <v>51.8</v>
      </c>
      <c r="S12" s="29">
        <v>1</v>
      </c>
      <c r="T12" s="286"/>
      <c r="U12" s="295"/>
      <c r="V12" s="38" t="s">
        <v>1012</v>
      </c>
      <c r="W12" s="29" t="s">
        <v>979</v>
      </c>
      <c r="X12" s="29" t="s">
        <v>12</v>
      </c>
      <c r="Y12" s="39">
        <v>51.8</v>
      </c>
      <c r="AD12" s="38"/>
      <c r="AG12" s="39"/>
      <c r="AL12" s="38"/>
      <c r="AO12" s="39"/>
      <c r="AP12" s="38"/>
      <c r="AS12" s="39"/>
      <c r="AW12" s="39"/>
      <c r="BA12" s="40"/>
    </row>
    <row r="13" spans="1:53" s="29" customFormat="1" x14ac:dyDescent="0.15">
      <c r="A13" s="29">
        <v>1995</v>
      </c>
      <c r="B13" s="295"/>
      <c r="C13" s="411" t="s">
        <v>1141</v>
      </c>
      <c r="D13" s="411"/>
      <c r="E13" s="29">
        <v>365</v>
      </c>
      <c r="G13" s="66"/>
      <c r="I13" s="29">
        <v>17</v>
      </c>
      <c r="J13" s="73">
        <v>17</v>
      </c>
      <c r="K13" s="47">
        <f t="shared" si="0"/>
        <v>0</v>
      </c>
      <c r="L13" s="47">
        <f t="shared" si="1"/>
        <v>0</v>
      </c>
      <c r="M13" s="47">
        <f t="shared" si="2"/>
        <v>100</v>
      </c>
      <c r="N13" s="68">
        <f t="shared" si="3"/>
        <v>100</v>
      </c>
      <c r="O13" s="46"/>
      <c r="P13" s="47"/>
      <c r="Q13" s="47">
        <v>51.8</v>
      </c>
      <c r="R13" s="48">
        <f t="shared" si="4"/>
        <v>51.8</v>
      </c>
      <c r="S13" s="29">
        <v>1</v>
      </c>
      <c r="T13" s="286"/>
      <c r="U13" s="295"/>
      <c r="V13" s="38" t="s">
        <v>1012</v>
      </c>
      <c r="W13" s="29" t="s">
        <v>979</v>
      </c>
      <c r="X13" s="29" t="s">
        <v>12</v>
      </c>
      <c r="Y13" s="39">
        <v>51.8</v>
      </c>
      <c r="AD13" s="38"/>
      <c r="AG13" s="39"/>
      <c r="AL13" s="38"/>
      <c r="AO13" s="39"/>
      <c r="AP13" s="38"/>
      <c r="AS13" s="39"/>
      <c r="AW13" s="39"/>
      <c r="BA13" s="40"/>
    </row>
    <row r="14" spans="1:53" s="29" customFormat="1" x14ac:dyDescent="0.15">
      <c r="A14" s="29">
        <v>1996</v>
      </c>
      <c r="B14" s="295"/>
      <c r="C14" s="411" t="s">
        <v>1141</v>
      </c>
      <c r="D14" s="411"/>
      <c r="E14" s="29">
        <v>53</v>
      </c>
      <c r="G14" s="66"/>
      <c r="I14" s="29">
        <v>17</v>
      </c>
      <c r="J14" s="73">
        <v>17</v>
      </c>
      <c r="K14" s="47">
        <f t="shared" si="0"/>
        <v>0</v>
      </c>
      <c r="L14" s="47">
        <f t="shared" si="1"/>
        <v>0</v>
      </c>
      <c r="M14" s="47">
        <f t="shared" si="2"/>
        <v>100</v>
      </c>
      <c r="N14" s="68">
        <f t="shared" si="3"/>
        <v>100</v>
      </c>
      <c r="O14" s="46"/>
      <c r="P14" s="47"/>
      <c r="Q14" s="47">
        <v>51.8</v>
      </c>
      <c r="R14" s="48">
        <f t="shared" si="4"/>
        <v>51.8</v>
      </c>
      <c r="S14" s="29">
        <v>1</v>
      </c>
      <c r="T14" s="286"/>
      <c r="U14" s="295"/>
      <c r="V14" s="38" t="s">
        <v>1012</v>
      </c>
      <c r="W14" s="29" t="s">
        <v>979</v>
      </c>
      <c r="X14" s="29" t="s">
        <v>12</v>
      </c>
      <c r="Y14" s="39">
        <v>51.8</v>
      </c>
      <c r="AD14" s="38"/>
      <c r="AG14" s="39"/>
      <c r="AL14" s="38"/>
      <c r="AO14" s="39"/>
      <c r="AP14" s="38"/>
      <c r="AS14" s="39"/>
      <c r="AW14" s="39"/>
      <c r="BA14" s="40"/>
    </row>
    <row r="15" spans="1:53" s="171" customFormat="1" x14ac:dyDescent="0.15">
      <c r="A15" s="171">
        <v>1996</v>
      </c>
      <c r="B15" s="283">
        <v>35118</v>
      </c>
      <c r="C15" s="410" t="s">
        <v>1142</v>
      </c>
      <c r="D15" s="410"/>
      <c r="E15" s="171">
        <v>278</v>
      </c>
      <c r="F15" s="171">
        <v>6</v>
      </c>
      <c r="G15" s="233"/>
      <c r="I15" s="171">
        <v>18</v>
      </c>
      <c r="J15" s="241">
        <v>18</v>
      </c>
      <c r="K15" s="214">
        <f t="shared" si="0"/>
        <v>0</v>
      </c>
      <c r="L15" s="214">
        <f t="shared" si="1"/>
        <v>0</v>
      </c>
      <c r="M15" s="214">
        <f t="shared" si="2"/>
        <v>100</v>
      </c>
      <c r="N15" s="235">
        <f t="shared" si="3"/>
        <v>100</v>
      </c>
      <c r="O15" s="213"/>
      <c r="P15" s="214"/>
      <c r="Q15" s="214">
        <v>51.8</v>
      </c>
      <c r="R15" s="215">
        <f t="shared" si="4"/>
        <v>51.8</v>
      </c>
      <c r="S15" s="171">
        <v>1</v>
      </c>
      <c r="T15" s="285"/>
      <c r="U15" s="283">
        <v>35118</v>
      </c>
      <c r="V15" s="178" t="s">
        <v>1012</v>
      </c>
      <c r="W15" s="171" t="s">
        <v>979</v>
      </c>
      <c r="X15" s="171" t="s">
        <v>12</v>
      </c>
      <c r="Y15" s="179">
        <v>51.8</v>
      </c>
      <c r="AD15" s="178"/>
      <c r="AG15" s="179"/>
      <c r="AL15" s="178"/>
      <c r="AO15" s="179"/>
      <c r="AP15" s="178"/>
      <c r="AS15" s="179"/>
      <c r="AW15" s="179"/>
      <c r="BA15" s="180"/>
    </row>
    <row r="16" spans="1:53" s="29" customFormat="1" x14ac:dyDescent="0.15">
      <c r="A16" s="29">
        <v>1996</v>
      </c>
      <c r="B16" s="295">
        <v>35396</v>
      </c>
      <c r="C16" s="411" t="s">
        <v>1143</v>
      </c>
      <c r="D16" s="411"/>
      <c r="E16" s="29">
        <f xml:space="preserve"> 366-E15-E14</f>
        <v>35</v>
      </c>
      <c r="F16" s="29">
        <v>1</v>
      </c>
      <c r="G16" s="66">
        <v>13</v>
      </c>
      <c r="H16" s="29">
        <v>3</v>
      </c>
      <c r="J16" s="73">
        <v>17</v>
      </c>
      <c r="K16" s="47">
        <f t="shared" si="0"/>
        <v>76.470588235294116</v>
      </c>
      <c r="L16" s="47">
        <f t="shared" si="1"/>
        <v>17.647058823529413</v>
      </c>
      <c r="M16" s="47">
        <f t="shared" si="2"/>
        <v>0</v>
      </c>
      <c r="N16" s="68">
        <f t="shared" si="3"/>
        <v>94.117647058823536</v>
      </c>
      <c r="O16" s="46">
        <v>60.6</v>
      </c>
      <c r="P16" s="47">
        <v>11.7</v>
      </c>
      <c r="Q16" s="47"/>
      <c r="R16" s="48">
        <f t="shared" si="4"/>
        <v>72.3</v>
      </c>
      <c r="S16" s="29">
        <v>3</v>
      </c>
      <c r="T16" s="286">
        <v>35380</v>
      </c>
      <c r="U16" s="295">
        <v>35396</v>
      </c>
      <c r="V16" s="38" t="s">
        <v>1007</v>
      </c>
      <c r="W16" s="29" t="s">
        <v>87</v>
      </c>
      <c r="X16" s="29" t="s">
        <v>11</v>
      </c>
      <c r="Y16" s="39">
        <v>51.1</v>
      </c>
      <c r="Z16" s="29" t="s">
        <v>1013</v>
      </c>
      <c r="AA16" s="29" t="s">
        <v>17</v>
      </c>
      <c r="AB16" s="29" t="s">
        <v>18</v>
      </c>
      <c r="AC16" s="29">
        <v>11.7</v>
      </c>
      <c r="AD16" s="38" t="s">
        <v>1014</v>
      </c>
      <c r="AE16" s="29" t="s">
        <v>22</v>
      </c>
      <c r="AF16" s="29" t="s">
        <v>11</v>
      </c>
      <c r="AG16" s="39">
        <v>9.5</v>
      </c>
      <c r="AL16" s="38"/>
      <c r="AO16" s="39"/>
      <c r="AP16" s="38"/>
      <c r="AS16" s="39"/>
      <c r="AW16" s="39"/>
      <c r="BA16" s="40"/>
    </row>
    <row r="17" spans="1:53" s="29" customFormat="1" x14ac:dyDescent="0.15">
      <c r="A17" s="29">
        <v>1997</v>
      </c>
      <c r="B17" s="295"/>
      <c r="C17" s="411" t="s">
        <v>1143</v>
      </c>
      <c r="D17" s="411"/>
      <c r="E17" s="29">
        <v>0</v>
      </c>
      <c r="G17" s="66">
        <v>13</v>
      </c>
      <c r="H17" s="29">
        <v>3</v>
      </c>
      <c r="J17" s="73">
        <v>17</v>
      </c>
      <c r="K17" s="47">
        <f t="shared" si="0"/>
        <v>76.470588235294116</v>
      </c>
      <c r="L17" s="47">
        <f t="shared" si="1"/>
        <v>17.647058823529413</v>
      </c>
      <c r="M17" s="47">
        <f t="shared" si="2"/>
        <v>0</v>
      </c>
      <c r="N17" s="68">
        <f t="shared" si="3"/>
        <v>94.117647058823536</v>
      </c>
      <c r="O17" s="46">
        <v>60.6</v>
      </c>
      <c r="P17" s="47">
        <v>11.7</v>
      </c>
      <c r="Q17" s="47"/>
      <c r="R17" s="48">
        <f t="shared" si="4"/>
        <v>72.3</v>
      </c>
      <c r="S17" s="29">
        <v>3</v>
      </c>
      <c r="T17" s="286"/>
      <c r="U17" s="295"/>
      <c r="V17" s="38" t="s">
        <v>1007</v>
      </c>
      <c r="W17" s="29" t="s">
        <v>87</v>
      </c>
      <c r="X17" s="29" t="s">
        <v>11</v>
      </c>
      <c r="Y17" s="39">
        <v>51.1</v>
      </c>
      <c r="Z17" s="29" t="s">
        <v>1013</v>
      </c>
      <c r="AA17" s="29" t="s">
        <v>17</v>
      </c>
      <c r="AB17" s="29" t="s">
        <v>18</v>
      </c>
      <c r="AC17" s="29">
        <v>11.7</v>
      </c>
      <c r="AD17" s="38" t="s">
        <v>1014</v>
      </c>
      <c r="AE17" s="29" t="s">
        <v>22</v>
      </c>
      <c r="AF17" s="29" t="s">
        <v>11</v>
      </c>
      <c r="AG17" s="39">
        <v>9.5</v>
      </c>
      <c r="AL17" s="38"/>
      <c r="AO17" s="39"/>
      <c r="AP17" s="38"/>
      <c r="AS17" s="39"/>
      <c r="AW17" s="39"/>
      <c r="BA17" s="40"/>
    </row>
    <row r="18" spans="1:53" s="29" customFormat="1" x14ac:dyDescent="0.15">
      <c r="A18" s="29">
        <v>1997</v>
      </c>
      <c r="B18" s="295"/>
      <c r="C18" s="411" t="s">
        <v>1143</v>
      </c>
      <c r="D18" s="411"/>
      <c r="E18" s="29">
        <v>365</v>
      </c>
      <c r="G18" s="66">
        <v>13</v>
      </c>
      <c r="H18" s="29">
        <v>3</v>
      </c>
      <c r="J18" s="73">
        <v>17</v>
      </c>
      <c r="K18" s="47">
        <f t="shared" si="0"/>
        <v>76.470588235294116</v>
      </c>
      <c r="L18" s="47">
        <f t="shared" si="1"/>
        <v>17.647058823529413</v>
      </c>
      <c r="M18" s="47">
        <f t="shared" si="2"/>
        <v>0</v>
      </c>
      <c r="N18" s="68">
        <f t="shared" si="3"/>
        <v>94.117647058823536</v>
      </c>
      <c r="O18" s="46">
        <v>60.6</v>
      </c>
      <c r="P18" s="47">
        <v>11.7</v>
      </c>
      <c r="Q18" s="47"/>
      <c r="R18" s="48">
        <f t="shared" si="4"/>
        <v>72.3</v>
      </c>
      <c r="S18" s="29">
        <v>3</v>
      </c>
      <c r="T18" s="286"/>
      <c r="U18" s="295"/>
      <c r="V18" s="38" t="s">
        <v>1007</v>
      </c>
      <c r="W18" s="29" t="s">
        <v>87</v>
      </c>
      <c r="X18" s="29" t="s">
        <v>11</v>
      </c>
      <c r="Y18" s="39">
        <v>51.1</v>
      </c>
      <c r="Z18" s="29" t="s">
        <v>1013</v>
      </c>
      <c r="AA18" s="29" t="s">
        <v>17</v>
      </c>
      <c r="AB18" s="29" t="s">
        <v>18</v>
      </c>
      <c r="AC18" s="29">
        <v>11.7</v>
      </c>
      <c r="AD18" s="38" t="s">
        <v>1014</v>
      </c>
      <c r="AE18" s="29" t="s">
        <v>22</v>
      </c>
      <c r="AF18" s="29" t="s">
        <v>11</v>
      </c>
      <c r="AG18" s="39">
        <v>9.5</v>
      </c>
      <c r="AL18" s="38"/>
      <c r="AO18" s="39"/>
      <c r="AP18" s="38"/>
      <c r="AS18" s="39"/>
      <c r="AW18" s="39"/>
      <c r="BA18" s="40"/>
    </row>
    <row r="19" spans="1:53" s="29" customFormat="1" x14ac:dyDescent="0.15">
      <c r="A19" s="29">
        <v>1998</v>
      </c>
      <c r="B19" s="295"/>
      <c r="C19" s="411" t="s">
        <v>1143</v>
      </c>
      <c r="D19" s="411"/>
      <c r="E19" s="29">
        <v>83</v>
      </c>
      <c r="G19" s="66">
        <v>13</v>
      </c>
      <c r="H19" s="29">
        <v>3</v>
      </c>
      <c r="J19" s="73">
        <v>17</v>
      </c>
      <c r="K19" s="47">
        <f t="shared" si="0"/>
        <v>76.470588235294116</v>
      </c>
      <c r="L19" s="47">
        <f t="shared" si="1"/>
        <v>17.647058823529413</v>
      </c>
      <c r="M19" s="47">
        <f t="shared" si="2"/>
        <v>0</v>
      </c>
      <c r="N19" s="68">
        <f t="shared" si="3"/>
        <v>94.117647058823536</v>
      </c>
      <c r="O19" s="46">
        <v>60.6</v>
      </c>
      <c r="P19" s="47">
        <v>11.7</v>
      </c>
      <c r="Q19" s="47"/>
      <c r="R19" s="48">
        <f t="shared" si="4"/>
        <v>72.3</v>
      </c>
      <c r="S19" s="29">
        <v>3</v>
      </c>
      <c r="T19" s="286"/>
      <c r="U19" s="295"/>
      <c r="V19" s="38" t="s">
        <v>1007</v>
      </c>
      <c r="W19" s="29" t="s">
        <v>87</v>
      </c>
      <c r="X19" s="29" t="s">
        <v>11</v>
      </c>
      <c r="Y19" s="39">
        <v>51.1</v>
      </c>
      <c r="Z19" s="29" t="s">
        <v>1013</v>
      </c>
      <c r="AA19" s="29" t="s">
        <v>17</v>
      </c>
      <c r="AB19" s="29" t="s">
        <v>18</v>
      </c>
      <c r="AC19" s="29">
        <v>11.7</v>
      </c>
      <c r="AD19" s="38" t="s">
        <v>1014</v>
      </c>
      <c r="AE19" s="29" t="s">
        <v>22</v>
      </c>
      <c r="AF19" s="29" t="s">
        <v>11</v>
      </c>
      <c r="AG19" s="39">
        <v>9.5</v>
      </c>
      <c r="AL19" s="38"/>
      <c r="AO19" s="39"/>
      <c r="AP19" s="38"/>
      <c r="AS19" s="39"/>
      <c r="AW19" s="39"/>
      <c r="BA19" s="40"/>
    </row>
    <row r="20" spans="1:53" s="29" customFormat="1" x14ac:dyDescent="0.15">
      <c r="A20" s="29">
        <v>1998</v>
      </c>
      <c r="B20" s="303">
        <v>35879</v>
      </c>
      <c r="C20" s="411" t="s">
        <v>1143</v>
      </c>
      <c r="D20" s="411"/>
      <c r="E20" s="29">
        <v>282</v>
      </c>
      <c r="F20" s="84">
        <v>0</v>
      </c>
      <c r="G20" s="66">
        <v>10</v>
      </c>
      <c r="H20" s="29">
        <v>2</v>
      </c>
      <c r="J20" s="73">
        <v>15</v>
      </c>
      <c r="K20" s="47">
        <f t="shared" si="0"/>
        <v>66.666666666666657</v>
      </c>
      <c r="L20" s="47">
        <f t="shared" si="1"/>
        <v>13.333333333333334</v>
      </c>
      <c r="M20" s="47">
        <f t="shared" si="2"/>
        <v>0</v>
      </c>
      <c r="N20" s="68">
        <f t="shared" si="3"/>
        <v>79.999999999999986</v>
      </c>
      <c r="O20" s="46">
        <v>60.6</v>
      </c>
      <c r="P20" s="47">
        <v>11.7</v>
      </c>
      <c r="Q20" s="47"/>
      <c r="R20" s="48">
        <f t="shared" si="4"/>
        <v>72.3</v>
      </c>
      <c r="S20" s="29">
        <v>3</v>
      </c>
      <c r="T20" s="286"/>
      <c r="U20" s="295"/>
      <c r="V20" s="38" t="s">
        <v>1007</v>
      </c>
      <c r="W20" s="29" t="s">
        <v>87</v>
      </c>
      <c r="X20" s="29" t="s">
        <v>11</v>
      </c>
      <c r="Y20" s="39">
        <v>51.1</v>
      </c>
      <c r="Z20" s="29" t="s">
        <v>1013</v>
      </c>
      <c r="AA20" s="29" t="s">
        <v>17</v>
      </c>
      <c r="AB20" s="29" t="s">
        <v>18</v>
      </c>
      <c r="AC20" s="29">
        <v>11.7</v>
      </c>
      <c r="AD20" s="38" t="s">
        <v>1014</v>
      </c>
      <c r="AE20" s="29" t="s">
        <v>22</v>
      </c>
      <c r="AF20" s="29" t="s">
        <v>11</v>
      </c>
      <c r="AG20" s="39">
        <v>9.5</v>
      </c>
      <c r="AL20" s="38"/>
      <c r="AO20" s="39"/>
      <c r="AP20" s="38"/>
      <c r="AS20" s="39"/>
      <c r="AW20" s="39"/>
      <c r="BA20" s="40"/>
    </row>
    <row r="21" spans="1:53" s="29" customFormat="1" x14ac:dyDescent="0.15">
      <c r="A21" s="29">
        <v>1999</v>
      </c>
      <c r="B21" s="295"/>
      <c r="C21" s="411" t="s">
        <v>1143</v>
      </c>
      <c r="D21" s="411"/>
      <c r="E21" s="29">
        <v>137</v>
      </c>
      <c r="G21" s="66">
        <v>10</v>
      </c>
      <c r="H21" s="29">
        <v>2</v>
      </c>
      <c r="J21" s="73">
        <v>15</v>
      </c>
      <c r="K21" s="47">
        <f t="shared" si="0"/>
        <v>66.666666666666657</v>
      </c>
      <c r="L21" s="47">
        <f t="shared" si="1"/>
        <v>13.333333333333334</v>
      </c>
      <c r="M21" s="47">
        <f t="shared" si="2"/>
        <v>0</v>
      </c>
      <c r="N21" s="68">
        <f t="shared" si="3"/>
        <v>79.999999999999986</v>
      </c>
      <c r="O21" s="46">
        <v>60.6</v>
      </c>
      <c r="P21" s="47">
        <v>11.7</v>
      </c>
      <c r="Q21" s="47"/>
      <c r="R21" s="48">
        <f t="shared" si="4"/>
        <v>72.3</v>
      </c>
      <c r="S21" s="29">
        <v>3</v>
      </c>
      <c r="T21" s="286"/>
      <c r="U21" s="295"/>
      <c r="V21" s="38" t="s">
        <v>1007</v>
      </c>
      <c r="W21" s="29" t="s">
        <v>87</v>
      </c>
      <c r="X21" s="29" t="s">
        <v>11</v>
      </c>
      <c r="Y21" s="39">
        <v>51.1</v>
      </c>
      <c r="Z21" s="29" t="s">
        <v>1013</v>
      </c>
      <c r="AA21" s="29" t="s">
        <v>17</v>
      </c>
      <c r="AB21" s="29" t="s">
        <v>18</v>
      </c>
      <c r="AC21" s="29">
        <v>11.7</v>
      </c>
      <c r="AD21" s="38" t="s">
        <v>1014</v>
      </c>
      <c r="AE21" s="29" t="s">
        <v>22</v>
      </c>
      <c r="AF21" s="29" t="s">
        <v>11</v>
      </c>
      <c r="AG21" s="39">
        <v>9.5</v>
      </c>
      <c r="AL21" s="38"/>
      <c r="AO21" s="39"/>
      <c r="AP21" s="38"/>
      <c r="AS21" s="39"/>
      <c r="AW21" s="39"/>
      <c r="BA21" s="40"/>
    </row>
    <row r="22" spans="1:53" s="171" customFormat="1" x14ac:dyDescent="0.15">
      <c r="A22" s="171">
        <v>1999</v>
      </c>
      <c r="B22" s="283">
        <v>36298</v>
      </c>
      <c r="C22" s="410" t="s">
        <v>1015</v>
      </c>
      <c r="D22" s="410"/>
      <c r="E22" s="171">
        <v>164</v>
      </c>
      <c r="F22" s="171">
        <v>2</v>
      </c>
      <c r="G22" s="233">
        <v>8</v>
      </c>
      <c r="H22" s="171">
        <v>2</v>
      </c>
      <c r="J22" s="241">
        <v>14</v>
      </c>
      <c r="K22" s="214">
        <f t="shared" si="0"/>
        <v>57.142857142857139</v>
      </c>
      <c r="L22" s="214">
        <f t="shared" si="1"/>
        <v>14.285714285714285</v>
      </c>
      <c r="M22" s="214">
        <f t="shared" si="2"/>
        <v>0</v>
      </c>
      <c r="N22" s="235">
        <f t="shared" si="3"/>
        <v>71.428571428571416</v>
      </c>
      <c r="O22" s="213">
        <v>60.6</v>
      </c>
      <c r="P22" s="214">
        <v>11.7</v>
      </c>
      <c r="Q22" s="214"/>
      <c r="R22" s="215">
        <f>SUM(O22:Q22)</f>
        <v>72.3</v>
      </c>
      <c r="S22" s="171">
        <v>3</v>
      </c>
      <c r="T22" s="285"/>
      <c r="U22" s="283">
        <v>36298</v>
      </c>
      <c r="V22" s="178" t="s">
        <v>1007</v>
      </c>
      <c r="W22" s="171" t="s">
        <v>87</v>
      </c>
      <c r="X22" s="171" t="s">
        <v>11</v>
      </c>
      <c r="Y22" s="179">
        <v>51.1</v>
      </c>
      <c r="Z22" s="171" t="s">
        <v>1013</v>
      </c>
      <c r="AA22" s="171" t="s">
        <v>17</v>
      </c>
      <c r="AB22" s="171" t="s">
        <v>18</v>
      </c>
      <c r="AC22" s="171">
        <v>11.7</v>
      </c>
      <c r="AD22" s="178" t="s">
        <v>1014</v>
      </c>
      <c r="AE22" s="171" t="s">
        <v>22</v>
      </c>
      <c r="AF22" s="171" t="s">
        <v>11</v>
      </c>
      <c r="AG22" s="179">
        <v>9.5</v>
      </c>
      <c r="AL22" s="178"/>
      <c r="AO22" s="179"/>
      <c r="AP22" s="178"/>
      <c r="AS22" s="179"/>
      <c r="AW22" s="179"/>
      <c r="BA22" s="180"/>
    </row>
    <row r="23" spans="1:53" s="29" customFormat="1" x14ac:dyDescent="0.15">
      <c r="A23" s="29">
        <v>1999</v>
      </c>
      <c r="B23" s="295">
        <v>36462</v>
      </c>
      <c r="C23" s="411" t="s">
        <v>1016</v>
      </c>
      <c r="D23" s="411"/>
      <c r="E23" s="29">
        <v>64</v>
      </c>
      <c r="F23" s="29">
        <v>2</v>
      </c>
      <c r="G23" s="66">
        <v>7</v>
      </c>
      <c r="H23" s="29">
        <v>2</v>
      </c>
      <c r="J23" s="73">
        <v>14</v>
      </c>
      <c r="K23" s="47">
        <f t="shared" si="0"/>
        <v>50</v>
      </c>
      <c r="L23" s="47">
        <f t="shared" si="1"/>
        <v>14.285714285714285</v>
      </c>
      <c r="M23" s="47">
        <f t="shared" si="2"/>
        <v>0</v>
      </c>
      <c r="N23" s="47">
        <f t="shared" si="3"/>
        <v>64.285714285714278</v>
      </c>
      <c r="O23" s="46">
        <v>60.6</v>
      </c>
      <c r="P23" s="47">
        <v>11.7</v>
      </c>
      <c r="Q23" s="47"/>
      <c r="R23" s="48">
        <f t="shared" si="4"/>
        <v>72.3</v>
      </c>
      <c r="S23" s="29">
        <v>3</v>
      </c>
      <c r="T23" s="286"/>
      <c r="U23" s="295">
        <v>36462</v>
      </c>
      <c r="V23" s="38" t="s">
        <v>1007</v>
      </c>
      <c r="W23" s="29" t="s">
        <v>87</v>
      </c>
      <c r="X23" s="29" t="s">
        <v>11</v>
      </c>
      <c r="Y23" s="39">
        <v>51.1</v>
      </c>
      <c r="Z23" s="29" t="s">
        <v>1013</v>
      </c>
      <c r="AA23" s="29" t="s">
        <v>17</v>
      </c>
      <c r="AB23" s="29" t="s">
        <v>18</v>
      </c>
      <c r="AC23" s="29">
        <v>11.7</v>
      </c>
      <c r="AD23" s="38" t="s">
        <v>1014</v>
      </c>
      <c r="AE23" s="29" t="s">
        <v>22</v>
      </c>
      <c r="AF23" s="29" t="s">
        <v>11</v>
      </c>
      <c r="AG23" s="39">
        <v>9.5</v>
      </c>
      <c r="AL23" s="38"/>
      <c r="AO23" s="39"/>
      <c r="AP23" s="38"/>
      <c r="AS23" s="39"/>
      <c r="AW23" s="39"/>
      <c r="BA23" s="40"/>
    </row>
    <row r="24" spans="1:53" s="29" customFormat="1" x14ac:dyDescent="0.15">
      <c r="A24" s="29">
        <v>2000</v>
      </c>
      <c r="B24" s="295"/>
      <c r="C24" s="411" t="s">
        <v>1016</v>
      </c>
      <c r="D24" s="411"/>
      <c r="E24" s="29">
        <v>300</v>
      </c>
      <c r="G24" s="66">
        <v>7</v>
      </c>
      <c r="H24" s="29">
        <v>2</v>
      </c>
      <c r="J24" s="73">
        <v>14</v>
      </c>
      <c r="K24" s="47">
        <f>G24/J24*100</f>
        <v>50</v>
      </c>
      <c r="L24" s="47">
        <f>H24/J24*100</f>
        <v>14.285714285714285</v>
      </c>
      <c r="M24" s="47">
        <f>I24/J24*100</f>
        <v>0</v>
      </c>
      <c r="N24" s="47">
        <f>SUM(K24:M24)</f>
        <v>64.285714285714278</v>
      </c>
      <c r="O24" s="46">
        <v>60.6</v>
      </c>
      <c r="P24" s="47">
        <v>11.7</v>
      </c>
      <c r="Q24" s="47"/>
      <c r="R24" s="48">
        <f t="shared" si="4"/>
        <v>72.3</v>
      </c>
      <c r="S24" s="29">
        <v>3</v>
      </c>
      <c r="T24" s="286"/>
      <c r="U24" s="295"/>
      <c r="V24" s="38" t="s">
        <v>1007</v>
      </c>
      <c r="W24" s="29" t="s">
        <v>87</v>
      </c>
      <c r="X24" s="29" t="s">
        <v>11</v>
      </c>
      <c r="Y24" s="39">
        <v>51.1</v>
      </c>
      <c r="Z24" s="29" t="s">
        <v>1013</v>
      </c>
      <c r="AA24" s="29" t="s">
        <v>17</v>
      </c>
      <c r="AB24" s="29" t="s">
        <v>18</v>
      </c>
      <c r="AC24" s="29">
        <v>11.7</v>
      </c>
      <c r="AD24" s="38" t="s">
        <v>1014</v>
      </c>
      <c r="AE24" s="29" t="s">
        <v>22</v>
      </c>
      <c r="AF24" s="29" t="s">
        <v>11</v>
      </c>
      <c r="AG24" s="39">
        <v>9.5</v>
      </c>
      <c r="AL24" s="38"/>
      <c r="AO24" s="39"/>
      <c r="AP24" s="38"/>
      <c r="AS24" s="39"/>
      <c r="AW24" s="39"/>
      <c r="BA24" s="40"/>
    </row>
    <row r="25" spans="1:53" s="171" customFormat="1" x14ac:dyDescent="0.15">
      <c r="A25" s="171">
        <v>2000</v>
      </c>
      <c r="B25" s="283">
        <v>36826</v>
      </c>
      <c r="C25" s="410" t="s">
        <v>1144</v>
      </c>
      <c r="D25" s="410"/>
      <c r="E25" s="171">
        <f xml:space="preserve"> 366-E24</f>
        <v>66</v>
      </c>
      <c r="F25" s="171">
        <v>1</v>
      </c>
      <c r="G25" s="233">
        <v>7</v>
      </c>
      <c r="H25" s="171">
        <v>6</v>
      </c>
      <c r="J25" s="241">
        <v>14</v>
      </c>
      <c r="K25" s="214">
        <f>G25/J25*100</f>
        <v>50</v>
      </c>
      <c r="L25" s="214">
        <f>H25/J25*100</f>
        <v>42.857142857142854</v>
      </c>
      <c r="M25" s="214">
        <f>I25/J25*100</f>
        <v>0</v>
      </c>
      <c r="N25" s="235">
        <f>SUM(K25:M25)</f>
        <v>92.857142857142861</v>
      </c>
      <c r="O25" s="213">
        <v>23.4</v>
      </c>
      <c r="P25" s="214">
        <v>19.899999999999999</v>
      </c>
      <c r="Q25" s="214"/>
      <c r="R25" s="215">
        <f t="shared" si="4"/>
        <v>43.3</v>
      </c>
      <c r="S25" s="171">
        <v>5</v>
      </c>
      <c r="T25" s="285">
        <v>36807</v>
      </c>
      <c r="U25" s="283">
        <v>36826</v>
      </c>
      <c r="V25" s="178" t="s">
        <v>1018</v>
      </c>
      <c r="W25" s="171" t="s">
        <v>99</v>
      </c>
      <c r="X25" s="171" t="s">
        <v>11</v>
      </c>
      <c r="Y25" s="179">
        <v>23.4</v>
      </c>
      <c r="Z25" s="171" t="s">
        <v>1003</v>
      </c>
      <c r="AA25" s="171" t="s">
        <v>1019</v>
      </c>
      <c r="AB25" s="171" t="s">
        <v>18</v>
      </c>
      <c r="AC25" s="171">
        <v>19.899999999999999</v>
      </c>
      <c r="AD25" s="178"/>
      <c r="AG25" s="179"/>
      <c r="AL25" s="178"/>
      <c r="AO25" s="179"/>
      <c r="AP25" s="178"/>
      <c r="AS25" s="179"/>
      <c r="AW25" s="179"/>
      <c r="BA25" s="180"/>
    </row>
    <row r="26" spans="1:53" s="171" customFormat="1" x14ac:dyDescent="0.15">
      <c r="A26" s="171">
        <v>2001</v>
      </c>
      <c r="B26" s="283"/>
      <c r="C26" s="410" t="s">
        <v>1144</v>
      </c>
      <c r="D26" s="410"/>
      <c r="E26" s="171">
        <v>185</v>
      </c>
      <c r="G26" s="233">
        <v>7</v>
      </c>
      <c r="H26" s="171">
        <v>6</v>
      </c>
      <c r="J26" s="241">
        <v>14</v>
      </c>
      <c r="K26" s="214">
        <f>G26/J26*100</f>
        <v>50</v>
      </c>
      <c r="L26" s="214">
        <f>H26/J26*100</f>
        <v>42.857142857142854</v>
      </c>
      <c r="M26" s="214">
        <f>I26/J26*100</f>
        <v>0</v>
      </c>
      <c r="N26" s="235">
        <f>SUM(K26:M26)</f>
        <v>92.857142857142861</v>
      </c>
      <c r="O26" s="213">
        <v>23.4</v>
      </c>
      <c r="P26" s="214">
        <v>19.899999999999999</v>
      </c>
      <c r="Q26" s="214"/>
      <c r="R26" s="215">
        <f t="shared" si="4"/>
        <v>43.3</v>
      </c>
      <c r="S26" s="171">
        <v>5</v>
      </c>
      <c r="T26" s="285"/>
      <c r="U26" s="283"/>
      <c r="V26" s="178" t="s">
        <v>1018</v>
      </c>
      <c r="W26" s="171" t="s">
        <v>99</v>
      </c>
      <c r="X26" s="171" t="s">
        <v>11</v>
      </c>
      <c r="Y26" s="179">
        <v>23.4</v>
      </c>
      <c r="Z26" s="171" t="s">
        <v>1003</v>
      </c>
      <c r="AA26" s="171" t="s">
        <v>1019</v>
      </c>
      <c r="AB26" s="171" t="s">
        <v>18</v>
      </c>
      <c r="AC26" s="171">
        <v>19.899999999999999</v>
      </c>
      <c r="AD26" s="178"/>
      <c r="AG26" s="179"/>
      <c r="AL26" s="178"/>
      <c r="AO26" s="179"/>
      <c r="AP26" s="178"/>
      <c r="AS26" s="179"/>
      <c r="AW26" s="179"/>
      <c r="BA26" s="180"/>
    </row>
    <row r="27" spans="1:53" s="29" customFormat="1" x14ac:dyDescent="0.15">
      <c r="A27" s="29">
        <v>2001</v>
      </c>
      <c r="B27" s="314">
        <v>37077</v>
      </c>
      <c r="C27" s="411" t="s">
        <v>1002</v>
      </c>
      <c r="D27" s="411"/>
      <c r="E27" s="29">
        <f xml:space="preserve"> 365-E26</f>
        <v>180</v>
      </c>
      <c r="F27" s="29">
        <v>7</v>
      </c>
      <c r="G27" s="66"/>
      <c r="H27" s="29">
        <v>6</v>
      </c>
      <c r="I27" s="29">
        <v>4</v>
      </c>
      <c r="J27" s="73">
        <v>14</v>
      </c>
      <c r="K27" s="47">
        <f t="shared" si="0"/>
        <v>0</v>
      </c>
      <c r="L27" s="47">
        <f t="shared" si="1"/>
        <v>42.857142857142854</v>
      </c>
      <c r="M27" s="47">
        <f t="shared" si="2"/>
        <v>28.571428571428569</v>
      </c>
      <c r="N27" s="68">
        <f t="shared" si="3"/>
        <v>71.428571428571416</v>
      </c>
      <c r="O27" s="46"/>
      <c r="P27" s="47">
        <v>19.899999999999999</v>
      </c>
      <c r="Q27" s="47">
        <v>34</v>
      </c>
      <c r="R27" s="48">
        <f t="shared" si="4"/>
        <v>53.9</v>
      </c>
      <c r="S27" s="29">
        <v>2</v>
      </c>
      <c r="T27" s="286"/>
      <c r="U27" s="314">
        <v>37077</v>
      </c>
      <c r="V27" s="38" t="s">
        <v>1145</v>
      </c>
      <c r="W27" s="29" t="s">
        <v>20</v>
      </c>
      <c r="X27" s="29" t="s">
        <v>12</v>
      </c>
      <c r="Y27" s="39">
        <v>34</v>
      </c>
      <c r="Z27" s="29" t="s">
        <v>1003</v>
      </c>
      <c r="AA27" s="29" t="s">
        <v>306</v>
      </c>
      <c r="AB27" s="29" t="s">
        <v>18</v>
      </c>
      <c r="AC27" s="29">
        <v>19.899999999999999</v>
      </c>
      <c r="AD27" s="38"/>
      <c r="AG27" s="39"/>
      <c r="AL27" s="38"/>
      <c r="AO27" s="39"/>
      <c r="AP27" s="38"/>
      <c r="AS27" s="39"/>
      <c r="AW27" s="39"/>
      <c r="BA27" s="40"/>
    </row>
    <row r="28" spans="1:53" s="29" customFormat="1" x14ac:dyDescent="0.15">
      <c r="A28" s="29">
        <v>2002</v>
      </c>
      <c r="B28" s="314"/>
      <c r="C28" s="411" t="s">
        <v>1002</v>
      </c>
      <c r="D28" s="411"/>
      <c r="E28" s="29">
        <v>0</v>
      </c>
      <c r="G28" s="66"/>
      <c r="H28" s="29">
        <v>6</v>
      </c>
      <c r="I28" s="29">
        <v>4</v>
      </c>
      <c r="J28" s="73">
        <v>14</v>
      </c>
      <c r="K28" s="47">
        <f t="shared" si="0"/>
        <v>0</v>
      </c>
      <c r="L28" s="47">
        <f t="shared" si="1"/>
        <v>42.857142857142854</v>
      </c>
      <c r="M28" s="47">
        <f t="shared" si="2"/>
        <v>28.571428571428569</v>
      </c>
      <c r="N28" s="68">
        <f t="shared" si="3"/>
        <v>71.428571428571416</v>
      </c>
      <c r="O28" s="46"/>
      <c r="P28" s="47">
        <v>19.899999999999999</v>
      </c>
      <c r="Q28" s="47">
        <v>34</v>
      </c>
      <c r="R28" s="48">
        <f t="shared" si="4"/>
        <v>53.9</v>
      </c>
      <c r="S28" s="29">
        <v>2</v>
      </c>
      <c r="T28" s="286"/>
      <c r="U28" s="295"/>
      <c r="V28" s="38" t="s">
        <v>1145</v>
      </c>
      <c r="W28" s="29" t="s">
        <v>20</v>
      </c>
      <c r="X28" s="29" t="s">
        <v>12</v>
      </c>
      <c r="Y28" s="39">
        <v>34</v>
      </c>
      <c r="Z28" s="29" t="s">
        <v>1003</v>
      </c>
      <c r="AA28" s="29" t="s">
        <v>306</v>
      </c>
      <c r="AB28" s="29" t="s">
        <v>18</v>
      </c>
      <c r="AC28" s="29">
        <v>19.899999999999999</v>
      </c>
      <c r="AD28" s="38"/>
      <c r="AG28" s="39"/>
      <c r="AL28" s="38"/>
      <c r="AO28" s="39"/>
      <c r="AP28" s="38"/>
      <c r="AS28" s="39"/>
      <c r="AW28" s="39"/>
      <c r="BA28" s="40"/>
    </row>
    <row r="29" spans="1:53" s="29" customFormat="1" x14ac:dyDescent="0.15">
      <c r="A29" s="29">
        <v>2002</v>
      </c>
      <c r="B29" s="314"/>
      <c r="C29" s="411" t="s">
        <v>1002</v>
      </c>
      <c r="D29" s="411"/>
      <c r="E29" s="29">
        <v>365</v>
      </c>
      <c r="G29" s="66"/>
      <c r="H29" s="29">
        <v>6</v>
      </c>
      <c r="I29" s="29">
        <v>4</v>
      </c>
      <c r="J29" s="73">
        <v>14</v>
      </c>
      <c r="K29" s="47">
        <f t="shared" si="0"/>
        <v>0</v>
      </c>
      <c r="L29" s="47">
        <f t="shared" si="1"/>
        <v>42.857142857142854</v>
      </c>
      <c r="M29" s="47">
        <f t="shared" si="2"/>
        <v>28.571428571428569</v>
      </c>
      <c r="N29" s="68">
        <f t="shared" si="3"/>
        <v>71.428571428571416</v>
      </c>
      <c r="O29" s="46"/>
      <c r="P29" s="47">
        <v>19.899999999999999</v>
      </c>
      <c r="Q29" s="47">
        <v>34</v>
      </c>
      <c r="R29" s="48">
        <f t="shared" si="4"/>
        <v>53.9</v>
      </c>
      <c r="S29" s="29">
        <v>2</v>
      </c>
      <c r="T29" s="286"/>
      <c r="U29" s="295"/>
      <c r="V29" s="38" t="s">
        <v>1145</v>
      </c>
      <c r="W29" s="29" t="s">
        <v>20</v>
      </c>
      <c r="X29" s="29" t="s">
        <v>12</v>
      </c>
      <c r="Y29" s="39">
        <v>34</v>
      </c>
      <c r="Z29" s="29" t="s">
        <v>1003</v>
      </c>
      <c r="AA29" s="29" t="s">
        <v>306</v>
      </c>
      <c r="AB29" s="29" t="s">
        <v>18</v>
      </c>
      <c r="AC29" s="29">
        <v>19.899999999999999</v>
      </c>
      <c r="AD29" s="38"/>
      <c r="AG29" s="39"/>
      <c r="AL29" s="38"/>
      <c r="AO29" s="39"/>
      <c r="AP29" s="38"/>
      <c r="AS29" s="39"/>
      <c r="AW29" s="39"/>
      <c r="BA29" s="40"/>
    </row>
    <row r="30" spans="1:53" s="29" customFormat="1" x14ac:dyDescent="0.15">
      <c r="A30" s="29">
        <v>2003</v>
      </c>
      <c r="B30" s="314"/>
      <c r="C30" s="411" t="s">
        <v>1002</v>
      </c>
      <c r="D30" s="411"/>
      <c r="E30" s="29">
        <v>64</v>
      </c>
      <c r="G30" s="66"/>
      <c r="H30" s="29">
        <v>6</v>
      </c>
      <c r="I30" s="29">
        <v>4</v>
      </c>
      <c r="J30" s="73">
        <v>14</v>
      </c>
      <c r="K30" s="47">
        <f t="shared" si="0"/>
        <v>0</v>
      </c>
      <c r="L30" s="47">
        <f t="shared" si="1"/>
        <v>42.857142857142854</v>
      </c>
      <c r="M30" s="47">
        <f t="shared" si="2"/>
        <v>28.571428571428569</v>
      </c>
      <c r="N30" s="68">
        <f t="shared" si="3"/>
        <v>71.428571428571416</v>
      </c>
      <c r="O30" s="46"/>
      <c r="P30" s="47">
        <v>19.899999999999999</v>
      </c>
      <c r="Q30" s="47">
        <v>34</v>
      </c>
      <c r="R30" s="48">
        <f t="shared" si="4"/>
        <v>53.9</v>
      </c>
      <c r="S30" s="29">
        <v>2</v>
      </c>
      <c r="T30" s="286"/>
      <c r="U30" s="295"/>
      <c r="V30" s="38" t="s">
        <v>1145</v>
      </c>
      <c r="W30" s="29" t="s">
        <v>20</v>
      </c>
      <c r="X30" s="29" t="s">
        <v>12</v>
      </c>
      <c r="Y30" s="39">
        <v>34</v>
      </c>
      <c r="Z30" s="29" t="s">
        <v>1003</v>
      </c>
      <c r="AA30" s="29" t="s">
        <v>306</v>
      </c>
      <c r="AB30" s="29" t="s">
        <v>18</v>
      </c>
      <c r="AC30" s="29">
        <v>19.899999999999999</v>
      </c>
      <c r="AD30" s="38"/>
      <c r="AG30" s="39"/>
      <c r="AL30" s="38"/>
      <c r="AO30" s="39"/>
      <c r="AP30" s="38"/>
      <c r="AS30" s="39"/>
      <c r="AW30" s="39"/>
      <c r="BA30" s="40"/>
    </row>
    <row r="31" spans="1:53" s="29" customFormat="1" x14ac:dyDescent="0.15">
      <c r="A31" s="29">
        <v>2003</v>
      </c>
      <c r="B31" s="315">
        <v>37686</v>
      </c>
      <c r="C31" s="411" t="s">
        <v>1002</v>
      </c>
      <c r="D31" s="411"/>
      <c r="E31" s="29">
        <f xml:space="preserve"> 365-E30</f>
        <v>301</v>
      </c>
      <c r="F31" s="70">
        <v>0</v>
      </c>
      <c r="G31" s="66"/>
      <c r="H31" s="29">
        <v>5</v>
      </c>
      <c r="I31" s="29">
        <v>5</v>
      </c>
      <c r="J31" s="73">
        <v>14</v>
      </c>
      <c r="K31" s="47">
        <f t="shared" si="0"/>
        <v>0</v>
      </c>
      <c r="L31" s="47">
        <f t="shared" si="1"/>
        <v>35.714285714285715</v>
      </c>
      <c r="M31" s="47">
        <f t="shared" si="2"/>
        <v>35.714285714285715</v>
      </c>
      <c r="N31" s="68">
        <f t="shared" si="3"/>
        <v>71.428571428571431</v>
      </c>
      <c r="O31" s="46"/>
      <c r="P31" s="47">
        <v>19.899999999999999</v>
      </c>
      <c r="Q31" s="47">
        <v>34</v>
      </c>
      <c r="R31" s="48">
        <f t="shared" si="4"/>
        <v>53.9</v>
      </c>
      <c r="S31" s="29">
        <v>2</v>
      </c>
      <c r="T31" s="286"/>
      <c r="U31" s="295"/>
      <c r="V31" s="38" t="s">
        <v>1145</v>
      </c>
      <c r="W31" s="29" t="s">
        <v>20</v>
      </c>
      <c r="X31" s="29" t="s">
        <v>12</v>
      </c>
      <c r="Y31" s="39">
        <v>34</v>
      </c>
      <c r="Z31" s="29" t="s">
        <v>1003</v>
      </c>
      <c r="AA31" s="29" t="s">
        <v>306</v>
      </c>
      <c r="AB31" s="29" t="s">
        <v>18</v>
      </c>
      <c r="AC31" s="29">
        <v>19.899999999999999</v>
      </c>
      <c r="AD31" s="38"/>
      <c r="AG31" s="39"/>
      <c r="AL31" s="38"/>
      <c r="AO31" s="39"/>
      <c r="AP31" s="38"/>
      <c r="AS31" s="39"/>
      <c r="AW31" s="39"/>
      <c r="BA31" s="40"/>
    </row>
    <row r="32" spans="1:53" s="29" customFormat="1" x14ac:dyDescent="0.15">
      <c r="A32" s="29">
        <v>2004</v>
      </c>
      <c r="B32" s="316"/>
      <c r="C32" s="411" t="s">
        <v>1002</v>
      </c>
      <c r="D32" s="411"/>
      <c r="E32" s="29">
        <v>124</v>
      </c>
      <c r="G32" s="66"/>
      <c r="H32" s="29">
        <v>5</v>
      </c>
      <c r="I32" s="29">
        <v>5</v>
      </c>
      <c r="J32" s="73">
        <v>14</v>
      </c>
      <c r="K32" s="47">
        <f>G32/J32*100</f>
        <v>0</v>
      </c>
      <c r="L32" s="47">
        <f>H32/J32*100</f>
        <v>35.714285714285715</v>
      </c>
      <c r="M32" s="47">
        <f>I32/J32*100</f>
        <v>35.714285714285715</v>
      </c>
      <c r="N32" s="68">
        <f t="shared" si="3"/>
        <v>71.428571428571431</v>
      </c>
      <c r="O32" s="46"/>
      <c r="P32" s="47">
        <v>19.899999999999999</v>
      </c>
      <c r="Q32" s="47">
        <v>34</v>
      </c>
      <c r="R32" s="48">
        <f t="shared" si="4"/>
        <v>53.9</v>
      </c>
      <c r="S32" s="29">
        <v>2</v>
      </c>
      <c r="T32" s="286"/>
      <c r="U32" s="295"/>
      <c r="V32" s="38" t="s">
        <v>1145</v>
      </c>
      <c r="W32" s="29" t="s">
        <v>20</v>
      </c>
      <c r="X32" s="29" t="s">
        <v>12</v>
      </c>
      <c r="Y32" s="39">
        <v>34</v>
      </c>
      <c r="Z32" s="29" t="s">
        <v>1003</v>
      </c>
      <c r="AA32" s="29" t="s">
        <v>306</v>
      </c>
      <c r="AB32" s="29" t="s">
        <v>18</v>
      </c>
      <c r="AC32" s="29">
        <v>19.899999999999999</v>
      </c>
      <c r="AD32" s="38"/>
      <c r="AG32" s="39"/>
      <c r="AL32" s="38"/>
      <c r="AO32" s="39"/>
      <c r="AP32" s="38"/>
      <c r="AS32" s="39"/>
      <c r="AW32" s="39"/>
      <c r="BA32" s="40"/>
    </row>
    <row r="33" spans="1:53" s="29" customFormat="1" x14ac:dyDescent="0.15">
      <c r="A33" s="29">
        <v>2004</v>
      </c>
      <c r="B33" s="315">
        <v>38111</v>
      </c>
      <c r="C33" s="411" t="s">
        <v>1002</v>
      </c>
      <c r="D33" s="411"/>
      <c r="E33" s="29">
        <v>224</v>
      </c>
      <c r="F33" s="70">
        <v>0</v>
      </c>
      <c r="G33" s="66"/>
      <c r="H33" s="29">
        <v>5</v>
      </c>
      <c r="I33" s="29">
        <v>6</v>
      </c>
      <c r="J33" s="73">
        <v>14</v>
      </c>
      <c r="K33" s="47">
        <f t="shared" si="0"/>
        <v>0</v>
      </c>
      <c r="L33" s="47">
        <f t="shared" si="1"/>
        <v>35.714285714285715</v>
      </c>
      <c r="M33" s="47">
        <f t="shared" si="2"/>
        <v>42.857142857142854</v>
      </c>
      <c r="N33" s="68">
        <f t="shared" si="3"/>
        <v>78.571428571428569</v>
      </c>
      <c r="O33" s="46"/>
      <c r="P33" s="47">
        <v>19.899999999999999</v>
      </c>
      <c r="Q33" s="47">
        <v>34</v>
      </c>
      <c r="R33" s="48">
        <f t="shared" si="4"/>
        <v>53.9</v>
      </c>
      <c r="S33" s="29">
        <v>2</v>
      </c>
      <c r="T33" s="286"/>
      <c r="U33" s="295"/>
      <c r="V33" s="38" t="s">
        <v>1145</v>
      </c>
      <c r="W33" s="29" t="s">
        <v>20</v>
      </c>
      <c r="X33" s="29" t="s">
        <v>12</v>
      </c>
      <c r="Y33" s="39">
        <v>34</v>
      </c>
      <c r="Z33" s="29" t="s">
        <v>1003</v>
      </c>
      <c r="AA33" s="29" t="s">
        <v>306</v>
      </c>
      <c r="AB33" s="29" t="s">
        <v>18</v>
      </c>
      <c r="AC33" s="29">
        <v>19.899999999999999</v>
      </c>
      <c r="AD33" s="38"/>
      <c r="AG33" s="39"/>
      <c r="AL33" s="38"/>
      <c r="AO33" s="39"/>
      <c r="AP33" s="38"/>
      <c r="AS33" s="39"/>
      <c r="AW33" s="39"/>
      <c r="BA33" s="40"/>
    </row>
    <row r="34" spans="1:53" s="171" customFormat="1" x14ac:dyDescent="0.15">
      <c r="A34" s="171">
        <v>2004</v>
      </c>
      <c r="B34" s="306">
        <v>38335</v>
      </c>
      <c r="C34" s="410" t="s">
        <v>1004</v>
      </c>
      <c r="D34" s="410"/>
      <c r="E34" s="171">
        <f xml:space="preserve"> 366-E33-E32</f>
        <v>18</v>
      </c>
      <c r="F34" s="171">
        <v>1</v>
      </c>
      <c r="G34" s="233"/>
      <c r="H34" s="171">
        <v>2</v>
      </c>
      <c r="I34" s="171">
        <v>12</v>
      </c>
      <c r="J34" s="241">
        <v>14</v>
      </c>
      <c r="K34" s="214">
        <f t="shared" si="0"/>
        <v>0</v>
      </c>
      <c r="L34" s="214">
        <f t="shared" si="1"/>
        <v>14.285714285714285</v>
      </c>
      <c r="M34" s="214">
        <f t="shared" si="2"/>
        <v>85.714285714285708</v>
      </c>
      <c r="N34" s="235">
        <f t="shared" si="3"/>
        <v>100</v>
      </c>
      <c r="O34" s="213"/>
      <c r="P34" s="214">
        <v>7.8</v>
      </c>
      <c r="Q34" s="214">
        <v>49</v>
      </c>
      <c r="R34" s="215">
        <f t="shared" si="4"/>
        <v>56.8</v>
      </c>
      <c r="S34" s="171">
        <v>2</v>
      </c>
      <c r="T34" s="285">
        <v>38270</v>
      </c>
      <c r="U34" s="306">
        <v>38335</v>
      </c>
      <c r="V34" s="178" t="s">
        <v>130</v>
      </c>
      <c r="W34" s="171" t="s">
        <v>97</v>
      </c>
      <c r="X34" s="171" t="s">
        <v>12</v>
      </c>
      <c r="Y34" s="179">
        <v>27.7</v>
      </c>
      <c r="Z34" s="178" t="s">
        <v>1145</v>
      </c>
      <c r="AA34" s="171" t="s">
        <v>20</v>
      </c>
      <c r="AB34" s="171" t="s">
        <v>12</v>
      </c>
      <c r="AC34" s="171">
        <v>14.2</v>
      </c>
      <c r="AD34" s="178" t="s">
        <v>1003</v>
      </c>
      <c r="AE34" s="171" t="s">
        <v>306</v>
      </c>
      <c r="AF34" s="171" t="s">
        <v>18</v>
      </c>
      <c r="AG34" s="179">
        <v>7.8</v>
      </c>
      <c r="AH34" s="171" t="s">
        <v>1005</v>
      </c>
      <c r="AI34" s="171" t="s">
        <v>932</v>
      </c>
      <c r="AJ34" s="171" t="s">
        <v>12</v>
      </c>
      <c r="AK34" s="171">
        <v>7.1</v>
      </c>
      <c r="AL34" s="178"/>
      <c r="AO34" s="179"/>
      <c r="AP34" s="178"/>
      <c r="AS34" s="179"/>
      <c r="AW34" s="179"/>
      <c r="BA34" s="180"/>
    </row>
    <row r="35" spans="1:53" s="171" customFormat="1" x14ac:dyDescent="0.15">
      <c r="A35" s="171">
        <v>2005</v>
      </c>
      <c r="B35" s="306"/>
      <c r="C35" s="410" t="s">
        <v>1004</v>
      </c>
      <c r="D35" s="410"/>
      <c r="E35" s="171">
        <v>0</v>
      </c>
      <c r="G35" s="233"/>
      <c r="H35" s="171">
        <v>2</v>
      </c>
      <c r="I35" s="171">
        <v>12</v>
      </c>
      <c r="J35" s="241">
        <v>14</v>
      </c>
      <c r="K35" s="214">
        <f t="shared" si="0"/>
        <v>0</v>
      </c>
      <c r="L35" s="214">
        <f t="shared" si="1"/>
        <v>14.285714285714285</v>
      </c>
      <c r="M35" s="214">
        <f t="shared" si="2"/>
        <v>85.714285714285708</v>
      </c>
      <c r="N35" s="235">
        <f t="shared" si="3"/>
        <v>100</v>
      </c>
      <c r="O35" s="213"/>
      <c r="P35" s="214">
        <v>7.8</v>
      </c>
      <c r="Q35" s="214">
        <v>49</v>
      </c>
      <c r="R35" s="215">
        <f t="shared" si="4"/>
        <v>56.8</v>
      </c>
      <c r="S35" s="171">
        <v>2</v>
      </c>
      <c r="T35" s="285"/>
      <c r="U35" s="283"/>
      <c r="V35" s="178" t="s">
        <v>130</v>
      </c>
      <c r="W35" s="171" t="s">
        <v>97</v>
      </c>
      <c r="X35" s="171" t="s">
        <v>12</v>
      </c>
      <c r="Y35" s="179">
        <v>27.7</v>
      </c>
      <c r="Z35" s="178" t="s">
        <v>1145</v>
      </c>
      <c r="AA35" s="171" t="s">
        <v>20</v>
      </c>
      <c r="AB35" s="171" t="s">
        <v>12</v>
      </c>
      <c r="AC35" s="171">
        <v>14.2</v>
      </c>
      <c r="AD35" s="178" t="s">
        <v>1003</v>
      </c>
      <c r="AE35" s="171" t="s">
        <v>306</v>
      </c>
      <c r="AF35" s="171" t="s">
        <v>18</v>
      </c>
      <c r="AG35" s="179">
        <v>7.8</v>
      </c>
      <c r="AH35" s="171" t="s">
        <v>1005</v>
      </c>
      <c r="AI35" s="171" t="s">
        <v>932</v>
      </c>
      <c r="AJ35" s="171" t="s">
        <v>12</v>
      </c>
      <c r="AK35" s="171">
        <v>7.1</v>
      </c>
      <c r="AL35" s="178"/>
      <c r="AO35" s="179"/>
      <c r="AP35" s="178"/>
      <c r="AS35" s="179"/>
      <c r="AW35" s="179"/>
      <c r="BA35" s="180"/>
    </row>
    <row r="36" spans="1:53" s="171" customFormat="1" x14ac:dyDescent="0.15">
      <c r="A36" s="171">
        <v>2005</v>
      </c>
      <c r="B36" s="306"/>
      <c r="C36" s="410" t="s">
        <v>1004</v>
      </c>
      <c r="D36" s="410"/>
      <c r="E36" s="171">
        <v>365</v>
      </c>
      <c r="G36" s="233"/>
      <c r="H36" s="171">
        <v>2</v>
      </c>
      <c r="I36" s="171">
        <v>12</v>
      </c>
      <c r="J36" s="241">
        <v>14</v>
      </c>
      <c r="K36" s="214">
        <f t="shared" si="0"/>
        <v>0</v>
      </c>
      <c r="L36" s="214">
        <f t="shared" si="1"/>
        <v>14.285714285714285</v>
      </c>
      <c r="M36" s="214">
        <f t="shared" si="2"/>
        <v>85.714285714285708</v>
      </c>
      <c r="N36" s="235">
        <f t="shared" si="3"/>
        <v>100</v>
      </c>
      <c r="O36" s="213"/>
      <c r="P36" s="214">
        <v>7.8</v>
      </c>
      <c r="Q36" s="214">
        <v>49</v>
      </c>
      <c r="R36" s="215">
        <f t="shared" si="4"/>
        <v>56.8</v>
      </c>
      <c r="S36" s="171">
        <v>2</v>
      </c>
      <c r="T36" s="285"/>
      <c r="U36" s="283"/>
      <c r="V36" s="178" t="s">
        <v>130</v>
      </c>
      <c r="W36" s="171" t="s">
        <v>97</v>
      </c>
      <c r="X36" s="171" t="s">
        <v>12</v>
      </c>
      <c r="Y36" s="179">
        <v>27.7</v>
      </c>
      <c r="Z36" s="178" t="s">
        <v>1145</v>
      </c>
      <c r="AA36" s="171" t="s">
        <v>20</v>
      </c>
      <c r="AB36" s="171" t="s">
        <v>12</v>
      </c>
      <c r="AC36" s="171">
        <v>14.2</v>
      </c>
      <c r="AD36" s="178" t="s">
        <v>1003</v>
      </c>
      <c r="AE36" s="171" t="s">
        <v>306</v>
      </c>
      <c r="AF36" s="171" t="s">
        <v>18</v>
      </c>
      <c r="AG36" s="179">
        <v>7.8</v>
      </c>
      <c r="AH36" s="171" t="s">
        <v>1005</v>
      </c>
      <c r="AI36" s="171" t="s">
        <v>932</v>
      </c>
      <c r="AJ36" s="171" t="s">
        <v>12</v>
      </c>
      <c r="AK36" s="171">
        <v>7.1</v>
      </c>
      <c r="AL36" s="178"/>
      <c r="AO36" s="179"/>
      <c r="AP36" s="178"/>
      <c r="AS36" s="179"/>
      <c r="AW36" s="179"/>
      <c r="BA36" s="180"/>
    </row>
    <row r="37" spans="1:53" s="171" customFormat="1" x14ac:dyDescent="0.15">
      <c r="A37" s="171">
        <v>2006</v>
      </c>
      <c r="B37" s="306"/>
      <c r="C37" s="410" t="s">
        <v>1004</v>
      </c>
      <c r="D37" s="410"/>
      <c r="E37" s="171">
        <v>120</v>
      </c>
      <c r="G37" s="233"/>
      <c r="H37" s="171">
        <v>2</v>
      </c>
      <c r="I37" s="171">
        <v>12</v>
      </c>
      <c r="J37" s="241">
        <v>14</v>
      </c>
      <c r="K37" s="214">
        <f>G37/J37*100</f>
        <v>0</v>
      </c>
      <c r="L37" s="214">
        <f>H37/J37*100</f>
        <v>14.285714285714285</v>
      </c>
      <c r="M37" s="214">
        <f>I37/J37*100</f>
        <v>85.714285714285708</v>
      </c>
      <c r="N37" s="235">
        <f t="shared" si="3"/>
        <v>100</v>
      </c>
      <c r="O37" s="213"/>
      <c r="P37" s="214">
        <v>7.8</v>
      </c>
      <c r="Q37" s="214">
        <v>49</v>
      </c>
      <c r="R37" s="215">
        <f t="shared" si="4"/>
        <v>56.8</v>
      </c>
      <c r="S37" s="171">
        <v>2</v>
      </c>
      <c r="T37" s="285"/>
      <c r="U37" s="283"/>
      <c r="V37" s="178" t="s">
        <v>130</v>
      </c>
      <c r="W37" s="171" t="s">
        <v>97</v>
      </c>
      <c r="X37" s="171" t="s">
        <v>12</v>
      </c>
      <c r="Y37" s="179">
        <v>27.7</v>
      </c>
      <c r="Z37" s="178" t="s">
        <v>1145</v>
      </c>
      <c r="AA37" s="171" t="s">
        <v>20</v>
      </c>
      <c r="AB37" s="171" t="s">
        <v>12</v>
      </c>
      <c r="AC37" s="171">
        <v>14.2</v>
      </c>
      <c r="AD37" s="178" t="s">
        <v>1003</v>
      </c>
      <c r="AE37" s="171" t="s">
        <v>306</v>
      </c>
      <c r="AF37" s="171" t="s">
        <v>18</v>
      </c>
      <c r="AG37" s="179">
        <v>7.8</v>
      </c>
      <c r="AH37" s="171" t="s">
        <v>1005</v>
      </c>
      <c r="AI37" s="171" t="s">
        <v>932</v>
      </c>
      <c r="AJ37" s="171" t="s">
        <v>12</v>
      </c>
      <c r="AK37" s="171">
        <v>7.1</v>
      </c>
      <c r="AL37" s="178"/>
      <c r="AO37" s="179"/>
      <c r="AP37" s="178"/>
      <c r="AS37" s="179"/>
      <c r="AW37" s="179"/>
      <c r="BA37" s="180"/>
    </row>
    <row r="38" spans="1:53" s="171" customFormat="1" x14ac:dyDescent="0.15">
      <c r="A38" s="171">
        <v>2006</v>
      </c>
      <c r="B38" s="301">
        <v>38838</v>
      </c>
      <c r="C38" s="410" t="s">
        <v>1004</v>
      </c>
      <c r="D38" s="410"/>
      <c r="E38" s="171">
        <v>78</v>
      </c>
      <c r="F38" s="192">
        <v>0</v>
      </c>
      <c r="G38" s="233"/>
      <c r="H38" s="171">
        <v>1</v>
      </c>
      <c r="I38" s="171">
        <v>13</v>
      </c>
      <c r="J38" s="241">
        <v>14</v>
      </c>
      <c r="K38" s="214">
        <f t="shared" si="0"/>
        <v>0</v>
      </c>
      <c r="L38" s="214">
        <f t="shared" si="1"/>
        <v>7.1428571428571423</v>
      </c>
      <c r="M38" s="214">
        <f t="shared" si="2"/>
        <v>92.857142857142861</v>
      </c>
      <c r="N38" s="235">
        <f t="shared" si="3"/>
        <v>100</v>
      </c>
      <c r="O38" s="213"/>
      <c r="P38" s="214">
        <v>7.8</v>
      </c>
      <c r="Q38" s="214">
        <v>49</v>
      </c>
      <c r="R38" s="215">
        <f t="shared" si="4"/>
        <v>56.8</v>
      </c>
      <c r="S38" s="171">
        <v>2</v>
      </c>
      <c r="T38" s="285"/>
      <c r="U38" s="283"/>
      <c r="V38" s="178" t="s">
        <v>130</v>
      </c>
      <c r="W38" s="171" t="s">
        <v>97</v>
      </c>
      <c r="X38" s="171" t="s">
        <v>12</v>
      </c>
      <c r="Y38" s="179">
        <v>27.7</v>
      </c>
      <c r="Z38" s="178" t="s">
        <v>1145</v>
      </c>
      <c r="AA38" s="171" t="s">
        <v>20</v>
      </c>
      <c r="AB38" s="171" t="s">
        <v>12</v>
      </c>
      <c r="AC38" s="171">
        <v>14.2</v>
      </c>
      <c r="AD38" s="178" t="s">
        <v>1003</v>
      </c>
      <c r="AE38" s="171" t="s">
        <v>306</v>
      </c>
      <c r="AF38" s="171" t="s">
        <v>18</v>
      </c>
      <c r="AG38" s="179">
        <v>7.8</v>
      </c>
      <c r="AH38" s="171" t="s">
        <v>1005</v>
      </c>
      <c r="AI38" s="171" t="s">
        <v>932</v>
      </c>
      <c r="AJ38" s="171" t="s">
        <v>12</v>
      </c>
      <c r="AK38" s="171">
        <v>7.1</v>
      </c>
      <c r="AL38" s="178"/>
      <c r="AO38" s="179"/>
      <c r="AP38" s="178"/>
      <c r="AS38" s="179"/>
      <c r="AW38" s="179"/>
      <c r="BA38" s="180"/>
    </row>
    <row r="39" spans="1:53" s="29" customFormat="1" x14ac:dyDescent="0.15">
      <c r="A39" s="29">
        <v>2006</v>
      </c>
      <c r="B39" s="277">
        <v>38916</v>
      </c>
      <c r="C39" s="411" t="s">
        <v>1146</v>
      </c>
      <c r="D39" s="411"/>
      <c r="E39" s="29">
        <f xml:space="preserve"> 365-E38-E37</f>
        <v>167</v>
      </c>
      <c r="F39" s="29">
        <v>4</v>
      </c>
      <c r="G39" s="66">
        <v>2</v>
      </c>
      <c r="I39" s="29">
        <v>12</v>
      </c>
      <c r="J39" s="73">
        <v>14</v>
      </c>
      <c r="K39" s="47">
        <f t="shared" si="0"/>
        <v>14.285714285714285</v>
      </c>
      <c r="L39" s="47">
        <f t="shared" si="1"/>
        <v>0</v>
      </c>
      <c r="M39" s="47">
        <f t="shared" si="2"/>
        <v>85.714285714285708</v>
      </c>
      <c r="N39" s="68">
        <f t="shared" si="3"/>
        <v>100</v>
      </c>
      <c r="O39" s="46">
        <v>12.8</v>
      </c>
      <c r="P39" s="47"/>
      <c r="Q39" s="47">
        <v>34</v>
      </c>
      <c r="R39" s="48">
        <f t="shared" si="4"/>
        <v>46.8</v>
      </c>
      <c r="S39" s="29">
        <v>5</v>
      </c>
      <c r="T39" s="286"/>
      <c r="U39" s="277">
        <v>38916</v>
      </c>
      <c r="V39" s="38" t="s">
        <v>1145</v>
      </c>
      <c r="W39" s="29" t="s">
        <v>20</v>
      </c>
      <c r="X39" s="29" t="s">
        <v>12</v>
      </c>
      <c r="Y39" s="39">
        <v>19.100000000000001</v>
      </c>
      <c r="Z39" s="38" t="s">
        <v>1006</v>
      </c>
      <c r="AA39" s="29" t="s">
        <v>106</v>
      </c>
      <c r="AB39" s="29" t="s">
        <v>11</v>
      </c>
      <c r="AC39" s="29">
        <v>12.8</v>
      </c>
      <c r="AD39" s="38" t="s">
        <v>124</v>
      </c>
      <c r="AE39" s="29" t="s">
        <v>327</v>
      </c>
      <c r="AF39" s="29" t="s">
        <v>12</v>
      </c>
      <c r="AG39" s="39">
        <v>7.8</v>
      </c>
      <c r="AH39" s="29" t="s">
        <v>1005</v>
      </c>
      <c r="AI39" s="29" t="s">
        <v>932</v>
      </c>
      <c r="AJ39" s="29" t="s">
        <v>12</v>
      </c>
      <c r="AK39" s="29">
        <v>7.1</v>
      </c>
      <c r="AL39" s="38"/>
      <c r="AO39" s="39"/>
      <c r="AP39" s="38"/>
      <c r="AS39" s="39"/>
      <c r="AW39" s="39"/>
      <c r="BA39" s="40"/>
    </row>
    <row r="40" spans="1:53" s="29" customFormat="1" x14ac:dyDescent="0.15">
      <c r="A40" s="29">
        <v>2007</v>
      </c>
      <c r="B40" s="277"/>
      <c r="C40" s="411" t="s">
        <v>1146</v>
      </c>
      <c r="D40" s="411"/>
      <c r="E40" s="29">
        <v>0</v>
      </c>
      <c r="G40" s="66">
        <v>2</v>
      </c>
      <c r="I40" s="29">
        <v>12</v>
      </c>
      <c r="J40" s="73">
        <v>14</v>
      </c>
      <c r="K40" s="47">
        <f t="shared" si="0"/>
        <v>14.285714285714285</v>
      </c>
      <c r="L40" s="47">
        <f t="shared" si="1"/>
        <v>0</v>
      </c>
      <c r="M40" s="47">
        <f t="shared" si="2"/>
        <v>85.714285714285708</v>
      </c>
      <c r="N40" s="68">
        <f t="shared" si="3"/>
        <v>100</v>
      </c>
      <c r="O40" s="46">
        <v>12.8</v>
      </c>
      <c r="P40" s="47"/>
      <c r="Q40" s="47">
        <v>34</v>
      </c>
      <c r="R40" s="48">
        <f t="shared" si="4"/>
        <v>46.8</v>
      </c>
      <c r="S40" s="29">
        <v>5</v>
      </c>
      <c r="T40" s="286"/>
      <c r="U40" s="295"/>
      <c r="V40" s="38" t="s">
        <v>1145</v>
      </c>
      <c r="W40" s="29" t="s">
        <v>20</v>
      </c>
      <c r="X40" s="29" t="s">
        <v>12</v>
      </c>
      <c r="Y40" s="39">
        <v>19.100000000000001</v>
      </c>
      <c r="Z40" s="38" t="s">
        <v>1006</v>
      </c>
      <c r="AA40" s="29" t="s">
        <v>106</v>
      </c>
      <c r="AB40" s="29" t="s">
        <v>11</v>
      </c>
      <c r="AC40" s="29">
        <v>12.8</v>
      </c>
      <c r="AD40" s="38" t="s">
        <v>124</v>
      </c>
      <c r="AE40" s="29" t="s">
        <v>327</v>
      </c>
      <c r="AF40" s="29" t="s">
        <v>12</v>
      </c>
      <c r="AG40" s="39">
        <v>7.8</v>
      </c>
      <c r="AH40" s="29" t="s">
        <v>1005</v>
      </c>
      <c r="AI40" s="29" t="s">
        <v>932</v>
      </c>
      <c r="AJ40" s="29" t="s">
        <v>12</v>
      </c>
      <c r="AK40" s="29">
        <v>7.1</v>
      </c>
      <c r="AL40" s="38"/>
      <c r="AO40" s="39"/>
      <c r="AP40" s="38"/>
      <c r="AS40" s="39"/>
      <c r="AW40" s="39"/>
      <c r="BA40" s="40"/>
    </row>
    <row r="41" spans="1:53" s="29" customFormat="1" x14ac:dyDescent="0.15">
      <c r="A41" s="29">
        <v>2007</v>
      </c>
      <c r="B41" s="277"/>
      <c r="C41" s="411" t="s">
        <v>1146</v>
      </c>
      <c r="D41" s="411"/>
      <c r="E41" s="29">
        <v>365</v>
      </c>
      <c r="G41" s="66">
        <v>2</v>
      </c>
      <c r="I41" s="29">
        <v>12</v>
      </c>
      <c r="J41" s="73">
        <v>14</v>
      </c>
      <c r="K41" s="47">
        <f t="shared" si="0"/>
        <v>14.285714285714285</v>
      </c>
      <c r="L41" s="47">
        <f t="shared" si="1"/>
        <v>0</v>
      </c>
      <c r="M41" s="47">
        <f t="shared" si="2"/>
        <v>85.714285714285708</v>
      </c>
      <c r="N41" s="68">
        <f t="shared" si="3"/>
        <v>100</v>
      </c>
      <c r="O41" s="46">
        <v>12.8</v>
      </c>
      <c r="P41" s="47"/>
      <c r="Q41" s="47">
        <v>34</v>
      </c>
      <c r="R41" s="48">
        <f t="shared" si="4"/>
        <v>46.8</v>
      </c>
      <c r="S41" s="29">
        <v>5</v>
      </c>
      <c r="T41" s="286"/>
      <c r="U41" s="295"/>
      <c r="V41" s="38" t="s">
        <v>1145</v>
      </c>
      <c r="W41" s="29" t="s">
        <v>20</v>
      </c>
      <c r="X41" s="29" t="s">
        <v>12</v>
      </c>
      <c r="Y41" s="39">
        <v>19.100000000000001</v>
      </c>
      <c r="Z41" s="38" t="s">
        <v>1006</v>
      </c>
      <c r="AA41" s="29" t="s">
        <v>106</v>
      </c>
      <c r="AB41" s="29" t="s">
        <v>11</v>
      </c>
      <c r="AC41" s="29">
        <v>12.8</v>
      </c>
      <c r="AD41" s="38" t="s">
        <v>124</v>
      </c>
      <c r="AE41" s="29" t="s">
        <v>327</v>
      </c>
      <c r="AF41" s="29" t="s">
        <v>12</v>
      </c>
      <c r="AG41" s="39">
        <v>7.8</v>
      </c>
      <c r="AH41" s="29" t="s">
        <v>1005</v>
      </c>
      <c r="AI41" s="29" t="s">
        <v>932</v>
      </c>
      <c r="AJ41" s="29" t="s">
        <v>12</v>
      </c>
      <c r="AK41" s="29">
        <v>7.1</v>
      </c>
      <c r="AL41" s="38"/>
      <c r="AO41" s="39"/>
      <c r="AP41" s="38"/>
      <c r="AS41" s="39"/>
      <c r="AW41" s="39"/>
      <c r="BA41" s="40"/>
    </row>
    <row r="42" spans="1:53" s="29" customFormat="1" x14ac:dyDescent="0.15">
      <c r="A42" s="29">
        <v>2008</v>
      </c>
      <c r="B42" s="277"/>
      <c r="C42" s="411" t="s">
        <v>1146</v>
      </c>
      <c r="D42" s="411"/>
      <c r="E42" s="29">
        <v>30</v>
      </c>
      <c r="G42" s="66">
        <v>2</v>
      </c>
      <c r="I42" s="29">
        <v>12</v>
      </c>
      <c r="J42" s="73">
        <v>14</v>
      </c>
      <c r="K42" s="47">
        <f>G42/J42*100</f>
        <v>14.285714285714285</v>
      </c>
      <c r="L42" s="47">
        <f>H42/J42*100</f>
        <v>0</v>
      </c>
      <c r="M42" s="47">
        <f>I42/J42*100</f>
        <v>85.714285714285708</v>
      </c>
      <c r="N42" s="68">
        <f t="shared" si="3"/>
        <v>100</v>
      </c>
      <c r="O42" s="46">
        <v>12.8</v>
      </c>
      <c r="P42" s="47"/>
      <c r="Q42" s="47">
        <v>34</v>
      </c>
      <c r="R42" s="48">
        <f t="shared" si="4"/>
        <v>46.8</v>
      </c>
      <c r="S42" s="29">
        <v>5</v>
      </c>
      <c r="T42" s="286"/>
      <c r="U42" s="295"/>
      <c r="V42" s="38" t="s">
        <v>1145</v>
      </c>
      <c r="W42" s="29" t="s">
        <v>20</v>
      </c>
      <c r="X42" s="29" t="s">
        <v>12</v>
      </c>
      <c r="Y42" s="39">
        <v>19.100000000000001</v>
      </c>
      <c r="Z42" s="38" t="s">
        <v>1006</v>
      </c>
      <c r="AA42" s="29" t="s">
        <v>106</v>
      </c>
      <c r="AB42" s="29" t="s">
        <v>11</v>
      </c>
      <c r="AC42" s="29">
        <v>12.8</v>
      </c>
      <c r="AD42" s="38" t="s">
        <v>124</v>
      </c>
      <c r="AE42" s="29" t="s">
        <v>327</v>
      </c>
      <c r="AF42" s="29" t="s">
        <v>12</v>
      </c>
      <c r="AG42" s="39">
        <v>7.8</v>
      </c>
      <c r="AH42" s="29" t="s">
        <v>1005</v>
      </c>
      <c r="AI42" s="29" t="s">
        <v>932</v>
      </c>
      <c r="AJ42" s="29" t="s">
        <v>12</v>
      </c>
      <c r="AK42" s="29">
        <v>7.1</v>
      </c>
      <c r="AL42" s="38"/>
      <c r="AO42" s="39"/>
      <c r="AP42" s="38"/>
      <c r="AS42" s="39"/>
      <c r="AW42" s="39"/>
      <c r="BA42" s="40"/>
    </row>
    <row r="43" spans="1:53" s="171" customFormat="1" x14ac:dyDescent="0.15">
      <c r="A43" s="171">
        <v>2008</v>
      </c>
      <c r="B43" s="283">
        <v>39478</v>
      </c>
      <c r="C43" s="410" t="s">
        <v>1147</v>
      </c>
      <c r="D43" s="410"/>
      <c r="E43" s="171">
        <v>117</v>
      </c>
      <c r="F43" s="171">
        <v>7</v>
      </c>
      <c r="G43" s="233">
        <v>2</v>
      </c>
      <c r="H43" s="171">
        <v>1</v>
      </c>
      <c r="I43" s="171">
        <v>11</v>
      </c>
      <c r="J43" s="241">
        <v>14</v>
      </c>
      <c r="K43" s="214">
        <f>G43/J43*100</f>
        <v>14.285714285714285</v>
      </c>
      <c r="L43" s="214">
        <f>H43/J43*100</f>
        <v>7.1428571428571423</v>
      </c>
      <c r="M43" s="214">
        <f>I43/J43*100</f>
        <v>78.571428571428569</v>
      </c>
      <c r="N43" s="235">
        <f t="shared" si="3"/>
        <v>100</v>
      </c>
      <c r="O43" s="213">
        <v>12.8</v>
      </c>
      <c r="P43" s="214">
        <v>7.8</v>
      </c>
      <c r="Q43" s="214">
        <v>34</v>
      </c>
      <c r="R43" s="215">
        <f t="shared" si="4"/>
        <v>54.6</v>
      </c>
      <c r="S43" s="171">
        <v>2</v>
      </c>
      <c r="T43" s="285"/>
      <c r="U43" s="283">
        <v>39478</v>
      </c>
      <c r="V43" s="178" t="s">
        <v>1145</v>
      </c>
      <c r="W43" s="171" t="s">
        <v>20</v>
      </c>
      <c r="X43" s="171" t="s">
        <v>12</v>
      </c>
      <c r="Y43" s="179">
        <v>19.100000000000001</v>
      </c>
      <c r="Z43" s="178" t="s">
        <v>1006</v>
      </c>
      <c r="AA43" s="171" t="s">
        <v>106</v>
      </c>
      <c r="AB43" s="171" t="s">
        <v>11</v>
      </c>
      <c r="AC43" s="171">
        <v>12.8</v>
      </c>
      <c r="AD43" s="178" t="s">
        <v>124</v>
      </c>
      <c r="AE43" s="171" t="s">
        <v>327</v>
      </c>
      <c r="AF43" s="171" t="s">
        <v>12</v>
      </c>
      <c r="AG43" s="179">
        <v>7.8</v>
      </c>
      <c r="AH43" s="171" t="s">
        <v>1003</v>
      </c>
      <c r="AI43" s="171" t="s">
        <v>306</v>
      </c>
      <c r="AJ43" s="171" t="s">
        <v>18</v>
      </c>
      <c r="AK43" s="171">
        <v>7.8</v>
      </c>
      <c r="AL43" s="178" t="s">
        <v>1005</v>
      </c>
      <c r="AM43" s="171" t="s">
        <v>932</v>
      </c>
      <c r="AN43" s="171" t="s">
        <v>12</v>
      </c>
      <c r="AO43" s="179">
        <v>7.1</v>
      </c>
      <c r="AP43" s="178"/>
      <c r="AS43" s="179"/>
      <c r="AW43" s="179"/>
      <c r="BA43" s="180"/>
    </row>
    <row r="44" spans="1:53" s="171" customFormat="1" x14ac:dyDescent="0.15">
      <c r="A44" s="171">
        <v>2008</v>
      </c>
      <c r="B44" s="301">
        <v>39595</v>
      </c>
      <c r="C44" s="410" t="s">
        <v>1147</v>
      </c>
      <c r="D44" s="410"/>
      <c r="E44" s="171">
        <v>218</v>
      </c>
      <c r="F44" s="192">
        <v>0</v>
      </c>
      <c r="G44" s="233">
        <v>2</v>
      </c>
      <c r="H44" s="171">
        <v>2</v>
      </c>
      <c r="I44" s="171">
        <v>10</v>
      </c>
      <c r="J44" s="241">
        <v>14</v>
      </c>
      <c r="K44" s="214">
        <f t="shared" si="0"/>
        <v>14.285714285714285</v>
      </c>
      <c r="L44" s="214">
        <f t="shared" si="1"/>
        <v>14.285714285714285</v>
      </c>
      <c r="M44" s="214">
        <f t="shared" si="2"/>
        <v>71.428571428571431</v>
      </c>
      <c r="N44" s="235">
        <f t="shared" si="3"/>
        <v>100</v>
      </c>
      <c r="O44" s="213">
        <v>12.8</v>
      </c>
      <c r="P44" s="214">
        <v>7.8</v>
      </c>
      <c r="Q44" s="214">
        <v>34</v>
      </c>
      <c r="R44" s="215">
        <f t="shared" si="4"/>
        <v>54.6</v>
      </c>
      <c r="S44" s="171">
        <v>2</v>
      </c>
      <c r="T44" s="285"/>
      <c r="U44" s="283"/>
      <c r="V44" s="178" t="s">
        <v>1145</v>
      </c>
      <c r="W44" s="171" t="s">
        <v>20</v>
      </c>
      <c r="X44" s="171" t="s">
        <v>12</v>
      </c>
      <c r="Y44" s="179">
        <v>19.100000000000001</v>
      </c>
      <c r="Z44" s="178" t="s">
        <v>1006</v>
      </c>
      <c r="AA44" s="171" t="s">
        <v>106</v>
      </c>
      <c r="AB44" s="171" t="s">
        <v>11</v>
      </c>
      <c r="AC44" s="171">
        <v>12.8</v>
      </c>
      <c r="AD44" s="178" t="s">
        <v>124</v>
      </c>
      <c r="AE44" s="171" t="s">
        <v>327</v>
      </c>
      <c r="AF44" s="171" t="s">
        <v>12</v>
      </c>
      <c r="AG44" s="179">
        <v>7.8</v>
      </c>
      <c r="AH44" s="171" t="s">
        <v>1003</v>
      </c>
      <c r="AI44" s="171" t="s">
        <v>306</v>
      </c>
      <c r="AJ44" s="171" t="s">
        <v>18</v>
      </c>
      <c r="AK44" s="171">
        <v>7.8</v>
      </c>
      <c r="AL44" s="178" t="s">
        <v>1005</v>
      </c>
      <c r="AM44" s="171" t="s">
        <v>932</v>
      </c>
      <c r="AN44" s="171" t="s">
        <v>12</v>
      </c>
      <c r="AO44" s="179">
        <v>7.1</v>
      </c>
      <c r="AP44" s="178"/>
      <c r="AS44" s="179"/>
      <c r="AW44" s="179"/>
      <c r="BA44" s="180"/>
    </row>
    <row r="45" spans="1:53" s="29" customFormat="1" x14ac:dyDescent="0.15">
      <c r="A45" s="29">
        <v>2008</v>
      </c>
      <c r="B45" s="277">
        <v>39813</v>
      </c>
      <c r="C45" s="411" t="s">
        <v>1148</v>
      </c>
      <c r="D45" s="411"/>
      <c r="E45" s="29">
        <f xml:space="preserve"> 366-E44-E43-E42</f>
        <v>1</v>
      </c>
      <c r="F45" s="29">
        <v>1</v>
      </c>
      <c r="G45" s="66">
        <v>15</v>
      </c>
      <c r="J45" s="73">
        <v>15</v>
      </c>
      <c r="K45" s="47">
        <f t="shared" si="0"/>
        <v>100</v>
      </c>
      <c r="L45" s="47">
        <f t="shared" si="1"/>
        <v>0</v>
      </c>
      <c r="M45" s="47">
        <f t="shared" si="2"/>
        <v>0</v>
      </c>
      <c r="N45" s="68">
        <f t="shared" si="3"/>
        <v>100</v>
      </c>
      <c r="O45" s="46">
        <v>56.8</v>
      </c>
      <c r="P45" s="47"/>
      <c r="Q45" s="47"/>
      <c r="R45" s="48">
        <f t="shared" si="4"/>
        <v>56.8</v>
      </c>
      <c r="S45" s="29">
        <v>3</v>
      </c>
      <c r="T45" s="286">
        <v>39733</v>
      </c>
      <c r="U45" s="277">
        <v>39813</v>
      </c>
      <c r="V45" s="38" t="s">
        <v>1007</v>
      </c>
      <c r="W45" s="29" t="s">
        <v>87</v>
      </c>
      <c r="X45" s="29" t="s">
        <v>11</v>
      </c>
      <c r="Y45" s="39">
        <v>31.9</v>
      </c>
      <c r="Z45" s="29" t="s">
        <v>1008</v>
      </c>
      <c r="AA45" s="29" t="s">
        <v>117</v>
      </c>
      <c r="AB45" s="29" t="s">
        <v>11</v>
      </c>
      <c r="AC45" s="29">
        <v>11.4</v>
      </c>
      <c r="AD45" s="38" t="s">
        <v>1009</v>
      </c>
      <c r="AE45" s="29" t="s">
        <v>893</v>
      </c>
      <c r="AF45" s="29" t="s">
        <v>11</v>
      </c>
      <c r="AG45" s="39">
        <v>7.8</v>
      </c>
      <c r="AH45" s="38" t="s">
        <v>1006</v>
      </c>
      <c r="AI45" s="29" t="s">
        <v>106</v>
      </c>
      <c r="AJ45" s="29" t="s">
        <v>11</v>
      </c>
      <c r="AK45" s="29">
        <v>5.7</v>
      </c>
      <c r="AL45" s="38"/>
      <c r="AO45" s="39"/>
      <c r="AP45" s="38"/>
      <c r="AS45" s="39"/>
      <c r="AW45" s="39"/>
      <c r="BA45" s="40"/>
    </row>
    <row r="46" spans="1:53" s="29" customFormat="1" x14ac:dyDescent="0.15">
      <c r="A46" s="29">
        <v>2009</v>
      </c>
      <c r="B46" s="277"/>
      <c r="C46" s="411" t="s">
        <v>1148</v>
      </c>
      <c r="D46" s="411"/>
      <c r="E46" s="29">
        <v>187</v>
      </c>
      <c r="G46" s="66">
        <v>15</v>
      </c>
      <c r="J46" s="73">
        <v>15</v>
      </c>
      <c r="K46" s="47">
        <f t="shared" si="0"/>
        <v>100</v>
      </c>
      <c r="L46" s="47">
        <f t="shared" si="1"/>
        <v>0</v>
      </c>
      <c r="M46" s="47">
        <f t="shared" si="2"/>
        <v>0</v>
      </c>
      <c r="N46" s="68">
        <f t="shared" si="3"/>
        <v>100</v>
      </c>
      <c r="O46" s="46">
        <v>56.8</v>
      </c>
      <c r="P46" s="47"/>
      <c r="Q46" s="47"/>
      <c r="R46" s="48">
        <f t="shared" si="4"/>
        <v>56.8</v>
      </c>
      <c r="S46" s="29">
        <v>3</v>
      </c>
      <c r="T46" s="286"/>
      <c r="U46" s="295"/>
      <c r="V46" s="38" t="s">
        <v>1007</v>
      </c>
      <c r="W46" s="29" t="s">
        <v>87</v>
      </c>
      <c r="X46" s="29" t="s">
        <v>11</v>
      </c>
      <c r="Y46" s="39">
        <v>31.9</v>
      </c>
      <c r="Z46" s="29" t="s">
        <v>1008</v>
      </c>
      <c r="AA46" s="29" t="s">
        <v>117</v>
      </c>
      <c r="AB46" s="29" t="s">
        <v>11</v>
      </c>
      <c r="AC46" s="29">
        <v>11.4</v>
      </c>
      <c r="AD46" s="38" t="s">
        <v>1009</v>
      </c>
      <c r="AE46" s="29" t="s">
        <v>893</v>
      </c>
      <c r="AF46" s="29" t="s">
        <v>11</v>
      </c>
      <c r="AG46" s="39">
        <v>7.8</v>
      </c>
      <c r="AH46" s="38" t="s">
        <v>1006</v>
      </c>
      <c r="AI46" s="29" t="s">
        <v>106</v>
      </c>
      <c r="AJ46" s="29" t="s">
        <v>11</v>
      </c>
      <c r="AK46" s="29">
        <v>5.7</v>
      </c>
      <c r="AL46" s="38"/>
      <c r="AO46" s="39"/>
      <c r="AP46" s="38"/>
      <c r="AS46" s="39"/>
      <c r="AW46" s="39"/>
      <c r="BA46" s="40"/>
    </row>
    <row r="47" spans="1:53" s="29" customFormat="1" x14ac:dyDescent="0.15">
      <c r="A47" s="29">
        <v>2009</v>
      </c>
      <c r="B47" s="300">
        <v>40001</v>
      </c>
      <c r="C47" s="411" t="s">
        <v>1148</v>
      </c>
      <c r="D47" s="411"/>
      <c r="E47" s="29">
        <f xml:space="preserve"> 365-E46</f>
        <v>178</v>
      </c>
      <c r="F47" s="70">
        <v>0</v>
      </c>
      <c r="G47" s="66">
        <v>14</v>
      </c>
      <c r="J47" s="73">
        <v>15</v>
      </c>
      <c r="K47" s="47">
        <f t="shared" si="0"/>
        <v>93.333333333333329</v>
      </c>
      <c r="L47" s="47">
        <f t="shared" si="1"/>
        <v>0</v>
      </c>
      <c r="M47" s="47">
        <f t="shared" si="2"/>
        <v>0</v>
      </c>
      <c r="N47" s="68">
        <f t="shared" si="3"/>
        <v>93.333333333333329</v>
      </c>
      <c r="O47" s="46">
        <v>56.8</v>
      </c>
      <c r="P47" s="47"/>
      <c r="Q47" s="47"/>
      <c r="R47" s="48">
        <f t="shared" si="4"/>
        <v>56.8</v>
      </c>
      <c r="S47" s="29">
        <v>3</v>
      </c>
      <c r="T47" s="286"/>
      <c r="U47" s="295"/>
      <c r="V47" s="38" t="s">
        <v>1007</v>
      </c>
      <c r="W47" s="29" t="s">
        <v>87</v>
      </c>
      <c r="X47" s="29" t="s">
        <v>11</v>
      </c>
      <c r="Y47" s="39">
        <v>31.9</v>
      </c>
      <c r="Z47" s="29" t="s">
        <v>1008</v>
      </c>
      <c r="AA47" s="29" t="s">
        <v>117</v>
      </c>
      <c r="AB47" s="29" t="s">
        <v>11</v>
      </c>
      <c r="AC47" s="29">
        <v>11.4</v>
      </c>
      <c r="AD47" s="38" t="s">
        <v>1009</v>
      </c>
      <c r="AE47" s="29" t="s">
        <v>893</v>
      </c>
      <c r="AF47" s="29" t="s">
        <v>11</v>
      </c>
      <c r="AG47" s="39">
        <v>7.8</v>
      </c>
      <c r="AH47" s="38" t="s">
        <v>1006</v>
      </c>
      <c r="AI47" s="29" t="s">
        <v>106</v>
      </c>
      <c r="AJ47" s="29" t="s">
        <v>11</v>
      </c>
      <c r="AK47" s="29">
        <v>5.7</v>
      </c>
      <c r="AL47" s="38"/>
      <c r="AO47" s="39"/>
      <c r="AP47" s="38"/>
      <c r="AS47" s="39"/>
      <c r="AW47" s="39"/>
      <c r="BA47" s="40"/>
    </row>
    <row r="48" spans="1:53" s="29" customFormat="1" x14ac:dyDescent="0.15">
      <c r="A48" s="29">
        <v>2010</v>
      </c>
      <c r="B48" s="277"/>
      <c r="C48" s="411" t="s">
        <v>1148</v>
      </c>
      <c r="D48" s="411"/>
      <c r="E48" s="29">
        <v>0</v>
      </c>
      <c r="G48" s="66">
        <v>14</v>
      </c>
      <c r="J48" s="73">
        <v>15</v>
      </c>
      <c r="K48" s="47">
        <f t="shared" si="0"/>
        <v>93.333333333333329</v>
      </c>
      <c r="L48" s="47">
        <f t="shared" si="1"/>
        <v>0</v>
      </c>
      <c r="M48" s="47">
        <f t="shared" si="2"/>
        <v>0</v>
      </c>
      <c r="N48" s="68">
        <f t="shared" si="3"/>
        <v>93.333333333333329</v>
      </c>
      <c r="O48" s="46">
        <v>56.8</v>
      </c>
      <c r="P48" s="47"/>
      <c r="Q48" s="47"/>
      <c r="R48" s="48">
        <f t="shared" si="4"/>
        <v>56.8</v>
      </c>
      <c r="S48" s="29">
        <v>3</v>
      </c>
      <c r="T48" s="286"/>
      <c r="U48" s="295"/>
      <c r="V48" s="38" t="s">
        <v>1007</v>
      </c>
      <c r="W48" s="29" t="s">
        <v>87</v>
      </c>
      <c r="X48" s="29" t="s">
        <v>11</v>
      </c>
      <c r="Y48" s="39">
        <v>31.9</v>
      </c>
      <c r="Z48" s="29" t="s">
        <v>1008</v>
      </c>
      <c r="AA48" s="29" t="s">
        <v>117</v>
      </c>
      <c r="AB48" s="29" t="s">
        <v>11</v>
      </c>
      <c r="AC48" s="29">
        <v>11.4</v>
      </c>
      <c r="AD48" s="38" t="s">
        <v>1009</v>
      </c>
      <c r="AE48" s="29" t="s">
        <v>893</v>
      </c>
      <c r="AF48" s="29" t="s">
        <v>11</v>
      </c>
      <c r="AG48" s="39">
        <v>7.8</v>
      </c>
      <c r="AH48" s="38" t="s">
        <v>1006</v>
      </c>
      <c r="AI48" s="29" t="s">
        <v>106</v>
      </c>
      <c r="AJ48" s="29" t="s">
        <v>11</v>
      </c>
      <c r="AK48" s="29">
        <v>5.7</v>
      </c>
      <c r="AL48" s="38"/>
      <c r="AO48" s="39"/>
      <c r="AP48" s="38"/>
      <c r="AS48" s="39"/>
      <c r="AW48" s="39"/>
      <c r="BA48" s="40"/>
    </row>
    <row r="49" spans="1:53" s="29" customFormat="1" x14ac:dyDescent="0.15">
      <c r="A49" s="29">
        <v>2010</v>
      </c>
      <c r="B49" s="277"/>
      <c r="C49" s="411" t="s">
        <v>1148</v>
      </c>
      <c r="D49" s="411"/>
      <c r="E49" s="29">
        <v>365</v>
      </c>
      <c r="G49" s="66">
        <v>14</v>
      </c>
      <c r="J49" s="73">
        <v>15</v>
      </c>
      <c r="K49" s="47">
        <f t="shared" si="0"/>
        <v>93.333333333333329</v>
      </c>
      <c r="L49" s="47">
        <f t="shared" si="1"/>
        <v>0</v>
      </c>
      <c r="M49" s="47">
        <f t="shared" si="2"/>
        <v>0</v>
      </c>
      <c r="N49" s="68">
        <f t="shared" si="3"/>
        <v>93.333333333333329</v>
      </c>
      <c r="O49" s="46">
        <v>56.8</v>
      </c>
      <c r="P49" s="47"/>
      <c r="Q49" s="47"/>
      <c r="R49" s="48">
        <f t="shared" si="4"/>
        <v>56.8</v>
      </c>
      <c r="S49" s="29">
        <v>3</v>
      </c>
      <c r="T49" s="286"/>
      <c r="U49" s="295"/>
      <c r="V49" s="38" t="s">
        <v>1007</v>
      </c>
      <c r="W49" s="29" t="s">
        <v>87</v>
      </c>
      <c r="X49" s="29" t="s">
        <v>11</v>
      </c>
      <c r="Y49" s="39">
        <v>31.9</v>
      </c>
      <c r="Z49" s="29" t="s">
        <v>1008</v>
      </c>
      <c r="AA49" s="29" t="s">
        <v>117</v>
      </c>
      <c r="AB49" s="29" t="s">
        <v>11</v>
      </c>
      <c r="AC49" s="29">
        <v>11.4</v>
      </c>
      <c r="AD49" s="38" t="s">
        <v>1009</v>
      </c>
      <c r="AE49" s="29" t="s">
        <v>893</v>
      </c>
      <c r="AF49" s="29" t="s">
        <v>11</v>
      </c>
      <c r="AG49" s="39">
        <v>7.8</v>
      </c>
      <c r="AH49" s="38" t="s">
        <v>1006</v>
      </c>
      <c r="AI49" s="29" t="s">
        <v>106</v>
      </c>
      <c r="AJ49" s="29" t="s">
        <v>11</v>
      </c>
      <c r="AK49" s="29">
        <v>5.7</v>
      </c>
      <c r="AL49" s="38"/>
      <c r="AO49" s="39"/>
      <c r="AP49" s="38"/>
      <c r="AS49" s="39"/>
      <c r="AW49" s="39"/>
      <c r="BA49" s="40"/>
    </row>
    <row r="50" spans="1:53" s="29" customFormat="1" x14ac:dyDescent="0.15">
      <c r="A50" s="29">
        <v>2011</v>
      </c>
      <c r="B50" s="277"/>
      <c r="C50" s="411" t="s">
        <v>1148</v>
      </c>
      <c r="D50" s="411"/>
      <c r="E50" s="29">
        <v>0</v>
      </c>
      <c r="G50" s="66">
        <v>14</v>
      </c>
      <c r="J50" s="73">
        <v>15</v>
      </c>
      <c r="K50" s="47">
        <f t="shared" ref="K50:K56" si="5">G50/J50*100</f>
        <v>93.333333333333329</v>
      </c>
      <c r="L50" s="47">
        <f t="shared" ref="L50:L55" si="6">H50/J50*100</f>
        <v>0</v>
      </c>
      <c r="M50" s="47">
        <f t="shared" ref="M50:M56" si="7">I50/J50*100</f>
        <v>0</v>
      </c>
      <c r="N50" s="68">
        <f t="shared" si="3"/>
        <v>93.333333333333329</v>
      </c>
      <c r="O50" s="46">
        <v>56.8</v>
      </c>
      <c r="P50" s="47"/>
      <c r="Q50" s="47"/>
      <c r="R50" s="48">
        <f t="shared" si="4"/>
        <v>56.8</v>
      </c>
      <c r="S50" s="29">
        <v>3</v>
      </c>
      <c r="T50" s="286"/>
      <c r="U50" s="295"/>
      <c r="V50" s="38" t="s">
        <v>1007</v>
      </c>
      <c r="W50" s="29" t="s">
        <v>87</v>
      </c>
      <c r="X50" s="29" t="s">
        <v>11</v>
      </c>
      <c r="Y50" s="39">
        <v>31.9</v>
      </c>
      <c r="Z50" s="29" t="s">
        <v>1008</v>
      </c>
      <c r="AA50" s="29" t="s">
        <v>117</v>
      </c>
      <c r="AB50" s="29" t="s">
        <v>11</v>
      </c>
      <c r="AC50" s="29">
        <v>11.4</v>
      </c>
      <c r="AD50" s="38" t="s">
        <v>1009</v>
      </c>
      <c r="AE50" s="29" t="s">
        <v>893</v>
      </c>
      <c r="AF50" s="29" t="s">
        <v>11</v>
      </c>
      <c r="AG50" s="39">
        <v>7.8</v>
      </c>
      <c r="AH50" s="38" t="s">
        <v>1006</v>
      </c>
      <c r="AI50" s="29" t="s">
        <v>106</v>
      </c>
      <c r="AJ50" s="29" t="s">
        <v>11</v>
      </c>
      <c r="AK50" s="29">
        <v>5.7</v>
      </c>
      <c r="AL50" s="38"/>
      <c r="AO50" s="39"/>
      <c r="AP50" s="38"/>
      <c r="AS50" s="39"/>
      <c r="AW50" s="39"/>
      <c r="BA50" s="40"/>
    </row>
    <row r="51" spans="1:53" s="29" customFormat="1" x14ac:dyDescent="0.15">
      <c r="A51" s="29">
        <v>2011</v>
      </c>
      <c r="B51" s="277"/>
      <c r="C51" s="411" t="s">
        <v>1148</v>
      </c>
      <c r="D51" s="411"/>
      <c r="E51" s="29">
        <v>365</v>
      </c>
      <c r="G51" s="66">
        <v>14</v>
      </c>
      <c r="J51" s="73">
        <v>15</v>
      </c>
      <c r="K51" s="47">
        <f t="shared" si="5"/>
        <v>93.333333333333329</v>
      </c>
      <c r="L51" s="47">
        <f t="shared" si="6"/>
        <v>0</v>
      </c>
      <c r="M51" s="47">
        <f t="shared" si="7"/>
        <v>0</v>
      </c>
      <c r="N51" s="68">
        <f t="shared" si="3"/>
        <v>93.333333333333329</v>
      </c>
      <c r="O51" s="46">
        <v>56.8</v>
      </c>
      <c r="P51" s="47"/>
      <c r="Q51" s="47"/>
      <c r="R51" s="48">
        <f t="shared" si="4"/>
        <v>56.8</v>
      </c>
      <c r="S51" s="29">
        <v>3</v>
      </c>
      <c r="T51" s="286"/>
      <c r="U51" s="277"/>
      <c r="V51" s="38" t="s">
        <v>1007</v>
      </c>
      <c r="W51" s="29" t="s">
        <v>87</v>
      </c>
      <c r="X51" s="29" t="s">
        <v>11</v>
      </c>
      <c r="Y51" s="39">
        <v>31.9</v>
      </c>
      <c r="Z51" s="29" t="s">
        <v>1008</v>
      </c>
      <c r="AA51" s="29" t="s">
        <v>117</v>
      </c>
      <c r="AB51" s="29" t="s">
        <v>11</v>
      </c>
      <c r="AC51" s="29">
        <v>11.4</v>
      </c>
      <c r="AD51" s="38" t="s">
        <v>1009</v>
      </c>
      <c r="AE51" s="29" t="s">
        <v>893</v>
      </c>
      <c r="AF51" s="29" t="s">
        <v>11</v>
      </c>
      <c r="AG51" s="39">
        <v>7.8</v>
      </c>
      <c r="AH51" s="38" t="s">
        <v>1006</v>
      </c>
      <c r="AI51" s="29" t="s">
        <v>106</v>
      </c>
      <c r="AJ51" s="29" t="s">
        <v>11</v>
      </c>
      <c r="AK51" s="29">
        <v>5.7</v>
      </c>
      <c r="AL51" s="38"/>
      <c r="AO51" s="39"/>
      <c r="AP51" s="38"/>
      <c r="AS51" s="39"/>
      <c r="AW51" s="39"/>
      <c r="BA51" s="40"/>
    </row>
    <row r="52" spans="1:53" s="29" customFormat="1" x14ac:dyDescent="0.15">
      <c r="A52" s="29">
        <v>2012</v>
      </c>
      <c r="B52" s="277"/>
      <c r="C52" s="411" t="s">
        <v>1148</v>
      </c>
      <c r="D52" s="411"/>
      <c r="E52" s="29">
        <v>346</v>
      </c>
      <c r="G52" s="66">
        <v>14</v>
      </c>
      <c r="J52" s="73">
        <v>15</v>
      </c>
      <c r="K52" s="47">
        <f t="shared" si="5"/>
        <v>93.333333333333329</v>
      </c>
      <c r="L52" s="47">
        <f t="shared" si="6"/>
        <v>0</v>
      </c>
      <c r="M52" s="47">
        <f t="shared" si="7"/>
        <v>0</v>
      </c>
      <c r="N52" s="68">
        <f t="shared" si="3"/>
        <v>93.333333333333329</v>
      </c>
      <c r="O52" s="46">
        <v>56.8</v>
      </c>
      <c r="P52" s="47"/>
      <c r="Q52" s="47"/>
      <c r="R52" s="48">
        <f t="shared" si="4"/>
        <v>56.8</v>
      </c>
      <c r="S52" s="29">
        <v>3</v>
      </c>
      <c r="T52" s="286"/>
      <c r="U52" s="295"/>
      <c r="V52" s="38" t="s">
        <v>1007</v>
      </c>
      <c r="W52" s="29" t="s">
        <v>87</v>
      </c>
      <c r="X52" s="29" t="s">
        <v>11</v>
      </c>
      <c r="Y52" s="39">
        <v>31.9</v>
      </c>
      <c r="Z52" s="29" t="s">
        <v>1008</v>
      </c>
      <c r="AA52" s="29" t="s">
        <v>117</v>
      </c>
      <c r="AB52" s="29" t="s">
        <v>11</v>
      </c>
      <c r="AC52" s="29">
        <v>11.4</v>
      </c>
      <c r="AD52" s="38" t="s">
        <v>1009</v>
      </c>
      <c r="AE52" s="29" t="s">
        <v>893</v>
      </c>
      <c r="AF52" s="29" t="s">
        <v>11</v>
      </c>
      <c r="AG52" s="39">
        <v>7.8</v>
      </c>
      <c r="AH52" s="38" t="s">
        <v>1006</v>
      </c>
      <c r="AI52" s="29" t="s">
        <v>106</v>
      </c>
      <c r="AJ52" s="29" t="s">
        <v>11</v>
      </c>
      <c r="AK52" s="29">
        <v>5.7</v>
      </c>
      <c r="AL52" s="38"/>
      <c r="AO52" s="39"/>
      <c r="AP52" s="38"/>
      <c r="AS52" s="39"/>
      <c r="AW52" s="39"/>
      <c r="BA52" s="40"/>
    </row>
    <row r="53" spans="1:53" s="171" customFormat="1" x14ac:dyDescent="0.15">
      <c r="A53" s="171">
        <v>2012</v>
      </c>
      <c r="B53" s="306">
        <v>41255</v>
      </c>
      <c r="C53" s="438" t="s">
        <v>1149</v>
      </c>
      <c r="D53" s="438"/>
      <c r="E53" s="171">
        <f xml:space="preserve"> 366-E52</f>
        <v>20</v>
      </c>
      <c r="F53" s="171">
        <v>1</v>
      </c>
      <c r="G53" s="233">
        <v>2</v>
      </c>
      <c r="H53" s="171">
        <v>1</v>
      </c>
      <c r="I53" s="171">
        <v>12</v>
      </c>
      <c r="J53" s="241">
        <v>15</v>
      </c>
      <c r="K53" s="214">
        <f t="shared" si="5"/>
        <v>13.333333333333334</v>
      </c>
      <c r="L53" s="214">
        <f t="shared" si="6"/>
        <v>6.666666666666667</v>
      </c>
      <c r="M53" s="214">
        <f t="shared" si="7"/>
        <v>80</v>
      </c>
      <c r="N53" s="235">
        <f t="shared" si="3"/>
        <v>100</v>
      </c>
      <c r="O53" s="213">
        <v>7.8</v>
      </c>
      <c r="P53" s="214">
        <v>5.7</v>
      </c>
      <c r="Q53" s="214">
        <v>46.8</v>
      </c>
      <c r="R53" s="215">
        <f t="shared" si="4"/>
        <v>60.3</v>
      </c>
      <c r="S53" s="171">
        <v>3</v>
      </c>
      <c r="T53" s="285">
        <v>41210</v>
      </c>
      <c r="U53" s="306">
        <v>41255</v>
      </c>
      <c r="V53" s="178" t="s">
        <v>1145</v>
      </c>
      <c r="W53" s="171" t="s">
        <v>20</v>
      </c>
      <c r="X53" s="171" t="s">
        <v>12</v>
      </c>
      <c r="Y53" s="179">
        <v>26.2</v>
      </c>
      <c r="Z53" s="178" t="s">
        <v>130</v>
      </c>
      <c r="AA53" s="171" t="s">
        <v>97</v>
      </c>
      <c r="AB53" s="171" t="s">
        <v>12</v>
      </c>
      <c r="AC53" s="171">
        <v>20.6</v>
      </c>
      <c r="AD53" s="178" t="s">
        <v>1010</v>
      </c>
      <c r="AE53" s="171" t="s">
        <v>892</v>
      </c>
      <c r="AF53" s="171" t="s">
        <v>11</v>
      </c>
      <c r="AG53" s="179">
        <v>7.8</v>
      </c>
      <c r="AH53" s="171" t="s">
        <v>1011</v>
      </c>
      <c r="AI53" s="171" t="s">
        <v>89</v>
      </c>
      <c r="AJ53" s="171" t="s">
        <v>18</v>
      </c>
      <c r="AK53" s="171">
        <v>5.7</v>
      </c>
      <c r="AL53" s="178"/>
      <c r="AO53" s="179"/>
      <c r="AP53" s="178"/>
      <c r="AS53" s="179"/>
      <c r="AW53" s="179"/>
      <c r="BA53" s="180"/>
    </row>
    <row r="54" spans="1:53" s="171" customFormat="1" x14ac:dyDescent="0.15">
      <c r="A54" s="171">
        <v>2013</v>
      </c>
      <c r="B54" s="306"/>
      <c r="C54" s="438" t="s">
        <v>1149</v>
      </c>
      <c r="D54" s="438"/>
      <c r="E54" s="171">
        <v>0</v>
      </c>
      <c r="G54" s="233">
        <v>2</v>
      </c>
      <c r="H54" s="171">
        <v>1</v>
      </c>
      <c r="I54" s="171">
        <v>12</v>
      </c>
      <c r="J54" s="241">
        <v>15</v>
      </c>
      <c r="K54" s="214">
        <f t="shared" si="5"/>
        <v>13.333333333333334</v>
      </c>
      <c r="L54" s="214">
        <f t="shared" si="6"/>
        <v>6.666666666666667</v>
      </c>
      <c r="M54" s="214">
        <f t="shared" si="7"/>
        <v>80</v>
      </c>
      <c r="N54" s="235">
        <f>SUM(K54:M54)</f>
        <v>100</v>
      </c>
      <c r="O54" s="213">
        <v>7.8</v>
      </c>
      <c r="P54" s="214">
        <v>5.7</v>
      </c>
      <c r="Q54" s="214">
        <v>46.8</v>
      </c>
      <c r="R54" s="215">
        <f>SUM(O54:Q54)</f>
        <v>60.3</v>
      </c>
      <c r="S54" s="171">
        <v>3</v>
      </c>
      <c r="T54" s="285"/>
      <c r="U54" s="306"/>
      <c r="V54" s="178" t="s">
        <v>1145</v>
      </c>
      <c r="W54" s="171" t="s">
        <v>20</v>
      </c>
      <c r="X54" s="171" t="s">
        <v>12</v>
      </c>
      <c r="Y54" s="179">
        <v>26.2</v>
      </c>
      <c r="Z54" s="178" t="s">
        <v>130</v>
      </c>
      <c r="AA54" s="171" t="s">
        <v>97</v>
      </c>
      <c r="AB54" s="171" t="s">
        <v>12</v>
      </c>
      <c r="AC54" s="171">
        <v>20.6</v>
      </c>
      <c r="AD54" s="178" t="s">
        <v>1010</v>
      </c>
      <c r="AE54" s="171" t="s">
        <v>892</v>
      </c>
      <c r="AF54" s="171" t="s">
        <v>11</v>
      </c>
      <c r="AG54" s="179">
        <v>7.8</v>
      </c>
      <c r="AH54" s="171" t="s">
        <v>1011</v>
      </c>
      <c r="AI54" s="171" t="s">
        <v>89</v>
      </c>
      <c r="AJ54" s="171" t="s">
        <v>18</v>
      </c>
      <c r="AK54" s="171">
        <v>5.7</v>
      </c>
      <c r="AL54" s="178"/>
      <c r="AO54" s="179"/>
      <c r="AP54" s="178"/>
      <c r="AS54" s="179"/>
      <c r="AW54" s="179"/>
      <c r="BA54" s="180"/>
    </row>
    <row r="55" spans="1:53" s="171" customFormat="1" x14ac:dyDescent="0.15">
      <c r="A55" s="171">
        <v>2013</v>
      </c>
      <c r="B55" s="306"/>
      <c r="C55" s="438" t="s">
        <v>1149</v>
      </c>
      <c r="D55" s="438"/>
      <c r="E55" s="171">
        <v>365</v>
      </c>
      <c r="G55" s="233">
        <v>2</v>
      </c>
      <c r="H55" s="171">
        <v>1</v>
      </c>
      <c r="I55" s="171">
        <v>12</v>
      </c>
      <c r="J55" s="241">
        <v>15</v>
      </c>
      <c r="K55" s="214">
        <f t="shared" si="5"/>
        <v>13.333333333333334</v>
      </c>
      <c r="L55" s="214">
        <f t="shared" si="6"/>
        <v>6.666666666666667</v>
      </c>
      <c r="M55" s="214">
        <f t="shared" si="7"/>
        <v>80</v>
      </c>
      <c r="N55" s="235">
        <f>SUM(K55:M55)</f>
        <v>100</v>
      </c>
      <c r="O55" s="213">
        <v>7.8</v>
      </c>
      <c r="P55" s="214">
        <v>5.7</v>
      </c>
      <c r="Q55" s="214">
        <v>46.8</v>
      </c>
      <c r="R55" s="215">
        <f>SUM(O55:Q55)</f>
        <v>60.3</v>
      </c>
      <c r="S55" s="171">
        <v>3</v>
      </c>
      <c r="T55" s="285"/>
      <c r="U55" s="306"/>
      <c r="V55" s="178" t="s">
        <v>1145</v>
      </c>
      <c r="W55" s="171" t="s">
        <v>20</v>
      </c>
      <c r="X55" s="171" t="s">
        <v>12</v>
      </c>
      <c r="Y55" s="179">
        <v>26.2</v>
      </c>
      <c r="Z55" s="178" t="s">
        <v>130</v>
      </c>
      <c r="AA55" s="171" t="s">
        <v>97</v>
      </c>
      <c r="AB55" s="171" t="s">
        <v>12</v>
      </c>
      <c r="AC55" s="171">
        <v>20.6</v>
      </c>
      <c r="AD55" s="178" t="s">
        <v>1010</v>
      </c>
      <c r="AE55" s="171" t="s">
        <v>892</v>
      </c>
      <c r="AF55" s="171" t="s">
        <v>11</v>
      </c>
      <c r="AG55" s="179">
        <v>7.8</v>
      </c>
      <c r="AH55" s="171" t="s">
        <v>1011</v>
      </c>
      <c r="AI55" s="171" t="s">
        <v>89</v>
      </c>
      <c r="AJ55" s="171" t="s">
        <v>18</v>
      </c>
      <c r="AK55" s="171">
        <v>5.7</v>
      </c>
      <c r="AL55" s="178"/>
      <c r="AO55" s="179"/>
      <c r="AP55" s="178"/>
      <c r="AS55" s="179"/>
      <c r="AW55" s="179"/>
      <c r="BA55" s="180"/>
    </row>
    <row r="56" spans="1:53" s="171" customFormat="1" x14ac:dyDescent="0.15">
      <c r="A56" s="171">
        <v>2014</v>
      </c>
      <c r="B56" s="306"/>
      <c r="C56" s="438" t="s">
        <v>1149</v>
      </c>
      <c r="D56" s="438"/>
      <c r="E56" s="171">
        <v>267</v>
      </c>
      <c r="G56" s="233">
        <v>2</v>
      </c>
      <c r="H56" s="171">
        <v>1</v>
      </c>
      <c r="I56" s="171">
        <v>12</v>
      </c>
      <c r="J56" s="241">
        <v>15</v>
      </c>
      <c r="K56" s="214">
        <f t="shared" si="5"/>
        <v>13.333333333333334</v>
      </c>
      <c r="L56" s="214">
        <f>H56/J56*100</f>
        <v>6.666666666666667</v>
      </c>
      <c r="M56" s="214">
        <f t="shared" si="7"/>
        <v>80</v>
      </c>
      <c r="N56" s="235">
        <f>SUM(K56:M56)</f>
        <v>100</v>
      </c>
      <c r="O56" s="213">
        <v>7.8</v>
      </c>
      <c r="P56" s="214">
        <v>5.7</v>
      </c>
      <c r="Q56" s="214">
        <v>46.8</v>
      </c>
      <c r="R56" s="215">
        <f>SUM(O56:Q56)</f>
        <v>60.3</v>
      </c>
      <c r="S56" s="171">
        <v>3</v>
      </c>
      <c r="T56" s="285"/>
      <c r="U56" s="306"/>
      <c r="V56" s="178" t="s">
        <v>1145</v>
      </c>
      <c r="W56" s="171" t="s">
        <v>20</v>
      </c>
      <c r="X56" s="171" t="s">
        <v>12</v>
      </c>
      <c r="Y56" s="179">
        <v>26.2</v>
      </c>
      <c r="Z56" s="178" t="s">
        <v>130</v>
      </c>
      <c r="AA56" s="171" t="s">
        <v>97</v>
      </c>
      <c r="AB56" s="171" t="s">
        <v>12</v>
      </c>
      <c r="AC56" s="171">
        <v>20.6</v>
      </c>
      <c r="AD56" s="178" t="s">
        <v>1010</v>
      </c>
      <c r="AE56" s="171" t="s">
        <v>892</v>
      </c>
      <c r="AF56" s="171" t="s">
        <v>11</v>
      </c>
      <c r="AG56" s="179">
        <v>7.8</v>
      </c>
      <c r="AH56" s="171" t="s">
        <v>1011</v>
      </c>
      <c r="AI56" s="171" t="s">
        <v>89</v>
      </c>
      <c r="AJ56" s="171" t="s">
        <v>18</v>
      </c>
      <c r="AK56" s="171">
        <v>5.7</v>
      </c>
      <c r="AL56" s="178"/>
      <c r="AO56" s="179"/>
      <c r="AP56" s="178"/>
      <c r="AS56" s="179"/>
      <c r="AW56" s="179"/>
      <c r="BA56" s="180"/>
    </row>
    <row r="57" spans="1:53" s="29" customFormat="1" x14ac:dyDescent="0.15">
      <c r="A57" s="29">
        <v>2014</v>
      </c>
      <c r="B57" s="277">
        <v>41907</v>
      </c>
      <c r="C57" s="411" t="s">
        <v>1293</v>
      </c>
      <c r="D57" s="411"/>
      <c r="E57" s="29">
        <v>98</v>
      </c>
      <c r="F57" s="29">
        <v>4</v>
      </c>
      <c r="G57" s="66">
        <v>2</v>
      </c>
      <c r="I57" s="29">
        <v>13</v>
      </c>
      <c r="J57" s="73">
        <v>15</v>
      </c>
      <c r="K57" s="47">
        <f t="shared" ref="K57:K61" si="8">G57/J57*100</f>
        <v>13.333333333333334</v>
      </c>
      <c r="L57" s="47">
        <f t="shared" ref="L57:L61" si="9">H57/J57*100</f>
        <v>0</v>
      </c>
      <c r="M57" s="47">
        <f t="shared" ref="M57:M61" si="10">I57/J57*100</f>
        <v>86.666666666666671</v>
      </c>
      <c r="N57" s="68">
        <f t="shared" ref="N57:N61" si="11">SUM(K57:M57)</f>
        <v>100</v>
      </c>
      <c r="O57" s="46">
        <v>8.6</v>
      </c>
      <c r="P57" s="47"/>
      <c r="Q57" s="47">
        <v>47.8</v>
      </c>
      <c r="R57" s="48">
        <f>SUM(O57:Q57)</f>
        <v>56.4</v>
      </c>
      <c r="S57" s="29">
        <v>2</v>
      </c>
      <c r="T57" s="286"/>
      <c r="U57" s="277">
        <v>41907</v>
      </c>
      <c r="V57" s="38" t="s">
        <v>1145</v>
      </c>
      <c r="W57" s="29" t="s">
        <v>20</v>
      </c>
      <c r="X57" s="29" t="s">
        <v>12</v>
      </c>
      <c r="Y57" s="39">
        <v>27.1</v>
      </c>
      <c r="Z57" s="29" t="s">
        <v>130</v>
      </c>
      <c r="AA57" s="29" t="s">
        <v>97</v>
      </c>
      <c r="AB57" s="29" t="s">
        <v>12</v>
      </c>
      <c r="AC57" s="29">
        <v>20.7</v>
      </c>
      <c r="AD57" s="38" t="s">
        <v>1010</v>
      </c>
      <c r="AE57" s="29" t="s">
        <v>892</v>
      </c>
      <c r="AF57" s="29" t="s">
        <v>11</v>
      </c>
      <c r="AG57" s="39">
        <v>8.6</v>
      </c>
      <c r="AH57" s="38"/>
      <c r="AL57" s="38"/>
      <c r="AO57" s="39"/>
      <c r="AP57" s="38"/>
      <c r="AS57" s="39"/>
      <c r="AW57" s="39"/>
      <c r="BA57" s="40"/>
    </row>
    <row r="58" spans="1:53" s="29" customFormat="1" x14ac:dyDescent="0.15">
      <c r="A58" s="29">
        <v>2015</v>
      </c>
      <c r="B58" s="277"/>
      <c r="C58" s="411" t="s">
        <v>1293</v>
      </c>
      <c r="D58" s="411"/>
      <c r="E58" s="29">
        <v>0</v>
      </c>
      <c r="G58" s="66">
        <v>2</v>
      </c>
      <c r="I58" s="29">
        <v>13</v>
      </c>
      <c r="J58" s="73">
        <v>15</v>
      </c>
      <c r="K58" s="47">
        <f t="shared" si="8"/>
        <v>13.333333333333334</v>
      </c>
      <c r="L58" s="47">
        <f t="shared" si="9"/>
        <v>0</v>
      </c>
      <c r="M58" s="47">
        <f t="shared" si="10"/>
        <v>86.666666666666671</v>
      </c>
      <c r="N58" s="68">
        <f t="shared" si="11"/>
        <v>100</v>
      </c>
      <c r="O58" s="46">
        <v>8.6</v>
      </c>
      <c r="P58" s="47"/>
      <c r="Q58" s="47">
        <v>47.8</v>
      </c>
      <c r="R58" s="48">
        <f t="shared" ref="R58:R61" si="12">SUM(O58:Q58)</f>
        <v>56.4</v>
      </c>
      <c r="S58" s="29">
        <v>2</v>
      </c>
      <c r="T58" s="286"/>
      <c r="U58" s="277"/>
      <c r="V58" s="38" t="s">
        <v>1145</v>
      </c>
      <c r="W58" s="29" t="s">
        <v>20</v>
      </c>
      <c r="X58" s="29" t="s">
        <v>12</v>
      </c>
      <c r="Y58" s="39">
        <v>27.1</v>
      </c>
      <c r="Z58" s="29" t="s">
        <v>130</v>
      </c>
      <c r="AA58" s="29" t="s">
        <v>97</v>
      </c>
      <c r="AB58" s="29" t="s">
        <v>12</v>
      </c>
      <c r="AC58" s="29">
        <v>20.7</v>
      </c>
      <c r="AD58" s="38" t="s">
        <v>1010</v>
      </c>
      <c r="AE58" s="29" t="s">
        <v>892</v>
      </c>
      <c r="AF58" s="29" t="s">
        <v>11</v>
      </c>
      <c r="AG58" s="39">
        <v>8.6</v>
      </c>
      <c r="AH58" s="38"/>
      <c r="AL58" s="38"/>
      <c r="AO58" s="39"/>
      <c r="AP58" s="38"/>
      <c r="AS58" s="39"/>
      <c r="AW58" s="39"/>
      <c r="BA58" s="40"/>
    </row>
    <row r="59" spans="1:53" s="29" customFormat="1" x14ac:dyDescent="0.15">
      <c r="A59" s="29">
        <v>2015</v>
      </c>
      <c r="B59" s="277"/>
      <c r="C59" s="411" t="s">
        <v>1293</v>
      </c>
      <c r="D59" s="411"/>
      <c r="E59" s="29">
        <v>365</v>
      </c>
      <c r="G59" s="66">
        <v>2</v>
      </c>
      <c r="I59" s="29">
        <v>13</v>
      </c>
      <c r="J59" s="73">
        <v>15</v>
      </c>
      <c r="K59" s="47">
        <f t="shared" si="8"/>
        <v>13.333333333333334</v>
      </c>
      <c r="L59" s="47">
        <f t="shared" si="9"/>
        <v>0</v>
      </c>
      <c r="M59" s="47">
        <f t="shared" si="10"/>
        <v>86.666666666666671</v>
      </c>
      <c r="N59" s="68">
        <f t="shared" si="11"/>
        <v>100</v>
      </c>
      <c r="O59" s="46">
        <v>8.6</v>
      </c>
      <c r="P59" s="47"/>
      <c r="Q59" s="47">
        <v>47.8</v>
      </c>
      <c r="R59" s="48">
        <f t="shared" si="12"/>
        <v>56.4</v>
      </c>
      <c r="S59" s="29">
        <v>2</v>
      </c>
      <c r="T59" s="286"/>
      <c r="U59" s="295"/>
      <c r="V59" s="38" t="s">
        <v>1145</v>
      </c>
      <c r="W59" s="29" t="s">
        <v>20</v>
      </c>
      <c r="X59" s="29" t="s">
        <v>12</v>
      </c>
      <c r="Y59" s="39">
        <v>27.1</v>
      </c>
      <c r="Z59" s="29" t="s">
        <v>130</v>
      </c>
      <c r="AA59" s="29" t="s">
        <v>97</v>
      </c>
      <c r="AB59" s="29" t="s">
        <v>12</v>
      </c>
      <c r="AC59" s="29">
        <v>20.7</v>
      </c>
      <c r="AD59" s="38" t="s">
        <v>1010</v>
      </c>
      <c r="AE59" s="29" t="s">
        <v>892</v>
      </c>
      <c r="AF59" s="29" t="s">
        <v>11</v>
      </c>
      <c r="AG59" s="39">
        <v>8.6</v>
      </c>
      <c r="AH59" s="38"/>
      <c r="AL59" s="38"/>
      <c r="AO59" s="39"/>
      <c r="AP59" s="38"/>
      <c r="AS59" s="39"/>
      <c r="AW59" s="39"/>
      <c r="BA59" s="40"/>
    </row>
    <row r="60" spans="1:53" s="29" customFormat="1" x14ac:dyDescent="0.15">
      <c r="A60" s="29">
        <v>2016</v>
      </c>
      <c r="B60" s="277"/>
      <c r="C60" s="411" t="s">
        <v>1293</v>
      </c>
      <c r="D60" s="411"/>
      <c r="E60" s="29">
        <v>347</v>
      </c>
      <c r="G60" s="66">
        <v>2</v>
      </c>
      <c r="I60" s="29">
        <v>13</v>
      </c>
      <c r="J60" s="73">
        <v>15</v>
      </c>
      <c r="K60" s="47">
        <f t="shared" si="8"/>
        <v>13.333333333333334</v>
      </c>
      <c r="L60" s="47">
        <f t="shared" si="9"/>
        <v>0</v>
      </c>
      <c r="M60" s="47">
        <f t="shared" si="10"/>
        <v>86.666666666666671</v>
      </c>
      <c r="N60" s="68">
        <f t="shared" si="11"/>
        <v>100</v>
      </c>
      <c r="O60" s="46">
        <v>8.6</v>
      </c>
      <c r="P60" s="47"/>
      <c r="Q60" s="47">
        <v>47.8</v>
      </c>
      <c r="R60" s="48">
        <f t="shared" si="12"/>
        <v>56.4</v>
      </c>
      <c r="S60" s="29">
        <v>2</v>
      </c>
      <c r="T60" s="286"/>
      <c r="U60" s="295"/>
      <c r="V60" s="38" t="s">
        <v>1145</v>
      </c>
      <c r="W60" s="29" t="s">
        <v>20</v>
      </c>
      <c r="X60" s="29" t="s">
        <v>12</v>
      </c>
      <c r="Y60" s="39">
        <v>27.1</v>
      </c>
      <c r="Z60" s="29" t="s">
        <v>130</v>
      </c>
      <c r="AA60" s="29" t="s">
        <v>97</v>
      </c>
      <c r="AB60" s="29" t="s">
        <v>12</v>
      </c>
      <c r="AC60" s="29">
        <v>20.7</v>
      </c>
      <c r="AD60" s="38" t="s">
        <v>1010</v>
      </c>
      <c r="AE60" s="29" t="s">
        <v>892</v>
      </c>
      <c r="AF60" s="29" t="s">
        <v>11</v>
      </c>
      <c r="AG60" s="39">
        <v>8.6</v>
      </c>
      <c r="AH60" s="38"/>
      <c r="AL60" s="38"/>
      <c r="AO60" s="39"/>
      <c r="AP60" s="38"/>
      <c r="AS60" s="39"/>
      <c r="AW60" s="39"/>
      <c r="BA60" s="40"/>
    </row>
    <row r="61" spans="1:53" s="171" customFormat="1" x14ac:dyDescent="0.15">
      <c r="A61" s="171">
        <v>2016</v>
      </c>
      <c r="B61" s="306">
        <v>42717</v>
      </c>
      <c r="C61" s="410" t="s">
        <v>1346</v>
      </c>
      <c r="D61" s="410"/>
      <c r="E61" s="171">
        <v>19</v>
      </c>
      <c r="F61" s="171">
        <v>1</v>
      </c>
      <c r="G61" s="233"/>
      <c r="I61" s="171">
        <v>15</v>
      </c>
      <c r="J61" s="241">
        <v>15</v>
      </c>
      <c r="K61" s="214">
        <f t="shared" si="8"/>
        <v>0</v>
      </c>
      <c r="L61" s="214">
        <f t="shared" si="9"/>
        <v>0</v>
      </c>
      <c r="M61" s="214">
        <f t="shared" si="10"/>
        <v>100</v>
      </c>
      <c r="N61" s="235">
        <f t="shared" si="11"/>
        <v>100</v>
      </c>
      <c r="O61" s="213"/>
      <c r="P61" s="214"/>
      <c r="Q61" s="214">
        <v>51.8</v>
      </c>
      <c r="R61" s="215">
        <f t="shared" si="12"/>
        <v>51.8</v>
      </c>
      <c r="S61" s="171">
        <v>2</v>
      </c>
      <c r="T61" s="285">
        <v>42666</v>
      </c>
      <c r="U61" s="283">
        <v>42717</v>
      </c>
      <c r="V61" s="178" t="s">
        <v>1347</v>
      </c>
      <c r="W61" s="171" t="s">
        <v>932</v>
      </c>
      <c r="X61" s="171" t="s">
        <v>12</v>
      </c>
      <c r="Y61" s="179">
        <v>39.700000000000003</v>
      </c>
      <c r="Z61" s="171" t="s">
        <v>1145</v>
      </c>
      <c r="AA61" s="171" t="s">
        <v>20</v>
      </c>
      <c r="AB61" s="171" t="s">
        <v>12</v>
      </c>
      <c r="AC61" s="171">
        <v>12.1</v>
      </c>
      <c r="AD61" s="178"/>
      <c r="AG61" s="179"/>
      <c r="AH61" s="178"/>
      <c r="AL61" s="178"/>
      <c r="AO61" s="179"/>
      <c r="AP61" s="178"/>
      <c r="AS61" s="179"/>
      <c r="AW61" s="179"/>
      <c r="BA61" s="180"/>
    </row>
    <row r="62" spans="1:53" s="171" customFormat="1" x14ac:dyDescent="0.15">
      <c r="A62" s="171">
        <v>2017</v>
      </c>
      <c r="B62" s="306"/>
      <c r="C62" s="410" t="s">
        <v>1346</v>
      </c>
      <c r="D62" s="410"/>
      <c r="E62" s="171">
        <v>267</v>
      </c>
      <c r="G62" s="233"/>
      <c r="I62" s="171">
        <v>15</v>
      </c>
      <c r="J62" s="241">
        <v>15</v>
      </c>
      <c r="K62" s="214">
        <f t="shared" ref="K62:K63" si="13">G62/J62*100</f>
        <v>0</v>
      </c>
      <c r="L62" s="214">
        <f t="shared" ref="L62:L63" si="14">H62/J62*100</f>
        <v>0</v>
      </c>
      <c r="M62" s="214">
        <f t="shared" ref="M62:M63" si="15">I62/J62*100</f>
        <v>100</v>
      </c>
      <c r="N62" s="235">
        <f t="shared" ref="N62:N63" si="16">SUM(K62:M62)</f>
        <v>100</v>
      </c>
      <c r="O62" s="213"/>
      <c r="P62" s="214"/>
      <c r="Q62" s="214">
        <v>51.8</v>
      </c>
      <c r="R62" s="215">
        <f t="shared" ref="R62:R63" si="17">SUM(O62:Q62)</f>
        <v>51.8</v>
      </c>
      <c r="S62" s="171">
        <v>2</v>
      </c>
      <c r="T62" s="285"/>
      <c r="U62" s="283"/>
      <c r="V62" s="178" t="s">
        <v>1347</v>
      </c>
      <c r="W62" s="171" t="s">
        <v>932</v>
      </c>
      <c r="X62" s="171" t="s">
        <v>12</v>
      </c>
      <c r="Y62" s="179">
        <v>39.700000000000003</v>
      </c>
      <c r="Z62" s="171" t="s">
        <v>1145</v>
      </c>
      <c r="AA62" s="171" t="s">
        <v>20</v>
      </c>
      <c r="AB62" s="171" t="s">
        <v>12</v>
      </c>
      <c r="AC62" s="171">
        <v>12.1</v>
      </c>
      <c r="AD62" s="178"/>
      <c r="AG62" s="179"/>
      <c r="AH62" s="178"/>
      <c r="AL62" s="178"/>
      <c r="AO62" s="179"/>
      <c r="AP62" s="178"/>
      <c r="AS62" s="179"/>
      <c r="AW62" s="179"/>
      <c r="BA62" s="180"/>
    </row>
    <row r="63" spans="1:53" s="171" customFormat="1" x14ac:dyDescent="0.15">
      <c r="A63" s="171">
        <v>2017</v>
      </c>
      <c r="B63" s="301">
        <v>43003</v>
      </c>
      <c r="C63" s="410" t="s">
        <v>1346</v>
      </c>
      <c r="D63" s="410"/>
      <c r="E63" s="171">
        <v>98</v>
      </c>
      <c r="F63" s="192">
        <v>0</v>
      </c>
      <c r="G63" s="233"/>
      <c r="I63" s="171">
        <v>15</v>
      </c>
      <c r="J63" s="241">
        <v>15</v>
      </c>
      <c r="K63" s="214">
        <f t="shared" si="13"/>
        <v>0</v>
      </c>
      <c r="L63" s="214">
        <f t="shared" si="14"/>
        <v>0</v>
      </c>
      <c r="M63" s="214">
        <f t="shared" si="15"/>
        <v>100</v>
      </c>
      <c r="N63" s="235">
        <f t="shared" si="16"/>
        <v>100</v>
      </c>
      <c r="O63" s="213"/>
      <c r="P63" s="214"/>
      <c r="Q63" s="214">
        <v>48.9</v>
      </c>
      <c r="R63" s="215">
        <f t="shared" si="17"/>
        <v>48.9</v>
      </c>
      <c r="S63" s="171">
        <v>5</v>
      </c>
      <c r="T63" s="285"/>
      <c r="U63" s="283"/>
      <c r="V63" s="178" t="s">
        <v>1347</v>
      </c>
      <c r="W63" s="171" t="s">
        <v>932</v>
      </c>
      <c r="X63" s="171" t="s">
        <v>12</v>
      </c>
      <c r="Y63" s="179">
        <v>39.700000000000003</v>
      </c>
      <c r="Z63" s="171" t="s">
        <v>1425</v>
      </c>
      <c r="AA63" s="171" t="s">
        <v>304</v>
      </c>
      <c r="AB63" s="171" t="s">
        <v>12</v>
      </c>
      <c r="AC63" s="171">
        <v>9.1999999999999993</v>
      </c>
      <c r="AD63" s="178"/>
      <c r="AG63" s="179"/>
      <c r="AH63" s="178"/>
      <c r="AL63" s="178"/>
      <c r="AO63" s="179"/>
      <c r="AP63" s="178"/>
      <c r="AS63" s="179"/>
      <c r="AW63" s="179"/>
      <c r="BA63" s="180"/>
    </row>
    <row r="64" spans="1:53" s="171" customFormat="1" x14ac:dyDescent="0.15">
      <c r="A64" s="171">
        <v>2018</v>
      </c>
      <c r="B64" s="301"/>
      <c r="C64" s="410" t="s">
        <v>1346</v>
      </c>
      <c r="D64" s="410"/>
      <c r="E64" s="171">
        <v>0</v>
      </c>
      <c r="F64" s="192"/>
      <c r="G64" s="233"/>
      <c r="I64" s="171">
        <v>15</v>
      </c>
      <c r="J64" s="241">
        <v>15</v>
      </c>
      <c r="K64" s="214">
        <f t="shared" ref="K64" si="18">G64/J64*100</f>
        <v>0</v>
      </c>
      <c r="L64" s="214">
        <f t="shared" ref="L64" si="19">H64/J64*100</f>
        <v>0</v>
      </c>
      <c r="M64" s="214">
        <f t="shared" ref="M64" si="20">I64/J64*100</f>
        <v>100</v>
      </c>
      <c r="N64" s="235">
        <f t="shared" ref="N64" si="21">SUM(K64:M64)</f>
        <v>100</v>
      </c>
      <c r="O64" s="213"/>
      <c r="P64" s="214"/>
      <c r="Q64" s="214">
        <v>48.9</v>
      </c>
      <c r="R64" s="215">
        <f t="shared" ref="R64" si="22">SUM(O64:Q64)</f>
        <v>48.9</v>
      </c>
      <c r="S64" s="171">
        <v>5</v>
      </c>
      <c r="T64" s="285"/>
      <c r="U64" s="283"/>
      <c r="V64" s="178" t="s">
        <v>1347</v>
      </c>
      <c r="W64" s="171" t="s">
        <v>932</v>
      </c>
      <c r="X64" s="171" t="s">
        <v>12</v>
      </c>
      <c r="Y64" s="179">
        <v>39.700000000000003</v>
      </c>
      <c r="Z64" s="171" t="s">
        <v>1425</v>
      </c>
      <c r="AA64" s="171" t="s">
        <v>304</v>
      </c>
      <c r="AB64" s="171" t="s">
        <v>12</v>
      </c>
      <c r="AC64" s="276">
        <v>9.1999999999999993</v>
      </c>
      <c r="AD64" s="178"/>
      <c r="AG64" s="179"/>
      <c r="AH64" s="178"/>
      <c r="AL64" s="178"/>
      <c r="AO64" s="179"/>
      <c r="AP64" s="178"/>
      <c r="AS64" s="179"/>
      <c r="AW64" s="179"/>
      <c r="BA64" s="180"/>
    </row>
    <row r="65" spans="1:53" s="171" customFormat="1" x14ac:dyDescent="0.15">
      <c r="A65" s="171">
        <v>2018</v>
      </c>
      <c r="B65" s="301"/>
      <c r="C65" s="410" t="s">
        <v>1346</v>
      </c>
      <c r="D65" s="410"/>
      <c r="E65" s="171">
        <v>365</v>
      </c>
      <c r="F65" s="192"/>
      <c r="G65" s="233"/>
      <c r="I65" s="171">
        <v>15</v>
      </c>
      <c r="J65" s="241">
        <v>15</v>
      </c>
      <c r="K65" s="214">
        <f t="shared" ref="K65" si="23">G65/J65*100</f>
        <v>0</v>
      </c>
      <c r="L65" s="214">
        <f t="shared" ref="L65" si="24">H65/J65*100</f>
        <v>0</v>
      </c>
      <c r="M65" s="214">
        <f t="shared" ref="M65" si="25">I65/J65*100</f>
        <v>100</v>
      </c>
      <c r="N65" s="235">
        <f t="shared" ref="N65" si="26">SUM(K65:M65)</f>
        <v>100</v>
      </c>
      <c r="O65" s="213"/>
      <c r="P65" s="214"/>
      <c r="Q65" s="214">
        <v>48.9</v>
      </c>
      <c r="R65" s="215">
        <f t="shared" ref="R65" si="27">SUM(O65:Q65)</f>
        <v>48.9</v>
      </c>
      <c r="S65" s="171">
        <v>5</v>
      </c>
      <c r="T65" s="285"/>
      <c r="U65" s="283"/>
      <c r="V65" s="178" t="s">
        <v>1347</v>
      </c>
      <c r="W65" s="171" t="s">
        <v>932</v>
      </c>
      <c r="X65" s="171" t="s">
        <v>12</v>
      </c>
      <c r="Y65" s="179">
        <v>39.700000000000003</v>
      </c>
      <c r="Z65" s="171" t="s">
        <v>1425</v>
      </c>
      <c r="AA65" s="171" t="s">
        <v>304</v>
      </c>
      <c r="AB65" s="171" t="s">
        <v>12</v>
      </c>
      <c r="AC65" s="276">
        <v>9.1999999999999993</v>
      </c>
      <c r="AD65" s="178"/>
      <c r="AG65" s="179"/>
      <c r="AH65" s="178"/>
      <c r="AL65" s="178"/>
      <c r="AO65" s="179"/>
      <c r="AP65" s="178"/>
      <c r="AS65" s="179"/>
      <c r="AW65" s="179"/>
      <c r="BA65" s="180"/>
    </row>
    <row r="66" spans="1:53" s="171" customFormat="1" x14ac:dyDescent="0.15">
      <c r="A66" s="171">
        <v>2019</v>
      </c>
      <c r="B66" s="301"/>
      <c r="C66" s="410" t="s">
        <v>1346</v>
      </c>
      <c r="D66" s="410"/>
      <c r="E66" s="171">
        <v>218</v>
      </c>
      <c r="F66" s="192"/>
      <c r="G66" s="233"/>
      <c r="I66" s="171">
        <v>15</v>
      </c>
      <c r="J66" s="241">
        <v>15</v>
      </c>
      <c r="K66" s="214">
        <f t="shared" ref="K66" si="28">G66/J66*100</f>
        <v>0</v>
      </c>
      <c r="L66" s="214">
        <f t="shared" ref="L66" si="29">H66/J66*100</f>
        <v>0</v>
      </c>
      <c r="M66" s="214">
        <f t="shared" ref="M66" si="30">I66/J66*100</f>
        <v>100</v>
      </c>
      <c r="N66" s="235">
        <f t="shared" ref="N66" si="31">SUM(K66:M66)</f>
        <v>100</v>
      </c>
      <c r="O66" s="213"/>
      <c r="P66" s="214"/>
      <c r="Q66" s="214">
        <v>48.9</v>
      </c>
      <c r="R66" s="215">
        <f t="shared" ref="R66" si="32">SUM(O66:Q66)</f>
        <v>48.9</v>
      </c>
      <c r="S66" s="171">
        <v>5</v>
      </c>
      <c r="T66" s="285"/>
      <c r="U66" s="283"/>
      <c r="V66" s="178" t="s">
        <v>1347</v>
      </c>
      <c r="W66" s="171" t="s">
        <v>932</v>
      </c>
      <c r="X66" s="171" t="s">
        <v>12</v>
      </c>
      <c r="Y66" s="179">
        <v>39.700000000000003</v>
      </c>
      <c r="Z66" s="171" t="s">
        <v>1425</v>
      </c>
      <c r="AA66" s="171" t="s">
        <v>304</v>
      </c>
      <c r="AB66" s="171" t="s">
        <v>12</v>
      </c>
      <c r="AC66" s="276">
        <v>9.1999999999999993</v>
      </c>
      <c r="AD66" s="178"/>
      <c r="AH66" s="178"/>
      <c r="AL66" s="178"/>
      <c r="AO66" s="179"/>
      <c r="AS66" s="179"/>
      <c r="AW66" s="179"/>
      <c r="BA66" s="180"/>
    </row>
    <row r="67" spans="1:53" s="171" customFormat="1" x14ac:dyDescent="0.15">
      <c r="A67" s="171">
        <v>2019</v>
      </c>
      <c r="B67" s="306">
        <v>43684</v>
      </c>
      <c r="C67" s="410" t="s">
        <v>1346</v>
      </c>
      <c r="D67" s="410"/>
      <c r="E67" s="171">
        <v>147</v>
      </c>
      <c r="F67" s="338">
        <v>7</v>
      </c>
      <c r="H67" s="171">
        <v>2</v>
      </c>
      <c r="I67" s="171">
        <v>13</v>
      </c>
      <c r="J67" s="241">
        <v>15</v>
      </c>
      <c r="K67" s="214">
        <f t="shared" ref="K67:K69" si="33">G67/J67*100</f>
        <v>0</v>
      </c>
      <c r="L67" s="214">
        <f t="shared" ref="L67:L69" si="34">H67/J67*100</f>
        <v>13.333333333333334</v>
      </c>
      <c r="M67" s="214">
        <f t="shared" ref="M67:M69" si="35">I67/J67*100</f>
        <v>86.666666666666671</v>
      </c>
      <c r="N67" s="235">
        <f t="shared" ref="N67:N69" si="36">SUM(K67:M67)</f>
        <v>100</v>
      </c>
      <c r="O67" s="213"/>
      <c r="P67" s="214">
        <v>5.7</v>
      </c>
      <c r="Q67" s="214">
        <v>48.9</v>
      </c>
      <c r="R67" s="215">
        <f t="shared" ref="R67:R69" si="37">SUM(O67:Q67)</f>
        <v>54.6</v>
      </c>
      <c r="S67" s="190">
        <v>2</v>
      </c>
      <c r="T67" s="285"/>
      <c r="U67" s="283"/>
      <c r="V67" s="178" t="s">
        <v>1347</v>
      </c>
      <c r="W67" s="171" t="s">
        <v>932</v>
      </c>
      <c r="X67" s="171" t="s">
        <v>12</v>
      </c>
      <c r="Y67" s="179">
        <v>39.700000000000003</v>
      </c>
      <c r="Z67" s="171" t="s">
        <v>1425</v>
      </c>
      <c r="AA67" s="171" t="s">
        <v>304</v>
      </c>
      <c r="AB67" s="171" t="s">
        <v>12</v>
      </c>
      <c r="AC67" s="348">
        <v>9.1999999999999993</v>
      </c>
      <c r="AD67" s="171" t="s">
        <v>1011</v>
      </c>
      <c r="AE67" s="171" t="s">
        <v>89</v>
      </c>
      <c r="AF67" s="171" t="s">
        <v>18</v>
      </c>
      <c r="AG67" s="171">
        <v>5.7</v>
      </c>
      <c r="AH67" s="178"/>
      <c r="AK67" s="179"/>
      <c r="AO67" s="179"/>
      <c r="AS67" s="179"/>
      <c r="AW67" s="179"/>
      <c r="BA67" s="180"/>
    </row>
    <row r="68" spans="1:53" s="171" customFormat="1" x14ac:dyDescent="0.15">
      <c r="A68" s="171">
        <v>2020</v>
      </c>
      <c r="B68" s="306"/>
      <c r="C68" s="410" t="s">
        <v>1346</v>
      </c>
      <c r="D68" s="410"/>
      <c r="E68" s="171">
        <v>345</v>
      </c>
      <c r="F68" s="338"/>
      <c r="H68" s="171">
        <v>2</v>
      </c>
      <c r="I68" s="171">
        <v>13</v>
      </c>
      <c r="J68" s="241">
        <v>15</v>
      </c>
      <c r="K68" s="214">
        <f t="shared" si="33"/>
        <v>0</v>
      </c>
      <c r="L68" s="214">
        <f t="shared" si="34"/>
        <v>13.333333333333334</v>
      </c>
      <c r="M68" s="214">
        <f t="shared" si="35"/>
        <v>86.666666666666671</v>
      </c>
      <c r="N68" s="215">
        <f t="shared" si="36"/>
        <v>100</v>
      </c>
      <c r="O68" s="214"/>
      <c r="P68" s="214">
        <v>5.7</v>
      </c>
      <c r="Q68" s="214">
        <v>48.9</v>
      </c>
      <c r="R68" s="215">
        <f t="shared" si="37"/>
        <v>54.6</v>
      </c>
      <c r="S68" s="190">
        <v>2</v>
      </c>
      <c r="T68" s="285"/>
      <c r="U68" s="283"/>
      <c r="V68" s="178" t="s">
        <v>1347</v>
      </c>
      <c r="W68" s="171" t="s">
        <v>932</v>
      </c>
      <c r="X68" s="171" t="s">
        <v>12</v>
      </c>
      <c r="Y68" s="171">
        <v>39.700000000000003</v>
      </c>
      <c r="Z68" s="171" t="s">
        <v>1425</v>
      </c>
      <c r="AA68" s="171" t="s">
        <v>304</v>
      </c>
      <c r="AB68" s="171" t="s">
        <v>12</v>
      </c>
      <c r="AC68" s="348">
        <v>9.1999999999999993</v>
      </c>
      <c r="AD68" s="171" t="s">
        <v>1011</v>
      </c>
      <c r="AE68" s="171" t="s">
        <v>89</v>
      </c>
      <c r="AF68" s="171" t="s">
        <v>18</v>
      </c>
      <c r="AG68" s="179">
        <v>5.7</v>
      </c>
      <c r="AK68" s="179"/>
      <c r="AO68" s="179"/>
      <c r="AS68" s="179"/>
      <c r="AW68" s="179"/>
      <c r="BA68" s="180"/>
    </row>
    <row r="69" spans="1:53" s="29" customFormat="1" x14ac:dyDescent="0.15">
      <c r="A69" s="29">
        <v>2020</v>
      </c>
      <c r="B69" s="277">
        <v>44176</v>
      </c>
      <c r="C69" s="411" t="s">
        <v>1471</v>
      </c>
      <c r="D69" s="411"/>
      <c r="E69" s="29">
        <v>21</v>
      </c>
      <c r="F69" s="342">
        <v>1</v>
      </c>
      <c r="G69" s="29">
        <v>15</v>
      </c>
      <c r="J69" s="73">
        <v>15</v>
      </c>
      <c r="K69" s="47">
        <f t="shared" si="33"/>
        <v>100</v>
      </c>
      <c r="L69" s="47">
        <f t="shared" si="34"/>
        <v>0</v>
      </c>
      <c r="M69" s="47">
        <f t="shared" si="35"/>
        <v>0</v>
      </c>
      <c r="N69" s="48">
        <f t="shared" si="36"/>
        <v>100</v>
      </c>
      <c r="O69" s="47">
        <v>51.8</v>
      </c>
      <c r="P69" s="47"/>
      <c r="Q69" s="47"/>
      <c r="R69" s="48">
        <f t="shared" si="37"/>
        <v>51.8</v>
      </c>
      <c r="S69" s="37">
        <v>2</v>
      </c>
      <c r="T69" s="286">
        <v>44115</v>
      </c>
      <c r="U69" s="292">
        <v>44176</v>
      </c>
      <c r="V69" s="29" t="s">
        <v>1007</v>
      </c>
      <c r="W69" s="29" t="s">
        <v>87</v>
      </c>
      <c r="X69" s="29" t="s">
        <v>11</v>
      </c>
      <c r="Y69" s="29">
        <v>35.5</v>
      </c>
      <c r="Z69" s="29" t="s">
        <v>1009</v>
      </c>
      <c r="AA69" s="29" t="s">
        <v>893</v>
      </c>
      <c r="AB69" s="29" t="s">
        <v>11</v>
      </c>
      <c r="AC69" s="349">
        <v>8.5</v>
      </c>
      <c r="AD69" s="29" t="s">
        <v>82</v>
      </c>
      <c r="AE69" s="29" t="s">
        <v>899</v>
      </c>
      <c r="AF69" s="29" t="s">
        <v>11</v>
      </c>
      <c r="AG69" s="39">
        <v>7.8</v>
      </c>
      <c r="AK69" s="39"/>
      <c r="AO69" s="39"/>
      <c r="AS69" s="39"/>
      <c r="AW69" s="39"/>
      <c r="BA69" s="40"/>
    </row>
    <row r="70" spans="1:53" x14ac:dyDescent="0.15">
      <c r="AW70" s="17"/>
    </row>
    <row r="71" spans="1:53" ht="18" customHeight="1" x14ac:dyDescent="0.15">
      <c r="B71" s="16" t="s">
        <v>1264</v>
      </c>
    </row>
    <row r="72" spans="1:53" ht="9" customHeight="1" x14ac:dyDescent="0.15"/>
    <row r="73" spans="1:53" s="195" customFormat="1" ht="9" customHeight="1" x14ac:dyDescent="0.15">
      <c r="A73" s="193"/>
      <c r="B73" s="194" t="s">
        <v>1215</v>
      </c>
      <c r="C73" s="194"/>
      <c r="D73" s="194"/>
      <c r="E73" s="194"/>
      <c r="F73" s="194"/>
      <c r="G73" s="194" t="s">
        <v>1216</v>
      </c>
      <c r="H73" s="194"/>
      <c r="I73" s="194"/>
      <c r="J73" s="194"/>
      <c r="K73" s="194"/>
      <c r="L73" s="194"/>
      <c r="M73" s="194"/>
      <c r="N73" s="194"/>
      <c r="R73" s="388" t="s">
        <v>1217</v>
      </c>
      <c r="S73" s="388"/>
      <c r="T73" s="388"/>
      <c r="U73" s="388"/>
      <c r="V73" s="388"/>
      <c r="W73" s="388"/>
      <c r="X73" s="196"/>
      <c r="Y73" s="196"/>
      <c r="AA73" s="196"/>
      <c r="AB73" s="196"/>
      <c r="AC73" s="196"/>
      <c r="AD73" s="196"/>
    </row>
    <row r="74" spans="1:53" s="200" customFormat="1" ht="9" customHeight="1" x14ac:dyDescent="0.15">
      <c r="A74" s="197"/>
      <c r="B74" s="198" t="s">
        <v>1219</v>
      </c>
      <c r="C74" s="199"/>
      <c r="D74" s="199"/>
      <c r="E74" s="199"/>
      <c r="F74" s="199"/>
      <c r="G74" s="198" t="s">
        <v>1218</v>
      </c>
      <c r="H74" s="199"/>
      <c r="I74" s="199"/>
      <c r="J74" s="199"/>
      <c r="K74" s="199"/>
      <c r="L74" s="199"/>
      <c r="M74" s="199"/>
      <c r="N74" s="199"/>
      <c r="R74" s="201" t="s">
        <v>1220</v>
      </c>
      <c r="S74" s="202"/>
      <c r="T74" s="203"/>
      <c r="U74" s="203"/>
      <c r="V74" s="203"/>
      <c r="W74" s="201" t="s">
        <v>1221</v>
      </c>
      <c r="X74" s="203"/>
      <c r="Y74" s="203"/>
      <c r="AA74" s="203"/>
      <c r="AB74" s="203"/>
      <c r="AC74" s="203"/>
      <c r="AD74" s="203"/>
    </row>
    <row r="75" spans="1:53" s="186" customFormat="1" ht="12" customHeight="1" x14ac:dyDescent="0.15">
      <c r="A75" s="204" t="s">
        <v>3</v>
      </c>
      <c r="B75" s="205" t="s">
        <v>8</v>
      </c>
      <c r="C75" s="205" t="s">
        <v>9</v>
      </c>
      <c r="D75" s="205" t="s">
        <v>10</v>
      </c>
      <c r="E75" s="206" t="s">
        <v>1195</v>
      </c>
      <c r="F75" s="205"/>
      <c r="G75" s="186" t="s">
        <v>3</v>
      </c>
      <c r="H75" s="389" t="s">
        <v>0</v>
      </c>
      <c r="I75" s="389"/>
      <c r="J75" s="389" t="s">
        <v>1</v>
      </c>
      <c r="K75" s="389"/>
      <c r="L75" s="389" t="s">
        <v>2</v>
      </c>
      <c r="M75" s="389"/>
      <c r="N75" s="390" t="s">
        <v>1195</v>
      </c>
      <c r="O75" s="390"/>
      <c r="P75" s="207"/>
      <c r="Q75" s="207"/>
      <c r="R75" s="208" t="s">
        <v>3</v>
      </c>
      <c r="S75" s="209" t="s">
        <v>135</v>
      </c>
      <c r="T75" s="207" t="s">
        <v>133</v>
      </c>
      <c r="U75" s="205" t="s">
        <v>134</v>
      </c>
      <c r="V75" s="207"/>
      <c r="W75" s="210" t="s">
        <v>26</v>
      </c>
    </row>
    <row r="76" spans="1:53" x14ac:dyDescent="0.15">
      <c r="A76" s="14">
        <v>1990</v>
      </c>
      <c r="B76" s="5"/>
      <c r="C76" s="5"/>
      <c r="D76" s="5"/>
      <c r="E76" s="18"/>
      <c r="F76" s="5"/>
      <c r="G76" s="1">
        <v>1990</v>
      </c>
      <c r="H76" s="5"/>
      <c r="I76" s="5"/>
      <c r="J76" s="5"/>
      <c r="K76" s="5"/>
      <c r="L76" s="5"/>
      <c r="M76" s="5"/>
      <c r="N76" s="18"/>
      <c r="O76" s="18"/>
      <c r="P76" s="9"/>
      <c r="Q76" s="9"/>
      <c r="R76" s="1">
        <v>1990</v>
      </c>
      <c r="S76" s="9"/>
      <c r="T76" s="9"/>
      <c r="U76" s="5"/>
      <c r="V76" s="9"/>
      <c r="W76" s="115"/>
    </row>
    <row r="77" spans="1:53" x14ac:dyDescent="0.15">
      <c r="A77" s="14">
        <v>1991</v>
      </c>
      <c r="B77" s="5"/>
      <c r="C77" s="5"/>
      <c r="D77" s="5"/>
      <c r="E77" s="18"/>
      <c r="F77" s="5"/>
      <c r="G77" s="1">
        <v>1991</v>
      </c>
      <c r="H77" s="5"/>
      <c r="I77" s="5"/>
      <c r="J77" s="5"/>
      <c r="K77" s="5"/>
      <c r="L77" s="5"/>
      <c r="M77" s="5"/>
      <c r="N77" s="18"/>
      <c r="O77" s="18"/>
      <c r="P77" s="9"/>
      <c r="Q77" s="9"/>
      <c r="R77" s="1">
        <v>1991</v>
      </c>
      <c r="S77" s="9"/>
      <c r="T77" s="9"/>
      <c r="U77" s="5"/>
      <c r="V77" s="9"/>
      <c r="W77" s="115"/>
    </row>
    <row r="78" spans="1:53" x14ac:dyDescent="0.15">
      <c r="A78" s="1">
        <v>1992</v>
      </c>
      <c r="B78" s="5">
        <f>(K7*($E7/22))</f>
        <v>0</v>
      </c>
      <c r="C78" s="5">
        <f>(L7*($E7/22))</f>
        <v>0</v>
      </c>
      <c r="D78" s="5">
        <f>(M7*($E7/22))</f>
        <v>100</v>
      </c>
      <c r="E78" s="24">
        <f t="shared" ref="E78:E98" si="38">SUM(B78:D78)</f>
        <v>100</v>
      </c>
      <c r="G78" s="1">
        <v>1992</v>
      </c>
      <c r="H78" s="409">
        <f>(O7/$R7*100*($E7/22))</f>
        <v>0</v>
      </c>
      <c r="I78" s="409"/>
      <c r="J78" s="409">
        <f>(P7/$R7*100*($E7/22))</f>
        <v>0</v>
      </c>
      <c r="K78" s="409"/>
      <c r="L78" s="409">
        <f>(Q7/$R7*100*($E7/22))</f>
        <v>100</v>
      </c>
      <c r="M78" s="409"/>
      <c r="N78" s="424">
        <f t="shared" ref="N78:N98" si="39">H78+J78+L78</f>
        <v>100</v>
      </c>
      <c r="O78" s="424"/>
      <c r="R78" s="1">
        <v>1992</v>
      </c>
      <c r="S78" s="5">
        <f>(O7*($E7/22))</f>
        <v>0</v>
      </c>
      <c r="T78" s="5">
        <f>(P7*($E7/22))</f>
        <v>0</v>
      </c>
      <c r="U78" s="5">
        <f>(Q7*($E7/22))</f>
        <v>51.8</v>
      </c>
      <c r="W78" s="5">
        <f t="shared" ref="W78:W98" si="40">S78+T78+U78</f>
        <v>51.8</v>
      </c>
      <c r="X78" s="25"/>
      <c r="Y78" s="27" t="s">
        <v>1225</v>
      </c>
      <c r="Z78" s="25"/>
      <c r="AA78" s="25"/>
      <c r="AB78" s="26"/>
    </row>
    <row r="79" spans="1:53" x14ac:dyDescent="0.15">
      <c r="A79" s="1">
        <v>1993</v>
      </c>
      <c r="B79" s="5">
        <f>(K8*($E8/365))+(K9*($E9/365))</f>
        <v>0</v>
      </c>
      <c r="C79" s="5">
        <f>(L8*($E8/365))+(L9*($E9/365))</f>
        <v>0</v>
      </c>
      <c r="D79" s="5">
        <f>(M8*($E8/365))+(M9*($E9/365))</f>
        <v>100</v>
      </c>
      <c r="E79" s="24">
        <f t="shared" si="38"/>
        <v>100</v>
      </c>
      <c r="G79" s="1">
        <v>1993</v>
      </c>
      <c r="H79" s="409">
        <f>(O8/$R8*100*($E8/365))+(O9/$R9*100*($E9/365))</f>
        <v>0</v>
      </c>
      <c r="I79" s="409"/>
      <c r="J79" s="409">
        <f>(P8/$R8*100*($E8/365))+(P9/$R9*100*($E9/365))</f>
        <v>0</v>
      </c>
      <c r="K79" s="409"/>
      <c r="L79" s="409">
        <f>(Q8/$R8*100*($E8/365))+(Q9/$R9*100*($E9/365))</f>
        <v>100</v>
      </c>
      <c r="M79" s="409"/>
      <c r="N79" s="424">
        <f t="shared" si="39"/>
        <v>100</v>
      </c>
      <c r="O79" s="424"/>
      <c r="R79" s="1">
        <v>1993</v>
      </c>
      <c r="S79" s="5">
        <f>(O8*($E8/365))+(O9*($E9/365))</f>
        <v>0</v>
      </c>
      <c r="T79" s="5">
        <f>(P8*($E8/365))+(P9*($E9/365))</f>
        <v>0</v>
      </c>
      <c r="U79" s="5">
        <f>(Q8*($E8/365))+(Q9*($E9/365))</f>
        <v>51.79999999999999</v>
      </c>
      <c r="W79" s="5">
        <f t="shared" si="40"/>
        <v>51.79999999999999</v>
      </c>
    </row>
    <row r="80" spans="1:53" x14ac:dyDescent="0.15">
      <c r="A80" s="1">
        <v>1994</v>
      </c>
      <c r="B80" s="5">
        <f>(K10*($E10/365))+(K11*($E11/365))</f>
        <v>0</v>
      </c>
      <c r="C80" s="5">
        <f>(L10*($E10/365))+(L11*($E11/365))</f>
        <v>0</v>
      </c>
      <c r="D80" s="5">
        <f>(M10*($E10/365))+(M11*($E11/365))</f>
        <v>100</v>
      </c>
      <c r="E80" s="24">
        <f t="shared" si="38"/>
        <v>100</v>
      </c>
      <c r="G80" s="1">
        <v>1994</v>
      </c>
      <c r="H80" s="409">
        <f>(O10/$R10*100*($E10/365))+(O11/$R11*100*($E11/365))</f>
        <v>0</v>
      </c>
      <c r="I80" s="409"/>
      <c r="J80" s="409">
        <f>(P10/$R10*100*($E10/365))+(P11/$R11*100*($E11/365))</f>
        <v>0</v>
      </c>
      <c r="K80" s="409"/>
      <c r="L80" s="409">
        <f>(Q10/$R10*100*($E10/365))+(Q11/$R11*100*($E11/365))</f>
        <v>100</v>
      </c>
      <c r="M80" s="409"/>
      <c r="N80" s="424">
        <f t="shared" si="39"/>
        <v>100</v>
      </c>
      <c r="O80" s="424"/>
      <c r="R80" s="1">
        <v>1994</v>
      </c>
      <c r="S80" s="5">
        <f>(O10*($E10/365))+(O11*($E11/365))</f>
        <v>0</v>
      </c>
      <c r="T80" s="5">
        <f>(P10*($E10/365))+(P11*($E11/365))</f>
        <v>0</v>
      </c>
      <c r="U80" s="5">
        <f>(Q10*($E10/365))+(Q11*($E11/365))</f>
        <v>51.8</v>
      </c>
      <c r="W80" s="5">
        <f t="shared" si="40"/>
        <v>51.8</v>
      </c>
    </row>
    <row r="81" spans="1:23" x14ac:dyDescent="0.15">
      <c r="A81" s="1">
        <v>1995</v>
      </c>
      <c r="B81" s="5">
        <f>(K12*($E12/365))+(K13*($E13/365))</f>
        <v>0</v>
      </c>
      <c r="C81" s="5">
        <f>(L12*($E12/365))+(L13*($E13/365))</f>
        <v>0</v>
      </c>
      <c r="D81" s="5">
        <f>(M12*($E12/365))+(M13*($E13/365))</f>
        <v>100</v>
      </c>
      <c r="E81" s="24">
        <f t="shared" si="38"/>
        <v>100</v>
      </c>
      <c r="G81" s="1">
        <v>1995</v>
      </c>
      <c r="H81" s="409">
        <f>(O12/$R12*100*($E12/365))+(O13/$R13*100*($E13/365))</f>
        <v>0</v>
      </c>
      <c r="I81" s="409"/>
      <c r="J81" s="409">
        <f>(P12/$R12*100*($E12/365))+(P13/$R13*100*($E13/365))</f>
        <v>0</v>
      </c>
      <c r="K81" s="409"/>
      <c r="L81" s="409">
        <f>(Q12/$R12*100*($E12/365))+(Q13/$R13*100*($E13/365))</f>
        <v>100</v>
      </c>
      <c r="M81" s="409"/>
      <c r="N81" s="424">
        <f t="shared" si="39"/>
        <v>100</v>
      </c>
      <c r="O81" s="424"/>
      <c r="R81" s="1">
        <v>1995</v>
      </c>
      <c r="S81" s="5">
        <f>(O12*($E12/365))+(O13*($E13/365))</f>
        <v>0</v>
      </c>
      <c r="T81" s="5">
        <f>(P12*($E12/365))+(P13*($E13/365))</f>
        <v>0</v>
      </c>
      <c r="U81" s="5">
        <f>(Q12*($E12/365))+(Q13*($E13/365))</f>
        <v>51.8</v>
      </c>
      <c r="W81" s="5">
        <f t="shared" si="40"/>
        <v>51.8</v>
      </c>
    </row>
    <row r="82" spans="1:23" x14ac:dyDescent="0.15">
      <c r="A82" s="1">
        <v>1996</v>
      </c>
      <c r="B82" s="5">
        <f>(K14*($E14/366))+(K15*($E15/366))+(K16*($E16/366))</f>
        <v>7.3127611700417869</v>
      </c>
      <c r="C82" s="5">
        <f>(L14*($E14/366))+(L15*($E15/366))+(L16*($E16/366))</f>
        <v>1.6875602700096433</v>
      </c>
      <c r="D82" s="5">
        <f>(M14*($E14/366))+(M15*($E15/366))+(M16*($E16/366))</f>
        <v>90.437158469945345</v>
      </c>
      <c r="E82" s="24">
        <f t="shared" si="38"/>
        <v>99.437479909996767</v>
      </c>
      <c r="G82" s="1">
        <v>1996</v>
      </c>
      <c r="H82" s="409">
        <f>(O14/$R14*100*($E14/366))+(O15/$R15*100*($E15/366))+(O16/$R16*100*($E16/366))</f>
        <v>8.0153277554814863</v>
      </c>
      <c r="I82" s="409"/>
      <c r="J82" s="409">
        <f>(P14/$R14*100*($E14/366))+(P15/$R15*100*($E15/366))+(P16/$R16*100*($E16/366))</f>
        <v>1.5475137745731582</v>
      </c>
      <c r="K82" s="409"/>
      <c r="L82" s="409">
        <f>(Q14/$R14*100*($E14/366))+(Q15/$R15*100*($E15/366))+(Q16/$R16*100*($E16/366))</f>
        <v>90.437158469945345</v>
      </c>
      <c r="M82" s="409"/>
      <c r="N82" s="424">
        <f t="shared" si="39"/>
        <v>99.999999999999986</v>
      </c>
      <c r="O82" s="424"/>
      <c r="R82" s="1">
        <v>1996</v>
      </c>
      <c r="S82" s="5">
        <f>(O14*($E14/366))+(O15*($E15/366))+(O16*($E16/366))</f>
        <v>5.7950819672131146</v>
      </c>
      <c r="T82" s="5">
        <f>(P14*($E14/366))+(P15*($E15/366))+(P16*($E16/366))</f>
        <v>1.1188524590163933</v>
      </c>
      <c r="U82" s="5">
        <f>(Q14*($E14/366))+(Q15*($E15/366))+(Q16*($E16/366))</f>
        <v>46.846448087431689</v>
      </c>
      <c r="W82" s="5">
        <f t="shared" si="40"/>
        <v>53.760382513661199</v>
      </c>
    </row>
    <row r="83" spans="1:23" x14ac:dyDescent="0.15">
      <c r="A83" s="1">
        <v>1997</v>
      </c>
      <c r="B83" s="5">
        <f>(K17*($E17/365))+(K18*($E18/365))</f>
        <v>76.470588235294116</v>
      </c>
      <c r="C83" s="5">
        <f>(L17*($E17/365))+(L18*($E18/365))</f>
        <v>17.647058823529413</v>
      </c>
      <c r="D83" s="5">
        <f>(M17*($E17/365))+(M18*($E18/365))</f>
        <v>0</v>
      </c>
      <c r="E83" s="24">
        <f t="shared" si="38"/>
        <v>94.117647058823536</v>
      </c>
      <c r="G83" s="1">
        <v>1997</v>
      </c>
      <c r="H83" s="409">
        <f>(O17/$R17*100*($E17/365))+(O18/$R18*100*($E18/365))</f>
        <v>83.817427385892117</v>
      </c>
      <c r="I83" s="409"/>
      <c r="J83" s="409">
        <f>(P17/$R17*100*($E17/365))+(P18/$R18*100*($E18/365))</f>
        <v>16.182572614107883</v>
      </c>
      <c r="K83" s="409"/>
      <c r="L83" s="409">
        <f>(Q17/$R17*100*($E17/365))+(Q18/$R18*100*($E18/365))</f>
        <v>0</v>
      </c>
      <c r="M83" s="409"/>
      <c r="N83" s="424">
        <f t="shared" si="39"/>
        <v>100</v>
      </c>
      <c r="O83" s="424"/>
      <c r="R83" s="1">
        <v>1997</v>
      </c>
      <c r="S83" s="5">
        <f>(O17*($E17/365))+(O18*($E18/365))</f>
        <v>60.6</v>
      </c>
      <c r="T83" s="5">
        <f>(P17*($E17/365))+(P18*($E18/365))</f>
        <v>11.7</v>
      </c>
      <c r="U83" s="5">
        <f>(Q17*($E17/365))+(Q18*($E18/365))</f>
        <v>0</v>
      </c>
      <c r="W83" s="5">
        <f t="shared" si="40"/>
        <v>72.3</v>
      </c>
    </row>
    <row r="84" spans="1:23" x14ac:dyDescent="0.15">
      <c r="A84" s="1">
        <v>1998</v>
      </c>
      <c r="B84" s="5">
        <f>(K19*($E19/365))+(K20*($E20/365))</f>
        <v>68.89605157131345</v>
      </c>
      <c r="C84" s="5">
        <f>(L19*($E19/365))+(L20*($E20/365))</f>
        <v>14.314262691377921</v>
      </c>
      <c r="D84" s="5">
        <f>(M19*($E19/365))+(M20*($E20/365))</f>
        <v>0</v>
      </c>
      <c r="E84" s="24">
        <f t="shared" si="38"/>
        <v>83.210314262691369</v>
      </c>
      <c r="G84" s="1">
        <v>1998</v>
      </c>
      <c r="H84" s="409">
        <f>(O19/$R19*100*($E19/365))+(O20/$R20*100*($E20/365))</f>
        <v>83.817427385892131</v>
      </c>
      <c r="I84" s="409"/>
      <c r="J84" s="409">
        <f>(P19/$R19*100*($E19/365))+(P20/$R20*100*($E20/365))</f>
        <v>16.182572614107883</v>
      </c>
      <c r="K84" s="409"/>
      <c r="L84" s="409">
        <f>(Q19/$R19*100*($E19/365))+(Q20/$R20*100*($E20/365))</f>
        <v>0</v>
      </c>
      <c r="M84" s="409"/>
      <c r="N84" s="424">
        <f t="shared" si="39"/>
        <v>100.00000000000001</v>
      </c>
      <c r="O84" s="424"/>
      <c r="R84" s="1">
        <v>1998</v>
      </c>
      <c r="S84" s="5">
        <f>(O19*($E19/365))+(O20*($E20/365))</f>
        <v>60.600000000000009</v>
      </c>
      <c r="T84" s="5">
        <f>(P19*($E19/365))+(P20*($E20/365))</f>
        <v>11.7</v>
      </c>
      <c r="U84" s="5">
        <f>(Q19*($E19/365))+(Q20*($E20/365))</f>
        <v>0</v>
      </c>
      <c r="W84" s="5">
        <f t="shared" si="40"/>
        <v>72.300000000000011</v>
      </c>
    </row>
    <row r="85" spans="1:23" x14ac:dyDescent="0.15">
      <c r="A85" s="1">
        <v>1999</v>
      </c>
      <c r="B85" s="5">
        <f>(K21*($E21/365))+(K22*($E22/365))+(K23*($E23/365))</f>
        <v>59.465101108936722</v>
      </c>
      <c r="C85" s="5">
        <f>(L21*($E21/365))+(L22*($E22/365))+(L23*($E23/365))</f>
        <v>13.928245270711024</v>
      </c>
      <c r="D85" s="5">
        <f>(M21*($E21/365))+(M22*($E22/365))+(M23*($E23/365))</f>
        <v>0</v>
      </c>
      <c r="E85" s="24">
        <f t="shared" si="38"/>
        <v>73.393346379647738</v>
      </c>
      <c r="G85" s="1">
        <v>1999</v>
      </c>
      <c r="H85" s="409">
        <f>(O21/$R21*100*($E21/365))+(O22/$R22*100*($E22/365))+(O23/$R23*100*($E23/365))</f>
        <v>83.817427385892117</v>
      </c>
      <c r="I85" s="409"/>
      <c r="J85" s="409">
        <f>(P21/$R21*100*($E21/365))+(P22/$R22*100*($E22/365))+(P23/$R23*100*($E23/365))</f>
        <v>16.182572614107883</v>
      </c>
      <c r="K85" s="409"/>
      <c r="L85" s="409">
        <f>(Q21/$R21*100*($E21/365))+(Q22/$R22*100*($E22/365))+(Q23/$R23*100*($E23/365))</f>
        <v>0</v>
      </c>
      <c r="M85" s="409"/>
      <c r="N85" s="424">
        <f t="shared" si="39"/>
        <v>100</v>
      </c>
      <c r="O85" s="424"/>
      <c r="R85" s="1">
        <v>1999</v>
      </c>
      <c r="S85" s="5">
        <f>(O21*($E21/365))+(O22*($E22/365))+(O23*($E23/365))</f>
        <v>60.599999999999994</v>
      </c>
      <c r="T85" s="5">
        <f>(P21*($E21/365))+(P22*($E22/365))+(P23*($E23/365))</f>
        <v>11.7</v>
      </c>
      <c r="U85" s="5">
        <f>(Q21*($E21/365))+(Q22*($E22/365))+(Q23*($E23/365))</f>
        <v>0</v>
      </c>
      <c r="W85" s="5">
        <f t="shared" si="40"/>
        <v>72.3</v>
      </c>
    </row>
    <row r="86" spans="1:23" x14ac:dyDescent="0.15">
      <c r="A86" s="1">
        <v>2000</v>
      </c>
      <c r="B86" s="5">
        <f>(K24*($E24/366))+(K25*($E25/366))</f>
        <v>50</v>
      </c>
      <c r="C86" s="5">
        <f>(L24*($E24/366))+(L25*($E25/366))</f>
        <v>19.437939110070257</v>
      </c>
      <c r="D86" s="5">
        <f>(M24*($E24/366))+(M25*($E25/366))</f>
        <v>0</v>
      </c>
      <c r="E86" s="24">
        <f t="shared" si="38"/>
        <v>69.437939110070261</v>
      </c>
      <c r="G86" s="1">
        <v>2000</v>
      </c>
      <c r="H86" s="409">
        <f>(O24/$R24*100*($E24/366))+(O25/$R25*100*($E25/366))</f>
        <v>78.448010559367148</v>
      </c>
      <c r="I86" s="409"/>
      <c r="J86" s="409">
        <f>(P24/$R24*100*($E24/366))+(P25/$R25*100*($E25/366))</f>
        <v>21.551989440632859</v>
      </c>
      <c r="K86" s="409"/>
      <c r="L86" s="409">
        <f>(Q24/$R24*100*($E24/366))+(Q25/$R25*100*($E25/366))</f>
        <v>0</v>
      </c>
      <c r="M86" s="409"/>
      <c r="N86" s="424">
        <f t="shared" si="39"/>
        <v>100</v>
      </c>
      <c r="O86" s="424"/>
      <c r="R86" s="1">
        <v>2000</v>
      </c>
      <c r="S86" s="5">
        <f>(O24*($E24/366))+(O25*($E25/366))</f>
        <v>53.891803278688528</v>
      </c>
      <c r="T86" s="5">
        <f>(P24*($E24/366))+(P25*($E25/366))</f>
        <v>13.178688524590164</v>
      </c>
      <c r="U86" s="5">
        <f>(Q24*($E24/366))+(Q25*($E25/366))</f>
        <v>0</v>
      </c>
      <c r="W86" s="5">
        <f t="shared" si="40"/>
        <v>67.070491803278685</v>
      </c>
    </row>
    <row r="87" spans="1:23" x14ac:dyDescent="0.15">
      <c r="A87" s="1">
        <v>2001</v>
      </c>
      <c r="B87" s="5">
        <f xml:space="preserve"> (K26*($E26/365))+(K27*($E27/365))</f>
        <v>25.342465753424658</v>
      </c>
      <c r="C87" s="5">
        <f xml:space="preserve"> (L26*($E26/365))+(L27*($E27/365))</f>
        <v>42.857142857142854</v>
      </c>
      <c r="D87" s="5">
        <f xml:space="preserve"> (M26*($E26/365))+(M27*($E27/365))</f>
        <v>14.090019569471622</v>
      </c>
      <c r="E87" s="24">
        <f t="shared" si="38"/>
        <v>82.289628180039131</v>
      </c>
      <c r="G87" s="1">
        <v>2001</v>
      </c>
      <c r="H87" s="409">
        <f>(O26/$R26*100*($E26/365))+(O27/$R27*100*($E27/365))</f>
        <v>27.390932962131039</v>
      </c>
      <c r="I87" s="409"/>
      <c r="J87" s="409">
        <f>(P26/$R26*100*($E26/365))+(P27/$R27*100*($E27/365))</f>
        <v>41.501231624749792</v>
      </c>
      <c r="K87" s="409"/>
      <c r="L87" s="409">
        <f>(Q26/$R26*100*($E26/365))+(Q27/$R27*100*($E27/365))</f>
        <v>31.107835413119169</v>
      </c>
      <c r="M87" s="409"/>
      <c r="N87" s="424">
        <f t="shared" si="39"/>
        <v>100</v>
      </c>
      <c r="O87" s="424"/>
      <c r="R87" s="1">
        <v>2001</v>
      </c>
      <c r="S87" s="5">
        <f xml:space="preserve"> (O26*($E26/365))+(O27*($E27/365))</f>
        <v>11.860273972602739</v>
      </c>
      <c r="T87" s="5">
        <f xml:space="preserve"> (P26*($E26/365))+(P27*($E27/365))</f>
        <v>19.899999999999999</v>
      </c>
      <c r="U87" s="5">
        <f xml:space="preserve"> (Q26*($E26/365))+(Q27*($E27/365))</f>
        <v>16.767123287671232</v>
      </c>
      <c r="W87" s="5">
        <f t="shared" si="40"/>
        <v>48.527397260273972</v>
      </c>
    </row>
    <row r="88" spans="1:23" x14ac:dyDescent="0.15">
      <c r="A88" s="1">
        <v>2002</v>
      </c>
      <c r="B88" s="5">
        <f xml:space="preserve"> (K28*($E28/365))+(K29*($E29/365))</f>
        <v>0</v>
      </c>
      <c r="C88" s="5">
        <f xml:space="preserve"> (L28*($E28/365))+(L29*($E29/365))</f>
        <v>42.857142857142854</v>
      </c>
      <c r="D88" s="5">
        <f xml:space="preserve"> (M28*($E28/365))+(M29*($E29/365))</f>
        <v>28.571428571428569</v>
      </c>
      <c r="E88" s="24">
        <f t="shared" si="38"/>
        <v>71.428571428571416</v>
      </c>
      <c r="G88" s="1">
        <v>2002</v>
      </c>
      <c r="H88" s="409">
        <f>(O28/$R28*100*($E28/365))+(O29/$R29*100*($E29/365))</f>
        <v>0</v>
      </c>
      <c r="I88" s="409"/>
      <c r="J88" s="409">
        <f>(P28/$R28*100*($E28/365))+(P29/$R29*100*($E29/365))</f>
        <v>36.920222634508349</v>
      </c>
      <c r="K88" s="409"/>
      <c r="L88" s="409">
        <f>(Q28/$R28*100*($E28/365))+(Q29/$R29*100*($E29/365))</f>
        <v>63.079777365491651</v>
      </c>
      <c r="M88" s="409"/>
      <c r="N88" s="424">
        <f t="shared" si="39"/>
        <v>100</v>
      </c>
      <c r="O88" s="424"/>
      <c r="R88" s="1">
        <v>2002</v>
      </c>
      <c r="S88" s="5">
        <f xml:space="preserve"> (O28*($E28/365))+(O29*($E29/365))</f>
        <v>0</v>
      </c>
      <c r="T88" s="5">
        <f xml:space="preserve"> (P28*($E28/365))+(P29*($E29/365))</f>
        <v>19.899999999999999</v>
      </c>
      <c r="U88" s="5">
        <f xml:space="preserve"> (Q28*($E28/365))+(Q29*($E29/365))</f>
        <v>34</v>
      </c>
      <c r="W88" s="5">
        <f t="shared" si="40"/>
        <v>53.9</v>
      </c>
    </row>
    <row r="89" spans="1:23" x14ac:dyDescent="0.15">
      <c r="A89" s="1">
        <v>2003</v>
      </c>
      <c r="B89" s="5">
        <f xml:space="preserve"> (K30*($E30/365))+(K31*($E31/365))</f>
        <v>0</v>
      </c>
      <c r="C89" s="5">
        <f xml:space="preserve"> (L30*($E30/365))+(L31*($E31/365))</f>
        <v>36.966731898238748</v>
      </c>
      <c r="D89" s="5">
        <f xml:space="preserve"> (M30*($E30/365))+(M31*($E31/365))</f>
        <v>34.461839530332682</v>
      </c>
      <c r="E89" s="24">
        <f t="shared" si="38"/>
        <v>71.428571428571431</v>
      </c>
      <c r="G89" s="1">
        <v>2003</v>
      </c>
      <c r="H89" s="409">
        <f>(O30/$R30*100*($E30/365))+(O31/$R31*100*($E31/365))</f>
        <v>0</v>
      </c>
      <c r="I89" s="409"/>
      <c r="J89" s="409">
        <f>(P30/$R30*100*($E30/365))+(P31/$R31*100*($E31/365))</f>
        <v>36.920222634508349</v>
      </c>
      <c r="K89" s="409"/>
      <c r="L89" s="409">
        <f>(Q30/$R30*100*($E30/365))+(Q31/$R31*100*($E31/365))</f>
        <v>63.079777365491658</v>
      </c>
      <c r="M89" s="409"/>
      <c r="N89" s="424">
        <f t="shared" si="39"/>
        <v>100</v>
      </c>
      <c r="O89" s="424"/>
      <c r="R89" s="1">
        <v>2003</v>
      </c>
      <c r="S89" s="5">
        <f xml:space="preserve"> (O30*($E30/365))+(O31*($E31/365))</f>
        <v>0</v>
      </c>
      <c r="T89" s="5">
        <f xml:space="preserve"> (P30*($E30/365))+(P31*($E31/365))</f>
        <v>19.900000000000002</v>
      </c>
      <c r="U89" s="5">
        <f xml:space="preserve"> (Q30*($E30/365))+(Q31*($E31/365))</f>
        <v>34</v>
      </c>
      <c r="W89" s="5">
        <f t="shared" si="40"/>
        <v>53.900000000000006</v>
      </c>
    </row>
    <row r="90" spans="1:23" x14ac:dyDescent="0.15">
      <c r="A90" s="1">
        <v>2004</v>
      </c>
      <c r="B90" s="5">
        <f xml:space="preserve"> (K32*($E32/366))+(K33*($E33/366))+(K34*($E34/366))</f>
        <v>0</v>
      </c>
      <c r="C90" s="5">
        <f xml:space="preserve"> (L32*($E32/366))+(L33*($E33/366))+(L34*($E34/366))</f>
        <v>34.660421545667447</v>
      </c>
      <c r="D90" s="5">
        <f xml:space="preserve"> (M32*($E32/366))+(M33*($E33/366))+(M34*($E34/366))</f>
        <v>42.544886807181889</v>
      </c>
      <c r="E90" s="24">
        <f t="shared" si="38"/>
        <v>77.205308352849329</v>
      </c>
      <c r="G90" s="1">
        <v>2004</v>
      </c>
      <c r="H90" s="409">
        <f>(O32/$R32*100*($E32/366))+(O33/$R33*100*($E33/366))+(O34/$R34*100*($E34/366))</f>
        <v>0</v>
      </c>
      <c r="I90" s="409"/>
      <c r="J90" s="409">
        <f>(P32/$R32*100*($E32/366))+(P33/$R33*100*($E33/366))+(P34/$R34*100*($E34/366))</f>
        <v>35.779837637706159</v>
      </c>
      <c r="K90" s="409"/>
      <c r="L90" s="409">
        <f>(Q32/$R32*100*($E32/366))+(Q33/$R33*100*($E33/366))+(Q34/$R34*100*($E34/366))</f>
        <v>64.220162362293848</v>
      </c>
      <c r="M90" s="409"/>
      <c r="N90" s="424">
        <f t="shared" si="39"/>
        <v>100</v>
      </c>
      <c r="O90" s="424"/>
      <c r="R90" s="1">
        <v>2004</v>
      </c>
      <c r="S90" s="5">
        <f xml:space="preserve"> (O32*($E32/366))+(O33*($E33/366))+(O34*($E34/366))</f>
        <v>0</v>
      </c>
      <c r="T90" s="5">
        <f xml:space="preserve"> (P32*($E32/366))+(P33*($E33/366))+(P34*($E34/366))</f>
        <v>19.304918032786883</v>
      </c>
      <c r="U90" s="5">
        <f xml:space="preserve"> (Q32*($E32/366))+(Q33*($E33/366))+(Q34*($E34/366))</f>
        <v>34.73770491803279</v>
      </c>
      <c r="W90" s="5">
        <f t="shared" si="40"/>
        <v>54.042622950819677</v>
      </c>
    </row>
    <row r="91" spans="1:23" x14ac:dyDescent="0.15">
      <c r="A91" s="1">
        <v>2005</v>
      </c>
      <c r="B91" s="5">
        <f xml:space="preserve"> (K35*($E35/365))+(K36*($E36/365))</f>
        <v>0</v>
      </c>
      <c r="C91" s="5">
        <f xml:space="preserve"> (L35*($E35/365))+(L36*($E36/365))</f>
        <v>14.285714285714285</v>
      </c>
      <c r="D91" s="5">
        <f xml:space="preserve"> (M35*($E35/365))+(M36*($E36/365))</f>
        <v>85.714285714285708</v>
      </c>
      <c r="E91" s="24">
        <f t="shared" si="38"/>
        <v>100</v>
      </c>
      <c r="G91" s="1">
        <v>2005</v>
      </c>
      <c r="H91" s="409">
        <f>(O35/$R35*100*($E35/365))+(O36/$R36*100*($E36/365))</f>
        <v>0</v>
      </c>
      <c r="I91" s="409"/>
      <c r="J91" s="409">
        <f>(P35/$R35*100*($E35/365))+(P36/$R36*100*($E36/365))</f>
        <v>13.732394366197184</v>
      </c>
      <c r="K91" s="409"/>
      <c r="L91" s="409">
        <f>(Q35/$R35*100*($E35/365))+(Q36/$R36*100*($E36/365))</f>
        <v>86.26760563380283</v>
      </c>
      <c r="M91" s="409"/>
      <c r="N91" s="424">
        <f t="shared" si="39"/>
        <v>100.00000000000001</v>
      </c>
      <c r="O91" s="424"/>
      <c r="R91" s="1">
        <v>2005</v>
      </c>
      <c r="S91" s="5">
        <f xml:space="preserve"> (O35*($E35/365))+(O36*($E36/365))</f>
        <v>0</v>
      </c>
      <c r="T91" s="5">
        <f xml:space="preserve"> (P35*($E35/365))+(P36*($E36/365))</f>
        <v>7.8</v>
      </c>
      <c r="U91" s="5">
        <f xml:space="preserve"> (Q35*($E35/365))+(Q36*($E36/365))</f>
        <v>49</v>
      </c>
      <c r="W91" s="5">
        <f t="shared" si="40"/>
        <v>56.8</v>
      </c>
    </row>
    <row r="92" spans="1:23" x14ac:dyDescent="0.15">
      <c r="A92" s="1">
        <v>2006</v>
      </c>
      <c r="B92" s="5">
        <f xml:space="preserve"> (K37*($E37/365))+(K38*($E38/365))+(K39*($E39/365))</f>
        <v>6.5362035225048922</v>
      </c>
      <c r="C92" s="5">
        <f xml:space="preserve"> (L37*($E37/365))+(L38*($E38/365))+(L39*($E39/365))</f>
        <v>6.2230919765166339</v>
      </c>
      <c r="D92" s="5">
        <f xml:space="preserve"> (M37*($E37/365))+(M38*($E38/365))+(M39*($E39/365))</f>
        <v>87.240704500978467</v>
      </c>
      <c r="E92" s="24">
        <f t="shared" si="38"/>
        <v>100</v>
      </c>
      <c r="G92" s="1">
        <v>2006</v>
      </c>
      <c r="H92" s="409">
        <f>(O37/$R37*100*($E37/365))+(O38/$R38*100*($E38/365))+(O39/$R39*100*($E39/365))</f>
        <v>12.513757171291418</v>
      </c>
      <c r="I92" s="409"/>
      <c r="J92" s="409">
        <f>(P37/$R37*100*($E37/365))+(P38/$R38*100*($E38/365))+(P39/$R39*100*($E39/365))</f>
        <v>7.4493536561836775</v>
      </c>
      <c r="K92" s="409"/>
      <c r="L92" s="409">
        <f>(Q37/$R37*100*($E37/365))+(Q38/$R38*100*($E38/365))+(Q39/$R39*100*($E39/365))</f>
        <v>80.036889172524923</v>
      </c>
      <c r="M92" s="409"/>
      <c r="N92" s="424">
        <f t="shared" si="39"/>
        <v>100.00000000000001</v>
      </c>
      <c r="O92" s="424"/>
      <c r="R92" s="1">
        <v>2006</v>
      </c>
      <c r="S92" s="5">
        <f xml:space="preserve"> (O37*($E37/365))+(O38*($E38/365))+(O39*($E39/365))</f>
        <v>5.856438356164384</v>
      </c>
      <c r="T92" s="5">
        <f xml:space="preserve"> (P37*($E37/365))+(P38*($E38/365))+(P39*($E39/365))</f>
        <v>4.231232876712328</v>
      </c>
      <c r="U92" s="5">
        <f xml:space="preserve"> (Q37*($E37/365))+(Q38*($E38/365))+(Q39*($E39/365))</f>
        <v>42.136986301369866</v>
      </c>
      <c r="W92" s="5">
        <f t="shared" si="40"/>
        <v>52.224657534246575</v>
      </c>
    </row>
    <row r="93" spans="1:23" x14ac:dyDescent="0.15">
      <c r="A93" s="1">
        <v>2007</v>
      </c>
      <c r="B93" s="5">
        <f xml:space="preserve"> (K40*($E40/365))+(K41*($E41/365))</f>
        <v>14.285714285714285</v>
      </c>
      <c r="C93" s="5">
        <f xml:space="preserve"> (L40*($E40/365))+(L41*($E41/365))</f>
        <v>0</v>
      </c>
      <c r="D93" s="5">
        <f xml:space="preserve"> (M40*($E40/365))+(M41*($E41/365))</f>
        <v>85.714285714285708</v>
      </c>
      <c r="E93" s="24">
        <f t="shared" si="38"/>
        <v>100</v>
      </c>
      <c r="G93" s="1">
        <v>2007</v>
      </c>
      <c r="H93" s="409">
        <f>(O40/$R40*100*($E40/365))+(O41/$R41*100*($E41/365))</f>
        <v>27.350427350427353</v>
      </c>
      <c r="I93" s="409"/>
      <c r="J93" s="409">
        <f>(P40/$R40*100*($E40/365))+(P41/$R41*100*($E41/365))</f>
        <v>0</v>
      </c>
      <c r="K93" s="409"/>
      <c r="L93" s="409">
        <f>(Q40/$R40*100*($E40/365))+(Q41/$R41*100*($E41/365))</f>
        <v>72.649572649572661</v>
      </c>
      <c r="M93" s="409"/>
      <c r="N93" s="424">
        <f t="shared" si="39"/>
        <v>100.00000000000001</v>
      </c>
      <c r="O93" s="424"/>
      <c r="R93" s="1">
        <v>2007</v>
      </c>
      <c r="S93" s="5">
        <f xml:space="preserve"> (O40*($E40/365))+(O41*($E41/365))</f>
        <v>12.8</v>
      </c>
      <c r="T93" s="5">
        <f xml:space="preserve"> (P40*($E40/365))+(P41*($E41/365))</f>
        <v>0</v>
      </c>
      <c r="U93" s="5">
        <f xml:space="preserve"> (Q40*($E40/365))+(Q41*($E41/365))</f>
        <v>34</v>
      </c>
      <c r="W93" s="5">
        <f t="shared" si="40"/>
        <v>46.8</v>
      </c>
    </row>
    <row r="94" spans="1:23" x14ac:dyDescent="0.15">
      <c r="A94" s="1">
        <v>2008</v>
      </c>
      <c r="B94" s="5">
        <f xml:space="preserve"> (K42*($E42/366))+(K43*($E43/366))+(K44*($E44/366))+(K45*($E45/366))</f>
        <v>14.519906323185012</v>
      </c>
      <c r="C94" s="5">
        <f xml:space="preserve"> (L42*($E42/366))+(L43*($E43/366))+(L44*($E44/366))+(L45*($E45/366))</f>
        <v>10.792349726775956</v>
      </c>
      <c r="D94" s="5">
        <f xml:space="preserve"> (M42*($E42/366))+(M43*($E43/366))+(M44*($E44/366))+(M45*($E45/366))</f>
        <v>74.687743950039021</v>
      </c>
      <c r="E94" s="24">
        <f t="shared" si="38"/>
        <v>99.999999999999986</v>
      </c>
      <c r="G94" s="1">
        <v>2008</v>
      </c>
      <c r="H94" s="409">
        <f>(O42/$R42*100*($E42/366))+(O43/$R43*100*($E43/366))+(O44/$R44*100*($E44/366))+(O45/$R45*100*($E45/366))</f>
        <v>23.972657579214957</v>
      </c>
      <c r="I94" s="409"/>
      <c r="J94" s="409">
        <f>(P42/$R42*100*($E42/366))+(P43/$R43*100*($E43/366))+(P44/$R44*100*($E44/366))+(P45/$R45*100*($E45/366))</f>
        <v>13.075722092115534</v>
      </c>
      <c r="K94" s="409"/>
      <c r="L94" s="409">
        <f>(Q42/$R42*100*($E42/366))+(Q43/$R43*100*($E43/366))+(Q44/$R44*100*($E44/366))+(Q45/$R45*100*($E45/366))</f>
        <v>62.951620328669506</v>
      </c>
      <c r="M94" s="409"/>
      <c r="N94" s="424">
        <f t="shared" si="39"/>
        <v>100</v>
      </c>
      <c r="O94" s="424"/>
      <c r="R94" s="1">
        <v>2008</v>
      </c>
      <c r="S94" s="5">
        <f xml:space="preserve"> (O42*($E42/366))+(O43*($E43/366))+(O44*($E44/366))+(O45*($E45/366))</f>
        <v>12.920218579234973</v>
      </c>
      <c r="T94" s="5">
        <f xml:space="preserve"> (P42*($E42/366))+(P43*($E43/366))+(P44*($E44/366))+(P45*($E45/366))</f>
        <v>7.139344262295082</v>
      </c>
      <c r="U94" s="5">
        <f xml:space="preserve"> (Q42*($E42/366))+(Q43*($E43/366))+(Q44*($E44/366))+(Q45*($E45/366))</f>
        <v>33.907103825136616</v>
      </c>
      <c r="W94" s="5">
        <f t="shared" si="40"/>
        <v>53.966666666666669</v>
      </c>
    </row>
    <row r="95" spans="1:23" x14ac:dyDescent="0.15">
      <c r="A95" s="1">
        <v>2009</v>
      </c>
      <c r="B95" s="5">
        <f xml:space="preserve"> (K46*($E46/365))+(K47*($E47/365))</f>
        <v>96.748858447488573</v>
      </c>
      <c r="C95" s="5">
        <f xml:space="preserve"> (L46*($E46/365))+(L47*($E47/365))</f>
        <v>0</v>
      </c>
      <c r="D95" s="5">
        <f xml:space="preserve"> (M46*($E46/365))+(M47*($E47/365))</f>
        <v>0</v>
      </c>
      <c r="E95" s="24">
        <f t="shared" si="38"/>
        <v>96.748858447488573</v>
      </c>
      <c r="G95" s="1">
        <v>2009</v>
      </c>
      <c r="H95" s="409">
        <f>(O46/$R46*100*($E46/365))+(O47/$R47*100*($E47/365))</f>
        <v>100</v>
      </c>
      <c r="I95" s="409"/>
      <c r="J95" s="409">
        <f>(P46/$R46*100*($E46/365))+(P47/$R47*100*($E47/365))</f>
        <v>0</v>
      </c>
      <c r="K95" s="409"/>
      <c r="L95" s="409">
        <f>(Q46/$R46*100*($E46/365))+(Q47/$R47*100*($E47/365))</f>
        <v>0</v>
      </c>
      <c r="M95" s="409"/>
      <c r="N95" s="424">
        <f t="shared" si="39"/>
        <v>100</v>
      </c>
      <c r="O95" s="424"/>
      <c r="R95" s="1">
        <v>2009</v>
      </c>
      <c r="S95" s="5">
        <f xml:space="preserve"> (O46*($E46/365))+(O47*($E47/365))</f>
        <v>56.8</v>
      </c>
      <c r="T95" s="5">
        <f xml:space="preserve"> (P46*($E46/365))+(P47*($E47/365))</f>
        <v>0</v>
      </c>
      <c r="U95" s="5">
        <f xml:space="preserve"> (Q46*($E46/365))+(Q47*($E47/365))</f>
        <v>0</v>
      </c>
      <c r="W95" s="5">
        <f t="shared" si="40"/>
        <v>56.8</v>
      </c>
    </row>
    <row r="96" spans="1:23" x14ac:dyDescent="0.15">
      <c r="A96" s="1">
        <v>2010</v>
      </c>
      <c r="B96" s="5">
        <f xml:space="preserve"> (K48*($E48/365))+(K49*($E49/365))</f>
        <v>93.333333333333329</v>
      </c>
      <c r="C96" s="5">
        <f xml:space="preserve"> (L48*($E48/365))+(L49*($E49/365))</f>
        <v>0</v>
      </c>
      <c r="D96" s="5">
        <f xml:space="preserve"> (M48*($E48/365))+(M49*($E49/365))</f>
        <v>0</v>
      </c>
      <c r="E96" s="24">
        <f t="shared" si="38"/>
        <v>93.333333333333329</v>
      </c>
      <c r="G96" s="1">
        <v>2010</v>
      </c>
      <c r="H96" s="409">
        <f>(O48/$R48*100*($E48/365))+(O49/$R49*100*($E49/365))</f>
        <v>100</v>
      </c>
      <c r="I96" s="409"/>
      <c r="J96" s="409">
        <f>(P48/$R48*100*($E48/365))+(P49/$R49*100*($E49/365))</f>
        <v>0</v>
      </c>
      <c r="K96" s="409"/>
      <c r="L96" s="409">
        <f>(Q48/$R48*100*($E48/365))+(Q49/$R49*100*($E49/365))</f>
        <v>0</v>
      </c>
      <c r="M96" s="409"/>
      <c r="N96" s="424">
        <f t="shared" si="39"/>
        <v>100</v>
      </c>
      <c r="O96" s="424"/>
      <c r="R96" s="1">
        <v>2010</v>
      </c>
      <c r="S96" s="5">
        <f xml:space="preserve"> (O48*($E48/365))+(O49*($E49/365))</f>
        <v>56.8</v>
      </c>
      <c r="T96" s="5">
        <f xml:space="preserve"> (P48*($E48/365))+(P49*($E49/365))</f>
        <v>0</v>
      </c>
      <c r="U96" s="5">
        <f xml:space="preserve"> (Q48*($E48/365))+(Q49*($E49/365))</f>
        <v>0</v>
      </c>
      <c r="W96" s="5">
        <f t="shared" si="40"/>
        <v>56.8</v>
      </c>
    </row>
    <row r="97" spans="1:23" x14ac:dyDescent="0.15">
      <c r="A97" s="1">
        <v>2011</v>
      </c>
      <c r="B97" s="5">
        <f xml:space="preserve"> (K50*($E50/365))+(K51*($E51/365))</f>
        <v>93.333333333333329</v>
      </c>
      <c r="C97" s="5">
        <f xml:space="preserve"> (L50*($E50/365))+(L51*($E51/365))</f>
        <v>0</v>
      </c>
      <c r="D97" s="5">
        <f xml:space="preserve"> (M50*($E50/365))+(M51*($E51/365))</f>
        <v>0</v>
      </c>
      <c r="E97" s="24">
        <f t="shared" si="38"/>
        <v>93.333333333333329</v>
      </c>
      <c r="G97" s="1">
        <v>2011</v>
      </c>
      <c r="H97" s="409">
        <f>(O50/$R50*100*($E50/365))+(O51/$R51*100*($E51/365))</f>
        <v>100</v>
      </c>
      <c r="I97" s="409"/>
      <c r="J97" s="409">
        <f>(P50/$R50*100*($E50/365))+(P51/$R51*100*($E51/365))</f>
        <v>0</v>
      </c>
      <c r="K97" s="409"/>
      <c r="L97" s="409">
        <f>(Q50/$R50*100*($E50/365))+(Q51/$R51*100*($E51/365))</f>
        <v>0</v>
      </c>
      <c r="M97" s="409"/>
      <c r="N97" s="424">
        <f t="shared" si="39"/>
        <v>100</v>
      </c>
      <c r="O97" s="424"/>
      <c r="R97" s="1">
        <v>2011</v>
      </c>
      <c r="S97" s="5">
        <f xml:space="preserve"> (O50*($E50/365))+(O51*($E51/365))</f>
        <v>56.8</v>
      </c>
      <c r="T97" s="5">
        <f xml:space="preserve"> (P50*($E50/365))+(P51*($E51/365))</f>
        <v>0</v>
      </c>
      <c r="U97" s="5">
        <f xml:space="preserve"> (Q50*($E50/365))+(Q51*($E51/365))</f>
        <v>0</v>
      </c>
      <c r="W97" s="5">
        <f t="shared" si="40"/>
        <v>56.8</v>
      </c>
    </row>
    <row r="98" spans="1:23" x14ac:dyDescent="0.15">
      <c r="A98" s="1">
        <v>2012</v>
      </c>
      <c r="B98" s="5">
        <f xml:space="preserve"> (K52*($E52/366))+(K53*($E53/366))</f>
        <v>88.961748633879793</v>
      </c>
      <c r="C98" s="5">
        <f xml:space="preserve"> (L52*($E52/366))+(L53*($E53/366))</f>
        <v>0.36429872495446264</v>
      </c>
      <c r="D98" s="5">
        <f xml:space="preserve"> (M52*($E52/366))+(M53*($E53/366))</f>
        <v>4.3715846994535514</v>
      </c>
      <c r="E98" s="24">
        <f t="shared" si="38"/>
        <v>93.697632058287809</v>
      </c>
      <c r="G98" s="1">
        <v>2012</v>
      </c>
      <c r="H98" s="409">
        <f>(O52/$R52*100*($E52/366))+(O53/$R53*100*($E53/366))</f>
        <v>95.242367397982775</v>
      </c>
      <c r="I98" s="409"/>
      <c r="J98" s="409">
        <f>(P52/$R52*100*($E52/366))+(P53/$R53*100*($E53/366))</f>
        <v>0.51654296821901424</v>
      </c>
      <c r="K98" s="409"/>
      <c r="L98" s="409">
        <f>(Q52/$R52*100*($E52/366))+(Q53/$R53*100*($E53/366))</f>
        <v>4.2410896337982216</v>
      </c>
      <c r="M98" s="409"/>
      <c r="N98" s="424">
        <f t="shared" si="39"/>
        <v>100.00000000000001</v>
      </c>
      <c r="O98" s="424"/>
      <c r="R98" s="1">
        <v>2012</v>
      </c>
      <c r="S98" s="5">
        <f xml:space="preserve"> (O52*($E52/366))+(O53*($E53/366))</f>
        <v>54.1224043715847</v>
      </c>
      <c r="T98" s="5">
        <f xml:space="preserve"> (P52*($E52/366))+(P53*($E53/366))</f>
        <v>0.31147540983606559</v>
      </c>
      <c r="U98" s="5">
        <f xml:space="preserve"> (Q52*($E52/366))+(Q53*($E53/366))</f>
        <v>2.5573770491803276</v>
      </c>
      <c r="W98" s="5">
        <f t="shared" si="40"/>
        <v>56.991256830601088</v>
      </c>
    </row>
    <row r="99" spans="1:23" x14ac:dyDescent="0.15">
      <c r="A99" s="1">
        <v>2013</v>
      </c>
      <c r="B99" s="5">
        <f xml:space="preserve"> (K54*($E54/365))+(K55*($E55/365))</f>
        <v>13.333333333333334</v>
      </c>
      <c r="C99" s="5">
        <f xml:space="preserve"> (L54*($E54/365))+(L55*($E55/365))</f>
        <v>6.666666666666667</v>
      </c>
      <c r="D99" s="5">
        <f xml:space="preserve"> (M54*($E54/365))+(M55*($E55/365))</f>
        <v>80</v>
      </c>
      <c r="E99" s="24">
        <f>SUM(B99:D99)</f>
        <v>100</v>
      </c>
      <c r="G99" s="1">
        <v>2013</v>
      </c>
      <c r="H99" s="409">
        <f>(O54/$R54*100*($E54/365))+(O55/$R55*100*($E55/365))</f>
        <v>12.935323383084576</v>
      </c>
      <c r="I99" s="409"/>
      <c r="J99" s="409">
        <f>(P54/$R54*100*($E54/365))+(P55/$R55*100*($E55/365))</f>
        <v>9.4527363184079611</v>
      </c>
      <c r="K99" s="409"/>
      <c r="L99" s="409">
        <f>(Q54/$R54*100*($E54/365))+(Q55/$R55*100*($E55/365))</f>
        <v>77.611940298507463</v>
      </c>
      <c r="M99" s="409"/>
      <c r="N99" s="424">
        <f>H99+J99+L99</f>
        <v>100</v>
      </c>
      <c r="O99" s="424"/>
      <c r="R99" s="1">
        <v>2013</v>
      </c>
      <c r="S99" s="5">
        <f xml:space="preserve"> (O54*($E54/365))+(O55*($E55/365))</f>
        <v>7.8</v>
      </c>
      <c r="T99" s="5">
        <f xml:space="preserve"> (P54*($E54/365))+(P55*($E55/365))</f>
        <v>5.7</v>
      </c>
      <c r="U99" s="5">
        <f xml:space="preserve"> (Q54*($E54/365))+(Q55*($E55/365))</f>
        <v>46.8</v>
      </c>
      <c r="W99" s="5">
        <f>S99+T99+U99</f>
        <v>60.3</v>
      </c>
    </row>
    <row r="100" spans="1:23" x14ac:dyDescent="0.15">
      <c r="A100" s="1">
        <v>2014</v>
      </c>
      <c r="B100" s="5">
        <f xml:space="preserve"> (K56*($E56/365))+(K57*($E57/365))</f>
        <v>13.333333333333334</v>
      </c>
      <c r="C100" s="5">
        <f xml:space="preserve"> (L56*($E56/365))+(L57*($E57/365))</f>
        <v>4.8767123287671232</v>
      </c>
      <c r="D100" s="5">
        <f xml:space="preserve"> (M56*($E56/365))+(M57*($E57/365))</f>
        <v>81.789954337899545</v>
      </c>
      <c r="E100" s="24">
        <f>SUM(B100:D100)</f>
        <v>100</v>
      </c>
      <c r="G100" s="1">
        <v>2014</v>
      </c>
      <c r="H100" s="409">
        <f>(O56/$R56*100*($E56/365))+(O57/$R57*100*($E57/365))</f>
        <v>13.556322149091324</v>
      </c>
      <c r="I100" s="409"/>
      <c r="J100" s="409">
        <f>(P56/$R56*100*($E56/365))+(P57/$R57*100*($E57/365))</f>
        <v>6.9147413616847277</v>
      </c>
      <c r="K100" s="409"/>
      <c r="L100" s="409">
        <f>(Q56/$R56*100*($E56/365))+(Q57/$R57*100*($E57/365))</f>
        <v>79.528936489223952</v>
      </c>
      <c r="M100" s="409"/>
      <c r="N100" s="424">
        <f>H100+J100+L100</f>
        <v>100</v>
      </c>
      <c r="O100" s="424"/>
      <c r="R100" s="1">
        <v>2014</v>
      </c>
      <c r="S100" s="5">
        <f xml:space="preserve"> (O56*($E56/365))+(O57*($E57/365))</f>
        <v>8.0147945205479445</v>
      </c>
      <c r="T100" s="5">
        <f xml:space="preserve"> (P56*($E56/365))+(P57*($E57/365))</f>
        <v>4.1695890410958905</v>
      </c>
      <c r="U100" s="5">
        <f xml:space="preserve"> (Q56*($E56/365))+(Q57*($E57/365))</f>
        <v>47.06849315068493</v>
      </c>
      <c r="W100" s="5">
        <f>S100+T100+U100</f>
        <v>59.252876712328764</v>
      </c>
    </row>
    <row r="101" spans="1:23" x14ac:dyDescent="0.15">
      <c r="A101" s="1">
        <v>2015</v>
      </c>
      <c r="B101" s="5">
        <f xml:space="preserve"> (K58*($E58/365))+(K59*($E59/365))</f>
        <v>13.333333333333334</v>
      </c>
      <c r="C101" s="5">
        <f xml:space="preserve"> (L58*($E58/365))+(L59*($E59/365))</f>
        <v>0</v>
      </c>
      <c r="D101" s="5">
        <f xml:space="preserve"> (M58*($E58/365))+(M59*($E59/365))</f>
        <v>86.666666666666671</v>
      </c>
      <c r="E101" s="24">
        <f>SUM(B101:D101)</f>
        <v>100</v>
      </c>
      <c r="G101" s="1">
        <v>2015</v>
      </c>
      <c r="H101" s="409">
        <f>(O58/$R58*100*($E58/365))+(O59/$R59*100*($E59/365))</f>
        <v>15.24822695035461</v>
      </c>
      <c r="I101" s="409"/>
      <c r="J101" s="409">
        <f>(P58/$R58*100*($E58/365))+(P59/$R59*100*($E59/365))</f>
        <v>0</v>
      </c>
      <c r="K101" s="409"/>
      <c r="L101" s="409">
        <f>(Q58/$R58*100*($E58/365))+(Q59/$R59*100*($E59/365))</f>
        <v>84.751773049645379</v>
      </c>
      <c r="M101" s="409"/>
      <c r="N101" s="424">
        <f>H101+J101+L101</f>
        <v>99.999999999999986</v>
      </c>
      <c r="O101" s="424"/>
      <c r="R101" s="1">
        <v>2015</v>
      </c>
      <c r="S101" s="5">
        <f xml:space="preserve"> (O58*($E58/365))+(O59*($E59/365))</f>
        <v>8.6</v>
      </c>
      <c r="T101" s="5">
        <f xml:space="preserve"> (P58*($E58/365))+(P59*($E59/365))</f>
        <v>0</v>
      </c>
      <c r="U101" s="5">
        <f xml:space="preserve"> (Q58*($E58/365))+(Q59*($E59/365))</f>
        <v>47.8</v>
      </c>
      <c r="W101" s="5">
        <f>S101+T101+U101</f>
        <v>56.4</v>
      </c>
    </row>
    <row r="102" spans="1:23" x14ac:dyDescent="0.15">
      <c r="A102" s="1">
        <v>2016</v>
      </c>
      <c r="B102" s="5">
        <f xml:space="preserve"> (K60*($E60/366))+(K61*($E61/366))</f>
        <v>12.641165755919856</v>
      </c>
      <c r="C102" s="5">
        <f xml:space="preserve"> (L60*($E60/366))+(L61*($E61/366))</f>
        <v>0</v>
      </c>
      <c r="D102" s="5">
        <f xml:space="preserve"> (M60*($E60/366))+(M61*($E61/366))</f>
        <v>87.358834244080157</v>
      </c>
      <c r="E102" s="24">
        <f>SUM(B102:D102)</f>
        <v>100.00000000000001</v>
      </c>
      <c r="G102" s="1">
        <v>2016</v>
      </c>
      <c r="H102" s="409">
        <f>(O60/$R60*100*($E60/366))+(O61/$R61*100*($E61/366))</f>
        <v>14.45665232724877</v>
      </c>
      <c r="I102" s="409"/>
      <c r="J102" s="409">
        <f>(P60/$R60*100*($E60/366))+(P61/$R61*100*($E61/366))</f>
        <v>0</v>
      </c>
      <c r="K102" s="409"/>
      <c r="L102" s="409">
        <f>(Q60/$R60*100*($E60/366))+(Q61/$R61*100*($E61/366))</f>
        <v>85.543347672751224</v>
      </c>
      <c r="M102" s="409"/>
      <c r="N102" s="424">
        <f>H102+J102+L102</f>
        <v>100</v>
      </c>
      <c r="O102" s="424"/>
      <c r="R102" s="1">
        <v>2016</v>
      </c>
      <c r="S102" s="5">
        <f xml:space="preserve"> (O60*($E60/366))+(O61*($E61/366))</f>
        <v>8.1535519125683056</v>
      </c>
      <c r="T102" s="5">
        <f xml:space="preserve"> (P60*($E60/366))+(P61*($E61/366))</f>
        <v>0</v>
      </c>
      <c r="U102" s="5">
        <f xml:space="preserve"> (Q60*($E60/366))+(Q61*($E61/366))</f>
        <v>48.007650273224037</v>
      </c>
      <c r="W102" s="5">
        <f>S102+T102+U102</f>
        <v>56.161202185792341</v>
      </c>
    </row>
    <row r="103" spans="1:23" x14ac:dyDescent="0.15">
      <c r="A103" s="1">
        <v>2017</v>
      </c>
      <c r="B103" s="5">
        <f xml:space="preserve"> (K62*($E62/365))+(K63*($E63/365))</f>
        <v>0</v>
      </c>
      <c r="C103" s="5">
        <f xml:space="preserve"> (L62*($E62/365))+(L63*($E63/365))</f>
        <v>0</v>
      </c>
      <c r="D103" s="5">
        <f xml:space="preserve"> (M62*($E62/365))+(M63*($E63/365))</f>
        <v>100</v>
      </c>
      <c r="E103" s="24">
        <f>SUM(B103:D103)</f>
        <v>100</v>
      </c>
      <c r="G103" s="1">
        <v>2017</v>
      </c>
      <c r="H103" s="409">
        <f>(O62/$R62*100*($E62/365))+(O63/$R63*100*($E63/365))</f>
        <v>0</v>
      </c>
      <c r="I103" s="409"/>
      <c r="J103" s="409">
        <f>(P62/$R62*100*($E62/365))+(P63/$R63*100*($E63/365))</f>
        <v>0</v>
      </c>
      <c r="K103" s="409"/>
      <c r="L103" s="409">
        <f>(Q62/$R62*100*($E62/365))+(Q63/$R63*100*($E63/365))</f>
        <v>100</v>
      </c>
      <c r="M103" s="409"/>
      <c r="N103" s="424">
        <f>H103+J103+L103</f>
        <v>100</v>
      </c>
      <c r="O103" s="424"/>
      <c r="R103" s="1">
        <v>2017</v>
      </c>
      <c r="S103" s="5">
        <f xml:space="preserve"> (O62*($E62/365))+(O63*($E63/365))</f>
        <v>0</v>
      </c>
      <c r="T103" s="5">
        <f xml:space="preserve"> (P62*($E62/365))+(P63*($E63/365))</f>
        <v>0</v>
      </c>
      <c r="U103" s="5">
        <f xml:space="preserve"> (Q62*($E62/365))+(Q63*($E63/365))</f>
        <v>51.021369863013696</v>
      </c>
      <c r="W103" s="5">
        <f>S103+T103+U103</f>
        <v>51.021369863013696</v>
      </c>
    </row>
    <row r="104" spans="1:23" x14ac:dyDescent="0.15">
      <c r="A104" s="1">
        <v>2018</v>
      </c>
      <c r="B104" s="5">
        <f xml:space="preserve"> (K64*($E64/365))+(K65*($E65/365))</f>
        <v>0</v>
      </c>
      <c r="C104" s="5">
        <f xml:space="preserve"> (L64*($E64/365))+(L65*($E65/365))</f>
        <v>0</v>
      </c>
      <c r="D104" s="5">
        <f xml:space="preserve"> (M64*($E64/365))+(M65*($E65/365))</f>
        <v>100</v>
      </c>
      <c r="E104" s="24">
        <f t="shared" ref="E104" si="41">SUM(B104:D104)</f>
        <v>100</v>
      </c>
      <c r="G104" s="1">
        <v>2018</v>
      </c>
      <c r="H104" s="409">
        <f>(O64/$R64*100*($E64/365))+(O65/$R65*100*($E65/365))</f>
        <v>0</v>
      </c>
      <c r="I104" s="409"/>
      <c r="J104" s="409">
        <f>(P64/$R64*100*($E64/365))+(P65/$R65*100*($E65/365))</f>
        <v>0</v>
      </c>
      <c r="K104" s="409"/>
      <c r="L104" s="409">
        <f>(Q64/$R64*100*($E64/365))+(Q65/$R65*100*($E65/365))</f>
        <v>100</v>
      </c>
      <c r="M104" s="409"/>
      <c r="N104" s="424">
        <f t="shared" ref="N104" si="42">H104+J104+L104</f>
        <v>100</v>
      </c>
      <c r="O104" s="424"/>
      <c r="R104" s="1">
        <v>2018</v>
      </c>
      <c r="S104" s="5">
        <f xml:space="preserve"> (O64*($E64/365))+(O65*($E65/365))</f>
        <v>0</v>
      </c>
      <c r="T104" s="5">
        <f xml:space="preserve"> (P64*($E64/365))+(P65*($E65/365))</f>
        <v>0</v>
      </c>
      <c r="U104" s="5">
        <f xml:space="preserve"> (Q64*($E64/365))+(Q65*($E65/365))</f>
        <v>48.9</v>
      </c>
      <c r="W104" s="5">
        <f t="shared" ref="W104" si="43">S104+T104+U104</f>
        <v>48.9</v>
      </c>
    </row>
    <row r="105" spans="1:23" x14ac:dyDescent="0.15">
      <c r="A105" s="1">
        <v>2019</v>
      </c>
      <c r="B105" s="5">
        <f xml:space="preserve"> (K66*($E66/365))+(K67*($E67/365))</f>
        <v>0</v>
      </c>
      <c r="C105" s="5">
        <f xml:space="preserve"> (L66*($E66/365))+(L67*($E67/365))</f>
        <v>5.3698630136986303</v>
      </c>
      <c r="D105" s="5">
        <f xml:space="preserve"> (M66*($E66/365))+(M67*($E67/365))</f>
        <v>94.63013698630138</v>
      </c>
      <c r="E105" s="24">
        <f t="shared" ref="E105:E106" si="44">SUM(B105:D105)</f>
        <v>100.00000000000001</v>
      </c>
      <c r="G105" s="1">
        <v>2019</v>
      </c>
      <c r="H105" s="409">
        <f>(O66/$R66*100*($E66/365))+(O67/$R67*100*($E67/365))</f>
        <v>0</v>
      </c>
      <c r="I105" s="409"/>
      <c r="J105" s="409">
        <f>(P66/$R66*100*($E66/365))+(P67/$R67*100*($E67/365))</f>
        <v>4.204425711275027</v>
      </c>
      <c r="K105" s="409"/>
      <c r="L105" s="409">
        <f>(Q66/$R66*100*($E66/365))+(Q67/$R67*100*($E67/365))</f>
        <v>95.795574288724964</v>
      </c>
      <c r="M105" s="409"/>
      <c r="N105" s="424">
        <f t="shared" ref="N105" si="45">H105+J105+L105</f>
        <v>99.999999999999986</v>
      </c>
      <c r="O105" s="424"/>
      <c r="R105" s="1">
        <v>2019</v>
      </c>
      <c r="S105" s="5">
        <f xml:space="preserve"> (O66*($E66/365))+(O67*($E67/365))</f>
        <v>0</v>
      </c>
      <c r="T105" s="5">
        <f xml:space="preserve"> (P66*($E66/365))+(P67*($E67/365))</f>
        <v>2.2956164383561646</v>
      </c>
      <c r="U105" s="5">
        <f xml:space="preserve"> (Q66*($E66/365))+(Q67*($E67/365))</f>
        <v>48.9</v>
      </c>
      <c r="W105" s="5">
        <f t="shared" ref="W105:W106" si="46">S105+T105+U105</f>
        <v>51.195616438356161</v>
      </c>
    </row>
    <row r="106" spans="1:23" x14ac:dyDescent="0.15">
      <c r="A106" s="1">
        <v>2020</v>
      </c>
      <c r="B106" s="5">
        <f xml:space="preserve"> (K68*($E68/366))+(K69*($E69/366))</f>
        <v>5.7377049180327866</v>
      </c>
      <c r="C106" s="5">
        <f xml:space="preserve"> (L68*($E68/366))+(L69*($E69/366))</f>
        <v>12.568306010928962</v>
      </c>
      <c r="D106" s="5">
        <f xml:space="preserve"> (M68*($E68/366))+(M69*($E69/366))</f>
        <v>81.69398907103826</v>
      </c>
      <c r="E106" s="24">
        <f t="shared" si="44"/>
        <v>100</v>
      </c>
      <c r="G106" s="1">
        <v>2020</v>
      </c>
      <c r="H106" s="409">
        <f>(O68/$R68*100*($E68/366))+(O69/$R69*100*($E69/366))</f>
        <v>5.7377049180327866</v>
      </c>
      <c r="I106" s="409"/>
      <c r="J106" s="409">
        <f>(P68/$R68*100*($E68/366))+(P69/$R69*100*($E69/366))</f>
        <v>9.8405692667987754</v>
      </c>
      <c r="K106" s="409"/>
      <c r="L106" s="409">
        <f>(Q68/$R68*100*($E68/366))+(Q69/$R69*100*($E69/366))</f>
        <v>84.421725815168429</v>
      </c>
      <c r="M106" s="409"/>
      <c r="N106" s="424">
        <f t="shared" ref="N106" si="47">H106+J106+L106</f>
        <v>99.999999999999986</v>
      </c>
      <c r="O106" s="424"/>
      <c r="R106" s="1">
        <v>2020</v>
      </c>
      <c r="S106" s="5">
        <f xml:space="preserve"> (O68*($E68/366))+(O69*($E69/366))</f>
        <v>2.9721311475409835</v>
      </c>
      <c r="T106" s="5">
        <f xml:space="preserve"> (P68*($E68/366))+(P69*($E69/366))</f>
        <v>5.3729508196721314</v>
      </c>
      <c r="U106" s="5">
        <f xml:space="preserve"> (Q68*($E68/366))+(Q69*($E69/366))</f>
        <v>46.094262295081968</v>
      </c>
      <c r="W106" s="5">
        <f t="shared" si="46"/>
        <v>54.43934426229508</v>
      </c>
    </row>
  </sheetData>
  <mergeCells count="206">
    <mergeCell ref="N101:O101"/>
    <mergeCell ref="L100:M100"/>
    <mergeCell ref="N100:O100"/>
    <mergeCell ref="H96:I96"/>
    <mergeCell ref="H97:I97"/>
    <mergeCell ref="H98:I98"/>
    <mergeCell ref="N98:O98"/>
    <mergeCell ref="H99:I99"/>
    <mergeCell ref="J99:K99"/>
    <mergeCell ref="L99:M99"/>
    <mergeCell ref="N99:O99"/>
    <mergeCell ref="H100:I100"/>
    <mergeCell ref="J100:K100"/>
    <mergeCell ref="J97:K97"/>
    <mergeCell ref="L98:M98"/>
    <mergeCell ref="N96:O96"/>
    <mergeCell ref="J98:K98"/>
    <mergeCell ref="J96:K96"/>
    <mergeCell ref="N97:O97"/>
    <mergeCell ref="L96:M96"/>
    <mergeCell ref="H101:I101"/>
    <mergeCell ref="J101:K101"/>
    <mergeCell ref="L101:M101"/>
    <mergeCell ref="N93:O93"/>
    <mergeCell ref="L95:M95"/>
    <mergeCell ref="H94:I94"/>
    <mergeCell ref="N95:O95"/>
    <mergeCell ref="N94:O94"/>
    <mergeCell ref="L94:M94"/>
    <mergeCell ref="J93:K93"/>
    <mergeCell ref="J89:K89"/>
    <mergeCell ref="L93:M93"/>
    <mergeCell ref="L90:M90"/>
    <mergeCell ref="J91:K91"/>
    <mergeCell ref="L92:M92"/>
    <mergeCell ref="J90:K90"/>
    <mergeCell ref="L89:M89"/>
    <mergeCell ref="H90:I90"/>
    <mergeCell ref="H91:I91"/>
    <mergeCell ref="J94:K94"/>
    <mergeCell ref="H92:I92"/>
    <mergeCell ref="L91:M91"/>
    <mergeCell ref="H95:I95"/>
    <mergeCell ref="J95:K95"/>
    <mergeCell ref="H89:I89"/>
    <mergeCell ref="H93:I93"/>
    <mergeCell ref="J92:K92"/>
    <mergeCell ref="C66:D66"/>
    <mergeCell ref="C67:D67"/>
    <mergeCell ref="N86:O86"/>
    <mergeCell ref="H83:I83"/>
    <mergeCell ref="N92:O92"/>
    <mergeCell ref="N89:O89"/>
    <mergeCell ref="N90:O90"/>
    <mergeCell ref="N91:O91"/>
    <mergeCell ref="C46:D46"/>
    <mergeCell ref="C47:D47"/>
    <mergeCell ref="C48:D48"/>
    <mergeCell ref="C49:D49"/>
    <mergeCell ref="C50:D50"/>
    <mergeCell ref="C51:D51"/>
    <mergeCell ref="C55:D55"/>
    <mergeCell ref="C56:D56"/>
    <mergeCell ref="J78:K78"/>
    <mergeCell ref="C58:D58"/>
    <mergeCell ref="C62:D62"/>
    <mergeCell ref="C54:D54"/>
    <mergeCell ref="H78:I78"/>
    <mergeCell ref="C68:D68"/>
    <mergeCell ref="C69:D69"/>
    <mergeCell ref="C53:D53"/>
    <mergeCell ref="C36:D36"/>
    <mergeCell ref="C42:D42"/>
    <mergeCell ref="C43:D43"/>
    <mergeCell ref="C38:D38"/>
    <mergeCell ref="C22:D22"/>
    <mergeCell ref="C24:D24"/>
    <mergeCell ref="C23:D23"/>
    <mergeCell ref="C57:D57"/>
    <mergeCell ref="L84:M84"/>
    <mergeCell ref="C40:D40"/>
    <mergeCell ref="C41:D41"/>
    <mergeCell ref="C44:D44"/>
    <mergeCell ref="C45:D45"/>
    <mergeCell ref="C31:D31"/>
    <mergeCell ref="C33:D33"/>
    <mergeCell ref="C34:D34"/>
    <mergeCell ref="C35:D35"/>
    <mergeCell ref="C60:D60"/>
    <mergeCell ref="C61:D61"/>
    <mergeCell ref="C63:D63"/>
    <mergeCell ref="C59:D59"/>
    <mergeCell ref="C64:D64"/>
    <mergeCell ref="C65:D65"/>
    <mergeCell ref="C52:D52"/>
    <mergeCell ref="G3:M3"/>
    <mergeCell ref="O3:Q3"/>
    <mergeCell ref="H75:I75"/>
    <mergeCell ref="J75:K75"/>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A4:A5"/>
    <mergeCell ref="B4:B5"/>
    <mergeCell ref="C4:D5"/>
    <mergeCell ref="E4:E5"/>
    <mergeCell ref="C9:D9"/>
    <mergeCell ref="C10:D10"/>
    <mergeCell ref="K4:N4"/>
    <mergeCell ref="F4:F5"/>
    <mergeCell ref="G4:J4"/>
    <mergeCell ref="C6:D6"/>
    <mergeCell ref="C7:D7"/>
    <mergeCell ref="C8:D8"/>
    <mergeCell ref="AX4:BA4"/>
    <mergeCell ref="L80:M80"/>
    <mergeCell ref="L81:M81"/>
    <mergeCell ref="AL4:AO4"/>
    <mergeCell ref="AP4:AS4"/>
    <mergeCell ref="N80:O80"/>
    <mergeCell ref="N81:O81"/>
    <mergeCell ref="S4:S5"/>
    <mergeCell ref="T4:T5"/>
    <mergeCell ref="L78:M78"/>
    <mergeCell ref="L79:M79"/>
    <mergeCell ref="AH4:AK4"/>
    <mergeCell ref="Z4:AC4"/>
    <mergeCell ref="AD4:AG4"/>
    <mergeCell ref="R73:W73"/>
    <mergeCell ref="L75:M75"/>
    <mergeCell ref="U4:U5"/>
    <mergeCell ref="V4:Y4"/>
    <mergeCell ref="O4:R4"/>
    <mergeCell ref="N78:O78"/>
    <mergeCell ref="N79:O79"/>
    <mergeCell ref="N75:O75"/>
    <mergeCell ref="AT4:AW4"/>
    <mergeCell ref="N82:O82"/>
    <mergeCell ref="L82:M82"/>
    <mergeCell ref="J82:K82"/>
    <mergeCell ref="N88:O88"/>
    <mergeCell ref="J86:K86"/>
    <mergeCell ref="J83:K83"/>
    <mergeCell ref="J84:K84"/>
    <mergeCell ref="H82:I82"/>
    <mergeCell ref="N83:O83"/>
    <mergeCell ref="N84:O84"/>
    <mergeCell ref="N85:O85"/>
    <mergeCell ref="L86:M86"/>
    <mergeCell ref="N87:O87"/>
    <mergeCell ref="L88:M88"/>
    <mergeCell ref="H84:I84"/>
    <mergeCell ref="L85:M85"/>
    <mergeCell ref="J87:K87"/>
    <mergeCell ref="J88:K88"/>
    <mergeCell ref="J85:K85"/>
    <mergeCell ref="H85:I85"/>
    <mergeCell ref="H86:I86"/>
    <mergeCell ref="H87:I87"/>
    <mergeCell ref="L87:M87"/>
    <mergeCell ref="H79:I79"/>
    <mergeCell ref="H88:I88"/>
    <mergeCell ref="H80:I80"/>
    <mergeCell ref="H81:I81"/>
    <mergeCell ref="L83:M83"/>
    <mergeCell ref="J80:K80"/>
    <mergeCell ref="J81:K81"/>
    <mergeCell ref="J79:K79"/>
    <mergeCell ref="H106:I106"/>
    <mergeCell ref="J106:K106"/>
    <mergeCell ref="L106:M106"/>
    <mergeCell ref="H103:I103"/>
    <mergeCell ref="J103:K103"/>
    <mergeCell ref="L103:M103"/>
    <mergeCell ref="L97:M97"/>
    <mergeCell ref="N106:O106"/>
    <mergeCell ref="H104:I104"/>
    <mergeCell ref="J104:K104"/>
    <mergeCell ref="L104:M104"/>
    <mergeCell ref="N104:O104"/>
    <mergeCell ref="H102:I102"/>
    <mergeCell ref="J102:K102"/>
    <mergeCell ref="L102:M102"/>
    <mergeCell ref="N102:O102"/>
    <mergeCell ref="H105:I105"/>
    <mergeCell ref="J105:K105"/>
    <mergeCell ref="L105:M105"/>
    <mergeCell ref="N105:O105"/>
    <mergeCell ref="N103:O103"/>
  </mergeCells>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A199"/>
  <sheetViews>
    <sheetView zoomScale="174" zoomScaleNormal="120" workbookViewId="0">
      <pane xSplit="1" ySplit="5" topLeftCell="B6" activePane="bottomRight" state="frozen"/>
      <selection pane="topRight" activeCell="B1" sqref="B1"/>
      <selection pane="bottomLeft" activeCell="A6" sqref="A6"/>
      <selection pane="bottomRight" activeCell="J202" sqref="J202"/>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29" width="5.6640625" style="1" customWidth="1"/>
    <col min="30" max="30" width="6.1640625" style="1" customWidth="1"/>
    <col min="31" max="53" width="5.6640625" style="1" customWidth="1"/>
    <col min="54" max="16384" width="10.6640625" style="1"/>
  </cols>
  <sheetData>
    <row r="1" spans="1:53" ht="15" customHeight="1" x14ac:dyDescent="0.15">
      <c r="B1" s="16" t="s">
        <v>14</v>
      </c>
    </row>
    <row r="2" spans="1:53" ht="15" customHeight="1" x14ac:dyDescent="0.15">
      <c r="B2" s="16" t="s">
        <v>61</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1232</v>
      </c>
      <c r="D6" s="416"/>
      <c r="E6" s="140">
        <v>55</v>
      </c>
      <c r="G6" s="148"/>
      <c r="H6" s="140">
        <v>4</v>
      </c>
      <c r="I6" s="140">
        <v>4</v>
      </c>
      <c r="J6" s="154">
        <v>8</v>
      </c>
      <c r="K6" s="134">
        <f t="shared" ref="K6:M8" si="0">G6/$J6*100</f>
        <v>0</v>
      </c>
      <c r="L6" s="134">
        <f t="shared" si="0"/>
        <v>50</v>
      </c>
      <c r="M6" s="134">
        <f t="shared" si="0"/>
        <v>50</v>
      </c>
      <c r="N6" s="150">
        <f>K6+L6+M6</f>
        <v>100</v>
      </c>
      <c r="O6" s="133"/>
      <c r="P6" s="134">
        <v>50</v>
      </c>
      <c r="Q6" s="134">
        <v>23.7</v>
      </c>
      <c r="R6" s="135">
        <f>O6+P6+Q6</f>
        <v>73.7</v>
      </c>
      <c r="S6" s="140">
        <v>2</v>
      </c>
      <c r="T6" s="308"/>
      <c r="U6" s="296"/>
      <c r="V6" s="139" t="s">
        <v>492</v>
      </c>
      <c r="W6" s="140" t="s">
        <v>17</v>
      </c>
      <c r="X6" s="140" t="s">
        <v>323</v>
      </c>
      <c r="Y6" s="141">
        <v>50</v>
      </c>
      <c r="Z6" s="140" t="s">
        <v>493</v>
      </c>
      <c r="AA6" s="140" t="s">
        <v>20</v>
      </c>
      <c r="AB6" s="140" t="s">
        <v>12</v>
      </c>
      <c r="AC6" s="140">
        <v>32.700000000000003</v>
      </c>
      <c r="AD6" s="139"/>
      <c r="AG6" s="141"/>
      <c r="AL6" s="139"/>
      <c r="AO6" s="141"/>
      <c r="AP6" s="139"/>
      <c r="AS6" s="141"/>
      <c r="AW6" s="141"/>
      <c r="BA6" s="142"/>
    </row>
    <row r="7" spans="1:53" s="140" customFormat="1" x14ac:dyDescent="0.15">
      <c r="A7" s="146">
        <v>1959</v>
      </c>
      <c r="B7" s="296">
        <v>21606</v>
      </c>
      <c r="C7" s="416" t="s">
        <v>671</v>
      </c>
      <c r="D7" s="416"/>
      <c r="E7" s="140">
        <f xml:space="preserve"> 365-55</f>
        <v>310</v>
      </c>
      <c r="F7" s="140">
        <v>4</v>
      </c>
      <c r="G7" s="148">
        <v>3</v>
      </c>
      <c r="H7" s="140">
        <v>4</v>
      </c>
      <c r="J7" s="154">
        <v>7</v>
      </c>
      <c r="K7" s="134">
        <f t="shared" si="0"/>
        <v>42.857142857142854</v>
      </c>
      <c r="L7" s="134">
        <f t="shared" si="0"/>
        <v>57.142857142857139</v>
      </c>
      <c r="M7" s="134">
        <f t="shared" si="0"/>
        <v>0</v>
      </c>
      <c r="N7" s="150">
        <f>K7+L7+M7</f>
        <v>100</v>
      </c>
      <c r="O7" s="133">
        <v>21.2</v>
      </c>
      <c r="P7" s="134">
        <v>40.4</v>
      </c>
      <c r="Q7" s="134"/>
      <c r="R7" s="135">
        <f>O7+P7+Q7</f>
        <v>61.599999999999994</v>
      </c>
      <c r="S7" s="140">
        <v>2</v>
      </c>
      <c r="T7" s="308"/>
      <c r="U7" s="296">
        <v>21606</v>
      </c>
      <c r="V7" s="139" t="s">
        <v>492</v>
      </c>
      <c r="W7" s="140" t="s">
        <v>17</v>
      </c>
      <c r="X7" s="140" t="s">
        <v>323</v>
      </c>
      <c r="Y7" s="141">
        <v>40.4</v>
      </c>
      <c r="Z7" s="140" t="s">
        <v>130</v>
      </c>
      <c r="AA7" s="140" t="s">
        <v>22</v>
      </c>
      <c r="AB7" s="140" t="s">
        <v>11</v>
      </c>
      <c r="AC7" s="140">
        <v>21.2</v>
      </c>
      <c r="AD7" s="139"/>
      <c r="AG7" s="141"/>
      <c r="AL7" s="139"/>
      <c r="AO7" s="141"/>
      <c r="AP7" s="139"/>
      <c r="AS7" s="141"/>
      <c r="AW7" s="141"/>
      <c r="BA7" s="142"/>
    </row>
    <row r="8" spans="1:53" s="29" customFormat="1" x14ac:dyDescent="0.15">
      <c r="A8" s="52">
        <v>1960</v>
      </c>
      <c r="B8" s="295"/>
      <c r="C8" s="411" t="s">
        <v>671</v>
      </c>
      <c r="D8" s="411"/>
      <c r="E8" s="29">
        <v>0</v>
      </c>
      <c r="G8" s="66">
        <v>3</v>
      </c>
      <c r="H8" s="29">
        <v>4</v>
      </c>
      <c r="J8" s="73">
        <v>7</v>
      </c>
      <c r="K8" s="47">
        <f t="shared" si="0"/>
        <v>42.857142857142854</v>
      </c>
      <c r="L8" s="47">
        <f t="shared" si="0"/>
        <v>57.142857142857139</v>
      </c>
      <c r="M8" s="47">
        <f t="shared" si="0"/>
        <v>0</v>
      </c>
      <c r="N8" s="68">
        <f>K8+L8+M8</f>
        <v>100</v>
      </c>
      <c r="O8" s="46">
        <v>21.2</v>
      </c>
      <c r="P8" s="47">
        <v>40.4</v>
      </c>
      <c r="Q8" s="47"/>
      <c r="R8" s="48">
        <f>O8+P8+Q8</f>
        <v>61.599999999999994</v>
      </c>
      <c r="S8" s="29">
        <v>2</v>
      </c>
      <c r="T8" s="286"/>
      <c r="U8" s="295"/>
      <c r="V8" s="38" t="s">
        <v>492</v>
      </c>
      <c r="W8" s="29" t="s">
        <v>17</v>
      </c>
      <c r="X8" s="29" t="s">
        <v>323</v>
      </c>
      <c r="Y8" s="39">
        <v>40.4</v>
      </c>
      <c r="Z8" s="29" t="s">
        <v>130</v>
      </c>
      <c r="AA8" s="29" t="s">
        <v>22</v>
      </c>
      <c r="AB8" s="29" t="s">
        <v>11</v>
      </c>
      <c r="AC8" s="29">
        <v>21.2</v>
      </c>
      <c r="AD8" s="38"/>
      <c r="AG8" s="39"/>
      <c r="AL8" s="38"/>
      <c r="AO8" s="39"/>
      <c r="AP8" s="38"/>
      <c r="AS8" s="39"/>
      <c r="AW8" s="39"/>
      <c r="BA8" s="40"/>
    </row>
    <row r="9" spans="1:53" s="29" customFormat="1" x14ac:dyDescent="0.15">
      <c r="A9" s="52">
        <v>1960</v>
      </c>
      <c r="B9" s="295"/>
      <c r="C9" s="411" t="s">
        <v>671</v>
      </c>
      <c r="D9" s="411"/>
      <c r="E9" s="29">
        <v>366</v>
      </c>
      <c r="G9" s="66">
        <v>3</v>
      </c>
      <c r="H9" s="29">
        <v>4</v>
      </c>
      <c r="J9" s="73">
        <v>7</v>
      </c>
      <c r="K9" s="47">
        <f t="shared" ref="K9:M72" si="1">G9/$J9*100</f>
        <v>42.857142857142854</v>
      </c>
      <c r="L9" s="47">
        <f t="shared" si="1"/>
        <v>57.142857142857139</v>
      </c>
      <c r="M9" s="47">
        <f t="shared" si="1"/>
        <v>0</v>
      </c>
      <c r="N9" s="68">
        <f t="shared" ref="N9:N72" si="2">K9+L9+M9</f>
        <v>100</v>
      </c>
      <c r="O9" s="46">
        <v>21.2</v>
      </c>
      <c r="P9" s="47">
        <v>40.4</v>
      </c>
      <c r="Q9" s="47"/>
      <c r="R9" s="48">
        <f t="shared" ref="R9:R72" si="3">O9+P9+Q9</f>
        <v>61.599999999999994</v>
      </c>
      <c r="S9" s="29">
        <v>2</v>
      </c>
      <c r="T9" s="286"/>
      <c r="U9" s="295"/>
      <c r="V9" s="38" t="s">
        <v>492</v>
      </c>
      <c r="W9" s="29" t="s">
        <v>17</v>
      </c>
      <c r="X9" s="29" t="s">
        <v>323</v>
      </c>
      <c r="Y9" s="39">
        <v>40.4</v>
      </c>
      <c r="Z9" s="29" t="s">
        <v>130</v>
      </c>
      <c r="AA9" s="29" t="s">
        <v>22</v>
      </c>
      <c r="AB9" s="29" t="s">
        <v>11</v>
      </c>
      <c r="AC9" s="29">
        <v>21.2</v>
      </c>
      <c r="AD9" s="38"/>
      <c r="AG9" s="39"/>
      <c r="AL9" s="38"/>
      <c r="AO9" s="39"/>
      <c r="AP9" s="38"/>
      <c r="AS9" s="39"/>
      <c r="AW9" s="39"/>
      <c r="BA9" s="40"/>
    </row>
    <row r="10" spans="1:53" s="29" customFormat="1" x14ac:dyDescent="0.15">
      <c r="A10" s="52">
        <v>1961</v>
      </c>
      <c r="B10" s="295"/>
      <c r="C10" s="411" t="s">
        <v>671</v>
      </c>
      <c r="D10" s="411"/>
      <c r="E10" s="29">
        <v>0</v>
      </c>
      <c r="G10" s="66">
        <v>3</v>
      </c>
      <c r="H10" s="29">
        <v>4</v>
      </c>
      <c r="J10" s="73">
        <v>7</v>
      </c>
      <c r="K10" s="47">
        <f t="shared" si="1"/>
        <v>42.857142857142854</v>
      </c>
      <c r="L10" s="47">
        <f t="shared" si="1"/>
        <v>57.142857142857139</v>
      </c>
      <c r="M10" s="47">
        <f t="shared" si="1"/>
        <v>0</v>
      </c>
      <c r="N10" s="68">
        <f t="shared" si="2"/>
        <v>100</v>
      </c>
      <c r="O10" s="46">
        <v>21.2</v>
      </c>
      <c r="P10" s="47">
        <v>40.4</v>
      </c>
      <c r="Q10" s="47"/>
      <c r="R10" s="48">
        <f t="shared" si="3"/>
        <v>61.599999999999994</v>
      </c>
      <c r="S10" s="29">
        <v>2</v>
      </c>
      <c r="T10" s="286"/>
      <c r="U10" s="295"/>
      <c r="V10" s="38" t="s">
        <v>492</v>
      </c>
      <c r="W10" s="29" t="s">
        <v>17</v>
      </c>
      <c r="X10" s="29" t="s">
        <v>323</v>
      </c>
      <c r="Y10" s="39">
        <v>40.4</v>
      </c>
      <c r="Z10" s="29" t="s">
        <v>130</v>
      </c>
      <c r="AA10" s="29" t="s">
        <v>22</v>
      </c>
      <c r="AB10" s="29" t="s">
        <v>11</v>
      </c>
      <c r="AC10" s="29">
        <v>21.2</v>
      </c>
      <c r="AD10" s="38"/>
      <c r="AG10" s="39"/>
      <c r="AL10" s="38"/>
      <c r="AO10" s="39"/>
      <c r="AP10" s="38"/>
      <c r="AS10" s="39"/>
      <c r="AW10" s="39"/>
      <c r="BA10" s="40"/>
    </row>
    <row r="11" spans="1:53" s="29" customFormat="1" x14ac:dyDescent="0.15">
      <c r="A11" s="52">
        <v>1961</v>
      </c>
      <c r="B11" s="295"/>
      <c r="C11" s="411" t="s">
        <v>671</v>
      </c>
      <c r="D11" s="411"/>
      <c r="E11" s="29">
        <v>365</v>
      </c>
      <c r="G11" s="66">
        <v>3</v>
      </c>
      <c r="H11" s="29">
        <v>4</v>
      </c>
      <c r="J11" s="73">
        <v>7</v>
      </c>
      <c r="K11" s="47">
        <f t="shared" si="1"/>
        <v>42.857142857142854</v>
      </c>
      <c r="L11" s="47">
        <f t="shared" si="1"/>
        <v>57.142857142857139</v>
      </c>
      <c r="M11" s="47">
        <f t="shared" si="1"/>
        <v>0</v>
      </c>
      <c r="N11" s="68">
        <f t="shared" si="2"/>
        <v>100</v>
      </c>
      <c r="O11" s="46">
        <v>21.2</v>
      </c>
      <c r="P11" s="47">
        <v>40.4</v>
      </c>
      <c r="Q11" s="47"/>
      <c r="R11" s="48">
        <f t="shared" si="3"/>
        <v>61.599999999999994</v>
      </c>
      <c r="S11" s="29">
        <v>2</v>
      </c>
      <c r="T11" s="286"/>
      <c r="U11" s="295"/>
      <c r="V11" s="38" t="s">
        <v>492</v>
      </c>
      <c r="W11" s="29" t="s">
        <v>17</v>
      </c>
      <c r="X11" s="29" t="s">
        <v>323</v>
      </c>
      <c r="Y11" s="39">
        <v>40.4</v>
      </c>
      <c r="Z11" s="29" t="s">
        <v>130</v>
      </c>
      <c r="AA11" s="29" t="s">
        <v>22</v>
      </c>
      <c r="AB11" s="29" t="s">
        <v>11</v>
      </c>
      <c r="AC11" s="29">
        <v>21.2</v>
      </c>
      <c r="AD11" s="38"/>
      <c r="AG11" s="39"/>
      <c r="AL11" s="38"/>
      <c r="AO11" s="39"/>
      <c r="AP11" s="38"/>
      <c r="AS11" s="39"/>
      <c r="AW11" s="39"/>
      <c r="BA11" s="40"/>
    </row>
    <row r="12" spans="1:53" s="29" customFormat="1" x14ac:dyDescent="0.15">
      <c r="A12" s="52">
        <v>1962</v>
      </c>
      <c r="B12" s="295"/>
      <c r="C12" s="411" t="s">
        <v>671</v>
      </c>
      <c r="D12" s="411"/>
      <c r="E12" s="29">
        <v>0</v>
      </c>
      <c r="G12" s="66">
        <v>3</v>
      </c>
      <c r="H12" s="29">
        <v>4</v>
      </c>
      <c r="J12" s="73">
        <v>7</v>
      </c>
      <c r="K12" s="47">
        <f t="shared" si="1"/>
        <v>42.857142857142854</v>
      </c>
      <c r="L12" s="47">
        <f t="shared" si="1"/>
        <v>57.142857142857139</v>
      </c>
      <c r="M12" s="47">
        <f t="shared" si="1"/>
        <v>0</v>
      </c>
      <c r="N12" s="68">
        <f t="shared" si="2"/>
        <v>100</v>
      </c>
      <c r="O12" s="46">
        <v>21.2</v>
      </c>
      <c r="P12" s="47">
        <v>40.4</v>
      </c>
      <c r="Q12" s="47"/>
      <c r="R12" s="48">
        <f t="shared" si="3"/>
        <v>61.599999999999994</v>
      </c>
      <c r="S12" s="29">
        <v>2</v>
      </c>
      <c r="T12" s="286"/>
      <c r="U12" s="295"/>
      <c r="V12" s="38" t="s">
        <v>492</v>
      </c>
      <c r="W12" s="29" t="s">
        <v>17</v>
      </c>
      <c r="X12" s="29" t="s">
        <v>323</v>
      </c>
      <c r="Y12" s="39">
        <v>40.4</v>
      </c>
      <c r="Z12" s="29" t="s">
        <v>130</v>
      </c>
      <c r="AA12" s="29" t="s">
        <v>22</v>
      </c>
      <c r="AB12" s="29" t="s">
        <v>11</v>
      </c>
      <c r="AC12" s="29">
        <v>21.2</v>
      </c>
      <c r="AD12" s="38"/>
      <c r="AG12" s="39"/>
      <c r="AL12" s="38"/>
      <c r="AO12" s="39"/>
      <c r="AP12" s="38"/>
      <c r="AS12" s="39"/>
      <c r="AW12" s="39"/>
      <c r="BA12" s="40"/>
    </row>
    <row r="13" spans="1:53" s="29" customFormat="1" x14ac:dyDescent="0.15">
      <c r="A13" s="52">
        <v>1962</v>
      </c>
      <c r="B13" s="295"/>
      <c r="C13" s="411" t="s">
        <v>671</v>
      </c>
      <c r="D13" s="411"/>
      <c r="E13" s="29">
        <v>365</v>
      </c>
      <c r="G13" s="66">
        <v>3</v>
      </c>
      <c r="H13" s="29">
        <v>4</v>
      </c>
      <c r="J13" s="73">
        <v>7</v>
      </c>
      <c r="K13" s="47">
        <f t="shared" si="1"/>
        <v>42.857142857142854</v>
      </c>
      <c r="L13" s="47">
        <f t="shared" si="1"/>
        <v>57.142857142857139</v>
      </c>
      <c r="M13" s="47">
        <f t="shared" si="1"/>
        <v>0</v>
      </c>
      <c r="N13" s="68">
        <f t="shared" si="2"/>
        <v>100</v>
      </c>
      <c r="O13" s="46">
        <v>21.2</v>
      </c>
      <c r="P13" s="47">
        <v>40.4</v>
      </c>
      <c r="Q13" s="47"/>
      <c r="R13" s="48">
        <f t="shared" si="3"/>
        <v>61.599999999999994</v>
      </c>
      <c r="S13" s="29">
        <v>2</v>
      </c>
      <c r="T13" s="286"/>
      <c r="U13" s="295"/>
      <c r="V13" s="38" t="s">
        <v>492</v>
      </c>
      <c r="W13" s="29" t="s">
        <v>17</v>
      </c>
      <c r="X13" s="29" t="s">
        <v>323</v>
      </c>
      <c r="Y13" s="39">
        <v>40.4</v>
      </c>
      <c r="Z13" s="29" t="s">
        <v>130</v>
      </c>
      <c r="AA13" s="29" t="s">
        <v>22</v>
      </c>
      <c r="AB13" s="29" t="s">
        <v>11</v>
      </c>
      <c r="AC13" s="29">
        <v>21.2</v>
      </c>
      <c r="AD13" s="38"/>
      <c r="AG13" s="39"/>
      <c r="AL13" s="38"/>
      <c r="AO13" s="39"/>
      <c r="AP13" s="38"/>
      <c r="AS13" s="39"/>
      <c r="AW13" s="39"/>
      <c r="BA13" s="40"/>
    </row>
    <row r="14" spans="1:53" s="29" customFormat="1" x14ac:dyDescent="0.15">
      <c r="A14" s="52">
        <v>1962.6</v>
      </c>
      <c r="B14" s="295"/>
      <c r="C14" s="411" t="s">
        <v>671</v>
      </c>
      <c r="D14" s="411"/>
      <c r="E14" s="29">
        <v>0</v>
      </c>
      <c r="G14" s="66">
        <v>3</v>
      </c>
      <c r="H14" s="29">
        <v>4</v>
      </c>
      <c r="J14" s="73">
        <v>7</v>
      </c>
      <c r="K14" s="47">
        <f t="shared" si="1"/>
        <v>42.857142857142854</v>
      </c>
      <c r="L14" s="47">
        <f t="shared" si="1"/>
        <v>57.142857142857139</v>
      </c>
      <c r="M14" s="47">
        <f t="shared" si="1"/>
        <v>0</v>
      </c>
      <c r="N14" s="68">
        <f t="shared" si="2"/>
        <v>100</v>
      </c>
      <c r="O14" s="46">
        <v>21.2</v>
      </c>
      <c r="P14" s="47">
        <v>40.4</v>
      </c>
      <c r="Q14" s="47"/>
      <c r="R14" s="48">
        <f t="shared" si="3"/>
        <v>61.599999999999994</v>
      </c>
      <c r="S14" s="29">
        <v>2</v>
      </c>
      <c r="T14" s="286"/>
      <c r="U14" s="295"/>
      <c r="V14" s="38" t="s">
        <v>492</v>
      </c>
      <c r="W14" s="29" t="s">
        <v>17</v>
      </c>
      <c r="X14" s="29" t="s">
        <v>323</v>
      </c>
      <c r="Y14" s="39">
        <v>40.4</v>
      </c>
      <c r="Z14" s="29" t="s">
        <v>130</v>
      </c>
      <c r="AA14" s="29" t="s">
        <v>22</v>
      </c>
      <c r="AB14" s="29" t="s">
        <v>11</v>
      </c>
      <c r="AC14" s="29">
        <v>21.2</v>
      </c>
      <c r="AD14" s="38"/>
      <c r="AG14" s="39"/>
      <c r="AL14" s="38"/>
      <c r="AO14" s="39"/>
      <c r="AP14" s="38"/>
      <c r="AS14" s="39"/>
      <c r="AW14" s="39"/>
      <c r="BA14" s="40"/>
    </row>
    <row r="15" spans="1:53" s="29" customFormat="1" x14ac:dyDescent="0.15">
      <c r="A15" s="52">
        <v>1963.05714285714</v>
      </c>
      <c r="B15" s="295"/>
      <c r="C15" s="411" t="s">
        <v>671</v>
      </c>
      <c r="D15" s="411"/>
      <c r="E15" s="29">
        <v>365</v>
      </c>
      <c r="G15" s="66">
        <v>3</v>
      </c>
      <c r="H15" s="29">
        <v>4</v>
      </c>
      <c r="J15" s="73">
        <v>7</v>
      </c>
      <c r="K15" s="47">
        <f t="shared" si="1"/>
        <v>42.857142857142854</v>
      </c>
      <c r="L15" s="47">
        <f t="shared" si="1"/>
        <v>57.142857142857139</v>
      </c>
      <c r="M15" s="47">
        <f t="shared" si="1"/>
        <v>0</v>
      </c>
      <c r="N15" s="68">
        <f t="shared" si="2"/>
        <v>100</v>
      </c>
      <c r="O15" s="46">
        <v>21.2</v>
      </c>
      <c r="P15" s="47">
        <v>40.4</v>
      </c>
      <c r="Q15" s="47"/>
      <c r="R15" s="48">
        <f t="shared" si="3"/>
        <v>61.599999999999994</v>
      </c>
      <c r="S15" s="29">
        <v>2</v>
      </c>
      <c r="T15" s="286"/>
      <c r="U15" s="295"/>
      <c r="V15" s="38" t="s">
        <v>492</v>
      </c>
      <c r="W15" s="29" t="s">
        <v>17</v>
      </c>
      <c r="X15" s="29" t="s">
        <v>323</v>
      </c>
      <c r="Y15" s="39">
        <v>40.4</v>
      </c>
      <c r="Z15" s="29" t="s">
        <v>130</v>
      </c>
      <c r="AA15" s="29" t="s">
        <v>22</v>
      </c>
      <c r="AB15" s="29" t="s">
        <v>11</v>
      </c>
      <c r="AC15" s="29">
        <v>21.2</v>
      </c>
      <c r="AD15" s="38"/>
      <c r="AG15" s="39"/>
      <c r="AL15" s="38"/>
      <c r="AO15" s="39"/>
      <c r="AP15" s="38"/>
      <c r="AS15" s="39"/>
      <c r="AW15" s="39"/>
      <c r="BA15" s="40"/>
    </row>
    <row r="16" spans="1:53" s="29" customFormat="1" x14ac:dyDescent="0.15">
      <c r="A16" s="52">
        <v>1963.5142857142901</v>
      </c>
      <c r="B16" s="295"/>
      <c r="C16" s="411" t="s">
        <v>671</v>
      </c>
      <c r="D16" s="411"/>
      <c r="E16" s="29">
        <v>199</v>
      </c>
      <c r="G16" s="66">
        <v>3</v>
      </c>
      <c r="H16" s="29">
        <v>4</v>
      </c>
      <c r="J16" s="73">
        <v>7</v>
      </c>
      <c r="K16" s="47">
        <f t="shared" si="1"/>
        <v>42.857142857142854</v>
      </c>
      <c r="L16" s="47">
        <f t="shared" si="1"/>
        <v>57.142857142857139</v>
      </c>
      <c r="M16" s="47">
        <f t="shared" si="1"/>
        <v>0</v>
      </c>
      <c r="N16" s="68">
        <f t="shared" si="2"/>
        <v>100</v>
      </c>
      <c r="O16" s="46">
        <v>21.2</v>
      </c>
      <c r="P16" s="47">
        <v>40.4</v>
      </c>
      <c r="Q16" s="47"/>
      <c r="R16" s="48">
        <f t="shared" si="3"/>
        <v>61.599999999999994</v>
      </c>
      <c r="S16" s="29">
        <v>2</v>
      </c>
      <c r="T16" s="286"/>
      <c r="U16" s="295"/>
      <c r="V16" s="38" t="s">
        <v>492</v>
      </c>
      <c r="W16" s="29" t="s">
        <v>17</v>
      </c>
      <c r="X16" s="29" t="s">
        <v>323</v>
      </c>
      <c r="Y16" s="39">
        <v>40.4</v>
      </c>
      <c r="Z16" s="29" t="s">
        <v>130</v>
      </c>
      <c r="AA16" s="29" t="s">
        <v>22</v>
      </c>
      <c r="AB16" s="29" t="s">
        <v>11</v>
      </c>
      <c r="AC16" s="29">
        <v>21.2</v>
      </c>
      <c r="AD16" s="38"/>
      <c r="AG16" s="39"/>
      <c r="AL16" s="38"/>
      <c r="AO16" s="39"/>
      <c r="AP16" s="38"/>
      <c r="AS16" s="39"/>
      <c r="AW16" s="39"/>
      <c r="BA16" s="40"/>
    </row>
    <row r="17" spans="1:53" s="171" customFormat="1" x14ac:dyDescent="0.15">
      <c r="A17" s="216">
        <v>1963.9714285714299</v>
      </c>
      <c r="B17" s="283">
        <v>23576</v>
      </c>
      <c r="C17" s="410" t="s">
        <v>672</v>
      </c>
      <c r="D17" s="410"/>
      <c r="E17" s="171">
        <f>366-E16</f>
        <v>167</v>
      </c>
      <c r="F17" s="171">
        <v>1</v>
      </c>
      <c r="G17" s="233"/>
      <c r="H17" s="171">
        <v>4</v>
      </c>
      <c r="I17" s="171">
        <v>4</v>
      </c>
      <c r="J17" s="241">
        <v>8</v>
      </c>
      <c r="K17" s="214">
        <f t="shared" si="1"/>
        <v>0</v>
      </c>
      <c r="L17" s="214">
        <f t="shared" si="1"/>
        <v>50</v>
      </c>
      <c r="M17" s="214">
        <f t="shared" si="1"/>
        <v>50</v>
      </c>
      <c r="N17" s="235">
        <f t="shared" si="2"/>
        <v>100</v>
      </c>
      <c r="O17" s="213"/>
      <c r="P17" s="214">
        <v>39.299999999999997</v>
      </c>
      <c r="Q17" s="214">
        <v>37.5</v>
      </c>
      <c r="R17" s="215">
        <f t="shared" si="3"/>
        <v>76.8</v>
      </c>
      <c r="S17" s="171">
        <v>2</v>
      </c>
      <c r="T17" s="285">
        <v>23535</v>
      </c>
      <c r="U17" s="283">
        <v>23576</v>
      </c>
      <c r="V17" s="178" t="s">
        <v>492</v>
      </c>
      <c r="W17" s="171" t="s">
        <v>17</v>
      </c>
      <c r="X17" s="171" t="s">
        <v>323</v>
      </c>
      <c r="Y17" s="179">
        <v>39.299999999999997</v>
      </c>
      <c r="Z17" s="171" t="s">
        <v>493</v>
      </c>
      <c r="AA17" s="171" t="s">
        <v>20</v>
      </c>
      <c r="AB17" s="171" t="s">
        <v>12</v>
      </c>
      <c r="AC17" s="171">
        <v>37.5</v>
      </c>
      <c r="AD17" s="178"/>
      <c r="AG17" s="179"/>
      <c r="AL17" s="178"/>
      <c r="AO17" s="179"/>
      <c r="AP17" s="178"/>
      <c r="AS17" s="179"/>
      <c r="AW17" s="179"/>
      <c r="BA17" s="180"/>
    </row>
    <row r="18" spans="1:53" s="171" customFormat="1" x14ac:dyDescent="0.15">
      <c r="A18" s="216">
        <v>1965</v>
      </c>
      <c r="B18" s="283"/>
      <c r="C18" s="410" t="s">
        <v>672</v>
      </c>
      <c r="D18" s="410"/>
      <c r="E18" s="171">
        <v>0</v>
      </c>
      <c r="G18" s="233"/>
      <c r="H18" s="171">
        <v>4</v>
      </c>
      <c r="I18" s="171">
        <v>4</v>
      </c>
      <c r="J18" s="241">
        <v>8</v>
      </c>
      <c r="K18" s="214">
        <f t="shared" si="1"/>
        <v>0</v>
      </c>
      <c r="L18" s="214">
        <f t="shared" si="1"/>
        <v>50</v>
      </c>
      <c r="M18" s="214">
        <f t="shared" si="1"/>
        <v>50</v>
      </c>
      <c r="N18" s="235">
        <f t="shared" si="2"/>
        <v>100</v>
      </c>
      <c r="O18" s="213"/>
      <c r="P18" s="214">
        <v>39.299999999999997</v>
      </c>
      <c r="Q18" s="214">
        <v>37.5</v>
      </c>
      <c r="R18" s="215">
        <f t="shared" si="3"/>
        <v>76.8</v>
      </c>
      <c r="S18" s="171">
        <v>2</v>
      </c>
      <c r="T18" s="285"/>
      <c r="U18" s="283"/>
      <c r="V18" s="178" t="s">
        <v>492</v>
      </c>
      <c r="W18" s="171" t="s">
        <v>17</v>
      </c>
      <c r="X18" s="171" t="s">
        <v>323</v>
      </c>
      <c r="Y18" s="179">
        <v>39.299999999999997</v>
      </c>
      <c r="Z18" s="171" t="s">
        <v>493</v>
      </c>
      <c r="AA18" s="171" t="s">
        <v>20</v>
      </c>
      <c r="AB18" s="171" t="s">
        <v>12</v>
      </c>
      <c r="AC18" s="171">
        <v>37.5</v>
      </c>
      <c r="AD18" s="178"/>
      <c r="AG18" s="179"/>
      <c r="AL18" s="178"/>
      <c r="AO18" s="179"/>
      <c r="AP18" s="178"/>
      <c r="AS18" s="179"/>
      <c r="AW18" s="179"/>
      <c r="BA18" s="180"/>
    </row>
    <row r="19" spans="1:53" s="171" customFormat="1" x14ac:dyDescent="0.15">
      <c r="A19" s="216">
        <v>1964.88571428572</v>
      </c>
      <c r="B19" s="283"/>
      <c r="C19" s="410" t="s">
        <v>672</v>
      </c>
      <c r="D19" s="410"/>
      <c r="E19" s="171">
        <v>365</v>
      </c>
      <c r="G19" s="233"/>
      <c r="H19" s="171">
        <v>4</v>
      </c>
      <c r="I19" s="171">
        <v>4</v>
      </c>
      <c r="J19" s="241">
        <v>8</v>
      </c>
      <c r="K19" s="214">
        <f t="shared" si="1"/>
        <v>0</v>
      </c>
      <c r="L19" s="214">
        <f t="shared" si="1"/>
        <v>50</v>
      </c>
      <c r="M19" s="214">
        <f t="shared" si="1"/>
        <v>50</v>
      </c>
      <c r="N19" s="235">
        <f t="shared" si="2"/>
        <v>100</v>
      </c>
      <c r="O19" s="213"/>
      <c r="P19" s="214">
        <v>39.299999999999997</v>
      </c>
      <c r="Q19" s="214">
        <v>37.5</v>
      </c>
      <c r="R19" s="215">
        <f t="shared" si="3"/>
        <v>76.8</v>
      </c>
      <c r="S19" s="171">
        <v>2</v>
      </c>
      <c r="T19" s="285"/>
      <c r="U19" s="283"/>
      <c r="V19" s="178" t="s">
        <v>492</v>
      </c>
      <c r="W19" s="171" t="s">
        <v>17</v>
      </c>
      <c r="X19" s="171" t="s">
        <v>323</v>
      </c>
      <c r="Y19" s="179">
        <v>39.299999999999997</v>
      </c>
      <c r="Z19" s="171" t="s">
        <v>493</v>
      </c>
      <c r="AA19" s="171" t="s">
        <v>20</v>
      </c>
      <c r="AB19" s="171" t="s">
        <v>12</v>
      </c>
      <c r="AC19" s="171">
        <v>37.5</v>
      </c>
      <c r="AD19" s="178"/>
      <c r="AG19" s="179"/>
      <c r="AL19" s="178"/>
      <c r="AO19" s="179"/>
      <c r="AP19" s="178"/>
      <c r="AS19" s="179"/>
      <c r="AW19" s="179"/>
      <c r="BA19" s="180"/>
    </row>
    <row r="20" spans="1:53" s="171" customFormat="1" x14ac:dyDescent="0.15">
      <c r="A20" s="216">
        <v>1966</v>
      </c>
      <c r="B20" s="283"/>
      <c r="C20" s="410" t="s">
        <v>672</v>
      </c>
      <c r="D20" s="410"/>
      <c r="E20" s="171">
        <v>0</v>
      </c>
      <c r="G20" s="233"/>
      <c r="H20" s="171">
        <v>4</v>
      </c>
      <c r="I20" s="171">
        <v>4</v>
      </c>
      <c r="J20" s="241">
        <v>8</v>
      </c>
      <c r="K20" s="214">
        <f t="shared" si="1"/>
        <v>0</v>
      </c>
      <c r="L20" s="214">
        <f t="shared" si="1"/>
        <v>50</v>
      </c>
      <c r="M20" s="214">
        <f t="shared" si="1"/>
        <v>50</v>
      </c>
      <c r="N20" s="235">
        <f t="shared" si="2"/>
        <v>100</v>
      </c>
      <c r="O20" s="213"/>
      <c r="P20" s="214">
        <v>39.299999999999997</v>
      </c>
      <c r="Q20" s="214">
        <v>37.5</v>
      </c>
      <c r="R20" s="215">
        <f t="shared" si="3"/>
        <v>76.8</v>
      </c>
      <c r="S20" s="171">
        <v>2</v>
      </c>
      <c r="T20" s="285"/>
      <c r="U20" s="283"/>
      <c r="V20" s="178" t="s">
        <v>492</v>
      </c>
      <c r="W20" s="171" t="s">
        <v>17</v>
      </c>
      <c r="X20" s="171" t="s">
        <v>323</v>
      </c>
      <c r="Y20" s="179">
        <v>39.299999999999997</v>
      </c>
      <c r="Z20" s="171" t="s">
        <v>493</v>
      </c>
      <c r="AA20" s="171" t="s">
        <v>20</v>
      </c>
      <c r="AB20" s="171" t="s">
        <v>12</v>
      </c>
      <c r="AC20" s="171">
        <v>37.5</v>
      </c>
      <c r="AD20" s="178"/>
      <c r="AG20" s="179"/>
      <c r="AL20" s="178"/>
      <c r="AO20" s="179"/>
      <c r="AP20" s="178"/>
      <c r="AS20" s="179"/>
      <c r="AW20" s="179"/>
      <c r="BA20" s="180"/>
    </row>
    <row r="21" spans="1:53" s="171" customFormat="1" x14ac:dyDescent="0.15">
      <c r="A21" s="216">
        <v>1965.8</v>
      </c>
      <c r="B21" s="283"/>
      <c r="C21" s="410" t="s">
        <v>672</v>
      </c>
      <c r="D21" s="410"/>
      <c r="E21" s="171">
        <v>365</v>
      </c>
      <c r="G21" s="233"/>
      <c r="H21" s="171">
        <v>4</v>
      </c>
      <c r="I21" s="171">
        <v>4</v>
      </c>
      <c r="J21" s="241">
        <v>8</v>
      </c>
      <c r="K21" s="214">
        <f t="shared" si="1"/>
        <v>0</v>
      </c>
      <c r="L21" s="214">
        <f t="shared" si="1"/>
        <v>50</v>
      </c>
      <c r="M21" s="214">
        <f t="shared" si="1"/>
        <v>50</v>
      </c>
      <c r="N21" s="235">
        <f t="shared" si="2"/>
        <v>100</v>
      </c>
      <c r="O21" s="213"/>
      <c r="P21" s="214">
        <v>39.299999999999997</v>
      </c>
      <c r="Q21" s="214">
        <v>37.5</v>
      </c>
      <c r="R21" s="215">
        <f t="shared" si="3"/>
        <v>76.8</v>
      </c>
      <c r="S21" s="171">
        <v>2</v>
      </c>
      <c r="T21" s="285"/>
      <c r="U21" s="283"/>
      <c r="V21" s="178" t="s">
        <v>492</v>
      </c>
      <c r="W21" s="171" t="s">
        <v>17</v>
      </c>
      <c r="X21" s="171" t="s">
        <v>323</v>
      </c>
      <c r="Y21" s="179">
        <v>39.299999999999997</v>
      </c>
      <c r="Z21" s="171" t="s">
        <v>493</v>
      </c>
      <c r="AA21" s="171" t="s">
        <v>20</v>
      </c>
      <c r="AB21" s="171" t="s">
        <v>12</v>
      </c>
      <c r="AC21" s="171">
        <v>37.5</v>
      </c>
      <c r="AD21" s="178"/>
      <c r="AG21" s="179"/>
      <c r="AL21" s="178"/>
      <c r="AO21" s="179"/>
      <c r="AP21" s="178"/>
      <c r="AS21" s="179"/>
      <c r="AW21" s="179"/>
      <c r="BA21" s="180"/>
    </row>
    <row r="22" spans="1:53" s="171" customFormat="1" x14ac:dyDescent="0.15">
      <c r="A22" s="216">
        <v>1967</v>
      </c>
      <c r="B22" s="283"/>
      <c r="C22" s="410" t="s">
        <v>672</v>
      </c>
      <c r="D22" s="410"/>
      <c r="E22" s="171">
        <v>3</v>
      </c>
      <c r="G22" s="233"/>
      <c r="H22" s="171">
        <v>4</v>
      </c>
      <c r="I22" s="171">
        <v>4</v>
      </c>
      <c r="J22" s="241">
        <v>8</v>
      </c>
      <c r="K22" s="214">
        <f t="shared" si="1"/>
        <v>0</v>
      </c>
      <c r="L22" s="214">
        <f t="shared" si="1"/>
        <v>50</v>
      </c>
      <c r="M22" s="214">
        <f t="shared" si="1"/>
        <v>50</v>
      </c>
      <c r="N22" s="235">
        <f t="shared" si="2"/>
        <v>100</v>
      </c>
      <c r="O22" s="213"/>
      <c r="P22" s="214">
        <v>39.299999999999997</v>
      </c>
      <c r="Q22" s="214">
        <v>37.5</v>
      </c>
      <c r="R22" s="215">
        <f t="shared" si="3"/>
        <v>76.8</v>
      </c>
      <c r="S22" s="171">
        <v>2</v>
      </c>
      <c r="T22" s="285"/>
      <c r="U22" s="283"/>
      <c r="V22" s="178" t="s">
        <v>492</v>
      </c>
      <c r="W22" s="171" t="s">
        <v>17</v>
      </c>
      <c r="X22" s="171" t="s">
        <v>323</v>
      </c>
      <c r="Y22" s="179">
        <v>39.299999999999997</v>
      </c>
      <c r="Z22" s="171" t="s">
        <v>493</v>
      </c>
      <c r="AA22" s="171" t="s">
        <v>20</v>
      </c>
      <c r="AB22" s="171" t="s">
        <v>12</v>
      </c>
      <c r="AC22" s="171">
        <v>37.5</v>
      </c>
      <c r="AD22" s="178"/>
      <c r="AG22" s="179"/>
      <c r="AL22" s="178"/>
      <c r="AO22" s="179"/>
      <c r="AP22" s="178"/>
      <c r="AS22" s="179"/>
      <c r="AW22" s="179"/>
      <c r="BA22" s="180"/>
    </row>
    <row r="23" spans="1:53" s="29" customFormat="1" x14ac:dyDescent="0.15">
      <c r="A23" s="52">
        <v>1966.7142857142901</v>
      </c>
      <c r="B23" s="295">
        <v>24476</v>
      </c>
      <c r="C23" s="411" t="s">
        <v>673</v>
      </c>
      <c r="D23" s="411"/>
      <c r="E23" s="29">
        <f>365-E22</f>
        <v>362</v>
      </c>
      <c r="F23" s="29">
        <v>5</v>
      </c>
      <c r="G23" s="66"/>
      <c r="H23" s="29">
        <v>4</v>
      </c>
      <c r="I23" s="29">
        <v>4</v>
      </c>
      <c r="J23" s="73">
        <v>8</v>
      </c>
      <c r="K23" s="47">
        <f t="shared" si="1"/>
        <v>0</v>
      </c>
      <c r="L23" s="47">
        <f t="shared" si="1"/>
        <v>50</v>
      </c>
      <c r="M23" s="47">
        <f t="shared" si="1"/>
        <v>50</v>
      </c>
      <c r="N23" s="68">
        <f t="shared" si="2"/>
        <v>100</v>
      </c>
      <c r="O23" s="46"/>
      <c r="P23" s="47">
        <v>39.299999999999997</v>
      </c>
      <c r="Q23" s="47">
        <v>37.5</v>
      </c>
      <c r="R23" s="48">
        <f t="shared" si="3"/>
        <v>76.8</v>
      </c>
      <c r="S23" s="29">
        <v>2</v>
      </c>
      <c r="T23" s="286"/>
      <c r="U23" s="295">
        <v>24476</v>
      </c>
      <c r="V23" s="38" t="s">
        <v>492</v>
      </c>
      <c r="W23" s="29" t="s">
        <v>17</v>
      </c>
      <c r="X23" s="29" t="s">
        <v>323</v>
      </c>
      <c r="Y23" s="39">
        <v>39.299999999999997</v>
      </c>
      <c r="Z23" s="29" t="s">
        <v>493</v>
      </c>
      <c r="AA23" s="29" t="s">
        <v>20</v>
      </c>
      <c r="AB23" s="29" t="s">
        <v>12</v>
      </c>
      <c r="AC23" s="29">
        <v>37.5</v>
      </c>
      <c r="AD23" s="38"/>
      <c r="AG23" s="39"/>
      <c r="AL23" s="38"/>
      <c r="AO23" s="39"/>
      <c r="AP23" s="38"/>
      <c r="AS23" s="39"/>
      <c r="AW23" s="39"/>
      <c r="BA23" s="40"/>
    </row>
    <row r="24" spans="1:53" s="29" customFormat="1" x14ac:dyDescent="0.15">
      <c r="A24" s="52">
        <v>1968</v>
      </c>
      <c r="B24" s="295"/>
      <c r="C24" s="411" t="s">
        <v>673</v>
      </c>
      <c r="D24" s="411"/>
      <c r="E24" s="29">
        <v>0</v>
      </c>
      <c r="G24" s="66"/>
      <c r="H24" s="29">
        <v>4</v>
      </c>
      <c r="I24" s="29">
        <v>4</v>
      </c>
      <c r="J24" s="73">
        <v>8</v>
      </c>
      <c r="K24" s="47">
        <f t="shared" si="1"/>
        <v>0</v>
      </c>
      <c r="L24" s="47">
        <f t="shared" si="1"/>
        <v>50</v>
      </c>
      <c r="M24" s="47">
        <f t="shared" si="1"/>
        <v>50</v>
      </c>
      <c r="N24" s="68">
        <f t="shared" si="2"/>
        <v>100</v>
      </c>
      <c r="O24" s="46"/>
      <c r="P24" s="47">
        <v>39.299999999999997</v>
      </c>
      <c r="Q24" s="47">
        <v>37.5</v>
      </c>
      <c r="R24" s="48">
        <f t="shared" si="3"/>
        <v>76.8</v>
      </c>
      <c r="S24" s="29">
        <v>2</v>
      </c>
      <c r="T24" s="286"/>
      <c r="U24" s="295"/>
      <c r="V24" s="38" t="s">
        <v>492</v>
      </c>
      <c r="W24" s="29" t="s">
        <v>17</v>
      </c>
      <c r="X24" s="29" t="s">
        <v>323</v>
      </c>
      <c r="Y24" s="39">
        <v>39.299999999999997</v>
      </c>
      <c r="Z24" s="29" t="s">
        <v>493</v>
      </c>
      <c r="AA24" s="29" t="s">
        <v>20</v>
      </c>
      <c r="AB24" s="29" t="s">
        <v>12</v>
      </c>
      <c r="AC24" s="29">
        <v>37.5</v>
      </c>
      <c r="AD24" s="38"/>
      <c r="AG24" s="39"/>
      <c r="AL24" s="38"/>
      <c r="AO24" s="39"/>
      <c r="AP24" s="38"/>
      <c r="AS24" s="39"/>
      <c r="AW24" s="39"/>
      <c r="BA24" s="40"/>
    </row>
    <row r="25" spans="1:53" s="29" customFormat="1" x14ac:dyDescent="0.15">
      <c r="A25" s="52">
        <v>1967.62857142857</v>
      </c>
      <c r="B25" s="295"/>
      <c r="C25" s="411" t="s">
        <v>673</v>
      </c>
      <c r="D25" s="411"/>
      <c r="E25" s="29">
        <v>366</v>
      </c>
      <c r="G25" s="66"/>
      <c r="H25" s="29">
        <v>4</v>
      </c>
      <c r="I25" s="29">
        <v>4</v>
      </c>
      <c r="J25" s="73">
        <v>8</v>
      </c>
      <c r="K25" s="47">
        <f t="shared" si="1"/>
        <v>0</v>
      </c>
      <c r="L25" s="47">
        <f t="shared" si="1"/>
        <v>50</v>
      </c>
      <c r="M25" s="47">
        <f t="shared" si="1"/>
        <v>50</v>
      </c>
      <c r="N25" s="68">
        <f t="shared" si="2"/>
        <v>100</v>
      </c>
      <c r="O25" s="46"/>
      <c r="P25" s="47">
        <v>39.299999999999997</v>
      </c>
      <c r="Q25" s="47">
        <v>37.5</v>
      </c>
      <c r="R25" s="48">
        <f t="shared" si="3"/>
        <v>76.8</v>
      </c>
      <c r="S25" s="29">
        <v>2</v>
      </c>
      <c r="T25" s="286">
        <v>25187</v>
      </c>
      <c r="U25" s="295"/>
      <c r="V25" s="38" t="s">
        <v>492</v>
      </c>
      <c r="W25" s="29" t="s">
        <v>17</v>
      </c>
      <c r="X25" s="29" t="s">
        <v>323</v>
      </c>
      <c r="Y25" s="39">
        <v>39.299999999999997</v>
      </c>
      <c r="Z25" s="29" t="s">
        <v>493</v>
      </c>
      <c r="AA25" s="29" t="s">
        <v>20</v>
      </c>
      <c r="AB25" s="29" t="s">
        <v>12</v>
      </c>
      <c r="AC25" s="29">
        <v>37.5</v>
      </c>
      <c r="AD25" s="38"/>
      <c r="AG25" s="39"/>
      <c r="AL25" s="38"/>
      <c r="AO25" s="39"/>
      <c r="AP25" s="38"/>
      <c r="AS25" s="39"/>
      <c r="AW25" s="39"/>
      <c r="BA25" s="40"/>
    </row>
    <row r="26" spans="1:53" s="29" customFormat="1" x14ac:dyDescent="0.15">
      <c r="A26" s="52">
        <v>1969</v>
      </c>
      <c r="B26" s="295"/>
      <c r="C26" s="411" t="s">
        <v>673</v>
      </c>
      <c r="D26" s="411"/>
      <c r="E26" s="29">
        <v>30</v>
      </c>
      <c r="G26" s="66"/>
      <c r="H26" s="29">
        <v>4</v>
      </c>
      <c r="I26" s="29">
        <v>4</v>
      </c>
      <c r="J26" s="73">
        <v>8</v>
      </c>
      <c r="K26" s="47">
        <f t="shared" si="1"/>
        <v>0</v>
      </c>
      <c r="L26" s="47">
        <f t="shared" si="1"/>
        <v>50</v>
      </c>
      <c r="M26" s="47">
        <f t="shared" si="1"/>
        <v>50</v>
      </c>
      <c r="N26" s="68">
        <f t="shared" si="2"/>
        <v>100</v>
      </c>
      <c r="O26" s="46"/>
      <c r="P26" s="47">
        <v>39.299999999999997</v>
      </c>
      <c r="Q26" s="47">
        <v>37.5</v>
      </c>
      <c r="R26" s="48">
        <f t="shared" si="3"/>
        <v>76.8</v>
      </c>
      <c r="S26" s="29">
        <v>2</v>
      </c>
      <c r="T26" s="286"/>
      <c r="U26" s="295"/>
      <c r="V26" s="38" t="s">
        <v>492</v>
      </c>
      <c r="W26" s="29" t="s">
        <v>17</v>
      </c>
      <c r="X26" s="29" t="s">
        <v>323</v>
      </c>
      <c r="Y26" s="39">
        <v>39.299999999999997</v>
      </c>
      <c r="Z26" s="29" t="s">
        <v>493</v>
      </c>
      <c r="AA26" s="29" t="s">
        <v>20</v>
      </c>
      <c r="AB26" s="29" t="s">
        <v>12</v>
      </c>
      <c r="AC26" s="29">
        <v>37.5</v>
      </c>
      <c r="AD26" s="38"/>
      <c r="AG26" s="39"/>
      <c r="AL26" s="38"/>
      <c r="AO26" s="39"/>
      <c r="AP26" s="38"/>
      <c r="AS26" s="39"/>
      <c r="AW26" s="39"/>
      <c r="BA26" s="40"/>
    </row>
    <row r="27" spans="1:53" s="171" customFormat="1" x14ac:dyDescent="0.15">
      <c r="A27" s="216">
        <v>1968.5428571428599</v>
      </c>
      <c r="B27" s="283">
        <v>25234</v>
      </c>
      <c r="C27" s="410" t="s">
        <v>674</v>
      </c>
      <c r="D27" s="410"/>
      <c r="E27" s="171">
        <f>365-E26</f>
        <v>335</v>
      </c>
      <c r="F27" s="171">
        <v>4</v>
      </c>
      <c r="G27" s="233">
        <v>3</v>
      </c>
      <c r="H27" s="171">
        <v>4</v>
      </c>
      <c r="J27" s="241">
        <v>7</v>
      </c>
      <c r="K27" s="214">
        <f t="shared" si="1"/>
        <v>42.857142857142854</v>
      </c>
      <c r="L27" s="214">
        <f t="shared" si="1"/>
        <v>57.142857142857139</v>
      </c>
      <c r="M27" s="214">
        <f t="shared" si="1"/>
        <v>0</v>
      </c>
      <c r="N27" s="235">
        <f t="shared" si="2"/>
        <v>100</v>
      </c>
      <c r="O27" s="213">
        <v>19.600000000000001</v>
      </c>
      <c r="P27" s="214">
        <v>37.5</v>
      </c>
      <c r="Q27" s="214"/>
      <c r="R27" s="215">
        <f t="shared" si="3"/>
        <v>57.1</v>
      </c>
      <c r="S27" s="171">
        <v>2</v>
      </c>
      <c r="T27" s="285"/>
      <c r="U27" s="283">
        <v>25234</v>
      </c>
      <c r="V27" s="178" t="s">
        <v>492</v>
      </c>
      <c r="W27" s="171" t="s">
        <v>17</v>
      </c>
      <c r="X27" s="171" t="s">
        <v>323</v>
      </c>
      <c r="Y27" s="179">
        <v>37.5</v>
      </c>
      <c r="Z27" s="171" t="s">
        <v>130</v>
      </c>
      <c r="AA27" s="171" t="s">
        <v>22</v>
      </c>
      <c r="AB27" s="171" t="s">
        <v>11</v>
      </c>
      <c r="AC27" s="171">
        <v>19.600000000000001</v>
      </c>
      <c r="AD27" s="178"/>
      <c r="AG27" s="179"/>
      <c r="AL27" s="178"/>
      <c r="AO27" s="179"/>
      <c r="AP27" s="178"/>
      <c r="AS27" s="179"/>
      <c r="AW27" s="179"/>
      <c r="BA27" s="180"/>
    </row>
    <row r="28" spans="1:53" s="171" customFormat="1" x14ac:dyDescent="0.15">
      <c r="A28" s="216">
        <v>1970</v>
      </c>
      <c r="B28" s="283"/>
      <c r="C28" s="410" t="s">
        <v>674</v>
      </c>
      <c r="D28" s="410"/>
      <c r="E28" s="171">
        <v>0</v>
      </c>
      <c r="G28" s="233">
        <v>3</v>
      </c>
      <c r="H28" s="171">
        <v>4</v>
      </c>
      <c r="J28" s="241">
        <v>7</v>
      </c>
      <c r="K28" s="214">
        <f t="shared" si="1"/>
        <v>42.857142857142854</v>
      </c>
      <c r="L28" s="214">
        <f t="shared" si="1"/>
        <v>57.142857142857139</v>
      </c>
      <c r="M28" s="214">
        <f t="shared" si="1"/>
        <v>0</v>
      </c>
      <c r="N28" s="235">
        <f t="shared" si="2"/>
        <v>100</v>
      </c>
      <c r="O28" s="213">
        <v>19.600000000000001</v>
      </c>
      <c r="P28" s="214">
        <v>37.5</v>
      </c>
      <c r="Q28" s="214"/>
      <c r="R28" s="215">
        <f t="shared" si="3"/>
        <v>57.1</v>
      </c>
      <c r="S28" s="171">
        <v>2</v>
      </c>
      <c r="T28" s="285"/>
      <c r="U28" s="283"/>
      <c r="V28" s="178" t="s">
        <v>492</v>
      </c>
      <c r="W28" s="171" t="s">
        <v>17</v>
      </c>
      <c r="X28" s="171" t="s">
        <v>323</v>
      </c>
      <c r="Y28" s="179">
        <v>37.5</v>
      </c>
      <c r="Z28" s="171" t="s">
        <v>130</v>
      </c>
      <c r="AA28" s="171" t="s">
        <v>22</v>
      </c>
      <c r="AB28" s="171" t="s">
        <v>11</v>
      </c>
      <c r="AC28" s="171">
        <v>19.600000000000001</v>
      </c>
      <c r="AD28" s="178"/>
      <c r="AG28" s="179"/>
      <c r="AL28" s="178"/>
      <c r="AO28" s="179"/>
      <c r="AP28" s="178"/>
      <c r="AS28" s="179"/>
      <c r="AW28" s="179"/>
      <c r="BA28" s="180"/>
    </row>
    <row r="29" spans="1:53" s="171" customFormat="1" x14ac:dyDescent="0.15">
      <c r="A29" s="216">
        <v>1970</v>
      </c>
      <c r="B29" s="283"/>
      <c r="C29" s="410" t="s">
        <v>674</v>
      </c>
      <c r="D29" s="410"/>
      <c r="E29" s="171">
        <v>365</v>
      </c>
      <c r="G29" s="233">
        <v>3</v>
      </c>
      <c r="H29" s="171">
        <v>4</v>
      </c>
      <c r="J29" s="241">
        <v>7</v>
      </c>
      <c r="K29" s="214">
        <f t="shared" si="1"/>
        <v>42.857142857142854</v>
      </c>
      <c r="L29" s="214">
        <f t="shared" si="1"/>
        <v>57.142857142857139</v>
      </c>
      <c r="M29" s="214">
        <f t="shared" si="1"/>
        <v>0</v>
      </c>
      <c r="N29" s="235">
        <f t="shared" si="2"/>
        <v>100</v>
      </c>
      <c r="O29" s="213">
        <v>19.600000000000001</v>
      </c>
      <c r="P29" s="214">
        <v>37.5</v>
      </c>
      <c r="Q29" s="214"/>
      <c r="R29" s="215">
        <f t="shared" si="3"/>
        <v>57.1</v>
      </c>
      <c r="S29" s="171">
        <v>2</v>
      </c>
      <c r="T29" s="285"/>
      <c r="U29" s="283"/>
      <c r="V29" s="178" t="s">
        <v>492</v>
      </c>
      <c r="W29" s="171" t="s">
        <v>17</v>
      </c>
      <c r="X29" s="171" t="s">
        <v>323</v>
      </c>
      <c r="Y29" s="179">
        <v>37.5</v>
      </c>
      <c r="Z29" s="171" t="s">
        <v>130</v>
      </c>
      <c r="AA29" s="171" t="s">
        <v>22</v>
      </c>
      <c r="AB29" s="171" t="s">
        <v>11</v>
      </c>
      <c r="AC29" s="171">
        <v>19.600000000000001</v>
      </c>
      <c r="AD29" s="178"/>
      <c r="AG29" s="179"/>
      <c r="AL29" s="178"/>
      <c r="AO29" s="179"/>
      <c r="AP29" s="178"/>
      <c r="AS29" s="179"/>
      <c r="AW29" s="179"/>
      <c r="BA29" s="180"/>
    </row>
    <row r="30" spans="1:53" s="171" customFormat="1" x14ac:dyDescent="0.15">
      <c r="A30" s="216">
        <v>1971</v>
      </c>
      <c r="B30" s="283"/>
      <c r="C30" s="410" t="s">
        <v>674</v>
      </c>
      <c r="D30" s="410"/>
      <c r="E30" s="171">
        <v>0</v>
      </c>
      <c r="G30" s="233">
        <v>3</v>
      </c>
      <c r="H30" s="171">
        <v>4</v>
      </c>
      <c r="J30" s="241">
        <v>7</v>
      </c>
      <c r="K30" s="214">
        <f t="shared" si="1"/>
        <v>42.857142857142854</v>
      </c>
      <c r="L30" s="214">
        <f t="shared" si="1"/>
        <v>57.142857142857139</v>
      </c>
      <c r="M30" s="214">
        <f t="shared" si="1"/>
        <v>0</v>
      </c>
      <c r="N30" s="235">
        <f t="shared" si="2"/>
        <v>100</v>
      </c>
      <c r="O30" s="213">
        <v>19.600000000000001</v>
      </c>
      <c r="P30" s="214">
        <v>37.5</v>
      </c>
      <c r="Q30" s="214"/>
      <c r="R30" s="215">
        <f t="shared" si="3"/>
        <v>57.1</v>
      </c>
      <c r="S30" s="171">
        <v>2</v>
      </c>
      <c r="T30" s="285"/>
      <c r="U30" s="283"/>
      <c r="V30" s="178" t="s">
        <v>492</v>
      </c>
      <c r="W30" s="171" t="s">
        <v>17</v>
      </c>
      <c r="X30" s="171" t="s">
        <v>323</v>
      </c>
      <c r="Y30" s="179">
        <v>37.5</v>
      </c>
      <c r="Z30" s="171" t="s">
        <v>130</v>
      </c>
      <c r="AA30" s="171" t="s">
        <v>22</v>
      </c>
      <c r="AB30" s="171" t="s">
        <v>11</v>
      </c>
      <c r="AC30" s="171">
        <v>19.600000000000001</v>
      </c>
      <c r="AD30" s="178"/>
      <c r="AG30" s="179"/>
      <c r="AL30" s="178"/>
      <c r="AO30" s="179"/>
      <c r="AP30" s="178"/>
      <c r="AS30" s="179"/>
      <c r="AW30" s="179"/>
      <c r="BA30" s="180"/>
    </row>
    <row r="31" spans="1:53" s="171" customFormat="1" x14ac:dyDescent="0.15">
      <c r="A31" s="216">
        <v>1971</v>
      </c>
      <c r="B31" s="283"/>
      <c r="C31" s="410" t="s">
        <v>674</v>
      </c>
      <c r="D31" s="410"/>
      <c r="E31" s="171">
        <v>365</v>
      </c>
      <c r="G31" s="233">
        <v>3</v>
      </c>
      <c r="H31" s="171">
        <v>4</v>
      </c>
      <c r="J31" s="241">
        <v>7</v>
      </c>
      <c r="K31" s="214">
        <f t="shared" si="1"/>
        <v>42.857142857142854</v>
      </c>
      <c r="L31" s="214">
        <f t="shared" si="1"/>
        <v>57.142857142857139</v>
      </c>
      <c r="M31" s="214">
        <f t="shared" si="1"/>
        <v>0</v>
      </c>
      <c r="N31" s="235">
        <f t="shared" si="2"/>
        <v>100</v>
      </c>
      <c r="O31" s="213">
        <v>19.600000000000001</v>
      </c>
      <c r="P31" s="214">
        <v>37.5</v>
      </c>
      <c r="Q31" s="214"/>
      <c r="R31" s="215">
        <f t="shared" si="3"/>
        <v>57.1</v>
      </c>
      <c r="S31" s="171">
        <v>2</v>
      </c>
      <c r="T31" s="285"/>
      <c r="U31" s="283"/>
      <c r="V31" s="178" t="s">
        <v>492</v>
      </c>
      <c r="W31" s="171" t="s">
        <v>17</v>
      </c>
      <c r="X31" s="171" t="s">
        <v>323</v>
      </c>
      <c r="Y31" s="179">
        <v>37.5</v>
      </c>
      <c r="Z31" s="171" t="s">
        <v>130</v>
      </c>
      <c r="AA31" s="171" t="s">
        <v>22</v>
      </c>
      <c r="AB31" s="171" t="s">
        <v>11</v>
      </c>
      <c r="AC31" s="171">
        <v>19.600000000000001</v>
      </c>
      <c r="AD31" s="178"/>
      <c r="AG31" s="179"/>
      <c r="AL31" s="178"/>
      <c r="AO31" s="179"/>
      <c r="AP31" s="178"/>
      <c r="AS31" s="179"/>
      <c r="AW31" s="179"/>
      <c r="BA31" s="180"/>
    </row>
    <row r="32" spans="1:53" s="171" customFormat="1" x14ac:dyDescent="0.15">
      <c r="A32" s="216">
        <v>1972</v>
      </c>
      <c r="B32" s="283"/>
      <c r="C32" s="410" t="s">
        <v>674</v>
      </c>
      <c r="D32" s="410"/>
      <c r="E32" s="171">
        <v>0</v>
      </c>
      <c r="G32" s="233">
        <v>3</v>
      </c>
      <c r="H32" s="171">
        <v>4</v>
      </c>
      <c r="J32" s="241">
        <v>7</v>
      </c>
      <c r="K32" s="214">
        <f t="shared" si="1"/>
        <v>42.857142857142854</v>
      </c>
      <c r="L32" s="214">
        <f t="shared" si="1"/>
        <v>57.142857142857139</v>
      </c>
      <c r="M32" s="214">
        <f t="shared" si="1"/>
        <v>0</v>
      </c>
      <c r="N32" s="235">
        <f t="shared" si="2"/>
        <v>100</v>
      </c>
      <c r="O32" s="213">
        <v>19.600000000000001</v>
      </c>
      <c r="P32" s="214">
        <v>37.5</v>
      </c>
      <c r="Q32" s="214"/>
      <c r="R32" s="215">
        <f t="shared" si="3"/>
        <v>57.1</v>
      </c>
      <c r="S32" s="171">
        <v>2</v>
      </c>
      <c r="T32" s="285"/>
      <c r="U32" s="283"/>
      <c r="V32" s="178" t="s">
        <v>492</v>
      </c>
      <c r="W32" s="171" t="s">
        <v>17</v>
      </c>
      <c r="X32" s="171" t="s">
        <v>323</v>
      </c>
      <c r="Y32" s="179">
        <v>37.5</v>
      </c>
      <c r="Z32" s="171" t="s">
        <v>130</v>
      </c>
      <c r="AA32" s="171" t="s">
        <v>22</v>
      </c>
      <c r="AB32" s="171" t="s">
        <v>11</v>
      </c>
      <c r="AC32" s="171">
        <v>19.600000000000001</v>
      </c>
      <c r="AD32" s="178"/>
      <c r="AG32" s="179"/>
      <c r="AL32" s="178"/>
      <c r="AO32" s="179"/>
      <c r="AP32" s="178"/>
      <c r="AS32" s="179"/>
      <c r="AW32" s="179"/>
      <c r="BA32" s="180"/>
    </row>
    <row r="33" spans="1:53" s="171" customFormat="1" x14ac:dyDescent="0.15">
      <c r="A33" s="216">
        <v>1972</v>
      </c>
      <c r="B33" s="283"/>
      <c r="C33" s="410" t="s">
        <v>674</v>
      </c>
      <c r="D33" s="410"/>
      <c r="E33" s="171">
        <v>366</v>
      </c>
      <c r="G33" s="233">
        <v>3</v>
      </c>
      <c r="H33" s="171">
        <v>4</v>
      </c>
      <c r="J33" s="241">
        <v>7</v>
      </c>
      <c r="K33" s="214">
        <f t="shared" si="1"/>
        <v>42.857142857142854</v>
      </c>
      <c r="L33" s="214">
        <f t="shared" si="1"/>
        <v>57.142857142857139</v>
      </c>
      <c r="M33" s="214">
        <f t="shared" si="1"/>
        <v>0</v>
      </c>
      <c r="N33" s="235">
        <f t="shared" si="2"/>
        <v>100</v>
      </c>
      <c r="O33" s="213">
        <v>19.600000000000001</v>
      </c>
      <c r="P33" s="214">
        <v>37.5</v>
      </c>
      <c r="Q33" s="214"/>
      <c r="R33" s="215">
        <f t="shared" si="3"/>
        <v>57.1</v>
      </c>
      <c r="S33" s="171">
        <v>2</v>
      </c>
      <c r="T33" s="285"/>
      <c r="U33" s="283"/>
      <c r="V33" s="178" t="s">
        <v>492</v>
      </c>
      <c r="W33" s="171" t="s">
        <v>17</v>
      </c>
      <c r="X33" s="171" t="s">
        <v>323</v>
      </c>
      <c r="Y33" s="179">
        <v>37.5</v>
      </c>
      <c r="Z33" s="171" t="s">
        <v>130</v>
      </c>
      <c r="AA33" s="171" t="s">
        <v>22</v>
      </c>
      <c r="AB33" s="171" t="s">
        <v>11</v>
      </c>
      <c r="AC33" s="171">
        <v>19.600000000000001</v>
      </c>
      <c r="AD33" s="178"/>
      <c r="AG33" s="179"/>
      <c r="AL33" s="178"/>
      <c r="AO33" s="179"/>
      <c r="AP33" s="178"/>
      <c r="AS33" s="179"/>
      <c r="AW33" s="179"/>
      <c r="BA33" s="180"/>
    </row>
    <row r="34" spans="1:53" s="171" customFormat="1" x14ac:dyDescent="0.15">
      <c r="A34" s="216">
        <v>1973</v>
      </c>
      <c r="B34" s="283"/>
      <c r="C34" s="410" t="s">
        <v>674</v>
      </c>
      <c r="D34" s="410"/>
      <c r="E34" s="171">
        <v>0</v>
      </c>
      <c r="G34" s="233">
        <v>3</v>
      </c>
      <c r="H34" s="171">
        <v>4</v>
      </c>
      <c r="J34" s="241">
        <v>7</v>
      </c>
      <c r="K34" s="214">
        <f t="shared" si="1"/>
        <v>42.857142857142854</v>
      </c>
      <c r="L34" s="214">
        <f t="shared" si="1"/>
        <v>57.142857142857139</v>
      </c>
      <c r="M34" s="214">
        <f t="shared" si="1"/>
        <v>0</v>
      </c>
      <c r="N34" s="235">
        <f t="shared" si="2"/>
        <v>100</v>
      </c>
      <c r="O34" s="213">
        <v>19.600000000000001</v>
      </c>
      <c r="P34" s="214">
        <v>37.5</v>
      </c>
      <c r="Q34" s="214"/>
      <c r="R34" s="215">
        <f t="shared" si="3"/>
        <v>57.1</v>
      </c>
      <c r="S34" s="171">
        <v>2</v>
      </c>
      <c r="T34" s="285"/>
      <c r="U34" s="283"/>
      <c r="V34" s="178" t="s">
        <v>492</v>
      </c>
      <c r="W34" s="171" t="s">
        <v>17</v>
      </c>
      <c r="X34" s="171" t="s">
        <v>323</v>
      </c>
      <c r="Y34" s="179">
        <v>37.5</v>
      </c>
      <c r="Z34" s="171" t="s">
        <v>130</v>
      </c>
      <c r="AA34" s="171" t="s">
        <v>22</v>
      </c>
      <c r="AB34" s="171" t="s">
        <v>11</v>
      </c>
      <c r="AC34" s="171">
        <v>19.600000000000001</v>
      </c>
      <c r="AD34" s="178"/>
      <c r="AG34" s="179"/>
      <c r="AL34" s="178"/>
      <c r="AO34" s="179"/>
      <c r="AP34" s="178"/>
      <c r="AS34" s="179"/>
      <c r="AW34" s="179"/>
      <c r="BA34" s="180"/>
    </row>
    <row r="35" spans="1:53" s="171" customFormat="1" x14ac:dyDescent="0.15">
      <c r="A35" s="216">
        <v>1973</v>
      </c>
      <c r="B35" s="283"/>
      <c r="C35" s="410" t="s">
        <v>674</v>
      </c>
      <c r="D35" s="410"/>
      <c r="E35" s="171">
        <v>365</v>
      </c>
      <c r="G35" s="233">
        <v>3</v>
      </c>
      <c r="H35" s="171">
        <v>4</v>
      </c>
      <c r="J35" s="241">
        <v>7</v>
      </c>
      <c r="K35" s="214">
        <f t="shared" si="1"/>
        <v>42.857142857142854</v>
      </c>
      <c r="L35" s="214">
        <f t="shared" si="1"/>
        <v>57.142857142857139</v>
      </c>
      <c r="M35" s="214">
        <f t="shared" si="1"/>
        <v>0</v>
      </c>
      <c r="N35" s="235">
        <f t="shared" si="2"/>
        <v>100</v>
      </c>
      <c r="O35" s="213">
        <v>19.600000000000001</v>
      </c>
      <c r="P35" s="214">
        <v>37.5</v>
      </c>
      <c r="Q35" s="214"/>
      <c r="R35" s="215">
        <f t="shared" si="3"/>
        <v>57.1</v>
      </c>
      <c r="S35" s="171">
        <v>2</v>
      </c>
      <c r="T35" s="285"/>
      <c r="U35" s="283"/>
      <c r="V35" s="178" t="s">
        <v>492</v>
      </c>
      <c r="W35" s="171" t="s">
        <v>17</v>
      </c>
      <c r="X35" s="171" t="s">
        <v>323</v>
      </c>
      <c r="Y35" s="179">
        <v>37.5</v>
      </c>
      <c r="Z35" s="171" t="s">
        <v>130</v>
      </c>
      <c r="AA35" s="171" t="s">
        <v>22</v>
      </c>
      <c r="AB35" s="171" t="s">
        <v>11</v>
      </c>
      <c r="AC35" s="171">
        <v>19.600000000000001</v>
      </c>
      <c r="AD35" s="178"/>
      <c r="AG35" s="179"/>
      <c r="AL35" s="178"/>
      <c r="AO35" s="179"/>
      <c r="AP35" s="178"/>
      <c r="AS35" s="179"/>
      <c r="AW35" s="179"/>
      <c r="BA35" s="180"/>
    </row>
    <row r="36" spans="1:53" s="171" customFormat="1" x14ac:dyDescent="0.15">
      <c r="A36" s="216">
        <v>1974</v>
      </c>
      <c r="B36" s="283"/>
      <c r="C36" s="410" t="s">
        <v>674</v>
      </c>
      <c r="D36" s="410"/>
      <c r="E36" s="171">
        <v>165</v>
      </c>
      <c r="G36" s="233">
        <v>3</v>
      </c>
      <c r="H36" s="171">
        <v>4</v>
      </c>
      <c r="J36" s="241">
        <v>7</v>
      </c>
      <c r="K36" s="214">
        <f t="shared" si="1"/>
        <v>42.857142857142854</v>
      </c>
      <c r="L36" s="214">
        <f t="shared" si="1"/>
        <v>57.142857142857139</v>
      </c>
      <c r="M36" s="214">
        <f t="shared" si="1"/>
        <v>0</v>
      </c>
      <c r="N36" s="235">
        <f t="shared" si="2"/>
        <v>100</v>
      </c>
      <c r="O36" s="213">
        <v>19.600000000000001</v>
      </c>
      <c r="P36" s="214">
        <v>37.5</v>
      </c>
      <c r="Q36" s="214"/>
      <c r="R36" s="215">
        <f t="shared" si="3"/>
        <v>57.1</v>
      </c>
      <c r="S36" s="171">
        <v>2</v>
      </c>
      <c r="T36" s="285"/>
      <c r="U36" s="283"/>
      <c r="V36" s="178" t="s">
        <v>492</v>
      </c>
      <c r="W36" s="171" t="s">
        <v>17</v>
      </c>
      <c r="X36" s="171" t="s">
        <v>323</v>
      </c>
      <c r="Y36" s="179">
        <v>37.5</v>
      </c>
      <c r="Z36" s="171" t="s">
        <v>130</v>
      </c>
      <c r="AA36" s="171" t="s">
        <v>22</v>
      </c>
      <c r="AB36" s="171" t="s">
        <v>11</v>
      </c>
      <c r="AC36" s="171">
        <v>19.600000000000001</v>
      </c>
      <c r="AD36" s="178"/>
      <c r="AG36" s="179"/>
      <c r="AL36" s="178"/>
      <c r="AO36" s="179"/>
      <c r="AP36" s="178"/>
      <c r="AS36" s="179"/>
      <c r="AW36" s="179"/>
      <c r="BA36" s="180"/>
    </row>
    <row r="37" spans="1:53" s="29" customFormat="1" x14ac:dyDescent="0.15">
      <c r="A37" s="52">
        <v>1974</v>
      </c>
      <c r="B37" s="295">
        <v>27195</v>
      </c>
      <c r="C37" s="411" t="s">
        <v>675</v>
      </c>
      <c r="D37" s="411"/>
      <c r="E37" s="29">
        <f>365-E36</f>
        <v>200</v>
      </c>
      <c r="F37" s="29">
        <v>1</v>
      </c>
      <c r="G37" s="66">
        <v>4</v>
      </c>
      <c r="I37" s="29">
        <v>4</v>
      </c>
      <c r="J37" s="73">
        <v>8</v>
      </c>
      <c r="K37" s="47">
        <f t="shared" si="1"/>
        <v>50</v>
      </c>
      <c r="L37" s="47">
        <f t="shared" si="1"/>
        <v>0</v>
      </c>
      <c r="M37" s="47">
        <f t="shared" si="1"/>
        <v>50</v>
      </c>
      <c r="N37" s="68">
        <f t="shared" si="2"/>
        <v>100</v>
      </c>
      <c r="O37" s="46">
        <v>23.7</v>
      </c>
      <c r="P37" s="47"/>
      <c r="Q37" s="47">
        <v>28.8</v>
      </c>
      <c r="R37" s="48">
        <f t="shared" si="3"/>
        <v>52.5</v>
      </c>
      <c r="S37" s="29">
        <v>2</v>
      </c>
      <c r="T37" s="286">
        <v>27175</v>
      </c>
      <c r="U37" s="295">
        <v>27195</v>
      </c>
      <c r="V37" s="38" t="s">
        <v>130</v>
      </c>
      <c r="W37" s="29" t="s">
        <v>22</v>
      </c>
      <c r="X37" s="29" t="s">
        <v>11</v>
      </c>
      <c r="Y37" s="39">
        <v>23.7</v>
      </c>
      <c r="Z37" s="29" t="s">
        <v>493</v>
      </c>
      <c r="AA37" s="29" t="s">
        <v>20</v>
      </c>
      <c r="AB37" s="29" t="s">
        <v>12</v>
      </c>
      <c r="AC37" s="29">
        <v>28.8</v>
      </c>
      <c r="AD37" s="38"/>
      <c r="AG37" s="39"/>
      <c r="AL37" s="38"/>
      <c r="AO37" s="39"/>
      <c r="AP37" s="38"/>
      <c r="AS37" s="39"/>
      <c r="AW37" s="39"/>
      <c r="BA37" s="40"/>
    </row>
    <row r="38" spans="1:53" s="29" customFormat="1" x14ac:dyDescent="0.15">
      <c r="A38" s="52">
        <v>1975</v>
      </c>
      <c r="B38" s="295"/>
      <c r="C38" s="411" t="s">
        <v>675</v>
      </c>
      <c r="D38" s="411"/>
      <c r="E38" s="29">
        <v>0</v>
      </c>
      <c r="G38" s="66">
        <v>4</v>
      </c>
      <c r="I38" s="29">
        <v>4</v>
      </c>
      <c r="J38" s="73">
        <v>8</v>
      </c>
      <c r="K38" s="47">
        <f t="shared" si="1"/>
        <v>50</v>
      </c>
      <c r="L38" s="47">
        <f t="shared" si="1"/>
        <v>0</v>
      </c>
      <c r="M38" s="47">
        <f t="shared" si="1"/>
        <v>50</v>
      </c>
      <c r="N38" s="68">
        <f t="shared" si="2"/>
        <v>100</v>
      </c>
      <c r="O38" s="46">
        <v>23.7</v>
      </c>
      <c r="P38" s="47"/>
      <c r="Q38" s="47">
        <v>28.8</v>
      </c>
      <c r="R38" s="48">
        <f t="shared" si="3"/>
        <v>52.5</v>
      </c>
      <c r="S38" s="29">
        <v>2</v>
      </c>
      <c r="T38" s="286"/>
      <c r="U38" s="295"/>
      <c r="V38" s="38" t="s">
        <v>130</v>
      </c>
      <c r="W38" s="29" t="s">
        <v>22</v>
      </c>
      <c r="X38" s="29" t="s">
        <v>11</v>
      </c>
      <c r="Y38" s="39">
        <v>23.7</v>
      </c>
      <c r="Z38" s="29" t="s">
        <v>493</v>
      </c>
      <c r="AA38" s="29" t="s">
        <v>20</v>
      </c>
      <c r="AB38" s="29" t="s">
        <v>12</v>
      </c>
      <c r="AC38" s="29">
        <v>28.8</v>
      </c>
      <c r="AD38" s="38"/>
      <c r="AG38" s="39"/>
      <c r="AL38" s="38"/>
      <c r="AO38" s="39"/>
      <c r="AP38" s="38"/>
      <c r="AS38" s="39"/>
      <c r="AW38" s="39"/>
      <c r="BA38" s="40"/>
    </row>
    <row r="39" spans="1:53" s="29" customFormat="1" x14ac:dyDescent="0.15">
      <c r="A39" s="52">
        <v>1975</v>
      </c>
      <c r="B39" s="295"/>
      <c r="C39" s="411" t="s">
        <v>675</v>
      </c>
      <c r="D39" s="411"/>
      <c r="E39" s="29">
        <v>365</v>
      </c>
      <c r="G39" s="66">
        <v>4</v>
      </c>
      <c r="I39" s="29">
        <v>4</v>
      </c>
      <c r="J39" s="73">
        <v>8</v>
      </c>
      <c r="K39" s="47">
        <f t="shared" si="1"/>
        <v>50</v>
      </c>
      <c r="L39" s="47">
        <f t="shared" si="1"/>
        <v>0</v>
      </c>
      <c r="M39" s="47">
        <f t="shared" si="1"/>
        <v>50</v>
      </c>
      <c r="N39" s="68">
        <f t="shared" si="2"/>
        <v>100</v>
      </c>
      <c r="O39" s="46">
        <v>23.7</v>
      </c>
      <c r="P39" s="47"/>
      <c r="Q39" s="47">
        <v>28.8</v>
      </c>
      <c r="R39" s="48">
        <f t="shared" si="3"/>
        <v>52.5</v>
      </c>
      <c r="S39" s="29">
        <v>2</v>
      </c>
      <c r="T39" s="286"/>
      <c r="U39" s="295"/>
      <c r="V39" s="38" t="s">
        <v>130</v>
      </c>
      <c r="W39" s="29" t="s">
        <v>22</v>
      </c>
      <c r="X39" s="29" t="s">
        <v>11</v>
      </c>
      <c r="Y39" s="39">
        <v>23.7</v>
      </c>
      <c r="Z39" s="29" t="s">
        <v>493</v>
      </c>
      <c r="AA39" s="29" t="s">
        <v>20</v>
      </c>
      <c r="AB39" s="29" t="s">
        <v>12</v>
      </c>
      <c r="AC39" s="29">
        <v>28.8</v>
      </c>
      <c r="AD39" s="38"/>
      <c r="AG39" s="39"/>
      <c r="AL39" s="38"/>
      <c r="AO39" s="39"/>
      <c r="AP39" s="38"/>
      <c r="AS39" s="39"/>
      <c r="AW39" s="39"/>
      <c r="BA39" s="40"/>
    </row>
    <row r="40" spans="1:53" s="29" customFormat="1" x14ac:dyDescent="0.15">
      <c r="A40" s="52">
        <v>1976</v>
      </c>
      <c r="B40" s="295"/>
      <c r="C40" s="411" t="s">
        <v>675</v>
      </c>
      <c r="D40" s="411"/>
      <c r="E40" s="29">
        <v>0</v>
      </c>
      <c r="G40" s="66">
        <v>4</v>
      </c>
      <c r="I40" s="29">
        <v>4</v>
      </c>
      <c r="J40" s="73">
        <v>8</v>
      </c>
      <c r="K40" s="47">
        <f t="shared" si="1"/>
        <v>50</v>
      </c>
      <c r="L40" s="47">
        <f t="shared" si="1"/>
        <v>0</v>
      </c>
      <c r="M40" s="47">
        <f t="shared" si="1"/>
        <v>50</v>
      </c>
      <c r="N40" s="68">
        <f t="shared" si="2"/>
        <v>100</v>
      </c>
      <c r="O40" s="46">
        <v>23.7</v>
      </c>
      <c r="P40" s="47"/>
      <c r="Q40" s="47">
        <v>28.8</v>
      </c>
      <c r="R40" s="48">
        <f t="shared" si="3"/>
        <v>52.5</v>
      </c>
      <c r="S40" s="29">
        <v>2</v>
      </c>
      <c r="T40" s="286"/>
      <c r="U40" s="295"/>
      <c r="V40" s="38" t="s">
        <v>130</v>
      </c>
      <c r="W40" s="29" t="s">
        <v>22</v>
      </c>
      <c r="X40" s="29" t="s">
        <v>11</v>
      </c>
      <c r="Y40" s="39">
        <v>23.7</v>
      </c>
      <c r="Z40" s="29" t="s">
        <v>493</v>
      </c>
      <c r="AA40" s="29" t="s">
        <v>20</v>
      </c>
      <c r="AB40" s="29" t="s">
        <v>12</v>
      </c>
      <c r="AC40" s="29">
        <v>28.8</v>
      </c>
      <c r="AD40" s="38"/>
      <c r="AG40" s="39"/>
      <c r="AL40" s="38"/>
      <c r="AO40" s="39"/>
      <c r="AP40" s="38"/>
      <c r="AS40" s="39"/>
      <c r="AW40" s="39"/>
      <c r="BA40" s="40"/>
    </row>
    <row r="41" spans="1:53" s="29" customFormat="1" x14ac:dyDescent="0.15">
      <c r="A41" s="52">
        <v>1976</v>
      </c>
      <c r="B41" s="295"/>
      <c r="C41" s="411" t="s">
        <v>675</v>
      </c>
      <c r="D41" s="411"/>
      <c r="E41" s="29">
        <v>366</v>
      </c>
      <c r="G41" s="66">
        <v>4</v>
      </c>
      <c r="I41" s="29">
        <v>4</v>
      </c>
      <c r="J41" s="73">
        <v>8</v>
      </c>
      <c r="K41" s="47">
        <f t="shared" si="1"/>
        <v>50</v>
      </c>
      <c r="L41" s="47">
        <f t="shared" si="1"/>
        <v>0</v>
      </c>
      <c r="M41" s="47">
        <f t="shared" si="1"/>
        <v>50</v>
      </c>
      <c r="N41" s="68">
        <f t="shared" si="2"/>
        <v>100</v>
      </c>
      <c r="O41" s="46">
        <v>23.7</v>
      </c>
      <c r="P41" s="47"/>
      <c r="Q41" s="47">
        <v>28.8</v>
      </c>
      <c r="R41" s="48">
        <f t="shared" si="3"/>
        <v>52.5</v>
      </c>
      <c r="S41" s="29">
        <v>2</v>
      </c>
      <c r="T41" s="286"/>
      <c r="U41" s="295"/>
      <c r="V41" s="38" t="s">
        <v>130</v>
      </c>
      <c r="W41" s="29" t="s">
        <v>22</v>
      </c>
      <c r="X41" s="29" t="s">
        <v>11</v>
      </c>
      <c r="Y41" s="39">
        <v>23.7</v>
      </c>
      <c r="Z41" s="29" t="s">
        <v>493</v>
      </c>
      <c r="AA41" s="29" t="s">
        <v>20</v>
      </c>
      <c r="AB41" s="29" t="s">
        <v>12</v>
      </c>
      <c r="AC41" s="29">
        <v>28.8</v>
      </c>
      <c r="AD41" s="38"/>
      <c r="AG41" s="39"/>
      <c r="AL41" s="38"/>
      <c r="AO41" s="39"/>
      <c r="AP41" s="38"/>
      <c r="AS41" s="39"/>
      <c r="AW41" s="39"/>
      <c r="BA41" s="40"/>
    </row>
    <row r="42" spans="1:53" s="29" customFormat="1" x14ac:dyDescent="0.15">
      <c r="A42" s="52">
        <v>1977</v>
      </c>
      <c r="B42" s="295"/>
      <c r="C42" s="411" t="s">
        <v>675</v>
      </c>
      <c r="D42" s="411"/>
      <c r="E42" s="29">
        <v>0</v>
      </c>
      <c r="G42" s="66">
        <v>4</v>
      </c>
      <c r="I42" s="29">
        <v>4</v>
      </c>
      <c r="J42" s="73">
        <v>8</v>
      </c>
      <c r="K42" s="47">
        <f t="shared" si="1"/>
        <v>50</v>
      </c>
      <c r="L42" s="47">
        <f t="shared" si="1"/>
        <v>0</v>
      </c>
      <c r="M42" s="47">
        <f t="shared" si="1"/>
        <v>50</v>
      </c>
      <c r="N42" s="68">
        <f t="shared" si="2"/>
        <v>100</v>
      </c>
      <c r="O42" s="46">
        <v>23.7</v>
      </c>
      <c r="P42" s="47"/>
      <c r="Q42" s="47">
        <v>28.8</v>
      </c>
      <c r="R42" s="48">
        <f t="shared" si="3"/>
        <v>52.5</v>
      </c>
      <c r="S42" s="29">
        <v>2</v>
      </c>
      <c r="T42" s="286"/>
      <c r="U42" s="295"/>
      <c r="V42" s="38" t="s">
        <v>130</v>
      </c>
      <c r="W42" s="29" t="s">
        <v>22</v>
      </c>
      <c r="X42" s="29" t="s">
        <v>11</v>
      </c>
      <c r="Y42" s="39">
        <v>23.7</v>
      </c>
      <c r="Z42" s="29" t="s">
        <v>493</v>
      </c>
      <c r="AA42" s="29" t="s">
        <v>20</v>
      </c>
      <c r="AB42" s="29" t="s">
        <v>12</v>
      </c>
      <c r="AC42" s="29">
        <v>28.8</v>
      </c>
      <c r="AD42" s="38"/>
      <c r="AG42" s="39"/>
      <c r="AL42" s="38"/>
      <c r="AO42" s="39"/>
      <c r="AP42" s="38"/>
      <c r="AS42" s="39"/>
      <c r="AW42" s="39"/>
      <c r="BA42" s="40"/>
    </row>
    <row r="43" spans="1:53" s="29" customFormat="1" x14ac:dyDescent="0.15">
      <c r="A43" s="52">
        <v>1977</v>
      </c>
      <c r="B43" s="295"/>
      <c r="C43" s="411" t="s">
        <v>675</v>
      </c>
      <c r="D43" s="411"/>
      <c r="E43" s="29">
        <v>365</v>
      </c>
      <c r="G43" s="66">
        <v>4</v>
      </c>
      <c r="I43" s="29">
        <v>4</v>
      </c>
      <c r="J43" s="73">
        <v>8</v>
      </c>
      <c r="K43" s="47">
        <f t="shared" si="1"/>
        <v>50</v>
      </c>
      <c r="L43" s="47">
        <f t="shared" si="1"/>
        <v>0</v>
      </c>
      <c r="M43" s="47">
        <f t="shared" si="1"/>
        <v>50</v>
      </c>
      <c r="N43" s="68">
        <f t="shared" si="2"/>
        <v>100</v>
      </c>
      <c r="O43" s="46">
        <v>23.7</v>
      </c>
      <c r="P43" s="47"/>
      <c r="Q43" s="47">
        <v>28.8</v>
      </c>
      <c r="R43" s="48">
        <f t="shared" si="3"/>
        <v>52.5</v>
      </c>
      <c r="S43" s="29">
        <v>2</v>
      </c>
      <c r="T43" s="286"/>
      <c r="U43" s="295"/>
      <c r="V43" s="38" t="s">
        <v>130</v>
      </c>
      <c r="W43" s="29" t="s">
        <v>22</v>
      </c>
      <c r="X43" s="29" t="s">
        <v>11</v>
      </c>
      <c r="Y43" s="39">
        <v>23.7</v>
      </c>
      <c r="Z43" s="29" t="s">
        <v>493</v>
      </c>
      <c r="AA43" s="29" t="s">
        <v>20</v>
      </c>
      <c r="AB43" s="29" t="s">
        <v>12</v>
      </c>
      <c r="AC43" s="29">
        <v>28.8</v>
      </c>
      <c r="AD43" s="38"/>
      <c r="AG43" s="39"/>
      <c r="AL43" s="38"/>
      <c r="AO43" s="39"/>
      <c r="AP43" s="38"/>
      <c r="AS43" s="39"/>
      <c r="AW43" s="39"/>
      <c r="BA43" s="40"/>
    </row>
    <row r="44" spans="1:53" s="29" customFormat="1" x14ac:dyDescent="0.15">
      <c r="A44" s="52">
        <v>1978</v>
      </c>
      <c r="B44" s="295"/>
      <c r="C44" s="411" t="s">
        <v>675</v>
      </c>
      <c r="D44" s="411"/>
      <c r="E44" s="29">
        <v>0</v>
      </c>
      <c r="G44" s="66">
        <v>4</v>
      </c>
      <c r="I44" s="29">
        <v>4</v>
      </c>
      <c r="J44" s="73">
        <v>8</v>
      </c>
      <c r="K44" s="47">
        <f t="shared" si="1"/>
        <v>50</v>
      </c>
      <c r="L44" s="47">
        <f t="shared" si="1"/>
        <v>0</v>
      </c>
      <c r="M44" s="47">
        <f t="shared" si="1"/>
        <v>50</v>
      </c>
      <c r="N44" s="68">
        <f t="shared" si="2"/>
        <v>100</v>
      </c>
      <c r="O44" s="46">
        <v>23.7</v>
      </c>
      <c r="P44" s="47"/>
      <c r="Q44" s="47">
        <v>28.8</v>
      </c>
      <c r="R44" s="48">
        <f t="shared" si="3"/>
        <v>52.5</v>
      </c>
      <c r="S44" s="29">
        <v>2</v>
      </c>
      <c r="T44" s="286"/>
      <c r="U44" s="295"/>
      <c r="V44" s="38" t="s">
        <v>130</v>
      </c>
      <c r="W44" s="29" t="s">
        <v>22</v>
      </c>
      <c r="X44" s="29" t="s">
        <v>11</v>
      </c>
      <c r="Y44" s="39">
        <v>23.7</v>
      </c>
      <c r="Z44" s="29" t="s">
        <v>493</v>
      </c>
      <c r="AA44" s="29" t="s">
        <v>20</v>
      </c>
      <c r="AB44" s="29" t="s">
        <v>12</v>
      </c>
      <c r="AC44" s="29">
        <v>28.8</v>
      </c>
      <c r="AD44" s="38"/>
      <c r="AG44" s="39"/>
      <c r="AL44" s="38"/>
      <c r="AO44" s="39"/>
      <c r="AP44" s="38"/>
      <c r="AS44" s="39"/>
      <c r="AW44" s="39"/>
      <c r="BA44" s="40"/>
    </row>
    <row r="45" spans="1:53" s="29" customFormat="1" x14ac:dyDescent="0.15">
      <c r="A45" s="52">
        <v>1978</v>
      </c>
      <c r="B45" s="295"/>
      <c r="C45" s="411" t="s">
        <v>675</v>
      </c>
      <c r="D45" s="411"/>
      <c r="E45" s="29">
        <v>365</v>
      </c>
      <c r="G45" s="66">
        <v>4</v>
      </c>
      <c r="I45" s="29">
        <v>4</v>
      </c>
      <c r="J45" s="73">
        <v>8</v>
      </c>
      <c r="K45" s="47">
        <f t="shared" si="1"/>
        <v>50</v>
      </c>
      <c r="L45" s="47">
        <f t="shared" si="1"/>
        <v>0</v>
      </c>
      <c r="M45" s="47">
        <f t="shared" si="1"/>
        <v>50</v>
      </c>
      <c r="N45" s="68">
        <f t="shared" si="2"/>
        <v>100</v>
      </c>
      <c r="O45" s="46">
        <v>23.7</v>
      </c>
      <c r="P45" s="47"/>
      <c r="Q45" s="47">
        <v>28.8</v>
      </c>
      <c r="R45" s="48">
        <f t="shared" si="3"/>
        <v>52.5</v>
      </c>
      <c r="S45" s="29">
        <v>2</v>
      </c>
      <c r="T45" s="286"/>
      <c r="U45" s="295"/>
      <c r="V45" s="38" t="s">
        <v>130</v>
      </c>
      <c r="W45" s="29" t="s">
        <v>22</v>
      </c>
      <c r="X45" s="29" t="s">
        <v>11</v>
      </c>
      <c r="Y45" s="39">
        <v>23.7</v>
      </c>
      <c r="Z45" s="29" t="s">
        <v>493</v>
      </c>
      <c r="AA45" s="29" t="s">
        <v>20</v>
      </c>
      <c r="AB45" s="29" t="s">
        <v>12</v>
      </c>
      <c r="AC45" s="29">
        <v>28.8</v>
      </c>
      <c r="AD45" s="38"/>
      <c r="AG45" s="39"/>
      <c r="AL45" s="38"/>
      <c r="AO45" s="39"/>
      <c r="AP45" s="38"/>
      <c r="AS45" s="39"/>
      <c r="AW45" s="39"/>
      <c r="BA45" s="40"/>
    </row>
    <row r="46" spans="1:53" s="29" customFormat="1" ht="8.25" customHeight="1" x14ac:dyDescent="0.15">
      <c r="A46" s="52">
        <v>1979</v>
      </c>
      <c r="B46" s="295"/>
      <c r="C46" s="411" t="s">
        <v>675</v>
      </c>
      <c r="D46" s="411"/>
      <c r="E46" s="29">
        <v>195</v>
      </c>
      <c r="G46" s="66">
        <v>4</v>
      </c>
      <c r="I46" s="29">
        <v>4</v>
      </c>
      <c r="J46" s="73">
        <v>8</v>
      </c>
      <c r="K46" s="47">
        <f t="shared" si="1"/>
        <v>50</v>
      </c>
      <c r="L46" s="47">
        <f t="shared" si="1"/>
        <v>0</v>
      </c>
      <c r="M46" s="47">
        <f t="shared" si="1"/>
        <v>50</v>
      </c>
      <c r="N46" s="68">
        <f t="shared" si="2"/>
        <v>100</v>
      </c>
      <c r="O46" s="46">
        <v>23.7</v>
      </c>
      <c r="P46" s="47"/>
      <c r="Q46" s="47">
        <v>28.8</v>
      </c>
      <c r="R46" s="48">
        <f t="shared" si="3"/>
        <v>52.5</v>
      </c>
      <c r="S46" s="29">
        <v>2</v>
      </c>
      <c r="T46" s="286"/>
      <c r="U46" s="295"/>
      <c r="V46" s="38" t="s">
        <v>130</v>
      </c>
      <c r="W46" s="29" t="s">
        <v>22</v>
      </c>
      <c r="X46" s="29" t="s">
        <v>11</v>
      </c>
      <c r="Y46" s="39">
        <v>23.7</v>
      </c>
      <c r="Z46" s="29" t="s">
        <v>493</v>
      </c>
      <c r="AA46" s="29" t="s">
        <v>20</v>
      </c>
      <c r="AB46" s="29" t="s">
        <v>12</v>
      </c>
      <c r="AC46" s="29">
        <v>28.8</v>
      </c>
      <c r="AD46" s="38"/>
      <c r="AG46" s="39"/>
      <c r="AL46" s="38"/>
      <c r="AO46" s="39"/>
      <c r="AP46" s="38"/>
      <c r="AS46" s="39"/>
      <c r="AW46" s="39"/>
      <c r="BA46" s="40"/>
    </row>
    <row r="47" spans="1:53" s="171" customFormat="1" x14ac:dyDescent="0.15">
      <c r="A47" s="216">
        <v>1979</v>
      </c>
      <c r="B47" s="283">
        <v>29051</v>
      </c>
      <c r="C47" s="410" t="s">
        <v>676</v>
      </c>
      <c r="D47" s="410"/>
      <c r="E47" s="171">
        <f>365-E46</f>
        <v>170</v>
      </c>
      <c r="F47" s="171">
        <v>1</v>
      </c>
      <c r="G47" s="233">
        <v>5</v>
      </c>
      <c r="H47" s="171">
        <v>4</v>
      </c>
      <c r="J47" s="241">
        <v>9</v>
      </c>
      <c r="K47" s="214">
        <f t="shared" si="1"/>
        <v>55.555555555555557</v>
      </c>
      <c r="L47" s="214">
        <f t="shared" si="1"/>
        <v>44.444444444444443</v>
      </c>
      <c r="M47" s="214">
        <f t="shared" si="1"/>
        <v>0</v>
      </c>
      <c r="N47" s="235">
        <f t="shared" si="2"/>
        <v>100</v>
      </c>
      <c r="O47" s="213">
        <v>25.4</v>
      </c>
      <c r="P47" s="214">
        <v>40.700000000000003</v>
      </c>
      <c r="Q47" s="214"/>
      <c r="R47" s="215">
        <f t="shared" si="3"/>
        <v>66.099999999999994</v>
      </c>
      <c r="S47" s="171">
        <v>2</v>
      </c>
      <c r="T47" s="285">
        <v>29016</v>
      </c>
      <c r="U47" s="283">
        <v>29051</v>
      </c>
      <c r="V47" s="178" t="s">
        <v>492</v>
      </c>
      <c r="W47" s="171" t="s">
        <v>17</v>
      </c>
      <c r="X47" s="171" t="s">
        <v>323</v>
      </c>
      <c r="Y47" s="179">
        <v>40.700000000000003</v>
      </c>
      <c r="Z47" s="171" t="s">
        <v>130</v>
      </c>
      <c r="AA47" s="171" t="s">
        <v>22</v>
      </c>
      <c r="AB47" s="171" t="s">
        <v>11</v>
      </c>
      <c r="AC47" s="171">
        <v>25.4</v>
      </c>
      <c r="AD47" s="178"/>
      <c r="AG47" s="179"/>
      <c r="AL47" s="178"/>
      <c r="AO47" s="179"/>
      <c r="AP47" s="178"/>
      <c r="AS47" s="179"/>
      <c r="AW47" s="179"/>
      <c r="BA47" s="180"/>
    </row>
    <row r="48" spans="1:53" s="171" customFormat="1" x14ac:dyDescent="0.15">
      <c r="A48" s="216">
        <v>1980</v>
      </c>
      <c r="B48" s="283"/>
      <c r="C48" s="410" t="s">
        <v>676</v>
      </c>
      <c r="D48" s="410"/>
      <c r="E48" s="171">
        <v>0</v>
      </c>
      <c r="G48" s="233">
        <v>5</v>
      </c>
      <c r="H48" s="171">
        <v>4</v>
      </c>
      <c r="J48" s="241">
        <v>9</v>
      </c>
      <c r="K48" s="214">
        <f t="shared" si="1"/>
        <v>55.555555555555557</v>
      </c>
      <c r="L48" s="214">
        <f t="shared" si="1"/>
        <v>44.444444444444443</v>
      </c>
      <c r="M48" s="214">
        <f t="shared" si="1"/>
        <v>0</v>
      </c>
      <c r="N48" s="235">
        <f t="shared" si="2"/>
        <v>100</v>
      </c>
      <c r="O48" s="213">
        <v>25.4</v>
      </c>
      <c r="P48" s="214">
        <v>40.700000000000003</v>
      </c>
      <c r="Q48" s="214"/>
      <c r="R48" s="215">
        <f t="shared" si="3"/>
        <v>66.099999999999994</v>
      </c>
      <c r="S48" s="171">
        <v>2</v>
      </c>
      <c r="T48" s="285"/>
      <c r="U48" s="283"/>
      <c r="V48" s="178" t="s">
        <v>492</v>
      </c>
      <c r="W48" s="171" t="s">
        <v>17</v>
      </c>
      <c r="X48" s="171" t="s">
        <v>323</v>
      </c>
      <c r="Y48" s="179">
        <v>40.700000000000003</v>
      </c>
      <c r="Z48" s="171" t="s">
        <v>130</v>
      </c>
      <c r="AA48" s="171" t="s">
        <v>22</v>
      </c>
      <c r="AB48" s="171" t="s">
        <v>11</v>
      </c>
      <c r="AC48" s="171">
        <v>25.4</v>
      </c>
      <c r="AD48" s="178"/>
      <c r="AG48" s="179"/>
      <c r="AL48" s="178"/>
      <c r="AO48" s="179"/>
      <c r="AP48" s="178"/>
      <c r="AS48" s="179"/>
      <c r="AW48" s="179"/>
      <c r="BA48" s="180"/>
    </row>
    <row r="49" spans="1:53" s="171" customFormat="1" x14ac:dyDescent="0.15">
      <c r="A49" s="216">
        <v>1980</v>
      </c>
      <c r="B49" s="283"/>
      <c r="C49" s="410" t="s">
        <v>676</v>
      </c>
      <c r="D49" s="410"/>
      <c r="E49" s="171">
        <v>366</v>
      </c>
      <c r="G49" s="233">
        <v>5</v>
      </c>
      <c r="H49" s="171">
        <v>4</v>
      </c>
      <c r="J49" s="241">
        <v>9</v>
      </c>
      <c r="K49" s="214">
        <f t="shared" si="1"/>
        <v>55.555555555555557</v>
      </c>
      <c r="L49" s="214">
        <f t="shared" si="1"/>
        <v>44.444444444444443</v>
      </c>
      <c r="M49" s="214">
        <f t="shared" si="1"/>
        <v>0</v>
      </c>
      <c r="N49" s="235">
        <f t="shared" si="2"/>
        <v>100</v>
      </c>
      <c r="O49" s="213">
        <v>25.4</v>
      </c>
      <c r="P49" s="214">
        <v>40.700000000000003</v>
      </c>
      <c r="Q49" s="214"/>
      <c r="R49" s="215">
        <f t="shared" si="3"/>
        <v>66.099999999999994</v>
      </c>
      <c r="S49" s="171">
        <v>2</v>
      </c>
      <c r="T49" s="285"/>
      <c r="U49" s="283"/>
      <c r="V49" s="178" t="s">
        <v>492</v>
      </c>
      <c r="W49" s="171" t="s">
        <v>17</v>
      </c>
      <c r="X49" s="171" t="s">
        <v>323</v>
      </c>
      <c r="Y49" s="179">
        <v>40.700000000000003</v>
      </c>
      <c r="Z49" s="171" t="s">
        <v>130</v>
      </c>
      <c r="AA49" s="171" t="s">
        <v>22</v>
      </c>
      <c r="AB49" s="171" t="s">
        <v>11</v>
      </c>
      <c r="AC49" s="171">
        <v>25.4</v>
      </c>
      <c r="AD49" s="178"/>
      <c r="AG49" s="179"/>
      <c r="AL49" s="178"/>
      <c r="AO49" s="179"/>
      <c r="AP49" s="178"/>
      <c r="AS49" s="179"/>
      <c r="AW49" s="179"/>
      <c r="BA49" s="180"/>
    </row>
    <row r="50" spans="1:53" s="171" customFormat="1" x14ac:dyDescent="0.15">
      <c r="A50" s="216">
        <v>1981</v>
      </c>
      <c r="B50" s="283"/>
      <c r="C50" s="410" t="s">
        <v>676</v>
      </c>
      <c r="D50" s="410"/>
      <c r="E50" s="171">
        <v>0</v>
      </c>
      <c r="G50" s="233">
        <v>5</v>
      </c>
      <c r="H50" s="171">
        <v>4</v>
      </c>
      <c r="J50" s="241">
        <v>9</v>
      </c>
      <c r="K50" s="214">
        <f t="shared" si="1"/>
        <v>55.555555555555557</v>
      </c>
      <c r="L50" s="214">
        <f t="shared" si="1"/>
        <v>44.444444444444443</v>
      </c>
      <c r="M50" s="214">
        <f t="shared" si="1"/>
        <v>0</v>
      </c>
      <c r="N50" s="235">
        <f t="shared" si="2"/>
        <v>100</v>
      </c>
      <c r="O50" s="213">
        <v>25.4</v>
      </c>
      <c r="P50" s="214">
        <v>40.700000000000003</v>
      </c>
      <c r="Q50" s="214"/>
      <c r="R50" s="215">
        <f t="shared" si="3"/>
        <v>66.099999999999994</v>
      </c>
      <c r="S50" s="171">
        <v>2</v>
      </c>
      <c r="T50" s="285"/>
      <c r="U50" s="283"/>
      <c r="V50" s="178" t="s">
        <v>492</v>
      </c>
      <c r="W50" s="171" t="s">
        <v>17</v>
      </c>
      <c r="X50" s="171" t="s">
        <v>323</v>
      </c>
      <c r="Y50" s="179">
        <v>40.700000000000003</v>
      </c>
      <c r="Z50" s="171" t="s">
        <v>130</v>
      </c>
      <c r="AA50" s="171" t="s">
        <v>22</v>
      </c>
      <c r="AB50" s="171" t="s">
        <v>11</v>
      </c>
      <c r="AC50" s="171">
        <v>25.4</v>
      </c>
      <c r="AD50" s="178"/>
      <c r="AG50" s="179"/>
      <c r="AL50" s="178"/>
      <c r="AO50" s="179"/>
      <c r="AP50" s="178"/>
      <c r="AS50" s="179"/>
      <c r="AW50" s="179"/>
      <c r="BA50" s="180"/>
    </row>
    <row r="51" spans="1:53" s="171" customFormat="1" x14ac:dyDescent="0.15">
      <c r="A51" s="216">
        <v>1981</v>
      </c>
      <c r="B51" s="283"/>
      <c r="C51" s="410" t="s">
        <v>676</v>
      </c>
      <c r="D51" s="410"/>
      <c r="E51" s="171">
        <v>365</v>
      </c>
      <c r="G51" s="233">
        <v>5</v>
      </c>
      <c r="H51" s="171">
        <v>4</v>
      </c>
      <c r="J51" s="241">
        <v>9</v>
      </c>
      <c r="K51" s="214">
        <f t="shared" si="1"/>
        <v>55.555555555555557</v>
      </c>
      <c r="L51" s="214">
        <f t="shared" si="1"/>
        <v>44.444444444444443</v>
      </c>
      <c r="M51" s="214">
        <f t="shared" si="1"/>
        <v>0</v>
      </c>
      <c r="N51" s="235">
        <f t="shared" si="2"/>
        <v>100</v>
      </c>
      <c r="O51" s="213">
        <v>25.4</v>
      </c>
      <c r="P51" s="214">
        <v>40.700000000000003</v>
      </c>
      <c r="Q51" s="214"/>
      <c r="R51" s="215">
        <f t="shared" si="3"/>
        <v>66.099999999999994</v>
      </c>
      <c r="S51" s="171">
        <v>2</v>
      </c>
      <c r="T51" s="285"/>
      <c r="U51" s="283"/>
      <c r="V51" s="178" t="s">
        <v>492</v>
      </c>
      <c r="W51" s="171" t="s">
        <v>17</v>
      </c>
      <c r="X51" s="171" t="s">
        <v>323</v>
      </c>
      <c r="Y51" s="179">
        <v>40.700000000000003</v>
      </c>
      <c r="Z51" s="171" t="s">
        <v>130</v>
      </c>
      <c r="AA51" s="171" t="s">
        <v>22</v>
      </c>
      <c r="AB51" s="171" t="s">
        <v>11</v>
      </c>
      <c r="AC51" s="171">
        <v>25.4</v>
      </c>
      <c r="AD51" s="178"/>
      <c r="AG51" s="179"/>
      <c r="AL51" s="178"/>
      <c r="AO51" s="179"/>
      <c r="AP51" s="178"/>
      <c r="AS51" s="179"/>
      <c r="AW51" s="179"/>
      <c r="BA51" s="180"/>
    </row>
    <row r="52" spans="1:53" s="171" customFormat="1" x14ac:dyDescent="0.15">
      <c r="A52" s="216">
        <v>1982</v>
      </c>
      <c r="B52" s="283"/>
      <c r="C52" s="410" t="s">
        <v>676</v>
      </c>
      <c r="D52" s="410"/>
      <c r="E52" s="171">
        <v>0</v>
      </c>
      <c r="G52" s="233">
        <v>5</v>
      </c>
      <c r="H52" s="171">
        <v>4</v>
      </c>
      <c r="J52" s="241">
        <v>9</v>
      </c>
      <c r="K52" s="214">
        <f t="shared" si="1"/>
        <v>55.555555555555557</v>
      </c>
      <c r="L52" s="214">
        <f t="shared" si="1"/>
        <v>44.444444444444443</v>
      </c>
      <c r="M52" s="214">
        <f t="shared" si="1"/>
        <v>0</v>
      </c>
      <c r="N52" s="235">
        <f t="shared" si="2"/>
        <v>100</v>
      </c>
      <c r="O52" s="213">
        <v>25.4</v>
      </c>
      <c r="P52" s="214">
        <v>40.700000000000003</v>
      </c>
      <c r="Q52" s="214"/>
      <c r="R52" s="215">
        <f t="shared" si="3"/>
        <v>66.099999999999994</v>
      </c>
      <c r="S52" s="171">
        <v>2</v>
      </c>
      <c r="T52" s="285"/>
      <c r="U52" s="283"/>
      <c r="V52" s="178" t="s">
        <v>492</v>
      </c>
      <c r="W52" s="171" t="s">
        <v>17</v>
      </c>
      <c r="X52" s="171" t="s">
        <v>323</v>
      </c>
      <c r="Y52" s="179">
        <v>40.700000000000003</v>
      </c>
      <c r="Z52" s="171" t="s">
        <v>130</v>
      </c>
      <c r="AA52" s="171" t="s">
        <v>22</v>
      </c>
      <c r="AB52" s="171" t="s">
        <v>11</v>
      </c>
      <c r="AC52" s="171">
        <v>25.4</v>
      </c>
      <c r="AD52" s="178"/>
      <c r="AG52" s="179"/>
      <c r="AL52" s="178"/>
      <c r="AO52" s="179"/>
      <c r="AP52" s="178"/>
      <c r="AS52" s="179"/>
      <c r="AW52" s="179"/>
      <c r="BA52" s="180"/>
    </row>
    <row r="53" spans="1:53" s="171" customFormat="1" x14ac:dyDescent="0.15">
      <c r="A53" s="216">
        <v>1982</v>
      </c>
      <c r="B53" s="283"/>
      <c r="C53" s="410" t="s">
        <v>676</v>
      </c>
      <c r="D53" s="410"/>
      <c r="E53" s="171">
        <v>365</v>
      </c>
      <c r="G53" s="233">
        <v>5</v>
      </c>
      <c r="H53" s="171">
        <v>4</v>
      </c>
      <c r="J53" s="241">
        <v>9</v>
      </c>
      <c r="K53" s="214">
        <f t="shared" si="1"/>
        <v>55.555555555555557</v>
      </c>
      <c r="L53" s="214">
        <f t="shared" si="1"/>
        <v>44.444444444444443</v>
      </c>
      <c r="M53" s="214">
        <f t="shared" si="1"/>
        <v>0</v>
      </c>
      <c r="N53" s="235">
        <f t="shared" si="2"/>
        <v>100</v>
      </c>
      <c r="O53" s="213">
        <v>25.4</v>
      </c>
      <c r="P53" s="214">
        <v>40.700000000000003</v>
      </c>
      <c r="Q53" s="214"/>
      <c r="R53" s="215">
        <f t="shared" si="3"/>
        <v>66.099999999999994</v>
      </c>
      <c r="S53" s="171">
        <v>2</v>
      </c>
      <c r="T53" s="285"/>
      <c r="U53" s="283"/>
      <c r="V53" s="178" t="s">
        <v>492</v>
      </c>
      <c r="W53" s="171" t="s">
        <v>17</v>
      </c>
      <c r="X53" s="171" t="s">
        <v>323</v>
      </c>
      <c r="Y53" s="179">
        <v>40.700000000000003</v>
      </c>
      <c r="Z53" s="171" t="s">
        <v>130</v>
      </c>
      <c r="AA53" s="171" t="s">
        <v>22</v>
      </c>
      <c r="AB53" s="171" t="s">
        <v>11</v>
      </c>
      <c r="AC53" s="171">
        <v>25.4</v>
      </c>
      <c r="AD53" s="178"/>
      <c r="AG53" s="179"/>
      <c r="AL53" s="178"/>
      <c r="AO53" s="179"/>
      <c r="AP53" s="178"/>
      <c r="AS53" s="179"/>
      <c r="AW53" s="179"/>
      <c r="BA53" s="180"/>
    </row>
    <row r="54" spans="1:53" s="171" customFormat="1" x14ac:dyDescent="0.15">
      <c r="A54" s="216">
        <v>1983</v>
      </c>
      <c r="B54" s="283"/>
      <c r="C54" s="410" t="s">
        <v>676</v>
      </c>
      <c r="D54" s="410"/>
      <c r="E54" s="171">
        <v>0</v>
      </c>
      <c r="G54" s="233">
        <v>5</v>
      </c>
      <c r="H54" s="171">
        <v>4</v>
      </c>
      <c r="J54" s="241">
        <v>9</v>
      </c>
      <c r="K54" s="214">
        <f t="shared" si="1"/>
        <v>55.555555555555557</v>
      </c>
      <c r="L54" s="214">
        <f t="shared" si="1"/>
        <v>44.444444444444443</v>
      </c>
      <c r="M54" s="214">
        <f t="shared" si="1"/>
        <v>0</v>
      </c>
      <c r="N54" s="235">
        <f t="shared" si="2"/>
        <v>100</v>
      </c>
      <c r="O54" s="213">
        <v>25.4</v>
      </c>
      <c r="P54" s="214">
        <v>40.700000000000003</v>
      </c>
      <c r="Q54" s="214"/>
      <c r="R54" s="215">
        <f t="shared" si="3"/>
        <v>66.099999999999994</v>
      </c>
      <c r="S54" s="171">
        <v>2</v>
      </c>
      <c r="T54" s="285"/>
      <c r="U54" s="283"/>
      <c r="V54" s="178" t="s">
        <v>492</v>
      </c>
      <c r="W54" s="171" t="s">
        <v>17</v>
      </c>
      <c r="X54" s="171" t="s">
        <v>323</v>
      </c>
      <c r="Y54" s="179">
        <v>40.700000000000003</v>
      </c>
      <c r="Z54" s="171" t="s">
        <v>130</v>
      </c>
      <c r="AA54" s="171" t="s">
        <v>22</v>
      </c>
      <c r="AB54" s="171" t="s">
        <v>11</v>
      </c>
      <c r="AC54" s="171">
        <v>25.4</v>
      </c>
      <c r="AD54" s="178"/>
      <c r="AG54" s="179"/>
      <c r="AL54" s="178"/>
      <c r="AO54" s="179"/>
      <c r="AP54" s="178"/>
      <c r="AS54" s="179"/>
      <c r="AW54" s="179"/>
      <c r="BA54" s="180"/>
    </row>
    <row r="55" spans="1:53" s="171" customFormat="1" x14ac:dyDescent="0.15">
      <c r="A55" s="216">
        <v>1983</v>
      </c>
      <c r="B55" s="283"/>
      <c r="C55" s="410" t="s">
        <v>676</v>
      </c>
      <c r="D55" s="410"/>
      <c r="E55" s="171">
        <v>365</v>
      </c>
      <c r="G55" s="233">
        <v>5</v>
      </c>
      <c r="H55" s="171">
        <v>4</v>
      </c>
      <c r="J55" s="241">
        <v>9</v>
      </c>
      <c r="K55" s="214">
        <f t="shared" si="1"/>
        <v>55.555555555555557</v>
      </c>
      <c r="L55" s="214">
        <f t="shared" si="1"/>
        <v>44.444444444444443</v>
      </c>
      <c r="M55" s="214">
        <f t="shared" si="1"/>
        <v>0</v>
      </c>
      <c r="N55" s="235">
        <f t="shared" si="2"/>
        <v>100</v>
      </c>
      <c r="O55" s="213">
        <v>25.4</v>
      </c>
      <c r="P55" s="214">
        <v>40.700000000000003</v>
      </c>
      <c r="Q55" s="214"/>
      <c r="R55" s="215">
        <f t="shared" si="3"/>
        <v>66.099999999999994</v>
      </c>
      <c r="S55" s="171">
        <v>2</v>
      </c>
      <c r="T55" s="285"/>
      <c r="U55" s="283"/>
      <c r="V55" s="178" t="s">
        <v>492</v>
      </c>
      <c r="W55" s="171" t="s">
        <v>17</v>
      </c>
      <c r="X55" s="171" t="s">
        <v>323</v>
      </c>
      <c r="Y55" s="179">
        <v>40.700000000000003</v>
      </c>
      <c r="Z55" s="171" t="s">
        <v>130</v>
      </c>
      <c r="AA55" s="171" t="s">
        <v>22</v>
      </c>
      <c r="AB55" s="171" t="s">
        <v>11</v>
      </c>
      <c r="AC55" s="171">
        <v>25.4</v>
      </c>
      <c r="AD55" s="178"/>
      <c r="AG55" s="179"/>
      <c r="AL55" s="178"/>
      <c r="AO55" s="179"/>
      <c r="AP55" s="178"/>
      <c r="AS55" s="179"/>
      <c r="AW55" s="179"/>
      <c r="BA55" s="180"/>
    </row>
    <row r="56" spans="1:53" s="171" customFormat="1" x14ac:dyDescent="0.15">
      <c r="A56" s="216">
        <v>1984</v>
      </c>
      <c r="B56" s="283"/>
      <c r="C56" s="410" t="s">
        <v>676</v>
      </c>
      <c r="D56" s="410"/>
      <c r="E56" s="171">
        <v>201</v>
      </c>
      <c r="G56" s="233">
        <v>5</v>
      </c>
      <c r="H56" s="171">
        <v>4</v>
      </c>
      <c r="J56" s="241">
        <v>9</v>
      </c>
      <c r="K56" s="214">
        <f t="shared" si="1"/>
        <v>55.555555555555557</v>
      </c>
      <c r="L56" s="214">
        <f t="shared" si="1"/>
        <v>44.444444444444443</v>
      </c>
      <c r="M56" s="214">
        <f t="shared" si="1"/>
        <v>0</v>
      </c>
      <c r="N56" s="235">
        <f t="shared" si="2"/>
        <v>100</v>
      </c>
      <c r="O56" s="213">
        <v>25.4</v>
      </c>
      <c r="P56" s="214">
        <v>40.700000000000003</v>
      </c>
      <c r="Q56" s="214"/>
      <c r="R56" s="215">
        <f t="shared" si="3"/>
        <v>66.099999999999994</v>
      </c>
      <c r="S56" s="171">
        <v>2</v>
      </c>
      <c r="T56" s="285"/>
      <c r="U56" s="283"/>
      <c r="V56" s="178" t="s">
        <v>492</v>
      </c>
      <c r="W56" s="171" t="s">
        <v>17</v>
      </c>
      <c r="X56" s="171" t="s">
        <v>323</v>
      </c>
      <c r="Y56" s="179">
        <v>40.700000000000003</v>
      </c>
      <c r="Z56" s="171" t="s">
        <v>130</v>
      </c>
      <c r="AA56" s="171" t="s">
        <v>22</v>
      </c>
      <c r="AB56" s="171" t="s">
        <v>11</v>
      </c>
      <c r="AC56" s="171">
        <v>25.4</v>
      </c>
      <c r="AD56" s="178"/>
      <c r="AG56" s="179"/>
      <c r="AL56" s="178"/>
      <c r="AO56" s="179"/>
      <c r="AP56" s="178"/>
      <c r="AS56" s="179"/>
      <c r="AW56" s="179"/>
      <c r="BA56" s="180"/>
    </row>
    <row r="57" spans="1:53" s="29" customFormat="1" x14ac:dyDescent="0.15">
      <c r="A57" s="52">
        <v>1984</v>
      </c>
      <c r="B57" s="295">
        <v>30883</v>
      </c>
      <c r="C57" s="411" t="s">
        <v>677</v>
      </c>
      <c r="D57" s="411"/>
      <c r="E57" s="29">
        <f>366-E56</f>
        <v>165</v>
      </c>
      <c r="F57" s="29">
        <v>1</v>
      </c>
      <c r="G57" s="66"/>
      <c r="H57" s="29">
        <v>5</v>
      </c>
      <c r="I57" s="29">
        <v>4</v>
      </c>
      <c r="J57" s="73">
        <v>9</v>
      </c>
      <c r="K57" s="47">
        <f t="shared" si="1"/>
        <v>0</v>
      </c>
      <c r="L57" s="47">
        <f t="shared" si="1"/>
        <v>55.555555555555557</v>
      </c>
      <c r="M57" s="47">
        <f t="shared" si="1"/>
        <v>44.444444444444443</v>
      </c>
      <c r="N57" s="68">
        <f t="shared" si="2"/>
        <v>100</v>
      </c>
      <c r="O57" s="46"/>
      <c r="P57" s="47">
        <v>39.1</v>
      </c>
      <c r="Q57" s="47">
        <v>32.799999999999997</v>
      </c>
      <c r="R57" s="48">
        <f t="shared" si="3"/>
        <v>71.900000000000006</v>
      </c>
      <c r="S57" s="29">
        <v>2</v>
      </c>
      <c r="T57" s="286">
        <v>30850</v>
      </c>
      <c r="U57" s="295">
        <v>30883</v>
      </c>
      <c r="V57" s="38" t="s">
        <v>492</v>
      </c>
      <c r="W57" s="29" t="s">
        <v>17</v>
      </c>
      <c r="X57" s="29" t="s">
        <v>323</v>
      </c>
      <c r="Y57" s="39">
        <v>39.1</v>
      </c>
      <c r="Z57" s="29" t="s">
        <v>493</v>
      </c>
      <c r="AA57" s="29" t="s">
        <v>20</v>
      </c>
      <c r="AB57" s="29" t="s">
        <v>12</v>
      </c>
      <c r="AC57" s="29">
        <v>32.799999999999997</v>
      </c>
      <c r="AD57" s="38"/>
      <c r="AG57" s="39"/>
      <c r="AL57" s="38"/>
      <c r="AO57" s="39"/>
      <c r="AP57" s="38"/>
      <c r="AS57" s="39"/>
      <c r="AW57" s="39"/>
      <c r="BA57" s="40"/>
    </row>
    <row r="58" spans="1:53" s="29" customFormat="1" x14ac:dyDescent="0.15">
      <c r="A58" s="52">
        <v>1985</v>
      </c>
      <c r="B58" s="295"/>
      <c r="C58" s="411" t="s">
        <v>677</v>
      </c>
      <c r="D58" s="411"/>
      <c r="E58" s="29">
        <v>0</v>
      </c>
      <c r="G58" s="66"/>
      <c r="H58" s="29">
        <v>5</v>
      </c>
      <c r="I58" s="29">
        <v>4</v>
      </c>
      <c r="J58" s="73">
        <v>9</v>
      </c>
      <c r="K58" s="47">
        <f t="shared" si="1"/>
        <v>0</v>
      </c>
      <c r="L58" s="47">
        <f t="shared" si="1"/>
        <v>55.555555555555557</v>
      </c>
      <c r="M58" s="47">
        <f t="shared" si="1"/>
        <v>44.444444444444443</v>
      </c>
      <c r="N58" s="68">
        <f t="shared" si="2"/>
        <v>100</v>
      </c>
      <c r="O58" s="46"/>
      <c r="P58" s="47">
        <v>39.1</v>
      </c>
      <c r="Q58" s="47">
        <v>32.799999999999997</v>
      </c>
      <c r="R58" s="48">
        <f t="shared" si="3"/>
        <v>71.900000000000006</v>
      </c>
      <c r="S58" s="29">
        <v>2</v>
      </c>
      <c r="T58" s="286"/>
      <c r="U58" s="295"/>
      <c r="V58" s="38" t="s">
        <v>492</v>
      </c>
      <c r="W58" s="29" t="s">
        <v>17</v>
      </c>
      <c r="X58" s="29" t="s">
        <v>323</v>
      </c>
      <c r="Y58" s="39">
        <v>39.1</v>
      </c>
      <c r="Z58" s="29" t="s">
        <v>493</v>
      </c>
      <c r="AA58" s="29" t="s">
        <v>20</v>
      </c>
      <c r="AB58" s="29" t="s">
        <v>12</v>
      </c>
      <c r="AC58" s="29">
        <v>32.799999999999997</v>
      </c>
      <c r="AD58" s="38"/>
      <c r="AG58" s="39"/>
      <c r="AL58" s="38"/>
      <c r="AO58" s="39"/>
      <c r="AP58" s="38"/>
      <c r="AS58" s="39"/>
      <c r="AW58" s="39"/>
      <c r="BA58" s="40"/>
    </row>
    <row r="59" spans="1:53" s="29" customFormat="1" x14ac:dyDescent="0.15">
      <c r="A59" s="52">
        <v>1985</v>
      </c>
      <c r="B59" s="295"/>
      <c r="C59" s="411" t="s">
        <v>677</v>
      </c>
      <c r="D59" s="411"/>
      <c r="E59" s="29">
        <v>365</v>
      </c>
      <c r="G59" s="66"/>
      <c r="H59" s="29">
        <v>5</v>
      </c>
      <c r="I59" s="29">
        <v>4</v>
      </c>
      <c r="J59" s="73">
        <v>9</v>
      </c>
      <c r="K59" s="47">
        <f t="shared" si="1"/>
        <v>0</v>
      </c>
      <c r="L59" s="47">
        <f t="shared" si="1"/>
        <v>55.555555555555557</v>
      </c>
      <c r="M59" s="47">
        <f t="shared" si="1"/>
        <v>44.444444444444443</v>
      </c>
      <c r="N59" s="68">
        <f t="shared" si="2"/>
        <v>100</v>
      </c>
      <c r="O59" s="46"/>
      <c r="P59" s="47">
        <v>39.1</v>
      </c>
      <c r="Q59" s="47">
        <v>32.799999999999997</v>
      </c>
      <c r="R59" s="48">
        <f t="shared" si="3"/>
        <v>71.900000000000006</v>
      </c>
      <c r="S59" s="29">
        <v>2</v>
      </c>
      <c r="T59" s="286"/>
      <c r="U59" s="295"/>
      <c r="V59" s="38" t="s">
        <v>492</v>
      </c>
      <c r="W59" s="29" t="s">
        <v>17</v>
      </c>
      <c r="X59" s="29" t="s">
        <v>323</v>
      </c>
      <c r="Y59" s="39">
        <v>39.1</v>
      </c>
      <c r="Z59" s="29" t="s">
        <v>493</v>
      </c>
      <c r="AA59" s="29" t="s">
        <v>20</v>
      </c>
      <c r="AB59" s="29" t="s">
        <v>12</v>
      </c>
      <c r="AC59" s="29">
        <v>32.799999999999997</v>
      </c>
      <c r="AD59" s="38"/>
      <c r="AG59" s="39"/>
      <c r="AL59" s="38"/>
      <c r="AO59" s="39"/>
      <c r="AP59" s="38"/>
      <c r="AS59" s="39"/>
      <c r="AW59" s="39"/>
      <c r="BA59" s="40"/>
    </row>
    <row r="60" spans="1:53" s="29" customFormat="1" x14ac:dyDescent="0.15">
      <c r="A60" s="52">
        <v>1986</v>
      </c>
      <c r="B60" s="295"/>
      <c r="C60" s="411" t="s">
        <v>677</v>
      </c>
      <c r="D60" s="411"/>
      <c r="E60" s="29">
        <v>0</v>
      </c>
      <c r="G60" s="66"/>
      <c r="H60" s="29">
        <v>5</v>
      </c>
      <c r="I60" s="29">
        <v>4</v>
      </c>
      <c r="J60" s="73">
        <v>9</v>
      </c>
      <c r="K60" s="47">
        <f t="shared" si="1"/>
        <v>0</v>
      </c>
      <c r="L60" s="47">
        <f t="shared" si="1"/>
        <v>55.555555555555557</v>
      </c>
      <c r="M60" s="47">
        <f t="shared" si="1"/>
        <v>44.444444444444443</v>
      </c>
      <c r="N60" s="68">
        <f t="shared" si="2"/>
        <v>100</v>
      </c>
      <c r="O60" s="46"/>
      <c r="P60" s="47">
        <v>39.1</v>
      </c>
      <c r="Q60" s="47">
        <v>32.799999999999997</v>
      </c>
      <c r="R60" s="48">
        <f t="shared" si="3"/>
        <v>71.900000000000006</v>
      </c>
      <c r="S60" s="29">
        <v>2</v>
      </c>
      <c r="T60" s="286"/>
      <c r="U60" s="295"/>
      <c r="V60" s="38" t="s">
        <v>492</v>
      </c>
      <c r="W60" s="29" t="s">
        <v>17</v>
      </c>
      <c r="X60" s="29" t="s">
        <v>323</v>
      </c>
      <c r="Y60" s="39">
        <v>39.1</v>
      </c>
      <c r="Z60" s="29" t="s">
        <v>493</v>
      </c>
      <c r="AA60" s="29" t="s">
        <v>20</v>
      </c>
      <c r="AB60" s="29" t="s">
        <v>12</v>
      </c>
      <c r="AC60" s="29">
        <v>32.799999999999997</v>
      </c>
      <c r="AD60" s="38"/>
      <c r="AG60" s="39"/>
      <c r="AL60" s="38"/>
      <c r="AO60" s="39"/>
      <c r="AP60" s="38"/>
      <c r="AS60" s="39"/>
      <c r="AW60" s="39"/>
      <c r="BA60" s="40"/>
    </row>
    <row r="61" spans="1:53" s="29" customFormat="1" x14ac:dyDescent="0.15">
      <c r="A61" s="52">
        <v>1986</v>
      </c>
      <c r="B61" s="295"/>
      <c r="C61" s="411" t="s">
        <v>677</v>
      </c>
      <c r="D61" s="411"/>
      <c r="E61" s="29">
        <v>365</v>
      </c>
      <c r="G61" s="66"/>
      <c r="H61" s="29">
        <v>5</v>
      </c>
      <c r="I61" s="29">
        <v>4</v>
      </c>
      <c r="J61" s="73">
        <v>9</v>
      </c>
      <c r="K61" s="47">
        <f t="shared" si="1"/>
        <v>0</v>
      </c>
      <c r="L61" s="47">
        <f t="shared" si="1"/>
        <v>55.555555555555557</v>
      </c>
      <c r="M61" s="47">
        <f t="shared" si="1"/>
        <v>44.444444444444443</v>
      </c>
      <c r="N61" s="68">
        <f t="shared" si="2"/>
        <v>100</v>
      </c>
      <c r="O61" s="46"/>
      <c r="P61" s="47">
        <v>39.1</v>
      </c>
      <c r="Q61" s="47">
        <v>32.799999999999997</v>
      </c>
      <c r="R61" s="48">
        <f t="shared" si="3"/>
        <v>71.900000000000006</v>
      </c>
      <c r="S61" s="29">
        <v>2</v>
      </c>
      <c r="T61" s="286"/>
      <c r="U61" s="295"/>
      <c r="V61" s="38" t="s">
        <v>492</v>
      </c>
      <c r="W61" s="29" t="s">
        <v>17</v>
      </c>
      <c r="X61" s="29" t="s">
        <v>323</v>
      </c>
      <c r="Y61" s="39">
        <v>39.1</v>
      </c>
      <c r="Z61" s="29" t="s">
        <v>493</v>
      </c>
      <c r="AA61" s="29" t="s">
        <v>20</v>
      </c>
      <c r="AB61" s="29" t="s">
        <v>12</v>
      </c>
      <c r="AC61" s="29">
        <v>32.799999999999997</v>
      </c>
      <c r="AD61" s="38"/>
      <c r="AG61" s="39"/>
      <c r="AL61" s="38"/>
      <c r="AO61" s="39"/>
      <c r="AP61" s="38"/>
      <c r="AS61" s="39"/>
      <c r="AW61" s="39"/>
      <c r="BA61" s="40"/>
    </row>
    <row r="62" spans="1:53" s="29" customFormat="1" x14ac:dyDescent="0.15">
      <c r="A62" s="52">
        <v>1987</v>
      </c>
      <c r="B62" s="295"/>
      <c r="C62" s="411" t="s">
        <v>677</v>
      </c>
      <c r="D62" s="411"/>
      <c r="E62" s="29">
        <v>0</v>
      </c>
      <c r="G62" s="66"/>
      <c r="H62" s="29">
        <v>5</v>
      </c>
      <c r="I62" s="29">
        <v>4</v>
      </c>
      <c r="J62" s="73">
        <v>9</v>
      </c>
      <c r="K62" s="47">
        <f t="shared" si="1"/>
        <v>0</v>
      </c>
      <c r="L62" s="47">
        <f t="shared" si="1"/>
        <v>55.555555555555557</v>
      </c>
      <c r="M62" s="47">
        <f t="shared" si="1"/>
        <v>44.444444444444443</v>
      </c>
      <c r="N62" s="68">
        <f t="shared" si="2"/>
        <v>100</v>
      </c>
      <c r="O62" s="46"/>
      <c r="P62" s="47">
        <v>39.1</v>
      </c>
      <c r="Q62" s="47">
        <v>32.799999999999997</v>
      </c>
      <c r="R62" s="48">
        <f t="shared" si="3"/>
        <v>71.900000000000006</v>
      </c>
      <c r="S62" s="29">
        <v>2</v>
      </c>
      <c r="T62" s="286"/>
      <c r="U62" s="295"/>
      <c r="V62" s="38" t="s">
        <v>492</v>
      </c>
      <c r="W62" s="29" t="s">
        <v>17</v>
      </c>
      <c r="X62" s="29" t="s">
        <v>323</v>
      </c>
      <c r="Y62" s="39">
        <v>39.1</v>
      </c>
      <c r="Z62" s="29" t="s">
        <v>493</v>
      </c>
      <c r="AA62" s="29" t="s">
        <v>20</v>
      </c>
      <c r="AB62" s="29" t="s">
        <v>12</v>
      </c>
      <c r="AC62" s="29">
        <v>32.799999999999997</v>
      </c>
      <c r="AD62" s="38"/>
      <c r="AG62" s="39"/>
      <c r="AL62" s="38"/>
      <c r="AO62" s="39"/>
      <c r="AP62" s="38"/>
      <c r="AS62" s="39"/>
      <c r="AW62" s="39"/>
      <c r="BA62" s="40"/>
    </row>
    <row r="63" spans="1:53" s="29" customFormat="1" x14ac:dyDescent="0.15">
      <c r="A63" s="52">
        <v>1987</v>
      </c>
      <c r="B63" s="295"/>
      <c r="C63" s="411" t="s">
        <v>677</v>
      </c>
      <c r="D63" s="411"/>
      <c r="E63" s="29">
        <v>365</v>
      </c>
      <c r="G63" s="66"/>
      <c r="H63" s="29">
        <v>5</v>
      </c>
      <c r="I63" s="29">
        <v>4</v>
      </c>
      <c r="J63" s="73">
        <v>9</v>
      </c>
      <c r="K63" s="47">
        <f t="shared" si="1"/>
        <v>0</v>
      </c>
      <c r="L63" s="47">
        <f t="shared" si="1"/>
        <v>55.555555555555557</v>
      </c>
      <c r="M63" s="47">
        <f t="shared" si="1"/>
        <v>44.444444444444443</v>
      </c>
      <c r="N63" s="68">
        <f t="shared" si="2"/>
        <v>100</v>
      </c>
      <c r="O63" s="46"/>
      <c r="P63" s="47">
        <v>39.1</v>
      </c>
      <c r="Q63" s="47">
        <v>32.799999999999997</v>
      </c>
      <c r="R63" s="48">
        <f t="shared" si="3"/>
        <v>71.900000000000006</v>
      </c>
      <c r="S63" s="29">
        <v>2</v>
      </c>
      <c r="T63" s="286"/>
      <c r="U63" s="295"/>
      <c r="V63" s="38" t="s">
        <v>492</v>
      </c>
      <c r="W63" s="29" t="s">
        <v>17</v>
      </c>
      <c r="X63" s="29" t="s">
        <v>323</v>
      </c>
      <c r="Y63" s="39">
        <v>39.1</v>
      </c>
      <c r="Z63" s="29" t="s">
        <v>493</v>
      </c>
      <c r="AA63" s="29" t="s">
        <v>20</v>
      </c>
      <c r="AB63" s="29" t="s">
        <v>12</v>
      </c>
      <c r="AC63" s="29">
        <v>32.799999999999997</v>
      </c>
      <c r="AD63" s="38"/>
      <c r="AG63" s="39"/>
      <c r="AL63" s="38"/>
      <c r="AO63" s="39"/>
      <c r="AP63" s="38"/>
      <c r="AS63" s="39"/>
      <c r="AW63" s="39"/>
      <c r="BA63" s="40"/>
    </row>
    <row r="64" spans="1:53" s="29" customFormat="1" x14ac:dyDescent="0.15">
      <c r="A64" s="52">
        <v>1988</v>
      </c>
      <c r="B64" s="295"/>
      <c r="C64" s="411" t="s">
        <v>677</v>
      </c>
      <c r="D64" s="411"/>
      <c r="E64" s="29">
        <v>0</v>
      </c>
      <c r="G64" s="66"/>
      <c r="H64" s="29">
        <v>5</v>
      </c>
      <c r="I64" s="29">
        <v>4</v>
      </c>
      <c r="J64" s="73">
        <v>9</v>
      </c>
      <c r="K64" s="47">
        <f t="shared" si="1"/>
        <v>0</v>
      </c>
      <c r="L64" s="47">
        <f t="shared" si="1"/>
        <v>55.555555555555557</v>
      </c>
      <c r="M64" s="47">
        <f t="shared" si="1"/>
        <v>44.444444444444443</v>
      </c>
      <c r="N64" s="68">
        <f t="shared" si="2"/>
        <v>100</v>
      </c>
      <c r="O64" s="46"/>
      <c r="P64" s="47">
        <v>39.1</v>
      </c>
      <c r="Q64" s="47">
        <v>32.799999999999997</v>
      </c>
      <c r="R64" s="48">
        <f t="shared" si="3"/>
        <v>71.900000000000006</v>
      </c>
      <c r="S64" s="29">
        <v>2</v>
      </c>
      <c r="T64" s="286"/>
      <c r="U64" s="295"/>
      <c r="V64" s="38" t="s">
        <v>492</v>
      </c>
      <c r="W64" s="29" t="s">
        <v>17</v>
      </c>
      <c r="X64" s="29" t="s">
        <v>323</v>
      </c>
      <c r="Y64" s="39">
        <v>39.1</v>
      </c>
      <c r="Z64" s="29" t="s">
        <v>493</v>
      </c>
      <c r="AA64" s="29" t="s">
        <v>20</v>
      </c>
      <c r="AB64" s="29" t="s">
        <v>12</v>
      </c>
      <c r="AC64" s="29">
        <v>32.799999999999997</v>
      </c>
      <c r="AD64" s="38"/>
      <c r="AG64" s="39"/>
      <c r="AL64" s="38"/>
      <c r="AO64" s="39"/>
      <c r="AP64" s="38"/>
      <c r="AS64" s="39"/>
      <c r="AW64" s="39"/>
      <c r="BA64" s="40"/>
    </row>
    <row r="65" spans="1:53" s="29" customFormat="1" x14ac:dyDescent="0.15">
      <c r="A65" s="52">
        <v>1988</v>
      </c>
      <c r="B65" s="295"/>
      <c r="C65" s="411" t="s">
        <v>677</v>
      </c>
      <c r="D65" s="411"/>
      <c r="E65" s="29">
        <v>366</v>
      </c>
      <c r="G65" s="66"/>
      <c r="H65" s="29">
        <v>5</v>
      </c>
      <c r="I65" s="29">
        <v>4</v>
      </c>
      <c r="J65" s="73">
        <v>9</v>
      </c>
      <c r="K65" s="47">
        <f t="shared" si="1"/>
        <v>0</v>
      </c>
      <c r="L65" s="47">
        <f t="shared" si="1"/>
        <v>55.555555555555557</v>
      </c>
      <c r="M65" s="47">
        <f t="shared" si="1"/>
        <v>44.444444444444443</v>
      </c>
      <c r="N65" s="68">
        <f t="shared" si="2"/>
        <v>100</v>
      </c>
      <c r="O65" s="46"/>
      <c r="P65" s="47">
        <v>39.1</v>
      </c>
      <c r="Q65" s="47">
        <v>32.799999999999997</v>
      </c>
      <c r="R65" s="48">
        <f t="shared" si="3"/>
        <v>71.900000000000006</v>
      </c>
      <c r="S65" s="29">
        <v>2</v>
      </c>
      <c r="T65" s="286"/>
      <c r="U65" s="295"/>
      <c r="V65" s="38" t="s">
        <v>492</v>
      </c>
      <c r="W65" s="29" t="s">
        <v>17</v>
      </c>
      <c r="X65" s="29" t="s">
        <v>323</v>
      </c>
      <c r="Y65" s="39">
        <v>39.1</v>
      </c>
      <c r="Z65" s="29" t="s">
        <v>493</v>
      </c>
      <c r="AA65" s="29" t="s">
        <v>20</v>
      </c>
      <c r="AB65" s="29" t="s">
        <v>12</v>
      </c>
      <c r="AC65" s="29">
        <v>32.799999999999997</v>
      </c>
      <c r="AD65" s="38"/>
      <c r="AG65" s="39"/>
      <c r="AL65" s="38"/>
      <c r="AO65" s="39"/>
      <c r="AP65" s="38"/>
      <c r="AS65" s="39"/>
      <c r="AW65" s="39"/>
      <c r="BA65" s="40"/>
    </row>
    <row r="66" spans="1:53" s="29" customFormat="1" x14ac:dyDescent="0.15">
      <c r="A66" s="52">
        <v>1989</v>
      </c>
      <c r="B66" s="295"/>
      <c r="C66" s="411" t="s">
        <v>677</v>
      </c>
      <c r="D66" s="411"/>
      <c r="E66" s="29">
        <v>194</v>
      </c>
      <c r="G66" s="66"/>
      <c r="H66" s="29">
        <v>5</v>
      </c>
      <c r="I66" s="29">
        <v>4</v>
      </c>
      <c r="J66" s="73">
        <v>9</v>
      </c>
      <c r="K66" s="47">
        <f t="shared" si="1"/>
        <v>0</v>
      </c>
      <c r="L66" s="47">
        <f t="shared" si="1"/>
        <v>55.555555555555557</v>
      </c>
      <c r="M66" s="47">
        <f t="shared" si="1"/>
        <v>44.444444444444443</v>
      </c>
      <c r="N66" s="68">
        <f t="shared" si="2"/>
        <v>100</v>
      </c>
      <c r="O66" s="46"/>
      <c r="P66" s="47">
        <v>39.1</v>
      </c>
      <c r="Q66" s="47">
        <v>32.799999999999997</v>
      </c>
      <c r="R66" s="48">
        <f t="shared" si="3"/>
        <v>71.900000000000006</v>
      </c>
      <c r="S66" s="29">
        <v>2</v>
      </c>
      <c r="T66" s="286"/>
      <c r="U66" s="295"/>
      <c r="V66" s="38" t="s">
        <v>492</v>
      </c>
      <c r="W66" s="29" t="s">
        <v>17</v>
      </c>
      <c r="X66" s="29" t="s">
        <v>323</v>
      </c>
      <c r="Y66" s="39">
        <v>39.1</v>
      </c>
      <c r="Z66" s="29" t="s">
        <v>493</v>
      </c>
      <c r="AA66" s="29" t="s">
        <v>20</v>
      </c>
      <c r="AB66" s="29" t="s">
        <v>12</v>
      </c>
      <c r="AC66" s="29">
        <v>32.799999999999997</v>
      </c>
      <c r="AD66" s="38"/>
      <c r="AG66" s="39"/>
      <c r="AL66" s="38"/>
      <c r="AO66" s="39"/>
      <c r="AP66" s="38"/>
      <c r="AS66" s="39"/>
      <c r="AW66" s="39"/>
      <c r="BA66" s="40"/>
    </row>
    <row r="67" spans="1:53" s="54" customFormat="1" x14ac:dyDescent="0.15">
      <c r="A67" s="118">
        <v>1989</v>
      </c>
      <c r="B67" s="293">
        <v>32703</v>
      </c>
      <c r="C67" s="414" t="s">
        <v>678</v>
      </c>
      <c r="D67" s="414"/>
      <c r="E67" s="54">
        <f>365-E66</f>
        <v>171</v>
      </c>
      <c r="F67" s="54">
        <v>1</v>
      </c>
      <c r="G67" s="249"/>
      <c r="H67" s="54">
        <v>6</v>
      </c>
      <c r="I67" s="54">
        <v>4</v>
      </c>
      <c r="J67" s="250">
        <v>10</v>
      </c>
      <c r="K67" s="225">
        <f t="shared" si="1"/>
        <v>0</v>
      </c>
      <c r="L67" s="226">
        <f t="shared" si="1"/>
        <v>60</v>
      </c>
      <c r="M67" s="226">
        <f t="shared" si="1"/>
        <v>40</v>
      </c>
      <c r="N67" s="238">
        <f t="shared" si="2"/>
        <v>100</v>
      </c>
      <c r="O67" s="225"/>
      <c r="P67" s="226">
        <v>36.700000000000003</v>
      </c>
      <c r="Q67" s="226">
        <v>30</v>
      </c>
      <c r="R67" s="227">
        <f t="shared" si="3"/>
        <v>66.7</v>
      </c>
      <c r="S67" s="171">
        <v>2</v>
      </c>
      <c r="T67" s="287">
        <v>32677</v>
      </c>
      <c r="U67" s="293">
        <v>32703</v>
      </c>
      <c r="V67" s="55" t="s">
        <v>492</v>
      </c>
      <c r="W67" s="54" t="s">
        <v>17</v>
      </c>
      <c r="X67" s="54" t="s">
        <v>323</v>
      </c>
      <c r="Y67" s="56">
        <v>36.700000000000003</v>
      </c>
      <c r="Z67" s="54" t="s">
        <v>493</v>
      </c>
      <c r="AA67" s="54" t="s">
        <v>20</v>
      </c>
      <c r="AB67" s="54" t="s">
        <v>12</v>
      </c>
      <c r="AC67" s="56">
        <v>30</v>
      </c>
      <c r="AD67" s="55"/>
      <c r="AG67" s="56"/>
      <c r="AL67" s="55"/>
      <c r="AO67" s="56"/>
      <c r="AP67" s="55"/>
      <c r="AS67" s="56"/>
      <c r="AW67" s="56"/>
      <c r="BA67" s="57"/>
    </row>
    <row r="68" spans="1:53" s="171" customFormat="1" x14ac:dyDescent="0.15">
      <c r="A68" s="171">
        <v>1990</v>
      </c>
      <c r="B68" s="283"/>
      <c r="C68" s="410" t="s">
        <v>678</v>
      </c>
      <c r="D68" s="410"/>
      <c r="E68" s="171">
        <v>0</v>
      </c>
      <c r="G68" s="233"/>
      <c r="H68" s="171">
        <v>6</v>
      </c>
      <c r="I68" s="171">
        <v>4</v>
      </c>
      <c r="J68" s="241">
        <v>10</v>
      </c>
      <c r="K68" s="214">
        <f t="shared" si="1"/>
        <v>0</v>
      </c>
      <c r="L68" s="214">
        <f t="shared" si="1"/>
        <v>60</v>
      </c>
      <c r="M68" s="214">
        <f t="shared" si="1"/>
        <v>40</v>
      </c>
      <c r="N68" s="235">
        <f t="shared" si="2"/>
        <v>100</v>
      </c>
      <c r="O68" s="213"/>
      <c r="P68" s="214">
        <v>36.700000000000003</v>
      </c>
      <c r="Q68" s="214">
        <v>30</v>
      </c>
      <c r="R68" s="215">
        <f t="shared" si="3"/>
        <v>66.7</v>
      </c>
      <c r="S68" s="257">
        <v>2</v>
      </c>
      <c r="T68" s="285"/>
      <c r="U68" s="283"/>
      <c r="V68" s="178" t="s">
        <v>492</v>
      </c>
      <c r="W68" s="171" t="s">
        <v>17</v>
      </c>
      <c r="X68" s="171" t="s">
        <v>323</v>
      </c>
      <c r="Y68" s="179">
        <v>36.700000000000003</v>
      </c>
      <c r="Z68" s="171" t="s">
        <v>493</v>
      </c>
      <c r="AA68" s="171" t="s">
        <v>20</v>
      </c>
      <c r="AB68" s="171" t="s">
        <v>12</v>
      </c>
      <c r="AC68" s="171">
        <v>30</v>
      </c>
      <c r="AD68" s="178"/>
      <c r="AG68" s="179"/>
      <c r="AL68" s="178"/>
      <c r="AO68" s="179"/>
      <c r="AP68" s="178"/>
      <c r="AS68" s="179"/>
      <c r="AW68" s="179"/>
      <c r="BA68" s="180"/>
    </row>
    <row r="69" spans="1:53" s="171" customFormat="1" x14ac:dyDescent="0.15">
      <c r="A69" s="171">
        <v>1990</v>
      </c>
      <c r="B69" s="283"/>
      <c r="C69" s="410" t="s">
        <v>678</v>
      </c>
      <c r="D69" s="410"/>
      <c r="E69" s="171">
        <f>365-E68</f>
        <v>365</v>
      </c>
      <c r="G69" s="233"/>
      <c r="H69" s="171">
        <v>6</v>
      </c>
      <c r="I69" s="171">
        <v>4</v>
      </c>
      <c r="J69" s="241">
        <v>10</v>
      </c>
      <c r="K69" s="214">
        <f t="shared" si="1"/>
        <v>0</v>
      </c>
      <c r="L69" s="214">
        <f t="shared" si="1"/>
        <v>60</v>
      </c>
      <c r="M69" s="214">
        <f t="shared" si="1"/>
        <v>40</v>
      </c>
      <c r="N69" s="235">
        <f t="shared" si="2"/>
        <v>100</v>
      </c>
      <c r="O69" s="213"/>
      <c r="P69" s="214">
        <v>36.700000000000003</v>
      </c>
      <c r="Q69" s="214">
        <v>30</v>
      </c>
      <c r="R69" s="215">
        <f t="shared" si="3"/>
        <v>66.7</v>
      </c>
      <c r="S69" s="171">
        <v>2</v>
      </c>
      <c r="T69" s="285"/>
      <c r="U69" s="283"/>
      <c r="V69" s="178" t="s">
        <v>492</v>
      </c>
      <c r="W69" s="171" t="s">
        <v>17</v>
      </c>
      <c r="X69" s="171" t="s">
        <v>323</v>
      </c>
      <c r="Y69" s="179">
        <v>36.700000000000003</v>
      </c>
      <c r="Z69" s="171" t="s">
        <v>493</v>
      </c>
      <c r="AA69" s="171" t="s">
        <v>20</v>
      </c>
      <c r="AB69" s="171" t="s">
        <v>12</v>
      </c>
      <c r="AC69" s="171">
        <v>30</v>
      </c>
      <c r="AD69" s="178"/>
      <c r="AG69" s="179"/>
      <c r="AL69" s="178"/>
      <c r="AO69" s="179"/>
      <c r="AP69" s="178"/>
      <c r="AS69" s="179"/>
      <c r="AW69" s="179"/>
      <c r="BA69" s="180"/>
    </row>
    <row r="70" spans="1:53" s="171" customFormat="1" x14ac:dyDescent="0.15">
      <c r="A70" s="171">
        <v>1991</v>
      </c>
      <c r="B70" s="283"/>
      <c r="C70" s="410" t="s">
        <v>678</v>
      </c>
      <c r="D70" s="410"/>
      <c r="E70" s="171">
        <v>0</v>
      </c>
      <c r="G70" s="233"/>
      <c r="H70" s="171">
        <v>6</v>
      </c>
      <c r="I70" s="171">
        <v>4</v>
      </c>
      <c r="J70" s="241">
        <v>10</v>
      </c>
      <c r="K70" s="214">
        <f t="shared" si="1"/>
        <v>0</v>
      </c>
      <c r="L70" s="214">
        <f t="shared" si="1"/>
        <v>60</v>
      </c>
      <c r="M70" s="214">
        <f t="shared" si="1"/>
        <v>40</v>
      </c>
      <c r="N70" s="235">
        <f t="shared" si="2"/>
        <v>100</v>
      </c>
      <c r="O70" s="213"/>
      <c r="P70" s="214">
        <v>36.700000000000003</v>
      </c>
      <c r="Q70" s="214">
        <v>30</v>
      </c>
      <c r="R70" s="215">
        <f t="shared" si="3"/>
        <v>66.7</v>
      </c>
      <c r="S70" s="171">
        <v>2</v>
      </c>
      <c r="T70" s="285"/>
      <c r="U70" s="283"/>
      <c r="V70" s="178" t="s">
        <v>492</v>
      </c>
      <c r="W70" s="171" t="s">
        <v>17</v>
      </c>
      <c r="X70" s="171" t="s">
        <v>323</v>
      </c>
      <c r="Y70" s="179">
        <v>36.700000000000003</v>
      </c>
      <c r="Z70" s="171" t="s">
        <v>493</v>
      </c>
      <c r="AA70" s="171" t="s">
        <v>20</v>
      </c>
      <c r="AB70" s="171" t="s">
        <v>12</v>
      </c>
      <c r="AC70" s="171">
        <v>30</v>
      </c>
      <c r="AD70" s="178"/>
      <c r="AG70" s="179"/>
      <c r="AL70" s="178"/>
      <c r="AO70" s="179"/>
      <c r="AP70" s="178"/>
      <c r="AS70" s="179"/>
      <c r="AW70" s="179"/>
      <c r="BA70" s="180"/>
    </row>
    <row r="71" spans="1:53" s="171" customFormat="1" x14ac:dyDescent="0.15">
      <c r="A71" s="171">
        <v>1991</v>
      </c>
      <c r="B71" s="283"/>
      <c r="C71" s="410" t="s">
        <v>678</v>
      </c>
      <c r="D71" s="410"/>
      <c r="E71" s="171">
        <f>365-E70</f>
        <v>365</v>
      </c>
      <c r="G71" s="233"/>
      <c r="H71" s="171">
        <v>6</v>
      </c>
      <c r="I71" s="171">
        <v>4</v>
      </c>
      <c r="J71" s="241">
        <v>10</v>
      </c>
      <c r="K71" s="214">
        <f t="shared" si="1"/>
        <v>0</v>
      </c>
      <c r="L71" s="214">
        <f t="shared" si="1"/>
        <v>60</v>
      </c>
      <c r="M71" s="214">
        <f t="shared" si="1"/>
        <v>40</v>
      </c>
      <c r="N71" s="235">
        <f t="shared" si="2"/>
        <v>100</v>
      </c>
      <c r="O71" s="213"/>
      <c r="P71" s="214">
        <v>36.700000000000003</v>
      </c>
      <c r="Q71" s="214">
        <v>30</v>
      </c>
      <c r="R71" s="215">
        <f t="shared" si="3"/>
        <v>66.7</v>
      </c>
      <c r="S71" s="171">
        <v>2</v>
      </c>
      <c r="T71" s="285"/>
      <c r="U71" s="283"/>
      <c r="V71" s="178" t="s">
        <v>492</v>
      </c>
      <c r="W71" s="171" t="s">
        <v>17</v>
      </c>
      <c r="X71" s="171" t="s">
        <v>323</v>
      </c>
      <c r="Y71" s="179">
        <v>36.700000000000003</v>
      </c>
      <c r="Z71" s="171" t="s">
        <v>493</v>
      </c>
      <c r="AA71" s="171" t="s">
        <v>20</v>
      </c>
      <c r="AB71" s="171" t="s">
        <v>12</v>
      </c>
      <c r="AC71" s="171">
        <v>30</v>
      </c>
      <c r="AD71" s="178"/>
      <c r="AG71" s="179"/>
      <c r="AL71" s="178"/>
      <c r="AO71" s="179"/>
      <c r="AP71" s="178"/>
      <c r="AS71" s="179"/>
      <c r="AW71" s="179"/>
      <c r="BA71" s="180"/>
    </row>
    <row r="72" spans="1:53" s="171" customFormat="1" x14ac:dyDescent="0.15">
      <c r="A72" s="171">
        <v>1992</v>
      </c>
      <c r="B72" s="283"/>
      <c r="C72" s="410" t="s">
        <v>678</v>
      </c>
      <c r="D72" s="410"/>
      <c r="E72" s="171">
        <v>0</v>
      </c>
      <c r="G72" s="233"/>
      <c r="H72" s="171">
        <v>6</v>
      </c>
      <c r="I72" s="171">
        <v>4</v>
      </c>
      <c r="J72" s="241">
        <v>10</v>
      </c>
      <c r="K72" s="214">
        <f t="shared" si="1"/>
        <v>0</v>
      </c>
      <c r="L72" s="214">
        <f t="shared" si="1"/>
        <v>60</v>
      </c>
      <c r="M72" s="214">
        <f t="shared" si="1"/>
        <v>40</v>
      </c>
      <c r="N72" s="235">
        <f t="shared" si="2"/>
        <v>100</v>
      </c>
      <c r="O72" s="213"/>
      <c r="P72" s="214">
        <v>36.700000000000003</v>
      </c>
      <c r="Q72" s="214">
        <v>30</v>
      </c>
      <c r="R72" s="215">
        <f t="shared" si="3"/>
        <v>66.7</v>
      </c>
      <c r="S72" s="171">
        <v>2</v>
      </c>
      <c r="T72" s="285"/>
      <c r="U72" s="283"/>
      <c r="V72" s="178" t="s">
        <v>492</v>
      </c>
      <c r="W72" s="171" t="s">
        <v>17</v>
      </c>
      <c r="X72" s="171" t="s">
        <v>323</v>
      </c>
      <c r="Y72" s="179">
        <v>36.700000000000003</v>
      </c>
      <c r="Z72" s="171" t="s">
        <v>493</v>
      </c>
      <c r="AA72" s="171" t="s">
        <v>20</v>
      </c>
      <c r="AB72" s="171" t="s">
        <v>12</v>
      </c>
      <c r="AC72" s="171">
        <v>30</v>
      </c>
      <c r="AD72" s="178"/>
      <c r="AG72" s="179"/>
      <c r="AL72" s="178"/>
      <c r="AO72" s="179"/>
      <c r="AP72" s="178"/>
      <c r="AS72" s="179"/>
      <c r="AW72" s="179"/>
      <c r="BA72" s="180"/>
    </row>
    <row r="73" spans="1:53" s="171" customFormat="1" x14ac:dyDescent="0.15">
      <c r="A73" s="171">
        <v>1992</v>
      </c>
      <c r="B73" s="283"/>
      <c r="C73" s="410" t="s">
        <v>678</v>
      </c>
      <c r="D73" s="410"/>
      <c r="E73" s="171">
        <v>366</v>
      </c>
      <c r="G73" s="233"/>
      <c r="H73" s="171">
        <v>6</v>
      </c>
      <c r="I73" s="171">
        <v>4</v>
      </c>
      <c r="J73" s="241">
        <v>10</v>
      </c>
      <c r="K73" s="214">
        <f t="shared" ref="K73:M115" si="4">G73/$J73*100</f>
        <v>0</v>
      </c>
      <c r="L73" s="214">
        <f t="shared" si="4"/>
        <v>60</v>
      </c>
      <c r="M73" s="214">
        <f t="shared" si="4"/>
        <v>40</v>
      </c>
      <c r="N73" s="235">
        <f t="shared" ref="N73:N115" si="5">K73+L73+M73</f>
        <v>100</v>
      </c>
      <c r="O73" s="213"/>
      <c r="P73" s="214">
        <v>36.700000000000003</v>
      </c>
      <c r="Q73" s="214">
        <v>30</v>
      </c>
      <c r="R73" s="215">
        <f t="shared" ref="R73:R113" si="6">O73+P73+Q73</f>
        <v>66.7</v>
      </c>
      <c r="S73" s="171">
        <v>2</v>
      </c>
      <c r="T73" s="285"/>
      <c r="U73" s="283"/>
      <c r="V73" s="178" t="s">
        <v>492</v>
      </c>
      <c r="W73" s="171" t="s">
        <v>17</v>
      </c>
      <c r="X73" s="171" t="s">
        <v>323</v>
      </c>
      <c r="Y73" s="179">
        <v>36.700000000000003</v>
      </c>
      <c r="Z73" s="171" t="s">
        <v>493</v>
      </c>
      <c r="AA73" s="171" t="s">
        <v>20</v>
      </c>
      <c r="AB73" s="171" t="s">
        <v>12</v>
      </c>
      <c r="AC73" s="171">
        <v>30</v>
      </c>
      <c r="AD73" s="178"/>
      <c r="AG73" s="179"/>
      <c r="AL73" s="178"/>
      <c r="AO73" s="179"/>
      <c r="AP73" s="178"/>
      <c r="AS73" s="179"/>
      <c r="AW73" s="179"/>
      <c r="BA73" s="180"/>
    </row>
    <row r="74" spans="1:53" s="171" customFormat="1" x14ac:dyDescent="0.15">
      <c r="A74" s="171">
        <v>1993</v>
      </c>
      <c r="B74" s="283"/>
      <c r="C74" s="410" t="s">
        <v>678</v>
      </c>
      <c r="D74" s="410"/>
      <c r="E74" s="171">
        <v>0</v>
      </c>
      <c r="G74" s="233"/>
      <c r="H74" s="171">
        <v>6</v>
      </c>
      <c r="I74" s="171">
        <v>4</v>
      </c>
      <c r="J74" s="241">
        <v>10</v>
      </c>
      <c r="K74" s="214">
        <f t="shared" si="4"/>
        <v>0</v>
      </c>
      <c r="L74" s="214">
        <f t="shared" si="4"/>
        <v>60</v>
      </c>
      <c r="M74" s="214">
        <f t="shared" si="4"/>
        <v>40</v>
      </c>
      <c r="N74" s="235">
        <f t="shared" si="5"/>
        <v>100</v>
      </c>
      <c r="O74" s="213"/>
      <c r="P74" s="214">
        <v>36.700000000000003</v>
      </c>
      <c r="Q74" s="214">
        <v>30</v>
      </c>
      <c r="R74" s="215">
        <f t="shared" si="6"/>
        <v>66.7</v>
      </c>
      <c r="S74" s="171">
        <v>2</v>
      </c>
      <c r="T74" s="285"/>
      <c r="U74" s="283"/>
      <c r="V74" s="178" t="s">
        <v>492</v>
      </c>
      <c r="W74" s="171" t="s">
        <v>17</v>
      </c>
      <c r="X74" s="171" t="s">
        <v>323</v>
      </c>
      <c r="Y74" s="179">
        <v>36.700000000000003</v>
      </c>
      <c r="Z74" s="171" t="s">
        <v>493</v>
      </c>
      <c r="AA74" s="171" t="s">
        <v>20</v>
      </c>
      <c r="AB74" s="171" t="s">
        <v>12</v>
      </c>
      <c r="AC74" s="171">
        <v>30</v>
      </c>
      <c r="AD74" s="178"/>
      <c r="AG74" s="179"/>
      <c r="AL74" s="178"/>
      <c r="AO74" s="179"/>
      <c r="AP74" s="178"/>
      <c r="AS74" s="179"/>
      <c r="AW74" s="179"/>
      <c r="BA74" s="180"/>
    </row>
    <row r="75" spans="1:53" s="171" customFormat="1" x14ac:dyDescent="0.15">
      <c r="A75" s="171">
        <v>1993</v>
      </c>
      <c r="B75" s="283"/>
      <c r="C75" s="410" t="s">
        <v>678</v>
      </c>
      <c r="D75" s="410"/>
      <c r="E75" s="171">
        <f>365-E74</f>
        <v>365</v>
      </c>
      <c r="G75" s="233"/>
      <c r="H75" s="171">
        <v>6</v>
      </c>
      <c r="I75" s="171">
        <v>4</v>
      </c>
      <c r="J75" s="241">
        <v>10</v>
      </c>
      <c r="K75" s="214">
        <f t="shared" si="4"/>
        <v>0</v>
      </c>
      <c r="L75" s="214">
        <f t="shared" si="4"/>
        <v>60</v>
      </c>
      <c r="M75" s="214">
        <f t="shared" si="4"/>
        <v>40</v>
      </c>
      <c r="N75" s="235">
        <f t="shared" si="5"/>
        <v>100</v>
      </c>
      <c r="O75" s="213"/>
      <c r="P75" s="214">
        <v>36.700000000000003</v>
      </c>
      <c r="Q75" s="214">
        <v>30</v>
      </c>
      <c r="R75" s="215">
        <f t="shared" si="6"/>
        <v>66.7</v>
      </c>
      <c r="S75" s="171">
        <v>2</v>
      </c>
      <c r="T75" s="285"/>
      <c r="U75" s="283"/>
      <c r="V75" s="178" t="s">
        <v>492</v>
      </c>
      <c r="W75" s="171" t="s">
        <v>17</v>
      </c>
      <c r="X75" s="171" t="s">
        <v>323</v>
      </c>
      <c r="Y75" s="179">
        <v>36.700000000000003</v>
      </c>
      <c r="Z75" s="171" t="s">
        <v>493</v>
      </c>
      <c r="AA75" s="171" t="s">
        <v>20</v>
      </c>
      <c r="AB75" s="171" t="s">
        <v>12</v>
      </c>
      <c r="AC75" s="171">
        <v>30</v>
      </c>
      <c r="AD75" s="178"/>
      <c r="AG75" s="179"/>
      <c r="AL75" s="178"/>
      <c r="AO75" s="179"/>
      <c r="AP75" s="178"/>
      <c r="AS75" s="179"/>
      <c r="AW75" s="179"/>
      <c r="BA75" s="180"/>
    </row>
    <row r="76" spans="1:53" s="171" customFormat="1" x14ac:dyDescent="0.15">
      <c r="A76" s="171">
        <v>1994</v>
      </c>
      <c r="B76" s="283"/>
      <c r="C76" s="410" t="s">
        <v>678</v>
      </c>
      <c r="D76" s="410"/>
      <c r="E76" s="171">
        <v>193</v>
      </c>
      <c r="G76" s="233"/>
      <c r="H76" s="171">
        <v>6</v>
      </c>
      <c r="I76" s="171">
        <v>4</v>
      </c>
      <c r="J76" s="241">
        <v>10</v>
      </c>
      <c r="K76" s="214">
        <f t="shared" si="4"/>
        <v>0</v>
      </c>
      <c r="L76" s="214">
        <f t="shared" si="4"/>
        <v>60</v>
      </c>
      <c r="M76" s="214">
        <f t="shared" si="4"/>
        <v>40</v>
      </c>
      <c r="N76" s="235">
        <f t="shared" si="5"/>
        <v>100</v>
      </c>
      <c r="O76" s="213"/>
      <c r="P76" s="214">
        <v>36.700000000000003</v>
      </c>
      <c r="Q76" s="214">
        <v>30</v>
      </c>
      <c r="R76" s="215">
        <f t="shared" si="6"/>
        <v>66.7</v>
      </c>
      <c r="S76" s="171">
        <v>2</v>
      </c>
      <c r="T76" s="285"/>
      <c r="U76" s="283"/>
      <c r="V76" s="178" t="s">
        <v>492</v>
      </c>
      <c r="W76" s="171" t="s">
        <v>17</v>
      </c>
      <c r="X76" s="171" t="s">
        <v>323</v>
      </c>
      <c r="Y76" s="179">
        <v>36.700000000000003</v>
      </c>
      <c r="Z76" s="171" t="s">
        <v>493</v>
      </c>
      <c r="AA76" s="171" t="s">
        <v>20</v>
      </c>
      <c r="AB76" s="171" t="s">
        <v>12</v>
      </c>
      <c r="AC76" s="171">
        <v>30</v>
      </c>
      <c r="AD76" s="178"/>
      <c r="AG76" s="179"/>
      <c r="AL76" s="178"/>
      <c r="AO76" s="179"/>
      <c r="AP76" s="178"/>
      <c r="AS76" s="179"/>
      <c r="AW76" s="179"/>
      <c r="BA76" s="180"/>
    </row>
    <row r="77" spans="1:53" s="29" customFormat="1" x14ac:dyDescent="0.15">
      <c r="A77" s="29">
        <v>1994</v>
      </c>
      <c r="B77" s="295">
        <v>34528</v>
      </c>
      <c r="C77" s="411" t="s">
        <v>679</v>
      </c>
      <c r="D77" s="411"/>
      <c r="E77" s="29">
        <f>365-E76</f>
        <v>172</v>
      </c>
      <c r="F77" s="29">
        <v>1</v>
      </c>
      <c r="G77" s="66"/>
      <c r="H77" s="29">
        <v>6</v>
      </c>
      <c r="I77" s="29">
        <v>6</v>
      </c>
      <c r="J77" s="73">
        <v>12</v>
      </c>
      <c r="K77" s="47">
        <f t="shared" si="4"/>
        <v>0</v>
      </c>
      <c r="L77" s="47">
        <f t="shared" si="4"/>
        <v>50</v>
      </c>
      <c r="M77" s="47">
        <f t="shared" si="4"/>
        <v>50</v>
      </c>
      <c r="N77" s="68">
        <f t="shared" si="5"/>
        <v>100</v>
      </c>
      <c r="O77" s="46"/>
      <c r="P77" s="47">
        <v>35</v>
      </c>
      <c r="Q77" s="47">
        <v>28.3</v>
      </c>
      <c r="R77" s="48">
        <f t="shared" si="6"/>
        <v>63.3</v>
      </c>
      <c r="S77" s="29">
        <v>2</v>
      </c>
      <c r="T77" s="286">
        <v>34497</v>
      </c>
      <c r="U77" s="295">
        <v>34528</v>
      </c>
      <c r="V77" s="38" t="s">
        <v>492</v>
      </c>
      <c r="W77" s="29" t="s">
        <v>17</v>
      </c>
      <c r="X77" s="29" t="s">
        <v>323</v>
      </c>
      <c r="Y77" s="39">
        <v>35</v>
      </c>
      <c r="Z77" s="29" t="s">
        <v>493</v>
      </c>
      <c r="AA77" s="29" t="s">
        <v>20</v>
      </c>
      <c r="AB77" s="29" t="s">
        <v>12</v>
      </c>
      <c r="AC77" s="29">
        <v>28.3</v>
      </c>
      <c r="AD77" s="38"/>
      <c r="AG77" s="39"/>
      <c r="AL77" s="38"/>
      <c r="AO77" s="39"/>
      <c r="AP77" s="38"/>
      <c r="AS77" s="39"/>
      <c r="AW77" s="39"/>
      <c r="BA77" s="40"/>
    </row>
    <row r="78" spans="1:53" s="29" customFormat="1" x14ac:dyDescent="0.15">
      <c r="A78" s="29">
        <v>1995</v>
      </c>
      <c r="B78" s="295"/>
      <c r="C78" s="411" t="s">
        <v>679</v>
      </c>
      <c r="D78" s="411"/>
      <c r="E78" s="29">
        <v>25</v>
      </c>
      <c r="G78" s="66"/>
      <c r="H78" s="29">
        <v>6</v>
      </c>
      <c r="I78" s="29">
        <v>6</v>
      </c>
      <c r="J78" s="73">
        <v>12</v>
      </c>
      <c r="K78" s="47">
        <f t="shared" si="4"/>
        <v>0</v>
      </c>
      <c r="L78" s="47">
        <f t="shared" si="4"/>
        <v>50</v>
      </c>
      <c r="M78" s="47">
        <f t="shared" si="4"/>
        <v>50</v>
      </c>
      <c r="N78" s="68">
        <f t="shared" si="5"/>
        <v>100</v>
      </c>
      <c r="O78" s="46"/>
      <c r="P78" s="47">
        <v>35</v>
      </c>
      <c r="Q78" s="47">
        <v>28.3</v>
      </c>
      <c r="R78" s="48">
        <f t="shared" si="6"/>
        <v>63.3</v>
      </c>
      <c r="S78" s="29">
        <v>2</v>
      </c>
      <c r="T78" s="286"/>
      <c r="U78" s="295"/>
      <c r="V78" s="38" t="s">
        <v>492</v>
      </c>
      <c r="W78" s="29" t="s">
        <v>17</v>
      </c>
      <c r="X78" s="29" t="s">
        <v>323</v>
      </c>
      <c r="Y78" s="39">
        <v>35</v>
      </c>
      <c r="Z78" s="29" t="s">
        <v>493</v>
      </c>
      <c r="AA78" s="29" t="s">
        <v>20</v>
      </c>
      <c r="AB78" s="29" t="s">
        <v>12</v>
      </c>
      <c r="AC78" s="29">
        <v>28.3</v>
      </c>
      <c r="AD78" s="38"/>
      <c r="AG78" s="39"/>
      <c r="AL78" s="38"/>
      <c r="AO78" s="39"/>
      <c r="AP78" s="38"/>
      <c r="AS78" s="39"/>
      <c r="AW78" s="39"/>
      <c r="BA78" s="40"/>
    </row>
    <row r="79" spans="1:53" s="171" customFormat="1" x14ac:dyDescent="0.15">
      <c r="A79" s="171">
        <v>1995</v>
      </c>
      <c r="B79" s="283">
        <v>34725</v>
      </c>
      <c r="C79" s="410" t="s">
        <v>680</v>
      </c>
      <c r="D79" s="410"/>
      <c r="E79" s="171">
        <f>365-E78</f>
        <v>340</v>
      </c>
      <c r="F79" s="171">
        <v>2</v>
      </c>
      <c r="G79" s="233"/>
      <c r="H79" s="171">
        <v>6</v>
      </c>
      <c r="I79" s="171">
        <v>6</v>
      </c>
      <c r="J79" s="241">
        <v>12</v>
      </c>
      <c r="K79" s="214">
        <f t="shared" si="4"/>
        <v>0</v>
      </c>
      <c r="L79" s="214">
        <f t="shared" si="4"/>
        <v>50</v>
      </c>
      <c r="M79" s="214">
        <f t="shared" si="4"/>
        <v>50</v>
      </c>
      <c r="N79" s="235">
        <f t="shared" si="5"/>
        <v>100</v>
      </c>
      <c r="O79" s="213"/>
      <c r="P79" s="214">
        <v>35</v>
      </c>
      <c r="Q79" s="214">
        <v>28.3</v>
      </c>
      <c r="R79" s="215">
        <f t="shared" si="6"/>
        <v>63.3</v>
      </c>
      <c r="S79" s="171">
        <v>2</v>
      </c>
      <c r="T79" s="285"/>
      <c r="U79" s="283">
        <v>34725</v>
      </c>
      <c r="V79" s="178" t="s">
        <v>492</v>
      </c>
      <c r="W79" s="171" t="s">
        <v>17</v>
      </c>
      <c r="X79" s="171" t="s">
        <v>323</v>
      </c>
      <c r="Y79" s="179">
        <v>35</v>
      </c>
      <c r="Z79" s="171" t="s">
        <v>493</v>
      </c>
      <c r="AA79" s="171" t="s">
        <v>20</v>
      </c>
      <c r="AB79" s="171" t="s">
        <v>12</v>
      </c>
      <c r="AC79" s="171">
        <v>28.3</v>
      </c>
      <c r="AD79" s="178"/>
      <c r="AG79" s="179"/>
      <c r="AL79" s="178"/>
      <c r="AO79" s="179"/>
      <c r="AP79" s="178"/>
      <c r="AS79" s="179"/>
      <c r="AW79" s="179"/>
      <c r="BA79" s="180"/>
    </row>
    <row r="80" spans="1:53" s="171" customFormat="1" x14ac:dyDescent="0.15">
      <c r="A80" s="171">
        <v>1996</v>
      </c>
      <c r="B80" s="283"/>
      <c r="C80" s="410" t="s">
        <v>680</v>
      </c>
      <c r="D80" s="410"/>
      <c r="E80" s="171">
        <v>0</v>
      </c>
      <c r="G80" s="233"/>
      <c r="H80" s="171">
        <v>6</v>
      </c>
      <c r="I80" s="171">
        <v>6</v>
      </c>
      <c r="J80" s="241">
        <v>12</v>
      </c>
      <c r="K80" s="214">
        <f t="shared" si="4"/>
        <v>0</v>
      </c>
      <c r="L80" s="214">
        <f t="shared" si="4"/>
        <v>50</v>
      </c>
      <c r="M80" s="214">
        <f t="shared" si="4"/>
        <v>50</v>
      </c>
      <c r="N80" s="235">
        <f t="shared" si="5"/>
        <v>100</v>
      </c>
      <c r="O80" s="213"/>
      <c r="P80" s="214">
        <v>35</v>
      </c>
      <c r="Q80" s="214">
        <v>28.3</v>
      </c>
      <c r="R80" s="215">
        <f t="shared" si="6"/>
        <v>63.3</v>
      </c>
      <c r="S80" s="171">
        <v>2</v>
      </c>
      <c r="T80" s="285"/>
      <c r="U80" s="283"/>
      <c r="V80" s="178" t="s">
        <v>492</v>
      </c>
      <c r="W80" s="171" t="s">
        <v>17</v>
      </c>
      <c r="X80" s="171" t="s">
        <v>323</v>
      </c>
      <c r="Y80" s="179">
        <v>35</v>
      </c>
      <c r="Z80" s="171" t="s">
        <v>493</v>
      </c>
      <c r="AA80" s="171" t="s">
        <v>20</v>
      </c>
      <c r="AB80" s="171" t="s">
        <v>12</v>
      </c>
      <c r="AC80" s="171">
        <v>28.3</v>
      </c>
      <c r="AD80" s="178"/>
      <c r="AG80" s="179"/>
      <c r="AL80" s="178"/>
      <c r="AO80" s="179"/>
      <c r="AP80" s="178"/>
      <c r="AS80" s="179"/>
      <c r="AW80" s="179"/>
      <c r="BA80" s="180"/>
    </row>
    <row r="81" spans="1:53" s="171" customFormat="1" x14ac:dyDescent="0.15">
      <c r="A81" s="171">
        <v>1996</v>
      </c>
      <c r="B81" s="283"/>
      <c r="C81" s="410" t="s">
        <v>680</v>
      </c>
      <c r="D81" s="410"/>
      <c r="E81" s="171">
        <v>366</v>
      </c>
      <c r="G81" s="233"/>
      <c r="H81" s="171">
        <v>6</v>
      </c>
      <c r="I81" s="171">
        <v>6</v>
      </c>
      <c r="J81" s="241">
        <v>12</v>
      </c>
      <c r="K81" s="214">
        <f t="shared" si="4"/>
        <v>0</v>
      </c>
      <c r="L81" s="214">
        <f t="shared" si="4"/>
        <v>50</v>
      </c>
      <c r="M81" s="214">
        <f t="shared" si="4"/>
        <v>50</v>
      </c>
      <c r="N81" s="235">
        <f t="shared" si="5"/>
        <v>100</v>
      </c>
      <c r="O81" s="213"/>
      <c r="P81" s="214">
        <v>35</v>
      </c>
      <c r="Q81" s="214">
        <v>28.3</v>
      </c>
      <c r="R81" s="215">
        <f t="shared" si="6"/>
        <v>63.3</v>
      </c>
      <c r="S81" s="171">
        <v>2</v>
      </c>
      <c r="T81" s="285"/>
      <c r="U81" s="283"/>
      <c r="V81" s="178" t="s">
        <v>492</v>
      </c>
      <c r="W81" s="171" t="s">
        <v>17</v>
      </c>
      <c r="X81" s="171" t="s">
        <v>323</v>
      </c>
      <c r="Y81" s="179">
        <v>35</v>
      </c>
      <c r="Z81" s="171" t="s">
        <v>493</v>
      </c>
      <c r="AA81" s="171" t="s">
        <v>20</v>
      </c>
      <c r="AB81" s="171" t="s">
        <v>12</v>
      </c>
      <c r="AC81" s="171">
        <v>28.3</v>
      </c>
      <c r="AD81" s="178"/>
      <c r="AG81" s="179"/>
      <c r="AL81" s="178"/>
      <c r="AO81" s="179"/>
      <c r="AP81" s="178"/>
      <c r="AS81" s="179"/>
      <c r="AW81" s="179"/>
      <c r="BA81" s="180"/>
    </row>
    <row r="82" spans="1:53" s="171" customFormat="1" x14ac:dyDescent="0.15">
      <c r="A82" s="171">
        <v>1997</v>
      </c>
      <c r="B82" s="283"/>
      <c r="C82" s="410" t="s">
        <v>680</v>
      </c>
      <c r="D82" s="410"/>
      <c r="E82" s="171">
        <v>0</v>
      </c>
      <c r="G82" s="233"/>
      <c r="H82" s="171">
        <v>6</v>
      </c>
      <c r="I82" s="171">
        <v>6</v>
      </c>
      <c r="J82" s="241">
        <v>12</v>
      </c>
      <c r="K82" s="214">
        <f t="shared" si="4"/>
        <v>0</v>
      </c>
      <c r="L82" s="214">
        <f t="shared" si="4"/>
        <v>50</v>
      </c>
      <c r="M82" s="214">
        <f t="shared" si="4"/>
        <v>50</v>
      </c>
      <c r="N82" s="235">
        <f t="shared" si="5"/>
        <v>100</v>
      </c>
      <c r="O82" s="213"/>
      <c r="P82" s="214">
        <v>35</v>
      </c>
      <c r="Q82" s="214">
        <v>28.3</v>
      </c>
      <c r="R82" s="215">
        <f t="shared" si="6"/>
        <v>63.3</v>
      </c>
      <c r="S82" s="171">
        <v>2</v>
      </c>
      <c r="T82" s="285"/>
      <c r="U82" s="283"/>
      <c r="V82" s="178" t="s">
        <v>492</v>
      </c>
      <c r="W82" s="171" t="s">
        <v>17</v>
      </c>
      <c r="X82" s="171" t="s">
        <v>323</v>
      </c>
      <c r="Y82" s="179">
        <v>35</v>
      </c>
      <c r="Z82" s="171" t="s">
        <v>493</v>
      </c>
      <c r="AA82" s="171" t="s">
        <v>20</v>
      </c>
      <c r="AB82" s="171" t="s">
        <v>12</v>
      </c>
      <c r="AC82" s="171">
        <v>28.3</v>
      </c>
      <c r="AD82" s="178"/>
      <c r="AG82" s="179"/>
      <c r="AL82" s="178"/>
      <c r="AO82" s="179"/>
      <c r="AP82" s="178"/>
      <c r="AS82" s="179"/>
      <c r="AW82" s="179"/>
      <c r="BA82" s="180"/>
    </row>
    <row r="83" spans="1:53" s="171" customFormat="1" x14ac:dyDescent="0.15">
      <c r="A83" s="171">
        <v>1997</v>
      </c>
      <c r="B83" s="283"/>
      <c r="C83" s="410" t="s">
        <v>680</v>
      </c>
      <c r="D83" s="410"/>
      <c r="E83" s="171">
        <f>365-E82</f>
        <v>365</v>
      </c>
      <c r="G83" s="233"/>
      <c r="H83" s="171">
        <v>6</v>
      </c>
      <c r="I83" s="171">
        <v>6</v>
      </c>
      <c r="J83" s="241">
        <v>12</v>
      </c>
      <c r="K83" s="214">
        <f t="shared" si="4"/>
        <v>0</v>
      </c>
      <c r="L83" s="214">
        <f t="shared" si="4"/>
        <v>50</v>
      </c>
      <c r="M83" s="214">
        <f t="shared" si="4"/>
        <v>50</v>
      </c>
      <c r="N83" s="235">
        <f t="shared" si="5"/>
        <v>100</v>
      </c>
      <c r="O83" s="213"/>
      <c r="P83" s="214">
        <v>35</v>
      </c>
      <c r="Q83" s="214">
        <v>28.3</v>
      </c>
      <c r="R83" s="215">
        <f t="shared" si="6"/>
        <v>63.3</v>
      </c>
      <c r="S83" s="171">
        <v>2</v>
      </c>
      <c r="T83" s="285"/>
      <c r="U83" s="283"/>
      <c r="V83" s="178" t="s">
        <v>492</v>
      </c>
      <c r="W83" s="171" t="s">
        <v>17</v>
      </c>
      <c r="X83" s="171" t="s">
        <v>323</v>
      </c>
      <c r="Y83" s="179">
        <v>35</v>
      </c>
      <c r="Z83" s="171" t="s">
        <v>493</v>
      </c>
      <c r="AA83" s="171" t="s">
        <v>20</v>
      </c>
      <c r="AB83" s="171" t="s">
        <v>12</v>
      </c>
      <c r="AC83" s="171">
        <v>28.3</v>
      </c>
      <c r="AD83" s="178"/>
      <c r="AG83" s="179"/>
      <c r="AL83" s="178"/>
      <c r="AO83" s="179"/>
      <c r="AP83" s="178"/>
      <c r="AS83" s="179"/>
      <c r="AW83" s="179"/>
      <c r="BA83" s="180"/>
    </row>
    <row r="84" spans="1:53" s="171" customFormat="1" x14ac:dyDescent="0.15">
      <c r="A84" s="171">
        <v>1998</v>
      </c>
      <c r="B84" s="283"/>
      <c r="C84" s="410" t="s">
        <v>680</v>
      </c>
      <c r="D84" s="410"/>
      <c r="E84" s="171">
        <v>0</v>
      </c>
      <c r="G84" s="233"/>
      <c r="H84" s="171">
        <v>6</v>
      </c>
      <c r="I84" s="171">
        <v>6</v>
      </c>
      <c r="J84" s="241">
        <v>12</v>
      </c>
      <c r="K84" s="214">
        <f t="shared" si="4"/>
        <v>0</v>
      </c>
      <c r="L84" s="214">
        <f t="shared" si="4"/>
        <v>50</v>
      </c>
      <c r="M84" s="214">
        <f t="shared" si="4"/>
        <v>50</v>
      </c>
      <c r="N84" s="235">
        <f t="shared" si="5"/>
        <v>100</v>
      </c>
      <c r="O84" s="213"/>
      <c r="P84" s="214">
        <v>35</v>
      </c>
      <c r="Q84" s="214">
        <v>28.3</v>
      </c>
      <c r="R84" s="215">
        <f t="shared" si="6"/>
        <v>63.3</v>
      </c>
      <c r="S84" s="171">
        <v>2</v>
      </c>
      <c r="T84" s="285"/>
      <c r="U84" s="283"/>
      <c r="V84" s="178" t="s">
        <v>492</v>
      </c>
      <c r="W84" s="171" t="s">
        <v>17</v>
      </c>
      <c r="X84" s="171" t="s">
        <v>323</v>
      </c>
      <c r="Y84" s="179">
        <v>35</v>
      </c>
      <c r="Z84" s="171" t="s">
        <v>493</v>
      </c>
      <c r="AA84" s="171" t="s">
        <v>20</v>
      </c>
      <c r="AB84" s="171" t="s">
        <v>12</v>
      </c>
      <c r="AC84" s="171">
        <v>28.3</v>
      </c>
      <c r="AD84" s="178"/>
      <c r="AG84" s="179"/>
      <c r="AL84" s="178"/>
      <c r="AO84" s="179"/>
      <c r="AP84" s="178"/>
      <c r="AS84" s="179"/>
      <c r="AW84" s="179"/>
      <c r="BA84" s="180"/>
    </row>
    <row r="85" spans="1:53" s="171" customFormat="1" x14ac:dyDescent="0.15">
      <c r="A85" s="171">
        <v>1998</v>
      </c>
      <c r="B85" s="283"/>
      <c r="C85" s="410" t="s">
        <v>680</v>
      </c>
      <c r="D85" s="410"/>
      <c r="E85" s="171">
        <f>365-E84</f>
        <v>365</v>
      </c>
      <c r="G85" s="233"/>
      <c r="H85" s="171">
        <v>6</v>
      </c>
      <c r="I85" s="171">
        <v>6</v>
      </c>
      <c r="J85" s="241">
        <v>12</v>
      </c>
      <c r="K85" s="214">
        <f t="shared" si="4"/>
        <v>0</v>
      </c>
      <c r="L85" s="214">
        <f t="shared" si="4"/>
        <v>50</v>
      </c>
      <c r="M85" s="214">
        <f t="shared" si="4"/>
        <v>50</v>
      </c>
      <c r="N85" s="235">
        <f t="shared" si="5"/>
        <v>100</v>
      </c>
      <c r="O85" s="213"/>
      <c r="P85" s="214">
        <v>35</v>
      </c>
      <c r="Q85" s="214">
        <v>28.3</v>
      </c>
      <c r="R85" s="215">
        <f t="shared" si="6"/>
        <v>63.3</v>
      </c>
      <c r="S85" s="171">
        <v>2</v>
      </c>
      <c r="T85" s="285"/>
      <c r="U85" s="283"/>
      <c r="V85" s="178" t="s">
        <v>492</v>
      </c>
      <c r="W85" s="171" t="s">
        <v>17</v>
      </c>
      <c r="X85" s="171" t="s">
        <v>323</v>
      </c>
      <c r="Y85" s="179">
        <v>35</v>
      </c>
      <c r="Z85" s="171" t="s">
        <v>493</v>
      </c>
      <c r="AA85" s="171" t="s">
        <v>20</v>
      </c>
      <c r="AB85" s="171" t="s">
        <v>12</v>
      </c>
      <c r="AC85" s="171">
        <v>28.3</v>
      </c>
      <c r="AD85" s="178"/>
      <c r="AG85" s="179"/>
      <c r="AL85" s="178"/>
      <c r="AO85" s="179"/>
      <c r="AP85" s="178"/>
      <c r="AS85" s="179"/>
      <c r="AW85" s="179"/>
      <c r="BA85" s="180"/>
    </row>
    <row r="86" spans="1:53" s="171" customFormat="1" x14ac:dyDescent="0.15">
      <c r="A86" s="171">
        <v>1999</v>
      </c>
      <c r="B86" s="283"/>
      <c r="C86" s="410" t="s">
        <v>680</v>
      </c>
      <c r="D86" s="410"/>
      <c r="E86" s="171">
        <v>249</v>
      </c>
      <c r="G86" s="233"/>
      <c r="H86" s="171">
        <v>6</v>
      </c>
      <c r="I86" s="171">
        <v>6</v>
      </c>
      <c r="J86" s="241">
        <v>12</v>
      </c>
      <c r="K86" s="214">
        <f t="shared" si="4"/>
        <v>0</v>
      </c>
      <c r="L86" s="214">
        <f t="shared" si="4"/>
        <v>50</v>
      </c>
      <c r="M86" s="214">
        <f t="shared" si="4"/>
        <v>50</v>
      </c>
      <c r="N86" s="235">
        <f t="shared" si="5"/>
        <v>100</v>
      </c>
      <c r="O86" s="213"/>
      <c r="P86" s="214">
        <v>35</v>
      </c>
      <c r="Q86" s="214">
        <v>28.3</v>
      </c>
      <c r="R86" s="215">
        <f t="shared" si="6"/>
        <v>63.3</v>
      </c>
      <c r="S86" s="171">
        <v>2</v>
      </c>
      <c r="T86" s="285"/>
      <c r="U86" s="283"/>
      <c r="V86" s="178" t="s">
        <v>492</v>
      </c>
      <c r="W86" s="171" t="s">
        <v>17</v>
      </c>
      <c r="X86" s="171" t="s">
        <v>323</v>
      </c>
      <c r="Y86" s="179">
        <v>35</v>
      </c>
      <c r="Z86" s="171" t="s">
        <v>493</v>
      </c>
      <c r="AA86" s="171" t="s">
        <v>20</v>
      </c>
      <c r="AB86" s="171" t="s">
        <v>12</v>
      </c>
      <c r="AC86" s="171">
        <v>28.3</v>
      </c>
      <c r="AD86" s="178"/>
      <c r="AG86" s="179"/>
      <c r="AL86" s="178"/>
      <c r="AO86" s="179"/>
      <c r="AP86" s="178"/>
      <c r="AS86" s="179"/>
      <c r="AW86" s="179"/>
      <c r="BA86" s="180"/>
    </row>
    <row r="87" spans="1:53" s="29" customFormat="1" x14ac:dyDescent="0.15">
      <c r="A87" s="29">
        <v>1999</v>
      </c>
      <c r="B87" s="295">
        <v>36410</v>
      </c>
      <c r="C87" s="411" t="s">
        <v>681</v>
      </c>
      <c r="D87" s="411"/>
      <c r="E87" s="29">
        <f>365-E86</f>
        <v>116</v>
      </c>
      <c r="F87" s="29">
        <v>1</v>
      </c>
      <c r="G87" s="66">
        <v>7</v>
      </c>
      <c r="H87" s="29">
        <v>7</v>
      </c>
      <c r="J87" s="73">
        <v>14</v>
      </c>
      <c r="K87" s="47">
        <f t="shared" si="4"/>
        <v>50</v>
      </c>
      <c r="L87" s="47">
        <f t="shared" si="4"/>
        <v>50</v>
      </c>
      <c r="M87" s="47">
        <f t="shared" si="4"/>
        <v>0</v>
      </c>
      <c r="N87" s="68">
        <f t="shared" si="5"/>
        <v>100</v>
      </c>
      <c r="O87" s="46">
        <v>25</v>
      </c>
      <c r="P87" s="47">
        <v>31.7</v>
      </c>
      <c r="Q87" s="47"/>
      <c r="R87" s="48">
        <f t="shared" si="6"/>
        <v>56.7</v>
      </c>
      <c r="S87" s="29">
        <v>2</v>
      </c>
      <c r="T87" s="286">
        <v>36324</v>
      </c>
      <c r="U87" s="295">
        <v>36410</v>
      </c>
      <c r="V87" s="38" t="s">
        <v>492</v>
      </c>
      <c r="W87" s="29" t="s">
        <v>17</v>
      </c>
      <c r="X87" s="29" t="s">
        <v>323</v>
      </c>
      <c r="Y87" s="39">
        <v>31.7</v>
      </c>
      <c r="Z87" s="29" t="s">
        <v>130</v>
      </c>
      <c r="AA87" s="29" t="s">
        <v>22</v>
      </c>
      <c r="AB87" s="29" t="s">
        <v>11</v>
      </c>
      <c r="AC87" s="29">
        <v>25</v>
      </c>
      <c r="AD87" s="38"/>
      <c r="AG87" s="39"/>
      <c r="AL87" s="38"/>
      <c r="AO87" s="39"/>
      <c r="AP87" s="38"/>
      <c r="AS87" s="39"/>
      <c r="AW87" s="39"/>
      <c r="BA87" s="40"/>
    </row>
    <row r="88" spans="1:53" s="29" customFormat="1" x14ac:dyDescent="0.15">
      <c r="A88" s="29">
        <v>2000</v>
      </c>
      <c r="B88" s="295"/>
      <c r="C88" s="411" t="s">
        <v>681</v>
      </c>
      <c r="D88" s="411"/>
      <c r="E88" s="29">
        <v>0</v>
      </c>
      <c r="G88" s="66">
        <v>7</v>
      </c>
      <c r="H88" s="29">
        <v>7</v>
      </c>
      <c r="J88" s="73">
        <v>14</v>
      </c>
      <c r="K88" s="47">
        <f t="shared" si="4"/>
        <v>50</v>
      </c>
      <c r="L88" s="47">
        <f t="shared" si="4"/>
        <v>50</v>
      </c>
      <c r="M88" s="47">
        <f t="shared" si="4"/>
        <v>0</v>
      </c>
      <c r="N88" s="68">
        <f t="shared" si="5"/>
        <v>100</v>
      </c>
      <c r="O88" s="46">
        <v>25</v>
      </c>
      <c r="P88" s="47">
        <v>31.7</v>
      </c>
      <c r="Q88" s="47"/>
      <c r="R88" s="48">
        <f t="shared" si="6"/>
        <v>56.7</v>
      </c>
      <c r="S88" s="29">
        <v>2</v>
      </c>
      <c r="T88" s="286"/>
      <c r="U88" s="295"/>
      <c r="V88" s="38" t="s">
        <v>492</v>
      </c>
      <c r="W88" s="29" t="s">
        <v>17</v>
      </c>
      <c r="X88" s="29" t="s">
        <v>323</v>
      </c>
      <c r="Y88" s="39">
        <v>31.7</v>
      </c>
      <c r="Z88" s="29" t="s">
        <v>130</v>
      </c>
      <c r="AA88" s="29" t="s">
        <v>22</v>
      </c>
      <c r="AB88" s="29" t="s">
        <v>11</v>
      </c>
      <c r="AC88" s="29">
        <v>25</v>
      </c>
      <c r="AD88" s="38"/>
      <c r="AG88" s="39"/>
      <c r="AL88" s="38"/>
      <c r="AO88" s="39"/>
      <c r="AP88" s="38"/>
      <c r="AS88" s="39"/>
      <c r="AW88" s="39"/>
      <c r="BA88" s="40"/>
    </row>
    <row r="89" spans="1:53" s="29" customFormat="1" x14ac:dyDescent="0.15">
      <c r="A89" s="29">
        <v>2000</v>
      </c>
      <c r="B89" s="295"/>
      <c r="C89" s="411" t="s">
        <v>681</v>
      </c>
      <c r="D89" s="411"/>
      <c r="E89" s="29">
        <v>366</v>
      </c>
      <c r="G89" s="66">
        <v>7</v>
      </c>
      <c r="H89" s="29">
        <v>7</v>
      </c>
      <c r="J89" s="73">
        <v>14</v>
      </c>
      <c r="K89" s="47">
        <f t="shared" si="4"/>
        <v>50</v>
      </c>
      <c r="L89" s="47">
        <f t="shared" si="4"/>
        <v>50</v>
      </c>
      <c r="M89" s="47">
        <f t="shared" si="4"/>
        <v>0</v>
      </c>
      <c r="N89" s="68">
        <f t="shared" si="5"/>
        <v>100</v>
      </c>
      <c r="O89" s="46">
        <v>25</v>
      </c>
      <c r="P89" s="47">
        <v>31.7</v>
      </c>
      <c r="Q89" s="47"/>
      <c r="R89" s="48">
        <f t="shared" si="6"/>
        <v>56.7</v>
      </c>
      <c r="S89" s="29">
        <v>2</v>
      </c>
      <c r="T89" s="286"/>
      <c r="U89" s="295"/>
      <c r="V89" s="38" t="s">
        <v>492</v>
      </c>
      <c r="W89" s="29" t="s">
        <v>17</v>
      </c>
      <c r="X89" s="29" t="s">
        <v>323</v>
      </c>
      <c r="Y89" s="39">
        <v>31.7</v>
      </c>
      <c r="Z89" s="29" t="s">
        <v>130</v>
      </c>
      <c r="AA89" s="29" t="s">
        <v>22</v>
      </c>
      <c r="AB89" s="29" t="s">
        <v>11</v>
      </c>
      <c r="AC89" s="29">
        <v>25</v>
      </c>
      <c r="AD89" s="38"/>
      <c r="AG89" s="39"/>
      <c r="AL89" s="38"/>
      <c r="AO89" s="39"/>
      <c r="AP89" s="38"/>
      <c r="AS89" s="39"/>
      <c r="AW89" s="39"/>
      <c r="BA89" s="40"/>
    </row>
    <row r="90" spans="1:53" s="29" customFormat="1" x14ac:dyDescent="0.15">
      <c r="A90" s="29">
        <v>2001</v>
      </c>
      <c r="B90" s="295"/>
      <c r="C90" s="411" t="s">
        <v>681</v>
      </c>
      <c r="D90" s="411"/>
      <c r="E90" s="29">
        <v>0</v>
      </c>
      <c r="G90" s="66">
        <v>7</v>
      </c>
      <c r="H90" s="29">
        <v>7</v>
      </c>
      <c r="J90" s="73">
        <v>14</v>
      </c>
      <c r="K90" s="47">
        <f t="shared" si="4"/>
        <v>50</v>
      </c>
      <c r="L90" s="47">
        <f t="shared" si="4"/>
        <v>50</v>
      </c>
      <c r="M90" s="47">
        <f t="shared" si="4"/>
        <v>0</v>
      </c>
      <c r="N90" s="68">
        <f t="shared" si="5"/>
        <v>100</v>
      </c>
      <c r="O90" s="46">
        <v>25</v>
      </c>
      <c r="P90" s="47">
        <v>31.7</v>
      </c>
      <c r="Q90" s="47"/>
      <c r="R90" s="48">
        <f t="shared" si="6"/>
        <v>56.7</v>
      </c>
      <c r="S90" s="29">
        <v>2</v>
      </c>
      <c r="T90" s="286"/>
      <c r="U90" s="295"/>
      <c r="V90" s="38" t="s">
        <v>492</v>
      </c>
      <c r="W90" s="29" t="s">
        <v>17</v>
      </c>
      <c r="X90" s="29" t="s">
        <v>323</v>
      </c>
      <c r="Y90" s="39">
        <v>31.7</v>
      </c>
      <c r="Z90" s="29" t="s">
        <v>130</v>
      </c>
      <c r="AA90" s="29" t="s">
        <v>22</v>
      </c>
      <c r="AB90" s="29" t="s">
        <v>11</v>
      </c>
      <c r="AC90" s="29">
        <v>25</v>
      </c>
      <c r="AD90" s="38"/>
      <c r="AG90" s="39"/>
      <c r="AL90" s="38"/>
      <c r="AO90" s="39"/>
      <c r="AP90" s="38"/>
      <c r="AS90" s="39"/>
      <c r="AW90" s="39"/>
      <c r="BA90" s="40"/>
    </row>
    <row r="91" spans="1:53" s="29" customFormat="1" x14ac:dyDescent="0.15">
      <c r="A91" s="29">
        <v>2001</v>
      </c>
      <c r="B91" s="295"/>
      <c r="C91" s="411" t="s">
        <v>681</v>
      </c>
      <c r="D91" s="411"/>
      <c r="E91" s="29">
        <f>365-E90</f>
        <v>365</v>
      </c>
      <c r="G91" s="66">
        <v>7</v>
      </c>
      <c r="H91" s="29">
        <v>7</v>
      </c>
      <c r="J91" s="73">
        <v>14</v>
      </c>
      <c r="K91" s="47">
        <f t="shared" si="4"/>
        <v>50</v>
      </c>
      <c r="L91" s="47">
        <f t="shared" si="4"/>
        <v>50</v>
      </c>
      <c r="M91" s="47">
        <f t="shared" si="4"/>
        <v>0</v>
      </c>
      <c r="N91" s="68">
        <f t="shared" si="5"/>
        <v>100</v>
      </c>
      <c r="O91" s="46">
        <v>25</v>
      </c>
      <c r="P91" s="47">
        <v>31.7</v>
      </c>
      <c r="Q91" s="47"/>
      <c r="R91" s="48">
        <f t="shared" si="6"/>
        <v>56.7</v>
      </c>
      <c r="S91" s="29">
        <v>2</v>
      </c>
      <c r="T91" s="286"/>
      <c r="U91" s="295"/>
      <c r="V91" s="38" t="s">
        <v>492</v>
      </c>
      <c r="W91" s="29" t="s">
        <v>17</v>
      </c>
      <c r="X91" s="29" t="s">
        <v>323</v>
      </c>
      <c r="Y91" s="39">
        <v>31.7</v>
      </c>
      <c r="Z91" s="29" t="s">
        <v>130</v>
      </c>
      <c r="AA91" s="29" t="s">
        <v>22</v>
      </c>
      <c r="AB91" s="29" t="s">
        <v>11</v>
      </c>
      <c r="AC91" s="29">
        <v>25</v>
      </c>
      <c r="AD91" s="38"/>
      <c r="AG91" s="39"/>
      <c r="AL91" s="38"/>
      <c r="AO91" s="39"/>
      <c r="AP91" s="38"/>
      <c r="AS91" s="39"/>
      <c r="AW91" s="39"/>
      <c r="BA91" s="40"/>
    </row>
    <row r="92" spans="1:53" s="29" customFormat="1" x14ac:dyDescent="0.15">
      <c r="A92" s="29">
        <v>2002</v>
      </c>
      <c r="B92" s="295"/>
      <c r="C92" s="411" t="s">
        <v>681</v>
      </c>
      <c r="D92" s="411"/>
      <c r="E92" s="29">
        <v>0</v>
      </c>
      <c r="G92" s="66">
        <v>7</v>
      </c>
      <c r="H92" s="29">
        <v>7</v>
      </c>
      <c r="J92" s="73">
        <v>14</v>
      </c>
      <c r="K92" s="47">
        <f t="shared" si="4"/>
        <v>50</v>
      </c>
      <c r="L92" s="47">
        <f t="shared" si="4"/>
        <v>50</v>
      </c>
      <c r="M92" s="47">
        <f t="shared" si="4"/>
        <v>0</v>
      </c>
      <c r="N92" s="68">
        <f t="shared" si="5"/>
        <v>100</v>
      </c>
      <c r="O92" s="46">
        <v>25</v>
      </c>
      <c r="P92" s="47">
        <v>31.7</v>
      </c>
      <c r="Q92" s="47"/>
      <c r="R92" s="48">
        <f t="shared" si="6"/>
        <v>56.7</v>
      </c>
      <c r="S92" s="29">
        <v>2</v>
      </c>
      <c r="T92" s="286"/>
      <c r="U92" s="295"/>
      <c r="V92" s="38" t="s">
        <v>492</v>
      </c>
      <c r="W92" s="29" t="s">
        <v>17</v>
      </c>
      <c r="X92" s="29" t="s">
        <v>323</v>
      </c>
      <c r="Y92" s="39">
        <v>31.7</v>
      </c>
      <c r="Z92" s="29" t="s">
        <v>130</v>
      </c>
      <c r="AA92" s="29" t="s">
        <v>22</v>
      </c>
      <c r="AB92" s="29" t="s">
        <v>11</v>
      </c>
      <c r="AC92" s="29">
        <v>25</v>
      </c>
      <c r="AD92" s="38"/>
      <c r="AG92" s="39"/>
      <c r="AL92" s="38"/>
      <c r="AO92" s="39"/>
      <c r="AP92" s="38"/>
      <c r="AS92" s="39"/>
      <c r="AW92" s="39"/>
      <c r="BA92" s="40"/>
    </row>
    <row r="93" spans="1:53" s="29" customFormat="1" x14ac:dyDescent="0.15">
      <c r="A93" s="29">
        <v>2002</v>
      </c>
      <c r="B93" s="295"/>
      <c r="C93" s="411" t="s">
        <v>681</v>
      </c>
      <c r="D93" s="411"/>
      <c r="E93" s="29">
        <f>365-E92</f>
        <v>365</v>
      </c>
      <c r="G93" s="66">
        <v>7</v>
      </c>
      <c r="H93" s="29">
        <v>7</v>
      </c>
      <c r="J93" s="73">
        <v>14</v>
      </c>
      <c r="K93" s="47">
        <f t="shared" si="4"/>
        <v>50</v>
      </c>
      <c r="L93" s="47">
        <f t="shared" si="4"/>
        <v>50</v>
      </c>
      <c r="M93" s="47">
        <f t="shared" si="4"/>
        <v>0</v>
      </c>
      <c r="N93" s="68">
        <f t="shared" si="5"/>
        <v>100</v>
      </c>
      <c r="O93" s="46">
        <v>25</v>
      </c>
      <c r="P93" s="47">
        <v>31.7</v>
      </c>
      <c r="Q93" s="47"/>
      <c r="R93" s="48">
        <f t="shared" si="6"/>
        <v>56.7</v>
      </c>
      <c r="S93" s="29">
        <v>2</v>
      </c>
      <c r="T93" s="286"/>
      <c r="U93" s="295"/>
      <c r="V93" s="38" t="s">
        <v>492</v>
      </c>
      <c r="W93" s="29" t="s">
        <v>17</v>
      </c>
      <c r="X93" s="29" t="s">
        <v>323</v>
      </c>
      <c r="Y93" s="39">
        <v>31.7</v>
      </c>
      <c r="Z93" s="29" t="s">
        <v>130</v>
      </c>
      <c r="AA93" s="29" t="s">
        <v>22</v>
      </c>
      <c r="AB93" s="29" t="s">
        <v>11</v>
      </c>
      <c r="AC93" s="29">
        <v>25</v>
      </c>
      <c r="AD93" s="38"/>
      <c r="AG93" s="39"/>
      <c r="AL93" s="38"/>
      <c r="AO93" s="39"/>
      <c r="AP93" s="38"/>
      <c r="AS93" s="39"/>
      <c r="AW93" s="39"/>
      <c r="BA93" s="40"/>
    </row>
    <row r="94" spans="1:53" s="29" customFormat="1" x14ac:dyDescent="0.15">
      <c r="A94" s="29">
        <v>2003</v>
      </c>
      <c r="B94" s="295"/>
      <c r="C94" s="411" t="s">
        <v>681</v>
      </c>
      <c r="D94" s="411"/>
      <c r="E94" s="29">
        <v>0</v>
      </c>
      <c r="G94" s="66">
        <v>7</v>
      </c>
      <c r="H94" s="29">
        <v>7</v>
      </c>
      <c r="J94" s="73">
        <v>14</v>
      </c>
      <c r="K94" s="47">
        <f t="shared" si="4"/>
        <v>50</v>
      </c>
      <c r="L94" s="47">
        <f t="shared" si="4"/>
        <v>50</v>
      </c>
      <c r="M94" s="47">
        <f t="shared" si="4"/>
        <v>0</v>
      </c>
      <c r="N94" s="68">
        <f t="shared" si="5"/>
        <v>100</v>
      </c>
      <c r="O94" s="46">
        <v>25</v>
      </c>
      <c r="P94" s="47">
        <v>31.7</v>
      </c>
      <c r="Q94" s="47"/>
      <c r="R94" s="48">
        <f t="shared" si="6"/>
        <v>56.7</v>
      </c>
      <c r="S94" s="29">
        <v>2</v>
      </c>
      <c r="T94" s="286"/>
      <c r="U94" s="295"/>
      <c r="V94" s="38" t="s">
        <v>492</v>
      </c>
      <c r="W94" s="29" t="s">
        <v>17</v>
      </c>
      <c r="X94" s="29" t="s">
        <v>323</v>
      </c>
      <c r="Y94" s="39">
        <v>31.7</v>
      </c>
      <c r="Z94" s="29" t="s">
        <v>130</v>
      </c>
      <c r="AA94" s="29" t="s">
        <v>22</v>
      </c>
      <c r="AB94" s="29" t="s">
        <v>11</v>
      </c>
      <c r="AC94" s="29">
        <v>25</v>
      </c>
      <c r="AD94" s="38"/>
      <c r="AG94" s="39"/>
      <c r="AL94" s="38"/>
      <c r="AO94" s="39"/>
      <c r="AP94" s="38"/>
      <c r="AS94" s="39"/>
      <c r="AW94" s="39"/>
      <c r="BA94" s="40"/>
    </row>
    <row r="95" spans="1:53" s="29" customFormat="1" x14ac:dyDescent="0.15">
      <c r="A95" s="29">
        <v>2003</v>
      </c>
      <c r="B95" s="295"/>
      <c r="C95" s="411" t="s">
        <v>681</v>
      </c>
      <c r="D95" s="411"/>
      <c r="E95" s="29">
        <f>365-E94</f>
        <v>365</v>
      </c>
      <c r="G95" s="66">
        <v>7</v>
      </c>
      <c r="H95" s="29">
        <v>7</v>
      </c>
      <c r="J95" s="73">
        <v>14</v>
      </c>
      <c r="K95" s="47">
        <f t="shared" si="4"/>
        <v>50</v>
      </c>
      <c r="L95" s="47">
        <f t="shared" si="4"/>
        <v>50</v>
      </c>
      <c r="M95" s="47">
        <f t="shared" si="4"/>
        <v>0</v>
      </c>
      <c r="N95" s="68">
        <f t="shared" si="5"/>
        <v>100</v>
      </c>
      <c r="O95" s="46">
        <v>25</v>
      </c>
      <c r="P95" s="47">
        <v>31.7</v>
      </c>
      <c r="Q95" s="47"/>
      <c r="R95" s="48">
        <f t="shared" si="6"/>
        <v>56.7</v>
      </c>
      <c r="S95" s="29">
        <v>2</v>
      </c>
      <c r="T95" s="286"/>
      <c r="U95" s="295"/>
      <c r="V95" s="38" t="s">
        <v>492</v>
      </c>
      <c r="W95" s="29" t="s">
        <v>17</v>
      </c>
      <c r="X95" s="29" t="s">
        <v>323</v>
      </c>
      <c r="Y95" s="39">
        <v>31.7</v>
      </c>
      <c r="Z95" s="29" t="s">
        <v>130</v>
      </c>
      <c r="AA95" s="29" t="s">
        <v>22</v>
      </c>
      <c r="AB95" s="29" t="s">
        <v>11</v>
      </c>
      <c r="AC95" s="29">
        <v>25</v>
      </c>
      <c r="AD95" s="38"/>
      <c r="AG95" s="39"/>
      <c r="AL95" s="38"/>
      <c r="AO95" s="39"/>
      <c r="AP95" s="38"/>
      <c r="AS95" s="39"/>
      <c r="AW95" s="39"/>
      <c r="BA95" s="40"/>
    </row>
    <row r="96" spans="1:53" s="29" customFormat="1" x14ac:dyDescent="0.15">
      <c r="A96" s="29">
        <v>2004</v>
      </c>
      <c r="B96" s="295"/>
      <c r="C96" s="411" t="s">
        <v>681</v>
      </c>
      <c r="D96" s="411"/>
      <c r="E96" s="29">
        <v>212</v>
      </c>
      <c r="G96" s="66">
        <v>7</v>
      </c>
      <c r="H96" s="29">
        <v>7</v>
      </c>
      <c r="J96" s="73">
        <v>14</v>
      </c>
      <c r="K96" s="47">
        <f t="shared" si="4"/>
        <v>50</v>
      </c>
      <c r="L96" s="47">
        <f t="shared" si="4"/>
        <v>50</v>
      </c>
      <c r="M96" s="47">
        <f t="shared" si="4"/>
        <v>0</v>
      </c>
      <c r="N96" s="68">
        <f t="shared" si="5"/>
        <v>100</v>
      </c>
      <c r="O96" s="46">
        <v>25</v>
      </c>
      <c r="P96" s="47">
        <v>31.7</v>
      </c>
      <c r="Q96" s="47"/>
      <c r="R96" s="48">
        <f t="shared" si="6"/>
        <v>56.7</v>
      </c>
      <c r="S96" s="29">
        <v>2</v>
      </c>
      <c r="T96" s="286"/>
      <c r="U96" s="295"/>
      <c r="V96" s="38" t="s">
        <v>492</v>
      </c>
      <c r="W96" s="29" t="s">
        <v>17</v>
      </c>
      <c r="X96" s="29" t="s">
        <v>323</v>
      </c>
      <c r="Y96" s="39">
        <v>31.7</v>
      </c>
      <c r="Z96" s="29" t="s">
        <v>130</v>
      </c>
      <c r="AA96" s="29" t="s">
        <v>22</v>
      </c>
      <c r="AB96" s="29" t="s">
        <v>11</v>
      </c>
      <c r="AC96" s="29">
        <v>25</v>
      </c>
      <c r="AD96" s="38"/>
      <c r="AG96" s="39"/>
      <c r="AL96" s="38"/>
      <c r="AO96" s="39"/>
      <c r="AP96" s="38"/>
      <c r="AS96" s="39"/>
      <c r="AW96" s="39"/>
      <c r="BA96" s="40"/>
    </row>
    <row r="97" spans="1:53" s="171" customFormat="1" x14ac:dyDescent="0.15">
      <c r="A97" s="171">
        <v>2004</v>
      </c>
      <c r="B97" s="283">
        <v>38199</v>
      </c>
      <c r="C97" s="410" t="s">
        <v>682</v>
      </c>
      <c r="D97" s="410"/>
      <c r="E97" s="171">
        <f>366-E96</f>
        <v>154</v>
      </c>
      <c r="F97" s="171">
        <v>1</v>
      </c>
      <c r="G97" s="233"/>
      <c r="H97" s="171">
        <v>9</v>
      </c>
      <c r="I97" s="171">
        <v>6</v>
      </c>
      <c r="J97" s="241">
        <v>15</v>
      </c>
      <c r="K97" s="214">
        <f t="shared" si="4"/>
        <v>0</v>
      </c>
      <c r="L97" s="214">
        <f t="shared" si="4"/>
        <v>60</v>
      </c>
      <c r="M97" s="214">
        <f t="shared" si="4"/>
        <v>40</v>
      </c>
      <c r="N97" s="235">
        <f t="shared" si="5"/>
        <v>100</v>
      </c>
      <c r="O97" s="213"/>
      <c r="P97" s="214">
        <v>40</v>
      </c>
      <c r="Q97" s="214">
        <v>23.3</v>
      </c>
      <c r="R97" s="215">
        <f t="shared" si="6"/>
        <v>63.3</v>
      </c>
      <c r="S97" s="171">
        <v>2</v>
      </c>
      <c r="T97" s="285">
        <v>38151</v>
      </c>
      <c r="U97" s="283">
        <v>38199</v>
      </c>
      <c r="V97" s="178" t="s">
        <v>492</v>
      </c>
      <c r="W97" s="171" t="s">
        <v>17</v>
      </c>
      <c r="X97" s="171" t="s">
        <v>323</v>
      </c>
      <c r="Y97" s="179">
        <v>40</v>
      </c>
      <c r="Z97" s="171" t="s">
        <v>493</v>
      </c>
      <c r="AA97" s="171" t="s">
        <v>20</v>
      </c>
      <c r="AB97" s="171" t="s">
        <v>12</v>
      </c>
      <c r="AC97" s="171">
        <v>23.3</v>
      </c>
      <c r="AD97" s="178"/>
      <c r="AG97" s="179"/>
      <c r="AL97" s="178"/>
      <c r="AO97" s="179"/>
      <c r="AP97" s="178"/>
      <c r="AS97" s="179"/>
      <c r="AW97" s="179"/>
      <c r="BA97" s="180"/>
    </row>
    <row r="98" spans="1:53" s="171" customFormat="1" x14ac:dyDescent="0.15">
      <c r="A98" s="171">
        <v>2005</v>
      </c>
      <c r="B98" s="283"/>
      <c r="C98" s="410" t="s">
        <v>682</v>
      </c>
      <c r="D98" s="410"/>
      <c r="E98" s="171">
        <v>0</v>
      </c>
      <c r="G98" s="233"/>
      <c r="H98" s="171">
        <v>9</v>
      </c>
      <c r="I98" s="171">
        <v>6</v>
      </c>
      <c r="J98" s="241">
        <v>15</v>
      </c>
      <c r="K98" s="214">
        <f t="shared" si="4"/>
        <v>0</v>
      </c>
      <c r="L98" s="214">
        <f t="shared" si="4"/>
        <v>60</v>
      </c>
      <c r="M98" s="214">
        <f t="shared" si="4"/>
        <v>40</v>
      </c>
      <c r="N98" s="235">
        <f t="shared" si="5"/>
        <v>100</v>
      </c>
      <c r="O98" s="213"/>
      <c r="P98" s="214">
        <v>40</v>
      </c>
      <c r="Q98" s="214">
        <v>23.3</v>
      </c>
      <c r="R98" s="215">
        <f t="shared" si="6"/>
        <v>63.3</v>
      </c>
      <c r="S98" s="171">
        <v>2</v>
      </c>
      <c r="T98" s="285"/>
      <c r="U98" s="283"/>
      <c r="V98" s="178" t="s">
        <v>492</v>
      </c>
      <c r="W98" s="171" t="s">
        <v>17</v>
      </c>
      <c r="X98" s="171" t="s">
        <v>323</v>
      </c>
      <c r="Y98" s="179">
        <v>40</v>
      </c>
      <c r="Z98" s="171" t="s">
        <v>493</v>
      </c>
      <c r="AA98" s="171" t="s">
        <v>20</v>
      </c>
      <c r="AB98" s="171" t="s">
        <v>12</v>
      </c>
      <c r="AC98" s="171">
        <v>23.3</v>
      </c>
      <c r="AD98" s="178"/>
      <c r="AG98" s="179"/>
      <c r="AL98" s="178"/>
      <c r="AO98" s="179"/>
      <c r="AP98" s="178"/>
      <c r="AS98" s="179"/>
      <c r="AW98" s="179"/>
      <c r="BA98" s="180"/>
    </row>
    <row r="99" spans="1:53" s="171" customFormat="1" x14ac:dyDescent="0.15">
      <c r="A99" s="171">
        <v>2005</v>
      </c>
      <c r="B99" s="283"/>
      <c r="C99" s="410" t="s">
        <v>682</v>
      </c>
      <c r="D99" s="410"/>
      <c r="E99" s="171">
        <f>365-E98</f>
        <v>365</v>
      </c>
      <c r="G99" s="233"/>
      <c r="H99" s="171">
        <v>9</v>
      </c>
      <c r="I99" s="171">
        <v>6</v>
      </c>
      <c r="J99" s="241">
        <v>15</v>
      </c>
      <c r="K99" s="214">
        <f t="shared" si="4"/>
        <v>0</v>
      </c>
      <c r="L99" s="214">
        <f t="shared" si="4"/>
        <v>60</v>
      </c>
      <c r="M99" s="214">
        <f t="shared" si="4"/>
        <v>40</v>
      </c>
      <c r="N99" s="235">
        <f t="shared" si="5"/>
        <v>100</v>
      </c>
      <c r="O99" s="213"/>
      <c r="P99" s="214">
        <v>40</v>
      </c>
      <c r="Q99" s="214">
        <v>23.3</v>
      </c>
      <c r="R99" s="215">
        <f t="shared" si="6"/>
        <v>63.3</v>
      </c>
      <c r="S99" s="171">
        <v>2</v>
      </c>
      <c r="T99" s="285"/>
      <c r="U99" s="283"/>
      <c r="V99" s="178" t="s">
        <v>492</v>
      </c>
      <c r="W99" s="171" t="s">
        <v>17</v>
      </c>
      <c r="X99" s="171" t="s">
        <v>323</v>
      </c>
      <c r="Y99" s="179">
        <v>40</v>
      </c>
      <c r="Z99" s="171" t="s">
        <v>493</v>
      </c>
      <c r="AA99" s="171" t="s">
        <v>20</v>
      </c>
      <c r="AB99" s="171" t="s">
        <v>12</v>
      </c>
      <c r="AC99" s="171">
        <v>23.3</v>
      </c>
      <c r="AD99" s="178"/>
      <c r="AG99" s="179"/>
      <c r="AL99" s="178"/>
      <c r="AO99" s="179"/>
      <c r="AP99" s="178"/>
      <c r="AS99" s="179"/>
      <c r="AW99" s="179"/>
      <c r="BA99" s="180"/>
    </row>
    <row r="100" spans="1:53" s="171" customFormat="1" x14ac:dyDescent="0.15">
      <c r="A100" s="171">
        <v>2006</v>
      </c>
      <c r="B100" s="283"/>
      <c r="C100" s="410" t="s">
        <v>682</v>
      </c>
      <c r="D100" s="410"/>
      <c r="E100" s="171">
        <v>0</v>
      </c>
      <c r="G100" s="233"/>
      <c r="H100" s="171">
        <v>9</v>
      </c>
      <c r="I100" s="171">
        <v>6</v>
      </c>
      <c r="J100" s="241">
        <v>15</v>
      </c>
      <c r="K100" s="214">
        <f t="shared" si="4"/>
        <v>0</v>
      </c>
      <c r="L100" s="214">
        <f t="shared" si="4"/>
        <v>60</v>
      </c>
      <c r="M100" s="214">
        <f t="shared" si="4"/>
        <v>40</v>
      </c>
      <c r="N100" s="235">
        <f t="shared" si="5"/>
        <v>100</v>
      </c>
      <c r="O100" s="213"/>
      <c r="P100" s="214">
        <v>40</v>
      </c>
      <c r="Q100" s="214">
        <v>23.3</v>
      </c>
      <c r="R100" s="215">
        <f t="shared" si="6"/>
        <v>63.3</v>
      </c>
      <c r="S100" s="171">
        <v>2</v>
      </c>
      <c r="T100" s="285"/>
      <c r="U100" s="283"/>
      <c r="V100" s="178" t="s">
        <v>492</v>
      </c>
      <c r="W100" s="171" t="s">
        <v>17</v>
      </c>
      <c r="X100" s="171" t="s">
        <v>323</v>
      </c>
      <c r="Y100" s="179">
        <v>40</v>
      </c>
      <c r="Z100" s="171" t="s">
        <v>493</v>
      </c>
      <c r="AA100" s="171" t="s">
        <v>20</v>
      </c>
      <c r="AB100" s="171" t="s">
        <v>12</v>
      </c>
      <c r="AC100" s="171">
        <v>23.3</v>
      </c>
      <c r="AD100" s="178"/>
      <c r="AG100" s="179"/>
      <c r="AL100" s="178"/>
      <c r="AO100" s="179"/>
      <c r="AP100" s="178"/>
      <c r="AS100" s="179"/>
      <c r="AW100" s="179"/>
      <c r="BA100" s="180"/>
    </row>
    <row r="101" spans="1:53" s="171" customFormat="1" x14ac:dyDescent="0.15">
      <c r="A101" s="171">
        <v>2006</v>
      </c>
      <c r="B101" s="283"/>
      <c r="C101" s="410" t="s">
        <v>682</v>
      </c>
      <c r="D101" s="410"/>
      <c r="E101" s="171">
        <f>365-E100</f>
        <v>365</v>
      </c>
      <c r="G101" s="233"/>
      <c r="H101" s="171">
        <v>9</v>
      </c>
      <c r="I101" s="171">
        <v>6</v>
      </c>
      <c r="J101" s="241">
        <v>15</v>
      </c>
      <c r="K101" s="214">
        <f t="shared" si="4"/>
        <v>0</v>
      </c>
      <c r="L101" s="214">
        <f t="shared" si="4"/>
        <v>60</v>
      </c>
      <c r="M101" s="214">
        <f t="shared" si="4"/>
        <v>40</v>
      </c>
      <c r="N101" s="235">
        <f t="shared" si="5"/>
        <v>100</v>
      </c>
      <c r="O101" s="213"/>
      <c r="P101" s="214">
        <v>40</v>
      </c>
      <c r="Q101" s="214">
        <v>23.3</v>
      </c>
      <c r="R101" s="215">
        <f t="shared" si="6"/>
        <v>63.3</v>
      </c>
      <c r="S101" s="171">
        <v>2</v>
      </c>
      <c r="T101" s="285"/>
      <c r="U101" s="283"/>
      <c r="V101" s="178" t="s">
        <v>492</v>
      </c>
      <c r="W101" s="171" t="s">
        <v>17</v>
      </c>
      <c r="X101" s="171" t="s">
        <v>323</v>
      </c>
      <c r="Y101" s="179">
        <v>40</v>
      </c>
      <c r="Z101" s="171" t="s">
        <v>493</v>
      </c>
      <c r="AA101" s="171" t="s">
        <v>20</v>
      </c>
      <c r="AB101" s="171" t="s">
        <v>12</v>
      </c>
      <c r="AC101" s="171">
        <v>23.3</v>
      </c>
      <c r="AD101" s="178"/>
      <c r="AG101" s="179"/>
      <c r="AL101" s="178"/>
      <c r="AO101" s="179"/>
      <c r="AP101" s="178"/>
      <c r="AS101" s="179"/>
      <c r="AW101" s="179"/>
      <c r="BA101" s="180"/>
    </row>
    <row r="102" spans="1:53" s="171" customFormat="1" x14ac:dyDescent="0.15">
      <c r="A102" s="171">
        <v>2007</v>
      </c>
      <c r="B102" s="283"/>
      <c r="C102" s="410" t="s">
        <v>682</v>
      </c>
      <c r="D102" s="410"/>
      <c r="E102" s="171">
        <v>0</v>
      </c>
      <c r="G102" s="233"/>
      <c r="H102" s="171">
        <v>9</v>
      </c>
      <c r="I102" s="171">
        <v>6</v>
      </c>
      <c r="J102" s="241">
        <v>15</v>
      </c>
      <c r="K102" s="214">
        <f t="shared" si="4"/>
        <v>0</v>
      </c>
      <c r="L102" s="214">
        <f t="shared" si="4"/>
        <v>60</v>
      </c>
      <c r="M102" s="214">
        <f t="shared" si="4"/>
        <v>40</v>
      </c>
      <c r="N102" s="235">
        <f t="shared" si="5"/>
        <v>100</v>
      </c>
      <c r="O102" s="213"/>
      <c r="P102" s="214">
        <v>40</v>
      </c>
      <c r="Q102" s="214">
        <v>23.3</v>
      </c>
      <c r="R102" s="215">
        <f t="shared" si="6"/>
        <v>63.3</v>
      </c>
      <c r="S102" s="171">
        <v>2</v>
      </c>
      <c r="T102" s="285"/>
      <c r="U102" s="283"/>
      <c r="V102" s="178" t="s">
        <v>492</v>
      </c>
      <c r="W102" s="171" t="s">
        <v>17</v>
      </c>
      <c r="X102" s="171" t="s">
        <v>323</v>
      </c>
      <c r="Y102" s="179">
        <v>40</v>
      </c>
      <c r="Z102" s="171" t="s">
        <v>493</v>
      </c>
      <c r="AA102" s="171" t="s">
        <v>20</v>
      </c>
      <c r="AB102" s="171" t="s">
        <v>12</v>
      </c>
      <c r="AC102" s="171">
        <v>23.3</v>
      </c>
      <c r="AD102" s="178"/>
      <c r="AG102" s="179"/>
      <c r="AL102" s="178"/>
      <c r="AO102" s="179"/>
      <c r="AP102" s="178"/>
      <c r="AS102" s="179"/>
      <c r="AW102" s="179"/>
      <c r="BA102" s="180"/>
    </row>
    <row r="103" spans="1:53" s="171" customFormat="1" x14ac:dyDescent="0.15">
      <c r="A103" s="171">
        <v>2007</v>
      </c>
      <c r="B103" s="283"/>
      <c r="C103" s="410" t="s">
        <v>682</v>
      </c>
      <c r="D103" s="410"/>
      <c r="E103" s="171">
        <v>365</v>
      </c>
      <c r="G103" s="233"/>
      <c r="H103" s="171">
        <v>9</v>
      </c>
      <c r="I103" s="171">
        <v>6</v>
      </c>
      <c r="J103" s="241">
        <v>15</v>
      </c>
      <c r="K103" s="214">
        <f t="shared" si="4"/>
        <v>0</v>
      </c>
      <c r="L103" s="214">
        <f t="shared" si="4"/>
        <v>60</v>
      </c>
      <c r="M103" s="214">
        <f t="shared" si="4"/>
        <v>40</v>
      </c>
      <c r="N103" s="235">
        <f t="shared" si="5"/>
        <v>100</v>
      </c>
      <c r="O103" s="213"/>
      <c r="P103" s="214">
        <v>40</v>
      </c>
      <c r="Q103" s="214">
        <v>23.3</v>
      </c>
      <c r="R103" s="215">
        <f t="shared" si="6"/>
        <v>63.3</v>
      </c>
      <c r="S103" s="171">
        <v>2</v>
      </c>
      <c r="T103" s="285"/>
      <c r="U103" s="283"/>
      <c r="V103" s="178" t="s">
        <v>492</v>
      </c>
      <c r="W103" s="171" t="s">
        <v>17</v>
      </c>
      <c r="X103" s="171" t="s">
        <v>323</v>
      </c>
      <c r="Y103" s="179">
        <v>40</v>
      </c>
      <c r="Z103" s="171" t="s">
        <v>493</v>
      </c>
      <c r="AA103" s="171" t="s">
        <v>20</v>
      </c>
      <c r="AB103" s="171" t="s">
        <v>12</v>
      </c>
      <c r="AC103" s="171">
        <v>23.3</v>
      </c>
      <c r="AD103" s="178"/>
      <c r="AG103" s="179"/>
      <c r="AL103" s="178"/>
      <c r="AO103" s="179"/>
      <c r="AP103" s="178"/>
      <c r="AS103" s="179"/>
      <c r="AW103" s="179"/>
      <c r="BA103" s="180"/>
    </row>
    <row r="104" spans="1:53" s="171" customFormat="1" x14ac:dyDescent="0.15">
      <c r="A104" s="171">
        <v>2008</v>
      </c>
      <c r="B104" s="283"/>
      <c r="C104" s="410" t="s">
        <v>682</v>
      </c>
      <c r="D104" s="410"/>
      <c r="E104" s="171">
        <v>0</v>
      </c>
      <c r="G104" s="233"/>
      <c r="H104" s="171">
        <v>9</v>
      </c>
      <c r="I104" s="171">
        <v>6</v>
      </c>
      <c r="J104" s="241">
        <v>15</v>
      </c>
      <c r="K104" s="214">
        <f t="shared" si="4"/>
        <v>0</v>
      </c>
      <c r="L104" s="214">
        <f t="shared" si="4"/>
        <v>60</v>
      </c>
      <c r="M104" s="214">
        <f t="shared" si="4"/>
        <v>40</v>
      </c>
      <c r="N104" s="235">
        <f t="shared" si="5"/>
        <v>100</v>
      </c>
      <c r="O104" s="213"/>
      <c r="P104" s="214">
        <v>40</v>
      </c>
      <c r="Q104" s="214">
        <v>23.3</v>
      </c>
      <c r="R104" s="215">
        <f t="shared" si="6"/>
        <v>63.3</v>
      </c>
      <c r="S104" s="171">
        <v>2</v>
      </c>
      <c r="T104" s="285"/>
      <c r="U104" s="283"/>
      <c r="V104" s="178" t="s">
        <v>492</v>
      </c>
      <c r="W104" s="171" t="s">
        <v>17</v>
      </c>
      <c r="X104" s="171" t="s">
        <v>323</v>
      </c>
      <c r="Y104" s="179">
        <v>40</v>
      </c>
      <c r="Z104" s="171" t="s">
        <v>493</v>
      </c>
      <c r="AA104" s="171" t="s">
        <v>20</v>
      </c>
      <c r="AB104" s="171" t="s">
        <v>12</v>
      </c>
      <c r="AC104" s="171">
        <v>23.3</v>
      </c>
      <c r="AD104" s="178"/>
      <c r="AG104" s="179"/>
      <c r="AL104" s="178"/>
      <c r="AO104" s="179"/>
      <c r="AP104" s="178"/>
      <c r="AS104" s="179"/>
      <c r="AW104" s="179"/>
      <c r="BA104" s="180"/>
    </row>
    <row r="105" spans="1:53" s="171" customFormat="1" x14ac:dyDescent="0.15">
      <c r="A105" s="171">
        <v>2008</v>
      </c>
      <c r="B105" s="283"/>
      <c r="C105" s="410" t="s">
        <v>682</v>
      </c>
      <c r="D105" s="410"/>
      <c r="E105" s="171">
        <v>366</v>
      </c>
      <c r="G105" s="233"/>
      <c r="H105" s="171">
        <v>9</v>
      </c>
      <c r="I105" s="171">
        <v>6</v>
      </c>
      <c r="J105" s="241">
        <v>15</v>
      </c>
      <c r="K105" s="214">
        <f t="shared" si="4"/>
        <v>0</v>
      </c>
      <c r="L105" s="214">
        <f t="shared" si="4"/>
        <v>60</v>
      </c>
      <c r="M105" s="214">
        <f t="shared" si="4"/>
        <v>40</v>
      </c>
      <c r="N105" s="235">
        <f t="shared" si="5"/>
        <v>100</v>
      </c>
      <c r="O105" s="213"/>
      <c r="P105" s="214">
        <v>40</v>
      </c>
      <c r="Q105" s="214">
        <v>23.3</v>
      </c>
      <c r="R105" s="215">
        <f t="shared" si="6"/>
        <v>63.3</v>
      </c>
      <c r="S105" s="171">
        <v>2</v>
      </c>
      <c r="T105" s="285"/>
      <c r="U105" s="283"/>
      <c r="V105" s="178" t="s">
        <v>492</v>
      </c>
      <c r="W105" s="171" t="s">
        <v>17</v>
      </c>
      <c r="X105" s="171" t="s">
        <v>323</v>
      </c>
      <c r="Y105" s="179">
        <v>40</v>
      </c>
      <c r="Z105" s="171" t="s">
        <v>493</v>
      </c>
      <c r="AA105" s="171" t="s">
        <v>20</v>
      </c>
      <c r="AB105" s="171" t="s">
        <v>12</v>
      </c>
      <c r="AC105" s="171">
        <v>23.3</v>
      </c>
      <c r="AD105" s="178"/>
      <c r="AG105" s="179"/>
      <c r="AL105" s="178"/>
      <c r="AO105" s="179"/>
      <c r="AP105" s="178"/>
      <c r="AS105" s="179"/>
      <c r="AW105" s="179"/>
      <c r="BA105" s="180"/>
    </row>
    <row r="106" spans="1:53" s="171" customFormat="1" x14ac:dyDescent="0.15">
      <c r="A106" s="171">
        <v>2009</v>
      </c>
      <c r="B106" s="283"/>
      <c r="C106" s="410" t="s">
        <v>682</v>
      </c>
      <c r="D106" s="410"/>
      <c r="E106" s="171">
        <v>203</v>
      </c>
      <c r="G106" s="233"/>
      <c r="H106" s="171">
        <v>9</v>
      </c>
      <c r="I106" s="171">
        <v>6</v>
      </c>
      <c r="J106" s="241">
        <v>15</v>
      </c>
      <c r="K106" s="214">
        <f t="shared" si="4"/>
        <v>0</v>
      </c>
      <c r="L106" s="214">
        <f t="shared" si="4"/>
        <v>60</v>
      </c>
      <c r="M106" s="214">
        <f t="shared" si="4"/>
        <v>40</v>
      </c>
      <c r="N106" s="235">
        <f t="shared" si="5"/>
        <v>100</v>
      </c>
      <c r="O106" s="213"/>
      <c r="P106" s="214">
        <v>40</v>
      </c>
      <c r="Q106" s="214">
        <v>23.3</v>
      </c>
      <c r="R106" s="215">
        <f t="shared" si="6"/>
        <v>63.3</v>
      </c>
      <c r="S106" s="171">
        <v>2</v>
      </c>
      <c r="T106" s="285"/>
      <c r="U106" s="283"/>
      <c r="V106" s="178" t="s">
        <v>492</v>
      </c>
      <c r="W106" s="171" t="s">
        <v>17</v>
      </c>
      <c r="X106" s="171" t="s">
        <v>323</v>
      </c>
      <c r="Y106" s="179">
        <v>40</v>
      </c>
      <c r="Z106" s="171" t="s">
        <v>493</v>
      </c>
      <c r="AA106" s="171" t="s">
        <v>20</v>
      </c>
      <c r="AB106" s="171" t="s">
        <v>12</v>
      </c>
      <c r="AC106" s="171">
        <v>23.3</v>
      </c>
      <c r="AD106" s="178"/>
      <c r="AG106" s="179"/>
      <c r="AL106" s="178"/>
      <c r="AO106" s="179"/>
      <c r="AP106" s="178"/>
      <c r="AS106" s="179"/>
      <c r="AW106" s="179"/>
      <c r="BA106" s="180"/>
    </row>
    <row r="107" spans="1:53" s="29" customFormat="1" x14ac:dyDescent="0.15">
      <c r="A107" s="29">
        <v>2009</v>
      </c>
      <c r="B107" s="295">
        <v>40017</v>
      </c>
      <c r="C107" s="411" t="s">
        <v>683</v>
      </c>
      <c r="D107" s="411"/>
      <c r="E107" s="29">
        <f>365-E106</f>
        <v>162</v>
      </c>
      <c r="F107" s="29">
        <v>1</v>
      </c>
      <c r="G107" s="66"/>
      <c r="H107" s="29">
        <v>9</v>
      </c>
      <c r="I107" s="29">
        <v>6</v>
      </c>
      <c r="J107" s="73">
        <v>15</v>
      </c>
      <c r="K107" s="47">
        <f t="shared" si="4"/>
        <v>0</v>
      </c>
      <c r="L107" s="47">
        <f t="shared" si="4"/>
        <v>60</v>
      </c>
      <c r="M107" s="47">
        <f t="shared" si="4"/>
        <v>40</v>
      </c>
      <c r="N107" s="68">
        <f t="shared" si="5"/>
        <v>100</v>
      </c>
      <c r="O107" s="46"/>
      <c r="P107" s="47">
        <v>43.3</v>
      </c>
      <c r="Q107" s="47">
        <v>21.7</v>
      </c>
      <c r="R107" s="48">
        <f t="shared" si="6"/>
        <v>65</v>
      </c>
      <c r="S107" s="29">
        <v>2</v>
      </c>
      <c r="T107" s="286">
        <v>39971</v>
      </c>
      <c r="U107" s="295">
        <v>40017</v>
      </c>
      <c r="V107" s="38" t="s">
        <v>492</v>
      </c>
      <c r="W107" s="29" t="s">
        <v>17</v>
      </c>
      <c r="X107" s="29" t="s">
        <v>323</v>
      </c>
      <c r="Y107" s="39">
        <v>43.3</v>
      </c>
      <c r="Z107" s="29" t="s">
        <v>493</v>
      </c>
      <c r="AA107" s="29" t="s">
        <v>20</v>
      </c>
      <c r="AB107" s="29" t="s">
        <v>12</v>
      </c>
      <c r="AC107" s="29">
        <v>21.7</v>
      </c>
      <c r="AD107" s="38"/>
      <c r="AG107" s="39"/>
      <c r="AL107" s="38"/>
      <c r="AO107" s="39"/>
      <c r="AP107" s="38"/>
      <c r="AS107" s="39"/>
      <c r="AW107" s="39"/>
      <c r="BA107" s="40"/>
    </row>
    <row r="108" spans="1:53" s="29" customFormat="1" x14ac:dyDescent="0.15">
      <c r="A108" s="29">
        <v>2010</v>
      </c>
      <c r="B108" s="295"/>
      <c r="C108" s="411" t="s">
        <v>683</v>
      </c>
      <c r="D108" s="411"/>
      <c r="E108" s="29">
        <v>0</v>
      </c>
      <c r="G108" s="66"/>
      <c r="H108" s="29">
        <v>9</v>
      </c>
      <c r="I108" s="29">
        <v>6</v>
      </c>
      <c r="J108" s="73">
        <v>15</v>
      </c>
      <c r="K108" s="47">
        <f t="shared" si="4"/>
        <v>0</v>
      </c>
      <c r="L108" s="47">
        <f t="shared" si="4"/>
        <v>60</v>
      </c>
      <c r="M108" s="47">
        <f t="shared" si="4"/>
        <v>40</v>
      </c>
      <c r="N108" s="68">
        <f t="shared" si="5"/>
        <v>100</v>
      </c>
      <c r="O108" s="46"/>
      <c r="P108" s="47">
        <v>43.3</v>
      </c>
      <c r="Q108" s="47">
        <v>21.7</v>
      </c>
      <c r="R108" s="48">
        <f t="shared" si="6"/>
        <v>65</v>
      </c>
      <c r="S108" s="29">
        <v>2</v>
      </c>
      <c r="T108" s="286"/>
      <c r="U108" s="295"/>
      <c r="V108" s="38" t="s">
        <v>492</v>
      </c>
      <c r="W108" s="29" t="s">
        <v>17</v>
      </c>
      <c r="X108" s="29" t="s">
        <v>323</v>
      </c>
      <c r="Y108" s="39">
        <v>43.3</v>
      </c>
      <c r="Z108" s="29" t="s">
        <v>493</v>
      </c>
      <c r="AA108" s="29" t="s">
        <v>20</v>
      </c>
      <c r="AB108" s="29" t="s">
        <v>12</v>
      </c>
      <c r="AC108" s="29">
        <v>21.7</v>
      </c>
      <c r="AD108" s="38"/>
      <c r="AG108" s="39"/>
      <c r="AL108" s="38"/>
      <c r="AO108" s="39"/>
      <c r="AP108" s="38"/>
      <c r="AS108" s="39"/>
      <c r="AW108" s="39"/>
      <c r="BA108" s="40"/>
    </row>
    <row r="109" spans="1:53" s="29" customFormat="1" x14ac:dyDescent="0.15">
      <c r="A109" s="29">
        <v>2010</v>
      </c>
      <c r="B109" s="295"/>
      <c r="C109" s="411" t="s">
        <v>683</v>
      </c>
      <c r="D109" s="411"/>
      <c r="E109" s="29">
        <v>365</v>
      </c>
      <c r="G109" s="66"/>
      <c r="H109" s="29">
        <v>9</v>
      </c>
      <c r="I109" s="29">
        <v>6</v>
      </c>
      <c r="J109" s="73">
        <v>15</v>
      </c>
      <c r="K109" s="47">
        <f t="shared" si="4"/>
        <v>0</v>
      </c>
      <c r="L109" s="47">
        <f t="shared" si="4"/>
        <v>60</v>
      </c>
      <c r="M109" s="47">
        <f t="shared" si="4"/>
        <v>40</v>
      </c>
      <c r="N109" s="68">
        <f t="shared" si="5"/>
        <v>100</v>
      </c>
      <c r="O109" s="46"/>
      <c r="P109" s="47">
        <v>43.3</v>
      </c>
      <c r="Q109" s="47">
        <v>21.7</v>
      </c>
      <c r="R109" s="48">
        <f t="shared" si="6"/>
        <v>65</v>
      </c>
      <c r="S109" s="29">
        <v>2</v>
      </c>
      <c r="T109" s="286"/>
      <c r="U109" s="295"/>
      <c r="V109" s="38" t="s">
        <v>492</v>
      </c>
      <c r="W109" s="29" t="s">
        <v>17</v>
      </c>
      <c r="X109" s="29" t="s">
        <v>323</v>
      </c>
      <c r="Y109" s="39">
        <v>43.3</v>
      </c>
      <c r="Z109" s="29" t="s">
        <v>493</v>
      </c>
      <c r="AA109" s="29" t="s">
        <v>20</v>
      </c>
      <c r="AB109" s="29" t="s">
        <v>12</v>
      </c>
      <c r="AC109" s="29">
        <v>21.7</v>
      </c>
      <c r="AD109" s="38"/>
      <c r="AG109" s="39"/>
      <c r="AL109" s="38"/>
      <c r="AO109" s="39"/>
      <c r="AP109" s="38"/>
      <c r="AS109" s="39"/>
      <c r="AW109" s="39"/>
      <c r="BA109" s="40"/>
    </row>
    <row r="110" spans="1:53" s="29" customFormat="1" x14ac:dyDescent="0.15">
      <c r="A110" s="29">
        <v>2011</v>
      </c>
      <c r="B110" s="295"/>
      <c r="C110" s="411" t="s">
        <v>683</v>
      </c>
      <c r="D110" s="411"/>
      <c r="E110" s="29">
        <v>0</v>
      </c>
      <c r="G110" s="66"/>
      <c r="H110" s="29">
        <v>9</v>
      </c>
      <c r="I110" s="29">
        <v>6</v>
      </c>
      <c r="J110" s="73">
        <v>15</v>
      </c>
      <c r="K110" s="47">
        <f t="shared" si="4"/>
        <v>0</v>
      </c>
      <c r="L110" s="47">
        <f t="shared" si="4"/>
        <v>60</v>
      </c>
      <c r="M110" s="47">
        <f t="shared" si="4"/>
        <v>40</v>
      </c>
      <c r="N110" s="68">
        <f t="shared" si="5"/>
        <v>100</v>
      </c>
      <c r="O110" s="46"/>
      <c r="P110" s="47">
        <v>43.3</v>
      </c>
      <c r="Q110" s="47">
        <v>21.7</v>
      </c>
      <c r="R110" s="48">
        <f t="shared" si="6"/>
        <v>65</v>
      </c>
      <c r="S110" s="29">
        <v>2</v>
      </c>
      <c r="T110" s="286"/>
      <c r="U110" s="295"/>
      <c r="V110" s="38" t="s">
        <v>492</v>
      </c>
      <c r="W110" s="29" t="s">
        <v>17</v>
      </c>
      <c r="X110" s="29" t="s">
        <v>323</v>
      </c>
      <c r="Y110" s="39">
        <v>43.3</v>
      </c>
      <c r="Z110" s="29" t="s">
        <v>493</v>
      </c>
      <c r="AA110" s="29" t="s">
        <v>20</v>
      </c>
      <c r="AB110" s="29" t="s">
        <v>12</v>
      </c>
      <c r="AC110" s="29">
        <v>21.7</v>
      </c>
      <c r="AD110" s="38"/>
      <c r="AG110" s="39"/>
      <c r="AL110" s="38"/>
      <c r="AO110" s="39"/>
      <c r="AP110" s="38"/>
      <c r="AS110" s="39"/>
      <c r="AW110" s="39"/>
      <c r="BA110" s="40"/>
    </row>
    <row r="111" spans="1:53" s="29" customFormat="1" x14ac:dyDescent="0.15">
      <c r="A111" s="29">
        <v>2011</v>
      </c>
      <c r="B111" s="295"/>
      <c r="C111" s="411" t="s">
        <v>683</v>
      </c>
      <c r="D111" s="411"/>
      <c r="E111" s="29">
        <v>365</v>
      </c>
      <c r="G111" s="66"/>
      <c r="H111" s="29">
        <v>9</v>
      </c>
      <c r="I111" s="29">
        <v>6</v>
      </c>
      <c r="J111" s="73">
        <v>15</v>
      </c>
      <c r="K111" s="47">
        <f t="shared" si="4"/>
        <v>0</v>
      </c>
      <c r="L111" s="47">
        <f t="shared" si="4"/>
        <v>60</v>
      </c>
      <c r="M111" s="47">
        <f t="shared" si="4"/>
        <v>40</v>
      </c>
      <c r="N111" s="68">
        <f t="shared" si="5"/>
        <v>100</v>
      </c>
      <c r="O111" s="46"/>
      <c r="P111" s="47">
        <v>43.3</v>
      </c>
      <c r="Q111" s="47">
        <v>21.7</v>
      </c>
      <c r="R111" s="48">
        <f t="shared" si="6"/>
        <v>65</v>
      </c>
      <c r="S111" s="29">
        <v>2</v>
      </c>
      <c r="T111" s="286"/>
      <c r="U111" s="295"/>
      <c r="V111" s="38" t="s">
        <v>492</v>
      </c>
      <c r="W111" s="29" t="s">
        <v>17</v>
      </c>
      <c r="X111" s="29" t="s">
        <v>323</v>
      </c>
      <c r="Y111" s="39">
        <v>43.3</v>
      </c>
      <c r="Z111" s="29" t="s">
        <v>493</v>
      </c>
      <c r="AA111" s="29" t="s">
        <v>20</v>
      </c>
      <c r="AB111" s="29" t="s">
        <v>12</v>
      </c>
      <c r="AC111" s="29">
        <v>21.7</v>
      </c>
      <c r="AD111" s="38"/>
      <c r="AG111" s="39"/>
      <c r="AL111" s="38"/>
      <c r="AO111" s="39"/>
      <c r="AP111" s="38"/>
      <c r="AS111" s="39"/>
      <c r="AW111" s="39"/>
      <c r="BA111" s="40"/>
    </row>
    <row r="112" spans="1:53" s="29" customFormat="1" x14ac:dyDescent="0.15">
      <c r="A112" s="29">
        <v>2012</v>
      </c>
      <c r="B112" s="295"/>
      <c r="C112" s="411" t="s">
        <v>683</v>
      </c>
      <c r="D112" s="411"/>
      <c r="E112" s="29">
        <v>0</v>
      </c>
      <c r="G112" s="66"/>
      <c r="H112" s="29">
        <v>9</v>
      </c>
      <c r="I112" s="29">
        <v>6</v>
      </c>
      <c r="J112" s="73">
        <v>15</v>
      </c>
      <c r="K112" s="47">
        <f t="shared" si="4"/>
        <v>0</v>
      </c>
      <c r="L112" s="47">
        <f t="shared" si="4"/>
        <v>60</v>
      </c>
      <c r="M112" s="47">
        <f t="shared" si="4"/>
        <v>40</v>
      </c>
      <c r="N112" s="68">
        <f t="shared" si="5"/>
        <v>100</v>
      </c>
      <c r="O112" s="46"/>
      <c r="P112" s="47">
        <v>43.3</v>
      </c>
      <c r="Q112" s="47">
        <v>21.7</v>
      </c>
      <c r="R112" s="48">
        <f t="shared" si="6"/>
        <v>65</v>
      </c>
      <c r="S112" s="29">
        <v>2</v>
      </c>
      <c r="T112" s="286"/>
      <c r="U112" s="295"/>
      <c r="V112" s="38" t="s">
        <v>492</v>
      </c>
      <c r="W112" s="29" t="s">
        <v>17</v>
      </c>
      <c r="X112" s="29" t="s">
        <v>323</v>
      </c>
      <c r="Y112" s="39">
        <v>43.3</v>
      </c>
      <c r="Z112" s="29" t="s">
        <v>493</v>
      </c>
      <c r="AA112" s="29" t="s">
        <v>20</v>
      </c>
      <c r="AB112" s="29" t="s">
        <v>12</v>
      </c>
      <c r="AC112" s="29">
        <v>21.7</v>
      </c>
      <c r="AD112" s="38"/>
      <c r="AG112" s="39"/>
      <c r="AL112" s="38"/>
      <c r="AO112" s="39"/>
      <c r="AP112" s="38"/>
      <c r="AS112" s="39"/>
      <c r="AW112" s="39"/>
      <c r="BA112" s="40"/>
    </row>
    <row r="113" spans="1:53" s="29" customFormat="1" x14ac:dyDescent="0.15">
      <c r="A113" s="29">
        <v>2012</v>
      </c>
      <c r="B113" s="295"/>
      <c r="C113" s="411" t="s">
        <v>683</v>
      </c>
      <c r="D113" s="411"/>
      <c r="E113" s="29">
        <v>366</v>
      </c>
      <c r="G113" s="66"/>
      <c r="H113" s="29">
        <v>9</v>
      </c>
      <c r="I113" s="29">
        <v>6</v>
      </c>
      <c r="J113" s="73">
        <v>15</v>
      </c>
      <c r="K113" s="47">
        <f t="shared" si="4"/>
        <v>0</v>
      </c>
      <c r="L113" s="47">
        <f t="shared" si="4"/>
        <v>60</v>
      </c>
      <c r="M113" s="47">
        <f t="shared" si="4"/>
        <v>40</v>
      </c>
      <c r="N113" s="68">
        <f t="shared" si="5"/>
        <v>100</v>
      </c>
      <c r="O113" s="46"/>
      <c r="P113" s="47">
        <v>43.3</v>
      </c>
      <c r="Q113" s="47">
        <v>21.7</v>
      </c>
      <c r="R113" s="48">
        <f t="shared" si="6"/>
        <v>65</v>
      </c>
      <c r="S113" s="29">
        <v>2</v>
      </c>
      <c r="T113" s="286"/>
      <c r="U113" s="295"/>
      <c r="V113" s="38" t="s">
        <v>492</v>
      </c>
      <c r="W113" s="29" t="s">
        <v>17</v>
      </c>
      <c r="X113" s="29" t="s">
        <v>323</v>
      </c>
      <c r="Y113" s="39">
        <v>43.3</v>
      </c>
      <c r="Z113" s="29" t="s">
        <v>493</v>
      </c>
      <c r="AA113" s="29" t="s">
        <v>20</v>
      </c>
      <c r="AB113" s="29" t="s">
        <v>12</v>
      </c>
      <c r="AC113" s="29">
        <v>21.7</v>
      </c>
      <c r="AD113" s="38"/>
      <c r="AG113" s="39"/>
      <c r="AL113" s="38"/>
      <c r="AO113" s="39"/>
      <c r="AP113" s="38"/>
      <c r="AS113" s="39"/>
      <c r="AW113" s="39"/>
      <c r="BA113" s="40"/>
    </row>
    <row r="114" spans="1:53" s="29" customFormat="1" x14ac:dyDescent="0.15">
      <c r="A114" s="29">
        <v>2013</v>
      </c>
      <c r="B114" s="295"/>
      <c r="C114" s="411" t="s">
        <v>683</v>
      </c>
      <c r="D114" s="411"/>
      <c r="E114" s="29">
        <v>337</v>
      </c>
      <c r="G114" s="66"/>
      <c r="H114" s="29">
        <v>9</v>
      </c>
      <c r="I114" s="29">
        <v>6</v>
      </c>
      <c r="J114" s="73">
        <v>15</v>
      </c>
      <c r="K114" s="47">
        <f t="shared" si="4"/>
        <v>0</v>
      </c>
      <c r="L114" s="47">
        <f t="shared" si="4"/>
        <v>60</v>
      </c>
      <c r="M114" s="47">
        <f t="shared" si="4"/>
        <v>40</v>
      </c>
      <c r="N114" s="68">
        <f t="shared" si="5"/>
        <v>100</v>
      </c>
      <c r="O114" s="46"/>
      <c r="P114" s="47">
        <v>43.3</v>
      </c>
      <c r="Q114" s="47">
        <v>21.7</v>
      </c>
      <c r="R114" s="48">
        <f>O114+P114+Q114</f>
        <v>65</v>
      </c>
      <c r="S114" s="29">
        <v>2</v>
      </c>
      <c r="T114" s="286"/>
      <c r="U114" s="295"/>
      <c r="V114" s="38" t="s">
        <v>492</v>
      </c>
      <c r="W114" s="29" t="s">
        <v>17</v>
      </c>
      <c r="X114" s="29" t="s">
        <v>323</v>
      </c>
      <c r="Y114" s="39">
        <v>43.3</v>
      </c>
      <c r="Z114" s="29" t="s">
        <v>493</v>
      </c>
      <c r="AA114" s="29" t="s">
        <v>20</v>
      </c>
      <c r="AB114" s="29" t="s">
        <v>12</v>
      </c>
      <c r="AC114" s="29">
        <v>21.7</v>
      </c>
      <c r="AD114" s="38"/>
      <c r="AG114" s="39"/>
      <c r="AL114" s="38"/>
      <c r="AO114" s="39"/>
      <c r="AP114" s="38"/>
      <c r="AS114" s="39"/>
      <c r="AW114" s="39"/>
      <c r="BA114" s="40"/>
    </row>
    <row r="115" spans="1:53" s="171" customFormat="1" x14ac:dyDescent="0.15">
      <c r="A115" s="171">
        <v>2013</v>
      </c>
      <c r="B115" s="283">
        <v>41612</v>
      </c>
      <c r="C115" s="410" t="s">
        <v>1243</v>
      </c>
      <c r="D115" s="410"/>
      <c r="E115" s="171">
        <f>365-E114</f>
        <v>28</v>
      </c>
      <c r="F115" s="171">
        <v>1</v>
      </c>
      <c r="G115" s="233">
        <v>7</v>
      </c>
      <c r="I115" s="171">
        <v>11</v>
      </c>
      <c r="J115" s="241">
        <v>18</v>
      </c>
      <c r="K115" s="214">
        <f>G115/$J115*100</f>
        <v>38.888888888888893</v>
      </c>
      <c r="L115" s="214">
        <f t="shared" si="4"/>
        <v>0</v>
      </c>
      <c r="M115" s="214">
        <f t="shared" si="4"/>
        <v>61.111111111111114</v>
      </c>
      <c r="N115" s="235">
        <f t="shared" si="5"/>
        <v>100</v>
      </c>
      <c r="O115" s="213">
        <v>21.7</v>
      </c>
      <c r="P115" s="214"/>
      <c r="Q115" s="214">
        <v>31.7</v>
      </c>
      <c r="R115" s="215">
        <f>O115+P115+Q115</f>
        <v>53.4</v>
      </c>
      <c r="S115" s="171">
        <v>2</v>
      </c>
      <c r="T115" s="285">
        <v>41567</v>
      </c>
      <c r="U115" s="283">
        <v>41612</v>
      </c>
      <c r="V115" s="178" t="s">
        <v>130</v>
      </c>
      <c r="W115" s="171" t="s">
        <v>22</v>
      </c>
      <c r="X115" s="171" t="s">
        <v>11</v>
      </c>
      <c r="Y115" s="179">
        <v>21.7</v>
      </c>
      <c r="Z115" s="171" t="s">
        <v>493</v>
      </c>
      <c r="AA115" s="171" t="s">
        <v>20</v>
      </c>
      <c r="AB115" s="171" t="s">
        <v>12</v>
      </c>
      <c r="AC115" s="171">
        <v>21.7</v>
      </c>
      <c r="AD115" s="178" t="s">
        <v>1258</v>
      </c>
      <c r="AE115" s="171" t="s">
        <v>1244</v>
      </c>
      <c r="AF115" s="171" t="s">
        <v>12</v>
      </c>
      <c r="AG115" s="179">
        <v>10</v>
      </c>
      <c r="AL115" s="178"/>
      <c r="AO115" s="179"/>
      <c r="AP115" s="178"/>
      <c r="AS115" s="179"/>
      <c r="AW115" s="179"/>
      <c r="BA115" s="180"/>
    </row>
    <row r="116" spans="1:53" s="171" customFormat="1" x14ac:dyDescent="0.15">
      <c r="A116" s="171">
        <v>2014</v>
      </c>
      <c r="B116" s="283"/>
      <c r="C116" s="410" t="s">
        <v>1243</v>
      </c>
      <c r="D116" s="410"/>
      <c r="E116" s="171">
        <v>0</v>
      </c>
      <c r="G116" s="233">
        <v>7</v>
      </c>
      <c r="I116" s="171">
        <v>11</v>
      </c>
      <c r="J116" s="241">
        <v>18</v>
      </c>
      <c r="K116" s="214">
        <f>G116/$J116*100</f>
        <v>38.888888888888893</v>
      </c>
      <c r="L116" s="214">
        <f>H116/$J116*100</f>
        <v>0</v>
      </c>
      <c r="M116" s="214">
        <f>I116/$J116*100</f>
        <v>61.111111111111114</v>
      </c>
      <c r="N116" s="235">
        <f>K116+L116+M116</f>
        <v>100</v>
      </c>
      <c r="O116" s="213">
        <v>21.7</v>
      </c>
      <c r="P116" s="214"/>
      <c r="Q116" s="214">
        <v>31.7</v>
      </c>
      <c r="R116" s="215">
        <f>O116+P116+Q116</f>
        <v>53.4</v>
      </c>
      <c r="S116" s="171">
        <v>2</v>
      </c>
      <c r="T116" s="285"/>
      <c r="U116" s="283"/>
      <c r="V116" s="178" t="s">
        <v>130</v>
      </c>
      <c r="W116" s="171" t="s">
        <v>22</v>
      </c>
      <c r="X116" s="171" t="s">
        <v>11</v>
      </c>
      <c r="Y116" s="179">
        <v>21.7</v>
      </c>
      <c r="Z116" s="171" t="s">
        <v>493</v>
      </c>
      <c r="AA116" s="171" t="s">
        <v>20</v>
      </c>
      <c r="AB116" s="171" t="s">
        <v>12</v>
      </c>
      <c r="AC116" s="171">
        <v>21.7</v>
      </c>
      <c r="AD116" s="178" t="s">
        <v>1258</v>
      </c>
      <c r="AE116" s="171" t="s">
        <v>1244</v>
      </c>
      <c r="AF116" s="171" t="s">
        <v>12</v>
      </c>
      <c r="AG116" s="179">
        <v>10</v>
      </c>
      <c r="AL116" s="178"/>
      <c r="AO116" s="179"/>
      <c r="AP116" s="178"/>
      <c r="AS116" s="179"/>
      <c r="AW116" s="179"/>
      <c r="BA116" s="180"/>
    </row>
    <row r="117" spans="1:53" s="171" customFormat="1" x14ac:dyDescent="0.15">
      <c r="A117" s="171">
        <v>2014</v>
      </c>
      <c r="B117" s="283"/>
      <c r="C117" s="410" t="s">
        <v>1243</v>
      </c>
      <c r="D117" s="410"/>
      <c r="E117" s="171">
        <v>365</v>
      </c>
      <c r="G117" s="233">
        <v>7</v>
      </c>
      <c r="I117" s="171">
        <v>11</v>
      </c>
      <c r="J117" s="241">
        <v>18</v>
      </c>
      <c r="K117" s="214">
        <f>G117/$J117*100</f>
        <v>38.888888888888893</v>
      </c>
      <c r="L117" s="214">
        <f>H117/$J117*100</f>
        <v>0</v>
      </c>
      <c r="M117" s="214">
        <f>I117/$J117*100</f>
        <v>61.111111111111114</v>
      </c>
      <c r="N117" s="235">
        <f>K117+L117+M117</f>
        <v>100</v>
      </c>
      <c r="O117" s="213">
        <v>21.7</v>
      </c>
      <c r="P117" s="214"/>
      <c r="Q117" s="214">
        <v>31.7</v>
      </c>
      <c r="R117" s="215">
        <f>O117+P117+Q117</f>
        <v>53.4</v>
      </c>
      <c r="S117" s="171">
        <v>2</v>
      </c>
      <c r="T117" s="285"/>
      <c r="U117" s="283"/>
      <c r="V117" s="178" t="s">
        <v>130</v>
      </c>
      <c r="W117" s="171" t="s">
        <v>22</v>
      </c>
      <c r="X117" s="171" t="s">
        <v>11</v>
      </c>
      <c r="Y117" s="179">
        <v>21.7</v>
      </c>
      <c r="Z117" s="171" t="s">
        <v>493</v>
      </c>
      <c r="AA117" s="171" t="s">
        <v>20</v>
      </c>
      <c r="AB117" s="171" t="s">
        <v>12</v>
      </c>
      <c r="AC117" s="171">
        <v>21.7</v>
      </c>
      <c r="AD117" s="178" t="s">
        <v>1258</v>
      </c>
      <c r="AE117" s="171" t="s">
        <v>1244</v>
      </c>
      <c r="AF117" s="171" t="s">
        <v>12</v>
      </c>
      <c r="AG117" s="179">
        <v>10</v>
      </c>
      <c r="AL117" s="178"/>
      <c r="AO117" s="179"/>
      <c r="AP117" s="178"/>
      <c r="AS117" s="179"/>
      <c r="AW117" s="179"/>
      <c r="BA117" s="180"/>
    </row>
    <row r="118" spans="1:53" s="171" customFormat="1" x14ac:dyDescent="0.15">
      <c r="A118" s="171">
        <v>2015</v>
      </c>
      <c r="B118" s="283"/>
      <c r="C118" s="410" t="s">
        <v>1243</v>
      </c>
      <c r="D118" s="410"/>
      <c r="E118" s="171">
        <v>0</v>
      </c>
      <c r="G118" s="233">
        <v>7</v>
      </c>
      <c r="I118" s="171">
        <v>11</v>
      </c>
      <c r="J118" s="241">
        <v>18</v>
      </c>
      <c r="K118" s="214">
        <f t="shared" ref="K118:K119" si="7">G118/$J118*100</f>
        <v>38.888888888888893</v>
      </c>
      <c r="L118" s="214">
        <f t="shared" ref="L118:L119" si="8">H118/$J118*100</f>
        <v>0</v>
      </c>
      <c r="M118" s="214">
        <f t="shared" ref="M118:M119" si="9">I118/$J118*100</f>
        <v>61.111111111111114</v>
      </c>
      <c r="N118" s="235">
        <f t="shared" ref="N118:N119" si="10">K118+L118+M118</f>
        <v>100</v>
      </c>
      <c r="O118" s="213">
        <v>21.7</v>
      </c>
      <c r="P118" s="214"/>
      <c r="Q118" s="214">
        <v>31.7</v>
      </c>
      <c r="R118" s="215">
        <f>O118+P118+Q118</f>
        <v>53.4</v>
      </c>
      <c r="S118" s="171">
        <v>2</v>
      </c>
      <c r="T118" s="285"/>
      <c r="U118" s="283"/>
      <c r="V118" s="178" t="s">
        <v>130</v>
      </c>
      <c r="W118" s="171" t="s">
        <v>22</v>
      </c>
      <c r="X118" s="171" t="s">
        <v>11</v>
      </c>
      <c r="Y118" s="179">
        <v>21.7</v>
      </c>
      <c r="Z118" s="171" t="s">
        <v>493</v>
      </c>
      <c r="AA118" s="171" t="s">
        <v>20</v>
      </c>
      <c r="AB118" s="171" t="s">
        <v>12</v>
      </c>
      <c r="AC118" s="171">
        <v>21.7</v>
      </c>
      <c r="AD118" s="178" t="s">
        <v>1258</v>
      </c>
      <c r="AE118" s="171" t="s">
        <v>1244</v>
      </c>
      <c r="AF118" s="171" t="s">
        <v>12</v>
      </c>
      <c r="AG118" s="179">
        <v>10</v>
      </c>
      <c r="AL118" s="178"/>
      <c r="AO118" s="179"/>
      <c r="AP118" s="178"/>
      <c r="AS118" s="179"/>
      <c r="AW118" s="179"/>
      <c r="BA118" s="180"/>
    </row>
    <row r="119" spans="1:53" s="171" customFormat="1" x14ac:dyDescent="0.15">
      <c r="A119" s="171">
        <v>2015</v>
      </c>
      <c r="B119" s="283"/>
      <c r="C119" s="410" t="s">
        <v>1243</v>
      </c>
      <c r="D119" s="410"/>
      <c r="E119" s="171">
        <v>365</v>
      </c>
      <c r="G119" s="233">
        <v>7</v>
      </c>
      <c r="I119" s="171">
        <v>11</v>
      </c>
      <c r="J119" s="241">
        <v>18</v>
      </c>
      <c r="K119" s="214">
        <f t="shared" si="7"/>
        <v>38.888888888888893</v>
      </c>
      <c r="L119" s="214">
        <f t="shared" si="8"/>
        <v>0</v>
      </c>
      <c r="M119" s="214">
        <f t="shared" si="9"/>
        <v>61.111111111111114</v>
      </c>
      <c r="N119" s="235">
        <f t="shared" si="10"/>
        <v>100</v>
      </c>
      <c r="O119" s="213">
        <v>21.7</v>
      </c>
      <c r="P119" s="214"/>
      <c r="Q119" s="214">
        <v>31.7</v>
      </c>
      <c r="R119" s="215">
        <f t="shared" ref="R119" si="11">O119+P119+Q119</f>
        <v>53.4</v>
      </c>
      <c r="S119" s="171">
        <v>2</v>
      </c>
      <c r="T119" s="285"/>
      <c r="U119" s="283"/>
      <c r="V119" s="178" t="s">
        <v>130</v>
      </c>
      <c r="W119" s="171" t="s">
        <v>22</v>
      </c>
      <c r="X119" s="171" t="s">
        <v>11</v>
      </c>
      <c r="Y119" s="179">
        <v>21.7</v>
      </c>
      <c r="Z119" s="171" t="s">
        <v>493</v>
      </c>
      <c r="AA119" s="171" t="s">
        <v>20</v>
      </c>
      <c r="AB119" s="171" t="s">
        <v>12</v>
      </c>
      <c r="AC119" s="171">
        <v>21.7</v>
      </c>
      <c r="AD119" s="178" t="s">
        <v>1258</v>
      </c>
      <c r="AE119" s="171" t="s">
        <v>1244</v>
      </c>
      <c r="AF119" s="171" t="s">
        <v>12</v>
      </c>
      <c r="AG119" s="179">
        <v>10</v>
      </c>
      <c r="AL119" s="178"/>
      <c r="AO119" s="179"/>
      <c r="AP119" s="178"/>
      <c r="AS119" s="179"/>
      <c r="AW119" s="179"/>
      <c r="BA119" s="180"/>
    </row>
    <row r="120" spans="1:53" s="171" customFormat="1" x14ac:dyDescent="0.15">
      <c r="A120" s="171">
        <v>2016</v>
      </c>
      <c r="B120" s="283"/>
      <c r="C120" s="410" t="s">
        <v>1243</v>
      </c>
      <c r="D120" s="410"/>
      <c r="E120" s="171">
        <v>0</v>
      </c>
      <c r="G120" s="233">
        <v>7</v>
      </c>
      <c r="I120" s="171">
        <v>11</v>
      </c>
      <c r="J120" s="241">
        <v>18</v>
      </c>
      <c r="K120" s="214">
        <f t="shared" ref="K120:K122" si="12">G120/$J120*100</f>
        <v>38.888888888888893</v>
      </c>
      <c r="L120" s="214">
        <f t="shared" ref="L120:L122" si="13">H120/$J120*100</f>
        <v>0</v>
      </c>
      <c r="M120" s="214">
        <f t="shared" ref="M120:M122" si="14">I120/$J120*100</f>
        <v>61.111111111111114</v>
      </c>
      <c r="N120" s="235">
        <f t="shared" ref="N120:N122" si="15">K120+L120+M120</f>
        <v>100</v>
      </c>
      <c r="O120" s="213">
        <v>21.7</v>
      </c>
      <c r="P120" s="214"/>
      <c r="Q120" s="214">
        <v>31.7</v>
      </c>
      <c r="R120" s="215">
        <f t="shared" ref="R120:R121" si="16">O120+P120+Q120</f>
        <v>53.4</v>
      </c>
      <c r="S120" s="171">
        <v>2</v>
      </c>
      <c r="T120" s="285"/>
      <c r="U120" s="283"/>
      <c r="V120" s="178" t="s">
        <v>130</v>
      </c>
      <c r="W120" s="171" t="s">
        <v>22</v>
      </c>
      <c r="X120" s="171" t="s">
        <v>11</v>
      </c>
      <c r="Y120" s="179">
        <v>21.7</v>
      </c>
      <c r="Z120" s="171" t="s">
        <v>493</v>
      </c>
      <c r="AA120" s="171" t="s">
        <v>20</v>
      </c>
      <c r="AB120" s="171" t="s">
        <v>12</v>
      </c>
      <c r="AC120" s="171">
        <v>21.7</v>
      </c>
      <c r="AD120" s="178" t="s">
        <v>1258</v>
      </c>
      <c r="AE120" s="171" t="s">
        <v>1244</v>
      </c>
      <c r="AF120" s="171" t="s">
        <v>12</v>
      </c>
      <c r="AG120" s="179">
        <v>10</v>
      </c>
      <c r="AL120" s="178"/>
      <c r="AO120" s="179"/>
      <c r="AP120" s="178"/>
      <c r="AS120" s="179"/>
      <c r="AW120" s="179"/>
      <c r="BA120" s="180"/>
    </row>
    <row r="121" spans="1:53" s="171" customFormat="1" x14ac:dyDescent="0.15">
      <c r="A121" s="171">
        <v>2016</v>
      </c>
      <c r="B121" s="283"/>
      <c r="C121" s="410" t="s">
        <v>1243</v>
      </c>
      <c r="D121" s="410"/>
      <c r="E121" s="171">
        <v>366</v>
      </c>
      <c r="G121" s="233">
        <v>7</v>
      </c>
      <c r="I121" s="171">
        <v>11</v>
      </c>
      <c r="J121" s="241">
        <v>18</v>
      </c>
      <c r="K121" s="214">
        <f t="shared" si="12"/>
        <v>38.888888888888893</v>
      </c>
      <c r="L121" s="214">
        <f t="shared" si="13"/>
        <v>0</v>
      </c>
      <c r="M121" s="214">
        <f t="shared" si="14"/>
        <v>61.111111111111114</v>
      </c>
      <c r="N121" s="235">
        <f t="shared" si="15"/>
        <v>100</v>
      </c>
      <c r="O121" s="213">
        <v>21.7</v>
      </c>
      <c r="P121" s="214"/>
      <c r="Q121" s="214">
        <v>31.7</v>
      </c>
      <c r="R121" s="215">
        <f t="shared" si="16"/>
        <v>53.4</v>
      </c>
      <c r="S121" s="171">
        <v>2</v>
      </c>
      <c r="T121" s="285"/>
      <c r="U121" s="283"/>
      <c r="V121" s="178" t="s">
        <v>130</v>
      </c>
      <c r="W121" s="171" t="s">
        <v>22</v>
      </c>
      <c r="X121" s="171" t="s">
        <v>11</v>
      </c>
      <c r="Y121" s="179">
        <v>21.7</v>
      </c>
      <c r="Z121" s="171" t="s">
        <v>493</v>
      </c>
      <c r="AA121" s="171" t="s">
        <v>20</v>
      </c>
      <c r="AB121" s="171" t="s">
        <v>12</v>
      </c>
      <c r="AC121" s="171">
        <v>21.7</v>
      </c>
      <c r="AD121" s="178" t="s">
        <v>1258</v>
      </c>
      <c r="AE121" s="171" t="s">
        <v>1244</v>
      </c>
      <c r="AF121" s="171" t="s">
        <v>12</v>
      </c>
      <c r="AG121" s="179">
        <v>10</v>
      </c>
      <c r="AL121" s="178"/>
      <c r="AO121" s="179"/>
      <c r="AP121" s="178"/>
      <c r="AS121" s="179"/>
      <c r="AW121" s="179"/>
      <c r="BA121" s="180"/>
    </row>
    <row r="122" spans="1:53" s="171" customFormat="1" x14ac:dyDescent="0.15">
      <c r="A122" s="171">
        <v>2017</v>
      </c>
      <c r="B122" s="283"/>
      <c r="C122" s="410" t="s">
        <v>1243</v>
      </c>
      <c r="D122" s="410"/>
      <c r="E122" s="171">
        <v>0</v>
      </c>
      <c r="G122" s="233">
        <v>7</v>
      </c>
      <c r="I122" s="171">
        <v>11</v>
      </c>
      <c r="J122" s="241">
        <v>18</v>
      </c>
      <c r="K122" s="214">
        <f t="shared" si="12"/>
        <v>38.888888888888893</v>
      </c>
      <c r="L122" s="214">
        <f t="shared" si="13"/>
        <v>0</v>
      </c>
      <c r="M122" s="214">
        <f t="shared" si="14"/>
        <v>61.111111111111114</v>
      </c>
      <c r="N122" s="235">
        <f t="shared" si="15"/>
        <v>100</v>
      </c>
      <c r="O122" s="213">
        <v>21.7</v>
      </c>
      <c r="P122" s="214"/>
      <c r="Q122" s="214">
        <v>31.7</v>
      </c>
      <c r="R122" s="215">
        <f t="shared" ref="R122:R123" si="17">O122+P122+Q122</f>
        <v>53.4</v>
      </c>
      <c r="S122" s="171">
        <v>2</v>
      </c>
      <c r="T122" s="285"/>
      <c r="U122" s="283"/>
      <c r="V122" s="178" t="s">
        <v>130</v>
      </c>
      <c r="W122" s="171" t="s">
        <v>22</v>
      </c>
      <c r="X122" s="171" t="s">
        <v>11</v>
      </c>
      <c r="Y122" s="179">
        <v>21.7</v>
      </c>
      <c r="Z122" s="171" t="s">
        <v>493</v>
      </c>
      <c r="AA122" s="171" t="s">
        <v>20</v>
      </c>
      <c r="AB122" s="171" t="s">
        <v>12</v>
      </c>
      <c r="AC122" s="171">
        <v>21.7</v>
      </c>
      <c r="AD122" s="178" t="s">
        <v>1258</v>
      </c>
      <c r="AE122" s="171" t="s">
        <v>1244</v>
      </c>
      <c r="AF122" s="171" t="s">
        <v>12</v>
      </c>
      <c r="AG122" s="179">
        <v>10</v>
      </c>
      <c r="AL122" s="178"/>
      <c r="AO122" s="179"/>
      <c r="AP122" s="178"/>
      <c r="AS122" s="179"/>
      <c r="AW122" s="179"/>
      <c r="BA122" s="180"/>
    </row>
    <row r="123" spans="1:53" s="171" customFormat="1" x14ac:dyDescent="0.15">
      <c r="A123" s="171">
        <v>2017</v>
      </c>
      <c r="B123" s="283"/>
      <c r="C123" s="410" t="s">
        <v>1243</v>
      </c>
      <c r="D123" s="410"/>
      <c r="E123" s="171">
        <v>365</v>
      </c>
      <c r="G123" s="233">
        <v>7</v>
      </c>
      <c r="I123" s="171">
        <v>11</v>
      </c>
      <c r="J123" s="241">
        <v>18</v>
      </c>
      <c r="K123" s="214">
        <f t="shared" ref="K123" si="18">G123/$J123*100</f>
        <v>38.888888888888893</v>
      </c>
      <c r="L123" s="214">
        <f t="shared" ref="L123" si="19">H123/$J123*100</f>
        <v>0</v>
      </c>
      <c r="M123" s="214">
        <f t="shared" ref="M123" si="20">I123/$J123*100</f>
        <v>61.111111111111114</v>
      </c>
      <c r="N123" s="235">
        <f t="shared" ref="N123" si="21">K123+L123+M123</f>
        <v>100</v>
      </c>
      <c r="O123" s="213">
        <v>21.7</v>
      </c>
      <c r="P123" s="214"/>
      <c r="Q123" s="214">
        <v>31.7</v>
      </c>
      <c r="R123" s="215">
        <f t="shared" si="17"/>
        <v>53.4</v>
      </c>
      <c r="S123" s="171">
        <v>2</v>
      </c>
      <c r="T123" s="285"/>
      <c r="U123" s="283"/>
      <c r="V123" s="178" t="s">
        <v>130</v>
      </c>
      <c r="W123" s="171" t="s">
        <v>22</v>
      </c>
      <c r="X123" s="171" t="s">
        <v>11</v>
      </c>
      <c r="Y123" s="179">
        <v>21.7</v>
      </c>
      <c r="Z123" s="171" t="s">
        <v>493</v>
      </c>
      <c r="AA123" s="171" t="s">
        <v>20</v>
      </c>
      <c r="AB123" s="171" t="s">
        <v>12</v>
      </c>
      <c r="AC123" s="171">
        <v>21.7</v>
      </c>
      <c r="AD123" s="178" t="s">
        <v>1258</v>
      </c>
      <c r="AE123" s="171" t="s">
        <v>1244</v>
      </c>
      <c r="AF123" s="171" t="s">
        <v>12</v>
      </c>
      <c r="AG123" s="179">
        <v>10</v>
      </c>
      <c r="AL123" s="178"/>
      <c r="AO123" s="179"/>
      <c r="AP123" s="178"/>
      <c r="AS123" s="179"/>
      <c r="AW123" s="179"/>
      <c r="BA123" s="180"/>
    </row>
    <row r="124" spans="1:53" s="171" customFormat="1" x14ac:dyDescent="0.15">
      <c r="A124" s="171">
        <v>2018</v>
      </c>
      <c r="B124" s="283"/>
      <c r="C124" s="410" t="s">
        <v>1243</v>
      </c>
      <c r="D124" s="410"/>
      <c r="E124" s="171">
        <v>338</v>
      </c>
      <c r="G124" s="233">
        <v>7</v>
      </c>
      <c r="I124" s="171">
        <v>11</v>
      </c>
      <c r="J124" s="241">
        <v>18</v>
      </c>
      <c r="K124" s="214">
        <f t="shared" ref="K124:K125" si="22">G124/$J124*100</f>
        <v>38.888888888888893</v>
      </c>
      <c r="L124" s="214">
        <f t="shared" ref="L124:L125" si="23">H124/$J124*100</f>
        <v>0</v>
      </c>
      <c r="M124" s="214">
        <f t="shared" ref="M124:M125" si="24">I124/$J124*100</f>
        <v>61.111111111111114</v>
      </c>
      <c r="N124" s="235">
        <f t="shared" ref="N124:N125" si="25">K124+L124+M124</f>
        <v>100</v>
      </c>
      <c r="O124" s="213">
        <v>21.7</v>
      </c>
      <c r="P124" s="214"/>
      <c r="Q124" s="214">
        <v>31.7</v>
      </c>
      <c r="R124" s="215">
        <f t="shared" ref="R124:R125" si="26">O124+P124+Q124</f>
        <v>53.4</v>
      </c>
      <c r="S124" s="171">
        <v>2</v>
      </c>
      <c r="T124" s="285"/>
      <c r="U124" s="283"/>
      <c r="V124" s="178" t="s">
        <v>130</v>
      </c>
      <c r="W124" s="171" t="s">
        <v>22</v>
      </c>
      <c r="X124" s="171" t="s">
        <v>11</v>
      </c>
      <c r="Y124" s="179">
        <v>21.7</v>
      </c>
      <c r="Z124" s="171" t="s">
        <v>493</v>
      </c>
      <c r="AA124" s="171" t="s">
        <v>20</v>
      </c>
      <c r="AB124" s="171" t="s">
        <v>12</v>
      </c>
      <c r="AC124" s="171">
        <v>21.7</v>
      </c>
      <c r="AD124" s="178" t="s">
        <v>1258</v>
      </c>
      <c r="AE124" s="171" t="s">
        <v>1244</v>
      </c>
      <c r="AF124" s="171" t="s">
        <v>12</v>
      </c>
      <c r="AG124" s="179">
        <v>10</v>
      </c>
      <c r="AL124" s="178"/>
      <c r="AO124" s="179"/>
      <c r="AP124" s="178"/>
      <c r="AS124" s="179"/>
      <c r="AW124" s="179"/>
      <c r="BA124" s="180"/>
    </row>
    <row r="125" spans="1:53" s="29" customFormat="1" x14ac:dyDescent="0.15">
      <c r="A125" s="29">
        <v>2018</v>
      </c>
      <c r="B125" s="317">
        <v>43439</v>
      </c>
      <c r="C125" s="411" t="s">
        <v>1399</v>
      </c>
      <c r="D125" s="411"/>
      <c r="E125" s="29">
        <v>27</v>
      </c>
      <c r="F125" s="29">
        <v>1</v>
      </c>
      <c r="G125" s="66">
        <v>6</v>
      </c>
      <c r="I125" s="29">
        <v>11</v>
      </c>
      <c r="J125" s="73">
        <v>17</v>
      </c>
      <c r="K125" s="47">
        <f t="shared" si="22"/>
        <v>35.294117647058826</v>
      </c>
      <c r="L125" s="47">
        <f t="shared" si="23"/>
        <v>0</v>
      </c>
      <c r="M125" s="47">
        <f t="shared" si="24"/>
        <v>64.705882352941174</v>
      </c>
      <c r="N125" s="68">
        <f t="shared" si="25"/>
        <v>100</v>
      </c>
      <c r="O125" s="46">
        <v>20</v>
      </c>
      <c r="P125" s="47"/>
      <c r="Q125" s="47">
        <v>31.6</v>
      </c>
      <c r="R125" s="68">
        <f t="shared" si="26"/>
        <v>51.6</v>
      </c>
      <c r="S125" s="37">
        <v>2</v>
      </c>
      <c r="T125" s="286">
        <v>43387</v>
      </c>
      <c r="U125" s="295">
        <v>43439</v>
      </c>
      <c r="V125" s="38" t="s">
        <v>130</v>
      </c>
      <c r="W125" s="29" t="s">
        <v>22</v>
      </c>
      <c r="X125" s="29" t="s">
        <v>11</v>
      </c>
      <c r="Y125" s="39">
        <v>20</v>
      </c>
      <c r="Z125" s="29" t="s">
        <v>493</v>
      </c>
      <c r="AA125" s="29" t="s">
        <v>20</v>
      </c>
      <c r="AB125" s="29" t="s">
        <v>12</v>
      </c>
      <c r="AC125" s="29">
        <v>16.600000000000001</v>
      </c>
      <c r="AD125" s="38" t="s">
        <v>1258</v>
      </c>
      <c r="AE125" s="29" t="s">
        <v>1244</v>
      </c>
      <c r="AF125" s="29" t="s">
        <v>12</v>
      </c>
      <c r="AG125" s="39">
        <v>15</v>
      </c>
      <c r="AL125" s="38"/>
      <c r="AO125" s="39"/>
      <c r="AP125" s="38"/>
      <c r="AS125" s="39"/>
      <c r="AW125" s="39"/>
      <c r="BA125" s="40"/>
    </row>
    <row r="126" spans="1:53" s="29" customFormat="1" x14ac:dyDescent="0.15">
      <c r="A126" s="29">
        <v>2019</v>
      </c>
      <c r="B126" s="317"/>
      <c r="C126" s="411" t="s">
        <v>1399</v>
      </c>
      <c r="D126" s="411"/>
      <c r="E126" s="29">
        <v>0</v>
      </c>
      <c r="G126" s="66">
        <v>6</v>
      </c>
      <c r="I126" s="29">
        <v>11</v>
      </c>
      <c r="J126" s="73">
        <v>17</v>
      </c>
      <c r="K126" s="47">
        <f t="shared" ref="K126:K129" si="27">G126/$J126*100</f>
        <v>35.294117647058826</v>
      </c>
      <c r="L126" s="47">
        <f t="shared" ref="L126:L129" si="28">H126/$J126*100</f>
        <v>0</v>
      </c>
      <c r="M126" s="47">
        <f t="shared" ref="M126:M129" si="29">I126/$J126*100</f>
        <v>64.705882352941174</v>
      </c>
      <c r="N126" s="68">
        <f t="shared" ref="N126:N129" si="30">K126+L126+M126</f>
        <v>100</v>
      </c>
      <c r="O126" s="46">
        <v>20</v>
      </c>
      <c r="P126" s="47"/>
      <c r="Q126" s="47">
        <v>31.6</v>
      </c>
      <c r="R126" s="68">
        <f t="shared" ref="R126:R129" si="31">O126+P126+Q126</f>
        <v>51.6</v>
      </c>
      <c r="S126" s="37">
        <v>2</v>
      </c>
      <c r="T126" s="286"/>
      <c r="U126" s="295"/>
      <c r="V126" s="38" t="s">
        <v>130</v>
      </c>
      <c r="W126" s="29" t="s">
        <v>22</v>
      </c>
      <c r="X126" s="29" t="s">
        <v>11</v>
      </c>
      <c r="Y126" s="39">
        <v>20</v>
      </c>
      <c r="Z126" s="29" t="s">
        <v>493</v>
      </c>
      <c r="AA126" s="29" t="s">
        <v>20</v>
      </c>
      <c r="AB126" s="29" t="s">
        <v>12</v>
      </c>
      <c r="AC126" s="29">
        <v>16.600000000000001</v>
      </c>
      <c r="AD126" s="38" t="s">
        <v>1258</v>
      </c>
      <c r="AE126" s="29" t="s">
        <v>1244</v>
      </c>
      <c r="AF126" s="29" t="s">
        <v>12</v>
      </c>
      <c r="AG126" s="39">
        <v>15</v>
      </c>
      <c r="AK126" s="39"/>
      <c r="AO126" s="39"/>
      <c r="AS126" s="39"/>
      <c r="AW126" s="39"/>
      <c r="BA126" s="40"/>
    </row>
    <row r="127" spans="1:53" s="29" customFormat="1" x14ac:dyDescent="0.15">
      <c r="A127" s="29">
        <v>2019</v>
      </c>
      <c r="B127" s="317"/>
      <c r="C127" s="411" t="s">
        <v>1399</v>
      </c>
      <c r="D127" s="411"/>
      <c r="E127" s="29">
        <v>365</v>
      </c>
      <c r="G127" s="66">
        <v>6</v>
      </c>
      <c r="I127" s="29">
        <v>11</v>
      </c>
      <c r="J127" s="73">
        <v>17</v>
      </c>
      <c r="K127" s="47">
        <f t="shared" si="27"/>
        <v>35.294117647058826</v>
      </c>
      <c r="L127" s="47">
        <f t="shared" si="28"/>
        <v>0</v>
      </c>
      <c r="M127" s="47">
        <f t="shared" si="29"/>
        <v>64.705882352941174</v>
      </c>
      <c r="N127" s="48">
        <f t="shared" si="30"/>
        <v>100</v>
      </c>
      <c r="O127" s="47">
        <v>20</v>
      </c>
      <c r="P127" s="47"/>
      <c r="Q127" s="47">
        <v>31.6</v>
      </c>
      <c r="R127" s="48">
        <f t="shared" si="31"/>
        <v>51.6</v>
      </c>
      <c r="S127" s="37">
        <v>2</v>
      </c>
      <c r="T127" s="286"/>
      <c r="U127" s="292"/>
      <c r="V127" s="29" t="s">
        <v>130</v>
      </c>
      <c r="W127" s="29" t="s">
        <v>22</v>
      </c>
      <c r="X127" s="29" t="s">
        <v>11</v>
      </c>
      <c r="Y127" s="39">
        <v>20</v>
      </c>
      <c r="Z127" s="29" t="s">
        <v>493</v>
      </c>
      <c r="AA127" s="29" t="s">
        <v>20</v>
      </c>
      <c r="AB127" s="29" t="s">
        <v>12</v>
      </c>
      <c r="AC127" s="39">
        <v>16.600000000000001</v>
      </c>
      <c r="AD127" s="29" t="s">
        <v>1258</v>
      </c>
      <c r="AE127" s="29" t="s">
        <v>1244</v>
      </c>
      <c r="AF127" s="29" t="s">
        <v>12</v>
      </c>
      <c r="AG127" s="39">
        <v>15</v>
      </c>
      <c r="AK127" s="39"/>
      <c r="AO127" s="39"/>
      <c r="AS127" s="39"/>
      <c r="AW127" s="39"/>
      <c r="BA127" s="40"/>
    </row>
    <row r="128" spans="1:53" s="29" customFormat="1" x14ac:dyDescent="0.15">
      <c r="A128" s="29">
        <v>2020</v>
      </c>
      <c r="B128" s="317"/>
      <c r="C128" s="411" t="s">
        <v>1399</v>
      </c>
      <c r="D128" s="411"/>
      <c r="E128" s="29">
        <v>0</v>
      </c>
      <c r="F128" s="40"/>
      <c r="G128" s="29">
        <v>6</v>
      </c>
      <c r="I128" s="29">
        <v>11</v>
      </c>
      <c r="J128" s="73">
        <v>17</v>
      </c>
      <c r="K128" s="47">
        <f t="shared" si="27"/>
        <v>35.294117647058826</v>
      </c>
      <c r="L128" s="47">
        <f t="shared" si="28"/>
        <v>0</v>
      </c>
      <c r="M128" s="47">
        <f t="shared" si="29"/>
        <v>64.705882352941174</v>
      </c>
      <c r="N128" s="48">
        <f t="shared" si="30"/>
        <v>100</v>
      </c>
      <c r="O128" s="47">
        <v>20</v>
      </c>
      <c r="P128" s="47"/>
      <c r="Q128" s="47">
        <v>31.6</v>
      </c>
      <c r="R128" s="48">
        <f t="shared" si="31"/>
        <v>51.6</v>
      </c>
      <c r="S128" s="37">
        <v>2</v>
      </c>
      <c r="T128" s="286"/>
      <c r="U128" s="292"/>
      <c r="V128" s="29" t="s">
        <v>130</v>
      </c>
      <c r="W128" s="29" t="s">
        <v>22</v>
      </c>
      <c r="X128" s="29" t="s">
        <v>11</v>
      </c>
      <c r="Y128" s="39">
        <v>20</v>
      </c>
      <c r="Z128" s="29" t="s">
        <v>493</v>
      </c>
      <c r="AA128" s="29" t="s">
        <v>20</v>
      </c>
      <c r="AB128" s="29" t="s">
        <v>12</v>
      </c>
      <c r="AC128" s="39">
        <v>16.600000000000001</v>
      </c>
      <c r="AD128" s="29" t="s">
        <v>1258</v>
      </c>
      <c r="AE128" s="29" t="s">
        <v>1244</v>
      </c>
      <c r="AF128" s="29" t="s">
        <v>12</v>
      </c>
      <c r="AG128" s="39">
        <v>15</v>
      </c>
      <c r="AK128" s="39"/>
      <c r="AO128" s="39"/>
      <c r="AS128" s="39"/>
      <c r="AW128" s="39"/>
      <c r="BA128" s="40"/>
    </row>
    <row r="129" spans="1:53" s="29" customFormat="1" x14ac:dyDescent="0.15">
      <c r="A129" s="29">
        <v>2020</v>
      </c>
      <c r="B129" s="317"/>
      <c r="C129" s="411" t="s">
        <v>1399</v>
      </c>
      <c r="D129" s="411"/>
      <c r="E129" s="29">
        <v>366</v>
      </c>
      <c r="F129" s="40"/>
      <c r="G129" s="29">
        <v>6</v>
      </c>
      <c r="I129" s="29">
        <v>11</v>
      </c>
      <c r="J129" s="73">
        <v>17</v>
      </c>
      <c r="K129" s="47">
        <f t="shared" si="27"/>
        <v>35.294117647058826</v>
      </c>
      <c r="L129" s="47">
        <f t="shared" si="28"/>
        <v>0</v>
      </c>
      <c r="M129" s="47">
        <f t="shared" si="29"/>
        <v>64.705882352941174</v>
      </c>
      <c r="N129" s="48">
        <f t="shared" si="30"/>
        <v>100</v>
      </c>
      <c r="O129" s="47">
        <v>20</v>
      </c>
      <c r="P129" s="47"/>
      <c r="Q129" s="47">
        <v>31.6</v>
      </c>
      <c r="R129" s="48">
        <f t="shared" si="31"/>
        <v>51.6</v>
      </c>
      <c r="S129" s="37">
        <v>2</v>
      </c>
      <c r="T129" s="286"/>
      <c r="U129" s="292"/>
      <c r="V129" s="29" t="s">
        <v>130</v>
      </c>
      <c r="W129" s="29" t="s">
        <v>22</v>
      </c>
      <c r="X129" s="29" t="s">
        <v>11</v>
      </c>
      <c r="Y129" s="39">
        <v>20</v>
      </c>
      <c r="Z129" s="29" t="s">
        <v>493</v>
      </c>
      <c r="AA129" s="29" t="s">
        <v>20</v>
      </c>
      <c r="AB129" s="29" t="s">
        <v>12</v>
      </c>
      <c r="AC129" s="39">
        <v>16.600000000000001</v>
      </c>
      <c r="AD129" s="29" t="s">
        <v>1258</v>
      </c>
      <c r="AE129" s="29" t="s">
        <v>1244</v>
      </c>
      <c r="AF129" s="29" t="s">
        <v>12</v>
      </c>
      <c r="AG129" s="39">
        <v>15</v>
      </c>
      <c r="AK129" s="39"/>
      <c r="AO129" s="39"/>
      <c r="AS129" s="39"/>
      <c r="AW129" s="39"/>
      <c r="BA129" s="40"/>
    </row>
    <row r="130" spans="1:53" x14ac:dyDescent="0.15">
      <c r="B130" s="376"/>
      <c r="J130" s="26"/>
      <c r="K130" s="12"/>
      <c r="L130" s="12"/>
      <c r="M130" s="12"/>
      <c r="N130" s="20"/>
      <c r="O130" s="12"/>
      <c r="P130" s="12"/>
      <c r="Q130" s="12"/>
      <c r="R130" s="20"/>
      <c r="T130" s="340"/>
      <c r="U130" s="340"/>
    </row>
    <row r="132" spans="1:53" ht="18" customHeight="1" x14ac:dyDescent="0.15">
      <c r="B132" s="16" t="s">
        <v>1264</v>
      </c>
      <c r="H132" s="4"/>
    </row>
    <row r="133" spans="1:53" ht="9" customHeight="1" x14ac:dyDescent="0.15">
      <c r="H133" s="4"/>
    </row>
    <row r="134" spans="1:53" s="195" customFormat="1" ht="9" customHeight="1" x14ac:dyDescent="0.15">
      <c r="A134" s="193"/>
      <c r="B134" s="194" t="s">
        <v>1215</v>
      </c>
      <c r="C134" s="194"/>
      <c r="D134" s="194"/>
      <c r="E134" s="194"/>
      <c r="F134" s="194"/>
      <c r="G134" s="194" t="s">
        <v>1216</v>
      </c>
      <c r="H134" s="194"/>
      <c r="I134" s="194"/>
      <c r="J134" s="194"/>
      <c r="K134" s="194"/>
      <c r="L134" s="194"/>
      <c r="M134" s="194"/>
      <c r="N134" s="194"/>
      <c r="R134" s="388" t="s">
        <v>1217</v>
      </c>
      <c r="S134" s="388"/>
      <c r="T134" s="388"/>
      <c r="U134" s="388"/>
      <c r="V134" s="388"/>
      <c r="W134" s="388"/>
      <c r="X134" s="196"/>
      <c r="Y134" s="196"/>
      <c r="AA134" s="196"/>
      <c r="AB134" s="196"/>
      <c r="AC134" s="196"/>
      <c r="AD134" s="196"/>
    </row>
    <row r="135" spans="1:53" s="200" customFormat="1" ht="9" customHeight="1" x14ac:dyDescent="0.15">
      <c r="A135" s="197"/>
      <c r="B135" s="198" t="s">
        <v>1219</v>
      </c>
      <c r="C135" s="199"/>
      <c r="D135" s="199"/>
      <c r="E135" s="199"/>
      <c r="F135" s="199"/>
      <c r="G135" s="198" t="s">
        <v>1218</v>
      </c>
      <c r="H135" s="199"/>
      <c r="I135" s="199"/>
      <c r="J135" s="199"/>
      <c r="K135" s="199"/>
      <c r="L135" s="199"/>
      <c r="M135" s="199"/>
      <c r="N135" s="199"/>
      <c r="R135" s="201" t="s">
        <v>1220</v>
      </c>
      <c r="S135" s="202"/>
      <c r="T135" s="203"/>
      <c r="U135" s="203"/>
      <c r="V135" s="203"/>
      <c r="W135" s="201" t="s">
        <v>1221</v>
      </c>
      <c r="X135" s="203"/>
      <c r="Y135" s="203"/>
      <c r="AA135" s="203"/>
      <c r="AB135" s="203"/>
      <c r="AC135" s="203"/>
      <c r="AD135" s="203"/>
    </row>
    <row r="136" spans="1:53" s="186" customFormat="1" ht="12" customHeight="1" x14ac:dyDescent="0.15">
      <c r="A136" s="204" t="s">
        <v>3</v>
      </c>
      <c r="B136" s="205" t="s">
        <v>8</v>
      </c>
      <c r="C136" s="205" t="s">
        <v>9</v>
      </c>
      <c r="D136" s="205" t="s">
        <v>10</v>
      </c>
      <c r="E136" s="206" t="s">
        <v>1195</v>
      </c>
      <c r="F136" s="205"/>
      <c r="G136" s="186" t="s">
        <v>3</v>
      </c>
      <c r="H136" s="389" t="s">
        <v>0</v>
      </c>
      <c r="I136" s="389"/>
      <c r="J136" s="389" t="s">
        <v>1</v>
      </c>
      <c r="K136" s="389"/>
      <c r="L136" s="389" t="s">
        <v>2</v>
      </c>
      <c r="M136" s="389"/>
      <c r="N136" s="390" t="s">
        <v>1195</v>
      </c>
      <c r="O136" s="390"/>
      <c r="P136" s="207"/>
      <c r="Q136" s="207"/>
      <c r="R136" s="208" t="s">
        <v>3</v>
      </c>
      <c r="S136" s="209" t="s">
        <v>135</v>
      </c>
      <c r="T136" s="207" t="s">
        <v>133</v>
      </c>
      <c r="U136" s="205" t="s">
        <v>134</v>
      </c>
      <c r="V136" s="207"/>
      <c r="W136" s="210" t="s">
        <v>26</v>
      </c>
    </row>
    <row r="137" spans="1:53" s="140" customFormat="1" x14ac:dyDescent="0.15">
      <c r="A137" s="140">
        <v>1959</v>
      </c>
      <c r="B137" s="143">
        <f>(K6*($E6/365)) + (K7*($E7/365))</f>
        <v>36.399217221135025</v>
      </c>
      <c r="C137" s="143">
        <f>(L6*($E6/365)) + (L7*($E7/365))</f>
        <v>56.066536203522496</v>
      </c>
      <c r="D137" s="143">
        <f>(M6*($E6/365)) + (M7*($E7/365))</f>
        <v>7.5342465753424657</v>
      </c>
      <c r="E137" s="144">
        <f>B137+C137+D137</f>
        <v>99.999999999999986</v>
      </c>
      <c r="G137" s="140">
        <v>1959</v>
      </c>
      <c r="H137" s="417">
        <f>(O6/$R6*100*($E6/365))+(O7/$R7*100*($E7/365))</f>
        <v>29.229674435153889</v>
      </c>
      <c r="I137" s="417"/>
      <c r="J137" s="417">
        <f>(P6/$R6*100*($E6/365))+(P7/$R7*100*($E7/365))</f>
        <v>65.924690725344988</v>
      </c>
      <c r="K137" s="417"/>
      <c r="L137" s="417">
        <f>(Q6/$R6*100*($E6/365))+(Q7/$R7*100*($E7/365))</f>
        <v>4.8456348395011242</v>
      </c>
      <c r="M137" s="417"/>
      <c r="N137" s="412">
        <f>H137+J137+L137</f>
        <v>100.00000000000001</v>
      </c>
      <c r="O137" s="412"/>
      <c r="R137" s="140">
        <v>1959</v>
      </c>
      <c r="S137" s="143">
        <f>(O6*($E6/365)) + (O7*($E7/365))</f>
        <v>18.005479452054793</v>
      </c>
      <c r="T137" s="143">
        <f>(P6*($E6/365)) + (P7*($E7/365))</f>
        <v>41.846575342465748</v>
      </c>
      <c r="U137" s="143">
        <f>(Q6*($E6/365)) + (Q7*($E7/365))</f>
        <v>3.5712328767123283</v>
      </c>
      <c r="V137" s="143"/>
      <c r="W137" s="143">
        <f>S137+T137+U137</f>
        <v>63.42328767123287</v>
      </c>
    </row>
    <row r="138" spans="1:53" x14ac:dyDescent="0.15">
      <c r="A138" s="1">
        <v>1960</v>
      </c>
      <c r="B138" s="5">
        <f>(K8*($E8/366))+(K9*($E9/366))</f>
        <v>42.857142857142854</v>
      </c>
      <c r="C138" s="5">
        <f>(L8*($E8/366))+(L9*($E9/366))</f>
        <v>57.142857142857139</v>
      </c>
      <c r="D138" s="5">
        <f>(M8*($E8/366))+(M9*($E9/366))</f>
        <v>0</v>
      </c>
      <c r="E138" s="18">
        <f>B138+C138+D138</f>
        <v>100</v>
      </c>
      <c r="G138" s="1">
        <v>1960</v>
      </c>
      <c r="H138" s="409">
        <f>(O8/$R8*100*($E8/366))+(O9/$R9*100*($E9/366))</f>
        <v>34.415584415584419</v>
      </c>
      <c r="I138" s="409"/>
      <c r="J138" s="409">
        <f>(P8/$R8*100*($E8/366))+(P9/$R9*100*($E9/366))</f>
        <v>65.584415584415595</v>
      </c>
      <c r="K138" s="409"/>
      <c r="L138" s="409">
        <f>(Q8/$R8*100*($E8/366))+(Q9/$R9*100*($E9/366))</f>
        <v>0</v>
      </c>
      <c r="M138" s="409"/>
      <c r="N138" s="379">
        <f>H138+J138+L138</f>
        <v>100.00000000000001</v>
      </c>
      <c r="O138" s="379"/>
      <c r="R138" s="1">
        <v>1960</v>
      </c>
      <c r="S138" s="5">
        <f>(O8*($E8/366))+(O9*($E9/366))</f>
        <v>21.2</v>
      </c>
      <c r="T138" s="5">
        <f>(P8*($E8/366))+(P9*($E9/366))</f>
        <v>40.4</v>
      </c>
      <c r="U138" s="5">
        <f>(Q8*($E8/366))+(Q9*($E9/366))</f>
        <v>0</v>
      </c>
      <c r="V138" s="5"/>
      <c r="W138" s="5">
        <f>S138+T138+U138</f>
        <v>61.599999999999994</v>
      </c>
    </row>
    <row r="139" spans="1:53" x14ac:dyDescent="0.15">
      <c r="A139" s="1">
        <v>1961</v>
      </c>
      <c r="B139" s="5">
        <f>(K10*($E10/365))+(K11*($E11/365))</f>
        <v>42.857142857142854</v>
      </c>
      <c r="C139" s="5">
        <f>(L10*($E10/365))+(L11*($E11/365))</f>
        <v>57.142857142857139</v>
      </c>
      <c r="D139" s="5">
        <f>(M10*($E10/365))+(M11*($E11/365))</f>
        <v>0</v>
      </c>
      <c r="E139" s="18">
        <f t="shared" ref="E139:E191" si="32">B139+C139+D139</f>
        <v>100</v>
      </c>
      <c r="G139" s="1">
        <v>1961</v>
      </c>
      <c r="H139" s="409">
        <f>(O10/$R10*100*($E10/365))+(O11/$R11*100*($E11/365))</f>
        <v>34.415584415584419</v>
      </c>
      <c r="I139" s="409"/>
      <c r="J139" s="409">
        <f>(P10/$R10*100*($E10/365))+(P11/$R11*100*($E11/365))</f>
        <v>65.584415584415595</v>
      </c>
      <c r="K139" s="409"/>
      <c r="L139" s="409">
        <f>(Q10/$R10*100*($E10/365))+(Q11/$R11*100*($E11/365))</f>
        <v>0</v>
      </c>
      <c r="M139" s="409"/>
      <c r="N139" s="379">
        <f t="shared" ref="N139:N190" si="33">H139+J139+L139</f>
        <v>100.00000000000001</v>
      </c>
      <c r="O139" s="379"/>
      <c r="R139" s="1">
        <v>1961</v>
      </c>
      <c r="S139" s="5">
        <f>(O10*($E10/365))+(O11*($E11/365))</f>
        <v>21.2</v>
      </c>
      <c r="T139" s="5">
        <f>(P10*($E10/365))+(P11*($E11/365))</f>
        <v>40.4</v>
      </c>
      <c r="U139" s="5">
        <f>(Q10*($E10/365))+(Q11*($E11/365))</f>
        <v>0</v>
      </c>
      <c r="V139" s="5"/>
      <c r="W139" s="5">
        <f t="shared" ref="W139:W191" si="34">S139+T139+U139</f>
        <v>61.599999999999994</v>
      </c>
    </row>
    <row r="140" spans="1:53" x14ac:dyDescent="0.15">
      <c r="A140" s="1">
        <v>1962</v>
      </c>
      <c r="B140" s="5">
        <f>(K12*($E12/365))+(K13*($E13/365))</f>
        <v>42.857142857142854</v>
      </c>
      <c r="C140" s="5">
        <f>(L12*($E12/365))+(L13*($E13/365))</f>
        <v>57.142857142857139</v>
      </c>
      <c r="D140" s="5">
        <f>(M12*($E12/365))+(M13*($E13/365))</f>
        <v>0</v>
      </c>
      <c r="E140" s="18">
        <f t="shared" si="32"/>
        <v>100</v>
      </c>
      <c r="G140" s="1">
        <v>1962</v>
      </c>
      <c r="H140" s="409">
        <f>(O12/$R12*100*($E12/365))+(O13/$R13*100*($E13/365))</f>
        <v>34.415584415584419</v>
      </c>
      <c r="I140" s="409"/>
      <c r="J140" s="409">
        <f>(P12/$R12*100*($E12/365))+(P13/$R13*100*($E13/365))</f>
        <v>65.584415584415595</v>
      </c>
      <c r="K140" s="409"/>
      <c r="L140" s="409">
        <f>(Q12/$R12*100*($E12/365))+(Q13/$R13*100*($E13/365))</f>
        <v>0</v>
      </c>
      <c r="M140" s="409"/>
      <c r="N140" s="379">
        <f t="shared" si="33"/>
        <v>100.00000000000001</v>
      </c>
      <c r="O140" s="379"/>
      <c r="R140" s="1">
        <v>1962</v>
      </c>
      <c r="S140" s="5">
        <f>(O12*($E12/365))+(O13*($E13/365))</f>
        <v>21.2</v>
      </c>
      <c r="T140" s="5">
        <f>(P12*($E12/365))+(P13*($E13/365))</f>
        <v>40.4</v>
      </c>
      <c r="U140" s="5">
        <f>(Q12*($E12/365))+(Q13*($E13/365))</f>
        <v>0</v>
      </c>
      <c r="V140" s="5"/>
      <c r="W140" s="5">
        <f t="shared" si="34"/>
        <v>61.599999999999994</v>
      </c>
    </row>
    <row r="141" spans="1:53" x14ac:dyDescent="0.15">
      <c r="A141" s="1">
        <v>1963</v>
      </c>
      <c r="B141" s="5">
        <f>(K14*($E14/365))+(K15*($E15/365))</f>
        <v>42.857142857142854</v>
      </c>
      <c r="C141" s="5">
        <f>(L14*($E14/365))+(L15*($E15/365))</f>
        <v>57.142857142857139</v>
      </c>
      <c r="D141" s="5">
        <f>(M14*($E14/365))+(M15*($E15/365))</f>
        <v>0</v>
      </c>
      <c r="E141" s="18">
        <f t="shared" si="32"/>
        <v>100</v>
      </c>
      <c r="G141" s="1">
        <v>1963</v>
      </c>
      <c r="H141" s="409">
        <f>(O14/$R14*100*($E14/365))+(O15/$R15*100*($E15/365))</f>
        <v>34.415584415584419</v>
      </c>
      <c r="I141" s="409"/>
      <c r="J141" s="409">
        <f>(P14/$R14*100*($E14/365))+(P15/$R15*100*($E15/365))</f>
        <v>65.584415584415595</v>
      </c>
      <c r="K141" s="409"/>
      <c r="L141" s="409">
        <f>(Q14/$R14*100*($E14/365))+(Q15/$R15*100*($E15/365))</f>
        <v>0</v>
      </c>
      <c r="M141" s="409"/>
      <c r="N141" s="379">
        <f t="shared" si="33"/>
        <v>100.00000000000001</v>
      </c>
      <c r="O141" s="379"/>
      <c r="R141" s="1">
        <v>1963</v>
      </c>
      <c r="S141" s="5">
        <f>(O14*($E14/365))+(O15*($E15/365))</f>
        <v>21.2</v>
      </c>
      <c r="T141" s="5">
        <f>(P14*($E14/365))+(P15*($E15/365))</f>
        <v>40.4</v>
      </c>
      <c r="U141" s="5">
        <f>(Q14*($E14/365))+(Q15*($E15/365))</f>
        <v>0</v>
      </c>
      <c r="V141" s="5"/>
      <c r="W141" s="5">
        <f t="shared" si="34"/>
        <v>61.599999999999994</v>
      </c>
    </row>
    <row r="142" spans="1:53" x14ac:dyDescent="0.15">
      <c r="A142" s="1">
        <v>1964</v>
      </c>
      <c r="B142" s="5">
        <f>(K16*($E16/366))+(K17*($E17/366))</f>
        <v>23.302107728337237</v>
      </c>
      <c r="C142" s="5">
        <f>(L16*($E16/366))+(L17*($E17/366))</f>
        <v>53.883684621389541</v>
      </c>
      <c r="D142" s="5">
        <f>(M16*($E16/366))+(M17*($E17/366))</f>
        <v>22.814207650273225</v>
      </c>
      <c r="E142" s="18">
        <f t="shared" si="32"/>
        <v>100</v>
      </c>
      <c r="G142" s="1">
        <v>1964</v>
      </c>
      <c r="H142" s="409">
        <f>(O16/$R16*100*($E16/366))+(O17/$R17*100*($E17/366))</f>
        <v>18.712298630331421</v>
      </c>
      <c r="I142" s="409"/>
      <c r="J142" s="409">
        <f>(P16/$R16*100*($E16/366))+(P17/$R17*100*($E17/366))</f>
        <v>59.008201711198652</v>
      </c>
      <c r="K142" s="409"/>
      <c r="L142" s="409">
        <f>(Q16/$R16*100*($E16/366))+(Q17/$R17*100*($E17/366))</f>
        <v>22.279499658469945</v>
      </c>
      <c r="M142" s="409"/>
      <c r="N142" s="379">
        <f t="shared" si="33"/>
        <v>100.00000000000001</v>
      </c>
      <c r="O142" s="379"/>
      <c r="R142" s="1">
        <v>1964</v>
      </c>
      <c r="S142" s="5">
        <f>(O16*($E16/366))+(O17*($E17/366))</f>
        <v>11.526775956284153</v>
      </c>
      <c r="T142" s="5">
        <f>(P16*($E16/366))+(P17*($E17/366))</f>
        <v>39.898087431693988</v>
      </c>
      <c r="U142" s="5">
        <f>(Q16*($E16/366))+(Q17*($E17/366))</f>
        <v>17.110655737704917</v>
      </c>
      <c r="V142" s="5"/>
      <c r="W142" s="5">
        <f t="shared" si="34"/>
        <v>68.535519125683066</v>
      </c>
    </row>
    <row r="143" spans="1:53" x14ac:dyDescent="0.15">
      <c r="A143" s="1">
        <v>1965</v>
      </c>
      <c r="B143" s="5">
        <f>(K18*($E18/365))+(K19*($E19/365))</f>
        <v>0</v>
      </c>
      <c r="C143" s="5">
        <f>(L18*($E18/365))+(L19*($E19/365))</f>
        <v>50</v>
      </c>
      <c r="D143" s="5">
        <f>(M18*($E18/365))+(M19*($E19/365))</f>
        <v>50</v>
      </c>
      <c r="E143" s="18">
        <f t="shared" si="32"/>
        <v>100</v>
      </c>
      <c r="G143" s="1">
        <v>1965</v>
      </c>
      <c r="H143" s="409">
        <f>(O18/$R18*100*($E18/365))+(O19/$R19*100*($E19/365))</f>
        <v>0</v>
      </c>
      <c r="I143" s="409"/>
      <c r="J143" s="409">
        <f>(P18/$R18*100*($E18/365))+(P19/$R19*100*($E19/365))</f>
        <v>51.171875</v>
      </c>
      <c r="K143" s="409"/>
      <c r="L143" s="409">
        <f>(Q18/$R18*100*($E18/365))+(Q19/$R19*100*($E19/365))</f>
        <v>48.828125</v>
      </c>
      <c r="M143" s="409"/>
      <c r="N143" s="379">
        <f t="shared" si="33"/>
        <v>100</v>
      </c>
      <c r="O143" s="379"/>
      <c r="R143" s="1">
        <v>1965</v>
      </c>
      <c r="S143" s="5">
        <f>(O18*($E18/365))+(O19*($E19/365))</f>
        <v>0</v>
      </c>
      <c r="T143" s="5">
        <f>(P18*($E18/365))+(P19*($E19/365))</f>
        <v>39.299999999999997</v>
      </c>
      <c r="U143" s="5">
        <f>(Q18*($E18/365))+(Q19*($E19/365))</f>
        <v>37.5</v>
      </c>
      <c r="V143" s="5"/>
      <c r="W143" s="5">
        <f t="shared" si="34"/>
        <v>76.8</v>
      </c>
    </row>
    <row r="144" spans="1:53" x14ac:dyDescent="0.15">
      <c r="A144" s="1">
        <v>1966</v>
      </c>
      <c r="B144" s="5">
        <f>(K20*($E20/365))+(K21*($E21/365))</f>
        <v>0</v>
      </c>
      <c r="C144" s="5">
        <f>(L20*($E20/365))+(L21*($E21/365))</f>
        <v>50</v>
      </c>
      <c r="D144" s="5">
        <f>(M20*($E20/365))+(M21*($E21/365))</f>
        <v>50</v>
      </c>
      <c r="E144" s="18">
        <f t="shared" si="32"/>
        <v>100</v>
      </c>
      <c r="G144" s="1">
        <v>1966</v>
      </c>
      <c r="H144" s="409">
        <f>(O20/$R20*100*($E20/365))+(O21/$R21*100*($E21/365))</f>
        <v>0</v>
      </c>
      <c r="I144" s="409"/>
      <c r="J144" s="409">
        <f>(P20/$R20*100*($E20/365))+(P21/$R21*100*($E21/365))</f>
        <v>51.171875</v>
      </c>
      <c r="K144" s="409"/>
      <c r="L144" s="409">
        <f>(Q20/$R20*100*($E20/365))+(Q21/$R21*100*($E21/365))</f>
        <v>48.828125</v>
      </c>
      <c r="M144" s="409"/>
      <c r="N144" s="379">
        <f t="shared" si="33"/>
        <v>100</v>
      </c>
      <c r="O144" s="379"/>
      <c r="R144" s="1">
        <v>1966</v>
      </c>
      <c r="S144" s="5">
        <f>(O20*($E20/365))+(O21*($E21/365))</f>
        <v>0</v>
      </c>
      <c r="T144" s="5">
        <f>(P20*($E20/365))+(P21*($E21/365))</f>
        <v>39.299999999999997</v>
      </c>
      <c r="U144" s="5">
        <f>(Q20*($E20/365))+(Q21*($E21/365))</f>
        <v>37.5</v>
      </c>
      <c r="V144" s="5"/>
      <c r="W144" s="5">
        <f t="shared" si="34"/>
        <v>76.8</v>
      </c>
    </row>
    <row r="145" spans="1:23" x14ac:dyDescent="0.15">
      <c r="A145" s="1">
        <v>1967</v>
      </c>
      <c r="B145" s="5">
        <f>(K22*($E22/365))+(K23*($E23/365))</f>
        <v>0</v>
      </c>
      <c r="C145" s="5">
        <f>(L22*($E22/365))+(L23*($E23/365))</f>
        <v>50.000000000000007</v>
      </c>
      <c r="D145" s="5">
        <f>(M22*($E22/365))+(M23*($E23/365))</f>
        <v>50.000000000000007</v>
      </c>
      <c r="E145" s="18">
        <f t="shared" si="32"/>
        <v>100.00000000000001</v>
      </c>
      <c r="G145" s="1">
        <v>1967</v>
      </c>
      <c r="H145" s="409">
        <f>(O22/$R22*100*($E22/365))+(O23/$R23*100*($E23/365))</f>
        <v>0</v>
      </c>
      <c r="I145" s="409"/>
      <c r="J145" s="409">
        <f>(P22/$R22*100*($E22/365))+(P23/$R23*100*($E23/365))</f>
        <v>51.171875</v>
      </c>
      <c r="K145" s="409"/>
      <c r="L145" s="409">
        <f>(Q22/$R22*100*($E22/365))+(Q23/$R23*100*($E23/365))</f>
        <v>48.828125</v>
      </c>
      <c r="M145" s="409"/>
      <c r="N145" s="379">
        <f t="shared" si="33"/>
        <v>100</v>
      </c>
      <c r="O145" s="379"/>
      <c r="R145" s="1">
        <v>1967</v>
      </c>
      <c r="S145" s="5">
        <f>(O22*($E22/365))+(O23*($E23/365))</f>
        <v>0</v>
      </c>
      <c r="T145" s="5">
        <f>(P22*($E22/365))+(P23*($E23/365))</f>
        <v>39.299999999999997</v>
      </c>
      <c r="U145" s="5">
        <f>(Q22*($E22/365))+(Q23*($E23/365))</f>
        <v>37.5</v>
      </c>
      <c r="V145" s="5"/>
      <c r="W145" s="5">
        <f t="shared" si="34"/>
        <v>76.8</v>
      </c>
    </row>
    <row r="146" spans="1:23" x14ac:dyDescent="0.15">
      <c r="A146" s="1">
        <v>1968</v>
      </c>
      <c r="B146" s="5">
        <f>(K24*($E24/366))+(K25*($E25/366))</f>
        <v>0</v>
      </c>
      <c r="C146" s="5">
        <f>(L24*($E24/366))+(L25*($E25/366))</f>
        <v>50</v>
      </c>
      <c r="D146" s="5">
        <f>(M24*($E24/366))+(M25*($E25/366))</f>
        <v>50</v>
      </c>
      <c r="E146" s="18">
        <f t="shared" si="32"/>
        <v>100</v>
      </c>
      <c r="G146" s="1">
        <v>1968</v>
      </c>
      <c r="H146" s="409">
        <f>(O24/$R24*100*($E24/366))+(O25/$R25*100*($E25/366))</f>
        <v>0</v>
      </c>
      <c r="I146" s="409"/>
      <c r="J146" s="409">
        <f>(P24/$R24*100*($E24/366))+(P25/$R25*100*($E25/366))</f>
        <v>51.171875</v>
      </c>
      <c r="K146" s="409"/>
      <c r="L146" s="409">
        <f>(Q24/$R24*100*($E24/366))+(Q25/$R25*100*($E25/366))</f>
        <v>48.828125</v>
      </c>
      <c r="M146" s="409"/>
      <c r="N146" s="379">
        <f t="shared" si="33"/>
        <v>100</v>
      </c>
      <c r="O146" s="379"/>
      <c r="R146" s="1">
        <v>1968</v>
      </c>
      <c r="S146" s="5">
        <f>(O24*($E24/366))+(O25*($E25/366))</f>
        <v>0</v>
      </c>
      <c r="T146" s="5">
        <f>(P24*($E24/366))+(P25*($E25/366))</f>
        <v>39.299999999999997</v>
      </c>
      <c r="U146" s="5">
        <f>(Q24*($E24/366))+(Q25*($E25/366))</f>
        <v>37.5</v>
      </c>
      <c r="V146" s="5"/>
      <c r="W146" s="5">
        <f t="shared" si="34"/>
        <v>76.8</v>
      </c>
    </row>
    <row r="147" spans="1:23" x14ac:dyDescent="0.15">
      <c r="A147" s="1">
        <v>1969</v>
      </c>
      <c r="B147" s="5">
        <f>(K26*($E26/365))+(K27*($E27/365))</f>
        <v>39.334637964774949</v>
      </c>
      <c r="C147" s="5">
        <f>(L26*($E26/365))+(L27*($E27/365))</f>
        <v>56.55577299412915</v>
      </c>
      <c r="D147" s="5">
        <f>(M26*($E26/365))+(M27*($E27/365))</f>
        <v>4.10958904109589</v>
      </c>
      <c r="E147" s="18">
        <f t="shared" si="32"/>
        <v>99.999999999999986</v>
      </c>
      <c r="G147" s="1">
        <v>1969</v>
      </c>
      <c r="H147" s="409">
        <f>(O26/$R26*100*($E26/365))+(O27/$R27*100*($E27/365))</f>
        <v>31.504450255499851</v>
      </c>
      <c r="I147" s="409"/>
      <c r="J147" s="409">
        <f>(P26/$R26*100*($E26/365))+(P27/$R27*100*($E27/365))</f>
        <v>64.482279196554941</v>
      </c>
      <c r="K147" s="409"/>
      <c r="L147" s="409">
        <f>(Q26/$R26*100*($E26/365))+(Q27/$R27*100*($E27/365))</f>
        <v>4.0132705479452051</v>
      </c>
      <c r="M147" s="409"/>
      <c r="N147" s="379">
        <f t="shared" si="33"/>
        <v>100</v>
      </c>
      <c r="O147" s="379"/>
      <c r="R147" s="1">
        <v>1969</v>
      </c>
      <c r="S147" s="5">
        <f>(O26*($E26/365))+(O27*($E27/365))</f>
        <v>17.989041095890414</v>
      </c>
      <c r="T147" s="5">
        <f>(P26*($E26/365))+(P27*($E27/365))</f>
        <v>37.647945205479452</v>
      </c>
      <c r="U147" s="5">
        <f>(Q26*($E26/365))+(Q27*($E27/365))</f>
        <v>3.0821917808219177</v>
      </c>
      <c r="V147" s="5"/>
      <c r="W147" s="5">
        <f t="shared" si="34"/>
        <v>58.719178082191782</v>
      </c>
    </row>
    <row r="148" spans="1:23" x14ac:dyDescent="0.15">
      <c r="A148" s="1">
        <v>1970</v>
      </c>
      <c r="B148" s="5">
        <f>(K28*($E28/365))+(K29*($E29/365))</f>
        <v>42.857142857142854</v>
      </c>
      <c r="C148" s="5">
        <f>(L28*($E28/365))+(L29*($E29/365))</f>
        <v>57.142857142857139</v>
      </c>
      <c r="D148" s="5">
        <f>(M28*($E28/365))+(M29*($E29/365))</f>
        <v>0</v>
      </c>
      <c r="E148" s="18">
        <f t="shared" si="32"/>
        <v>100</v>
      </c>
      <c r="G148" s="1">
        <v>1970</v>
      </c>
      <c r="H148" s="409">
        <f>(O28/$R28*100*($E28/365))+(O29/$R29*100*($E29/365))</f>
        <v>34.32574430823118</v>
      </c>
      <c r="I148" s="409"/>
      <c r="J148" s="409">
        <f>(P28/$R28*100*($E28/365))+(P29/$R29*100*($E29/365))</f>
        <v>65.67425569176882</v>
      </c>
      <c r="K148" s="409"/>
      <c r="L148" s="409">
        <f>(Q28/$R28*100*($E28/365))+(Q29/$R29*100*($E29/365))</f>
        <v>0</v>
      </c>
      <c r="M148" s="409"/>
      <c r="N148" s="379">
        <f t="shared" si="33"/>
        <v>100</v>
      </c>
      <c r="O148" s="379"/>
      <c r="R148" s="1">
        <v>1970</v>
      </c>
      <c r="S148" s="5">
        <f>(O28*($E28/365))+(O29*($E29/365))</f>
        <v>19.600000000000001</v>
      </c>
      <c r="T148" s="5">
        <f>(P28*($E28/365))+(P29*($E29/365))</f>
        <v>37.5</v>
      </c>
      <c r="U148" s="5">
        <f>(Q28*($E28/365))+(Q29*($E29/365))</f>
        <v>0</v>
      </c>
      <c r="V148" s="5"/>
      <c r="W148" s="5">
        <f t="shared" si="34"/>
        <v>57.1</v>
      </c>
    </row>
    <row r="149" spans="1:23" x14ac:dyDescent="0.15">
      <c r="A149" s="1">
        <v>1971</v>
      </c>
      <c r="B149" s="5">
        <f>(K30*($E30/365))+(K31*($E31/365))</f>
        <v>42.857142857142854</v>
      </c>
      <c r="C149" s="5">
        <f>(L30*($E30/365))+(L31*($E31/365))</f>
        <v>57.142857142857139</v>
      </c>
      <c r="D149" s="5">
        <f>(M30*($E30/365))+(M31*($E31/365))</f>
        <v>0</v>
      </c>
      <c r="E149" s="18">
        <f t="shared" si="32"/>
        <v>100</v>
      </c>
      <c r="G149" s="1">
        <v>1971</v>
      </c>
      <c r="H149" s="409">
        <f>(O30/$R30*100*($E30/365))+(O31/$R31*100*($E31/365))</f>
        <v>34.32574430823118</v>
      </c>
      <c r="I149" s="409"/>
      <c r="J149" s="409">
        <f>(P30/$R30*100*($E30/365))+(P31/$R31*100*($E31/365))</f>
        <v>65.67425569176882</v>
      </c>
      <c r="K149" s="409"/>
      <c r="L149" s="409">
        <f>(Q30/$R30*100*($E30/365))+(Q31/$R31*100*($E31/365))</f>
        <v>0</v>
      </c>
      <c r="M149" s="409"/>
      <c r="N149" s="379">
        <f t="shared" si="33"/>
        <v>100</v>
      </c>
      <c r="O149" s="379"/>
      <c r="R149" s="1">
        <v>1971</v>
      </c>
      <c r="S149" s="5">
        <f>(O30*($E30/365))+(O31*($E31/365))</f>
        <v>19.600000000000001</v>
      </c>
      <c r="T149" s="5">
        <f>(P30*($E30/365))+(P31*($E31/365))</f>
        <v>37.5</v>
      </c>
      <c r="U149" s="5">
        <f>(Q30*($E30/365))+(Q31*($E31/365))</f>
        <v>0</v>
      </c>
      <c r="V149" s="5"/>
      <c r="W149" s="5">
        <f t="shared" si="34"/>
        <v>57.1</v>
      </c>
    </row>
    <row r="150" spans="1:23" x14ac:dyDescent="0.15">
      <c r="A150" s="1">
        <v>1972</v>
      </c>
      <c r="B150" s="5">
        <f>(K32*($E32/366))+(K33*($E33/366))</f>
        <v>42.857142857142854</v>
      </c>
      <c r="C150" s="5">
        <f>(L32*($E32/366))+(L33*($E33/366))</f>
        <v>57.142857142857139</v>
      </c>
      <c r="D150" s="5">
        <f>(M32*($E32/366))+(M33*($E33/366))</f>
        <v>0</v>
      </c>
      <c r="E150" s="18">
        <f t="shared" si="32"/>
        <v>100</v>
      </c>
      <c r="G150" s="1">
        <v>1972</v>
      </c>
      <c r="H150" s="409">
        <f>(O32/$R32*100*($E32/366))+(O33/$R33*100*($E33/366))</f>
        <v>34.32574430823118</v>
      </c>
      <c r="I150" s="409"/>
      <c r="J150" s="409">
        <f>(P32/$R32*100*($E32/366))+(P33/$R33*100*($E33/366))</f>
        <v>65.67425569176882</v>
      </c>
      <c r="K150" s="409"/>
      <c r="L150" s="409">
        <f>(Q32/$R32*100*($E32/366))+(Q33/$R33*100*($E33/366))</f>
        <v>0</v>
      </c>
      <c r="M150" s="409"/>
      <c r="N150" s="379">
        <f t="shared" si="33"/>
        <v>100</v>
      </c>
      <c r="O150" s="379"/>
      <c r="R150" s="1">
        <v>1972</v>
      </c>
      <c r="S150" s="5">
        <f>(O32*($E32/366))+(O33*($E33/366))</f>
        <v>19.600000000000001</v>
      </c>
      <c r="T150" s="5">
        <f>(P32*($E32/366))+(P33*($E33/366))</f>
        <v>37.5</v>
      </c>
      <c r="U150" s="5">
        <f>(Q32*($E32/366))+(Q33*($E33/366))</f>
        <v>0</v>
      </c>
      <c r="V150" s="5"/>
      <c r="W150" s="5">
        <f t="shared" si="34"/>
        <v>57.1</v>
      </c>
    </row>
    <row r="151" spans="1:23" x14ac:dyDescent="0.15">
      <c r="A151" s="1">
        <v>1973</v>
      </c>
      <c r="B151" s="5">
        <f>(K34*($E34/365))+(K35*($E35/365))</f>
        <v>42.857142857142854</v>
      </c>
      <c r="C151" s="5">
        <f>(L34*($E34/365))+(L35*($E35/365))</f>
        <v>57.142857142857139</v>
      </c>
      <c r="D151" s="5">
        <f>(M34*($E34/365))+(M35*($E35/365))</f>
        <v>0</v>
      </c>
      <c r="E151" s="18">
        <f t="shared" si="32"/>
        <v>100</v>
      </c>
      <c r="G151" s="1">
        <v>1973</v>
      </c>
      <c r="H151" s="409">
        <f>(O34/$R34*100*($E34/365))+(O35/$R35*100*($E35/365))</f>
        <v>34.32574430823118</v>
      </c>
      <c r="I151" s="409"/>
      <c r="J151" s="409">
        <f>(P34/$R34*100*($E34/365))+(P35/$R35*100*($E35/365))</f>
        <v>65.67425569176882</v>
      </c>
      <c r="K151" s="409"/>
      <c r="L151" s="409">
        <f>(Q34/$R34*100*($E34/365))+(Q35/$R35*100*($E35/365))</f>
        <v>0</v>
      </c>
      <c r="M151" s="409"/>
      <c r="N151" s="379">
        <f t="shared" si="33"/>
        <v>100</v>
      </c>
      <c r="O151" s="379"/>
      <c r="R151" s="1">
        <v>1973</v>
      </c>
      <c r="S151" s="5">
        <f>(O34*($E34/365))+(O35*($E35/365))</f>
        <v>19.600000000000001</v>
      </c>
      <c r="T151" s="5">
        <f>(P34*($E34/365))+(P35*($E35/365))</f>
        <v>37.5</v>
      </c>
      <c r="U151" s="5">
        <f>(Q34*($E34/365))+(Q35*($E35/365))</f>
        <v>0</v>
      </c>
      <c r="V151" s="5"/>
      <c r="W151" s="5">
        <f t="shared" si="34"/>
        <v>57.1</v>
      </c>
    </row>
    <row r="152" spans="1:23" x14ac:dyDescent="0.15">
      <c r="A152" s="1">
        <v>1974</v>
      </c>
      <c r="B152" s="5">
        <f>(K36*($E36/365))+(K37*($E37/365))</f>
        <v>46.771037181996078</v>
      </c>
      <c r="C152" s="5">
        <f>(L36*($E36/365))+(L37*($E37/365))</f>
        <v>25.831702544031309</v>
      </c>
      <c r="D152" s="5">
        <f>(M36*($E36/365))+(M37*($E37/365))</f>
        <v>27.397260273972602</v>
      </c>
      <c r="E152" s="18">
        <f t="shared" si="32"/>
        <v>99.999999999999986</v>
      </c>
      <c r="G152" s="1">
        <v>1974</v>
      </c>
      <c r="H152" s="409">
        <f>(O36/$R36*100*($E36/365))+(O37/$R37*100*($E37/365))</f>
        <v>40.252929423094713</v>
      </c>
      <c r="I152" s="409"/>
      <c r="J152" s="409">
        <f>(P36/$R36*100*($E36/365))+(P37/$R37*100*($E37/365))</f>
        <v>29.68836216203248</v>
      </c>
      <c r="K152" s="409"/>
      <c r="L152" s="409">
        <f>(Q36/$R36*100*($E36/365))+(Q37/$R37*100*($E37/365))</f>
        <v>30.0587084148728</v>
      </c>
      <c r="M152" s="409"/>
      <c r="N152" s="379">
        <f t="shared" si="33"/>
        <v>99.999999999999986</v>
      </c>
      <c r="O152" s="379"/>
      <c r="R152" s="1">
        <v>1974</v>
      </c>
      <c r="S152" s="5">
        <f>(O36*($E36/365))+(O37*($E37/365))</f>
        <v>21.846575342465751</v>
      </c>
      <c r="T152" s="5">
        <f>(P36*($E36/365))+(P37*($E37/365))</f>
        <v>16.952054794520546</v>
      </c>
      <c r="U152" s="5">
        <f>(Q36*($E36/365))+(Q37*($E37/365))</f>
        <v>15.780821917808218</v>
      </c>
      <c r="V152" s="5"/>
      <c r="W152" s="5">
        <f t="shared" si="34"/>
        <v>54.579452054794515</v>
      </c>
    </row>
    <row r="153" spans="1:23" x14ac:dyDescent="0.15">
      <c r="A153" s="1">
        <v>1975</v>
      </c>
      <c r="B153" s="5">
        <f>(K38*($E38/365))+(K39*($E39/365))</f>
        <v>50</v>
      </c>
      <c r="C153" s="5">
        <f>(L38*($E38/365))+(L39*($E39/365))</f>
        <v>0</v>
      </c>
      <c r="D153" s="5">
        <f>(M38*($E38/365))+(M39*($E39/365))</f>
        <v>50</v>
      </c>
      <c r="E153" s="18">
        <f t="shared" si="32"/>
        <v>100</v>
      </c>
      <c r="G153" s="1">
        <v>1975</v>
      </c>
      <c r="H153" s="409">
        <f>(O38/$R38*100*($E38/365))+(O39/$R39*100*($E39/365))</f>
        <v>45.142857142857139</v>
      </c>
      <c r="I153" s="409"/>
      <c r="J153" s="409">
        <f>(P38/$R38*100*($E38/365))+(P39/$R39*100*($E39/365))</f>
        <v>0</v>
      </c>
      <c r="K153" s="409"/>
      <c r="L153" s="409">
        <f>(Q38/$R38*100*($E38/365))+(Q39/$R39*100*($E39/365))</f>
        <v>54.857142857142861</v>
      </c>
      <c r="M153" s="409"/>
      <c r="N153" s="379">
        <f t="shared" si="33"/>
        <v>100</v>
      </c>
      <c r="O153" s="379"/>
      <c r="R153" s="1">
        <v>1975</v>
      </c>
      <c r="S153" s="5">
        <f>(O38*($E38/365))+(O39*($E39/365))</f>
        <v>23.7</v>
      </c>
      <c r="T153" s="5">
        <f>(P38*($E38/365))+(P39*($E39/365))</f>
        <v>0</v>
      </c>
      <c r="U153" s="5">
        <f>(Q38*($E38/365))+(Q39*($E39/365))</f>
        <v>28.8</v>
      </c>
      <c r="V153" s="5"/>
      <c r="W153" s="5">
        <f t="shared" si="34"/>
        <v>52.5</v>
      </c>
    </row>
    <row r="154" spans="1:23" x14ac:dyDescent="0.15">
      <c r="A154" s="1">
        <v>1976</v>
      </c>
      <c r="B154" s="5">
        <f>(K40*($E40/366))+(K41*($E41/366))</f>
        <v>50</v>
      </c>
      <c r="C154" s="5">
        <f>(L40*($E40/366))+(L41*($E41/366))</f>
        <v>0</v>
      </c>
      <c r="D154" s="5">
        <f>(M40*($E40/366))+(M41*($E41/366))</f>
        <v>50</v>
      </c>
      <c r="E154" s="18">
        <f t="shared" si="32"/>
        <v>100</v>
      </c>
      <c r="G154" s="1">
        <v>1976</v>
      </c>
      <c r="H154" s="409">
        <f>(O40/$R40*100*($E40/366))+(O41/$R41*100*($E41/366))</f>
        <v>45.142857142857139</v>
      </c>
      <c r="I154" s="409"/>
      <c r="J154" s="409">
        <f>(P40/$R40*100*($E40/366))+(P41/$R41*100*($E41/366))</f>
        <v>0</v>
      </c>
      <c r="K154" s="409"/>
      <c r="L154" s="409">
        <f>(Q40/$R40*100*($E40/366))+(Q41/$R41*100*($E41/366))</f>
        <v>54.857142857142861</v>
      </c>
      <c r="M154" s="409"/>
      <c r="N154" s="379">
        <f t="shared" si="33"/>
        <v>100</v>
      </c>
      <c r="O154" s="379"/>
      <c r="R154" s="1">
        <v>1976</v>
      </c>
      <c r="S154" s="5">
        <f>(O40*($E40/366))+(O41*($E41/366))</f>
        <v>23.7</v>
      </c>
      <c r="T154" s="5">
        <f>(P40*($E40/366))+(P41*($E41/366))</f>
        <v>0</v>
      </c>
      <c r="U154" s="5">
        <f>(Q40*($E40/366))+(Q41*($E41/366))</f>
        <v>28.8</v>
      </c>
      <c r="V154" s="5"/>
      <c r="W154" s="5">
        <f t="shared" si="34"/>
        <v>52.5</v>
      </c>
    </row>
    <row r="155" spans="1:23" x14ac:dyDescent="0.15">
      <c r="A155" s="1">
        <v>1977</v>
      </c>
      <c r="B155" s="5">
        <f>(K42*($E42/365))+(K43*($E43/365))</f>
        <v>50</v>
      </c>
      <c r="C155" s="5">
        <f>(L42*($E42/365))+(L43*($E43/365))</f>
        <v>0</v>
      </c>
      <c r="D155" s="5">
        <f>(M42*($E42/365))+(M43*($E43/365))</f>
        <v>50</v>
      </c>
      <c r="E155" s="18">
        <f t="shared" si="32"/>
        <v>100</v>
      </c>
      <c r="G155" s="1">
        <v>1977</v>
      </c>
      <c r="H155" s="409">
        <f>(O42/$R42*100*($E42/365))+(O43/$R43*100*($E43/365))</f>
        <v>45.142857142857139</v>
      </c>
      <c r="I155" s="409"/>
      <c r="J155" s="409">
        <f>(P42/$R42*100*($E42/365))+(P43/$R43*100*($E43/365))</f>
        <v>0</v>
      </c>
      <c r="K155" s="409"/>
      <c r="L155" s="409">
        <f>(Q42/$R42*100*($E42/365))+(Q43/$R43*100*($E43/365))</f>
        <v>54.857142857142861</v>
      </c>
      <c r="M155" s="409"/>
      <c r="N155" s="379">
        <f t="shared" si="33"/>
        <v>100</v>
      </c>
      <c r="O155" s="379"/>
      <c r="R155" s="1">
        <v>1977</v>
      </c>
      <c r="S155" s="5">
        <f>(O42*($E42/365))+(O43*($E43/365))</f>
        <v>23.7</v>
      </c>
      <c r="T155" s="5">
        <f>(P42*($E42/365))+(P43*($E43/365))</f>
        <v>0</v>
      </c>
      <c r="U155" s="5">
        <f>(Q42*($E42/365))+(Q43*($E43/365))</f>
        <v>28.8</v>
      </c>
      <c r="V155" s="5"/>
      <c r="W155" s="5">
        <f t="shared" si="34"/>
        <v>52.5</v>
      </c>
    </row>
    <row r="156" spans="1:23" x14ac:dyDescent="0.15">
      <c r="A156" s="1">
        <v>1978</v>
      </c>
      <c r="B156" s="5">
        <f>(K44*($E44/365))+(K45*($E45/365))</f>
        <v>50</v>
      </c>
      <c r="C156" s="5">
        <f>(L44*($E44/365))+(L45*($E45/365))</f>
        <v>0</v>
      </c>
      <c r="D156" s="5">
        <f>(M44*($E44/365))+(M45*($E45/365))</f>
        <v>50</v>
      </c>
      <c r="E156" s="18">
        <f t="shared" si="32"/>
        <v>100</v>
      </c>
      <c r="G156" s="1">
        <v>1978</v>
      </c>
      <c r="H156" s="409">
        <f>(O44/$R44*100*($E44/365))+(O45/$R45*100*($E45/365))</f>
        <v>45.142857142857139</v>
      </c>
      <c r="I156" s="409"/>
      <c r="J156" s="409">
        <f>(P44/$R44*100*($E44/365))+(P45/$R45*100*($E45/365))</f>
        <v>0</v>
      </c>
      <c r="K156" s="409"/>
      <c r="L156" s="409">
        <f>(Q44/$R44*100*($E44/365))+(Q45/$R45*100*($E45/365))</f>
        <v>54.857142857142861</v>
      </c>
      <c r="M156" s="409"/>
      <c r="N156" s="379">
        <f t="shared" si="33"/>
        <v>100</v>
      </c>
      <c r="O156" s="379"/>
      <c r="R156" s="1">
        <v>1978</v>
      </c>
      <c r="S156" s="5">
        <f>(O44*($E44/365))+(O45*($E45/365))</f>
        <v>23.7</v>
      </c>
      <c r="T156" s="5">
        <f>(P44*($E44/365))+(P45*($E45/365))</f>
        <v>0</v>
      </c>
      <c r="U156" s="5">
        <f>(Q44*($E44/365))+(Q45*($E45/365))</f>
        <v>28.8</v>
      </c>
      <c r="V156" s="5"/>
      <c r="W156" s="5">
        <f t="shared" si="34"/>
        <v>52.5</v>
      </c>
    </row>
    <row r="157" spans="1:23" x14ac:dyDescent="0.15">
      <c r="A157" s="1">
        <v>1979</v>
      </c>
      <c r="B157" s="5">
        <f>(K46*($E46/365))+(K47*($E47/365))</f>
        <v>52.587519025875196</v>
      </c>
      <c r="C157" s="5">
        <f>(L46*($E46/365))+(L47*($E47/365))</f>
        <v>20.700152207001519</v>
      </c>
      <c r="D157" s="5">
        <f>(M46*($E46/365))+(M47*($E47/365))</f>
        <v>26.712328767123289</v>
      </c>
      <c r="E157" s="18">
        <f t="shared" si="32"/>
        <v>100</v>
      </c>
      <c r="G157" s="1">
        <v>1979</v>
      </c>
      <c r="H157" s="409">
        <f>(O46/$R46*100*($E46/365))+(O47/$R47*100*($E47/365))</f>
        <v>42.014749638068395</v>
      </c>
      <c r="I157" s="409"/>
      <c r="J157" s="409">
        <f>(P46/$R46*100*($E46/365))+(P47/$R47*100*($E47/365))</f>
        <v>28.678009657430632</v>
      </c>
      <c r="K157" s="409"/>
      <c r="L157" s="409">
        <f>(Q46/$R46*100*($E46/365))+(Q47/$R47*100*($E47/365))</f>
        <v>29.30724070450098</v>
      </c>
      <c r="M157" s="409"/>
      <c r="N157" s="379">
        <f t="shared" si="33"/>
        <v>100.00000000000001</v>
      </c>
      <c r="O157" s="379"/>
      <c r="R157" s="1">
        <v>1979</v>
      </c>
      <c r="S157" s="5">
        <f>(O46*($E46/365))+(O47*($E47/365))</f>
        <v>24.491780821917807</v>
      </c>
      <c r="T157" s="5">
        <f>(P46*($E46/365))+(P47*($E47/365))</f>
        <v>18.956164383561646</v>
      </c>
      <c r="U157" s="5">
        <f>(Q46*($E46/365))+(Q47*($E47/365))</f>
        <v>15.386301369863014</v>
      </c>
      <c r="V157" s="5"/>
      <c r="W157" s="5">
        <f t="shared" si="34"/>
        <v>58.834246575342469</v>
      </c>
    </row>
    <row r="158" spans="1:23" x14ac:dyDescent="0.15">
      <c r="A158" s="1">
        <v>1980</v>
      </c>
      <c r="B158" s="5">
        <f>(K48*($E48/366))+(K49*($E49/366))</f>
        <v>55.555555555555557</v>
      </c>
      <c r="C158" s="5">
        <f>(L48*($E48/366))+(L49*($E49/366))</f>
        <v>44.444444444444443</v>
      </c>
      <c r="D158" s="5">
        <f>(M48*($E48/366))+(M49*($E49/366))</f>
        <v>0</v>
      </c>
      <c r="E158" s="18">
        <f t="shared" si="32"/>
        <v>100</v>
      </c>
      <c r="G158" s="1">
        <v>1980</v>
      </c>
      <c r="H158" s="409">
        <f>(O48/$R48*100*($E48/366))+(O49/$R49*100*($E49/366))</f>
        <v>38.426626323751897</v>
      </c>
      <c r="I158" s="409"/>
      <c r="J158" s="409">
        <f>(P48/$R48*100*($E48/366))+(P49/$R49*100*($E49/366))</f>
        <v>61.573373676248124</v>
      </c>
      <c r="K158" s="409"/>
      <c r="L158" s="409">
        <f>(Q48/$R48*100*($E48/366))+(Q49/$R49*100*($E49/366))</f>
        <v>0</v>
      </c>
      <c r="M158" s="409"/>
      <c r="N158" s="379">
        <f t="shared" si="33"/>
        <v>100.00000000000003</v>
      </c>
      <c r="O158" s="379"/>
      <c r="R158" s="1">
        <v>1980</v>
      </c>
      <c r="S158" s="5">
        <f>(O48*($E48/366))+(O49*($E49/366))</f>
        <v>25.4</v>
      </c>
      <c r="T158" s="5">
        <f>(P48*($E48/366))+(P49*($E49/366))</f>
        <v>40.700000000000003</v>
      </c>
      <c r="U158" s="5">
        <f>(Q48*($E48/366))+(Q49*($E49/366))</f>
        <v>0</v>
      </c>
      <c r="V158" s="5"/>
      <c r="W158" s="5">
        <f t="shared" si="34"/>
        <v>66.099999999999994</v>
      </c>
    </row>
    <row r="159" spans="1:23" x14ac:dyDescent="0.15">
      <c r="A159" s="1">
        <v>1981</v>
      </c>
      <c r="B159" s="5">
        <f>(K50*($E50/365))+(K51*($E51/365))</f>
        <v>55.555555555555557</v>
      </c>
      <c r="C159" s="5">
        <f>(L50*($E50/365))+(L51*($E51/365))</f>
        <v>44.444444444444443</v>
      </c>
      <c r="D159" s="5">
        <f>(M50*($E50/365))+(M51*($E51/365))</f>
        <v>0</v>
      </c>
      <c r="E159" s="18">
        <f t="shared" si="32"/>
        <v>100</v>
      </c>
      <c r="G159" s="1">
        <v>1981</v>
      </c>
      <c r="H159" s="409">
        <f>(O50/$R50*100*($E50/365))+(O51/$R51*100*($E51/365))</f>
        <v>38.426626323751897</v>
      </c>
      <c r="I159" s="409"/>
      <c r="J159" s="409">
        <f>(P50/$R50*100*($E50/365))+(P51/$R51*100*($E51/365))</f>
        <v>61.573373676248124</v>
      </c>
      <c r="K159" s="409"/>
      <c r="L159" s="409">
        <f>(Q50/$R50*100*($E50/365))+(Q51/$R51*100*($E51/365))</f>
        <v>0</v>
      </c>
      <c r="M159" s="409"/>
      <c r="N159" s="379">
        <f t="shared" si="33"/>
        <v>100.00000000000003</v>
      </c>
      <c r="O159" s="379"/>
      <c r="R159" s="1">
        <v>1981</v>
      </c>
      <c r="S159" s="5">
        <f>(O50*($E50/365))+(O51*($E51/365))</f>
        <v>25.4</v>
      </c>
      <c r="T159" s="5">
        <f>(P50*($E50/365))+(P51*($E51/365))</f>
        <v>40.700000000000003</v>
      </c>
      <c r="U159" s="5">
        <f>(Q50*($E50/365))+(Q51*($E51/365))</f>
        <v>0</v>
      </c>
      <c r="V159" s="5"/>
      <c r="W159" s="5">
        <f t="shared" si="34"/>
        <v>66.099999999999994</v>
      </c>
    </row>
    <row r="160" spans="1:23" x14ac:dyDescent="0.15">
      <c r="A160" s="1">
        <v>1982</v>
      </c>
      <c r="B160" s="5">
        <f>(K52*($E52/365))+(K53*($E53/365))</f>
        <v>55.555555555555557</v>
      </c>
      <c r="C160" s="5">
        <f>(L52*($E52/365))+(L53*($E53/365))</f>
        <v>44.444444444444443</v>
      </c>
      <c r="D160" s="5">
        <f>(M52*($E52/365))+(M53*($E53/365))</f>
        <v>0</v>
      </c>
      <c r="E160" s="18">
        <f t="shared" si="32"/>
        <v>100</v>
      </c>
      <c r="G160" s="1">
        <v>1982</v>
      </c>
      <c r="H160" s="409">
        <f>(O52/$R52*100*($E52/365))+(O53/$R53*100*($E53/365))</f>
        <v>38.426626323751897</v>
      </c>
      <c r="I160" s="409"/>
      <c r="J160" s="409">
        <f>(P52/$R52*100*($E52/365))+(P53/$R53*100*($E53/365))</f>
        <v>61.573373676248124</v>
      </c>
      <c r="K160" s="409"/>
      <c r="L160" s="409">
        <f>(Q52/$R52*100*($E52/365))+(Q53/$R53*100*($E53/365))</f>
        <v>0</v>
      </c>
      <c r="M160" s="409"/>
      <c r="N160" s="379">
        <f t="shared" si="33"/>
        <v>100.00000000000003</v>
      </c>
      <c r="O160" s="379"/>
      <c r="R160" s="1">
        <v>1982</v>
      </c>
      <c r="S160" s="5">
        <f>(O52*($E52/365))+(O53*($E53/365))</f>
        <v>25.4</v>
      </c>
      <c r="T160" s="5">
        <f>(P52*($E52/365))+(P53*($E53/365))</f>
        <v>40.700000000000003</v>
      </c>
      <c r="U160" s="5">
        <f>(Q52*($E52/365))+(Q53*($E53/365))</f>
        <v>0</v>
      </c>
      <c r="V160" s="5"/>
      <c r="W160" s="5">
        <f t="shared" si="34"/>
        <v>66.099999999999994</v>
      </c>
    </row>
    <row r="161" spans="1:23" x14ac:dyDescent="0.15">
      <c r="A161" s="1">
        <v>1983</v>
      </c>
      <c r="B161" s="5">
        <f>(K54*($E54/365))+(K55*($E55/365))</f>
        <v>55.555555555555557</v>
      </c>
      <c r="C161" s="5">
        <f>(L54*($E54/365))+(L55*($E55/365))</f>
        <v>44.444444444444443</v>
      </c>
      <c r="D161" s="5">
        <f>(M54*($E54/365))+(M55*($E55/365))</f>
        <v>0</v>
      </c>
      <c r="E161" s="18">
        <f t="shared" si="32"/>
        <v>100</v>
      </c>
      <c r="G161" s="1">
        <v>1983</v>
      </c>
      <c r="H161" s="409">
        <f>(O54/$R54*100*($E54/365))+(O55/$R55*100*($E55/365))</f>
        <v>38.426626323751897</v>
      </c>
      <c r="I161" s="409"/>
      <c r="J161" s="409">
        <f>(P54/$R54*100*($E54/365))+(P55/$R55*100*($E55/365))</f>
        <v>61.573373676248124</v>
      </c>
      <c r="K161" s="409"/>
      <c r="L161" s="409">
        <f>(Q54/$R54*100*($E54/365))+(Q55/$R55*100*($E55/365))</f>
        <v>0</v>
      </c>
      <c r="M161" s="409"/>
      <c r="N161" s="379">
        <f t="shared" si="33"/>
        <v>100.00000000000003</v>
      </c>
      <c r="O161" s="379"/>
      <c r="R161" s="1">
        <v>1983</v>
      </c>
      <c r="S161" s="5">
        <f>(O54*($E54/365))+(O55*($E55/365))</f>
        <v>25.4</v>
      </c>
      <c r="T161" s="5">
        <f>(P54*($E54/365))+(P55*($E55/365))</f>
        <v>40.700000000000003</v>
      </c>
      <c r="U161" s="5">
        <f>(Q54*($E54/365))+(Q55*($E55/365))</f>
        <v>0</v>
      </c>
      <c r="V161" s="5"/>
      <c r="W161" s="5">
        <f t="shared" si="34"/>
        <v>66.099999999999994</v>
      </c>
    </row>
    <row r="162" spans="1:23" x14ac:dyDescent="0.15">
      <c r="A162" s="1">
        <v>1984</v>
      </c>
      <c r="B162" s="5">
        <f>(K56*($E56/366))+(K57*($E57/366))</f>
        <v>30.510018214936252</v>
      </c>
      <c r="C162" s="5">
        <f>(L56*($E56/366))+(L57*($E57/366))</f>
        <v>49.453551912568308</v>
      </c>
      <c r="D162" s="5">
        <f>(M56*($E56/366))+(M57*($E57/366))</f>
        <v>20.036429872495447</v>
      </c>
      <c r="E162" s="18">
        <f t="shared" si="32"/>
        <v>100.00000000000001</v>
      </c>
      <c r="G162" s="1">
        <v>1984</v>
      </c>
      <c r="H162" s="409">
        <f>(O56/$R56*100*($E56/366))+(O57/$R57*100*($E57/366))</f>
        <v>21.103147243371946</v>
      </c>
      <c r="I162" s="409"/>
      <c r="J162" s="409">
        <f>(P56/$R56*100*($E56/366))+(P57/$R57*100*($E57/366))</f>
        <v>58.330948381243317</v>
      </c>
      <c r="K162" s="409"/>
      <c r="L162" s="409">
        <f>(Q56/$R56*100*($E56/366))+(Q57/$R57*100*($E57/366))</f>
        <v>20.565904375384754</v>
      </c>
      <c r="M162" s="409"/>
      <c r="N162" s="379">
        <f t="shared" si="33"/>
        <v>100.00000000000003</v>
      </c>
      <c r="O162" s="379"/>
      <c r="R162" s="1">
        <v>1984</v>
      </c>
      <c r="S162" s="5">
        <f>(O56*($E56/366))+(O57*($E57/366))</f>
        <v>13.949180327868852</v>
      </c>
      <c r="T162" s="5">
        <f>(P56*($E56/366))+(P57*($E57/366))</f>
        <v>39.978688524590169</v>
      </c>
      <c r="U162" s="5">
        <f>(Q56*($E56/366))+(Q57*($E57/366))</f>
        <v>14.786885245901638</v>
      </c>
      <c r="V162" s="5"/>
      <c r="W162" s="5">
        <f t="shared" si="34"/>
        <v>68.714754098360658</v>
      </c>
    </row>
    <row r="163" spans="1:23" x14ac:dyDescent="0.15">
      <c r="A163" s="1">
        <v>1985</v>
      </c>
      <c r="B163" s="5">
        <f>(K58*($E58/365))+(K59*($E59/365))</f>
        <v>0</v>
      </c>
      <c r="C163" s="5">
        <f>(L58*($E58/365))+(L59*($E59/365))</f>
        <v>55.555555555555557</v>
      </c>
      <c r="D163" s="5">
        <f>(M58*($E58/365))+(M59*($E59/365))</f>
        <v>44.444444444444443</v>
      </c>
      <c r="E163" s="18">
        <f t="shared" si="32"/>
        <v>100</v>
      </c>
      <c r="G163" s="1">
        <v>1985</v>
      </c>
      <c r="H163" s="409">
        <f>(O58/$R58*100*($E58/365))+(O59/$R59*100*($E59/365))</f>
        <v>0</v>
      </c>
      <c r="I163" s="409"/>
      <c r="J163" s="409">
        <f>(P58/$R58*100*($E58/365))+(P59/$R59*100*($E59/365))</f>
        <v>54.381084840055628</v>
      </c>
      <c r="K163" s="409"/>
      <c r="L163" s="409">
        <f>(Q58/$R58*100*($E58/365))+(Q59/$R59*100*($E59/365))</f>
        <v>45.618915159944365</v>
      </c>
      <c r="M163" s="409"/>
      <c r="N163" s="379">
        <f t="shared" si="33"/>
        <v>100</v>
      </c>
      <c r="O163" s="379"/>
      <c r="R163" s="1">
        <v>1985</v>
      </c>
      <c r="S163" s="5">
        <f>(O58*($E58/365))+(O59*($E59/365))</f>
        <v>0</v>
      </c>
      <c r="T163" s="5">
        <f>(P58*($E58/365))+(P59*($E59/365))</f>
        <v>39.1</v>
      </c>
      <c r="U163" s="5">
        <f>(Q58*($E58/365))+(Q59*($E59/365))</f>
        <v>32.799999999999997</v>
      </c>
      <c r="V163" s="5"/>
      <c r="W163" s="5">
        <f t="shared" si="34"/>
        <v>71.900000000000006</v>
      </c>
    </row>
    <row r="164" spans="1:23" x14ac:dyDescent="0.15">
      <c r="A164" s="1">
        <v>1986</v>
      </c>
      <c r="B164" s="5">
        <f>(K60*($E60/365))+(K61*($E61/365))</f>
        <v>0</v>
      </c>
      <c r="C164" s="5">
        <f>(L60*($E60/365))+(L61*($E61/365))</f>
        <v>55.555555555555557</v>
      </c>
      <c r="D164" s="5">
        <f>(M60*($E60/365))+(M61*($E61/365))</f>
        <v>44.444444444444443</v>
      </c>
      <c r="E164" s="18">
        <f t="shared" si="32"/>
        <v>100</v>
      </c>
      <c r="G164" s="1">
        <v>1986</v>
      </c>
      <c r="H164" s="409">
        <f>(O60/$R60*100*($E60/365))+(O61/$R61*100*($E61/365))</f>
        <v>0</v>
      </c>
      <c r="I164" s="409"/>
      <c r="J164" s="409">
        <f>(P60/$R60*100*($E60/365))+(P61/$R61*100*($E61/365))</f>
        <v>54.381084840055628</v>
      </c>
      <c r="K164" s="409"/>
      <c r="L164" s="409">
        <f>(Q60/$R60*100*($E60/365))+(Q61/$R61*100*($E61/365))</f>
        <v>45.618915159944365</v>
      </c>
      <c r="M164" s="409"/>
      <c r="N164" s="379">
        <f t="shared" si="33"/>
        <v>100</v>
      </c>
      <c r="O164" s="379"/>
      <c r="R164" s="1">
        <v>1986</v>
      </c>
      <c r="S164" s="5">
        <f>(O60*($E60/365))+(O61*($E61/365))</f>
        <v>0</v>
      </c>
      <c r="T164" s="5">
        <f>(P60*($E60/365))+(P61*($E61/365))</f>
        <v>39.1</v>
      </c>
      <c r="U164" s="5">
        <f>(Q60*($E60/365))+(Q61*($E61/365))</f>
        <v>32.799999999999997</v>
      </c>
      <c r="V164" s="5"/>
      <c r="W164" s="5">
        <f t="shared" si="34"/>
        <v>71.900000000000006</v>
      </c>
    </row>
    <row r="165" spans="1:23" x14ac:dyDescent="0.15">
      <c r="A165" s="1">
        <v>1987</v>
      </c>
      <c r="B165" s="5">
        <f>(K62*($E62/365))+(K63*($E63/365))</f>
        <v>0</v>
      </c>
      <c r="C165" s="5">
        <f>(L62*($E62/365))+(L63*($E63/365))</f>
        <v>55.555555555555557</v>
      </c>
      <c r="D165" s="5">
        <f>(M62*($E62/365))+(M63*($E63/365))</f>
        <v>44.444444444444443</v>
      </c>
      <c r="E165" s="18">
        <f t="shared" si="32"/>
        <v>100</v>
      </c>
      <c r="G165" s="1">
        <v>1987</v>
      </c>
      <c r="H165" s="409">
        <f>(O62/$R62*100*($E62/365))+(O63/$R63*100*($E63/365))</f>
        <v>0</v>
      </c>
      <c r="I165" s="409"/>
      <c r="J165" s="409">
        <f>(P62/$R62*100*($E62/365))+(P63/$R63*100*($E63/365))</f>
        <v>54.381084840055628</v>
      </c>
      <c r="K165" s="409"/>
      <c r="L165" s="409">
        <f>(Q62/$R62*100*($E62/365))+(Q63/$R63*100*($E63/365))</f>
        <v>45.618915159944365</v>
      </c>
      <c r="M165" s="409"/>
      <c r="N165" s="379">
        <f t="shared" si="33"/>
        <v>100</v>
      </c>
      <c r="O165" s="379"/>
      <c r="R165" s="1">
        <v>1987</v>
      </c>
      <c r="S165" s="5">
        <f>(O62*($E62/365))+(O63*($E63/365))</f>
        <v>0</v>
      </c>
      <c r="T165" s="5">
        <f>(P62*($E62/365))+(P63*($E63/365))</f>
        <v>39.1</v>
      </c>
      <c r="U165" s="5">
        <f>(Q62*($E62/365))+(Q63*($E63/365))</f>
        <v>32.799999999999997</v>
      </c>
      <c r="V165" s="5"/>
      <c r="W165" s="5">
        <f t="shared" si="34"/>
        <v>71.900000000000006</v>
      </c>
    </row>
    <row r="166" spans="1:23" x14ac:dyDescent="0.15">
      <c r="A166" s="1">
        <v>1988</v>
      </c>
      <c r="B166" s="5">
        <f>(K64*($E64/366))+(K65*($E65/366))</f>
        <v>0</v>
      </c>
      <c r="C166" s="5">
        <f>(L64*($E64/366))+(L65*($E65/366))</f>
        <v>55.555555555555557</v>
      </c>
      <c r="D166" s="5">
        <f>(M64*($E64/366))+(M65*($E65/366))</f>
        <v>44.444444444444443</v>
      </c>
      <c r="E166" s="18">
        <f t="shared" si="32"/>
        <v>100</v>
      </c>
      <c r="G166" s="1">
        <v>1988</v>
      </c>
      <c r="H166" s="409">
        <f>(O64/$R64*100*($E64/366))+(O65/$R65*100*($E65/366))</f>
        <v>0</v>
      </c>
      <c r="I166" s="409"/>
      <c r="J166" s="409">
        <f>(P64/$R64*100*($E64/366))+(P65/$R65*100*($E65/366))</f>
        <v>54.381084840055628</v>
      </c>
      <c r="K166" s="409"/>
      <c r="L166" s="409">
        <f>(Q64/$R64*100*($E64/366))+(Q65/$R65*100*($E65/366))</f>
        <v>45.618915159944365</v>
      </c>
      <c r="M166" s="409"/>
      <c r="N166" s="379">
        <f t="shared" si="33"/>
        <v>100</v>
      </c>
      <c r="O166" s="379"/>
      <c r="R166" s="1">
        <v>1988</v>
      </c>
      <c r="S166" s="5">
        <f>(O64*($E64/366))+(O65*($E65/366))</f>
        <v>0</v>
      </c>
      <c r="T166" s="5">
        <f>(P64*($E64/366))+(P65*($E65/366))</f>
        <v>39.1</v>
      </c>
      <c r="U166" s="5">
        <f>(Q64*($E64/366))+(Q65*($E65/366))</f>
        <v>32.799999999999997</v>
      </c>
      <c r="V166" s="5"/>
      <c r="W166" s="5">
        <f t="shared" si="34"/>
        <v>71.900000000000006</v>
      </c>
    </row>
    <row r="167" spans="1:23" x14ac:dyDescent="0.15">
      <c r="A167" s="1">
        <v>1989</v>
      </c>
      <c r="B167" s="5">
        <f>(K66*($E66/365))+(K67*($E67/365))</f>
        <v>0</v>
      </c>
      <c r="C167" s="5">
        <f>(L66*($E66/365))+(L67*($E67/365))</f>
        <v>57.637747336377473</v>
      </c>
      <c r="D167" s="5">
        <f>(M66*($E66/365))+(M67*($E67/365))</f>
        <v>42.362252663622527</v>
      </c>
      <c r="E167" s="18">
        <f t="shared" si="32"/>
        <v>100</v>
      </c>
      <c r="G167" s="1">
        <v>1989</v>
      </c>
      <c r="H167" s="409">
        <f>(O66/$R66*100*($E66/365))+(O67/$R67*100*($E67/365))</f>
        <v>0</v>
      </c>
      <c r="I167" s="409"/>
      <c r="J167" s="409">
        <f>(P66/$R66*100*($E66/365))+(P67/$R67*100*($E67/365))</f>
        <v>54.681578181321058</v>
      </c>
      <c r="K167" s="409"/>
      <c r="L167" s="409">
        <f>(Q66/$R66*100*($E66/365))+(Q67/$R67*100*($E67/365))</f>
        <v>45.318421818678942</v>
      </c>
      <c r="M167" s="409"/>
      <c r="N167" s="379">
        <f t="shared" si="33"/>
        <v>100</v>
      </c>
      <c r="O167" s="379"/>
      <c r="R167" s="1">
        <v>1989</v>
      </c>
      <c r="S167" s="5">
        <f>(O66*($E66/365))+(O67*($E67/365))</f>
        <v>0</v>
      </c>
      <c r="T167" s="5">
        <f>(P66*($E66/365))+(P67*($E67/365))</f>
        <v>37.97561643835617</v>
      </c>
      <c r="U167" s="5">
        <f>(Q66*($E66/365))+(Q67*($E67/365))</f>
        <v>31.48821917808219</v>
      </c>
      <c r="V167" s="5"/>
      <c r="W167" s="5">
        <f t="shared" si="34"/>
        <v>69.463835616438359</v>
      </c>
    </row>
    <row r="168" spans="1:23" x14ac:dyDescent="0.15">
      <c r="A168" s="1">
        <v>1990</v>
      </c>
      <c r="B168" s="5">
        <f>(K68*($E68/365))+(K69*($E69/365))</f>
        <v>0</v>
      </c>
      <c r="C168" s="5">
        <f>(L68*($E68/365))+(L69*($E69/365))</f>
        <v>60</v>
      </c>
      <c r="D168" s="5">
        <f>(M68*($E68/365))+(M69*($E69/365))</f>
        <v>40</v>
      </c>
      <c r="E168" s="18">
        <f t="shared" si="32"/>
        <v>100</v>
      </c>
      <c r="G168" s="1">
        <v>1990</v>
      </c>
      <c r="H168" s="409">
        <f>(O68/$R68*100*($E68/365))+(O69/$R69*100*($E69/365))</f>
        <v>0</v>
      </c>
      <c r="I168" s="409"/>
      <c r="J168" s="409">
        <f>(P68/$R68*100*($E68/365))+(P69/$R69*100*($E69/365))</f>
        <v>55.022488755622192</v>
      </c>
      <c r="K168" s="409"/>
      <c r="L168" s="409">
        <f>(Q68/$R68*100*($E68/365))+(Q69/$R69*100*($E69/365))</f>
        <v>44.977511244377808</v>
      </c>
      <c r="M168" s="409"/>
      <c r="N168" s="379">
        <f t="shared" si="33"/>
        <v>100</v>
      </c>
      <c r="O168" s="379"/>
      <c r="R168" s="1">
        <v>1990</v>
      </c>
      <c r="S168" s="5">
        <f>(O68*($E68/365))+(O69*($E69/365))</f>
        <v>0</v>
      </c>
      <c r="T168" s="5">
        <f>(P68*($E68/365))+(P69*($E69/365))</f>
        <v>36.700000000000003</v>
      </c>
      <c r="U168" s="5">
        <f>(Q68*($E68/365))+(Q69*($E69/365))</f>
        <v>30</v>
      </c>
      <c r="V168" s="5"/>
      <c r="W168" s="5">
        <f t="shared" si="34"/>
        <v>66.7</v>
      </c>
    </row>
    <row r="169" spans="1:23" x14ac:dyDescent="0.15">
      <c r="A169" s="1">
        <v>1991</v>
      </c>
      <c r="B169" s="5">
        <f>(K70*($E70/365))+(K71*($E71/365))</f>
        <v>0</v>
      </c>
      <c r="C169" s="5">
        <f>(L70*($E70/365))+(L71*($E71/365))</f>
        <v>60</v>
      </c>
      <c r="D169" s="5">
        <f>(M70*($E70/365))+(M71*($E71/365))</f>
        <v>40</v>
      </c>
      <c r="E169" s="18">
        <f t="shared" si="32"/>
        <v>100</v>
      </c>
      <c r="G169" s="1">
        <v>1991</v>
      </c>
      <c r="H169" s="409">
        <f>(O70/$R70*100*($E70/365))+(O71/$R71*100*($E71/365))</f>
        <v>0</v>
      </c>
      <c r="I169" s="409"/>
      <c r="J169" s="409">
        <f>(P70/$R70*100*($E70/365))+(P71/$R71*100*($E71/365))</f>
        <v>55.022488755622192</v>
      </c>
      <c r="K169" s="409"/>
      <c r="L169" s="409">
        <f>(Q70/$R70*100*($E70/365))+(Q71/$R71*100*($E71/365))</f>
        <v>44.977511244377808</v>
      </c>
      <c r="M169" s="409"/>
      <c r="N169" s="379">
        <f t="shared" si="33"/>
        <v>100</v>
      </c>
      <c r="O169" s="379"/>
      <c r="R169" s="1">
        <v>1991</v>
      </c>
      <c r="S169" s="5">
        <f>(O70*($E70/365))+(O71*($E71/365))</f>
        <v>0</v>
      </c>
      <c r="T169" s="5">
        <f>(P70*($E70/365))+(P71*($E71/365))</f>
        <v>36.700000000000003</v>
      </c>
      <c r="U169" s="5">
        <f>(Q70*($E70/365))+(Q71*($E71/365))</f>
        <v>30</v>
      </c>
      <c r="V169" s="5"/>
      <c r="W169" s="5">
        <f t="shared" si="34"/>
        <v>66.7</v>
      </c>
    </row>
    <row r="170" spans="1:23" x14ac:dyDescent="0.15">
      <c r="A170" s="1">
        <v>1992</v>
      </c>
      <c r="B170" s="5">
        <f>(K72*($E72/366))+(K73*($E73/366))</f>
        <v>0</v>
      </c>
      <c r="C170" s="5">
        <f>(L72*($E72/366))+(L73*($E73/366))</f>
        <v>60</v>
      </c>
      <c r="D170" s="5">
        <f>(M72*($E72/366))+(M73*($E73/366))</f>
        <v>40</v>
      </c>
      <c r="E170" s="18">
        <f t="shared" si="32"/>
        <v>100</v>
      </c>
      <c r="G170" s="1">
        <v>1992</v>
      </c>
      <c r="H170" s="409">
        <f>(O72/$R72*100*($E72/366))+(O73/$R73*100*($E73/366))</f>
        <v>0</v>
      </c>
      <c r="I170" s="409"/>
      <c r="J170" s="409">
        <f>(P72/$R72*100*($E72/366))+(P73/$R73*100*($E73/366))</f>
        <v>55.022488755622192</v>
      </c>
      <c r="K170" s="409"/>
      <c r="L170" s="409">
        <f>(Q72/$R72*100*($E72/366))+(Q73/$R73*100*($E73/366))</f>
        <v>44.977511244377808</v>
      </c>
      <c r="M170" s="409"/>
      <c r="N170" s="379">
        <f t="shared" si="33"/>
        <v>100</v>
      </c>
      <c r="O170" s="379"/>
      <c r="R170" s="1">
        <v>1992</v>
      </c>
      <c r="S170" s="5">
        <f>(O72*($E72/366))+(O73*($E73/366))</f>
        <v>0</v>
      </c>
      <c r="T170" s="5">
        <f>(P72*($E72/366))+(P73*($E73/366))</f>
        <v>36.700000000000003</v>
      </c>
      <c r="U170" s="5">
        <f>(Q72*($E72/366))+(Q73*($E73/366))</f>
        <v>30</v>
      </c>
      <c r="V170" s="5"/>
      <c r="W170" s="5">
        <f t="shared" si="34"/>
        <v>66.7</v>
      </c>
    </row>
    <row r="171" spans="1:23" x14ac:dyDescent="0.15">
      <c r="A171" s="1">
        <v>1993</v>
      </c>
      <c r="B171" s="5">
        <f>(K74*($E74/365))+(K75*($E75/365))</f>
        <v>0</v>
      </c>
      <c r="C171" s="5">
        <f>(L74*($E74/365))+(L75*($E75/365))</f>
        <v>60</v>
      </c>
      <c r="D171" s="5">
        <f>(M74*($E74/365))+(M75*($E75/365))</f>
        <v>40</v>
      </c>
      <c r="E171" s="18">
        <f t="shared" si="32"/>
        <v>100</v>
      </c>
      <c r="G171" s="1">
        <v>1993</v>
      </c>
      <c r="H171" s="409">
        <f>(O74/$R74*100*($E74/365))+(O75/$R75*100*($E75/365))</f>
        <v>0</v>
      </c>
      <c r="I171" s="409"/>
      <c r="J171" s="409">
        <f>(P74/$R74*100*($E74/365))+(P75/$R75*100*($E75/365))</f>
        <v>55.022488755622192</v>
      </c>
      <c r="K171" s="409"/>
      <c r="L171" s="409">
        <f>(Q74/$R74*100*($E74/365))+(Q75/$R75*100*($E75/365))</f>
        <v>44.977511244377808</v>
      </c>
      <c r="M171" s="409"/>
      <c r="N171" s="379">
        <f t="shared" si="33"/>
        <v>100</v>
      </c>
      <c r="O171" s="379"/>
      <c r="R171" s="1">
        <v>1993</v>
      </c>
      <c r="S171" s="5">
        <f>(O74*($E74/365))+(O75*($E75/365))</f>
        <v>0</v>
      </c>
      <c r="T171" s="5">
        <f>(P74*($E74/365))+(P75*($E75/365))</f>
        <v>36.700000000000003</v>
      </c>
      <c r="U171" s="5">
        <f>(Q74*($E74/365))+(Q75*($E75/365))</f>
        <v>30</v>
      </c>
      <c r="V171" s="5"/>
      <c r="W171" s="5">
        <f t="shared" si="34"/>
        <v>66.7</v>
      </c>
    </row>
    <row r="172" spans="1:23" x14ac:dyDescent="0.15">
      <c r="A172" s="1">
        <v>1994</v>
      </c>
      <c r="B172" s="5">
        <f>(K76*($E76/365))+(K77*($E77/365))</f>
        <v>0</v>
      </c>
      <c r="C172" s="5">
        <f>(L76*($E76/365))+(L77*($E77/365))</f>
        <v>55.287671232876718</v>
      </c>
      <c r="D172" s="5">
        <f>(M76*($E76/365))+(M77*($E77/365))</f>
        <v>44.712328767123296</v>
      </c>
      <c r="E172" s="18">
        <f t="shared" si="32"/>
        <v>100.00000000000001</v>
      </c>
      <c r="G172" s="1">
        <v>1994</v>
      </c>
      <c r="H172" s="409">
        <f>(O76/$R76*100*($E76/365))+(O77/$R77*100*($E77/365))</f>
        <v>0</v>
      </c>
      <c r="I172" s="409"/>
      <c r="J172" s="409">
        <f>(P76/$R76*100*($E76/365))+(P77/$R77*100*($E77/365))</f>
        <v>55.149613403387256</v>
      </c>
      <c r="K172" s="409"/>
      <c r="L172" s="409">
        <f>(Q76/$R76*100*($E76/365))+(Q77/$R77*100*($E77/365))</f>
        <v>44.850386596612751</v>
      </c>
      <c r="M172" s="409"/>
      <c r="N172" s="379">
        <f t="shared" si="33"/>
        <v>100</v>
      </c>
      <c r="O172" s="379"/>
      <c r="R172" s="1">
        <v>1994</v>
      </c>
      <c r="S172" s="5">
        <f>(O76*($E76/365))+(O77*($E77/365))</f>
        <v>0</v>
      </c>
      <c r="T172" s="5">
        <f>(P76*($E76/365))+(P77*($E77/365))</f>
        <v>35.89890410958904</v>
      </c>
      <c r="U172" s="5">
        <f>(Q76*($E76/365))+(Q77*($E77/365))</f>
        <v>29.198904109589044</v>
      </c>
      <c r="V172" s="5"/>
      <c r="W172" s="5">
        <f t="shared" si="34"/>
        <v>65.097808219178091</v>
      </c>
    </row>
    <row r="173" spans="1:23" x14ac:dyDescent="0.15">
      <c r="A173" s="1">
        <v>1995</v>
      </c>
      <c r="B173" s="5">
        <f>(K78*($E78/365))+(K79*($E79/365))</f>
        <v>0</v>
      </c>
      <c r="C173" s="5">
        <f>(L78*($E78/365))+(L79*($E79/365))</f>
        <v>50</v>
      </c>
      <c r="D173" s="5">
        <f>(M78*($E78/365))+(M79*($E79/365))</f>
        <v>50</v>
      </c>
      <c r="E173" s="18">
        <f t="shared" si="32"/>
        <v>100</v>
      </c>
      <c r="G173" s="1">
        <v>1995</v>
      </c>
      <c r="H173" s="409">
        <f>(O78/$R78*100*($E78/365))+(O79/$R79*100*($E79/365))</f>
        <v>0</v>
      </c>
      <c r="I173" s="409"/>
      <c r="J173" s="409">
        <f>(P78/$R78*100*($E78/365))+(P79/$R79*100*($E79/365))</f>
        <v>55.292259083728275</v>
      </c>
      <c r="K173" s="409"/>
      <c r="L173" s="409">
        <f>(Q78/$R78*100*($E78/365))+(Q79/$R79*100*($E79/365))</f>
        <v>44.707740916271717</v>
      </c>
      <c r="M173" s="409"/>
      <c r="N173" s="379">
        <f t="shared" si="33"/>
        <v>100</v>
      </c>
      <c r="O173" s="379"/>
      <c r="R173" s="1">
        <v>1995</v>
      </c>
      <c r="S173" s="5">
        <f>(O78*($E78/365))+(O79*($E79/365))</f>
        <v>0</v>
      </c>
      <c r="T173" s="5">
        <f>(P78*($E78/365))+(P79*($E79/365))</f>
        <v>35</v>
      </c>
      <c r="U173" s="5">
        <f>(Q78*($E78/365))+(Q79*($E79/365))</f>
        <v>28.299999999999997</v>
      </c>
      <c r="V173" s="5"/>
      <c r="W173" s="5">
        <f t="shared" si="34"/>
        <v>63.3</v>
      </c>
    </row>
    <row r="174" spans="1:23" x14ac:dyDescent="0.15">
      <c r="A174" s="1">
        <v>1996</v>
      </c>
      <c r="B174" s="5">
        <f>(K80*($E80/366))+(K81*($E81/366))</f>
        <v>0</v>
      </c>
      <c r="C174" s="5">
        <f>(L80*($E80/366))+(L81*($E81/366))</f>
        <v>50</v>
      </c>
      <c r="D174" s="5">
        <f>(M80*($E80/366))+(M81*($E81/366))</f>
        <v>50</v>
      </c>
      <c r="E174" s="18">
        <f t="shared" si="32"/>
        <v>100</v>
      </c>
      <c r="G174" s="1">
        <v>1996</v>
      </c>
      <c r="H174" s="409">
        <f>(O80/$R80*100*($E80/366))+(O81/$R81*100*($E81/366))</f>
        <v>0</v>
      </c>
      <c r="I174" s="409"/>
      <c r="J174" s="409">
        <f>(P80/$R80*100*($E80/366))+(P81/$R81*100*($E81/366))</f>
        <v>55.292259083728283</v>
      </c>
      <c r="K174" s="409"/>
      <c r="L174" s="409">
        <f>(Q80/$R80*100*($E80/366))+(Q81/$R81*100*($E81/366))</f>
        <v>44.707740916271725</v>
      </c>
      <c r="M174" s="409"/>
      <c r="N174" s="379">
        <f t="shared" si="33"/>
        <v>100</v>
      </c>
      <c r="O174" s="379"/>
      <c r="R174" s="1">
        <v>1996</v>
      </c>
      <c r="S174" s="5">
        <f>(O80*($E80/366))+(O81*($E81/366))</f>
        <v>0</v>
      </c>
      <c r="T174" s="5">
        <f>(P80*($E80/366))+(P81*($E81/366))</f>
        <v>35</v>
      </c>
      <c r="U174" s="5">
        <f>(Q80*($E80/366))+(Q81*($E81/366))</f>
        <v>28.3</v>
      </c>
      <c r="V174" s="5"/>
      <c r="W174" s="5">
        <f t="shared" si="34"/>
        <v>63.3</v>
      </c>
    </row>
    <row r="175" spans="1:23" x14ac:dyDescent="0.15">
      <c r="A175" s="1">
        <v>1997</v>
      </c>
      <c r="B175" s="5">
        <f>(K82*($E82/365))+(K83*($E83/365))</f>
        <v>0</v>
      </c>
      <c r="C175" s="5">
        <f>(L82*($E82/365))+(L83*($E83/365))</f>
        <v>50</v>
      </c>
      <c r="D175" s="5">
        <f>(M82*($E82/365))+(M83*($E83/365))</f>
        <v>50</v>
      </c>
      <c r="E175" s="18">
        <f t="shared" si="32"/>
        <v>100</v>
      </c>
      <c r="G175" s="1">
        <v>1997</v>
      </c>
      <c r="H175" s="409">
        <f>(O82/$R82*100*($E82/365))+(O83/$R83*100*($E83/365))</f>
        <v>0</v>
      </c>
      <c r="I175" s="409"/>
      <c r="J175" s="409">
        <f>(P82/$R82*100*($E82/365))+(P83/$R83*100*($E83/365))</f>
        <v>55.292259083728283</v>
      </c>
      <c r="K175" s="409"/>
      <c r="L175" s="409">
        <f>(Q82/$R82*100*($E82/365))+(Q83/$R83*100*($E83/365))</f>
        <v>44.707740916271725</v>
      </c>
      <c r="M175" s="409"/>
      <c r="N175" s="379">
        <f t="shared" si="33"/>
        <v>100</v>
      </c>
      <c r="O175" s="379"/>
      <c r="R175" s="1">
        <v>1997</v>
      </c>
      <c r="S175" s="5">
        <f>(O82*($E82/365))+(O83*($E83/365))</f>
        <v>0</v>
      </c>
      <c r="T175" s="5">
        <f>(P82*($E82/365))+(P83*($E83/365))</f>
        <v>35</v>
      </c>
      <c r="U175" s="5">
        <f>(Q82*($E82/365))+(Q83*($E83/365))</f>
        <v>28.3</v>
      </c>
      <c r="V175" s="5"/>
      <c r="W175" s="5">
        <f t="shared" si="34"/>
        <v>63.3</v>
      </c>
    </row>
    <row r="176" spans="1:23" x14ac:dyDescent="0.15">
      <c r="A176" s="1">
        <v>1998</v>
      </c>
      <c r="B176" s="5">
        <f>(K84*($E84/365))+(K85*($E85/365))</f>
        <v>0</v>
      </c>
      <c r="C176" s="5">
        <f>(L84*($E84/365))+(L85*($E85/365))</f>
        <v>50</v>
      </c>
      <c r="D176" s="5">
        <f>(M84*($E84/365))+(M85*($E85/365))</f>
        <v>50</v>
      </c>
      <c r="E176" s="18">
        <f t="shared" si="32"/>
        <v>100</v>
      </c>
      <c r="G176" s="1">
        <v>1998</v>
      </c>
      <c r="H176" s="409">
        <f>(O84/$R84*100*($E84/365))+(O85/$R85*100*($E85/365))</f>
        <v>0</v>
      </c>
      <c r="I176" s="409"/>
      <c r="J176" s="409">
        <f>(P84/$R84*100*($E84/365))+(P85/$R85*100*($E85/365))</f>
        <v>55.292259083728283</v>
      </c>
      <c r="K176" s="409"/>
      <c r="L176" s="409">
        <f>(Q84/$R84*100*($E84/365))+(Q85/$R85*100*($E85/365))</f>
        <v>44.707740916271725</v>
      </c>
      <c r="M176" s="409"/>
      <c r="N176" s="379">
        <f t="shared" si="33"/>
        <v>100</v>
      </c>
      <c r="O176" s="379"/>
      <c r="R176" s="1">
        <v>1998</v>
      </c>
      <c r="S176" s="5">
        <f>(O84*($E84/365))+(O85*($E85/365))</f>
        <v>0</v>
      </c>
      <c r="T176" s="5">
        <f>(P84*($E84/365))+(P85*($E85/365))</f>
        <v>35</v>
      </c>
      <c r="U176" s="5">
        <f>(Q84*($E84/365))+(Q85*($E85/365))</f>
        <v>28.3</v>
      </c>
      <c r="V176" s="5"/>
      <c r="W176" s="5">
        <f t="shared" si="34"/>
        <v>63.3</v>
      </c>
    </row>
    <row r="177" spans="1:23" x14ac:dyDescent="0.15">
      <c r="A177" s="1">
        <v>1999</v>
      </c>
      <c r="B177" s="5">
        <f>(K86*($E86/365))+(K87*($E87/365))</f>
        <v>15.890410958904111</v>
      </c>
      <c r="C177" s="5">
        <f>(L86*($E86/365))+(L87*($E87/365))</f>
        <v>50</v>
      </c>
      <c r="D177" s="5">
        <f>(M86*($E86/365))+(M87*($E87/365))</f>
        <v>34.109589041095887</v>
      </c>
      <c r="E177" s="18">
        <f t="shared" si="32"/>
        <v>100</v>
      </c>
      <c r="G177" s="1">
        <v>1999</v>
      </c>
      <c r="H177" s="409">
        <f>(O86/$R86*100*($E86/365))+(O87/$R87*100*($E87/365))</f>
        <v>14.012708076635018</v>
      </c>
      <c r="I177" s="409"/>
      <c r="J177" s="409">
        <f>(P86/$R86*100*($E86/365))+(P87/$R87*100*($E87/365))</f>
        <v>55.488038531168655</v>
      </c>
      <c r="K177" s="409"/>
      <c r="L177" s="409">
        <f>(Q86/$R86*100*($E86/365))+(Q87/$R87*100*($E87/365))</f>
        <v>30.499253392196326</v>
      </c>
      <c r="M177" s="409"/>
      <c r="N177" s="379">
        <f t="shared" si="33"/>
        <v>100</v>
      </c>
      <c r="O177" s="379"/>
      <c r="R177" s="1">
        <v>1999</v>
      </c>
      <c r="S177" s="5">
        <f>(O86*($E86/365))+(O87*($E87/365))</f>
        <v>7.9452054794520555</v>
      </c>
      <c r="T177" s="5">
        <f>(P86*($E86/365))+(P87*($E87/365))</f>
        <v>33.951232876712325</v>
      </c>
      <c r="U177" s="5">
        <f>(Q86*($E86/365))+(Q87*($E87/365))</f>
        <v>19.306027397260273</v>
      </c>
      <c r="V177" s="5"/>
      <c r="W177" s="5">
        <f t="shared" si="34"/>
        <v>61.202465753424654</v>
      </c>
    </row>
    <row r="178" spans="1:23" x14ac:dyDescent="0.15">
      <c r="A178" s="1">
        <v>2000</v>
      </c>
      <c r="B178" s="5">
        <f>(K88*($E88/366))+(K89*($E89/366))</f>
        <v>50</v>
      </c>
      <c r="C178" s="5">
        <f>(L88*($E88/366))+(L89*($E89/366))</f>
        <v>50</v>
      </c>
      <c r="D178" s="5">
        <f>(M88*($E88/366))+(M89*($E89/366))</f>
        <v>0</v>
      </c>
      <c r="E178" s="18">
        <f t="shared" si="32"/>
        <v>100</v>
      </c>
      <c r="G178" s="1">
        <v>2000</v>
      </c>
      <c r="H178" s="409">
        <f>(O88/$R88*100*($E88/366))+(O89/$R89*100*($E89/366))</f>
        <v>44.091710758377424</v>
      </c>
      <c r="I178" s="409"/>
      <c r="J178" s="409">
        <f>(P88/$R88*100*($E88/366))+(P89/$R89*100*($E89/366))</f>
        <v>55.908289241622569</v>
      </c>
      <c r="K178" s="409"/>
      <c r="L178" s="409">
        <f>(Q88/$R88*100*($E88/366))+(Q89/$R89*100*($E89/366))</f>
        <v>0</v>
      </c>
      <c r="M178" s="409"/>
      <c r="N178" s="379">
        <f t="shared" si="33"/>
        <v>100</v>
      </c>
      <c r="O178" s="379"/>
      <c r="R178" s="1">
        <v>2000</v>
      </c>
      <c r="S178" s="5">
        <f>(O88*($E88/366))+(O89*($E89/366))</f>
        <v>25</v>
      </c>
      <c r="T178" s="5">
        <f>(P88*($E88/366))+(P89*($E89/366))</f>
        <v>31.7</v>
      </c>
      <c r="U178" s="5">
        <f>(Q88*($E88/366))+(Q89*($E89/366))</f>
        <v>0</v>
      </c>
      <c r="V178" s="5"/>
      <c r="W178" s="5">
        <f t="shared" si="34"/>
        <v>56.7</v>
      </c>
    </row>
    <row r="179" spans="1:23" x14ac:dyDescent="0.15">
      <c r="A179" s="1">
        <v>2001</v>
      </c>
      <c r="B179" s="5">
        <f>(K90*($E90/365))+(K91*($E91/365))</f>
        <v>50</v>
      </c>
      <c r="C179" s="5">
        <f>(L90*($E90/365))+(L91*($E91/365))</f>
        <v>50</v>
      </c>
      <c r="D179" s="5">
        <f>(M90*($E90/365))+(M91*($E91/365))</f>
        <v>0</v>
      </c>
      <c r="E179" s="18">
        <f t="shared" si="32"/>
        <v>100</v>
      </c>
      <c r="G179" s="1">
        <v>2001</v>
      </c>
      <c r="H179" s="409">
        <f>(O90/$R90*100*($E90/365))+(O91/$R91*100*($E91/365))</f>
        <v>44.091710758377424</v>
      </c>
      <c r="I179" s="409"/>
      <c r="J179" s="409">
        <f>(P90/$R90*100*($E90/365))+(P91/$R91*100*($E91/365))</f>
        <v>55.908289241622569</v>
      </c>
      <c r="K179" s="409"/>
      <c r="L179" s="409">
        <f>(Q90/$R90*100*($E90/365))+(Q91/$R91*100*($E91/365))</f>
        <v>0</v>
      </c>
      <c r="M179" s="409"/>
      <c r="N179" s="379">
        <f t="shared" si="33"/>
        <v>100</v>
      </c>
      <c r="O179" s="379"/>
      <c r="R179" s="1">
        <v>2001</v>
      </c>
      <c r="S179" s="5">
        <f>(O90*($E90/365))+(O91*($E91/365))</f>
        <v>25</v>
      </c>
      <c r="T179" s="5">
        <f>(P90*($E90/365))+(P91*($E91/365))</f>
        <v>31.7</v>
      </c>
      <c r="U179" s="5">
        <f>(Q90*($E90/365))+(Q91*($E91/365))</f>
        <v>0</v>
      </c>
      <c r="V179" s="5"/>
      <c r="W179" s="5">
        <f t="shared" si="34"/>
        <v>56.7</v>
      </c>
    </row>
    <row r="180" spans="1:23" x14ac:dyDescent="0.15">
      <c r="A180" s="1">
        <v>2002</v>
      </c>
      <c r="B180" s="5">
        <f>(K92*($E92/365))+(K93*($E93/365))</f>
        <v>50</v>
      </c>
      <c r="C180" s="5">
        <f>(L92*($E92/365))+(L93*($E93/365))</f>
        <v>50</v>
      </c>
      <c r="D180" s="5">
        <f>(M92*($E92/365))+(M93*($E93/365))</f>
        <v>0</v>
      </c>
      <c r="E180" s="18">
        <f t="shared" si="32"/>
        <v>100</v>
      </c>
      <c r="G180" s="1">
        <v>2002</v>
      </c>
      <c r="H180" s="409">
        <f>(O92/$R92*100*($E92/365))+(O93/$R93*100*($E93/365))</f>
        <v>44.091710758377424</v>
      </c>
      <c r="I180" s="409"/>
      <c r="J180" s="409">
        <f>(P92/$R92*100*($E92/365))+(P93/$R93*100*($E93/365))</f>
        <v>55.908289241622569</v>
      </c>
      <c r="K180" s="409"/>
      <c r="L180" s="409">
        <f>(Q92/$R92*100*($E92/365))+(Q93/$R93*100*($E93/365))</f>
        <v>0</v>
      </c>
      <c r="M180" s="409"/>
      <c r="N180" s="379">
        <f t="shared" si="33"/>
        <v>100</v>
      </c>
      <c r="O180" s="379"/>
      <c r="R180" s="1">
        <v>2002</v>
      </c>
      <c r="S180" s="5">
        <f>(O92*($E92/365))+(O93*($E93/365))</f>
        <v>25</v>
      </c>
      <c r="T180" s="5">
        <f>(P92*($E92/365))+(P93*($E93/365))</f>
        <v>31.7</v>
      </c>
      <c r="U180" s="5">
        <f>(Q92*($E92/365))+(Q93*($E93/365))</f>
        <v>0</v>
      </c>
      <c r="V180" s="5"/>
      <c r="W180" s="5">
        <f t="shared" si="34"/>
        <v>56.7</v>
      </c>
    </row>
    <row r="181" spans="1:23" x14ac:dyDescent="0.15">
      <c r="A181" s="1">
        <v>2003</v>
      </c>
      <c r="B181" s="5">
        <f>(K94*($E94/365))+(K95*($E95/365))</f>
        <v>50</v>
      </c>
      <c r="C181" s="5">
        <f>(L94*($E94/365))+(L95*($E95/365))</f>
        <v>50</v>
      </c>
      <c r="D181" s="5">
        <f>(M94*($E94/365))+(M95*($E95/365))</f>
        <v>0</v>
      </c>
      <c r="E181" s="18">
        <f t="shared" si="32"/>
        <v>100</v>
      </c>
      <c r="G181" s="1">
        <v>2003</v>
      </c>
      <c r="H181" s="409">
        <f>(O94/$R94*100*($E94/365))+(O95/$R95*100*($E95/365))</f>
        <v>44.091710758377424</v>
      </c>
      <c r="I181" s="409"/>
      <c r="J181" s="409">
        <f>(P94/$R94*100*($E94/365))+(P95/$R95*100*($E95/365))</f>
        <v>55.908289241622569</v>
      </c>
      <c r="K181" s="409"/>
      <c r="L181" s="409">
        <f>(Q94/$R94*100*($E94/365))+(Q95/$R95*100*($E95/365))</f>
        <v>0</v>
      </c>
      <c r="M181" s="409"/>
      <c r="N181" s="379">
        <f t="shared" si="33"/>
        <v>100</v>
      </c>
      <c r="O181" s="379"/>
      <c r="R181" s="1">
        <v>2003</v>
      </c>
      <c r="S181" s="5">
        <f>(O94*($E94/365))+(O95*($E95/365))</f>
        <v>25</v>
      </c>
      <c r="T181" s="5">
        <f>(P94*($E94/365))+(P95*($E95/365))</f>
        <v>31.7</v>
      </c>
      <c r="U181" s="5">
        <f>(Q94*($E94/365))+(Q95*($E95/365))</f>
        <v>0</v>
      </c>
      <c r="V181" s="5"/>
      <c r="W181" s="5">
        <f t="shared" si="34"/>
        <v>56.7</v>
      </c>
    </row>
    <row r="182" spans="1:23" x14ac:dyDescent="0.15">
      <c r="A182" s="1">
        <v>2004</v>
      </c>
      <c r="B182" s="5">
        <f>(K96*($E96/366))+(K97*($E97/366))</f>
        <v>28.961748633879779</v>
      </c>
      <c r="C182" s="5">
        <f>(L96*($E96/366))+(L97*($E97/366))</f>
        <v>54.207650273224047</v>
      </c>
      <c r="D182" s="5">
        <f>(M96*($E96/366))+(M97*($E97/366))</f>
        <v>16.830601092896174</v>
      </c>
      <c r="E182" s="18">
        <f t="shared" si="32"/>
        <v>100</v>
      </c>
      <c r="G182" s="1">
        <v>2004</v>
      </c>
      <c r="H182" s="409">
        <f>(O96/$R96*100*($E96/366))+(O97/$R97*100*($E97/366))</f>
        <v>25.539460876437197</v>
      </c>
      <c r="I182" s="409"/>
      <c r="J182" s="409">
        <f>(P96/$R96*100*($E96/366))+(P97/$R97*100*($E97/366))</f>
        <v>58.972663710273665</v>
      </c>
      <c r="K182" s="409"/>
      <c r="L182" s="409">
        <f>(Q96/$R96*100*($E96/366))+(Q97/$R97*100*($E97/366))</f>
        <v>15.487875413289137</v>
      </c>
      <c r="M182" s="409"/>
      <c r="N182" s="379">
        <f t="shared" si="33"/>
        <v>99.999999999999986</v>
      </c>
      <c r="O182" s="379"/>
      <c r="R182" s="1">
        <v>2004</v>
      </c>
      <c r="S182" s="5">
        <f>(O96*($E96/366))+(O97*($E97/366))</f>
        <v>14.480874316939889</v>
      </c>
      <c r="T182" s="5">
        <f>(P96*($E96/366))+(P97*($E97/366))</f>
        <v>35.192349726775959</v>
      </c>
      <c r="U182" s="5">
        <f>(Q96*($E96/366))+(Q97*($E97/366))</f>
        <v>9.8038251366120228</v>
      </c>
      <c r="V182" s="5"/>
      <c r="W182" s="5">
        <f t="shared" si="34"/>
        <v>59.477049180327867</v>
      </c>
    </row>
    <row r="183" spans="1:23" x14ac:dyDescent="0.15">
      <c r="A183" s="1">
        <v>2005</v>
      </c>
      <c r="B183" s="5">
        <f>(K98*($E98/365))+(K99*($E99/365))</f>
        <v>0</v>
      </c>
      <c r="C183" s="5">
        <f>(L98*($E98/365))+(L99*($E99/365))</f>
        <v>60</v>
      </c>
      <c r="D183" s="5">
        <f>(M98*($E98/365))+(M99*($E99/365))</f>
        <v>40</v>
      </c>
      <c r="E183" s="18">
        <f t="shared" si="32"/>
        <v>100</v>
      </c>
      <c r="G183" s="1">
        <v>2005</v>
      </c>
      <c r="H183" s="409">
        <f>(O98/$R98*100*($E98/365))+(O99/$R99*100*($E99/365))</f>
        <v>0</v>
      </c>
      <c r="I183" s="409"/>
      <c r="J183" s="409">
        <f>(P98/$R98*100*($E98/365))+(P99/$R99*100*($E99/365))</f>
        <v>63.191153238546605</v>
      </c>
      <c r="K183" s="409"/>
      <c r="L183" s="409">
        <f>(Q98/$R98*100*($E98/365))+(Q99/$R99*100*($E99/365))</f>
        <v>36.808846761453403</v>
      </c>
      <c r="M183" s="409"/>
      <c r="N183" s="379">
        <f t="shared" si="33"/>
        <v>100</v>
      </c>
      <c r="O183" s="379"/>
      <c r="R183" s="1">
        <v>2005</v>
      </c>
      <c r="S183" s="5">
        <f>(O98*($E98/365))+(O99*($E99/365))</f>
        <v>0</v>
      </c>
      <c r="T183" s="5">
        <f>(P98*($E98/365))+(P99*($E99/365))</f>
        <v>40</v>
      </c>
      <c r="U183" s="5">
        <f>(Q98*($E98/365))+(Q99*($E99/365))</f>
        <v>23.3</v>
      </c>
      <c r="V183" s="5"/>
      <c r="W183" s="5">
        <f t="shared" si="34"/>
        <v>63.3</v>
      </c>
    </row>
    <row r="184" spans="1:23" x14ac:dyDescent="0.15">
      <c r="A184" s="1">
        <v>2006</v>
      </c>
      <c r="B184" s="5">
        <f>(K100*($E100/365))+(K101*($E101/365))</f>
        <v>0</v>
      </c>
      <c r="C184" s="5">
        <f>(L100*($E100/365))+(L101*($E101/365))</f>
        <v>60</v>
      </c>
      <c r="D184" s="5">
        <f>(M100*($E100/365))+(M101*($E101/365))</f>
        <v>40</v>
      </c>
      <c r="E184" s="18">
        <f t="shared" si="32"/>
        <v>100</v>
      </c>
      <c r="G184" s="1">
        <v>2006</v>
      </c>
      <c r="H184" s="409">
        <f>(O100/$R100*100*($E100/365))+(O101/$R101*100*($E101/365))</f>
        <v>0</v>
      </c>
      <c r="I184" s="409"/>
      <c r="J184" s="409">
        <f>(P100/$R100*100*($E100/365))+(P101/$R101*100*($E101/365))</f>
        <v>63.191153238546605</v>
      </c>
      <c r="K184" s="409"/>
      <c r="L184" s="409">
        <f>(Q100/$R100*100*($E100/365))+(Q101/$R101*100*($E101/365))</f>
        <v>36.808846761453403</v>
      </c>
      <c r="M184" s="409"/>
      <c r="N184" s="379">
        <f t="shared" si="33"/>
        <v>100</v>
      </c>
      <c r="O184" s="379"/>
      <c r="R184" s="1">
        <v>2006</v>
      </c>
      <c r="S184" s="5">
        <f>(O100*($E100/365))+(O101*($E101/365))</f>
        <v>0</v>
      </c>
      <c r="T184" s="5">
        <f>(P100*($E100/365))+(P101*($E101/365))</f>
        <v>40</v>
      </c>
      <c r="U184" s="5">
        <f>(Q100*($E100/365))+(Q101*($E101/365))</f>
        <v>23.3</v>
      </c>
      <c r="V184" s="5"/>
      <c r="W184" s="5">
        <f t="shared" si="34"/>
        <v>63.3</v>
      </c>
    </row>
    <row r="185" spans="1:23" x14ac:dyDescent="0.15">
      <c r="A185" s="1">
        <v>2007</v>
      </c>
      <c r="B185" s="5">
        <f>(K102*($E102/365))+(K103*($E103/365))</f>
        <v>0</v>
      </c>
      <c r="C185" s="5">
        <f>(L102*($E102/365))+(L103*($E103/365))</f>
        <v>60</v>
      </c>
      <c r="D185" s="5">
        <f>(M102*($E102/365))+(M103*($E103/365))</f>
        <v>40</v>
      </c>
      <c r="E185" s="18">
        <f t="shared" si="32"/>
        <v>100</v>
      </c>
      <c r="G185" s="1">
        <v>2007</v>
      </c>
      <c r="H185" s="409">
        <f>(O102/$R102*100*($E102/365))+(O103/$R103*100*($E103/365))</f>
        <v>0</v>
      </c>
      <c r="I185" s="409"/>
      <c r="J185" s="409">
        <f>(P102/$R102*100*($E102/365))+(P103/$R103*100*($E103/365))</f>
        <v>63.191153238546605</v>
      </c>
      <c r="K185" s="409"/>
      <c r="L185" s="409">
        <f>(Q102/$R102*100*($E102/365))+(Q103/$R103*100*($E103/365))</f>
        <v>36.808846761453403</v>
      </c>
      <c r="M185" s="409"/>
      <c r="N185" s="379">
        <f t="shared" si="33"/>
        <v>100</v>
      </c>
      <c r="O185" s="379"/>
      <c r="R185" s="1">
        <v>2007</v>
      </c>
      <c r="S185" s="5">
        <f>(O102*($E102/365))+(O103*($E103/365))</f>
        <v>0</v>
      </c>
      <c r="T185" s="5">
        <f>(P102*($E102/365))+(P103*($E103/365))</f>
        <v>40</v>
      </c>
      <c r="U185" s="5">
        <f>(Q102*($E102/365))+(Q103*($E103/365))</f>
        <v>23.3</v>
      </c>
      <c r="V185" s="5"/>
      <c r="W185" s="5">
        <f t="shared" si="34"/>
        <v>63.3</v>
      </c>
    </row>
    <row r="186" spans="1:23" x14ac:dyDescent="0.15">
      <c r="A186" s="1">
        <v>2008</v>
      </c>
      <c r="B186" s="5">
        <f>(K104*($E104/366))+(K105*($E105/366))</f>
        <v>0</v>
      </c>
      <c r="C186" s="5">
        <f>(L104*($E104/366))+(L105*($E105/366))</f>
        <v>60</v>
      </c>
      <c r="D186" s="5">
        <f>(M104*($E104/366))+(M105*($E105/366))</f>
        <v>40</v>
      </c>
      <c r="E186" s="18">
        <f t="shared" si="32"/>
        <v>100</v>
      </c>
      <c r="G186" s="1">
        <v>2008</v>
      </c>
      <c r="H186" s="409">
        <f>(O104/$R104*100*($E104/366))+(O105/$R105*100*($E105/366))</f>
        <v>0</v>
      </c>
      <c r="I186" s="409"/>
      <c r="J186" s="409">
        <f>(P104/$R104*100*($E104/366))+(P105/$R105*100*($E105/366))</f>
        <v>63.191153238546605</v>
      </c>
      <c r="K186" s="409"/>
      <c r="L186" s="409">
        <f>(Q104/$R104*100*($E104/366))+(Q105/$R105*100*($E105/366))</f>
        <v>36.808846761453403</v>
      </c>
      <c r="M186" s="409"/>
      <c r="N186" s="379">
        <f t="shared" si="33"/>
        <v>100</v>
      </c>
      <c r="O186" s="379"/>
      <c r="R186" s="1">
        <v>2008</v>
      </c>
      <c r="S186" s="5">
        <f>(O104*($E104/366))+(O105*($E105/366))</f>
        <v>0</v>
      </c>
      <c r="T186" s="5">
        <f>(P104*($E104/366))+(P105*($E105/366))</f>
        <v>40</v>
      </c>
      <c r="U186" s="5">
        <f>(Q104*($E104/366))+(Q105*($E105/366))</f>
        <v>23.3</v>
      </c>
      <c r="V186" s="5"/>
      <c r="W186" s="5">
        <f t="shared" si="34"/>
        <v>63.3</v>
      </c>
    </row>
    <row r="187" spans="1:23" x14ac:dyDescent="0.15">
      <c r="A187" s="1">
        <v>2009</v>
      </c>
      <c r="B187" s="5">
        <f>(K106*($E106/365))+(K107*($E107/365))</f>
        <v>0</v>
      </c>
      <c r="C187" s="5">
        <f>(L106*($E106/365))+(L107*($E107/365))</f>
        <v>60</v>
      </c>
      <c r="D187" s="5">
        <f>(M106*($E106/365))+(M107*($E107/365))</f>
        <v>40</v>
      </c>
      <c r="E187" s="18">
        <f t="shared" si="32"/>
        <v>100</v>
      </c>
      <c r="G187" s="1">
        <v>2009</v>
      </c>
      <c r="H187" s="409">
        <f>(O106/$R106*100*($E106/365))+(O107/$R107*100*($E107/365))</f>
        <v>0</v>
      </c>
      <c r="I187" s="409"/>
      <c r="J187" s="409">
        <f>(P106/$R106*100*($E106/365))+(P107/$R107*100*($E107/365))</f>
        <v>64.710949082513068</v>
      </c>
      <c r="K187" s="409"/>
      <c r="L187" s="409">
        <f>(Q106/$R106*100*($E106/365))+(Q107/$R107*100*($E107/365))</f>
        <v>35.289050917486946</v>
      </c>
      <c r="M187" s="409"/>
      <c r="N187" s="379">
        <f t="shared" si="33"/>
        <v>100.00000000000001</v>
      </c>
      <c r="O187" s="379"/>
      <c r="R187" s="1">
        <v>2009</v>
      </c>
      <c r="S187" s="5">
        <f>(O106*($E106/365))+(O107*($E107/365))</f>
        <v>0</v>
      </c>
      <c r="T187" s="5">
        <f>(P106*($E106/365))+(P107*($E107/365))</f>
        <v>41.46465753424657</v>
      </c>
      <c r="U187" s="5">
        <f>(Q106*($E106/365))+(Q107*($E107/365))</f>
        <v>22.589863013698633</v>
      </c>
      <c r="V187" s="5"/>
      <c r="W187" s="5">
        <f t="shared" si="34"/>
        <v>64.054520547945202</v>
      </c>
    </row>
    <row r="188" spans="1:23" x14ac:dyDescent="0.15">
      <c r="A188" s="1">
        <v>2010</v>
      </c>
      <c r="B188" s="5">
        <f>(K108*($E108/365))+(K109*($E109/365))</f>
        <v>0</v>
      </c>
      <c r="C188" s="5">
        <f>(L108*($E108/365))+(L109*($E109/365))</f>
        <v>60</v>
      </c>
      <c r="D188" s="5">
        <f>(M108*($E108/365))+(M109*($E109/365))</f>
        <v>40</v>
      </c>
      <c r="E188" s="18">
        <f t="shared" si="32"/>
        <v>100</v>
      </c>
      <c r="G188" s="1">
        <v>2010</v>
      </c>
      <c r="H188" s="409">
        <f>(O108/$R108*100*($E108/365))+(O109/$R109*100*($E109/365))</f>
        <v>0</v>
      </c>
      <c r="I188" s="409"/>
      <c r="J188" s="409">
        <f>(P108/$R108*100*($E108/365))+(P109/$R109*100*($E109/365))</f>
        <v>66.615384615384613</v>
      </c>
      <c r="K188" s="409"/>
      <c r="L188" s="409">
        <f>(Q108/$R108*100*($E108/365))+(Q109/$R109*100*($E109/365))</f>
        <v>33.384615384615387</v>
      </c>
      <c r="M188" s="409"/>
      <c r="N188" s="379">
        <f t="shared" si="33"/>
        <v>100</v>
      </c>
      <c r="O188" s="379"/>
      <c r="R188" s="1">
        <v>2010</v>
      </c>
      <c r="S188" s="5">
        <f>(O108*($E108/365))+(O109*($E109/365))</f>
        <v>0</v>
      </c>
      <c r="T188" s="5">
        <f>(P108*($E108/365))+(P109*($E109/365))</f>
        <v>43.3</v>
      </c>
      <c r="U188" s="5">
        <f>(Q108*($E108/365))+(Q109*($E109/365))</f>
        <v>21.7</v>
      </c>
      <c r="V188" s="5"/>
      <c r="W188" s="5">
        <f t="shared" si="34"/>
        <v>65</v>
      </c>
    </row>
    <row r="189" spans="1:23" x14ac:dyDescent="0.15">
      <c r="A189" s="1">
        <v>2011</v>
      </c>
      <c r="B189" s="5">
        <f>(K110*($E110/365))+(K111*($E111/365))</f>
        <v>0</v>
      </c>
      <c r="C189" s="5">
        <f>(L110*($E110/365))+(L111*($E111/365))</f>
        <v>60</v>
      </c>
      <c r="D189" s="5">
        <f>(M110*($E110/365))+(M111*($E111/365))</f>
        <v>40</v>
      </c>
      <c r="E189" s="18">
        <f t="shared" si="32"/>
        <v>100</v>
      </c>
      <c r="G189" s="1">
        <v>2011</v>
      </c>
      <c r="H189" s="409">
        <f>(O110/$R110*100*($E110/365))+(O111/$R111*100*($E111/365))</f>
        <v>0</v>
      </c>
      <c r="I189" s="409"/>
      <c r="J189" s="409">
        <f>(P110/$R110*100*($E110/365))+(P111/$R111*100*($E111/365))</f>
        <v>66.615384615384613</v>
      </c>
      <c r="K189" s="409"/>
      <c r="L189" s="409">
        <f>(Q110/$R110*100*($E110/365))+(Q111/$R111*100*($E111/365))</f>
        <v>33.384615384615387</v>
      </c>
      <c r="M189" s="409"/>
      <c r="N189" s="379">
        <f t="shared" si="33"/>
        <v>100</v>
      </c>
      <c r="O189" s="379"/>
      <c r="R189" s="1">
        <v>2011</v>
      </c>
      <c r="S189" s="5">
        <f>(O110*($E110/365))+(O111*($E111/365))</f>
        <v>0</v>
      </c>
      <c r="T189" s="5">
        <f>(P110*($E110/365))+(P111*($E111/365))</f>
        <v>43.3</v>
      </c>
      <c r="U189" s="5">
        <f>(Q110*($E110/365))+(Q111*($E111/365))</f>
        <v>21.7</v>
      </c>
      <c r="V189" s="5"/>
      <c r="W189" s="5">
        <f t="shared" si="34"/>
        <v>65</v>
      </c>
    </row>
    <row r="190" spans="1:23" x14ac:dyDescent="0.15">
      <c r="A190" s="1">
        <v>2012</v>
      </c>
      <c r="B190" s="5">
        <f>(K112*($E112/366))+(K113*($E113/366))</f>
        <v>0</v>
      </c>
      <c r="C190" s="5">
        <f>(L112*($E112/366))+(L113*($E113/366))</f>
        <v>60</v>
      </c>
      <c r="D190" s="5">
        <f>(M112*($E112/366))+(M113*($E113/366))</f>
        <v>40</v>
      </c>
      <c r="E190" s="18">
        <f t="shared" si="32"/>
        <v>100</v>
      </c>
      <c r="G190" s="1">
        <v>2012</v>
      </c>
      <c r="H190" s="409">
        <f>(O112/$R112*100*($E112/366))+(O113/$R113*100*($E113/366))</f>
        <v>0</v>
      </c>
      <c r="I190" s="409"/>
      <c r="J190" s="409">
        <f>(P112/$R112*100*($E112/366))+(P113/$R113*100*($E113/366))</f>
        <v>66.615384615384613</v>
      </c>
      <c r="K190" s="409"/>
      <c r="L190" s="409">
        <f>(Q112/$R112*100*($E112/366))+(Q113/$R113*100*($E113/366))</f>
        <v>33.384615384615387</v>
      </c>
      <c r="M190" s="409"/>
      <c r="N190" s="379">
        <f t="shared" si="33"/>
        <v>100</v>
      </c>
      <c r="O190" s="379"/>
      <c r="R190" s="1">
        <v>2012</v>
      </c>
      <c r="S190" s="5">
        <f>(O112*($E112/366))+(O113*($E113/366))</f>
        <v>0</v>
      </c>
      <c r="T190" s="5">
        <f>(P112*($E112/366))+(P113*($E113/366))</f>
        <v>43.3</v>
      </c>
      <c r="U190" s="5">
        <f>(Q112*($E112/366))+(Q113*($E113/366))</f>
        <v>21.7</v>
      </c>
      <c r="V190" s="5"/>
      <c r="W190" s="5">
        <f t="shared" si="34"/>
        <v>65</v>
      </c>
    </row>
    <row r="191" spans="1:23" x14ac:dyDescent="0.15">
      <c r="A191" s="1">
        <v>2013</v>
      </c>
      <c r="B191" s="5">
        <f>(K114*($E114/365))+(K115*($E115/365))</f>
        <v>2.9832572298325726</v>
      </c>
      <c r="C191" s="5">
        <f>(L114*($E114/365))+(L115*($E115/365))</f>
        <v>55.397260273972599</v>
      </c>
      <c r="D191" s="5">
        <f>(M114*($E114/365))+(M115*($E115/365))</f>
        <v>41.619482496194827</v>
      </c>
      <c r="E191" s="18">
        <f t="shared" si="32"/>
        <v>100</v>
      </c>
      <c r="G191" s="1">
        <v>2013</v>
      </c>
      <c r="H191" s="409">
        <f>(O114/$R114*100*($E114/365))+(O115/$R115*100*($E115/365))</f>
        <v>3.1173362064542611</v>
      </c>
      <c r="I191" s="409"/>
      <c r="J191" s="409">
        <f>(P114/$R114*100*($E114/365))+(P115/$R115*100*($E115/365))</f>
        <v>61.50516332982086</v>
      </c>
      <c r="K191" s="409"/>
      <c r="L191" s="409">
        <f>(Q114/$R114*100*($E114/365))+(Q115/$R115*100*($E115/365))</f>
        <v>35.377500463724878</v>
      </c>
      <c r="M191" s="409"/>
      <c r="N191" s="379">
        <f>H191+J191+L191</f>
        <v>100</v>
      </c>
      <c r="O191" s="379"/>
      <c r="R191" s="1">
        <v>2013</v>
      </c>
      <c r="S191" s="5">
        <f>(O114*($E114/365))+(O115*($E115/365))</f>
        <v>1.6646575342465755</v>
      </c>
      <c r="T191" s="5">
        <f>(P114*($E114/365))+(P115*($E115/365))</f>
        <v>39.978356164383555</v>
      </c>
      <c r="U191" s="5">
        <f>(Q114*($E114/365))+(Q115*($E115/365))</f>
        <v>22.467123287671232</v>
      </c>
      <c r="W191" s="5">
        <f t="shared" si="34"/>
        <v>64.110136986301356</v>
      </c>
    </row>
    <row r="192" spans="1:23" x14ac:dyDescent="0.15">
      <c r="A192" s="1">
        <v>2014</v>
      </c>
      <c r="B192" s="5">
        <f>(K116*($E116/365))+(K117*($E117/365))</f>
        <v>38.888888888888893</v>
      </c>
      <c r="C192" s="5">
        <f>(L116*($E116/365))+(L117*($E117/365))</f>
        <v>0</v>
      </c>
      <c r="D192" s="5">
        <f>(M116*($E116/365))+(M117*($E117/365))</f>
        <v>61.111111111111114</v>
      </c>
      <c r="E192" s="18">
        <f>B192+C192+D192</f>
        <v>100</v>
      </c>
      <c r="G192" s="1">
        <v>2014</v>
      </c>
      <c r="H192" s="409">
        <f>(O116/$R116*100*($E116/365))+(O117/$R117*100*($E117/365))</f>
        <v>40.636704119850187</v>
      </c>
      <c r="I192" s="409"/>
      <c r="J192" s="409">
        <f>(P116/$R116*100*($E116/365))+(P117/$R117*100*($E117/365))</f>
        <v>0</v>
      </c>
      <c r="K192" s="409"/>
      <c r="L192" s="409">
        <f>(Q116/$R116*100*($E116/365))+(Q117/$R117*100*($E117/365))</f>
        <v>59.363295880149813</v>
      </c>
      <c r="M192" s="409"/>
      <c r="N192" s="379">
        <f>H192+J192+L192</f>
        <v>100</v>
      </c>
      <c r="O192" s="379"/>
      <c r="R192" s="1">
        <v>2014</v>
      </c>
      <c r="S192" s="5">
        <f>(O116*($E116/365))+(O117*($E117/365))</f>
        <v>21.7</v>
      </c>
      <c r="T192" s="5">
        <f>(P116*($E116/365))+(P117*($E117/365))</f>
        <v>0</v>
      </c>
      <c r="U192" s="5">
        <f>(Q116*($E116/365))+(Q117*($E117/365))</f>
        <v>31.7</v>
      </c>
      <c r="W192" s="5">
        <f>S192+T192+U192</f>
        <v>53.4</v>
      </c>
    </row>
    <row r="193" spans="1:23" x14ac:dyDescent="0.15">
      <c r="A193" s="1">
        <v>2015</v>
      </c>
      <c r="B193" s="5">
        <f>(K118*($E118/365))+(K119*($E119/365))</f>
        <v>38.888888888888893</v>
      </c>
      <c r="C193" s="5">
        <f>(L118*($E118/365))+(L119*($E119/365))</f>
        <v>0</v>
      </c>
      <c r="D193" s="5">
        <f>(M118*($E118/365))+(M119*($E119/365))</f>
        <v>61.111111111111114</v>
      </c>
      <c r="E193" s="18">
        <f>B193+C193+D193</f>
        <v>100</v>
      </c>
      <c r="G193" s="1">
        <v>2015</v>
      </c>
      <c r="H193" s="409">
        <f>(O118/$R118*100*($E118/365))+(O119/$R119*100*($E119/365))</f>
        <v>40.636704119850187</v>
      </c>
      <c r="I193" s="409"/>
      <c r="J193" s="409">
        <f>(P118/$R118*100*($E118/365))+(P119/$R119*100*($E119/365))</f>
        <v>0</v>
      </c>
      <c r="K193" s="409"/>
      <c r="L193" s="409">
        <f>(Q118/$R118*100*($E118/365))+(Q119/$R119*100*($E119/365))</f>
        <v>59.363295880149813</v>
      </c>
      <c r="M193" s="409"/>
      <c r="N193" s="379">
        <f>H193+J193+L193</f>
        <v>100</v>
      </c>
      <c r="O193" s="379"/>
      <c r="R193" s="1">
        <v>2015</v>
      </c>
      <c r="S193" s="5">
        <f>(O118*($E118/365))+(O119*($E119/365))</f>
        <v>21.7</v>
      </c>
      <c r="T193" s="5">
        <f>(P118*($E118/365))+(P119*($E119/365))</f>
        <v>0</v>
      </c>
      <c r="U193" s="5">
        <f>(Q118*($E118/365))+(Q119*($E119/365))</f>
        <v>31.7</v>
      </c>
      <c r="W193" s="5">
        <f>S193+T193+U193</f>
        <v>53.4</v>
      </c>
    </row>
    <row r="194" spans="1:23" x14ac:dyDescent="0.15">
      <c r="A194" s="1">
        <v>2016</v>
      </c>
      <c r="B194" s="5">
        <f>(K120*($E120/366))+(K121*($E121/366))</f>
        <v>38.888888888888893</v>
      </c>
      <c r="C194" s="5">
        <f>(L120*($E120/366))+(L121*($E121/366))</f>
        <v>0</v>
      </c>
      <c r="D194" s="5">
        <f>(M120*($E120/366))+(M121*($E121/366))</f>
        <v>61.111111111111114</v>
      </c>
      <c r="E194" s="18">
        <f>B194+C194+D194</f>
        <v>100</v>
      </c>
      <c r="G194" s="1">
        <v>2016</v>
      </c>
      <c r="H194" s="409">
        <f>(O120/$R120*100*($E120/366))+(O121/$R121*100*($E121/366))</f>
        <v>40.636704119850187</v>
      </c>
      <c r="I194" s="409"/>
      <c r="J194" s="409">
        <f>(P120/$R120*100*($E120/366))+(P121/$R121*100*($E121/366))</f>
        <v>0</v>
      </c>
      <c r="K194" s="409"/>
      <c r="L194" s="409">
        <f>(Q120/$R120*100*($E120/366))+(Q121/$R121*100*($E121/366))</f>
        <v>59.363295880149813</v>
      </c>
      <c r="M194" s="409"/>
      <c r="N194" s="379">
        <f>H194+J194+L194</f>
        <v>100</v>
      </c>
      <c r="O194" s="379"/>
      <c r="R194" s="1">
        <v>2016</v>
      </c>
      <c r="S194" s="5">
        <f>(O120*($E120/366))+(O121*($E121/366))</f>
        <v>21.7</v>
      </c>
      <c r="T194" s="5">
        <f>(P120*($E120/366))+(P121*($E121/366))</f>
        <v>0</v>
      </c>
      <c r="U194" s="5">
        <f>(Q120*($E120/366))+(Q121*($E121/366))</f>
        <v>31.7</v>
      </c>
      <c r="W194" s="5">
        <f>S194+T194+U194</f>
        <v>53.4</v>
      </c>
    </row>
    <row r="195" spans="1:23" x14ac:dyDescent="0.15">
      <c r="A195" s="1">
        <v>2017</v>
      </c>
      <c r="B195" s="5">
        <f>(K122*($E122/365))+(K123*($E123/365))</f>
        <v>38.888888888888893</v>
      </c>
      <c r="C195" s="5">
        <f t="shared" ref="C195:D195" si="35">(L122*($E122/365))+(L123*($E123/365))</f>
        <v>0</v>
      </c>
      <c r="D195" s="5">
        <f t="shared" si="35"/>
        <v>61.111111111111114</v>
      </c>
      <c r="E195" s="18">
        <f>B195+C195+D195</f>
        <v>100</v>
      </c>
      <c r="G195" s="1">
        <v>2017</v>
      </c>
      <c r="H195" s="409">
        <f>(O122/$R122*100*($E122/365))+(O123/$R123*100*($E123/365))</f>
        <v>40.636704119850187</v>
      </c>
      <c r="I195" s="409"/>
      <c r="J195" s="409">
        <f>(P122/$R122*100*($E122/365))+(P123/$R123*100*($E123/365))</f>
        <v>0</v>
      </c>
      <c r="K195" s="409"/>
      <c r="L195" s="409">
        <f>(Q122/$R122*100*($E122/365))+(Q123/$R123*100*($E123/365))</f>
        <v>59.363295880149813</v>
      </c>
      <c r="M195" s="409"/>
      <c r="N195" s="379">
        <f>H195+J195+L195</f>
        <v>100</v>
      </c>
      <c r="O195" s="379"/>
      <c r="R195" s="1">
        <v>2017</v>
      </c>
      <c r="S195" s="5">
        <f>(O122*($E122/365))+(O123*($E123/365))</f>
        <v>21.7</v>
      </c>
      <c r="T195" s="5">
        <f t="shared" ref="T195:U195" si="36">(P122*($E122/365))+(P123*($E123/365))</f>
        <v>0</v>
      </c>
      <c r="U195" s="5">
        <f t="shared" si="36"/>
        <v>31.7</v>
      </c>
      <c r="V195" s="5"/>
      <c r="W195" s="5">
        <f>S195+T195+U195</f>
        <v>53.4</v>
      </c>
    </row>
    <row r="196" spans="1:23" x14ac:dyDescent="0.15">
      <c r="A196" s="1">
        <v>2018</v>
      </c>
      <c r="B196" s="5">
        <f>(K124*($E124/365))+(K125*($E125/365))</f>
        <v>38.622974303876802</v>
      </c>
      <c r="C196" s="5">
        <f>(L124*($E124/365))+(L125*($E125/365))</f>
        <v>0</v>
      </c>
      <c r="D196" s="5">
        <f>(M124*($E124/365))+(M125*($E125/365))</f>
        <v>61.377025696123198</v>
      </c>
      <c r="E196" s="18">
        <f t="shared" ref="E196" si="37">B196+C196+D196</f>
        <v>100</v>
      </c>
      <c r="G196" s="1">
        <v>2018</v>
      </c>
      <c r="H196" s="409">
        <f>(O124/$R124*100*($E124/365))+(O125/$R125*100*($E125/365))</f>
        <v>40.497856494291341</v>
      </c>
      <c r="I196" s="409"/>
      <c r="J196" s="409">
        <f>(P124/$R124*100*($E124/365))+(P125/$R125*100*($E125/365))</f>
        <v>0</v>
      </c>
      <c r="K196" s="409"/>
      <c r="L196" s="409">
        <f>(Q124/$R124*100*($E124/365))+(Q125/$R125*100*($E125/365))</f>
        <v>59.502143505708659</v>
      </c>
      <c r="M196" s="409"/>
      <c r="N196" s="379">
        <f t="shared" ref="N196" si="38">H196+J196+L196</f>
        <v>100</v>
      </c>
      <c r="O196" s="379"/>
      <c r="R196" s="1">
        <v>2018</v>
      </c>
      <c r="S196" s="5">
        <f>(O124*($E124/365))+(O125*($E125/365))</f>
        <v>21.574246575342464</v>
      </c>
      <c r="T196" s="5">
        <f>(P124*($E124/365))+(P125*($E125/365))</f>
        <v>0</v>
      </c>
      <c r="U196" s="5">
        <f>(Q124*($E124/365))+(Q125*($E125/365))</f>
        <v>31.692602739726023</v>
      </c>
      <c r="V196" s="5"/>
      <c r="W196" s="5">
        <f t="shared" ref="W196" si="39">S196+T196+U196</f>
        <v>53.266849315068484</v>
      </c>
    </row>
    <row r="197" spans="1:23" x14ac:dyDescent="0.15">
      <c r="A197" s="1">
        <v>2019</v>
      </c>
      <c r="B197" s="5">
        <f>(K126*($E126/365))+(K127*($E127/365))</f>
        <v>35.294117647058826</v>
      </c>
      <c r="C197" s="5">
        <f>(L126*($E126/365))+(L127*($E127/365))</f>
        <v>0</v>
      </c>
      <c r="D197" s="5">
        <f>(M126*($E126/365))+(M127*($E127/365))</f>
        <v>64.705882352941174</v>
      </c>
      <c r="E197" s="18">
        <f t="shared" ref="E197:E198" si="40">B197+C197+D197</f>
        <v>100</v>
      </c>
      <c r="G197" s="1">
        <v>2019</v>
      </c>
      <c r="H197" s="409">
        <f>(O126/$R126*100*($E126/365))+(O127/$R127*100*($E127/365))</f>
        <v>38.759689922480618</v>
      </c>
      <c r="I197" s="409"/>
      <c r="J197" s="409">
        <f>(P126/$R126*100*($E126/365))+(P127/$R127*100*($E127/365))</f>
        <v>0</v>
      </c>
      <c r="K197" s="409"/>
      <c r="L197" s="409">
        <f>(Q126/$R126*100*($E126/365))+(Q127/$R127*100*($E127/365))</f>
        <v>61.240310077519375</v>
      </c>
      <c r="M197" s="409"/>
      <c r="N197" s="379">
        <f t="shared" ref="N197" si="41">H197+J197+L197</f>
        <v>100</v>
      </c>
      <c r="O197" s="379"/>
      <c r="R197" s="1">
        <v>2019</v>
      </c>
      <c r="S197" s="5">
        <f>(O126*($E126/365))+(O127*($E127/365))</f>
        <v>20</v>
      </c>
      <c r="T197" s="5">
        <f>(P126*($E126/365))+(P127*($E127/365))</f>
        <v>0</v>
      </c>
      <c r="U197" s="5">
        <f>(Q126*($E126/365))+(Q127*($E127/365))</f>
        <v>31.6</v>
      </c>
      <c r="V197" s="5"/>
      <c r="W197" s="5">
        <f t="shared" ref="W197:W198" si="42">S197+T197+U197</f>
        <v>51.6</v>
      </c>
    </row>
    <row r="198" spans="1:23" x14ac:dyDescent="0.15">
      <c r="A198" s="1">
        <v>2020</v>
      </c>
      <c r="B198" s="5">
        <f>(K128*($E128/366))+(K129*($E129/366))</f>
        <v>35.294117647058826</v>
      </c>
      <c r="C198" s="5">
        <f>(L128*($E128/366))+(L129*($E129/366))</f>
        <v>0</v>
      </c>
      <c r="D198" s="5">
        <f>(M128*($E128/366))+(M129*($E129/366))</f>
        <v>64.705882352941174</v>
      </c>
      <c r="E198" s="18">
        <f t="shared" si="40"/>
        <v>100</v>
      </c>
      <c r="G198" s="1">
        <v>2020</v>
      </c>
      <c r="H198" s="409">
        <f>(O128/$R128*100*($E128/366))+(O129/$R129*100*($E129/366))</f>
        <v>38.759689922480618</v>
      </c>
      <c r="I198" s="409"/>
      <c r="J198" s="409">
        <f>(P128/$R128*100*($E128/366))+(P129/$R129*100*($E129/366))</f>
        <v>0</v>
      </c>
      <c r="K198" s="409"/>
      <c r="L198" s="409">
        <f>(Q128/$R128*100*($E128/366))+(Q129/$R129*100*($E129/366))</f>
        <v>61.240310077519375</v>
      </c>
      <c r="M198" s="409"/>
      <c r="N198" s="379">
        <f t="shared" ref="N198" si="43">H198+J198+L198</f>
        <v>100</v>
      </c>
      <c r="O198" s="379"/>
      <c r="R198" s="1">
        <v>2020</v>
      </c>
      <c r="S198" s="5">
        <f>(O128*($E128/366))+(O129*($E129/366))</f>
        <v>20</v>
      </c>
      <c r="T198" s="5">
        <f>(P128*($E128/366))+(P129*($E129/366))</f>
        <v>0</v>
      </c>
      <c r="U198" s="5">
        <f>(Q128*($E128/366))+(Q129*($E129/366))</f>
        <v>31.6</v>
      </c>
      <c r="W198" s="5">
        <f t="shared" si="42"/>
        <v>51.6</v>
      </c>
    </row>
    <row r="199" spans="1:23" x14ac:dyDescent="0.15">
      <c r="U199" s="17"/>
    </row>
  </sheetData>
  <mergeCells count="398">
    <mergeCell ref="C126:D126"/>
    <mergeCell ref="C127:D127"/>
    <mergeCell ref="H197:I197"/>
    <mergeCell ref="J197:K197"/>
    <mergeCell ref="L197:M197"/>
    <mergeCell ref="N197:O197"/>
    <mergeCell ref="H195:I195"/>
    <mergeCell ref="J195:K195"/>
    <mergeCell ref="L195:M195"/>
    <mergeCell ref="N195:O195"/>
    <mergeCell ref="J150:K150"/>
    <mergeCell ref="L150:M150"/>
    <mergeCell ref="N150:O150"/>
    <mergeCell ref="H151:I151"/>
    <mergeCell ref="J151:K151"/>
    <mergeCell ref="L151:M151"/>
    <mergeCell ref="N151:O151"/>
    <mergeCell ref="J152:K152"/>
    <mergeCell ref="L152:M152"/>
    <mergeCell ref="N152:O152"/>
    <mergeCell ref="H153:I153"/>
    <mergeCell ref="J153:K153"/>
    <mergeCell ref="L153:M153"/>
    <mergeCell ref="H156:I156"/>
    <mergeCell ref="C122:D122"/>
    <mergeCell ref="C123:D123"/>
    <mergeCell ref="H194:I194"/>
    <mergeCell ref="J194:K194"/>
    <mergeCell ref="L194:M194"/>
    <mergeCell ref="N194:O194"/>
    <mergeCell ref="N144:O144"/>
    <mergeCell ref="N145:O145"/>
    <mergeCell ref="N142:O142"/>
    <mergeCell ref="H143:I143"/>
    <mergeCell ref="J143:K143"/>
    <mergeCell ref="L143:M143"/>
    <mergeCell ref="N143:O143"/>
    <mergeCell ref="H148:I148"/>
    <mergeCell ref="J148:K148"/>
    <mergeCell ref="L148:M148"/>
    <mergeCell ref="N148:O148"/>
    <mergeCell ref="H149:I149"/>
    <mergeCell ref="J149:K149"/>
    <mergeCell ref="L149:M149"/>
    <mergeCell ref="N149:O149"/>
    <mergeCell ref="H146:I146"/>
    <mergeCell ref="N153:O153"/>
    <mergeCell ref="H150:I150"/>
    <mergeCell ref="C118:D118"/>
    <mergeCell ref="C119:D119"/>
    <mergeCell ref="H193:I193"/>
    <mergeCell ref="J193:K193"/>
    <mergeCell ref="L193:M193"/>
    <mergeCell ref="N193:O193"/>
    <mergeCell ref="H192:I192"/>
    <mergeCell ref="J192:K192"/>
    <mergeCell ref="L192:M192"/>
    <mergeCell ref="N192:O192"/>
    <mergeCell ref="J146:K146"/>
    <mergeCell ref="L146:M146"/>
    <mergeCell ref="N146:O146"/>
    <mergeCell ref="H147:I147"/>
    <mergeCell ref="J147:K147"/>
    <mergeCell ref="L147:M147"/>
    <mergeCell ref="N147:O147"/>
    <mergeCell ref="H152:I152"/>
    <mergeCell ref="N191:O191"/>
    <mergeCell ref="N137:O137"/>
    <mergeCell ref="N139:O139"/>
    <mergeCell ref="H140:I140"/>
    <mergeCell ref="N140:O140"/>
    <mergeCell ref="N141:O141"/>
    <mergeCell ref="C114:D114"/>
    <mergeCell ref="C115:D115"/>
    <mergeCell ref="H191:I191"/>
    <mergeCell ref="J191:K191"/>
    <mergeCell ref="L191:M191"/>
    <mergeCell ref="J137:K137"/>
    <mergeCell ref="L137:M137"/>
    <mergeCell ref="H139:I139"/>
    <mergeCell ref="J139:K139"/>
    <mergeCell ref="L139:M139"/>
    <mergeCell ref="J140:K140"/>
    <mergeCell ref="L140:M140"/>
    <mergeCell ref="H141:I141"/>
    <mergeCell ref="J141:K141"/>
    <mergeCell ref="L141:M141"/>
    <mergeCell ref="H144:I144"/>
    <mergeCell ref="J144:K144"/>
    <mergeCell ref="L144:M144"/>
    <mergeCell ref="H145:I145"/>
    <mergeCell ref="J145:K145"/>
    <mergeCell ref="L145:M145"/>
    <mergeCell ref="H142:I142"/>
    <mergeCell ref="J142:K142"/>
    <mergeCell ref="L142:M142"/>
    <mergeCell ref="C116:D116"/>
    <mergeCell ref="C117:D117"/>
    <mergeCell ref="C120:D120"/>
    <mergeCell ref="C121:D121"/>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C107:D107"/>
    <mergeCell ref="C108:D108"/>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34:W134"/>
    <mergeCell ref="H136:I136"/>
    <mergeCell ref="J136:K136"/>
    <mergeCell ref="L136:M136"/>
    <mergeCell ref="N136:O136"/>
    <mergeCell ref="H138:I138"/>
    <mergeCell ref="J138:K138"/>
    <mergeCell ref="L138:M138"/>
    <mergeCell ref="N138:O138"/>
    <mergeCell ref="H137:I137"/>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87:I187"/>
    <mergeCell ref="H188:I188"/>
    <mergeCell ref="H189:I189"/>
    <mergeCell ref="H178:I178"/>
    <mergeCell ref="H179:I179"/>
    <mergeCell ref="H180:I180"/>
    <mergeCell ref="H181:I181"/>
    <mergeCell ref="H182:I182"/>
    <mergeCell ref="H183:I183"/>
    <mergeCell ref="J166:K166"/>
    <mergeCell ref="J167:K167"/>
    <mergeCell ref="J168:K168"/>
    <mergeCell ref="J169:K169"/>
    <mergeCell ref="J170:K170"/>
    <mergeCell ref="J171:K171"/>
    <mergeCell ref="H184:I184"/>
    <mergeCell ref="H185:I185"/>
    <mergeCell ref="H186:I186"/>
    <mergeCell ref="H172:I172"/>
    <mergeCell ref="H173:I173"/>
    <mergeCell ref="H174:I174"/>
    <mergeCell ref="H175:I175"/>
    <mergeCell ref="H176:I176"/>
    <mergeCell ref="H177:I177"/>
    <mergeCell ref="H166:I166"/>
    <mergeCell ref="H167:I167"/>
    <mergeCell ref="H168:I168"/>
    <mergeCell ref="H169:I169"/>
    <mergeCell ref="H170:I170"/>
    <mergeCell ref="H171:I171"/>
    <mergeCell ref="J178:K178"/>
    <mergeCell ref="J179:K179"/>
    <mergeCell ref="J180:K180"/>
    <mergeCell ref="J181:K181"/>
    <mergeCell ref="J182:K182"/>
    <mergeCell ref="J183:K183"/>
    <mergeCell ref="J172:K172"/>
    <mergeCell ref="J173:K173"/>
    <mergeCell ref="J174:K174"/>
    <mergeCell ref="J175:K175"/>
    <mergeCell ref="J176:K176"/>
    <mergeCell ref="J177:K177"/>
    <mergeCell ref="AT4:AW4"/>
    <mergeCell ref="L190:M190"/>
    <mergeCell ref="N166:O166"/>
    <mergeCell ref="N167:O167"/>
    <mergeCell ref="N168:O168"/>
    <mergeCell ref="N169:O169"/>
    <mergeCell ref="N170:O170"/>
    <mergeCell ref="N171:O171"/>
    <mergeCell ref="L181:M181"/>
    <mergeCell ref="L182:M182"/>
    <mergeCell ref="L185:M185"/>
    <mergeCell ref="L186:M186"/>
    <mergeCell ref="L175:M175"/>
    <mergeCell ref="L176:M176"/>
    <mergeCell ref="L177:M177"/>
    <mergeCell ref="L178:M178"/>
    <mergeCell ref="L179:M179"/>
    <mergeCell ref="L180:M180"/>
    <mergeCell ref="N175:O175"/>
    <mergeCell ref="N176:O176"/>
    <mergeCell ref="L166:M166"/>
    <mergeCell ref="L167:M167"/>
    <mergeCell ref="L168:M168"/>
    <mergeCell ref="L169:M169"/>
    <mergeCell ref="L189:M189"/>
    <mergeCell ref="L183:M183"/>
    <mergeCell ref="L184:M184"/>
    <mergeCell ref="N172:O172"/>
    <mergeCell ref="N173:O173"/>
    <mergeCell ref="N174:O174"/>
    <mergeCell ref="C124:D124"/>
    <mergeCell ref="C125:D125"/>
    <mergeCell ref="H196:I196"/>
    <mergeCell ref="J196:K196"/>
    <mergeCell ref="L196:M196"/>
    <mergeCell ref="N196:O196"/>
    <mergeCell ref="J190:K190"/>
    <mergeCell ref="L170:M170"/>
    <mergeCell ref="L171:M171"/>
    <mergeCell ref="L172:M172"/>
    <mergeCell ref="L173:M173"/>
    <mergeCell ref="L174:M174"/>
    <mergeCell ref="J184:K184"/>
    <mergeCell ref="J185:K185"/>
    <mergeCell ref="J186:K186"/>
    <mergeCell ref="J187:K187"/>
    <mergeCell ref="J188:K188"/>
    <mergeCell ref="J189:K189"/>
    <mergeCell ref="C128:D128"/>
    <mergeCell ref="C129:D129"/>
    <mergeCell ref="H198:I198"/>
    <mergeCell ref="J198:K198"/>
    <mergeCell ref="L198:M198"/>
    <mergeCell ref="N198:O198"/>
    <mergeCell ref="AX4:BA4"/>
    <mergeCell ref="H190:I190"/>
    <mergeCell ref="N190:O190"/>
    <mergeCell ref="N184:O184"/>
    <mergeCell ref="N185:O185"/>
    <mergeCell ref="N186:O186"/>
    <mergeCell ref="N187:O187"/>
    <mergeCell ref="N188:O188"/>
    <mergeCell ref="N189:O189"/>
    <mergeCell ref="L187:M187"/>
    <mergeCell ref="L188:M188"/>
    <mergeCell ref="N178:O178"/>
    <mergeCell ref="N179:O179"/>
    <mergeCell ref="N180:O180"/>
    <mergeCell ref="N181:O181"/>
    <mergeCell ref="N182:O182"/>
    <mergeCell ref="N183:O183"/>
    <mergeCell ref="N177:O17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A178"/>
  <sheetViews>
    <sheetView zoomScale="150" zoomScaleNormal="120" workbookViewId="0">
      <pane xSplit="1" ySplit="5" topLeftCell="B6" activePane="bottomRight" state="frozen"/>
      <selection pane="topRight" activeCell="B1" sqref="B1"/>
      <selection pane="bottomLeft" activeCell="A6" sqref="A6"/>
      <selection pane="bottomRight" activeCell="N118" sqref="N118"/>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62</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x14ac:dyDescent="0.15">
      <c r="A6" s="171">
        <v>1966</v>
      </c>
      <c r="B6" s="283"/>
      <c r="C6" s="410"/>
      <c r="D6" s="410"/>
      <c r="E6" s="171">
        <v>90</v>
      </c>
      <c r="F6" s="171"/>
      <c r="G6" s="233"/>
      <c r="H6" s="171"/>
      <c r="I6" s="171"/>
      <c r="J6" s="241"/>
      <c r="K6" s="214"/>
      <c r="L6" s="214"/>
      <c r="M6" s="214"/>
      <c r="N6" s="235"/>
      <c r="O6" s="213"/>
      <c r="P6" s="214"/>
      <c r="Q6" s="214"/>
      <c r="R6" s="215"/>
      <c r="S6" s="171"/>
      <c r="T6" s="285"/>
      <c r="U6" s="283"/>
      <c r="V6" s="178"/>
      <c r="W6" s="171"/>
      <c r="X6" s="171"/>
      <c r="Y6" s="248"/>
      <c r="Z6" s="171"/>
      <c r="AA6" s="171"/>
      <c r="AB6" s="171"/>
      <c r="AC6" s="171"/>
      <c r="AD6" s="178"/>
      <c r="AE6" s="171"/>
      <c r="AF6" s="171"/>
      <c r="AG6" s="179"/>
      <c r="AH6" s="171"/>
      <c r="AI6" s="171"/>
      <c r="AJ6" s="171"/>
      <c r="AK6" s="171"/>
      <c r="AL6" s="178"/>
      <c r="AM6" s="171"/>
      <c r="AN6" s="171"/>
      <c r="AO6" s="179"/>
      <c r="AP6" s="178"/>
      <c r="AQ6" s="171"/>
      <c r="AR6" s="171"/>
      <c r="AS6" s="179"/>
      <c r="AT6" s="171"/>
      <c r="AU6" s="171"/>
      <c r="AV6" s="171"/>
      <c r="AW6" s="179"/>
      <c r="AX6" s="171"/>
      <c r="AY6" s="171"/>
      <c r="AZ6" s="171"/>
      <c r="BA6" s="180"/>
    </row>
    <row r="7" spans="1:53" x14ac:dyDescent="0.15">
      <c r="A7" s="29">
        <v>1966</v>
      </c>
      <c r="B7" s="295">
        <v>24198</v>
      </c>
      <c r="C7" s="411" t="s">
        <v>1271</v>
      </c>
      <c r="D7" s="411"/>
      <c r="E7" s="29">
        <f>365-E6</f>
        <v>275</v>
      </c>
      <c r="F7" s="29">
        <v>1</v>
      </c>
      <c r="G7" s="66"/>
      <c r="H7" s="29">
        <v>8</v>
      </c>
      <c r="I7" s="29"/>
      <c r="J7" s="73">
        <v>8</v>
      </c>
      <c r="K7" s="47">
        <f t="shared" ref="K7:K38" si="0">G7/J7*100</f>
        <v>0</v>
      </c>
      <c r="L7" s="47">
        <f t="shared" ref="L7:L38" si="1">H7/J7*100</f>
        <v>100</v>
      </c>
      <c r="M7" s="47">
        <f t="shared" ref="M7:M38" si="2">I7/J7*100</f>
        <v>0</v>
      </c>
      <c r="N7" s="68">
        <f t="shared" ref="N7:N38" si="3">K7+L7+M7</f>
        <v>100</v>
      </c>
      <c r="O7" s="46"/>
      <c r="P7" s="47">
        <v>56</v>
      </c>
      <c r="Q7" s="47"/>
      <c r="R7" s="48">
        <f t="shared" ref="R7:R38" si="4">O7+P7+Q7</f>
        <v>56</v>
      </c>
      <c r="S7" s="29">
        <v>1</v>
      </c>
      <c r="T7" s="286">
        <v>24194</v>
      </c>
      <c r="U7" s="295"/>
      <c r="V7" s="38" t="s">
        <v>981</v>
      </c>
      <c r="W7" s="29" t="s">
        <v>17</v>
      </c>
      <c r="X7" s="29" t="s">
        <v>18</v>
      </c>
      <c r="Y7" s="88">
        <v>56</v>
      </c>
      <c r="Z7" s="29"/>
      <c r="AA7" s="29"/>
      <c r="AB7" s="29"/>
      <c r="AC7" s="29"/>
      <c r="AD7" s="38"/>
      <c r="AE7" s="29"/>
      <c r="AF7" s="29"/>
      <c r="AG7" s="39"/>
      <c r="AH7" s="29"/>
      <c r="AI7" s="29"/>
      <c r="AJ7" s="29"/>
      <c r="AK7" s="29"/>
      <c r="AL7" s="38"/>
      <c r="AM7" s="29"/>
      <c r="AN7" s="29"/>
      <c r="AO7" s="39"/>
      <c r="AP7" s="38"/>
      <c r="AQ7" s="29"/>
      <c r="AR7" s="29"/>
      <c r="AS7" s="39"/>
      <c r="AT7" s="29"/>
      <c r="AU7" s="29"/>
      <c r="AV7" s="29"/>
      <c r="AW7" s="39"/>
      <c r="AX7" s="29"/>
      <c r="AY7" s="29"/>
      <c r="AZ7" s="29"/>
      <c r="BA7" s="40"/>
    </row>
    <row r="8" spans="1:53" x14ac:dyDescent="0.15">
      <c r="A8" s="29">
        <v>1967</v>
      </c>
      <c r="B8" s="295"/>
      <c r="C8" s="411" t="s">
        <v>1271</v>
      </c>
      <c r="D8" s="411"/>
      <c r="E8" s="29">
        <v>0</v>
      </c>
      <c r="F8" s="29"/>
      <c r="G8" s="66"/>
      <c r="H8" s="29">
        <v>8</v>
      </c>
      <c r="I8" s="29"/>
      <c r="J8" s="73">
        <v>8</v>
      </c>
      <c r="K8" s="47">
        <f t="shared" si="0"/>
        <v>0</v>
      </c>
      <c r="L8" s="47">
        <f t="shared" si="1"/>
        <v>100</v>
      </c>
      <c r="M8" s="47">
        <f t="shared" si="2"/>
        <v>0</v>
      </c>
      <c r="N8" s="68">
        <f t="shared" si="3"/>
        <v>100</v>
      </c>
      <c r="O8" s="46"/>
      <c r="P8" s="47">
        <v>56</v>
      </c>
      <c r="Q8" s="47"/>
      <c r="R8" s="48">
        <f t="shared" si="4"/>
        <v>56</v>
      </c>
      <c r="S8" s="29">
        <v>1</v>
      </c>
      <c r="T8" s="286"/>
      <c r="U8" s="295"/>
      <c r="V8" s="38" t="s">
        <v>981</v>
      </c>
      <c r="W8" s="29" t="s">
        <v>17</v>
      </c>
      <c r="X8" s="29" t="s">
        <v>18</v>
      </c>
      <c r="Y8" s="88">
        <v>56</v>
      </c>
      <c r="Z8" s="29"/>
      <c r="AA8" s="29"/>
      <c r="AB8" s="29"/>
      <c r="AC8" s="29"/>
      <c r="AD8" s="38"/>
      <c r="AE8" s="29"/>
      <c r="AF8" s="29"/>
      <c r="AG8" s="39"/>
      <c r="AH8" s="29"/>
      <c r="AI8" s="29"/>
      <c r="AJ8" s="29"/>
      <c r="AK8" s="29"/>
      <c r="AL8" s="38"/>
      <c r="AM8" s="29"/>
      <c r="AN8" s="29"/>
      <c r="AO8" s="39"/>
      <c r="AP8" s="38"/>
      <c r="AQ8" s="29"/>
      <c r="AR8" s="29"/>
      <c r="AS8" s="39"/>
      <c r="AT8" s="29"/>
      <c r="AU8" s="29"/>
      <c r="AV8" s="29"/>
      <c r="AW8" s="39"/>
      <c r="AX8" s="29"/>
      <c r="AY8" s="29"/>
      <c r="AZ8" s="29"/>
      <c r="BA8" s="40"/>
    </row>
    <row r="9" spans="1:53" x14ac:dyDescent="0.15">
      <c r="A9" s="29">
        <v>1967</v>
      </c>
      <c r="B9" s="295"/>
      <c r="C9" s="411" t="s">
        <v>1271</v>
      </c>
      <c r="D9" s="411"/>
      <c r="E9" s="29">
        <v>365</v>
      </c>
      <c r="F9" s="29"/>
      <c r="G9" s="66"/>
      <c r="H9" s="29">
        <v>8</v>
      </c>
      <c r="I9" s="29"/>
      <c r="J9" s="73">
        <v>8</v>
      </c>
      <c r="K9" s="47">
        <f t="shared" si="0"/>
        <v>0</v>
      </c>
      <c r="L9" s="47">
        <f t="shared" si="1"/>
        <v>100</v>
      </c>
      <c r="M9" s="47">
        <f t="shared" si="2"/>
        <v>0</v>
      </c>
      <c r="N9" s="68">
        <f t="shared" si="3"/>
        <v>100</v>
      </c>
      <c r="O9" s="46"/>
      <c r="P9" s="47">
        <v>56</v>
      </c>
      <c r="Q9" s="47"/>
      <c r="R9" s="48">
        <f t="shared" si="4"/>
        <v>56</v>
      </c>
      <c r="S9" s="29">
        <v>1</v>
      </c>
      <c r="T9" s="286"/>
      <c r="U9" s="295"/>
      <c r="V9" s="38" t="s">
        <v>981</v>
      </c>
      <c r="W9" s="29" t="s">
        <v>17</v>
      </c>
      <c r="X9" s="29" t="s">
        <v>18</v>
      </c>
      <c r="Y9" s="88">
        <v>56</v>
      </c>
      <c r="Z9" s="29"/>
      <c r="AA9" s="29"/>
      <c r="AB9" s="29"/>
      <c r="AC9" s="29"/>
      <c r="AD9" s="38"/>
      <c r="AE9" s="29"/>
      <c r="AF9" s="29"/>
      <c r="AG9" s="39"/>
      <c r="AH9" s="29"/>
      <c r="AI9" s="29"/>
      <c r="AJ9" s="29"/>
      <c r="AK9" s="29"/>
      <c r="AL9" s="38"/>
      <c r="AM9" s="29"/>
      <c r="AN9" s="29"/>
      <c r="AO9" s="39"/>
      <c r="AP9" s="38"/>
      <c r="AQ9" s="29"/>
      <c r="AR9" s="29"/>
      <c r="AS9" s="39"/>
      <c r="AT9" s="29"/>
      <c r="AU9" s="29"/>
      <c r="AV9" s="29"/>
      <c r="AW9" s="39"/>
      <c r="AX9" s="29"/>
      <c r="AY9" s="29"/>
      <c r="AZ9" s="29"/>
      <c r="BA9" s="40"/>
    </row>
    <row r="10" spans="1:53" x14ac:dyDescent="0.15">
      <c r="A10" s="29">
        <v>1968</v>
      </c>
      <c r="B10" s="295"/>
      <c r="C10" s="411" t="s">
        <v>1271</v>
      </c>
      <c r="D10" s="411"/>
      <c r="E10" s="29">
        <v>0</v>
      </c>
      <c r="F10" s="29"/>
      <c r="G10" s="66"/>
      <c r="H10" s="29">
        <v>8</v>
      </c>
      <c r="I10" s="29"/>
      <c r="J10" s="73">
        <v>8</v>
      </c>
      <c r="K10" s="47">
        <f t="shared" si="0"/>
        <v>0</v>
      </c>
      <c r="L10" s="47">
        <f t="shared" si="1"/>
        <v>100</v>
      </c>
      <c r="M10" s="47">
        <f t="shared" si="2"/>
        <v>0</v>
      </c>
      <c r="N10" s="68">
        <f t="shared" si="3"/>
        <v>100</v>
      </c>
      <c r="O10" s="46"/>
      <c r="P10" s="47">
        <v>56</v>
      </c>
      <c r="Q10" s="47"/>
      <c r="R10" s="48">
        <f t="shared" si="4"/>
        <v>56</v>
      </c>
      <c r="S10" s="29">
        <v>1</v>
      </c>
      <c r="T10" s="286"/>
      <c r="U10" s="295"/>
      <c r="V10" s="38" t="s">
        <v>981</v>
      </c>
      <c r="W10" s="29" t="s">
        <v>17</v>
      </c>
      <c r="X10" s="29" t="s">
        <v>18</v>
      </c>
      <c r="Y10" s="88">
        <v>56</v>
      </c>
      <c r="Z10" s="29"/>
      <c r="AA10" s="29"/>
      <c r="AB10" s="29"/>
      <c r="AC10" s="29"/>
      <c r="AD10" s="38"/>
      <c r="AE10" s="29"/>
      <c r="AF10" s="29"/>
      <c r="AG10" s="39"/>
      <c r="AH10" s="29"/>
      <c r="AI10" s="29"/>
      <c r="AJ10" s="29"/>
      <c r="AK10" s="29"/>
      <c r="AL10" s="38"/>
      <c r="AM10" s="29"/>
      <c r="AN10" s="29"/>
      <c r="AO10" s="39"/>
      <c r="AP10" s="38"/>
      <c r="AQ10" s="29"/>
      <c r="AR10" s="29"/>
      <c r="AS10" s="39"/>
      <c r="AT10" s="29"/>
      <c r="AU10" s="29"/>
      <c r="AV10" s="29"/>
      <c r="AW10" s="39"/>
      <c r="AX10" s="29"/>
      <c r="AY10" s="29"/>
      <c r="AZ10" s="29"/>
      <c r="BA10" s="40"/>
    </row>
    <row r="11" spans="1:53" x14ac:dyDescent="0.15">
      <c r="A11" s="29">
        <v>1968</v>
      </c>
      <c r="B11" s="295"/>
      <c r="C11" s="411" t="s">
        <v>1271</v>
      </c>
      <c r="D11" s="411"/>
      <c r="E11" s="29">
        <v>366</v>
      </c>
      <c r="F11" s="29"/>
      <c r="G11" s="66"/>
      <c r="H11" s="29">
        <v>8</v>
      </c>
      <c r="I11" s="29"/>
      <c r="J11" s="73">
        <v>8</v>
      </c>
      <c r="K11" s="47">
        <f t="shared" si="0"/>
        <v>0</v>
      </c>
      <c r="L11" s="47">
        <f t="shared" si="1"/>
        <v>100</v>
      </c>
      <c r="M11" s="47">
        <f t="shared" si="2"/>
        <v>0</v>
      </c>
      <c r="N11" s="68">
        <f t="shared" si="3"/>
        <v>100</v>
      </c>
      <c r="O11" s="46"/>
      <c r="P11" s="47">
        <v>56</v>
      </c>
      <c r="Q11" s="47"/>
      <c r="R11" s="48">
        <f t="shared" si="4"/>
        <v>56</v>
      </c>
      <c r="S11" s="29">
        <v>1</v>
      </c>
      <c r="T11" s="286"/>
      <c r="U11" s="295"/>
      <c r="V11" s="38" t="s">
        <v>981</v>
      </c>
      <c r="W11" s="29" t="s">
        <v>17</v>
      </c>
      <c r="X11" s="29" t="s">
        <v>18</v>
      </c>
      <c r="Y11" s="88">
        <v>56</v>
      </c>
      <c r="Z11" s="29"/>
      <c r="AA11" s="29"/>
      <c r="AB11" s="29"/>
      <c r="AC11" s="29"/>
      <c r="AD11" s="38"/>
      <c r="AE11" s="29"/>
      <c r="AF11" s="29"/>
      <c r="AG11" s="39"/>
      <c r="AH11" s="29"/>
      <c r="AI11" s="29"/>
      <c r="AJ11" s="29"/>
      <c r="AK11" s="29"/>
      <c r="AL11" s="38"/>
      <c r="AM11" s="29"/>
      <c r="AN11" s="29"/>
      <c r="AO11" s="39"/>
      <c r="AP11" s="38"/>
      <c r="AQ11" s="29"/>
      <c r="AR11" s="29"/>
      <c r="AS11" s="39"/>
      <c r="AT11" s="29"/>
      <c r="AU11" s="29"/>
      <c r="AV11" s="29"/>
      <c r="AW11" s="39"/>
      <c r="AX11" s="29"/>
      <c r="AY11" s="29"/>
      <c r="AZ11" s="29"/>
      <c r="BA11" s="40"/>
    </row>
    <row r="12" spans="1:53" x14ac:dyDescent="0.15">
      <c r="A12" s="29">
        <v>1969</v>
      </c>
      <c r="B12" s="295"/>
      <c r="C12" s="411" t="s">
        <v>1271</v>
      </c>
      <c r="D12" s="411"/>
      <c r="E12" s="29">
        <v>0</v>
      </c>
      <c r="F12" s="29"/>
      <c r="G12" s="66"/>
      <c r="H12" s="29">
        <v>8</v>
      </c>
      <c r="I12" s="29"/>
      <c r="J12" s="73">
        <v>8</v>
      </c>
      <c r="K12" s="47">
        <f t="shared" si="0"/>
        <v>0</v>
      </c>
      <c r="L12" s="47">
        <f t="shared" si="1"/>
        <v>100</v>
      </c>
      <c r="M12" s="47">
        <f t="shared" si="2"/>
        <v>0</v>
      </c>
      <c r="N12" s="68">
        <f t="shared" si="3"/>
        <v>100</v>
      </c>
      <c r="O12" s="46"/>
      <c r="P12" s="47">
        <v>56</v>
      </c>
      <c r="Q12" s="47"/>
      <c r="R12" s="48">
        <f t="shared" si="4"/>
        <v>56</v>
      </c>
      <c r="S12" s="29">
        <v>1</v>
      </c>
      <c r="T12" s="286"/>
      <c r="U12" s="295"/>
      <c r="V12" s="38" t="s">
        <v>981</v>
      </c>
      <c r="W12" s="29" t="s">
        <v>17</v>
      </c>
      <c r="X12" s="29" t="s">
        <v>18</v>
      </c>
      <c r="Y12" s="88">
        <v>56</v>
      </c>
      <c r="Z12" s="29"/>
      <c r="AA12" s="29"/>
      <c r="AB12" s="29"/>
      <c r="AC12" s="29"/>
      <c r="AD12" s="38"/>
      <c r="AE12" s="29"/>
      <c r="AF12" s="29"/>
      <c r="AG12" s="39"/>
      <c r="AH12" s="29"/>
      <c r="AI12" s="29"/>
      <c r="AJ12" s="29"/>
      <c r="AK12" s="29"/>
      <c r="AL12" s="38"/>
      <c r="AM12" s="29"/>
      <c r="AN12" s="29"/>
      <c r="AO12" s="39"/>
      <c r="AP12" s="38"/>
      <c r="AQ12" s="29"/>
      <c r="AR12" s="29"/>
      <c r="AS12" s="39"/>
      <c r="AT12" s="29"/>
      <c r="AU12" s="29"/>
      <c r="AV12" s="29"/>
      <c r="AW12" s="39"/>
      <c r="AX12" s="29"/>
      <c r="AY12" s="29"/>
      <c r="AZ12" s="29"/>
      <c r="BA12" s="40"/>
    </row>
    <row r="13" spans="1:53" x14ac:dyDescent="0.15">
      <c r="A13" s="29">
        <v>1969</v>
      </c>
      <c r="B13" s="295"/>
      <c r="C13" s="411" t="s">
        <v>1271</v>
      </c>
      <c r="D13" s="411"/>
      <c r="E13" s="29">
        <v>365</v>
      </c>
      <c r="F13" s="29"/>
      <c r="G13" s="66"/>
      <c r="H13" s="29">
        <v>8</v>
      </c>
      <c r="I13" s="29"/>
      <c r="J13" s="73">
        <v>8</v>
      </c>
      <c r="K13" s="47">
        <f t="shared" si="0"/>
        <v>0</v>
      </c>
      <c r="L13" s="47">
        <f t="shared" si="1"/>
        <v>100</v>
      </c>
      <c r="M13" s="47">
        <f t="shared" si="2"/>
        <v>0</v>
      </c>
      <c r="N13" s="68">
        <f t="shared" si="3"/>
        <v>100</v>
      </c>
      <c r="O13" s="46"/>
      <c r="P13" s="47">
        <v>56</v>
      </c>
      <c r="Q13" s="47"/>
      <c r="R13" s="48">
        <f t="shared" si="4"/>
        <v>56</v>
      </c>
      <c r="S13" s="29">
        <v>1</v>
      </c>
      <c r="T13" s="286"/>
      <c r="U13" s="295"/>
      <c r="V13" s="38" t="s">
        <v>981</v>
      </c>
      <c r="W13" s="29" t="s">
        <v>17</v>
      </c>
      <c r="X13" s="29" t="s">
        <v>18</v>
      </c>
      <c r="Y13" s="88">
        <v>56</v>
      </c>
      <c r="Z13" s="29"/>
      <c r="AA13" s="29"/>
      <c r="AB13" s="29"/>
      <c r="AC13" s="29"/>
      <c r="AD13" s="38"/>
      <c r="AE13" s="29"/>
      <c r="AF13" s="29"/>
      <c r="AG13" s="39"/>
      <c r="AH13" s="29"/>
      <c r="AI13" s="29"/>
      <c r="AJ13" s="29"/>
      <c r="AK13" s="29"/>
      <c r="AL13" s="38"/>
      <c r="AM13" s="29"/>
      <c r="AN13" s="29"/>
      <c r="AO13" s="39"/>
      <c r="AP13" s="38"/>
      <c r="AQ13" s="29"/>
      <c r="AR13" s="29"/>
      <c r="AS13" s="39"/>
      <c r="AT13" s="29"/>
      <c r="AU13" s="29"/>
      <c r="AV13" s="29"/>
      <c r="AW13" s="39"/>
      <c r="AX13" s="29"/>
      <c r="AY13" s="29"/>
      <c r="AZ13" s="29"/>
      <c r="BA13" s="40"/>
    </row>
    <row r="14" spans="1:53" x14ac:dyDescent="0.15">
      <c r="A14" s="29">
        <v>1970</v>
      </c>
      <c r="B14" s="295"/>
      <c r="C14" s="411" t="s">
        <v>1271</v>
      </c>
      <c r="D14" s="411"/>
      <c r="E14" s="29">
        <v>0</v>
      </c>
      <c r="F14" s="29"/>
      <c r="G14" s="66"/>
      <c r="H14" s="29">
        <v>8</v>
      </c>
      <c r="I14" s="29"/>
      <c r="J14" s="73">
        <v>8</v>
      </c>
      <c r="K14" s="47">
        <f t="shared" si="0"/>
        <v>0</v>
      </c>
      <c r="L14" s="47">
        <f t="shared" si="1"/>
        <v>100</v>
      </c>
      <c r="M14" s="47">
        <f t="shared" si="2"/>
        <v>0</v>
      </c>
      <c r="N14" s="68">
        <f t="shared" si="3"/>
        <v>100</v>
      </c>
      <c r="O14" s="46"/>
      <c r="P14" s="47">
        <v>56</v>
      </c>
      <c r="Q14" s="47"/>
      <c r="R14" s="48">
        <f t="shared" si="4"/>
        <v>56</v>
      </c>
      <c r="S14" s="29">
        <v>1</v>
      </c>
      <c r="T14" s="286"/>
      <c r="U14" s="295"/>
      <c r="V14" s="38" t="s">
        <v>981</v>
      </c>
      <c r="W14" s="29" t="s">
        <v>17</v>
      </c>
      <c r="X14" s="29" t="s">
        <v>18</v>
      </c>
      <c r="Y14" s="88">
        <v>56</v>
      </c>
      <c r="Z14" s="29"/>
      <c r="AA14" s="29"/>
      <c r="AB14" s="29"/>
      <c r="AC14" s="29"/>
      <c r="AD14" s="38"/>
      <c r="AE14" s="29"/>
      <c r="AF14" s="29"/>
      <c r="AG14" s="39"/>
      <c r="AH14" s="29"/>
      <c r="AI14" s="29"/>
      <c r="AJ14" s="29"/>
      <c r="AK14" s="29"/>
      <c r="AL14" s="38"/>
      <c r="AM14" s="29"/>
      <c r="AN14" s="29"/>
      <c r="AO14" s="39"/>
      <c r="AP14" s="38"/>
      <c r="AQ14" s="29"/>
      <c r="AR14" s="29"/>
      <c r="AS14" s="39"/>
      <c r="AT14" s="29"/>
      <c r="AU14" s="29"/>
      <c r="AV14" s="29"/>
      <c r="AW14" s="39"/>
      <c r="AX14" s="29"/>
      <c r="AY14" s="29"/>
      <c r="AZ14" s="29"/>
      <c r="BA14" s="40"/>
    </row>
    <row r="15" spans="1:53" x14ac:dyDescent="0.15">
      <c r="A15" s="29">
        <v>1970</v>
      </c>
      <c r="B15" s="295"/>
      <c r="C15" s="411" t="s">
        <v>1271</v>
      </c>
      <c r="D15" s="411"/>
      <c r="E15" s="29">
        <v>365</v>
      </c>
      <c r="F15" s="29"/>
      <c r="G15" s="66"/>
      <c r="H15" s="29">
        <v>8</v>
      </c>
      <c r="I15" s="29"/>
      <c r="J15" s="73">
        <v>8</v>
      </c>
      <c r="K15" s="47">
        <f t="shared" si="0"/>
        <v>0</v>
      </c>
      <c r="L15" s="47">
        <f t="shared" si="1"/>
        <v>100</v>
      </c>
      <c r="M15" s="47">
        <f t="shared" si="2"/>
        <v>0</v>
      </c>
      <c r="N15" s="68">
        <f t="shared" si="3"/>
        <v>100</v>
      </c>
      <c r="O15" s="46"/>
      <c r="P15" s="47">
        <v>56</v>
      </c>
      <c r="Q15" s="47"/>
      <c r="R15" s="48">
        <f t="shared" si="4"/>
        <v>56</v>
      </c>
      <c r="S15" s="29">
        <v>1</v>
      </c>
      <c r="T15" s="286"/>
      <c r="U15" s="295"/>
      <c r="V15" s="38" t="s">
        <v>981</v>
      </c>
      <c r="W15" s="29" t="s">
        <v>17</v>
      </c>
      <c r="X15" s="29" t="s">
        <v>18</v>
      </c>
      <c r="Y15" s="88">
        <v>56</v>
      </c>
      <c r="Z15" s="29"/>
      <c r="AA15" s="29"/>
      <c r="AB15" s="29"/>
      <c r="AC15" s="29"/>
      <c r="AD15" s="38"/>
      <c r="AE15" s="29"/>
      <c r="AF15" s="29"/>
      <c r="AG15" s="39"/>
      <c r="AH15" s="29"/>
      <c r="AI15" s="29"/>
      <c r="AJ15" s="29"/>
      <c r="AK15" s="29"/>
      <c r="AL15" s="38"/>
      <c r="AM15" s="29"/>
      <c r="AN15" s="29"/>
      <c r="AO15" s="39"/>
      <c r="AP15" s="38"/>
      <c r="AQ15" s="29"/>
      <c r="AR15" s="29"/>
      <c r="AS15" s="39"/>
      <c r="AT15" s="29"/>
      <c r="AU15" s="29"/>
      <c r="AV15" s="29"/>
      <c r="AW15" s="39"/>
      <c r="AX15" s="29"/>
      <c r="AY15" s="29"/>
      <c r="AZ15" s="29"/>
      <c r="BA15" s="40"/>
    </row>
    <row r="16" spans="1:53" x14ac:dyDescent="0.15">
      <c r="A16" s="29">
        <v>1971</v>
      </c>
      <c r="B16" s="295"/>
      <c r="C16" s="411" t="s">
        <v>1271</v>
      </c>
      <c r="D16" s="411"/>
      <c r="E16" s="29">
        <v>171</v>
      </c>
      <c r="F16" s="29"/>
      <c r="G16" s="66"/>
      <c r="H16" s="29">
        <v>8</v>
      </c>
      <c r="I16" s="29"/>
      <c r="J16" s="73">
        <v>8</v>
      </c>
      <c r="K16" s="47">
        <f t="shared" si="0"/>
        <v>0</v>
      </c>
      <c r="L16" s="47">
        <f t="shared" si="1"/>
        <v>100</v>
      </c>
      <c r="M16" s="47">
        <f t="shared" si="2"/>
        <v>0</v>
      </c>
      <c r="N16" s="68">
        <f t="shared" si="3"/>
        <v>100</v>
      </c>
      <c r="O16" s="46"/>
      <c r="P16" s="47">
        <v>56</v>
      </c>
      <c r="Q16" s="47"/>
      <c r="R16" s="48">
        <f t="shared" si="4"/>
        <v>56</v>
      </c>
      <c r="S16" s="29">
        <v>1</v>
      </c>
      <c r="T16" s="286"/>
      <c r="U16" s="295"/>
      <c r="V16" s="38" t="s">
        <v>981</v>
      </c>
      <c r="W16" s="29" t="s">
        <v>17</v>
      </c>
      <c r="X16" s="29" t="s">
        <v>18</v>
      </c>
      <c r="Y16" s="88">
        <v>56</v>
      </c>
      <c r="Z16" s="29"/>
      <c r="AA16" s="29"/>
      <c r="AB16" s="29"/>
      <c r="AC16" s="29"/>
      <c r="AD16" s="38"/>
      <c r="AE16" s="29"/>
      <c r="AF16" s="29"/>
      <c r="AG16" s="39"/>
      <c r="AH16" s="29"/>
      <c r="AI16" s="29"/>
      <c r="AJ16" s="29"/>
      <c r="AK16" s="29"/>
      <c r="AL16" s="38"/>
      <c r="AM16" s="29"/>
      <c r="AN16" s="29"/>
      <c r="AO16" s="39"/>
      <c r="AP16" s="38"/>
      <c r="AQ16" s="29"/>
      <c r="AR16" s="29"/>
      <c r="AS16" s="39"/>
      <c r="AT16" s="29"/>
      <c r="AU16" s="29"/>
      <c r="AV16" s="29"/>
      <c r="AW16" s="39"/>
      <c r="AX16" s="29"/>
      <c r="AY16" s="29"/>
      <c r="AZ16" s="29"/>
      <c r="BA16" s="40"/>
    </row>
    <row r="17" spans="1:53" x14ac:dyDescent="0.15">
      <c r="A17" s="171">
        <v>1971</v>
      </c>
      <c r="B17" s="283">
        <v>26105</v>
      </c>
      <c r="C17" s="410" t="s">
        <v>1272</v>
      </c>
      <c r="D17" s="410"/>
      <c r="E17" s="171">
        <f>365-E16</f>
        <v>194</v>
      </c>
      <c r="F17" s="171">
        <v>1</v>
      </c>
      <c r="G17" s="233"/>
      <c r="H17" s="171"/>
      <c r="I17" s="171">
        <v>9</v>
      </c>
      <c r="J17" s="241">
        <v>9</v>
      </c>
      <c r="K17" s="214">
        <f t="shared" si="0"/>
        <v>0</v>
      </c>
      <c r="L17" s="214">
        <f t="shared" si="1"/>
        <v>0</v>
      </c>
      <c r="M17" s="214">
        <f t="shared" si="2"/>
        <v>100</v>
      </c>
      <c r="N17" s="235">
        <f t="shared" si="3"/>
        <v>100</v>
      </c>
      <c r="O17" s="213"/>
      <c r="P17" s="214"/>
      <c r="Q17" s="214">
        <v>50.9</v>
      </c>
      <c r="R17" s="215">
        <f t="shared" si="4"/>
        <v>50.9</v>
      </c>
      <c r="S17" s="190">
        <v>1</v>
      </c>
      <c r="T17" s="285">
        <v>26098</v>
      </c>
      <c r="U17" s="283">
        <v>26105</v>
      </c>
      <c r="V17" s="178" t="s">
        <v>984</v>
      </c>
      <c r="W17" s="171" t="s">
        <v>20</v>
      </c>
      <c r="X17" s="171" t="s">
        <v>12</v>
      </c>
      <c r="Y17" s="179">
        <v>50.9</v>
      </c>
      <c r="Z17" s="171"/>
      <c r="AA17" s="171"/>
      <c r="AB17" s="171"/>
      <c r="AC17" s="171"/>
      <c r="AD17" s="178"/>
      <c r="AE17" s="171"/>
      <c r="AF17" s="171"/>
      <c r="AG17" s="179"/>
      <c r="AH17" s="171"/>
      <c r="AI17" s="171"/>
      <c r="AJ17" s="171"/>
      <c r="AK17" s="171"/>
      <c r="AL17" s="178"/>
      <c r="AM17" s="171"/>
      <c r="AN17" s="171"/>
      <c r="AO17" s="179"/>
      <c r="AP17" s="178"/>
      <c r="AQ17" s="171"/>
      <c r="AR17" s="171"/>
      <c r="AS17" s="179"/>
      <c r="AT17" s="171"/>
      <c r="AU17" s="171"/>
      <c r="AV17" s="171"/>
      <c r="AW17" s="179"/>
      <c r="AX17" s="171"/>
      <c r="AY17" s="171"/>
      <c r="AZ17" s="171"/>
      <c r="BA17" s="180"/>
    </row>
    <row r="18" spans="1:53" x14ac:dyDescent="0.15">
      <c r="A18" s="171">
        <v>1972</v>
      </c>
      <c r="B18" s="283"/>
      <c r="C18" s="410" t="s">
        <v>1272</v>
      </c>
      <c r="D18" s="410"/>
      <c r="E18" s="171">
        <v>0</v>
      </c>
      <c r="F18" s="171"/>
      <c r="G18" s="233"/>
      <c r="H18" s="171"/>
      <c r="I18" s="171">
        <v>9</v>
      </c>
      <c r="J18" s="241">
        <v>9</v>
      </c>
      <c r="K18" s="214">
        <f t="shared" si="0"/>
        <v>0</v>
      </c>
      <c r="L18" s="214">
        <f t="shared" si="1"/>
        <v>0</v>
      </c>
      <c r="M18" s="214">
        <f t="shared" si="2"/>
        <v>100</v>
      </c>
      <c r="N18" s="235">
        <f t="shared" si="3"/>
        <v>100</v>
      </c>
      <c r="O18" s="213"/>
      <c r="P18" s="214"/>
      <c r="Q18" s="214">
        <v>50.9</v>
      </c>
      <c r="R18" s="215">
        <f t="shared" si="4"/>
        <v>50.9</v>
      </c>
      <c r="S18" s="190">
        <v>1</v>
      </c>
      <c r="T18" s="285"/>
      <c r="U18" s="283"/>
      <c r="V18" s="178" t="s">
        <v>984</v>
      </c>
      <c r="W18" s="171" t="s">
        <v>20</v>
      </c>
      <c r="X18" s="171" t="s">
        <v>12</v>
      </c>
      <c r="Y18" s="179">
        <v>50.9</v>
      </c>
      <c r="Z18" s="171"/>
      <c r="AA18" s="171"/>
      <c r="AB18" s="171"/>
      <c r="AC18" s="171"/>
      <c r="AD18" s="178"/>
      <c r="AE18" s="171"/>
      <c r="AF18" s="171"/>
      <c r="AG18" s="179"/>
      <c r="AH18" s="171"/>
      <c r="AI18" s="171"/>
      <c r="AJ18" s="171"/>
      <c r="AK18" s="171"/>
      <c r="AL18" s="178"/>
      <c r="AM18" s="171"/>
      <c r="AN18" s="171"/>
      <c r="AO18" s="179"/>
      <c r="AP18" s="178"/>
      <c r="AQ18" s="171"/>
      <c r="AR18" s="171"/>
      <c r="AS18" s="179"/>
      <c r="AT18" s="171"/>
      <c r="AU18" s="171"/>
      <c r="AV18" s="171"/>
      <c r="AW18" s="179"/>
      <c r="AX18" s="171"/>
      <c r="AY18" s="171"/>
      <c r="AZ18" s="171"/>
      <c r="BA18" s="180"/>
    </row>
    <row r="19" spans="1:53" x14ac:dyDescent="0.15">
      <c r="A19" s="171">
        <v>1972</v>
      </c>
      <c r="B19" s="283"/>
      <c r="C19" s="410" t="s">
        <v>1272</v>
      </c>
      <c r="D19" s="410"/>
      <c r="E19" s="171">
        <v>366</v>
      </c>
      <c r="F19" s="171"/>
      <c r="G19" s="233"/>
      <c r="H19" s="171"/>
      <c r="I19" s="171">
        <v>9</v>
      </c>
      <c r="J19" s="241">
        <v>9</v>
      </c>
      <c r="K19" s="214">
        <f t="shared" si="0"/>
        <v>0</v>
      </c>
      <c r="L19" s="214">
        <f t="shared" si="1"/>
        <v>0</v>
      </c>
      <c r="M19" s="214">
        <f t="shared" si="2"/>
        <v>100</v>
      </c>
      <c r="N19" s="235">
        <f t="shared" si="3"/>
        <v>100</v>
      </c>
      <c r="O19" s="213"/>
      <c r="P19" s="214"/>
      <c r="Q19" s="214">
        <v>50.9</v>
      </c>
      <c r="R19" s="215">
        <f t="shared" si="4"/>
        <v>50.9</v>
      </c>
      <c r="S19" s="190">
        <v>1</v>
      </c>
      <c r="T19" s="285"/>
      <c r="U19" s="283"/>
      <c r="V19" s="178" t="s">
        <v>984</v>
      </c>
      <c r="W19" s="171" t="s">
        <v>20</v>
      </c>
      <c r="X19" s="171" t="s">
        <v>12</v>
      </c>
      <c r="Y19" s="179">
        <v>50.9</v>
      </c>
      <c r="Z19" s="171"/>
      <c r="AA19" s="171"/>
      <c r="AB19" s="171"/>
      <c r="AC19" s="171"/>
      <c r="AD19" s="178"/>
      <c r="AE19" s="171"/>
      <c r="AF19" s="171"/>
      <c r="AG19" s="179"/>
      <c r="AH19" s="171"/>
      <c r="AI19" s="171"/>
      <c r="AJ19" s="171"/>
      <c r="AK19" s="171"/>
      <c r="AL19" s="178"/>
      <c r="AM19" s="171"/>
      <c r="AN19" s="171"/>
      <c r="AO19" s="179"/>
      <c r="AP19" s="178"/>
      <c r="AQ19" s="171"/>
      <c r="AR19" s="171"/>
      <c r="AS19" s="179"/>
      <c r="AT19" s="171"/>
      <c r="AU19" s="171"/>
      <c r="AV19" s="171"/>
      <c r="AW19" s="179"/>
      <c r="AX19" s="171"/>
      <c r="AY19" s="171"/>
      <c r="AZ19" s="171"/>
      <c r="BA19" s="180"/>
    </row>
    <row r="20" spans="1:53" x14ac:dyDescent="0.15">
      <c r="A20" s="171">
        <v>1973</v>
      </c>
      <c r="B20" s="283"/>
      <c r="C20" s="410" t="s">
        <v>1272</v>
      </c>
      <c r="D20" s="410"/>
      <c r="E20" s="171">
        <v>0</v>
      </c>
      <c r="F20" s="171"/>
      <c r="G20" s="233"/>
      <c r="H20" s="171"/>
      <c r="I20" s="171">
        <v>9</v>
      </c>
      <c r="J20" s="241">
        <v>9</v>
      </c>
      <c r="K20" s="214">
        <f t="shared" si="0"/>
        <v>0</v>
      </c>
      <c r="L20" s="214">
        <f t="shared" si="1"/>
        <v>0</v>
      </c>
      <c r="M20" s="214">
        <f t="shared" si="2"/>
        <v>100</v>
      </c>
      <c r="N20" s="235">
        <f t="shared" si="3"/>
        <v>100</v>
      </c>
      <c r="O20" s="213"/>
      <c r="P20" s="214"/>
      <c r="Q20" s="214">
        <v>50.9</v>
      </c>
      <c r="R20" s="215">
        <f t="shared" si="4"/>
        <v>50.9</v>
      </c>
      <c r="S20" s="190">
        <v>1</v>
      </c>
      <c r="T20" s="285"/>
      <c r="U20" s="283"/>
      <c r="V20" s="178" t="s">
        <v>984</v>
      </c>
      <c r="W20" s="171" t="s">
        <v>20</v>
      </c>
      <c r="X20" s="171" t="s">
        <v>12</v>
      </c>
      <c r="Y20" s="179">
        <v>50.9</v>
      </c>
      <c r="Z20" s="171"/>
      <c r="AA20" s="171"/>
      <c r="AB20" s="171"/>
      <c r="AC20" s="171"/>
      <c r="AD20" s="178"/>
      <c r="AE20" s="171"/>
      <c r="AF20" s="171"/>
      <c r="AG20" s="179"/>
      <c r="AH20" s="171"/>
      <c r="AI20" s="171"/>
      <c r="AJ20" s="171"/>
      <c r="AK20" s="171"/>
      <c r="AL20" s="178"/>
      <c r="AM20" s="171"/>
      <c r="AN20" s="171"/>
      <c r="AO20" s="179"/>
      <c r="AP20" s="178"/>
      <c r="AQ20" s="171"/>
      <c r="AR20" s="171"/>
      <c r="AS20" s="179"/>
      <c r="AT20" s="171"/>
      <c r="AU20" s="171"/>
      <c r="AV20" s="171"/>
      <c r="AW20" s="179"/>
      <c r="AX20" s="171"/>
      <c r="AY20" s="171"/>
      <c r="AZ20" s="171"/>
      <c r="BA20" s="180"/>
    </row>
    <row r="21" spans="1:53" x14ac:dyDescent="0.15">
      <c r="A21" s="171">
        <v>1973</v>
      </c>
      <c r="B21" s="283"/>
      <c r="C21" s="410" t="s">
        <v>1272</v>
      </c>
      <c r="D21" s="410"/>
      <c r="E21" s="171">
        <v>365</v>
      </c>
      <c r="F21" s="171"/>
      <c r="G21" s="233"/>
      <c r="H21" s="171"/>
      <c r="I21" s="171">
        <v>9</v>
      </c>
      <c r="J21" s="241">
        <v>9</v>
      </c>
      <c r="K21" s="214">
        <f t="shared" si="0"/>
        <v>0</v>
      </c>
      <c r="L21" s="214">
        <f t="shared" si="1"/>
        <v>0</v>
      </c>
      <c r="M21" s="214">
        <f t="shared" si="2"/>
        <v>100</v>
      </c>
      <c r="N21" s="235">
        <f t="shared" si="3"/>
        <v>100</v>
      </c>
      <c r="O21" s="213"/>
      <c r="P21" s="214"/>
      <c r="Q21" s="214">
        <v>50.9</v>
      </c>
      <c r="R21" s="215">
        <f t="shared" si="4"/>
        <v>50.9</v>
      </c>
      <c r="S21" s="190">
        <v>1</v>
      </c>
      <c r="T21" s="285"/>
      <c r="U21" s="283"/>
      <c r="V21" s="178" t="s">
        <v>984</v>
      </c>
      <c r="W21" s="171" t="s">
        <v>20</v>
      </c>
      <c r="X21" s="171" t="s">
        <v>12</v>
      </c>
      <c r="Y21" s="179">
        <v>50.9</v>
      </c>
      <c r="Z21" s="171"/>
      <c r="AA21" s="171"/>
      <c r="AB21" s="171"/>
      <c r="AC21" s="171"/>
      <c r="AD21" s="178"/>
      <c r="AE21" s="171"/>
      <c r="AF21" s="171"/>
      <c r="AG21" s="179"/>
      <c r="AH21" s="171"/>
      <c r="AI21" s="171"/>
      <c r="AJ21" s="171"/>
      <c r="AK21" s="171"/>
      <c r="AL21" s="178"/>
      <c r="AM21" s="171"/>
      <c r="AN21" s="171"/>
      <c r="AO21" s="179"/>
      <c r="AP21" s="178"/>
      <c r="AQ21" s="171"/>
      <c r="AR21" s="171"/>
      <c r="AS21" s="179"/>
      <c r="AT21" s="171"/>
      <c r="AU21" s="171"/>
      <c r="AV21" s="171"/>
      <c r="AW21" s="179"/>
      <c r="AX21" s="171"/>
      <c r="AY21" s="171"/>
      <c r="AZ21" s="171"/>
      <c r="BA21" s="180"/>
    </row>
    <row r="22" spans="1:53" x14ac:dyDescent="0.15">
      <c r="A22" s="171">
        <v>1974</v>
      </c>
      <c r="B22" s="283"/>
      <c r="C22" s="410" t="s">
        <v>1272</v>
      </c>
      <c r="D22" s="410"/>
      <c r="E22" s="171">
        <v>0</v>
      </c>
      <c r="F22" s="171"/>
      <c r="G22" s="233"/>
      <c r="H22" s="171"/>
      <c r="I22" s="171">
        <v>9</v>
      </c>
      <c r="J22" s="241">
        <v>9</v>
      </c>
      <c r="K22" s="214">
        <f t="shared" si="0"/>
        <v>0</v>
      </c>
      <c r="L22" s="214">
        <f t="shared" si="1"/>
        <v>0</v>
      </c>
      <c r="M22" s="214">
        <f t="shared" si="2"/>
        <v>100</v>
      </c>
      <c r="N22" s="235">
        <f t="shared" si="3"/>
        <v>100</v>
      </c>
      <c r="O22" s="213"/>
      <c r="P22" s="214"/>
      <c r="Q22" s="214">
        <v>50.9</v>
      </c>
      <c r="R22" s="215">
        <f t="shared" si="4"/>
        <v>50.9</v>
      </c>
      <c r="S22" s="190">
        <v>1</v>
      </c>
      <c r="T22" s="285"/>
      <c r="U22" s="283"/>
      <c r="V22" s="178" t="s">
        <v>984</v>
      </c>
      <c r="W22" s="171" t="s">
        <v>20</v>
      </c>
      <c r="X22" s="171" t="s">
        <v>12</v>
      </c>
      <c r="Y22" s="179">
        <v>50.9</v>
      </c>
      <c r="Z22" s="171"/>
      <c r="AA22" s="171"/>
      <c r="AB22" s="171"/>
      <c r="AC22" s="171"/>
      <c r="AD22" s="178"/>
      <c r="AE22" s="171"/>
      <c r="AF22" s="171"/>
      <c r="AG22" s="179"/>
      <c r="AH22" s="171"/>
      <c r="AI22" s="171"/>
      <c r="AJ22" s="171"/>
      <c r="AK22" s="171"/>
      <c r="AL22" s="178"/>
      <c r="AM22" s="171"/>
      <c r="AN22" s="171"/>
      <c r="AO22" s="179"/>
      <c r="AP22" s="178"/>
      <c r="AQ22" s="171"/>
      <c r="AR22" s="171"/>
      <c r="AS22" s="179"/>
      <c r="AT22" s="171"/>
      <c r="AU22" s="171"/>
      <c r="AV22" s="171"/>
      <c r="AW22" s="179"/>
      <c r="AX22" s="171"/>
      <c r="AY22" s="171"/>
      <c r="AZ22" s="171"/>
      <c r="BA22" s="180"/>
    </row>
    <row r="23" spans="1:53" x14ac:dyDescent="0.15">
      <c r="A23" s="171">
        <v>1974</v>
      </c>
      <c r="B23" s="283"/>
      <c r="C23" s="410" t="s">
        <v>1272</v>
      </c>
      <c r="D23" s="410"/>
      <c r="E23" s="171">
        <v>365</v>
      </c>
      <c r="F23" s="171"/>
      <c r="G23" s="233"/>
      <c r="H23" s="171"/>
      <c r="I23" s="171">
        <v>9</v>
      </c>
      <c r="J23" s="241">
        <v>9</v>
      </c>
      <c r="K23" s="214">
        <f t="shared" si="0"/>
        <v>0</v>
      </c>
      <c r="L23" s="214">
        <f t="shared" si="1"/>
        <v>0</v>
      </c>
      <c r="M23" s="214">
        <f t="shared" si="2"/>
        <v>100</v>
      </c>
      <c r="N23" s="235">
        <f t="shared" si="3"/>
        <v>100</v>
      </c>
      <c r="O23" s="213"/>
      <c r="P23" s="214"/>
      <c r="Q23" s="214">
        <v>50.9</v>
      </c>
      <c r="R23" s="215">
        <f t="shared" si="4"/>
        <v>50.9</v>
      </c>
      <c r="S23" s="190">
        <v>1</v>
      </c>
      <c r="T23" s="285"/>
      <c r="U23" s="283"/>
      <c r="V23" s="178" t="s">
        <v>984</v>
      </c>
      <c r="W23" s="171" t="s">
        <v>20</v>
      </c>
      <c r="X23" s="171" t="s">
        <v>12</v>
      </c>
      <c r="Y23" s="179">
        <v>50.9</v>
      </c>
      <c r="Z23" s="171"/>
      <c r="AA23" s="171"/>
      <c r="AB23" s="171"/>
      <c r="AC23" s="171"/>
      <c r="AD23" s="178"/>
      <c r="AE23" s="171"/>
      <c r="AF23" s="171"/>
      <c r="AG23" s="179"/>
      <c r="AH23" s="171"/>
      <c r="AI23" s="171"/>
      <c r="AJ23" s="171"/>
      <c r="AK23" s="171"/>
      <c r="AL23" s="178"/>
      <c r="AM23" s="171"/>
      <c r="AN23" s="171"/>
      <c r="AO23" s="179"/>
      <c r="AP23" s="178"/>
      <c r="AQ23" s="171"/>
      <c r="AR23" s="171"/>
      <c r="AS23" s="179"/>
      <c r="AT23" s="171"/>
      <c r="AU23" s="171"/>
      <c r="AV23" s="171"/>
      <c r="AW23" s="179"/>
      <c r="AX23" s="171"/>
      <c r="AY23" s="171"/>
      <c r="AZ23" s="171"/>
      <c r="BA23" s="180"/>
    </row>
    <row r="24" spans="1:53" x14ac:dyDescent="0.15">
      <c r="A24" s="171">
        <v>1975</v>
      </c>
      <c r="B24" s="283"/>
      <c r="C24" s="410" t="s">
        <v>1272</v>
      </c>
      <c r="D24" s="410"/>
      <c r="E24" s="171">
        <v>0</v>
      </c>
      <c r="F24" s="171"/>
      <c r="G24" s="233"/>
      <c r="H24" s="171"/>
      <c r="I24" s="171">
        <v>9</v>
      </c>
      <c r="J24" s="241">
        <v>9</v>
      </c>
      <c r="K24" s="214">
        <f t="shared" si="0"/>
        <v>0</v>
      </c>
      <c r="L24" s="214">
        <f t="shared" si="1"/>
        <v>0</v>
      </c>
      <c r="M24" s="214">
        <f t="shared" si="2"/>
        <v>100</v>
      </c>
      <c r="N24" s="235">
        <f t="shared" si="3"/>
        <v>100</v>
      </c>
      <c r="O24" s="213"/>
      <c r="P24" s="214"/>
      <c r="Q24" s="214">
        <v>50.9</v>
      </c>
      <c r="R24" s="215">
        <f t="shared" si="4"/>
        <v>50.9</v>
      </c>
      <c r="S24" s="190">
        <v>1</v>
      </c>
      <c r="T24" s="285"/>
      <c r="U24" s="283"/>
      <c r="V24" s="178" t="s">
        <v>984</v>
      </c>
      <c r="W24" s="171" t="s">
        <v>20</v>
      </c>
      <c r="X24" s="171" t="s">
        <v>12</v>
      </c>
      <c r="Y24" s="179">
        <v>50.9</v>
      </c>
      <c r="Z24" s="171"/>
      <c r="AA24" s="171"/>
      <c r="AB24" s="171"/>
      <c r="AC24" s="171"/>
      <c r="AD24" s="178"/>
      <c r="AE24" s="171"/>
      <c r="AF24" s="171"/>
      <c r="AG24" s="179"/>
      <c r="AH24" s="171"/>
      <c r="AI24" s="171"/>
      <c r="AJ24" s="171"/>
      <c r="AK24" s="171"/>
      <c r="AL24" s="178"/>
      <c r="AM24" s="171"/>
      <c r="AN24" s="171"/>
      <c r="AO24" s="179"/>
      <c r="AP24" s="178"/>
      <c r="AQ24" s="171"/>
      <c r="AR24" s="171"/>
      <c r="AS24" s="179"/>
      <c r="AT24" s="171"/>
      <c r="AU24" s="171"/>
      <c r="AV24" s="171"/>
      <c r="AW24" s="179"/>
      <c r="AX24" s="171"/>
      <c r="AY24" s="171"/>
      <c r="AZ24" s="171"/>
      <c r="BA24" s="180"/>
    </row>
    <row r="25" spans="1:53" x14ac:dyDescent="0.15">
      <c r="A25" s="171">
        <v>1975</v>
      </c>
      <c r="B25" s="283"/>
      <c r="C25" s="410" t="s">
        <v>1272</v>
      </c>
      <c r="D25" s="410"/>
      <c r="E25" s="171">
        <v>365</v>
      </c>
      <c r="F25" s="171"/>
      <c r="G25" s="233"/>
      <c r="H25" s="171"/>
      <c r="I25" s="171">
        <v>9</v>
      </c>
      <c r="J25" s="241">
        <v>9</v>
      </c>
      <c r="K25" s="214">
        <f t="shared" si="0"/>
        <v>0</v>
      </c>
      <c r="L25" s="214">
        <f t="shared" si="1"/>
        <v>0</v>
      </c>
      <c r="M25" s="214">
        <f t="shared" si="2"/>
        <v>100</v>
      </c>
      <c r="N25" s="235">
        <f t="shared" si="3"/>
        <v>100</v>
      </c>
      <c r="O25" s="213"/>
      <c r="P25" s="214"/>
      <c r="Q25" s="214">
        <v>50.9</v>
      </c>
      <c r="R25" s="215">
        <f t="shared" si="4"/>
        <v>50.9</v>
      </c>
      <c r="S25" s="190">
        <v>1</v>
      </c>
      <c r="T25" s="285"/>
      <c r="U25" s="283"/>
      <c r="V25" s="178" t="s">
        <v>984</v>
      </c>
      <c r="W25" s="171" t="s">
        <v>20</v>
      </c>
      <c r="X25" s="171" t="s">
        <v>12</v>
      </c>
      <c r="Y25" s="179">
        <v>50.9</v>
      </c>
      <c r="Z25" s="171"/>
      <c r="AA25" s="171"/>
      <c r="AB25" s="171"/>
      <c r="AC25" s="171"/>
      <c r="AD25" s="178"/>
      <c r="AE25" s="171"/>
      <c r="AF25" s="171"/>
      <c r="AG25" s="179"/>
      <c r="AH25" s="171"/>
      <c r="AI25" s="171"/>
      <c r="AJ25" s="171"/>
      <c r="AK25" s="171"/>
      <c r="AL25" s="178"/>
      <c r="AM25" s="171"/>
      <c r="AN25" s="171"/>
      <c r="AO25" s="179"/>
      <c r="AP25" s="178"/>
      <c r="AQ25" s="171"/>
      <c r="AR25" s="171"/>
      <c r="AS25" s="179"/>
      <c r="AT25" s="171"/>
      <c r="AU25" s="171"/>
      <c r="AV25" s="171"/>
      <c r="AW25" s="179"/>
      <c r="AX25" s="171"/>
      <c r="AY25" s="171"/>
      <c r="AZ25" s="171"/>
      <c r="BA25" s="180"/>
    </row>
    <row r="26" spans="1:53" x14ac:dyDescent="0.15">
      <c r="A26" s="171">
        <v>1976</v>
      </c>
      <c r="B26" s="283"/>
      <c r="C26" s="410" t="s">
        <v>1272</v>
      </c>
      <c r="D26" s="410"/>
      <c r="E26" s="171">
        <v>265</v>
      </c>
      <c r="F26" s="171"/>
      <c r="G26" s="233"/>
      <c r="H26" s="171"/>
      <c r="I26" s="171">
        <v>9</v>
      </c>
      <c r="J26" s="241">
        <v>9</v>
      </c>
      <c r="K26" s="214">
        <f t="shared" si="0"/>
        <v>0</v>
      </c>
      <c r="L26" s="214">
        <f t="shared" si="1"/>
        <v>0</v>
      </c>
      <c r="M26" s="214">
        <f t="shared" si="2"/>
        <v>100</v>
      </c>
      <c r="N26" s="235">
        <f t="shared" si="3"/>
        <v>100</v>
      </c>
      <c r="O26" s="213"/>
      <c r="P26" s="214"/>
      <c r="Q26" s="214">
        <v>50.9</v>
      </c>
      <c r="R26" s="215">
        <f t="shared" si="4"/>
        <v>50.9</v>
      </c>
      <c r="S26" s="190">
        <v>1</v>
      </c>
      <c r="T26" s="285"/>
      <c r="U26" s="283"/>
      <c r="V26" s="178" t="s">
        <v>984</v>
      </c>
      <c r="W26" s="171" t="s">
        <v>20</v>
      </c>
      <c r="X26" s="171" t="s">
        <v>12</v>
      </c>
      <c r="Y26" s="179">
        <v>50.9</v>
      </c>
      <c r="Z26" s="171"/>
      <c r="AA26" s="171"/>
      <c r="AB26" s="171"/>
      <c r="AC26" s="171"/>
      <c r="AD26" s="178"/>
      <c r="AE26" s="171"/>
      <c r="AF26" s="171"/>
      <c r="AG26" s="179"/>
      <c r="AH26" s="171"/>
      <c r="AI26" s="171"/>
      <c r="AJ26" s="171"/>
      <c r="AK26" s="171"/>
      <c r="AL26" s="178"/>
      <c r="AM26" s="171"/>
      <c r="AN26" s="171"/>
      <c r="AO26" s="179"/>
      <c r="AP26" s="178"/>
      <c r="AQ26" s="171"/>
      <c r="AR26" s="171"/>
      <c r="AS26" s="179"/>
      <c r="AT26" s="171"/>
      <c r="AU26" s="171"/>
      <c r="AV26" s="171"/>
      <c r="AW26" s="179"/>
      <c r="AX26" s="171"/>
      <c r="AY26" s="171"/>
      <c r="AZ26" s="171"/>
      <c r="BA26" s="180"/>
    </row>
    <row r="27" spans="1:53" x14ac:dyDescent="0.15">
      <c r="A27" s="29">
        <v>1976</v>
      </c>
      <c r="B27" s="295">
        <v>28025</v>
      </c>
      <c r="C27" s="411" t="s">
        <v>1273</v>
      </c>
      <c r="D27" s="411"/>
      <c r="E27" s="29">
        <f>366-E26</f>
        <v>101</v>
      </c>
      <c r="F27" s="29">
        <v>1</v>
      </c>
      <c r="G27" s="66"/>
      <c r="H27" s="29"/>
      <c r="I27" s="29">
        <v>12</v>
      </c>
      <c r="J27" s="73">
        <v>12</v>
      </c>
      <c r="K27" s="47">
        <f t="shared" si="0"/>
        <v>0</v>
      </c>
      <c r="L27" s="47">
        <f t="shared" si="1"/>
        <v>0</v>
      </c>
      <c r="M27" s="47">
        <f t="shared" si="2"/>
        <v>100</v>
      </c>
      <c r="N27" s="68">
        <f t="shared" si="3"/>
        <v>100</v>
      </c>
      <c r="O27" s="46"/>
      <c r="P27" s="47"/>
      <c r="Q27" s="47">
        <v>52.3</v>
      </c>
      <c r="R27" s="48">
        <f t="shared" si="4"/>
        <v>52.3</v>
      </c>
      <c r="S27" s="29">
        <v>1</v>
      </c>
      <c r="T27" s="286">
        <v>28021</v>
      </c>
      <c r="U27" s="295">
        <v>28025</v>
      </c>
      <c r="V27" s="38" t="s">
        <v>984</v>
      </c>
      <c r="W27" s="29" t="s">
        <v>20</v>
      </c>
      <c r="X27" s="29" t="s">
        <v>12</v>
      </c>
      <c r="Y27" s="39">
        <v>52.3</v>
      </c>
      <c r="Z27" s="29"/>
      <c r="AA27" s="29"/>
      <c r="AB27" s="29"/>
      <c r="AC27" s="29"/>
      <c r="AD27" s="38"/>
      <c r="AE27" s="29"/>
      <c r="AF27" s="29"/>
      <c r="AG27" s="39"/>
      <c r="AH27" s="29"/>
      <c r="AI27" s="29"/>
      <c r="AJ27" s="29"/>
      <c r="AK27" s="29"/>
      <c r="AL27" s="38"/>
      <c r="AM27" s="29"/>
      <c r="AN27" s="29"/>
      <c r="AO27" s="39"/>
      <c r="AP27" s="38"/>
      <c r="AQ27" s="29"/>
      <c r="AR27" s="29"/>
      <c r="AS27" s="39"/>
      <c r="AT27" s="29"/>
      <c r="AU27" s="29"/>
      <c r="AV27" s="29"/>
      <c r="AW27" s="39"/>
      <c r="AX27" s="29"/>
      <c r="AY27" s="29"/>
      <c r="AZ27" s="29"/>
      <c r="BA27" s="40"/>
    </row>
    <row r="28" spans="1:53" x14ac:dyDescent="0.15">
      <c r="A28" s="29">
        <v>1977</v>
      </c>
      <c r="B28" s="295"/>
      <c r="C28" s="411" t="s">
        <v>1273</v>
      </c>
      <c r="D28" s="411"/>
      <c r="E28" s="29">
        <v>0</v>
      </c>
      <c r="F28" s="29"/>
      <c r="G28" s="66"/>
      <c r="H28" s="29"/>
      <c r="I28" s="29">
        <v>12</v>
      </c>
      <c r="J28" s="73">
        <v>12</v>
      </c>
      <c r="K28" s="47">
        <f t="shared" si="0"/>
        <v>0</v>
      </c>
      <c r="L28" s="47">
        <f t="shared" si="1"/>
        <v>0</v>
      </c>
      <c r="M28" s="47">
        <f t="shared" si="2"/>
        <v>100</v>
      </c>
      <c r="N28" s="68">
        <f t="shared" si="3"/>
        <v>100</v>
      </c>
      <c r="O28" s="46"/>
      <c r="P28" s="47"/>
      <c r="Q28" s="47">
        <v>52.3</v>
      </c>
      <c r="R28" s="48">
        <f t="shared" si="4"/>
        <v>52.3</v>
      </c>
      <c r="S28" s="29">
        <v>1</v>
      </c>
      <c r="T28" s="286"/>
      <c r="U28" s="295"/>
      <c r="V28" s="38" t="s">
        <v>984</v>
      </c>
      <c r="W28" s="29" t="s">
        <v>20</v>
      </c>
      <c r="X28" s="29" t="s">
        <v>12</v>
      </c>
      <c r="Y28" s="39">
        <v>52.3</v>
      </c>
      <c r="Z28" s="29"/>
      <c r="AA28" s="29"/>
      <c r="AB28" s="29"/>
      <c r="AC28" s="29"/>
      <c r="AD28" s="38"/>
      <c r="AE28" s="29"/>
      <c r="AF28" s="29"/>
      <c r="AG28" s="39"/>
      <c r="AH28" s="29"/>
      <c r="AI28" s="29"/>
      <c r="AJ28" s="29"/>
      <c r="AK28" s="29"/>
      <c r="AL28" s="38"/>
      <c r="AM28" s="29"/>
      <c r="AN28" s="29"/>
      <c r="AO28" s="39"/>
      <c r="AP28" s="38"/>
      <c r="AQ28" s="29"/>
      <c r="AR28" s="29"/>
      <c r="AS28" s="39"/>
      <c r="AT28" s="29"/>
      <c r="AU28" s="29"/>
      <c r="AV28" s="29"/>
      <c r="AW28" s="39"/>
      <c r="AX28" s="29"/>
      <c r="AY28" s="29"/>
      <c r="AZ28" s="29"/>
      <c r="BA28" s="40"/>
    </row>
    <row r="29" spans="1:53" x14ac:dyDescent="0.15">
      <c r="A29" s="29">
        <v>1977</v>
      </c>
      <c r="B29" s="295"/>
      <c r="C29" s="411" t="s">
        <v>1273</v>
      </c>
      <c r="D29" s="411"/>
      <c r="E29" s="29">
        <v>365</v>
      </c>
      <c r="F29" s="29"/>
      <c r="G29" s="66"/>
      <c r="H29" s="29"/>
      <c r="I29" s="29">
        <v>12</v>
      </c>
      <c r="J29" s="73">
        <v>12</v>
      </c>
      <c r="K29" s="47">
        <f t="shared" si="0"/>
        <v>0</v>
      </c>
      <c r="L29" s="47">
        <f t="shared" si="1"/>
        <v>0</v>
      </c>
      <c r="M29" s="47">
        <f t="shared" si="2"/>
        <v>100</v>
      </c>
      <c r="N29" s="68">
        <f t="shared" si="3"/>
        <v>100</v>
      </c>
      <c r="O29" s="46"/>
      <c r="P29" s="47"/>
      <c r="Q29" s="47">
        <v>52.3</v>
      </c>
      <c r="R29" s="48">
        <f t="shared" si="4"/>
        <v>52.3</v>
      </c>
      <c r="S29" s="29">
        <v>1</v>
      </c>
      <c r="T29" s="286"/>
      <c r="U29" s="295"/>
      <c r="V29" s="38" t="s">
        <v>984</v>
      </c>
      <c r="W29" s="29" t="s">
        <v>20</v>
      </c>
      <c r="X29" s="29" t="s">
        <v>12</v>
      </c>
      <c r="Y29" s="39">
        <v>52.3</v>
      </c>
      <c r="Z29" s="29"/>
      <c r="AA29" s="29"/>
      <c r="AB29" s="29"/>
      <c r="AC29" s="29"/>
      <c r="AD29" s="38"/>
      <c r="AE29" s="29"/>
      <c r="AF29" s="29"/>
      <c r="AG29" s="39"/>
      <c r="AH29" s="29"/>
      <c r="AI29" s="29"/>
      <c r="AJ29" s="29"/>
      <c r="AK29" s="29"/>
      <c r="AL29" s="38"/>
      <c r="AM29" s="29"/>
      <c r="AN29" s="29"/>
      <c r="AO29" s="39"/>
      <c r="AP29" s="38"/>
      <c r="AQ29" s="29"/>
      <c r="AR29" s="29"/>
      <c r="AS29" s="39"/>
      <c r="AT29" s="29"/>
      <c r="AU29" s="29"/>
      <c r="AV29" s="29"/>
      <c r="AW29" s="39"/>
      <c r="AX29" s="29"/>
      <c r="AY29" s="29"/>
      <c r="AZ29" s="29"/>
      <c r="BA29" s="40"/>
    </row>
    <row r="30" spans="1:53" x14ac:dyDescent="0.15">
      <c r="A30" s="29">
        <v>1978</v>
      </c>
      <c r="B30" s="295"/>
      <c r="C30" s="411" t="s">
        <v>1273</v>
      </c>
      <c r="D30" s="411"/>
      <c r="E30" s="29">
        <v>0</v>
      </c>
      <c r="F30" s="29"/>
      <c r="G30" s="66"/>
      <c r="H30" s="29"/>
      <c r="I30" s="29">
        <v>12</v>
      </c>
      <c r="J30" s="73">
        <v>12</v>
      </c>
      <c r="K30" s="47">
        <f t="shared" si="0"/>
        <v>0</v>
      </c>
      <c r="L30" s="47">
        <f t="shared" si="1"/>
        <v>0</v>
      </c>
      <c r="M30" s="47">
        <f t="shared" si="2"/>
        <v>100</v>
      </c>
      <c r="N30" s="68">
        <f t="shared" si="3"/>
        <v>100</v>
      </c>
      <c r="O30" s="46"/>
      <c r="P30" s="47"/>
      <c r="Q30" s="47">
        <v>52.3</v>
      </c>
      <c r="R30" s="48">
        <f t="shared" si="4"/>
        <v>52.3</v>
      </c>
      <c r="S30" s="29">
        <v>1</v>
      </c>
      <c r="T30" s="286"/>
      <c r="U30" s="295"/>
      <c r="V30" s="38" t="s">
        <v>984</v>
      </c>
      <c r="W30" s="29" t="s">
        <v>20</v>
      </c>
      <c r="X30" s="29" t="s">
        <v>12</v>
      </c>
      <c r="Y30" s="39">
        <v>52.3</v>
      </c>
      <c r="Z30" s="29"/>
      <c r="AA30" s="29"/>
      <c r="AB30" s="29"/>
      <c r="AC30" s="29"/>
      <c r="AD30" s="38"/>
      <c r="AE30" s="29"/>
      <c r="AF30" s="29"/>
      <c r="AG30" s="39"/>
      <c r="AH30" s="29"/>
      <c r="AI30" s="29"/>
      <c r="AJ30" s="29"/>
      <c r="AK30" s="29"/>
      <c r="AL30" s="38"/>
      <c r="AM30" s="29"/>
      <c r="AN30" s="29"/>
      <c r="AO30" s="39"/>
      <c r="AP30" s="38"/>
      <c r="AQ30" s="29"/>
      <c r="AR30" s="29"/>
      <c r="AS30" s="39"/>
      <c r="AT30" s="29"/>
      <c r="AU30" s="29"/>
      <c r="AV30" s="29"/>
      <c r="AW30" s="39"/>
      <c r="AX30" s="29"/>
      <c r="AY30" s="29"/>
      <c r="AZ30" s="29"/>
      <c r="BA30" s="40"/>
    </row>
    <row r="31" spans="1:53" x14ac:dyDescent="0.15">
      <c r="A31" s="29">
        <v>1978</v>
      </c>
      <c r="B31" s="295"/>
      <c r="C31" s="411" t="s">
        <v>1273</v>
      </c>
      <c r="D31" s="411"/>
      <c r="E31" s="29">
        <v>365</v>
      </c>
      <c r="F31" s="29"/>
      <c r="G31" s="66"/>
      <c r="H31" s="29"/>
      <c r="I31" s="29">
        <v>12</v>
      </c>
      <c r="J31" s="73">
        <v>12</v>
      </c>
      <c r="K31" s="47">
        <f t="shared" si="0"/>
        <v>0</v>
      </c>
      <c r="L31" s="47">
        <f t="shared" si="1"/>
        <v>0</v>
      </c>
      <c r="M31" s="47">
        <f t="shared" si="2"/>
        <v>100</v>
      </c>
      <c r="N31" s="68">
        <f t="shared" si="3"/>
        <v>100</v>
      </c>
      <c r="O31" s="46"/>
      <c r="P31" s="47"/>
      <c r="Q31" s="47">
        <v>52.3</v>
      </c>
      <c r="R31" s="48">
        <f t="shared" si="4"/>
        <v>52.3</v>
      </c>
      <c r="S31" s="29">
        <v>1</v>
      </c>
      <c r="T31" s="286"/>
      <c r="U31" s="295"/>
      <c r="V31" s="38" t="s">
        <v>984</v>
      </c>
      <c r="W31" s="29" t="s">
        <v>20</v>
      </c>
      <c r="X31" s="29" t="s">
        <v>12</v>
      </c>
      <c r="Y31" s="39">
        <v>52.3</v>
      </c>
      <c r="Z31" s="29"/>
      <c r="AA31" s="29"/>
      <c r="AB31" s="29"/>
      <c r="AC31" s="29"/>
      <c r="AD31" s="38"/>
      <c r="AE31" s="29"/>
      <c r="AF31" s="29"/>
      <c r="AG31" s="39"/>
      <c r="AH31" s="29"/>
      <c r="AI31" s="29"/>
      <c r="AJ31" s="29"/>
      <c r="AK31" s="29"/>
      <c r="AL31" s="38"/>
      <c r="AM31" s="29"/>
      <c r="AN31" s="29"/>
      <c r="AO31" s="39"/>
      <c r="AP31" s="38"/>
      <c r="AQ31" s="29"/>
      <c r="AR31" s="29"/>
      <c r="AS31" s="39"/>
      <c r="AT31" s="29"/>
      <c r="AU31" s="29"/>
      <c r="AV31" s="29"/>
      <c r="AW31" s="39"/>
      <c r="AX31" s="29"/>
      <c r="AY31" s="29"/>
      <c r="AZ31" s="29"/>
      <c r="BA31" s="40"/>
    </row>
    <row r="32" spans="1:53" x14ac:dyDescent="0.15">
      <c r="A32" s="29">
        <v>1979</v>
      </c>
      <c r="B32" s="295"/>
      <c r="C32" s="411" t="s">
        <v>1273</v>
      </c>
      <c r="D32" s="411"/>
      <c r="E32" s="29">
        <v>0</v>
      </c>
      <c r="F32" s="29"/>
      <c r="G32" s="66"/>
      <c r="H32" s="29"/>
      <c r="I32" s="29">
        <v>12</v>
      </c>
      <c r="J32" s="73">
        <v>12</v>
      </c>
      <c r="K32" s="47">
        <f t="shared" si="0"/>
        <v>0</v>
      </c>
      <c r="L32" s="47">
        <f t="shared" si="1"/>
        <v>0</v>
      </c>
      <c r="M32" s="47">
        <f t="shared" si="2"/>
        <v>100</v>
      </c>
      <c r="N32" s="68">
        <f t="shared" si="3"/>
        <v>100</v>
      </c>
      <c r="O32" s="46"/>
      <c r="P32" s="47"/>
      <c r="Q32" s="47">
        <v>52.3</v>
      </c>
      <c r="R32" s="48">
        <f t="shared" si="4"/>
        <v>52.3</v>
      </c>
      <c r="S32" s="29">
        <v>1</v>
      </c>
      <c r="T32" s="286"/>
      <c r="U32" s="295"/>
      <c r="V32" s="38" t="s">
        <v>984</v>
      </c>
      <c r="W32" s="29" t="s">
        <v>20</v>
      </c>
      <c r="X32" s="29" t="s">
        <v>12</v>
      </c>
      <c r="Y32" s="39">
        <v>52.3</v>
      </c>
      <c r="Z32" s="29"/>
      <c r="AA32" s="29"/>
      <c r="AB32" s="29"/>
      <c r="AC32" s="29"/>
      <c r="AD32" s="38"/>
      <c r="AE32" s="29"/>
      <c r="AF32" s="29"/>
      <c r="AG32" s="39"/>
      <c r="AH32" s="29"/>
      <c r="AI32" s="29"/>
      <c r="AJ32" s="29"/>
      <c r="AK32" s="29"/>
      <c r="AL32" s="38"/>
      <c r="AM32" s="29"/>
      <c r="AN32" s="29"/>
      <c r="AO32" s="39"/>
      <c r="AP32" s="38"/>
      <c r="AQ32" s="29"/>
      <c r="AR32" s="29"/>
      <c r="AS32" s="39"/>
      <c r="AT32" s="29"/>
      <c r="AU32" s="29"/>
      <c r="AV32" s="29"/>
      <c r="AW32" s="39"/>
      <c r="AX32" s="29"/>
      <c r="AY32" s="29"/>
      <c r="AZ32" s="29"/>
      <c r="BA32" s="40"/>
    </row>
    <row r="33" spans="1:53" x14ac:dyDescent="0.15">
      <c r="A33" s="29">
        <v>1979</v>
      </c>
      <c r="B33" s="295"/>
      <c r="C33" s="411" t="s">
        <v>1273</v>
      </c>
      <c r="D33" s="411"/>
      <c r="E33" s="29">
        <v>365</v>
      </c>
      <c r="F33" s="29"/>
      <c r="G33" s="66"/>
      <c r="H33" s="29"/>
      <c r="I33" s="29">
        <v>12</v>
      </c>
      <c r="J33" s="73">
        <v>12</v>
      </c>
      <c r="K33" s="47">
        <f t="shared" si="0"/>
        <v>0</v>
      </c>
      <c r="L33" s="47">
        <f t="shared" si="1"/>
        <v>0</v>
      </c>
      <c r="M33" s="47">
        <f t="shared" si="2"/>
        <v>100</v>
      </c>
      <c r="N33" s="68">
        <f t="shared" si="3"/>
        <v>100</v>
      </c>
      <c r="O33" s="46"/>
      <c r="P33" s="47"/>
      <c r="Q33" s="47">
        <v>52.3</v>
      </c>
      <c r="R33" s="48">
        <f t="shared" si="4"/>
        <v>52.3</v>
      </c>
      <c r="S33" s="29">
        <v>1</v>
      </c>
      <c r="T33" s="286"/>
      <c r="U33" s="295"/>
      <c r="V33" s="38" t="s">
        <v>984</v>
      </c>
      <c r="W33" s="29" t="s">
        <v>20</v>
      </c>
      <c r="X33" s="29" t="s">
        <v>12</v>
      </c>
      <c r="Y33" s="39">
        <v>52.3</v>
      </c>
      <c r="Z33" s="29"/>
      <c r="AA33" s="29"/>
      <c r="AB33" s="29"/>
      <c r="AC33" s="29"/>
      <c r="AD33" s="38"/>
      <c r="AE33" s="29"/>
      <c r="AF33" s="29"/>
      <c r="AG33" s="39"/>
      <c r="AH33" s="29"/>
      <c r="AI33" s="29"/>
      <c r="AJ33" s="29"/>
      <c r="AK33" s="29"/>
      <c r="AL33" s="38"/>
      <c r="AM33" s="29"/>
      <c r="AN33" s="29"/>
      <c r="AO33" s="39"/>
      <c r="AP33" s="38"/>
      <c r="AQ33" s="29"/>
      <c r="AR33" s="29"/>
      <c r="AS33" s="39"/>
      <c r="AT33" s="29"/>
      <c r="AU33" s="29"/>
      <c r="AV33" s="29"/>
      <c r="AW33" s="39"/>
      <c r="AX33" s="29"/>
      <c r="AY33" s="29"/>
      <c r="AZ33" s="29"/>
      <c r="BA33" s="40"/>
    </row>
    <row r="34" spans="1:53" x14ac:dyDescent="0.15">
      <c r="A34" s="29">
        <v>1980</v>
      </c>
      <c r="B34" s="295"/>
      <c r="C34" s="411" t="s">
        <v>1273</v>
      </c>
      <c r="D34" s="411"/>
      <c r="E34" s="29">
        <v>0</v>
      </c>
      <c r="F34" s="29"/>
      <c r="G34" s="66"/>
      <c r="H34" s="29"/>
      <c r="I34" s="29">
        <v>12</v>
      </c>
      <c r="J34" s="73">
        <v>12</v>
      </c>
      <c r="K34" s="47">
        <f t="shared" si="0"/>
        <v>0</v>
      </c>
      <c r="L34" s="47">
        <f t="shared" si="1"/>
        <v>0</v>
      </c>
      <c r="M34" s="47">
        <f t="shared" si="2"/>
        <v>100</v>
      </c>
      <c r="N34" s="68">
        <f t="shared" si="3"/>
        <v>100</v>
      </c>
      <c r="O34" s="46"/>
      <c r="P34" s="47"/>
      <c r="Q34" s="47">
        <v>52.3</v>
      </c>
      <c r="R34" s="48">
        <f t="shared" si="4"/>
        <v>52.3</v>
      </c>
      <c r="S34" s="29">
        <v>1</v>
      </c>
      <c r="T34" s="286"/>
      <c r="U34" s="295"/>
      <c r="V34" s="38" t="s">
        <v>984</v>
      </c>
      <c r="W34" s="29" t="s">
        <v>20</v>
      </c>
      <c r="X34" s="29" t="s">
        <v>12</v>
      </c>
      <c r="Y34" s="39">
        <v>52.3</v>
      </c>
      <c r="Z34" s="29"/>
      <c r="AA34" s="29"/>
      <c r="AB34" s="29"/>
      <c r="AC34" s="29"/>
      <c r="AD34" s="38"/>
      <c r="AE34" s="29"/>
      <c r="AF34" s="29"/>
      <c r="AG34" s="39"/>
      <c r="AH34" s="29"/>
      <c r="AI34" s="29"/>
      <c r="AJ34" s="29"/>
      <c r="AK34" s="29"/>
      <c r="AL34" s="38"/>
      <c r="AM34" s="29"/>
      <c r="AN34" s="29"/>
      <c r="AO34" s="39"/>
      <c r="AP34" s="38"/>
      <c r="AQ34" s="29"/>
      <c r="AR34" s="29"/>
      <c r="AS34" s="39"/>
      <c r="AT34" s="29"/>
      <c r="AU34" s="29"/>
      <c r="AV34" s="29"/>
      <c r="AW34" s="39"/>
      <c r="AX34" s="29"/>
      <c r="AY34" s="29"/>
      <c r="AZ34" s="29"/>
      <c r="BA34" s="40"/>
    </row>
    <row r="35" spans="1:53" x14ac:dyDescent="0.15">
      <c r="A35" s="29">
        <v>1980</v>
      </c>
      <c r="B35" s="295"/>
      <c r="C35" s="411" t="s">
        <v>1273</v>
      </c>
      <c r="D35" s="411"/>
      <c r="E35" s="29">
        <v>366</v>
      </c>
      <c r="F35" s="29"/>
      <c r="G35" s="66"/>
      <c r="H35" s="29"/>
      <c r="I35" s="29">
        <v>12</v>
      </c>
      <c r="J35" s="73">
        <v>12</v>
      </c>
      <c r="K35" s="47">
        <f t="shared" si="0"/>
        <v>0</v>
      </c>
      <c r="L35" s="47">
        <f t="shared" si="1"/>
        <v>0</v>
      </c>
      <c r="M35" s="47">
        <f t="shared" si="2"/>
        <v>100</v>
      </c>
      <c r="N35" s="68">
        <f t="shared" si="3"/>
        <v>100</v>
      </c>
      <c r="O35" s="46"/>
      <c r="P35" s="47"/>
      <c r="Q35" s="47">
        <v>52.3</v>
      </c>
      <c r="R35" s="48">
        <f t="shared" si="4"/>
        <v>52.3</v>
      </c>
      <c r="S35" s="29">
        <v>1</v>
      </c>
      <c r="T35" s="286"/>
      <c r="U35" s="295"/>
      <c r="V35" s="38" t="s">
        <v>984</v>
      </c>
      <c r="W35" s="29" t="s">
        <v>20</v>
      </c>
      <c r="X35" s="29" t="s">
        <v>12</v>
      </c>
      <c r="Y35" s="39">
        <v>52.3</v>
      </c>
      <c r="Z35" s="29"/>
      <c r="AA35" s="29"/>
      <c r="AB35" s="29"/>
      <c r="AC35" s="29"/>
      <c r="AD35" s="38"/>
      <c r="AE35" s="29"/>
      <c r="AF35" s="29"/>
      <c r="AG35" s="39"/>
      <c r="AH35" s="29"/>
      <c r="AI35" s="29"/>
      <c r="AJ35" s="29"/>
      <c r="AK35" s="29"/>
      <c r="AL35" s="38"/>
      <c r="AM35" s="29"/>
      <c r="AN35" s="29"/>
      <c r="AO35" s="39"/>
      <c r="AP35" s="38"/>
      <c r="AQ35" s="29"/>
      <c r="AR35" s="29"/>
      <c r="AS35" s="39"/>
      <c r="AT35" s="29"/>
      <c r="AU35" s="29"/>
      <c r="AV35" s="29"/>
      <c r="AW35" s="39"/>
      <c r="AX35" s="29"/>
      <c r="AY35" s="29"/>
      <c r="AZ35" s="29"/>
      <c r="BA35" s="40"/>
    </row>
    <row r="36" spans="1:53" x14ac:dyDescent="0.15">
      <c r="A36" s="29">
        <v>1981</v>
      </c>
      <c r="B36" s="295"/>
      <c r="C36" s="411" t="s">
        <v>1273</v>
      </c>
      <c r="D36" s="411"/>
      <c r="E36" s="29">
        <v>351</v>
      </c>
      <c r="F36" s="29"/>
      <c r="G36" s="66"/>
      <c r="H36" s="29"/>
      <c r="I36" s="29">
        <v>12</v>
      </c>
      <c r="J36" s="73">
        <v>12</v>
      </c>
      <c r="K36" s="47">
        <f t="shared" si="0"/>
        <v>0</v>
      </c>
      <c r="L36" s="47">
        <f t="shared" si="1"/>
        <v>0</v>
      </c>
      <c r="M36" s="47">
        <f t="shared" si="2"/>
        <v>100</v>
      </c>
      <c r="N36" s="68">
        <f t="shared" si="3"/>
        <v>100</v>
      </c>
      <c r="O36" s="46"/>
      <c r="P36" s="47"/>
      <c r="Q36" s="47">
        <v>52.3</v>
      </c>
      <c r="R36" s="48">
        <f t="shared" si="4"/>
        <v>52.3</v>
      </c>
      <c r="S36" s="29">
        <v>1</v>
      </c>
      <c r="T36" s="286"/>
      <c r="U36" s="295"/>
      <c r="V36" s="38" t="s">
        <v>984</v>
      </c>
      <c r="W36" s="29" t="s">
        <v>20</v>
      </c>
      <c r="X36" s="29" t="s">
        <v>12</v>
      </c>
      <c r="Y36" s="39">
        <v>52.3</v>
      </c>
      <c r="Z36" s="29"/>
      <c r="AA36" s="29"/>
      <c r="AB36" s="29"/>
      <c r="AC36" s="29"/>
      <c r="AD36" s="38"/>
      <c r="AE36" s="29"/>
      <c r="AF36" s="29"/>
      <c r="AG36" s="39"/>
      <c r="AH36" s="29"/>
      <c r="AI36" s="29"/>
      <c r="AJ36" s="29"/>
      <c r="AK36" s="29"/>
      <c r="AL36" s="38"/>
      <c r="AM36" s="29"/>
      <c r="AN36" s="29"/>
      <c r="AO36" s="39"/>
      <c r="AP36" s="38"/>
      <c r="AQ36" s="29"/>
      <c r="AR36" s="29"/>
      <c r="AS36" s="39"/>
      <c r="AT36" s="29"/>
      <c r="AU36" s="29"/>
      <c r="AV36" s="29"/>
      <c r="AW36" s="39"/>
      <c r="AX36" s="29"/>
      <c r="AY36" s="29"/>
      <c r="AZ36" s="29"/>
      <c r="BA36" s="40"/>
    </row>
    <row r="37" spans="1:53" x14ac:dyDescent="0.15">
      <c r="A37" s="171">
        <v>1981</v>
      </c>
      <c r="B37" s="283">
        <v>29938</v>
      </c>
      <c r="C37" s="410" t="s">
        <v>1274</v>
      </c>
      <c r="D37" s="410"/>
      <c r="E37" s="171">
        <f>365-E36</f>
        <v>14</v>
      </c>
      <c r="F37" s="171">
        <v>1</v>
      </c>
      <c r="G37" s="233"/>
      <c r="H37" s="171"/>
      <c r="I37" s="171">
        <v>14</v>
      </c>
      <c r="J37" s="241">
        <v>14</v>
      </c>
      <c r="K37" s="214">
        <f t="shared" si="0"/>
        <v>0</v>
      </c>
      <c r="L37" s="214">
        <f t="shared" si="1"/>
        <v>0</v>
      </c>
      <c r="M37" s="214">
        <f t="shared" si="2"/>
        <v>100</v>
      </c>
      <c r="N37" s="235">
        <f t="shared" si="3"/>
        <v>100</v>
      </c>
      <c r="O37" s="213"/>
      <c r="P37" s="214"/>
      <c r="Q37" s="214">
        <v>52.3</v>
      </c>
      <c r="R37" s="215">
        <f t="shared" si="4"/>
        <v>52.3</v>
      </c>
      <c r="S37" s="190">
        <v>1</v>
      </c>
      <c r="T37" s="285">
        <v>29932</v>
      </c>
      <c r="U37" s="283">
        <v>29938</v>
      </c>
      <c r="V37" s="178" t="s">
        <v>984</v>
      </c>
      <c r="W37" s="171" t="s">
        <v>20</v>
      </c>
      <c r="X37" s="171" t="s">
        <v>12</v>
      </c>
      <c r="Y37" s="179">
        <v>47.7</v>
      </c>
      <c r="Z37" s="171"/>
      <c r="AA37" s="171"/>
      <c r="AB37" s="171"/>
      <c r="AC37" s="171"/>
      <c r="AD37" s="178"/>
      <c r="AE37" s="171"/>
      <c r="AF37" s="171"/>
      <c r="AG37" s="179"/>
      <c r="AH37" s="171"/>
      <c r="AI37" s="171"/>
      <c r="AJ37" s="171"/>
      <c r="AK37" s="171"/>
      <c r="AL37" s="178"/>
      <c r="AM37" s="171"/>
      <c r="AN37" s="171"/>
      <c r="AO37" s="179"/>
      <c r="AP37" s="178"/>
      <c r="AQ37" s="171"/>
      <c r="AR37" s="171"/>
      <c r="AS37" s="179"/>
      <c r="AT37" s="171"/>
      <c r="AU37" s="171"/>
      <c r="AV37" s="171"/>
      <c r="AW37" s="179"/>
      <c r="AX37" s="171"/>
      <c r="AY37" s="171"/>
      <c r="AZ37" s="171"/>
      <c r="BA37" s="180"/>
    </row>
    <row r="38" spans="1:53" x14ac:dyDescent="0.15">
      <c r="A38" s="171">
        <v>1982</v>
      </c>
      <c r="B38" s="283"/>
      <c r="C38" s="410" t="s">
        <v>1274</v>
      </c>
      <c r="D38" s="410"/>
      <c r="E38" s="171">
        <v>0</v>
      </c>
      <c r="F38" s="171"/>
      <c r="G38" s="233"/>
      <c r="H38" s="171"/>
      <c r="I38" s="171">
        <v>14</v>
      </c>
      <c r="J38" s="241">
        <v>14</v>
      </c>
      <c r="K38" s="214">
        <f t="shared" si="0"/>
        <v>0</v>
      </c>
      <c r="L38" s="214">
        <f t="shared" si="1"/>
        <v>0</v>
      </c>
      <c r="M38" s="214">
        <f t="shared" si="2"/>
        <v>100</v>
      </c>
      <c r="N38" s="235">
        <f t="shared" si="3"/>
        <v>100</v>
      </c>
      <c r="O38" s="213"/>
      <c r="P38" s="214"/>
      <c r="Q38" s="214">
        <v>52.3</v>
      </c>
      <c r="R38" s="215">
        <f t="shared" si="4"/>
        <v>52.3</v>
      </c>
      <c r="S38" s="190">
        <v>1</v>
      </c>
      <c r="T38" s="285"/>
      <c r="U38" s="283"/>
      <c r="V38" s="178" t="s">
        <v>984</v>
      </c>
      <c r="W38" s="171" t="s">
        <v>20</v>
      </c>
      <c r="X38" s="171" t="s">
        <v>12</v>
      </c>
      <c r="Y38" s="179">
        <v>47.7</v>
      </c>
      <c r="Z38" s="171"/>
      <c r="AA38" s="171"/>
      <c r="AB38" s="171"/>
      <c r="AC38" s="171"/>
      <c r="AD38" s="178"/>
      <c r="AE38" s="171"/>
      <c r="AF38" s="171"/>
      <c r="AG38" s="179"/>
      <c r="AH38" s="171"/>
      <c r="AI38" s="171"/>
      <c r="AJ38" s="171"/>
      <c r="AK38" s="171"/>
      <c r="AL38" s="178"/>
      <c r="AM38" s="171"/>
      <c r="AN38" s="171"/>
      <c r="AO38" s="179"/>
      <c r="AP38" s="178"/>
      <c r="AQ38" s="171"/>
      <c r="AR38" s="171"/>
      <c r="AS38" s="179"/>
      <c r="AT38" s="171"/>
      <c r="AU38" s="171"/>
      <c r="AV38" s="171"/>
      <c r="AW38" s="179"/>
      <c r="AX38" s="171"/>
      <c r="AY38" s="171"/>
      <c r="AZ38" s="171"/>
      <c r="BA38" s="180"/>
    </row>
    <row r="39" spans="1:53" x14ac:dyDescent="0.15">
      <c r="A39" s="171">
        <v>1982</v>
      </c>
      <c r="B39" s="283"/>
      <c r="C39" s="410" t="s">
        <v>1274</v>
      </c>
      <c r="D39" s="410"/>
      <c r="E39" s="171">
        <v>365</v>
      </c>
      <c r="F39" s="171"/>
      <c r="G39" s="233"/>
      <c r="H39" s="171"/>
      <c r="I39" s="171">
        <v>14</v>
      </c>
      <c r="J39" s="241">
        <v>14</v>
      </c>
      <c r="K39" s="214">
        <f t="shared" ref="K39:K70" si="5">G39/J39*100</f>
        <v>0</v>
      </c>
      <c r="L39" s="214">
        <f t="shared" ref="L39:L70" si="6">H39/J39*100</f>
        <v>0</v>
      </c>
      <c r="M39" s="214">
        <f t="shared" ref="M39:M70" si="7">I39/J39*100</f>
        <v>100</v>
      </c>
      <c r="N39" s="235">
        <f t="shared" ref="N39:N70" si="8">K39+L39+M39</f>
        <v>100</v>
      </c>
      <c r="O39" s="213"/>
      <c r="P39" s="214"/>
      <c r="Q39" s="214">
        <v>52.3</v>
      </c>
      <c r="R39" s="215">
        <f t="shared" ref="R39:R70" si="9">O39+P39+Q39</f>
        <v>52.3</v>
      </c>
      <c r="S39" s="190">
        <v>1</v>
      </c>
      <c r="T39" s="285"/>
      <c r="U39" s="283"/>
      <c r="V39" s="178" t="s">
        <v>984</v>
      </c>
      <c r="W39" s="171" t="s">
        <v>20</v>
      </c>
      <c r="X39" s="171" t="s">
        <v>12</v>
      </c>
      <c r="Y39" s="179">
        <v>47.7</v>
      </c>
      <c r="Z39" s="171"/>
      <c r="AA39" s="171"/>
      <c r="AB39" s="171"/>
      <c r="AC39" s="171"/>
      <c r="AD39" s="178"/>
      <c r="AE39" s="171"/>
      <c r="AF39" s="171"/>
      <c r="AG39" s="179"/>
      <c r="AH39" s="171"/>
      <c r="AI39" s="171"/>
      <c r="AJ39" s="171"/>
      <c r="AK39" s="171"/>
      <c r="AL39" s="178"/>
      <c r="AM39" s="171"/>
      <c r="AN39" s="171"/>
      <c r="AO39" s="179"/>
      <c r="AP39" s="178"/>
      <c r="AQ39" s="171"/>
      <c r="AR39" s="171"/>
      <c r="AS39" s="179"/>
      <c r="AT39" s="171"/>
      <c r="AU39" s="171"/>
      <c r="AV39" s="171"/>
      <c r="AW39" s="179"/>
      <c r="AX39" s="171"/>
      <c r="AY39" s="171"/>
      <c r="AZ39" s="171"/>
      <c r="BA39" s="180"/>
    </row>
    <row r="40" spans="1:53" x14ac:dyDescent="0.15">
      <c r="A40" s="171">
        <v>1983</v>
      </c>
      <c r="B40" s="283"/>
      <c r="C40" s="410" t="s">
        <v>1274</v>
      </c>
      <c r="D40" s="410"/>
      <c r="E40" s="171">
        <v>0</v>
      </c>
      <c r="F40" s="171"/>
      <c r="G40" s="233"/>
      <c r="H40" s="171"/>
      <c r="I40" s="171">
        <v>14</v>
      </c>
      <c r="J40" s="241">
        <v>14</v>
      </c>
      <c r="K40" s="214">
        <f t="shared" si="5"/>
        <v>0</v>
      </c>
      <c r="L40" s="214">
        <f t="shared" si="6"/>
        <v>0</v>
      </c>
      <c r="M40" s="214">
        <f t="shared" si="7"/>
        <v>100</v>
      </c>
      <c r="N40" s="235">
        <f t="shared" si="8"/>
        <v>100</v>
      </c>
      <c r="O40" s="213"/>
      <c r="P40" s="214"/>
      <c r="Q40" s="214">
        <v>52.3</v>
      </c>
      <c r="R40" s="215">
        <f t="shared" si="9"/>
        <v>52.3</v>
      </c>
      <c r="S40" s="190">
        <v>1</v>
      </c>
      <c r="T40" s="285"/>
      <c r="U40" s="283"/>
      <c r="V40" s="178" t="s">
        <v>984</v>
      </c>
      <c r="W40" s="171" t="s">
        <v>20</v>
      </c>
      <c r="X40" s="171" t="s">
        <v>12</v>
      </c>
      <c r="Y40" s="179">
        <v>47.7</v>
      </c>
      <c r="Z40" s="171"/>
      <c r="AA40" s="171"/>
      <c r="AB40" s="171"/>
      <c r="AC40" s="171"/>
      <c r="AD40" s="178"/>
      <c r="AE40" s="171"/>
      <c r="AF40" s="171"/>
      <c r="AG40" s="179"/>
      <c r="AH40" s="171"/>
      <c r="AI40" s="171"/>
      <c r="AJ40" s="171"/>
      <c r="AK40" s="171"/>
      <c r="AL40" s="178"/>
      <c r="AM40" s="171"/>
      <c r="AN40" s="171"/>
      <c r="AO40" s="179"/>
      <c r="AP40" s="178"/>
      <c r="AQ40" s="171"/>
      <c r="AR40" s="171"/>
      <c r="AS40" s="179"/>
      <c r="AT40" s="171"/>
      <c r="AU40" s="171"/>
      <c r="AV40" s="171"/>
      <c r="AW40" s="179"/>
      <c r="AX40" s="171"/>
      <c r="AY40" s="171"/>
      <c r="AZ40" s="171"/>
      <c r="BA40" s="180"/>
    </row>
    <row r="41" spans="1:53" x14ac:dyDescent="0.15">
      <c r="A41" s="171">
        <v>1983</v>
      </c>
      <c r="B41" s="283"/>
      <c r="C41" s="410" t="s">
        <v>1274</v>
      </c>
      <c r="D41" s="410"/>
      <c r="E41" s="171">
        <v>365</v>
      </c>
      <c r="F41" s="171"/>
      <c r="G41" s="233"/>
      <c r="H41" s="171"/>
      <c r="I41" s="171">
        <v>14</v>
      </c>
      <c r="J41" s="241">
        <v>14</v>
      </c>
      <c r="K41" s="214">
        <f t="shared" si="5"/>
        <v>0</v>
      </c>
      <c r="L41" s="214">
        <f t="shared" si="6"/>
        <v>0</v>
      </c>
      <c r="M41" s="214">
        <f t="shared" si="7"/>
        <v>100</v>
      </c>
      <c r="N41" s="235">
        <f t="shared" si="8"/>
        <v>100</v>
      </c>
      <c r="O41" s="213"/>
      <c r="P41" s="214"/>
      <c r="Q41" s="214">
        <v>52.3</v>
      </c>
      <c r="R41" s="215">
        <f t="shared" si="9"/>
        <v>52.3</v>
      </c>
      <c r="S41" s="190">
        <v>1</v>
      </c>
      <c r="T41" s="285"/>
      <c r="U41" s="283"/>
      <c r="V41" s="178" t="s">
        <v>984</v>
      </c>
      <c r="W41" s="171" t="s">
        <v>20</v>
      </c>
      <c r="X41" s="171" t="s">
        <v>12</v>
      </c>
      <c r="Y41" s="179">
        <v>47.7</v>
      </c>
      <c r="Z41" s="171"/>
      <c r="AA41" s="171"/>
      <c r="AB41" s="171"/>
      <c r="AC41" s="171"/>
      <c r="AD41" s="178"/>
      <c r="AE41" s="171"/>
      <c r="AF41" s="171"/>
      <c r="AG41" s="179"/>
      <c r="AH41" s="171"/>
      <c r="AI41" s="171"/>
      <c r="AJ41" s="171"/>
      <c r="AK41" s="171"/>
      <c r="AL41" s="178"/>
      <c r="AM41" s="171"/>
      <c r="AN41" s="171"/>
      <c r="AO41" s="179"/>
      <c r="AP41" s="178"/>
      <c r="AQ41" s="171"/>
      <c r="AR41" s="171"/>
      <c r="AS41" s="179"/>
      <c r="AT41" s="171"/>
      <c r="AU41" s="171"/>
      <c r="AV41" s="171"/>
      <c r="AW41" s="179"/>
      <c r="AX41" s="171"/>
      <c r="AY41" s="171"/>
      <c r="AZ41" s="171"/>
      <c r="BA41" s="180"/>
    </row>
    <row r="42" spans="1:53" x14ac:dyDescent="0.15">
      <c r="A42" s="171">
        <v>1984</v>
      </c>
      <c r="B42" s="283"/>
      <c r="C42" s="410" t="s">
        <v>1274</v>
      </c>
      <c r="D42" s="410"/>
      <c r="E42" s="171">
        <v>357</v>
      </c>
      <c r="F42" s="171"/>
      <c r="G42" s="233"/>
      <c r="H42" s="171"/>
      <c r="I42" s="171">
        <v>14</v>
      </c>
      <c r="J42" s="241">
        <v>14</v>
      </c>
      <c r="K42" s="214">
        <f t="shared" si="5"/>
        <v>0</v>
      </c>
      <c r="L42" s="214">
        <f t="shared" si="6"/>
        <v>0</v>
      </c>
      <c r="M42" s="214">
        <f t="shared" si="7"/>
        <v>100</v>
      </c>
      <c r="N42" s="235">
        <f t="shared" si="8"/>
        <v>100</v>
      </c>
      <c r="O42" s="213"/>
      <c r="P42" s="214"/>
      <c r="Q42" s="214">
        <v>52.3</v>
      </c>
      <c r="R42" s="215">
        <f t="shared" si="9"/>
        <v>52.3</v>
      </c>
      <c r="S42" s="190">
        <v>1</v>
      </c>
      <c r="T42" s="285"/>
      <c r="U42" s="283"/>
      <c r="V42" s="178" t="s">
        <v>984</v>
      </c>
      <c r="W42" s="171" t="s">
        <v>20</v>
      </c>
      <c r="X42" s="171" t="s">
        <v>12</v>
      </c>
      <c r="Y42" s="179">
        <v>47.7</v>
      </c>
      <c r="Z42" s="171"/>
      <c r="AA42" s="171"/>
      <c r="AB42" s="171"/>
      <c r="AC42" s="171"/>
      <c r="AD42" s="178"/>
      <c r="AE42" s="171"/>
      <c r="AF42" s="171"/>
      <c r="AG42" s="179"/>
      <c r="AH42" s="171"/>
      <c r="AI42" s="171"/>
      <c r="AJ42" s="171"/>
      <c r="AK42" s="171"/>
      <c r="AL42" s="178"/>
      <c r="AM42" s="171"/>
      <c r="AN42" s="171"/>
      <c r="AO42" s="179"/>
      <c r="AP42" s="178"/>
      <c r="AQ42" s="171"/>
      <c r="AR42" s="171"/>
      <c r="AS42" s="179"/>
      <c r="AT42" s="171"/>
      <c r="AU42" s="171"/>
      <c r="AV42" s="171"/>
      <c r="AW42" s="179"/>
      <c r="AX42" s="171"/>
      <c r="AY42" s="171"/>
      <c r="AZ42" s="171"/>
      <c r="BA42" s="180"/>
    </row>
    <row r="43" spans="1:53" x14ac:dyDescent="0.15">
      <c r="A43" s="29">
        <v>1984</v>
      </c>
      <c r="B43" s="295">
        <v>31039</v>
      </c>
      <c r="C43" s="411" t="s">
        <v>1275</v>
      </c>
      <c r="D43" s="411"/>
      <c r="E43" s="29">
        <f>366-E42</f>
        <v>9</v>
      </c>
      <c r="F43" s="29">
        <v>2</v>
      </c>
      <c r="G43" s="66"/>
      <c r="H43" s="29"/>
      <c r="I43" s="29">
        <v>12</v>
      </c>
      <c r="J43" s="73">
        <v>12</v>
      </c>
      <c r="K43" s="47">
        <f t="shared" si="5"/>
        <v>0</v>
      </c>
      <c r="L43" s="47">
        <f t="shared" si="6"/>
        <v>0</v>
      </c>
      <c r="M43" s="47">
        <f t="shared" si="7"/>
        <v>100</v>
      </c>
      <c r="N43" s="68">
        <f t="shared" si="8"/>
        <v>100</v>
      </c>
      <c r="O43" s="46"/>
      <c r="P43" s="47"/>
      <c r="Q43" s="47">
        <v>52.3</v>
      </c>
      <c r="R43" s="48">
        <f t="shared" si="9"/>
        <v>52.3</v>
      </c>
      <c r="S43" s="29">
        <v>1</v>
      </c>
      <c r="T43" s="286"/>
      <c r="U43" s="295">
        <v>31039</v>
      </c>
      <c r="V43" s="38" t="s">
        <v>984</v>
      </c>
      <c r="W43" s="29" t="s">
        <v>20</v>
      </c>
      <c r="X43" s="29" t="s">
        <v>12</v>
      </c>
      <c r="Y43" s="39">
        <v>47.7</v>
      </c>
      <c r="Z43" s="29"/>
      <c r="AA43" s="29"/>
      <c r="AB43" s="29"/>
      <c r="AC43" s="29"/>
      <c r="AD43" s="38"/>
      <c r="AE43" s="29"/>
      <c r="AF43" s="29"/>
      <c r="AG43" s="39"/>
      <c r="AH43" s="29"/>
      <c r="AI43" s="29"/>
      <c r="AJ43" s="29"/>
      <c r="AK43" s="29"/>
      <c r="AL43" s="38"/>
      <c r="AM43" s="29"/>
      <c r="AN43" s="29"/>
      <c r="AO43" s="39"/>
      <c r="AP43" s="38"/>
      <c r="AQ43" s="29"/>
      <c r="AR43" s="29"/>
      <c r="AS43" s="39"/>
      <c r="AT43" s="29"/>
      <c r="AU43" s="29"/>
      <c r="AV43" s="29"/>
      <c r="AW43" s="39"/>
      <c r="AX43" s="29"/>
      <c r="AY43" s="29"/>
      <c r="AZ43" s="29"/>
      <c r="BA43" s="40"/>
    </row>
    <row r="44" spans="1:53" x14ac:dyDescent="0.15">
      <c r="A44" s="29">
        <v>1985</v>
      </c>
      <c r="B44" s="295"/>
      <c r="C44" s="411" t="s">
        <v>1275</v>
      </c>
      <c r="D44" s="411"/>
      <c r="E44" s="29">
        <v>0</v>
      </c>
      <c r="F44" s="29"/>
      <c r="G44" s="66"/>
      <c r="H44" s="29"/>
      <c r="I44" s="29">
        <v>12</v>
      </c>
      <c r="J44" s="73">
        <v>12</v>
      </c>
      <c r="K44" s="47">
        <f t="shared" si="5"/>
        <v>0</v>
      </c>
      <c r="L44" s="47">
        <f t="shared" si="6"/>
        <v>0</v>
      </c>
      <c r="M44" s="47">
        <f t="shared" si="7"/>
        <v>100</v>
      </c>
      <c r="N44" s="68">
        <f t="shared" si="8"/>
        <v>100</v>
      </c>
      <c r="O44" s="46"/>
      <c r="P44" s="47"/>
      <c r="Q44" s="47">
        <v>52.3</v>
      </c>
      <c r="R44" s="48">
        <f t="shared" si="9"/>
        <v>52.3</v>
      </c>
      <c r="S44" s="29">
        <v>1</v>
      </c>
      <c r="T44" s="286"/>
      <c r="U44" s="295"/>
      <c r="V44" s="38" t="s">
        <v>984</v>
      </c>
      <c r="W44" s="29" t="s">
        <v>20</v>
      </c>
      <c r="X44" s="29" t="s">
        <v>12</v>
      </c>
      <c r="Y44" s="39">
        <v>47.7</v>
      </c>
      <c r="Z44" s="29"/>
      <c r="AA44" s="29"/>
      <c r="AB44" s="29"/>
      <c r="AC44" s="29"/>
      <c r="AD44" s="38"/>
      <c r="AE44" s="29"/>
      <c r="AF44" s="29"/>
      <c r="AG44" s="39"/>
      <c r="AH44" s="29"/>
      <c r="AI44" s="29"/>
      <c r="AJ44" s="29"/>
      <c r="AK44" s="29"/>
      <c r="AL44" s="38"/>
      <c r="AM44" s="29"/>
      <c r="AN44" s="29"/>
      <c r="AO44" s="39"/>
      <c r="AP44" s="38"/>
      <c r="AQ44" s="29"/>
      <c r="AR44" s="29"/>
      <c r="AS44" s="39"/>
      <c r="AT44" s="29"/>
      <c r="AU44" s="29"/>
      <c r="AV44" s="29"/>
      <c r="AW44" s="39"/>
      <c r="AX44" s="29"/>
      <c r="AY44" s="29"/>
      <c r="AZ44" s="29"/>
      <c r="BA44" s="40"/>
    </row>
    <row r="45" spans="1:53" x14ac:dyDescent="0.15">
      <c r="A45" s="29">
        <v>1985</v>
      </c>
      <c r="B45" s="295"/>
      <c r="C45" s="411" t="s">
        <v>1275</v>
      </c>
      <c r="D45" s="411"/>
      <c r="E45" s="29">
        <v>365</v>
      </c>
      <c r="F45" s="29"/>
      <c r="G45" s="66"/>
      <c r="H45" s="29"/>
      <c r="I45" s="29">
        <v>12</v>
      </c>
      <c r="J45" s="73">
        <v>12</v>
      </c>
      <c r="K45" s="47">
        <f t="shared" si="5"/>
        <v>0</v>
      </c>
      <c r="L45" s="47">
        <f t="shared" si="6"/>
        <v>0</v>
      </c>
      <c r="M45" s="47">
        <f t="shared" si="7"/>
        <v>100</v>
      </c>
      <c r="N45" s="68">
        <f t="shared" si="8"/>
        <v>100</v>
      </c>
      <c r="O45" s="46"/>
      <c r="P45" s="47"/>
      <c r="Q45" s="47">
        <v>52.3</v>
      </c>
      <c r="R45" s="48">
        <f t="shared" si="9"/>
        <v>52.3</v>
      </c>
      <c r="S45" s="29">
        <v>1</v>
      </c>
      <c r="T45" s="286"/>
      <c r="U45" s="295"/>
      <c r="V45" s="38" t="s">
        <v>984</v>
      </c>
      <c r="W45" s="29" t="s">
        <v>20</v>
      </c>
      <c r="X45" s="29" t="s">
        <v>12</v>
      </c>
      <c r="Y45" s="39">
        <v>47.7</v>
      </c>
      <c r="Z45" s="29"/>
      <c r="AA45" s="29"/>
      <c r="AB45" s="29"/>
      <c r="AC45" s="29"/>
      <c r="AD45" s="38"/>
      <c r="AE45" s="29"/>
      <c r="AF45" s="29"/>
      <c r="AG45" s="39"/>
      <c r="AH45" s="29"/>
      <c r="AI45" s="29"/>
      <c r="AJ45" s="29"/>
      <c r="AK45" s="29"/>
      <c r="AL45" s="38"/>
      <c r="AM45" s="29"/>
      <c r="AN45" s="29"/>
      <c r="AO45" s="39"/>
      <c r="AP45" s="38"/>
      <c r="AQ45" s="29"/>
      <c r="AR45" s="29"/>
      <c r="AS45" s="39"/>
      <c r="AT45" s="29"/>
      <c r="AU45" s="29"/>
      <c r="AV45" s="29"/>
      <c r="AW45" s="39"/>
      <c r="AX45" s="29"/>
      <c r="AY45" s="29"/>
      <c r="AZ45" s="29"/>
      <c r="BA45" s="40"/>
    </row>
    <row r="46" spans="1:53" x14ac:dyDescent="0.15">
      <c r="A46" s="29">
        <v>1986</v>
      </c>
      <c r="B46" s="295"/>
      <c r="C46" s="411" t="s">
        <v>1275</v>
      </c>
      <c r="D46" s="411"/>
      <c r="E46" s="29">
        <v>0</v>
      </c>
      <c r="F46" s="29"/>
      <c r="G46" s="66"/>
      <c r="H46" s="29"/>
      <c r="I46" s="29">
        <v>12</v>
      </c>
      <c r="J46" s="73">
        <v>12</v>
      </c>
      <c r="K46" s="47">
        <f t="shared" si="5"/>
        <v>0</v>
      </c>
      <c r="L46" s="47">
        <f t="shared" si="6"/>
        <v>0</v>
      </c>
      <c r="M46" s="47">
        <f t="shared" si="7"/>
        <v>100</v>
      </c>
      <c r="N46" s="68">
        <f t="shared" si="8"/>
        <v>100</v>
      </c>
      <c r="O46" s="46"/>
      <c r="P46" s="47"/>
      <c r="Q46" s="47">
        <v>52.3</v>
      </c>
      <c r="R46" s="48">
        <f t="shared" si="9"/>
        <v>52.3</v>
      </c>
      <c r="S46" s="29">
        <v>1</v>
      </c>
      <c r="T46" s="286"/>
      <c r="U46" s="295"/>
      <c r="V46" s="38" t="s">
        <v>984</v>
      </c>
      <c r="W46" s="29" t="s">
        <v>20</v>
      </c>
      <c r="X46" s="29" t="s">
        <v>12</v>
      </c>
      <c r="Y46" s="39">
        <v>47.7</v>
      </c>
      <c r="Z46" s="29"/>
      <c r="AA46" s="29"/>
      <c r="AB46" s="29"/>
      <c r="AC46" s="29"/>
      <c r="AD46" s="38"/>
      <c r="AE46" s="29"/>
      <c r="AF46" s="29"/>
      <c r="AG46" s="39"/>
      <c r="AH46" s="29"/>
      <c r="AI46" s="29"/>
      <c r="AJ46" s="29"/>
      <c r="AK46" s="29"/>
      <c r="AL46" s="38"/>
      <c r="AM46" s="29"/>
      <c r="AN46" s="29"/>
      <c r="AO46" s="39"/>
      <c r="AP46" s="38"/>
      <c r="AQ46" s="29"/>
      <c r="AR46" s="29"/>
      <c r="AS46" s="39"/>
      <c r="AT46" s="29"/>
      <c r="AU46" s="29"/>
      <c r="AV46" s="29"/>
      <c r="AW46" s="39"/>
      <c r="AX46" s="29"/>
      <c r="AY46" s="29"/>
      <c r="AZ46" s="29"/>
      <c r="BA46" s="40"/>
    </row>
    <row r="47" spans="1:53" x14ac:dyDescent="0.15">
      <c r="A47" s="29">
        <v>1986</v>
      </c>
      <c r="B47" s="295"/>
      <c r="C47" s="411" t="s">
        <v>1275</v>
      </c>
      <c r="D47" s="411"/>
      <c r="E47" s="29">
        <v>365</v>
      </c>
      <c r="F47" s="29"/>
      <c r="G47" s="66"/>
      <c r="H47" s="29"/>
      <c r="I47" s="29">
        <v>12</v>
      </c>
      <c r="J47" s="73">
        <v>12</v>
      </c>
      <c r="K47" s="47">
        <f t="shared" si="5"/>
        <v>0</v>
      </c>
      <c r="L47" s="47">
        <f t="shared" si="6"/>
        <v>0</v>
      </c>
      <c r="M47" s="47">
        <f t="shared" si="7"/>
        <v>100</v>
      </c>
      <c r="N47" s="68">
        <f t="shared" si="8"/>
        <v>100</v>
      </c>
      <c r="O47" s="46"/>
      <c r="P47" s="47"/>
      <c r="Q47" s="47">
        <v>52.3</v>
      </c>
      <c r="R47" s="48">
        <f t="shared" si="9"/>
        <v>52.3</v>
      </c>
      <c r="S47" s="29">
        <v>1</v>
      </c>
      <c r="T47" s="286"/>
      <c r="U47" s="295"/>
      <c r="V47" s="38" t="s">
        <v>984</v>
      </c>
      <c r="W47" s="29" t="s">
        <v>20</v>
      </c>
      <c r="X47" s="29" t="s">
        <v>12</v>
      </c>
      <c r="Y47" s="39">
        <v>47.7</v>
      </c>
      <c r="Z47" s="29"/>
      <c r="AA47" s="29"/>
      <c r="AB47" s="29"/>
      <c r="AC47" s="29"/>
      <c r="AD47" s="38"/>
      <c r="AE47" s="29"/>
      <c r="AF47" s="29"/>
      <c r="AG47" s="39"/>
      <c r="AH47" s="29"/>
      <c r="AI47" s="29"/>
      <c r="AJ47" s="29"/>
      <c r="AK47" s="29"/>
      <c r="AL47" s="38"/>
      <c r="AM47" s="29"/>
      <c r="AN47" s="29"/>
      <c r="AO47" s="39"/>
      <c r="AP47" s="38"/>
      <c r="AQ47" s="29"/>
      <c r="AR47" s="29"/>
      <c r="AS47" s="39"/>
      <c r="AT47" s="29"/>
      <c r="AU47" s="29"/>
      <c r="AV47" s="29"/>
      <c r="AW47" s="39"/>
      <c r="AX47" s="29"/>
      <c r="AY47" s="29"/>
      <c r="AZ47" s="29"/>
      <c r="BA47" s="40"/>
    </row>
    <row r="48" spans="1:53" x14ac:dyDescent="0.15">
      <c r="A48" s="29">
        <v>1987</v>
      </c>
      <c r="B48" s="295"/>
      <c r="C48" s="411" t="s">
        <v>1275</v>
      </c>
      <c r="D48" s="411"/>
      <c r="E48" s="29">
        <v>133</v>
      </c>
      <c r="F48" s="29"/>
      <c r="G48" s="66"/>
      <c r="H48" s="29"/>
      <c r="I48" s="29">
        <v>12</v>
      </c>
      <c r="J48" s="73">
        <v>12</v>
      </c>
      <c r="K48" s="47">
        <f t="shared" si="5"/>
        <v>0</v>
      </c>
      <c r="L48" s="47">
        <f t="shared" si="6"/>
        <v>0</v>
      </c>
      <c r="M48" s="47">
        <f t="shared" si="7"/>
        <v>100</v>
      </c>
      <c r="N48" s="68">
        <f t="shared" si="8"/>
        <v>100</v>
      </c>
      <c r="O48" s="46"/>
      <c r="P48" s="47"/>
      <c r="Q48" s="47">
        <v>52.3</v>
      </c>
      <c r="R48" s="48">
        <f t="shared" si="9"/>
        <v>52.3</v>
      </c>
      <c r="S48" s="29">
        <v>1</v>
      </c>
      <c r="T48" s="286"/>
      <c r="U48" s="295"/>
      <c r="V48" s="38" t="s">
        <v>984</v>
      </c>
      <c r="W48" s="29" t="s">
        <v>20</v>
      </c>
      <c r="X48" s="29" t="s">
        <v>12</v>
      </c>
      <c r="Y48" s="39">
        <v>47.7</v>
      </c>
      <c r="Z48" s="29"/>
      <c r="AA48" s="29"/>
      <c r="AB48" s="29"/>
      <c r="AC48" s="29"/>
      <c r="AD48" s="38"/>
      <c r="AE48" s="29"/>
      <c r="AF48" s="29"/>
      <c r="AG48" s="39"/>
      <c r="AH48" s="29"/>
      <c r="AI48" s="29"/>
      <c r="AJ48" s="29"/>
      <c r="AK48" s="29"/>
      <c r="AL48" s="38"/>
      <c r="AM48" s="29"/>
      <c r="AN48" s="29"/>
      <c r="AO48" s="39"/>
      <c r="AP48" s="38"/>
      <c r="AQ48" s="29"/>
      <c r="AR48" s="29"/>
      <c r="AS48" s="39"/>
      <c r="AT48" s="29"/>
      <c r="AU48" s="29"/>
      <c r="AV48" s="29"/>
      <c r="AW48" s="39"/>
      <c r="AX48" s="29"/>
      <c r="AY48" s="29"/>
      <c r="AZ48" s="29"/>
      <c r="BA48" s="40"/>
    </row>
    <row r="49" spans="1:53" x14ac:dyDescent="0.15">
      <c r="A49" s="171">
        <v>1987</v>
      </c>
      <c r="B49" s="283">
        <v>31911</v>
      </c>
      <c r="C49" s="410" t="s">
        <v>980</v>
      </c>
      <c r="D49" s="410"/>
      <c r="E49" s="171">
        <f>365-E48</f>
        <v>232</v>
      </c>
      <c r="F49" s="171">
        <v>1</v>
      </c>
      <c r="G49" s="233"/>
      <c r="H49" s="171">
        <v>10</v>
      </c>
      <c r="I49" s="171"/>
      <c r="J49" s="241">
        <v>10</v>
      </c>
      <c r="K49" s="214">
        <f t="shared" si="5"/>
        <v>0</v>
      </c>
      <c r="L49" s="214">
        <f t="shared" si="6"/>
        <v>100</v>
      </c>
      <c r="M49" s="214">
        <f t="shared" si="7"/>
        <v>0</v>
      </c>
      <c r="N49" s="235">
        <f t="shared" si="8"/>
        <v>100</v>
      </c>
      <c r="O49" s="213"/>
      <c r="P49" s="214">
        <v>50.7</v>
      </c>
      <c r="Q49" s="214"/>
      <c r="R49" s="215">
        <f t="shared" si="9"/>
        <v>50.7</v>
      </c>
      <c r="S49" s="190">
        <v>1</v>
      </c>
      <c r="T49" s="285">
        <v>31906</v>
      </c>
      <c r="U49" s="283">
        <v>31911</v>
      </c>
      <c r="V49" s="178" t="s">
        <v>981</v>
      </c>
      <c r="W49" s="171" t="s">
        <v>17</v>
      </c>
      <c r="X49" s="171" t="s">
        <v>18</v>
      </c>
      <c r="Y49" s="179">
        <v>50.7</v>
      </c>
      <c r="Z49" s="171"/>
      <c r="AA49" s="171"/>
      <c r="AB49" s="171"/>
      <c r="AC49" s="171"/>
      <c r="AD49" s="178"/>
      <c r="AE49" s="171"/>
      <c r="AF49" s="171"/>
      <c r="AG49" s="179"/>
      <c r="AH49" s="171"/>
      <c r="AI49" s="171"/>
      <c r="AJ49" s="171"/>
      <c r="AK49" s="171"/>
      <c r="AL49" s="178"/>
      <c r="AM49" s="171"/>
      <c r="AN49" s="171"/>
      <c r="AO49" s="179"/>
      <c r="AP49" s="178"/>
      <c r="AQ49" s="171"/>
      <c r="AR49" s="171"/>
      <c r="AS49" s="179"/>
      <c r="AT49" s="171"/>
      <c r="AU49" s="171"/>
      <c r="AV49" s="171"/>
      <c r="AW49" s="179"/>
      <c r="AX49" s="171"/>
      <c r="AY49" s="171"/>
      <c r="AZ49" s="171"/>
      <c r="BA49" s="180"/>
    </row>
    <row r="50" spans="1:53" x14ac:dyDescent="0.15">
      <c r="A50" s="171">
        <v>1988</v>
      </c>
      <c r="B50" s="283"/>
      <c r="C50" s="410" t="s">
        <v>980</v>
      </c>
      <c r="D50" s="410"/>
      <c r="E50" s="171">
        <v>0</v>
      </c>
      <c r="F50" s="171"/>
      <c r="G50" s="233"/>
      <c r="H50" s="171">
        <v>10</v>
      </c>
      <c r="I50" s="171"/>
      <c r="J50" s="241">
        <v>10</v>
      </c>
      <c r="K50" s="214">
        <f t="shared" si="5"/>
        <v>0</v>
      </c>
      <c r="L50" s="214">
        <f t="shared" si="6"/>
        <v>100</v>
      </c>
      <c r="M50" s="214">
        <f t="shared" si="7"/>
        <v>0</v>
      </c>
      <c r="N50" s="235">
        <f t="shared" si="8"/>
        <v>100</v>
      </c>
      <c r="O50" s="213"/>
      <c r="P50" s="214">
        <v>50.7</v>
      </c>
      <c r="Q50" s="214"/>
      <c r="R50" s="215">
        <f t="shared" si="9"/>
        <v>50.7</v>
      </c>
      <c r="S50" s="190">
        <v>1</v>
      </c>
      <c r="T50" s="285"/>
      <c r="U50" s="283"/>
      <c r="V50" s="178" t="s">
        <v>981</v>
      </c>
      <c r="W50" s="171" t="s">
        <v>17</v>
      </c>
      <c r="X50" s="171" t="s">
        <v>18</v>
      </c>
      <c r="Y50" s="179">
        <v>50.7</v>
      </c>
      <c r="Z50" s="171"/>
      <c r="AA50" s="171"/>
      <c r="AB50" s="171"/>
      <c r="AC50" s="171"/>
      <c r="AD50" s="178"/>
      <c r="AE50" s="171"/>
      <c r="AF50" s="171"/>
      <c r="AG50" s="179"/>
      <c r="AH50" s="171"/>
      <c r="AI50" s="171"/>
      <c r="AJ50" s="171"/>
      <c r="AK50" s="171"/>
      <c r="AL50" s="178"/>
      <c r="AM50" s="171"/>
      <c r="AN50" s="171"/>
      <c r="AO50" s="179"/>
      <c r="AP50" s="178"/>
      <c r="AQ50" s="171"/>
      <c r="AR50" s="171"/>
      <c r="AS50" s="179"/>
      <c r="AT50" s="171"/>
      <c r="AU50" s="171"/>
      <c r="AV50" s="171"/>
      <c r="AW50" s="179"/>
      <c r="AX50" s="171"/>
      <c r="AY50" s="171"/>
      <c r="AZ50" s="171"/>
      <c r="BA50" s="180"/>
    </row>
    <row r="51" spans="1:53" x14ac:dyDescent="0.15">
      <c r="A51" s="171">
        <v>1988</v>
      </c>
      <c r="B51" s="283"/>
      <c r="C51" s="410" t="s">
        <v>980</v>
      </c>
      <c r="D51" s="410"/>
      <c r="E51" s="171">
        <v>366</v>
      </c>
      <c r="F51" s="171"/>
      <c r="G51" s="233"/>
      <c r="H51" s="171">
        <v>10</v>
      </c>
      <c r="I51" s="171"/>
      <c r="J51" s="241">
        <v>10</v>
      </c>
      <c r="K51" s="214">
        <f t="shared" si="5"/>
        <v>0</v>
      </c>
      <c r="L51" s="214">
        <f t="shared" si="6"/>
        <v>100</v>
      </c>
      <c r="M51" s="214">
        <f t="shared" si="7"/>
        <v>0</v>
      </c>
      <c r="N51" s="235">
        <f t="shared" si="8"/>
        <v>100</v>
      </c>
      <c r="O51" s="213"/>
      <c r="P51" s="214">
        <v>50.7</v>
      </c>
      <c r="Q51" s="214"/>
      <c r="R51" s="215">
        <f t="shared" si="9"/>
        <v>50.7</v>
      </c>
      <c r="S51" s="190">
        <v>1</v>
      </c>
      <c r="T51" s="285"/>
      <c r="U51" s="283"/>
      <c r="V51" s="178" t="s">
        <v>981</v>
      </c>
      <c r="W51" s="171" t="s">
        <v>17</v>
      </c>
      <c r="X51" s="171" t="s">
        <v>18</v>
      </c>
      <c r="Y51" s="179">
        <v>50.7</v>
      </c>
      <c r="Z51" s="171"/>
      <c r="AA51" s="171"/>
      <c r="AB51" s="171"/>
      <c r="AC51" s="171"/>
      <c r="AD51" s="178"/>
      <c r="AE51" s="171"/>
      <c r="AF51" s="171"/>
      <c r="AG51" s="179"/>
      <c r="AH51" s="171"/>
      <c r="AI51" s="171"/>
      <c r="AJ51" s="171"/>
      <c r="AK51" s="171"/>
      <c r="AL51" s="178"/>
      <c r="AM51" s="171"/>
      <c r="AN51" s="171"/>
      <c r="AO51" s="179"/>
      <c r="AP51" s="178"/>
      <c r="AQ51" s="171"/>
      <c r="AR51" s="171"/>
      <c r="AS51" s="179"/>
      <c r="AT51" s="171"/>
      <c r="AU51" s="171"/>
      <c r="AV51" s="171"/>
      <c r="AW51" s="179"/>
      <c r="AX51" s="171"/>
      <c r="AY51" s="171"/>
      <c r="AZ51" s="171"/>
      <c r="BA51" s="180"/>
    </row>
    <row r="52" spans="1:53" x14ac:dyDescent="0.15">
      <c r="A52" s="171">
        <v>1989</v>
      </c>
      <c r="B52" s="283"/>
      <c r="C52" s="410" t="s">
        <v>980</v>
      </c>
      <c r="D52" s="410"/>
      <c r="E52" s="171">
        <v>0</v>
      </c>
      <c r="F52" s="171"/>
      <c r="G52" s="233"/>
      <c r="H52" s="171">
        <v>10</v>
      </c>
      <c r="I52" s="171"/>
      <c r="J52" s="241">
        <v>10</v>
      </c>
      <c r="K52" s="214">
        <f t="shared" si="5"/>
        <v>0</v>
      </c>
      <c r="L52" s="214">
        <f t="shared" si="6"/>
        <v>100</v>
      </c>
      <c r="M52" s="214">
        <f t="shared" si="7"/>
        <v>0</v>
      </c>
      <c r="N52" s="235">
        <f t="shared" si="8"/>
        <v>100</v>
      </c>
      <c r="O52" s="213"/>
      <c r="P52" s="214">
        <v>50.7</v>
      </c>
      <c r="Q52" s="214"/>
      <c r="R52" s="215">
        <f t="shared" si="9"/>
        <v>50.7</v>
      </c>
      <c r="S52" s="190">
        <v>1</v>
      </c>
      <c r="T52" s="285"/>
      <c r="U52" s="283"/>
      <c r="V52" s="178" t="s">
        <v>981</v>
      </c>
      <c r="W52" s="171" t="s">
        <v>17</v>
      </c>
      <c r="X52" s="171" t="s">
        <v>18</v>
      </c>
      <c r="Y52" s="179">
        <v>50.7</v>
      </c>
      <c r="Z52" s="171"/>
      <c r="AA52" s="171"/>
      <c r="AB52" s="171"/>
      <c r="AC52" s="171"/>
      <c r="AD52" s="178"/>
      <c r="AE52" s="171"/>
      <c r="AF52" s="171"/>
      <c r="AG52" s="179"/>
      <c r="AH52" s="171"/>
      <c r="AI52" s="171"/>
      <c r="AJ52" s="171"/>
      <c r="AK52" s="171"/>
      <c r="AL52" s="178"/>
      <c r="AM52" s="171"/>
      <c r="AN52" s="171"/>
      <c r="AO52" s="179"/>
      <c r="AP52" s="178"/>
      <c r="AQ52" s="171"/>
      <c r="AR52" s="171"/>
      <c r="AS52" s="179"/>
      <c r="AT52" s="171"/>
      <c r="AU52" s="171"/>
      <c r="AV52" s="171"/>
      <c r="AW52" s="179"/>
      <c r="AX52" s="171"/>
      <c r="AY52" s="171"/>
      <c r="AZ52" s="171"/>
      <c r="BA52" s="180"/>
    </row>
    <row r="53" spans="1:53" x14ac:dyDescent="0.15">
      <c r="A53" s="171">
        <v>1989</v>
      </c>
      <c r="B53" s="283"/>
      <c r="C53" s="410" t="s">
        <v>980</v>
      </c>
      <c r="D53" s="410"/>
      <c r="E53" s="171">
        <v>365</v>
      </c>
      <c r="F53" s="171"/>
      <c r="G53" s="233"/>
      <c r="H53" s="171">
        <v>10</v>
      </c>
      <c r="I53" s="171"/>
      <c r="J53" s="241">
        <v>10</v>
      </c>
      <c r="K53" s="214">
        <f t="shared" si="5"/>
        <v>0</v>
      </c>
      <c r="L53" s="214">
        <f t="shared" si="6"/>
        <v>100</v>
      </c>
      <c r="M53" s="214">
        <f t="shared" si="7"/>
        <v>0</v>
      </c>
      <c r="N53" s="235">
        <f t="shared" si="8"/>
        <v>100</v>
      </c>
      <c r="O53" s="213"/>
      <c r="P53" s="214">
        <v>50.7</v>
      </c>
      <c r="Q53" s="214"/>
      <c r="R53" s="215">
        <f t="shared" si="9"/>
        <v>50.7</v>
      </c>
      <c r="S53" s="190">
        <v>1</v>
      </c>
      <c r="T53" s="285"/>
      <c r="U53" s="283"/>
      <c r="V53" s="178" t="s">
        <v>981</v>
      </c>
      <c r="W53" s="171" t="s">
        <v>17</v>
      </c>
      <c r="X53" s="171" t="s">
        <v>18</v>
      </c>
      <c r="Y53" s="179">
        <v>50.7</v>
      </c>
      <c r="Z53" s="171"/>
      <c r="AA53" s="171"/>
      <c r="AB53" s="171"/>
      <c r="AC53" s="171"/>
      <c r="AD53" s="178"/>
      <c r="AE53" s="171"/>
      <c r="AF53" s="171"/>
      <c r="AG53" s="179"/>
      <c r="AH53" s="171"/>
      <c r="AI53" s="171"/>
      <c r="AJ53" s="171"/>
      <c r="AK53" s="171"/>
      <c r="AL53" s="178"/>
      <c r="AM53" s="171"/>
      <c r="AN53" s="171"/>
      <c r="AO53" s="179"/>
      <c r="AP53" s="178"/>
      <c r="AQ53" s="171"/>
      <c r="AR53" s="171"/>
      <c r="AS53" s="179"/>
      <c r="AT53" s="171"/>
      <c r="AU53" s="171"/>
      <c r="AV53" s="171"/>
      <c r="AW53" s="179"/>
      <c r="AX53" s="171"/>
      <c r="AY53" s="171"/>
      <c r="AZ53" s="171"/>
      <c r="BA53" s="180"/>
    </row>
    <row r="54" spans="1:53" x14ac:dyDescent="0.15">
      <c r="A54" s="171">
        <v>1990</v>
      </c>
      <c r="B54" s="283"/>
      <c r="C54" s="410" t="s">
        <v>980</v>
      </c>
      <c r="D54" s="410"/>
      <c r="E54" s="171">
        <v>0</v>
      </c>
      <c r="F54" s="171"/>
      <c r="G54" s="233"/>
      <c r="H54" s="171">
        <v>10</v>
      </c>
      <c r="I54" s="171"/>
      <c r="J54" s="241">
        <v>10</v>
      </c>
      <c r="K54" s="214">
        <f t="shared" si="5"/>
        <v>0</v>
      </c>
      <c r="L54" s="214">
        <f t="shared" si="6"/>
        <v>100</v>
      </c>
      <c r="M54" s="214">
        <f t="shared" si="7"/>
        <v>0</v>
      </c>
      <c r="N54" s="235">
        <f t="shared" si="8"/>
        <v>100</v>
      </c>
      <c r="O54" s="213"/>
      <c r="P54" s="214">
        <v>50.7</v>
      </c>
      <c r="Q54" s="214"/>
      <c r="R54" s="215">
        <f t="shared" si="9"/>
        <v>50.7</v>
      </c>
      <c r="S54" s="190">
        <v>1</v>
      </c>
      <c r="T54" s="285"/>
      <c r="U54" s="283"/>
      <c r="V54" s="178" t="s">
        <v>981</v>
      </c>
      <c r="W54" s="171" t="s">
        <v>17</v>
      </c>
      <c r="X54" s="171" t="s">
        <v>18</v>
      </c>
      <c r="Y54" s="179">
        <v>50.7</v>
      </c>
      <c r="Z54" s="171"/>
      <c r="AA54" s="171"/>
      <c r="AB54" s="171"/>
      <c r="AC54" s="171"/>
      <c r="AD54" s="178"/>
      <c r="AE54" s="171"/>
      <c r="AF54" s="171"/>
      <c r="AG54" s="179"/>
      <c r="AH54" s="171"/>
      <c r="AI54" s="171"/>
      <c r="AJ54" s="171"/>
      <c r="AK54" s="171"/>
      <c r="AL54" s="178"/>
      <c r="AM54" s="171"/>
      <c r="AN54" s="171"/>
      <c r="AO54" s="179"/>
      <c r="AP54" s="178"/>
      <c r="AQ54" s="171"/>
      <c r="AR54" s="171"/>
      <c r="AS54" s="179"/>
      <c r="AT54" s="171"/>
      <c r="AU54" s="171"/>
      <c r="AV54" s="171"/>
      <c r="AW54" s="179"/>
      <c r="AX54" s="171"/>
      <c r="AY54" s="171"/>
      <c r="AZ54" s="171"/>
      <c r="BA54" s="180"/>
    </row>
    <row r="55" spans="1:53" x14ac:dyDescent="0.15">
      <c r="A55" s="171">
        <v>1990</v>
      </c>
      <c r="B55" s="283"/>
      <c r="C55" s="410" t="s">
        <v>980</v>
      </c>
      <c r="D55" s="410"/>
      <c r="E55" s="171">
        <f>365-E54</f>
        <v>365</v>
      </c>
      <c r="F55" s="171"/>
      <c r="G55" s="233"/>
      <c r="H55" s="171">
        <v>10</v>
      </c>
      <c r="I55" s="171"/>
      <c r="J55" s="241">
        <v>10</v>
      </c>
      <c r="K55" s="214">
        <f t="shared" si="5"/>
        <v>0</v>
      </c>
      <c r="L55" s="214">
        <f t="shared" si="6"/>
        <v>100</v>
      </c>
      <c r="M55" s="214">
        <f t="shared" si="7"/>
        <v>0</v>
      </c>
      <c r="N55" s="235">
        <f t="shared" si="8"/>
        <v>100</v>
      </c>
      <c r="O55" s="213"/>
      <c r="P55" s="214">
        <v>50.7</v>
      </c>
      <c r="Q55" s="214"/>
      <c r="R55" s="215">
        <f t="shared" si="9"/>
        <v>50.7</v>
      </c>
      <c r="S55" s="171">
        <v>1</v>
      </c>
      <c r="T55" s="285"/>
      <c r="U55" s="283"/>
      <c r="V55" s="178" t="s">
        <v>981</v>
      </c>
      <c r="W55" s="171" t="s">
        <v>17</v>
      </c>
      <c r="X55" s="171" t="s">
        <v>18</v>
      </c>
      <c r="Y55" s="179">
        <v>50.7</v>
      </c>
      <c r="Z55" s="171"/>
      <c r="AA55" s="171"/>
      <c r="AB55" s="171"/>
      <c r="AC55" s="171"/>
      <c r="AD55" s="178"/>
      <c r="AE55" s="171"/>
      <c r="AF55" s="171"/>
      <c r="AG55" s="179"/>
      <c r="AH55" s="171"/>
      <c r="AI55" s="171"/>
      <c r="AJ55" s="171"/>
      <c r="AK55" s="171"/>
      <c r="AL55" s="178"/>
      <c r="AM55" s="171"/>
      <c r="AN55" s="171"/>
      <c r="AO55" s="179"/>
      <c r="AP55" s="178"/>
      <c r="AQ55" s="171"/>
      <c r="AR55" s="171"/>
      <c r="AS55" s="179"/>
      <c r="AT55" s="171"/>
      <c r="AU55" s="171"/>
      <c r="AV55" s="171"/>
      <c r="AW55" s="179"/>
      <c r="AX55" s="171"/>
      <c r="AY55" s="171"/>
      <c r="AZ55" s="171"/>
      <c r="BA55" s="180"/>
    </row>
    <row r="56" spans="1:53" x14ac:dyDescent="0.15">
      <c r="A56" s="171">
        <v>1991</v>
      </c>
      <c r="B56" s="283"/>
      <c r="C56" s="410" t="s">
        <v>980</v>
      </c>
      <c r="D56" s="410"/>
      <c r="E56" s="171">
        <v>0</v>
      </c>
      <c r="F56" s="171"/>
      <c r="G56" s="233"/>
      <c r="H56" s="171">
        <v>10</v>
      </c>
      <c r="I56" s="171"/>
      <c r="J56" s="241">
        <v>10</v>
      </c>
      <c r="K56" s="214">
        <f t="shared" si="5"/>
        <v>0</v>
      </c>
      <c r="L56" s="214">
        <f t="shared" si="6"/>
        <v>100</v>
      </c>
      <c r="M56" s="214">
        <f t="shared" si="7"/>
        <v>0</v>
      </c>
      <c r="N56" s="235">
        <f t="shared" si="8"/>
        <v>100</v>
      </c>
      <c r="O56" s="213"/>
      <c r="P56" s="214">
        <v>50.7</v>
      </c>
      <c r="Q56" s="214"/>
      <c r="R56" s="215">
        <f t="shared" si="9"/>
        <v>50.7</v>
      </c>
      <c r="S56" s="171">
        <v>1</v>
      </c>
      <c r="T56" s="285"/>
      <c r="U56" s="283"/>
      <c r="V56" s="178" t="s">
        <v>981</v>
      </c>
      <c r="W56" s="171" t="s">
        <v>17</v>
      </c>
      <c r="X56" s="171" t="s">
        <v>18</v>
      </c>
      <c r="Y56" s="179">
        <v>50.7</v>
      </c>
      <c r="Z56" s="171"/>
      <c r="AA56" s="171"/>
      <c r="AB56" s="171"/>
      <c r="AC56" s="171"/>
      <c r="AD56" s="178"/>
      <c r="AE56" s="171"/>
      <c r="AF56" s="171"/>
      <c r="AG56" s="179"/>
      <c r="AH56" s="171"/>
      <c r="AI56" s="171"/>
      <c r="AJ56" s="171"/>
      <c r="AK56" s="171"/>
      <c r="AL56" s="178"/>
      <c r="AM56" s="171"/>
      <c r="AN56" s="171"/>
      <c r="AO56" s="179"/>
      <c r="AP56" s="178"/>
      <c r="AQ56" s="171"/>
      <c r="AR56" s="171"/>
      <c r="AS56" s="179"/>
      <c r="AT56" s="171"/>
      <c r="AU56" s="171"/>
      <c r="AV56" s="171"/>
      <c r="AW56" s="179"/>
      <c r="AX56" s="171"/>
      <c r="AY56" s="171"/>
      <c r="AZ56" s="171"/>
      <c r="BA56" s="180"/>
    </row>
    <row r="57" spans="1:53" x14ac:dyDescent="0.15">
      <c r="A57" s="171">
        <v>1991</v>
      </c>
      <c r="B57" s="283"/>
      <c r="C57" s="410" t="s">
        <v>980</v>
      </c>
      <c r="D57" s="410"/>
      <c r="E57" s="171">
        <f>365-E56</f>
        <v>365</v>
      </c>
      <c r="F57" s="171"/>
      <c r="G57" s="233"/>
      <c r="H57" s="171">
        <v>10</v>
      </c>
      <c r="I57" s="171"/>
      <c r="J57" s="241">
        <v>10</v>
      </c>
      <c r="K57" s="214">
        <f t="shared" si="5"/>
        <v>0</v>
      </c>
      <c r="L57" s="214">
        <f t="shared" si="6"/>
        <v>100</v>
      </c>
      <c r="M57" s="214">
        <f t="shared" si="7"/>
        <v>0</v>
      </c>
      <c r="N57" s="235">
        <f t="shared" si="8"/>
        <v>100</v>
      </c>
      <c r="O57" s="213"/>
      <c r="P57" s="214">
        <v>50.7</v>
      </c>
      <c r="Q57" s="214"/>
      <c r="R57" s="215">
        <f t="shared" si="9"/>
        <v>50.7</v>
      </c>
      <c r="S57" s="171">
        <v>1</v>
      </c>
      <c r="T57" s="285"/>
      <c r="U57" s="283"/>
      <c r="V57" s="178" t="s">
        <v>981</v>
      </c>
      <c r="W57" s="171" t="s">
        <v>17</v>
      </c>
      <c r="X57" s="171" t="s">
        <v>18</v>
      </c>
      <c r="Y57" s="179">
        <v>50.7</v>
      </c>
      <c r="Z57" s="171"/>
      <c r="AA57" s="171"/>
      <c r="AB57" s="171"/>
      <c r="AC57" s="171"/>
      <c r="AD57" s="178"/>
      <c r="AE57" s="171"/>
      <c r="AF57" s="171"/>
      <c r="AG57" s="179"/>
      <c r="AH57" s="171"/>
      <c r="AI57" s="171"/>
      <c r="AJ57" s="171"/>
      <c r="AK57" s="171"/>
      <c r="AL57" s="178"/>
      <c r="AM57" s="171"/>
      <c r="AN57" s="171"/>
      <c r="AO57" s="179"/>
      <c r="AP57" s="178"/>
      <c r="AQ57" s="171"/>
      <c r="AR57" s="171"/>
      <c r="AS57" s="179"/>
      <c r="AT57" s="171"/>
      <c r="AU57" s="171"/>
      <c r="AV57" s="171"/>
      <c r="AW57" s="179"/>
      <c r="AX57" s="171"/>
      <c r="AY57" s="171"/>
      <c r="AZ57" s="171"/>
      <c r="BA57" s="180"/>
    </row>
    <row r="58" spans="1:53" x14ac:dyDescent="0.15">
      <c r="A58" s="171">
        <v>1992</v>
      </c>
      <c r="B58" s="283"/>
      <c r="C58" s="410" t="s">
        <v>980</v>
      </c>
      <c r="D58" s="410"/>
      <c r="E58" s="171">
        <v>57</v>
      </c>
      <c r="F58" s="171"/>
      <c r="G58" s="233"/>
      <c r="H58" s="171">
        <v>10</v>
      </c>
      <c r="I58" s="171"/>
      <c r="J58" s="241">
        <v>10</v>
      </c>
      <c r="K58" s="214">
        <f t="shared" si="5"/>
        <v>0</v>
      </c>
      <c r="L58" s="214">
        <f t="shared" si="6"/>
        <v>100</v>
      </c>
      <c r="M58" s="214">
        <f t="shared" si="7"/>
        <v>0</v>
      </c>
      <c r="N58" s="235">
        <f t="shared" si="8"/>
        <v>100</v>
      </c>
      <c r="O58" s="213"/>
      <c r="P58" s="214">
        <v>50.7</v>
      </c>
      <c r="Q58" s="214"/>
      <c r="R58" s="215">
        <f t="shared" si="9"/>
        <v>50.7</v>
      </c>
      <c r="S58" s="171">
        <v>1</v>
      </c>
      <c r="T58" s="285"/>
      <c r="U58" s="283"/>
      <c r="V58" s="178" t="s">
        <v>981</v>
      </c>
      <c r="W58" s="171" t="s">
        <v>17</v>
      </c>
      <c r="X58" s="171" t="s">
        <v>18</v>
      </c>
      <c r="Y58" s="179">
        <v>50.7</v>
      </c>
      <c r="Z58" s="171"/>
      <c r="AA58" s="171"/>
      <c r="AB58" s="171"/>
      <c r="AC58" s="171"/>
      <c r="AD58" s="178"/>
      <c r="AE58" s="171"/>
      <c r="AF58" s="171"/>
      <c r="AG58" s="179"/>
      <c r="AH58" s="171"/>
      <c r="AI58" s="171"/>
      <c r="AJ58" s="171"/>
      <c r="AK58" s="171"/>
      <c r="AL58" s="178"/>
      <c r="AM58" s="171"/>
      <c r="AN58" s="171"/>
      <c r="AO58" s="179"/>
      <c r="AP58" s="178"/>
      <c r="AQ58" s="171"/>
      <c r="AR58" s="171"/>
      <c r="AS58" s="179"/>
      <c r="AT58" s="171"/>
      <c r="AU58" s="171"/>
      <c r="AV58" s="171"/>
      <c r="AW58" s="179"/>
      <c r="AX58" s="171"/>
      <c r="AY58" s="171"/>
      <c r="AZ58" s="171"/>
      <c r="BA58" s="180"/>
    </row>
    <row r="59" spans="1:53" x14ac:dyDescent="0.15">
      <c r="A59" s="29">
        <v>1992</v>
      </c>
      <c r="B59" s="295">
        <v>33661</v>
      </c>
      <c r="C59" s="411" t="s">
        <v>982</v>
      </c>
      <c r="D59" s="411"/>
      <c r="E59" s="29">
        <f>366-E58</f>
        <v>309</v>
      </c>
      <c r="F59" s="29">
        <v>1</v>
      </c>
      <c r="G59" s="66"/>
      <c r="H59" s="29">
        <v>13</v>
      </c>
      <c r="I59" s="29"/>
      <c r="J59" s="73">
        <v>13</v>
      </c>
      <c r="K59" s="47">
        <f t="shared" si="5"/>
        <v>0</v>
      </c>
      <c r="L59" s="47">
        <f t="shared" si="6"/>
        <v>100</v>
      </c>
      <c r="M59" s="47">
        <f t="shared" si="7"/>
        <v>0</v>
      </c>
      <c r="N59" s="68">
        <f t="shared" si="8"/>
        <v>100</v>
      </c>
      <c r="O59" s="46"/>
      <c r="P59" s="47">
        <v>52.3</v>
      </c>
      <c r="Q59" s="47"/>
      <c r="R59" s="48">
        <f t="shared" si="9"/>
        <v>52.3</v>
      </c>
      <c r="S59" s="29">
        <v>1</v>
      </c>
      <c r="T59" s="286">
        <v>33656</v>
      </c>
      <c r="U59" s="295">
        <v>33661</v>
      </c>
      <c r="V59" s="38" t="s">
        <v>981</v>
      </c>
      <c r="W59" s="29" t="s">
        <v>17</v>
      </c>
      <c r="X59" s="29" t="s">
        <v>18</v>
      </c>
      <c r="Y59" s="39">
        <v>52.3</v>
      </c>
      <c r="Z59" s="29"/>
      <c r="AA59" s="29"/>
      <c r="AB59" s="29"/>
      <c r="AC59" s="29"/>
      <c r="AD59" s="38"/>
      <c r="AE59" s="29"/>
      <c r="AF59" s="29"/>
      <c r="AG59" s="39"/>
      <c r="AH59" s="29"/>
      <c r="AI59" s="29"/>
      <c r="AJ59" s="29"/>
      <c r="AK59" s="29"/>
      <c r="AL59" s="38"/>
      <c r="AM59" s="29"/>
      <c r="AN59" s="29"/>
      <c r="AO59" s="39"/>
      <c r="AP59" s="38"/>
      <c r="AQ59" s="29"/>
      <c r="AR59" s="29"/>
      <c r="AS59" s="39"/>
      <c r="AT59" s="29"/>
      <c r="AU59" s="29"/>
      <c r="AV59" s="29"/>
      <c r="AW59" s="39"/>
      <c r="AX59" s="29"/>
      <c r="AY59" s="29"/>
      <c r="AZ59" s="29"/>
      <c r="BA59" s="40"/>
    </row>
    <row r="60" spans="1:53" x14ac:dyDescent="0.15">
      <c r="A60" s="29">
        <v>1993</v>
      </c>
      <c r="B60" s="295"/>
      <c r="C60" s="411" t="s">
        <v>982</v>
      </c>
      <c r="D60" s="411"/>
      <c r="E60" s="29">
        <v>0</v>
      </c>
      <c r="F60" s="29"/>
      <c r="G60" s="66"/>
      <c r="H60" s="29">
        <v>13</v>
      </c>
      <c r="I60" s="29"/>
      <c r="J60" s="73">
        <v>13</v>
      </c>
      <c r="K60" s="47">
        <f t="shared" si="5"/>
        <v>0</v>
      </c>
      <c r="L60" s="47">
        <f t="shared" si="6"/>
        <v>100</v>
      </c>
      <c r="M60" s="47">
        <f t="shared" si="7"/>
        <v>0</v>
      </c>
      <c r="N60" s="68">
        <f t="shared" si="8"/>
        <v>100</v>
      </c>
      <c r="O60" s="46"/>
      <c r="P60" s="47">
        <v>52.3</v>
      </c>
      <c r="Q60" s="47"/>
      <c r="R60" s="48">
        <f t="shared" si="9"/>
        <v>52.3</v>
      </c>
      <c r="S60" s="29">
        <v>1</v>
      </c>
      <c r="T60" s="286"/>
      <c r="U60" s="295"/>
      <c r="V60" s="38" t="s">
        <v>981</v>
      </c>
      <c r="W60" s="29" t="s">
        <v>17</v>
      </c>
      <c r="X60" s="29" t="s">
        <v>18</v>
      </c>
      <c r="Y60" s="39">
        <v>52.3</v>
      </c>
      <c r="Z60" s="29"/>
      <c r="AA60" s="29"/>
      <c r="AB60" s="29"/>
      <c r="AC60" s="29"/>
      <c r="AD60" s="38"/>
      <c r="AE60" s="29"/>
      <c r="AF60" s="29"/>
      <c r="AG60" s="39"/>
      <c r="AH60" s="29"/>
      <c r="AI60" s="29"/>
      <c r="AJ60" s="29"/>
      <c r="AK60" s="29"/>
      <c r="AL60" s="38"/>
      <c r="AM60" s="29"/>
      <c r="AN60" s="29"/>
      <c r="AO60" s="39"/>
      <c r="AP60" s="38"/>
      <c r="AQ60" s="29"/>
      <c r="AR60" s="29"/>
      <c r="AS60" s="39"/>
      <c r="AT60" s="29"/>
      <c r="AU60" s="29"/>
      <c r="AV60" s="29"/>
      <c r="AW60" s="39"/>
      <c r="AX60" s="29"/>
      <c r="AY60" s="29"/>
      <c r="AZ60" s="29"/>
      <c r="BA60" s="40"/>
    </row>
    <row r="61" spans="1:53" x14ac:dyDescent="0.15">
      <c r="A61" s="29">
        <v>1993</v>
      </c>
      <c r="B61" s="295"/>
      <c r="C61" s="411" t="s">
        <v>982</v>
      </c>
      <c r="D61" s="411"/>
      <c r="E61" s="29">
        <f>365-E60</f>
        <v>365</v>
      </c>
      <c r="F61" s="29"/>
      <c r="G61" s="66"/>
      <c r="H61" s="29">
        <v>13</v>
      </c>
      <c r="I61" s="29"/>
      <c r="J61" s="73">
        <v>13</v>
      </c>
      <c r="K61" s="47">
        <f t="shared" si="5"/>
        <v>0</v>
      </c>
      <c r="L61" s="47">
        <f t="shared" si="6"/>
        <v>100</v>
      </c>
      <c r="M61" s="47">
        <f t="shared" si="7"/>
        <v>0</v>
      </c>
      <c r="N61" s="68">
        <f t="shared" si="8"/>
        <v>100</v>
      </c>
      <c r="O61" s="46"/>
      <c r="P61" s="47">
        <v>52.3</v>
      </c>
      <c r="Q61" s="47"/>
      <c r="R61" s="48">
        <f t="shared" si="9"/>
        <v>52.3</v>
      </c>
      <c r="S61" s="29">
        <v>1</v>
      </c>
      <c r="T61" s="286"/>
      <c r="U61" s="295"/>
      <c r="V61" s="38" t="s">
        <v>981</v>
      </c>
      <c r="W61" s="29" t="s">
        <v>17</v>
      </c>
      <c r="X61" s="29" t="s">
        <v>18</v>
      </c>
      <c r="Y61" s="39">
        <v>52.3</v>
      </c>
      <c r="Z61" s="29"/>
      <c r="AA61" s="29"/>
      <c r="AB61" s="29"/>
      <c r="AC61" s="29"/>
      <c r="AD61" s="38"/>
      <c r="AE61" s="29"/>
      <c r="AF61" s="29"/>
      <c r="AG61" s="39"/>
      <c r="AH61" s="29"/>
      <c r="AI61" s="29"/>
      <c r="AJ61" s="29"/>
      <c r="AK61" s="29"/>
      <c r="AL61" s="38"/>
      <c r="AM61" s="29"/>
      <c r="AN61" s="29"/>
      <c r="AO61" s="39"/>
      <c r="AP61" s="38"/>
      <c r="AQ61" s="29"/>
      <c r="AR61" s="29"/>
      <c r="AS61" s="39"/>
      <c r="AT61" s="29"/>
      <c r="AU61" s="29"/>
      <c r="AV61" s="29"/>
      <c r="AW61" s="39"/>
      <c r="AX61" s="29"/>
      <c r="AY61" s="29"/>
      <c r="AZ61" s="29"/>
      <c r="BA61" s="40"/>
    </row>
    <row r="62" spans="1:53" x14ac:dyDescent="0.15">
      <c r="A62" s="29">
        <v>1994</v>
      </c>
      <c r="B62" s="295"/>
      <c r="C62" s="411" t="s">
        <v>982</v>
      </c>
      <c r="D62" s="411"/>
      <c r="E62" s="29">
        <v>0</v>
      </c>
      <c r="F62" s="29"/>
      <c r="G62" s="66"/>
      <c r="H62" s="29">
        <v>13</v>
      </c>
      <c r="I62" s="29"/>
      <c r="J62" s="73">
        <v>13</v>
      </c>
      <c r="K62" s="47">
        <f t="shared" si="5"/>
        <v>0</v>
      </c>
      <c r="L62" s="47">
        <f t="shared" si="6"/>
        <v>100</v>
      </c>
      <c r="M62" s="47">
        <f t="shared" si="7"/>
        <v>0</v>
      </c>
      <c r="N62" s="68">
        <f t="shared" si="8"/>
        <v>100</v>
      </c>
      <c r="O62" s="46"/>
      <c r="P62" s="47">
        <v>52.3</v>
      </c>
      <c r="Q62" s="47"/>
      <c r="R62" s="48">
        <f t="shared" si="9"/>
        <v>52.3</v>
      </c>
      <c r="S62" s="29">
        <v>1</v>
      </c>
      <c r="T62" s="286"/>
      <c r="U62" s="295"/>
      <c r="V62" s="38" t="s">
        <v>981</v>
      </c>
      <c r="W62" s="29" t="s">
        <v>17</v>
      </c>
      <c r="X62" s="29" t="s">
        <v>18</v>
      </c>
      <c r="Y62" s="39">
        <v>52.3</v>
      </c>
      <c r="Z62" s="29"/>
      <c r="AA62" s="29"/>
      <c r="AB62" s="29"/>
      <c r="AC62" s="29"/>
      <c r="AD62" s="38"/>
      <c r="AE62" s="29"/>
      <c r="AF62" s="29"/>
      <c r="AG62" s="39"/>
      <c r="AH62" s="29"/>
      <c r="AI62" s="29"/>
      <c r="AJ62" s="29"/>
      <c r="AK62" s="29"/>
      <c r="AL62" s="38"/>
      <c r="AM62" s="29"/>
      <c r="AN62" s="29"/>
      <c r="AO62" s="39"/>
      <c r="AP62" s="38"/>
      <c r="AQ62" s="29"/>
      <c r="AR62" s="29"/>
      <c r="AS62" s="39"/>
      <c r="AT62" s="29"/>
      <c r="AU62" s="29"/>
      <c r="AV62" s="29"/>
      <c r="AW62" s="39"/>
      <c r="AX62" s="29"/>
      <c r="AY62" s="29"/>
      <c r="AZ62" s="29"/>
      <c r="BA62" s="40"/>
    </row>
    <row r="63" spans="1:53" x14ac:dyDescent="0.15">
      <c r="A63" s="29">
        <v>1994</v>
      </c>
      <c r="B63" s="295"/>
      <c r="C63" s="411" t="s">
        <v>982</v>
      </c>
      <c r="D63" s="411"/>
      <c r="E63" s="29">
        <f>365-E62</f>
        <v>365</v>
      </c>
      <c r="F63" s="29"/>
      <c r="G63" s="66"/>
      <c r="H63" s="29">
        <v>13</v>
      </c>
      <c r="I63" s="29"/>
      <c r="J63" s="73">
        <v>13</v>
      </c>
      <c r="K63" s="47">
        <f t="shared" si="5"/>
        <v>0</v>
      </c>
      <c r="L63" s="47">
        <f t="shared" si="6"/>
        <v>100</v>
      </c>
      <c r="M63" s="47">
        <f t="shared" si="7"/>
        <v>0</v>
      </c>
      <c r="N63" s="68">
        <f t="shared" si="8"/>
        <v>100</v>
      </c>
      <c r="O63" s="46"/>
      <c r="P63" s="47">
        <v>52.3</v>
      </c>
      <c r="Q63" s="47"/>
      <c r="R63" s="48">
        <f t="shared" si="9"/>
        <v>52.3</v>
      </c>
      <c r="S63" s="29">
        <v>1</v>
      </c>
      <c r="T63" s="286"/>
      <c r="U63" s="295"/>
      <c r="V63" s="38" t="s">
        <v>981</v>
      </c>
      <c r="W63" s="29" t="s">
        <v>17</v>
      </c>
      <c r="X63" s="29" t="s">
        <v>18</v>
      </c>
      <c r="Y63" s="39">
        <v>52.3</v>
      </c>
      <c r="Z63" s="29"/>
      <c r="AA63" s="29"/>
      <c r="AB63" s="29"/>
      <c r="AC63" s="29"/>
      <c r="AD63" s="38"/>
      <c r="AE63" s="29"/>
      <c r="AF63" s="29"/>
      <c r="AG63" s="39"/>
      <c r="AH63" s="29"/>
      <c r="AI63" s="29"/>
      <c r="AJ63" s="29"/>
      <c r="AK63" s="29"/>
      <c r="AL63" s="38"/>
      <c r="AM63" s="29"/>
      <c r="AN63" s="29"/>
      <c r="AO63" s="39"/>
      <c r="AP63" s="38"/>
      <c r="AQ63" s="29"/>
      <c r="AR63" s="29"/>
      <c r="AS63" s="39"/>
      <c r="AT63" s="29"/>
      <c r="AU63" s="29"/>
      <c r="AV63" s="29"/>
      <c r="AW63" s="39"/>
      <c r="AX63" s="29"/>
      <c r="AY63" s="29"/>
      <c r="AZ63" s="29"/>
      <c r="BA63" s="40"/>
    </row>
    <row r="64" spans="1:53" x14ac:dyDescent="0.15">
      <c r="A64" s="29">
        <v>1995</v>
      </c>
      <c r="B64" s="295"/>
      <c r="C64" s="411" t="s">
        <v>982</v>
      </c>
      <c r="D64" s="411"/>
      <c r="E64" s="29">
        <v>0</v>
      </c>
      <c r="F64" s="29"/>
      <c r="G64" s="66"/>
      <c r="H64" s="29">
        <v>13</v>
      </c>
      <c r="I64" s="29"/>
      <c r="J64" s="73">
        <v>13</v>
      </c>
      <c r="K64" s="47">
        <f t="shared" si="5"/>
        <v>0</v>
      </c>
      <c r="L64" s="47">
        <f t="shared" si="6"/>
        <v>100</v>
      </c>
      <c r="M64" s="47">
        <f t="shared" si="7"/>
        <v>0</v>
      </c>
      <c r="N64" s="68">
        <f t="shared" si="8"/>
        <v>100</v>
      </c>
      <c r="O64" s="46"/>
      <c r="P64" s="47">
        <v>52.3</v>
      </c>
      <c r="Q64" s="47"/>
      <c r="R64" s="48">
        <f t="shared" si="9"/>
        <v>52.3</v>
      </c>
      <c r="S64" s="29">
        <v>1</v>
      </c>
      <c r="T64" s="286"/>
      <c r="U64" s="295"/>
      <c r="V64" s="38" t="s">
        <v>981</v>
      </c>
      <c r="W64" s="29" t="s">
        <v>17</v>
      </c>
      <c r="X64" s="29" t="s">
        <v>18</v>
      </c>
      <c r="Y64" s="39">
        <v>52.3</v>
      </c>
      <c r="Z64" s="29"/>
      <c r="AA64" s="29"/>
      <c r="AB64" s="29"/>
      <c r="AC64" s="29"/>
      <c r="AD64" s="38"/>
      <c r="AE64" s="29"/>
      <c r="AF64" s="29"/>
      <c r="AG64" s="39"/>
      <c r="AH64" s="29"/>
      <c r="AI64" s="29"/>
      <c r="AJ64" s="29"/>
      <c r="AK64" s="29"/>
      <c r="AL64" s="38"/>
      <c r="AM64" s="29"/>
      <c r="AN64" s="29"/>
      <c r="AO64" s="39"/>
      <c r="AP64" s="38"/>
      <c r="AQ64" s="29"/>
      <c r="AR64" s="29"/>
      <c r="AS64" s="39"/>
      <c r="AT64" s="29"/>
      <c r="AU64" s="29"/>
      <c r="AV64" s="29"/>
      <c r="AW64" s="39"/>
      <c r="AX64" s="29"/>
      <c r="AY64" s="29"/>
      <c r="AZ64" s="29"/>
      <c r="BA64" s="40"/>
    </row>
    <row r="65" spans="1:53" x14ac:dyDescent="0.15">
      <c r="A65" s="29">
        <v>1995</v>
      </c>
      <c r="B65" s="295"/>
      <c r="C65" s="411" t="s">
        <v>982</v>
      </c>
      <c r="D65" s="411"/>
      <c r="E65" s="29">
        <f>365-E64</f>
        <v>365</v>
      </c>
      <c r="F65" s="29"/>
      <c r="G65" s="66"/>
      <c r="H65" s="29">
        <v>13</v>
      </c>
      <c r="I65" s="29"/>
      <c r="J65" s="73">
        <v>13</v>
      </c>
      <c r="K65" s="47">
        <f t="shared" si="5"/>
        <v>0</v>
      </c>
      <c r="L65" s="47">
        <f t="shared" si="6"/>
        <v>100</v>
      </c>
      <c r="M65" s="47">
        <f t="shared" si="7"/>
        <v>0</v>
      </c>
      <c r="N65" s="68">
        <f t="shared" si="8"/>
        <v>100</v>
      </c>
      <c r="O65" s="46"/>
      <c r="P65" s="47">
        <v>52.3</v>
      </c>
      <c r="Q65" s="47"/>
      <c r="R65" s="48">
        <f t="shared" si="9"/>
        <v>52.3</v>
      </c>
      <c r="S65" s="29">
        <v>1</v>
      </c>
      <c r="T65" s="286"/>
      <c r="U65" s="295"/>
      <c r="V65" s="38" t="s">
        <v>981</v>
      </c>
      <c r="W65" s="29" t="s">
        <v>17</v>
      </c>
      <c r="X65" s="29" t="s">
        <v>18</v>
      </c>
      <c r="Y65" s="39">
        <v>52.3</v>
      </c>
      <c r="Z65" s="29"/>
      <c r="AA65" s="29"/>
      <c r="AB65" s="29"/>
      <c r="AC65" s="29"/>
      <c r="AD65" s="38"/>
      <c r="AE65" s="29"/>
      <c r="AF65" s="29"/>
      <c r="AG65" s="39"/>
      <c r="AH65" s="29"/>
      <c r="AI65" s="29"/>
      <c r="AJ65" s="29"/>
      <c r="AK65" s="29"/>
      <c r="AL65" s="38"/>
      <c r="AM65" s="29"/>
      <c r="AN65" s="29"/>
      <c r="AO65" s="39"/>
      <c r="AP65" s="38"/>
      <c r="AQ65" s="29"/>
      <c r="AR65" s="29"/>
      <c r="AS65" s="39"/>
      <c r="AT65" s="29"/>
      <c r="AU65" s="29"/>
      <c r="AV65" s="29"/>
      <c r="AW65" s="39"/>
      <c r="AX65" s="29"/>
      <c r="AY65" s="29"/>
      <c r="AZ65" s="29"/>
      <c r="BA65" s="40"/>
    </row>
    <row r="66" spans="1:53" x14ac:dyDescent="0.15">
      <c r="A66" s="29">
        <v>1996</v>
      </c>
      <c r="B66" s="295"/>
      <c r="C66" s="411" t="s">
        <v>982</v>
      </c>
      <c r="D66" s="411"/>
      <c r="E66" s="29">
        <v>302</v>
      </c>
      <c r="F66" s="29"/>
      <c r="G66" s="66"/>
      <c r="H66" s="29">
        <v>13</v>
      </c>
      <c r="I66" s="29"/>
      <c r="J66" s="73">
        <v>13</v>
      </c>
      <c r="K66" s="47">
        <f t="shared" si="5"/>
        <v>0</v>
      </c>
      <c r="L66" s="47">
        <f t="shared" si="6"/>
        <v>100</v>
      </c>
      <c r="M66" s="47">
        <f t="shared" si="7"/>
        <v>0</v>
      </c>
      <c r="N66" s="68">
        <f t="shared" si="8"/>
        <v>100</v>
      </c>
      <c r="O66" s="46"/>
      <c r="P66" s="47">
        <v>52.3</v>
      </c>
      <c r="Q66" s="47"/>
      <c r="R66" s="48">
        <f t="shared" si="9"/>
        <v>52.3</v>
      </c>
      <c r="S66" s="29">
        <v>1</v>
      </c>
      <c r="T66" s="286"/>
      <c r="U66" s="295"/>
      <c r="V66" s="38" t="s">
        <v>981</v>
      </c>
      <c r="W66" s="29" t="s">
        <v>17</v>
      </c>
      <c r="X66" s="29" t="s">
        <v>18</v>
      </c>
      <c r="Y66" s="39">
        <v>52.3</v>
      </c>
      <c r="Z66" s="29"/>
      <c r="AA66" s="29"/>
      <c r="AB66" s="29"/>
      <c r="AC66" s="29"/>
      <c r="AD66" s="38"/>
      <c r="AE66" s="29"/>
      <c r="AF66" s="29"/>
      <c r="AG66" s="39"/>
      <c r="AH66" s="29"/>
      <c r="AI66" s="29"/>
      <c r="AJ66" s="29"/>
      <c r="AK66" s="29"/>
      <c r="AL66" s="38"/>
      <c r="AM66" s="29"/>
      <c r="AN66" s="29"/>
      <c r="AO66" s="39"/>
      <c r="AP66" s="38"/>
      <c r="AQ66" s="29"/>
      <c r="AR66" s="29"/>
      <c r="AS66" s="39"/>
      <c r="AT66" s="29"/>
      <c r="AU66" s="29"/>
      <c r="AV66" s="29"/>
      <c r="AW66" s="39"/>
      <c r="AX66" s="29"/>
      <c r="AY66" s="29"/>
      <c r="AZ66" s="29"/>
      <c r="BA66" s="40"/>
    </row>
    <row r="67" spans="1:53" x14ac:dyDescent="0.15">
      <c r="A67" s="171">
        <v>1996</v>
      </c>
      <c r="B67" s="283">
        <v>35367</v>
      </c>
      <c r="C67" s="410" t="s">
        <v>983</v>
      </c>
      <c r="D67" s="410"/>
      <c r="E67" s="171">
        <f>366-E66</f>
        <v>64</v>
      </c>
      <c r="F67" s="171">
        <v>1</v>
      </c>
      <c r="G67" s="233"/>
      <c r="H67" s="171"/>
      <c r="I67" s="171">
        <v>15</v>
      </c>
      <c r="J67" s="241">
        <v>15</v>
      </c>
      <c r="K67" s="214">
        <f t="shared" si="5"/>
        <v>0</v>
      </c>
      <c r="L67" s="214">
        <f t="shared" si="6"/>
        <v>0</v>
      </c>
      <c r="M67" s="214">
        <f t="shared" si="7"/>
        <v>100</v>
      </c>
      <c r="N67" s="235">
        <f t="shared" si="8"/>
        <v>100</v>
      </c>
      <c r="O67" s="213"/>
      <c r="P67" s="214"/>
      <c r="Q67" s="214">
        <v>50.7</v>
      </c>
      <c r="R67" s="215">
        <f t="shared" si="9"/>
        <v>50.7</v>
      </c>
      <c r="S67" s="171">
        <v>1</v>
      </c>
      <c r="T67" s="285">
        <v>35364</v>
      </c>
      <c r="U67" s="283">
        <v>35367</v>
      </c>
      <c r="V67" s="178" t="s">
        <v>984</v>
      </c>
      <c r="W67" s="171" t="s">
        <v>20</v>
      </c>
      <c r="X67" s="171" t="s">
        <v>12</v>
      </c>
      <c r="Y67" s="179">
        <v>50.7</v>
      </c>
      <c r="Z67" s="171"/>
      <c r="AA67" s="171"/>
      <c r="AB67" s="171"/>
      <c r="AC67" s="171"/>
      <c r="AD67" s="178"/>
      <c r="AE67" s="171"/>
      <c r="AF67" s="171"/>
      <c r="AG67" s="179"/>
      <c r="AH67" s="171"/>
      <c r="AI67" s="171"/>
      <c r="AJ67" s="171"/>
      <c r="AK67" s="171"/>
      <c r="AL67" s="178"/>
      <c r="AM67" s="171"/>
      <c r="AN67" s="171"/>
      <c r="AO67" s="179"/>
      <c r="AP67" s="178"/>
      <c r="AQ67" s="171"/>
      <c r="AR67" s="171"/>
      <c r="AS67" s="179"/>
      <c r="AT67" s="171"/>
      <c r="AU67" s="171"/>
      <c r="AV67" s="171"/>
      <c r="AW67" s="179"/>
      <c r="AX67" s="171"/>
      <c r="AY67" s="171"/>
      <c r="AZ67" s="171"/>
      <c r="BA67" s="180"/>
    </row>
    <row r="68" spans="1:53" x14ac:dyDescent="0.15">
      <c r="A68" s="171">
        <v>1997</v>
      </c>
      <c r="B68" s="283"/>
      <c r="C68" s="410" t="s">
        <v>983</v>
      </c>
      <c r="D68" s="410"/>
      <c r="E68" s="171">
        <v>84</v>
      </c>
      <c r="F68" s="171"/>
      <c r="G68" s="233"/>
      <c r="H68" s="171"/>
      <c r="I68" s="171">
        <v>15</v>
      </c>
      <c r="J68" s="241">
        <v>15</v>
      </c>
      <c r="K68" s="214">
        <f t="shared" si="5"/>
        <v>0</v>
      </c>
      <c r="L68" s="214">
        <f t="shared" si="6"/>
        <v>0</v>
      </c>
      <c r="M68" s="214">
        <f t="shared" si="7"/>
        <v>100</v>
      </c>
      <c r="N68" s="235">
        <f t="shared" si="8"/>
        <v>100</v>
      </c>
      <c r="O68" s="213"/>
      <c r="P68" s="214"/>
      <c r="Q68" s="214">
        <v>50.7</v>
      </c>
      <c r="R68" s="215">
        <f t="shared" si="9"/>
        <v>50.7</v>
      </c>
      <c r="S68" s="171">
        <v>1</v>
      </c>
      <c r="T68" s="285"/>
      <c r="U68" s="283"/>
      <c r="V68" s="178" t="s">
        <v>984</v>
      </c>
      <c r="W68" s="171" t="s">
        <v>20</v>
      </c>
      <c r="X68" s="171" t="s">
        <v>12</v>
      </c>
      <c r="Y68" s="179">
        <v>50.7</v>
      </c>
      <c r="Z68" s="171"/>
      <c r="AA68" s="171"/>
      <c r="AB68" s="171"/>
      <c r="AC68" s="171"/>
      <c r="AD68" s="178"/>
      <c r="AE68" s="171"/>
      <c r="AF68" s="171"/>
      <c r="AG68" s="179"/>
      <c r="AH68" s="171"/>
      <c r="AI68" s="171"/>
      <c r="AJ68" s="171"/>
      <c r="AK68" s="171"/>
      <c r="AL68" s="178"/>
      <c r="AM68" s="171"/>
      <c r="AN68" s="171"/>
      <c r="AO68" s="179"/>
      <c r="AP68" s="178"/>
      <c r="AQ68" s="171"/>
      <c r="AR68" s="171"/>
      <c r="AS68" s="179"/>
      <c r="AT68" s="171"/>
      <c r="AU68" s="171"/>
      <c r="AV68" s="171"/>
      <c r="AW68" s="179"/>
      <c r="AX68" s="171"/>
      <c r="AY68" s="171"/>
      <c r="AZ68" s="171"/>
      <c r="BA68" s="180"/>
    </row>
    <row r="69" spans="1:53" x14ac:dyDescent="0.15">
      <c r="A69" s="171">
        <v>1997</v>
      </c>
      <c r="B69" s="305">
        <v>35515</v>
      </c>
      <c r="C69" s="410" t="s">
        <v>983</v>
      </c>
      <c r="D69" s="410"/>
      <c r="E69" s="171">
        <f>365-E68</f>
        <v>281</v>
      </c>
      <c r="F69" s="244">
        <v>0</v>
      </c>
      <c r="G69" s="233"/>
      <c r="H69" s="171"/>
      <c r="I69" s="171">
        <v>14</v>
      </c>
      <c r="J69" s="241">
        <v>14</v>
      </c>
      <c r="K69" s="214">
        <f t="shared" si="5"/>
        <v>0</v>
      </c>
      <c r="L69" s="214">
        <f t="shared" si="6"/>
        <v>0</v>
      </c>
      <c r="M69" s="214">
        <f t="shared" si="7"/>
        <v>100</v>
      </c>
      <c r="N69" s="235">
        <f t="shared" si="8"/>
        <v>100</v>
      </c>
      <c r="O69" s="213"/>
      <c r="P69" s="214"/>
      <c r="Q69" s="214">
        <v>50.7</v>
      </c>
      <c r="R69" s="215">
        <f t="shared" si="9"/>
        <v>50.7</v>
      </c>
      <c r="S69" s="171">
        <v>1</v>
      </c>
      <c r="T69" s="285"/>
      <c r="U69" s="283"/>
      <c r="V69" s="178" t="s">
        <v>984</v>
      </c>
      <c r="W69" s="171" t="s">
        <v>20</v>
      </c>
      <c r="X69" s="171" t="s">
        <v>12</v>
      </c>
      <c r="Y69" s="179">
        <v>50.7</v>
      </c>
      <c r="Z69" s="171"/>
      <c r="AA69" s="171"/>
      <c r="AB69" s="171"/>
      <c r="AC69" s="171"/>
      <c r="AD69" s="178"/>
      <c r="AE69" s="171"/>
      <c r="AF69" s="171"/>
      <c r="AG69" s="179"/>
      <c r="AH69" s="171"/>
      <c r="AI69" s="171"/>
      <c r="AJ69" s="171"/>
      <c r="AK69" s="171"/>
      <c r="AL69" s="178"/>
      <c r="AM69" s="171"/>
      <c r="AN69" s="171"/>
      <c r="AO69" s="179"/>
      <c r="AP69" s="178"/>
      <c r="AQ69" s="171"/>
      <c r="AR69" s="171"/>
      <c r="AS69" s="179"/>
      <c r="AT69" s="171"/>
      <c r="AU69" s="171"/>
      <c r="AV69" s="171"/>
      <c r="AW69" s="179"/>
      <c r="AX69" s="171"/>
      <c r="AY69" s="171"/>
      <c r="AZ69" s="171"/>
      <c r="BA69" s="180"/>
    </row>
    <row r="70" spans="1:53" x14ac:dyDescent="0.15">
      <c r="A70" s="171">
        <v>1998</v>
      </c>
      <c r="B70" s="283"/>
      <c r="C70" s="410" t="s">
        <v>983</v>
      </c>
      <c r="D70" s="410"/>
      <c r="E70" s="171">
        <v>250</v>
      </c>
      <c r="F70" s="171"/>
      <c r="G70" s="233"/>
      <c r="H70" s="171"/>
      <c r="I70" s="171">
        <v>14</v>
      </c>
      <c r="J70" s="241">
        <v>14</v>
      </c>
      <c r="K70" s="214">
        <f t="shared" si="5"/>
        <v>0</v>
      </c>
      <c r="L70" s="214">
        <f t="shared" si="6"/>
        <v>0</v>
      </c>
      <c r="M70" s="214">
        <f t="shared" si="7"/>
        <v>100</v>
      </c>
      <c r="N70" s="235">
        <f t="shared" si="8"/>
        <v>100</v>
      </c>
      <c r="O70" s="213"/>
      <c r="P70" s="214"/>
      <c r="Q70" s="214">
        <v>50.7</v>
      </c>
      <c r="R70" s="215">
        <f t="shared" si="9"/>
        <v>50.7</v>
      </c>
      <c r="S70" s="171">
        <v>1</v>
      </c>
      <c r="T70" s="285"/>
      <c r="U70" s="283"/>
      <c r="V70" s="178" t="s">
        <v>984</v>
      </c>
      <c r="W70" s="171" t="s">
        <v>20</v>
      </c>
      <c r="X70" s="171" t="s">
        <v>12</v>
      </c>
      <c r="Y70" s="179">
        <v>50.7</v>
      </c>
      <c r="Z70" s="171"/>
      <c r="AA70" s="171"/>
      <c r="AB70" s="171"/>
      <c r="AC70" s="171"/>
      <c r="AD70" s="178"/>
      <c r="AE70" s="171"/>
      <c r="AF70" s="171"/>
      <c r="AG70" s="179"/>
      <c r="AH70" s="171"/>
      <c r="AI70" s="171"/>
      <c r="AJ70" s="171"/>
      <c r="AK70" s="171"/>
      <c r="AL70" s="178"/>
      <c r="AM70" s="171"/>
      <c r="AN70" s="171"/>
      <c r="AO70" s="179"/>
      <c r="AP70" s="178"/>
      <c r="AQ70" s="171"/>
      <c r="AR70" s="171"/>
      <c r="AS70" s="179"/>
      <c r="AT70" s="171"/>
      <c r="AU70" s="171"/>
      <c r="AV70" s="171"/>
      <c r="AW70" s="179"/>
      <c r="AX70" s="171"/>
      <c r="AY70" s="171"/>
      <c r="AZ70" s="171"/>
      <c r="BA70" s="180"/>
    </row>
    <row r="71" spans="1:53" x14ac:dyDescent="0.15">
      <c r="A71" s="29">
        <v>1998</v>
      </c>
      <c r="B71" s="295">
        <v>36046</v>
      </c>
      <c r="C71" s="411" t="s">
        <v>985</v>
      </c>
      <c r="D71" s="411"/>
      <c r="E71" s="29">
        <f>365-E70</f>
        <v>115</v>
      </c>
      <c r="F71" s="29">
        <v>1</v>
      </c>
      <c r="G71" s="66"/>
      <c r="H71" s="29">
        <v>13</v>
      </c>
      <c r="I71" s="29"/>
      <c r="J71" s="73">
        <v>13</v>
      </c>
      <c r="K71" s="47">
        <f t="shared" ref="K71:K101" si="10">G71/J71*100</f>
        <v>0</v>
      </c>
      <c r="L71" s="47">
        <f t="shared" ref="L71:L101" si="11">H71/J71*100</f>
        <v>100</v>
      </c>
      <c r="M71" s="47">
        <f t="shared" ref="M71:M101" si="12">I71/J71*100</f>
        <v>0</v>
      </c>
      <c r="N71" s="68">
        <f t="shared" ref="N71:N101" si="13">K71+L71+M71</f>
        <v>100</v>
      </c>
      <c r="O71" s="46"/>
      <c r="P71" s="47">
        <v>53.8</v>
      </c>
      <c r="Q71" s="47"/>
      <c r="R71" s="48">
        <f t="shared" ref="R71:R103" si="14">O71+P71+Q71</f>
        <v>53.8</v>
      </c>
      <c r="S71" s="29">
        <v>1</v>
      </c>
      <c r="T71" s="286">
        <v>36043</v>
      </c>
      <c r="U71" s="295">
        <v>36046</v>
      </c>
      <c r="V71" s="38" t="s">
        <v>981</v>
      </c>
      <c r="W71" s="29" t="s">
        <v>17</v>
      </c>
      <c r="X71" s="29" t="s">
        <v>18</v>
      </c>
      <c r="Y71" s="39">
        <v>53.8</v>
      </c>
      <c r="Z71" s="29"/>
      <c r="AA71" s="29"/>
      <c r="AB71" s="29"/>
      <c r="AC71" s="29"/>
      <c r="AD71" s="38"/>
      <c r="AE71" s="29"/>
      <c r="AF71" s="29"/>
      <c r="AG71" s="39"/>
      <c r="AH71" s="29"/>
      <c r="AI71" s="29"/>
      <c r="AJ71" s="29"/>
      <c r="AK71" s="29"/>
      <c r="AL71" s="38"/>
      <c r="AM71" s="29"/>
      <c r="AN71" s="29"/>
      <c r="AO71" s="39"/>
      <c r="AP71" s="38"/>
      <c r="AQ71" s="29"/>
      <c r="AR71" s="29"/>
      <c r="AS71" s="39"/>
      <c r="AT71" s="29"/>
      <c r="AU71" s="29"/>
      <c r="AV71" s="29"/>
      <c r="AW71" s="39"/>
      <c r="AX71" s="29"/>
      <c r="AY71" s="29"/>
      <c r="AZ71" s="29"/>
      <c r="BA71" s="40"/>
    </row>
    <row r="72" spans="1:53" x14ac:dyDescent="0.15">
      <c r="A72" s="29">
        <v>1999</v>
      </c>
      <c r="B72" s="295"/>
      <c r="C72" s="411" t="s">
        <v>985</v>
      </c>
      <c r="D72" s="411"/>
      <c r="E72" s="29">
        <v>82</v>
      </c>
      <c r="F72" s="29"/>
      <c r="G72" s="66"/>
      <c r="H72" s="29">
        <v>13</v>
      </c>
      <c r="I72" s="29"/>
      <c r="J72" s="73">
        <v>13</v>
      </c>
      <c r="K72" s="47">
        <f t="shared" si="10"/>
        <v>0</v>
      </c>
      <c r="L72" s="47">
        <f t="shared" si="11"/>
        <v>100</v>
      </c>
      <c r="M72" s="47">
        <f t="shared" si="12"/>
        <v>0</v>
      </c>
      <c r="N72" s="68">
        <f t="shared" si="13"/>
        <v>100</v>
      </c>
      <c r="O72" s="46"/>
      <c r="P72" s="47">
        <v>53.8</v>
      </c>
      <c r="Q72" s="47"/>
      <c r="R72" s="48">
        <f t="shared" si="14"/>
        <v>53.8</v>
      </c>
      <c r="S72" s="29">
        <v>1</v>
      </c>
      <c r="T72" s="286"/>
      <c r="U72" s="295"/>
      <c r="V72" s="38" t="s">
        <v>981</v>
      </c>
      <c r="W72" s="29" t="s">
        <v>17</v>
      </c>
      <c r="X72" s="29" t="s">
        <v>18</v>
      </c>
      <c r="Y72" s="39">
        <v>53.8</v>
      </c>
      <c r="Z72" s="29"/>
      <c r="AA72" s="29"/>
      <c r="AB72" s="29"/>
      <c r="AC72" s="29"/>
      <c r="AD72" s="38"/>
      <c r="AE72" s="29"/>
      <c r="AF72" s="29"/>
      <c r="AG72" s="39"/>
      <c r="AH72" s="29"/>
      <c r="AI72" s="29"/>
      <c r="AJ72" s="29"/>
      <c r="AK72" s="29"/>
      <c r="AL72" s="38"/>
      <c r="AM72" s="29"/>
      <c r="AN72" s="29"/>
      <c r="AO72" s="39"/>
      <c r="AP72" s="38"/>
      <c r="AQ72" s="29"/>
      <c r="AR72" s="29"/>
      <c r="AS72" s="39"/>
      <c r="AT72" s="29"/>
      <c r="AU72" s="29"/>
      <c r="AV72" s="29"/>
      <c r="AW72" s="39"/>
      <c r="AX72" s="29"/>
      <c r="AY72" s="29"/>
      <c r="AZ72" s="29"/>
      <c r="BA72" s="40"/>
    </row>
    <row r="73" spans="1:53" x14ac:dyDescent="0.15">
      <c r="A73" s="29">
        <v>1999</v>
      </c>
      <c r="B73" s="303">
        <v>36243</v>
      </c>
      <c r="C73" s="411" t="s">
        <v>985</v>
      </c>
      <c r="D73" s="411"/>
      <c r="E73" s="29">
        <f>365-E72</f>
        <v>283</v>
      </c>
      <c r="F73" s="84">
        <v>0</v>
      </c>
      <c r="G73" s="66"/>
      <c r="H73" s="29">
        <v>14</v>
      </c>
      <c r="I73" s="29"/>
      <c r="J73" s="73">
        <v>14</v>
      </c>
      <c r="K73" s="47">
        <f t="shared" si="10"/>
        <v>0</v>
      </c>
      <c r="L73" s="47">
        <f t="shared" si="11"/>
        <v>100</v>
      </c>
      <c r="M73" s="47">
        <f t="shared" si="12"/>
        <v>0</v>
      </c>
      <c r="N73" s="68">
        <f t="shared" si="13"/>
        <v>100</v>
      </c>
      <c r="O73" s="46"/>
      <c r="P73" s="47">
        <v>53.8</v>
      </c>
      <c r="Q73" s="47"/>
      <c r="R73" s="48">
        <f t="shared" si="14"/>
        <v>53.8</v>
      </c>
      <c r="S73" s="29">
        <v>1</v>
      </c>
      <c r="T73" s="286"/>
      <c r="U73" s="295"/>
      <c r="V73" s="38" t="s">
        <v>981</v>
      </c>
      <c r="W73" s="29" t="s">
        <v>17</v>
      </c>
      <c r="X73" s="29" t="s">
        <v>18</v>
      </c>
      <c r="Y73" s="39">
        <v>53.8</v>
      </c>
      <c r="Z73" s="29"/>
      <c r="AA73" s="29"/>
      <c r="AB73" s="29"/>
      <c r="AC73" s="29"/>
      <c r="AD73" s="38"/>
      <c r="AE73" s="29"/>
      <c r="AF73" s="29"/>
      <c r="AG73" s="39"/>
      <c r="AH73" s="29"/>
      <c r="AI73" s="29"/>
      <c r="AJ73" s="29"/>
      <c r="AK73" s="29"/>
      <c r="AL73" s="38"/>
      <c r="AM73" s="29"/>
      <c r="AN73" s="29"/>
      <c r="AO73" s="39"/>
      <c r="AP73" s="38"/>
      <c r="AQ73" s="29"/>
      <c r="AR73" s="29"/>
      <c r="AS73" s="39"/>
      <c r="AT73" s="29"/>
      <c r="AU73" s="29"/>
      <c r="AV73" s="29"/>
      <c r="AW73" s="39"/>
      <c r="AX73" s="29"/>
      <c r="AY73" s="29"/>
      <c r="AZ73" s="29"/>
      <c r="BA73" s="40"/>
    </row>
    <row r="74" spans="1:53" x14ac:dyDescent="0.15">
      <c r="A74" s="29">
        <v>2000</v>
      </c>
      <c r="B74" s="295"/>
      <c r="C74" s="411" t="s">
        <v>985</v>
      </c>
      <c r="D74" s="411"/>
      <c r="E74" s="29">
        <v>0</v>
      </c>
      <c r="F74" s="29"/>
      <c r="G74" s="66"/>
      <c r="H74" s="29">
        <v>14</v>
      </c>
      <c r="I74" s="29"/>
      <c r="J74" s="73">
        <v>14</v>
      </c>
      <c r="K74" s="47">
        <f t="shared" si="10"/>
        <v>0</v>
      </c>
      <c r="L74" s="47">
        <f t="shared" si="11"/>
        <v>100</v>
      </c>
      <c r="M74" s="47">
        <f t="shared" si="12"/>
        <v>0</v>
      </c>
      <c r="N74" s="68">
        <f t="shared" si="13"/>
        <v>100</v>
      </c>
      <c r="O74" s="46"/>
      <c r="P74" s="47">
        <v>53.8</v>
      </c>
      <c r="Q74" s="47"/>
      <c r="R74" s="48">
        <f t="shared" si="14"/>
        <v>53.8</v>
      </c>
      <c r="S74" s="29">
        <v>1</v>
      </c>
      <c r="T74" s="286"/>
      <c r="U74" s="295"/>
      <c r="V74" s="38" t="s">
        <v>981</v>
      </c>
      <c r="W74" s="29" t="s">
        <v>17</v>
      </c>
      <c r="X74" s="29" t="s">
        <v>18</v>
      </c>
      <c r="Y74" s="39">
        <v>53.8</v>
      </c>
      <c r="Z74" s="29"/>
      <c r="AA74" s="29"/>
      <c r="AB74" s="29"/>
      <c r="AC74" s="29"/>
      <c r="AD74" s="38"/>
      <c r="AE74" s="29"/>
      <c r="AF74" s="29"/>
      <c r="AG74" s="39"/>
      <c r="AH74" s="29"/>
      <c r="AI74" s="29"/>
      <c r="AJ74" s="29"/>
      <c r="AK74" s="29"/>
      <c r="AL74" s="38"/>
      <c r="AM74" s="29"/>
      <c r="AN74" s="29"/>
      <c r="AO74" s="39"/>
      <c r="AP74" s="38"/>
      <c r="AQ74" s="29"/>
      <c r="AR74" s="29"/>
      <c r="AS74" s="39"/>
      <c r="AT74" s="29"/>
      <c r="AU74" s="29"/>
      <c r="AV74" s="29"/>
      <c r="AW74" s="39"/>
      <c r="AX74" s="29"/>
      <c r="AY74" s="29"/>
      <c r="AZ74" s="29"/>
      <c r="BA74" s="40"/>
    </row>
    <row r="75" spans="1:53" x14ac:dyDescent="0.15">
      <c r="A75" s="29">
        <v>2000</v>
      </c>
      <c r="B75" s="295"/>
      <c r="C75" s="411" t="s">
        <v>985</v>
      </c>
      <c r="D75" s="411"/>
      <c r="E75" s="29">
        <v>366</v>
      </c>
      <c r="F75" s="29"/>
      <c r="G75" s="66"/>
      <c r="H75" s="29">
        <v>14</v>
      </c>
      <c r="I75" s="29"/>
      <c r="J75" s="73">
        <v>14</v>
      </c>
      <c r="K75" s="47">
        <f t="shared" si="10"/>
        <v>0</v>
      </c>
      <c r="L75" s="47">
        <f t="shared" si="11"/>
        <v>100</v>
      </c>
      <c r="M75" s="47">
        <f t="shared" si="12"/>
        <v>0</v>
      </c>
      <c r="N75" s="68">
        <f t="shared" si="13"/>
        <v>100</v>
      </c>
      <c r="O75" s="46"/>
      <c r="P75" s="47">
        <v>53.8</v>
      </c>
      <c r="Q75" s="47"/>
      <c r="R75" s="48">
        <f t="shared" si="14"/>
        <v>53.8</v>
      </c>
      <c r="S75" s="29">
        <v>1</v>
      </c>
      <c r="T75" s="286"/>
      <c r="U75" s="295"/>
      <c r="V75" s="38" t="s">
        <v>981</v>
      </c>
      <c r="W75" s="29" t="s">
        <v>17</v>
      </c>
      <c r="X75" s="29" t="s">
        <v>18</v>
      </c>
      <c r="Y75" s="39">
        <v>53.8</v>
      </c>
      <c r="Z75" s="29"/>
      <c r="AA75" s="29"/>
      <c r="AB75" s="29"/>
      <c r="AC75" s="29"/>
      <c r="AD75" s="38"/>
      <c r="AE75" s="29"/>
      <c r="AF75" s="29"/>
      <c r="AG75" s="39"/>
      <c r="AH75" s="29"/>
      <c r="AI75" s="29"/>
      <c r="AJ75" s="29"/>
      <c r="AK75" s="29"/>
      <c r="AL75" s="38"/>
      <c r="AM75" s="29"/>
      <c r="AN75" s="29"/>
      <c r="AO75" s="39"/>
      <c r="AP75" s="38"/>
      <c r="AQ75" s="29"/>
      <c r="AR75" s="29"/>
      <c r="AS75" s="39"/>
      <c r="AT75" s="29"/>
      <c r="AU75" s="29"/>
      <c r="AV75" s="29"/>
      <c r="AW75" s="39"/>
      <c r="AX75" s="29"/>
      <c r="AY75" s="29"/>
      <c r="AZ75" s="29"/>
      <c r="BA75" s="40"/>
    </row>
    <row r="76" spans="1:53" x14ac:dyDescent="0.15">
      <c r="A76" s="29">
        <v>2001</v>
      </c>
      <c r="B76" s="295"/>
      <c r="C76" s="411" t="s">
        <v>985</v>
      </c>
      <c r="D76" s="411"/>
      <c r="E76" s="29">
        <v>0</v>
      </c>
      <c r="F76" s="29"/>
      <c r="G76" s="66"/>
      <c r="H76" s="29">
        <v>14</v>
      </c>
      <c r="I76" s="29"/>
      <c r="J76" s="73">
        <v>14</v>
      </c>
      <c r="K76" s="47">
        <f t="shared" si="10"/>
        <v>0</v>
      </c>
      <c r="L76" s="47">
        <f t="shared" si="11"/>
        <v>100</v>
      </c>
      <c r="M76" s="47">
        <f t="shared" si="12"/>
        <v>0</v>
      </c>
      <c r="N76" s="68">
        <f t="shared" si="13"/>
        <v>100</v>
      </c>
      <c r="O76" s="46"/>
      <c r="P76" s="47">
        <v>53.8</v>
      </c>
      <c r="Q76" s="47"/>
      <c r="R76" s="48">
        <f t="shared" si="14"/>
        <v>53.8</v>
      </c>
      <c r="S76" s="29">
        <v>1</v>
      </c>
      <c r="T76" s="286"/>
      <c r="U76" s="295"/>
      <c r="V76" s="38" t="s">
        <v>981</v>
      </c>
      <c r="W76" s="29" t="s">
        <v>17</v>
      </c>
      <c r="X76" s="29" t="s">
        <v>18</v>
      </c>
      <c r="Y76" s="39">
        <v>53.8</v>
      </c>
      <c r="Z76" s="29"/>
      <c r="AA76" s="29"/>
      <c r="AB76" s="29"/>
      <c r="AC76" s="29"/>
      <c r="AD76" s="38"/>
      <c r="AE76" s="29"/>
      <c r="AF76" s="29"/>
      <c r="AG76" s="39"/>
      <c r="AH76" s="29"/>
      <c r="AI76" s="29"/>
      <c r="AJ76" s="29"/>
      <c r="AK76" s="29"/>
      <c r="AL76" s="38"/>
      <c r="AM76" s="29"/>
      <c r="AN76" s="29"/>
      <c r="AO76" s="39"/>
      <c r="AP76" s="38"/>
      <c r="AQ76" s="29"/>
      <c r="AR76" s="29"/>
      <c r="AS76" s="39"/>
      <c r="AT76" s="29"/>
      <c r="AU76" s="29"/>
      <c r="AV76" s="29"/>
      <c r="AW76" s="39"/>
      <c r="AX76" s="29"/>
      <c r="AY76" s="29"/>
      <c r="AZ76" s="29"/>
      <c r="BA76" s="40"/>
    </row>
    <row r="77" spans="1:53" x14ac:dyDescent="0.15">
      <c r="A77" s="29">
        <v>2001</v>
      </c>
      <c r="B77" s="295"/>
      <c r="C77" s="411" t="s">
        <v>985</v>
      </c>
      <c r="D77" s="411"/>
      <c r="E77" s="29">
        <f>365-E76</f>
        <v>365</v>
      </c>
      <c r="F77" s="29"/>
      <c r="G77" s="66"/>
      <c r="H77" s="29">
        <v>14</v>
      </c>
      <c r="I77" s="29"/>
      <c r="J77" s="73">
        <v>14</v>
      </c>
      <c r="K77" s="47">
        <f t="shared" si="10"/>
        <v>0</v>
      </c>
      <c r="L77" s="47">
        <f t="shared" si="11"/>
        <v>100</v>
      </c>
      <c r="M77" s="47">
        <f t="shared" si="12"/>
        <v>0</v>
      </c>
      <c r="N77" s="68">
        <f t="shared" si="13"/>
        <v>100</v>
      </c>
      <c r="O77" s="46"/>
      <c r="P77" s="47">
        <v>53.8</v>
      </c>
      <c r="Q77" s="47"/>
      <c r="R77" s="48">
        <f t="shared" si="14"/>
        <v>53.8</v>
      </c>
      <c r="S77" s="29">
        <v>1</v>
      </c>
      <c r="T77" s="286"/>
      <c r="U77" s="295"/>
      <c r="V77" s="38" t="s">
        <v>981</v>
      </c>
      <c r="W77" s="29" t="s">
        <v>17</v>
      </c>
      <c r="X77" s="29" t="s">
        <v>18</v>
      </c>
      <c r="Y77" s="39">
        <v>53.8</v>
      </c>
      <c r="Z77" s="29"/>
      <c r="AA77" s="29"/>
      <c r="AB77" s="29"/>
      <c r="AC77" s="29"/>
      <c r="AD77" s="38"/>
      <c r="AE77" s="29"/>
      <c r="AF77" s="29"/>
      <c r="AG77" s="39"/>
      <c r="AH77" s="29"/>
      <c r="AI77" s="29"/>
      <c r="AJ77" s="29"/>
      <c r="AK77" s="29"/>
      <c r="AL77" s="38"/>
      <c r="AM77" s="29"/>
      <c r="AN77" s="29"/>
      <c r="AO77" s="39"/>
      <c r="AP77" s="38"/>
      <c r="AQ77" s="29"/>
      <c r="AR77" s="29"/>
      <c r="AS77" s="39"/>
      <c r="AT77" s="29"/>
      <c r="AU77" s="29"/>
      <c r="AV77" s="29"/>
      <c r="AW77" s="39"/>
      <c r="AX77" s="29"/>
      <c r="AY77" s="29"/>
      <c r="AZ77" s="29"/>
      <c r="BA77" s="40"/>
    </row>
    <row r="78" spans="1:53" x14ac:dyDescent="0.15">
      <c r="A78" s="29">
        <v>2002</v>
      </c>
      <c r="B78" s="295"/>
      <c r="C78" s="411" t="s">
        <v>985</v>
      </c>
      <c r="D78" s="411"/>
      <c r="E78" s="29">
        <v>0</v>
      </c>
      <c r="F78" s="29"/>
      <c r="G78" s="66"/>
      <c r="H78" s="29">
        <v>14</v>
      </c>
      <c r="I78" s="29"/>
      <c r="J78" s="73">
        <v>14</v>
      </c>
      <c r="K78" s="47">
        <f t="shared" si="10"/>
        <v>0</v>
      </c>
      <c r="L78" s="47">
        <f t="shared" si="11"/>
        <v>100</v>
      </c>
      <c r="M78" s="47">
        <f t="shared" si="12"/>
        <v>0</v>
      </c>
      <c r="N78" s="68">
        <f t="shared" si="13"/>
        <v>100</v>
      </c>
      <c r="O78" s="46"/>
      <c r="P78" s="47">
        <v>53.8</v>
      </c>
      <c r="Q78" s="47"/>
      <c r="R78" s="48">
        <f t="shared" si="14"/>
        <v>53.8</v>
      </c>
      <c r="S78" s="29">
        <v>1</v>
      </c>
      <c r="T78" s="286"/>
      <c r="U78" s="295"/>
      <c r="V78" s="38" t="s">
        <v>981</v>
      </c>
      <c r="W78" s="29" t="s">
        <v>17</v>
      </c>
      <c r="X78" s="29" t="s">
        <v>18</v>
      </c>
      <c r="Y78" s="39">
        <v>53.8</v>
      </c>
      <c r="Z78" s="29"/>
      <c r="AA78" s="29"/>
      <c r="AB78" s="29"/>
      <c r="AC78" s="29"/>
      <c r="AD78" s="38"/>
      <c r="AE78" s="29"/>
      <c r="AF78" s="29"/>
      <c r="AG78" s="39"/>
      <c r="AH78" s="29"/>
      <c r="AI78" s="29"/>
      <c r="AJ78" s="29"/>
      <c r="AK78" s="29"/>
      <c r="AL78" s="38"/>
      <c r="AM78" s="29"/>
      <c r="AN78" s="29"/>
      <c r="AO78" s="39"/>
      <c r="AP78" s="38"/>
      <c r="AQ78" s="29"/>
      <c r="AR78" s="29"/>
      <c r="AS78" s="39"/>
      <c r="AT78" s="29"/>
      <c r="AU78" s="29"/>
      <c r="AV78" s="29"/>
      <c r="AW78" s="39"/>
      <c r="AX78" s="29"/>
      <c r="AY78" s="29"/>
      <c r="AZ78" s="29"/>
      <c r="BA78" s="40"/>
    </row>
    <row r="79" spans="1:53" x14ac:dyDescent="0.15">
      <c r="A79" s="29">
        <v>2002</v>
      </c>
      <c r="B79" s="295"/>
      <c r="C79" s="411" t="s">
        <v>985</v>
      </c>
      <c r="D79" s="411"/>
      <c r="E79" s="29">
        <f>365-E78</f>
        <v>365</v>
      </c>
      <c r="F79" s="29"/>
      <c r="G79" s="66"/>
      <c r="H79" s="29">
        <v>14</v>
      </c>
      <c r="I79" s="29"/>
      <c r="J79" s="73">
        <v>14</v>
      </c>
      <c r="K79" s="47">
        <f t="shared" si="10"/>
        <v>0</v>
      </c>
      <c r="L79" s="47">
        <f t="shared" si="11"/>
        <v>100</v>
      </c>
      <c r="M79" s="47">
        <f t="shared" si="12"/>
        <v>0</v>
      </c>
      <c r="N79" s="68">
        <f t="shared" si="13"/>
        <v>100</v>
      </c>
      <c r="O79" s="46"/>
      <c r="P79" s="47">
        <v>53.8</v>
      </c>
      <c r="Q79" s="47"/>
      <c r="R79" s="48">
        <f t="shared" si="14"/>
        <v>53.8</v>
      </c>
      <c r="S79" s="29">
        <v>1</v>
      </c>
      <c r="T79" s="286"/>
      <c r="U79" s="295"/>
      <c r="V79" s="38" t="s">
        <v>981</v>
      </c>
      <c r="W79" s="29" t="s">
        <v>17</v>
      </c>
      <c r="X79" s="29" t="s">
        <v>18</v>
      </c>
      <c r="Y79" s="39">
        <v>53.8</v>
      </c>
      <c r="Z79" s="29"/>
      <c r="AA79" s="29"/>
      <c r="AB79" s="29"/>
      <c r="AC79" s="29"/>
      <c r="AD79" s="38"/>
      <c r="AE79" s="29"/>
      <c r="AF79" s="29"/>
      <c r="AG79" s="39"/>
      <c r="AH79" s="29"/>
      <c r="AI79" s="29"/>
      <c r="AJ79" s="29"/>
      <c r="AK79" s="29"/>
      <c r="AL79" s="38"/>
      <c r="AM79" s="29"/>
      <c r="AN79" s="29"/>
      <c r="AO79" s="39"/>
      <c r="AP79" s="38"/>
      <c r="AQ79" s="29"/>
      <c r="AR79" s="29"/>
      <c r="AS79" s="39"/>
      <c r="AT79" s="29"/>
      <c r="AU79" s="29"/>
      <c r="AV79" s="29"/>
      <c r="AW79" s="39"/>
      <c r="AX79" s="29"/>
      <c r="AY79" s="29"/>
      <c r="AZ79" s="29"/>
      <c r="BA79" s="40"/>
    </row>
    <row r="80" spans="1:53" x14ac:dyDescent="0.15">
      <c r="A80" s="29">
        <v>2003</v>
      </c>
      <c r="B80" s="295"/>
      <c r="C80" s="411" t="s">
        <v>985</v>
      </c>
      <c r="D80" s="411"/>
      <c r="E80" s="29">
        <v>104</v>
      </c>
      <c r="F80" s="29"/>
      <c r="G80" s="66"/>
      <c r="H80" s="29">
        <v>14</v>
      </c>
      <c r="I80" s="29"/>
      <c r="J80" s="73">
        <v>14</v>
      </c>
      <c r="K80" s="47">
        <f t="shared" si="10"/>
        <v>0</v>
      </c>
      <c r="L80" s="47">
        <f t="shared" si="11"/>
        <v>100</v>
      </c>
      <c r="M80" s="47">
        <f t="shared" si="12"/>
        <v>0</v>
      </c>
      <c r="N80" s="68">
        <f t="shared" si="13"/>
        <v>100</v>
      </c>
      <c r="O80" s="46"/>
      <c r="P80" s="47">
        <v>53.8</v>
      </c>
      <c r="Q80" s="47"/>
      <c r="R80" s="48">
        <f t="shared" si="14"/>
        <v>53.8</v>
      </c>
      <c r="S80" s="29">
        <v>1</v>
      </c>
      <c r="T80" s="286"/>
      <c r="U80" s="295"/>
      <c r="V80" s="38" t="s">
        <v>981</v>
      </c>
      <c r="W80" s="29" t="s">
        <v>17</v>
      </c>
      <c r="X80" s="29" t="s">
        <v>18</v>
      </c>
      <c r="Y80" s="39">
        <v>53.8</v>
      </c>
      <c r="Z80" s="29"/>
      <c r="AA80" s="29"/>
      <c r="AB80" s="29"/>
      <c r="AC80" s="29"/>
      <c r="AD80" s="38"/>
      <c r="AE80" s="29"/>
      <c r="AF80" s="29"/>
      <c r="AG80" s="39"/>
      <c r="AH80" s="29"/>
      <c r="AI80" s="29"/>
      <c r="AJ80" s="29"/>
      <c r="AK80" s="29"/>
      <c r="AL80" s="38"/>
      <c r="AM80" s="29"/>
      <c r="AN80" s="29"/>
      <c r="AO80" s="39"/>
      <c r="AP80" s="38"/>
      <c r="AQ80" s="29"/>
      <c r="AR80" s="29"/>
      <c r="AS80" s="39"/>
      <c r="AT80" s="29"/>
      <c r="AU80" s="29"/>
      <c r="AV80" s="29"/>
      <c r="AW80" s="39"/>
      <c r="AX80" s="29"/>
      <c r="AY80" s="29"/>
      <c r="AZ80" s="29"/>
      <c r="BA80" s="40"/>
    </row>
    <row r="81" spans="1:53" x14ac:dyDescent="0.15">
      <c r="A81" s="171">
        <v>2003</v>
      </c>
      <c r="B81" s="283">
        <v>37726</v>
      </c>
      <c r="C81" s="410" t="s">
        <v>986</v>
      </c>
      <c r="D81" s="410"/>
      <c r="E81" s="171">
        <f>365-E80</f>
        <v>261</v>
      </c>
      <c r="F81" s="171">
        <v>1</v>
      </c>
      <c r="G81" s="233"/>
      <c r="H81" s="171">
        <v>14</v>
      </c>
      <c r="I81" s="171"/>
      <c r="J81" s="241">
        <v>14</v>
      </c>
      <c r="K81" s="214">
        <f t="shared" si="10"/>
        <v>0</v>
      </c>
      <c r="L81" s="214">
        <f t="shared" si="11"/>
        <v>100</v>
      </c>
      <c r="M81" s="214">
        <f t="shared" si="12"/>
        <v>0</v>
      </c>
      <c r="N81" s="235">
        <f t="shared" si="13"/>
        <v>100</v>
      </c>
      <c r="O81" s="213"/>
      <c r="P81" s="214">
        <v>53.8</v>
      </c>
      <c r="Q81" s="214"/>
      <c r="R81" s="215">
        <f t="shared" si="14"/>
        <v>53.8</v>
      </c>
      <c r="S81" s="171">
        <v>1</v>
      </c>
      <c r="T81" s="285">
        <v>37723</v>
      </c>
      <c r="U81" s="283">
        <v>37726</v>
      </c>
      <c r="V81" s="178" t="s">
        <v>981</v>
      </c>
      <c r="W81" s="171" t="s">
        <v>17</v>
      </c>
      <c r="X81" s="171" t="s">
        <v>18</v>
      </c>
      <c r="Y81" s="179">
        <v>53.8</v>
      </c>
      <c r="Z81" s="171"/>
      <c r="AA81" s="171"/>
      <c r="AB81" s="171"/>
      <c r="AC81" s="171"/>
      <c r="AD81" s="178"/>
      <c r="AE81" s="171"/>
      <c r="AF81" s="171"/>
      <c r="AG81" s="179"/>
      <c r="AH81" s="171"/>
      <c r="AI81" s="171"/>
      <c r="AJ81" s="171"/>
      <c r="AK81" s="171"/>
      <c r="AL81" s="178"/>
      <c r="AM81" s="171"/>
      <c r="AN81" s="171"/>
      <c r="AO81" s="179"/>
      <c r="AP81" s="178"/>
      <c r="AQ81" s="171"/>
      <c r="AR81" s="171"/>
      <c r="AS81" s="179"/>
      <c r="AT81" s="171"/>
      <c r="AU81" s="171"/>
      <c r="AV81" s="171"/>
      <c r="AW81" s="179"/>
      <c r="AX81" s="171"/>
      <c r="AY81" s="171"/>
      <c r="AZ81" s="171"/>
      <c r="BA81" s="180"/>
    </row>
    <row r="82" spans="1:53" x14ac:dyDescent="0.15">
      <c r="A82" s="171">
        <v>2004</v>
      </c>
      <c r="B82" s="283"/>
      <c r="C82" s="410" t="s">
        <v>986</v>
      </c>
      <c r="D82" s="410"/>
      <c r="E82" s="171">
        <v>83</v>
      </c>
      <c r="F82" s="171"/>
      <c r="G82" s="233"/>
      <c r="H82" s="171">
        <v>14</v>
      </c>
      <c r="I82" s="171"/>
      <c r="J82" s="241">
        <v>14</v>
      </c>
      <c r="K82" s="214">
        <f t="shared" si="10"/>
        <v>0</v>
      </c>
      <c r="L82" s="214">
        <f t="shared" si="11"/>
        <v>100</v>
      </c>
      <c r="M82" s="214">
        <f t="shared" si="12"/>
        <v>0</v>
      </c>
      <c r="N82" s="235">
        <f t="shared" si="13"/>
        <v>100</v>
      </c>
      <c r="O82" s="213"/>
      <c r="P82" s="214">
        <v>53.8</v>
      </c>
      <c r="Q82" s="214"/>
      <c r="R82" s="215">
        <f t="shared" si="14"/>
        <v>53.8</v>
      </c>
      <c r="S82" s="171">
        <v>1</v>
      </c>
      <c r="T82" s="285"/>
      <c r="U82" s="283"/>
      <c r="V82" s="178" t="s">
        <v>981</v>
      </c>
      <c r="W82" s="171" t="s">
        <v>17</v>
      </c>
      <c r="X82" s="171" t="s">
        <v>18</v>
      </c>
      <c r="Y82" s="179">
        <v>53.8</v>
      </c>
      <c r="Z82" s="171"/>
      <c r="AA82" s="171"/>
      <c r="AB82" s="171"/>
      <c r="AC82" s="171"/>
      <c r="AD82" s="178"/>
      <c r="AE82" s="171"/>
      <c r="AF82" s="171"/>
      <c r="AG82" s="179"/>
      <c r="AH82" s="171"/>
      <c r="AI82" s="171"/>
      <c r="AJ82" s="171"/>
      <c r="AK82" s="171"/>
      <c r="AL82" s="178"/>
      <c r="AM82" s="171"/>
      <c r="AN82" s="171"/>
      <c r="AO82" s="179"/>
      <c r="AP82" s="178"/>
      <c r="AQ82" s="171"/>
      <c r="AR82" s="171"/>
      <c r="AS82" s="179"/>
      <c r="AT82" s="171"/>
      <c r="AU82" s="171"/>
      <c r="AV82" s="171"/>
      <c r="AW82" s="179"/>
      <c r="AX82" s="171"/>
      <c r="AY82" s="171"/>
      <c r="AZ82" s="171"/>
      <c r="BA82" s="180"/>
    </row>
    <row r="83" spans="1:53" x14ac:dyDescent="0.15">
      <c r="A83" s="29">
        <v>2004</v>
      </c>
      <c r="B83" s="295">
        <v>38070</v>
      </c>
      <c r="C83" s="411" t="s">
        <v>987</v>
      </c>
      <c r="D83" s="411"/>
      <c r="E83" s="29">
        <f>366-E82</f>
        <v>283</v>
      </c>
      <c r="F83" s="29">
        <v>2</v>
      </c>
      <c r="G83" s="66"/>
      <c r="H83" s="29">
        <v>13</v>
      </c>
      <c r="I83" s="29"/>
      <c r="J83" s="73">
        <v>13</v>
      </c>
      <c r="K83" s="47">
        <f t="shared" si="10"/>
        <v>0</v>
      </c>
      <c r="L83" s="47">
        <f t="shared" si="11"/>
        <v>100</v>
      </c>
      <c r="M83" s="47">
        <f t="shared" si="12"/>
        <v>0</v>
      </c>
      <c r="N83" s="68">
        <f t="shared" si="13"/>
        <v>100</v>
      </c>
      <c r="O83" s="46"/>
      <c r="P83" s="47">
        <v>53.8</v>
      </c>
      <c r="Q83" s="47"/>
      <c r="R83" s="48">
        <f t="shared" si="14"/>
        <v>53.8</v>
      </c>
      <c r="S83" s="29">
        <v>1</v>
      </c>
      <c r="T83" s="286"/>
      <c r="U83" s="295">
        <v>38070</v>
      </c>
      <c r="V83" s="38" t="s">
        <v>981</v>
      </c>
      <c r="W83" s="29" t="s">
        <v>17</v>
      </c>
      <c r="X83" s="29" t="s">
        <v>18</v>
      </c>
      <c r="Y83" s="39">
        <v>53.8</v>
      </c>
      <c r="Z83" s="29"/>
      <c r="AA83" s="29"/>
      <c r="AB83" s="29"/>
      <c r="AC83" s="29"/>
      <c r="AD83" s="38"/>
      <c r="AE83" s="29"/>
      <c r="AF83" s="29"/>
      <c r="AG83" s="39"/>
      <c r="AH83" s="29"/>
      <c r="AI83" s="29"/>
      <c r="AJ83" s="29"/>
      <c r="AK83" s="29"/>
      <c r="AL83" s="38"/>
      <c r="AM83" s="29"/>
      <c r="AN83" s="29"/>
      <c r="AO83" s="39"/>
      <c r="AP83" s="38"/>
      <c r="AQ83" s="29"/>
      <c r="AR83" s="29"/>
      <c r="AS83" s="39"/>
      <c r="AT83" s="29"/>
      <c r="AU83" s="29"/>
      <c r="AV83" s="29"/>
      <c r="AW83" s="39"/>
      <c r="AX83" s="29"/>
      <c r="AY83" s="29"/>
      <c r="AZ83" s="29"/>
      <c r="BA83" s="40"/>
    </row>
    <row r="84" spans="1:53" x14ac:dyDescent="0.15">
      <c r="A84" s="29">
        <v>2005</v>
      </c>
      <c r="B84" s="295"/>
      <c r="C84" s="411" t="s">
        <v>987</v>
      </c>
      <c r="D84" s="411"/>
      <c r="E84" s="29">
        <v>0</v>
      </c>
      <c r="F84" s="29"/>
      <c r="G84" s="66"/>
      <c r="H84" s="29">
        <v>13</v>
      </c>
      <c r="I84" s="29"/>
      <c r="J84" s="73">
        <v>13</v>
      </c>
      <c r="K84" s="47">
        <f t="shared" si="10"/>
        <v>0</v>
      </c>
      <c r="L84" s="47">
        <f t="shared" si="11"/>
        <v>100</v>
      </c>
      <c r="M84" s="47">
        <f t="shared" si="12"/>
        <v>0</v>
      </c>
      <c r="N84" s="68">
        <f t="shared" si="13"/>
        <v>100</v>
      </c>
      <c r="O84" s="46"/>
      <c r="P84" s="47">
        <v>53.8</v>
      </c>
      <c r="Q84" s="47"/>
      <c r="R84" s="48">
        <f t="shared" si="14"/>
        <v>53.8</v>
      </c>
      <c r="S84" s="29">
        <v>1</v>
      </c>
      <c r="T84" s="286"/>
      <c r="U84" s="295"/>
      <c r="V84" s="38" t="s">
        <v>981</v>
      </c>
      <c r="W84" s="29" t="s">
        <v>17</v>
      </c>
      <c r="X84" s="29" t="s">
        <v>18</v>
      </c>
      <c r="Y84" s="39">
        <v>53.8</v>
      </c>
      <c r="Z84" s="29"/>
      <c r="AA84" s="29"/>
      <c r="AB84" s="29"/>
      <c r="AC84" s="29"/>
      <c r="AD84" s="38"/>
      <c r="AE84" s="29"/>
      <c r="AF84" s="29"/>
      <c r="AG84" s="39"/>
      <c r="AH84" s="29"/>
      <c r="AI84" s="29"/>
      <c r="AJ84" s="29"/>
      <c r="AK84" s="29"/>
      <c r="AL84" s="38"/>
      <c r="AM84" s="29"/>
      <c r="AN84" s="29"/>
      <c r="AO84" s="39"/>
      <c r="AP84" s="38"/>
      <c r="AQ84" s="29"/>
      <c r="AR84" s="29"/>
      <c r="AS84" s="39"/>
      <c r="AT84" s="29"/>
      <c r="AU84" s="29"/>
      <c r="AV84" s="29"/>
      <c r="AW84" s="39"/>
      <c r="AX84" s="29"/>
      <c r="AY84" s="29"/>
      <c r="AZ84" s="29"/>
      <c r="BA84" s="40"/>
    </row>
    <row r="85" spans="1:53" x14ac:dyDescent="0.15">
      <c r="A85" s="29">
        <v>2005</v>
      </c>
      <c r="B85" s="295"/>
      <c r="C85" s="411" t="s">
        <v>987</v>
      </c>
      <c r="D85" s="411"/>
      <c r="E85" s="29">
        <f>365-E84</f>
        <v>365</v>
      </c>
      <c r="F85" s="29"/>
      <c r="G85" s="66"/>
      <c r="H85" s="29">
        <v>13</v>
      </c>
      <c r="I85" s="29"/>
      <c r="J85" s="73">
        <v>13</v>
      </c>
      <c r="K85" s="47">
        <f t="shared" si="10"/>
        <v>0</v>
      </c>
      <c r="L85" s="47">
        <f t="shared" si="11"/>
        <v>100</v>
      </c>
      <c r="M85" s="47">
        <f t="shared" si="12"/>
        <v>0</v>
      </c>
      <c r="N85" s="68">
        <f t="shared" si="13"/>
        <v>100</v>
      </c>
      <c r="O85" s="46"/>
      <c r="P85" s="47">
        <v>53.8</v>
      </c>
      <c r="Q85" s="47"/>
      <c r="R85" s="48">
        <f t="shared" si="14"/>
        <v>53.8</v>
      </c>
      <c r="S85" s="29">
        <v>1</v>
      </c>
      <c r="T85" s="286"/>
      <c r="U85" s="295"/>
      <c r="V85" s="38" t="s">
        <v>981</v>
      </c>
      <c r="W85" s="29" t="s">
        <v>17</v>
      </c>
      <c r="X85" s="29" t="s">
        <v>18</v>
      </c>
      <c r="Y85" s="39">
        <v>53.8</v>
      </c>
      <c r="Z85" s="29"/>
      <c r="AA85" s="29"/>
      <c r="AB85" s="29"/>
      <c r="AC85" s="29"/>
      <c r="AD85" s="38"/>
      <c r="AE85" s="29"/>
      <c r="AF85" s="29"/>
      <c r="AG85" s="39"/>
      <c r="AH85" s="29"/>
      <c r="AI85" s="29"/>
      <c r="AJ85" s="29"/>
      <c r="AK85" s="29"/>
      <c r="AL85" s="38"/>
      <c r="AM85" s="29"/>
      <c r="AN85" s="29"/>
      <c r="AO85" s="39"/>
      <c r="AP85" s="38"/>
      <c r="AQ85" s="29"/>
      <c r="AR85" s="29"/>
      <c r="AS85" s="39"/>
      <c r="AT85" s="29"/>
      <c r="AU85" s="29"/>
      <c r="AV85" s="29"/>
      <c r="AW85" s="39"/>
      <c r="AX85" s="29"/>
      <c r="AY85" s="29"/>
      <c r="AZ85" s="29"/>
      <c r="BA85" s="40"/>
    </row>
    <row r="86" spans="1:53" x14ac:dyDescent="0.15">
      <c r="A86" s="29">
        <v>2006</v>
      </c>
      <c r="B86" s="295"/>
      <c r="C86" s="411" t="s">
        <v>987</v>
      </c>
      <c r="D86" s="411"/>
      <c r="E86" s="29">
        <v>0</v>
      </c>
      <c r="F86" s="29"/>
      <c r="G86" s="66"/>
      <c r="H86" s="29">
        <v>13</v>
      </c>
      <c r="I86" s="29"/>
      <c r="J86" s="73">
        <v>13</v>
      </c>
      <c r="K86" s="47">
        <f t="shared" si="10"/>
        <v>0</v>
      </c>
      <c r="L86" s="47">
        <f t="shared" si="11"/>
        <v>100</v>
      </c>
      <c r="M86" s="47">
        <f t="shared" si="12"/>
        <v>0</v>
      </c>
      <c r="N86" s="68">
        <f t="shared" si="13"/>
        <v>100</v>
      </c>
      <c r="O86" s="46"/>
      <c r="P86" s="47">
        <v>53.8</v>
      </c>
      <c r="Q86" s="47"/>
      <c r="R86" s="48">
        <f t="shared" si="14"/>
        <v>53.8</v>
      </c>
      <c r="S86" s="29">
        <v>1</v>
      </c>
      <c r="T86" s="286"/>
      <c r="U86" s="295"/>
      <c r="V86" s="38" t="s">
        <v>981</v>
      </c>
      <c r="W86" s="29" t="s">
        <v>17</v>
      </c>
      <c r="X86" s="29" t="s">
        <v>18</v>
      </c>
      <c r="Y86" s="39">
        <v>53.8</v>
      </c>
      <c r="Z86" s="29"/>
      <c r="AA86" s="29"/>
      <c r="AB86" s="29"/>
      <c r="AC86" s="29"/>
      <c r="AD86" s="38"/>
      <c r="AE86" s="29"/>
      <c r="AF86" s="29"/>
      <c r="AG86" s="39"/>
      <c r="AH86" s="29"/>
      <c r="AI86" s="29"/>
      <c r="AJ86" s="29"/>
      <c r="AK86" s="29"/>
      <c r="AL86" s="38"/>
      <c r="AM86" s="29"/>
      <c r="AN86" s="29"/>
      <c r="AO86" s="39"/>
      <c r="AP86" s="38"/>
      <c r="AQ86" s="29"/>
      <c r="AR86" s="29"/>
      <c r="AS86" s="39"/>
      <c r="AT86" s="29"/>
      <c r="AU86" s="29"/>
      <c r="AV86" s="29"/>
      <c r="AW86" s="39"/>
      <c r="AX86" s="29"/>
      <c r="AY86" s="29"/>
      <c r="AZ86" s="29"/>
      <c r="BA86" s="40"/>
    </row>
    <row r="87" spans="1:53" x14ac:dyDescent="0.15">
      <c r="A87" s="29">
        <v>2006</v>
      </c>
      <c r="B87" s="295"/>
      <c r="C87" s="411" t="s">
        <v>987</v>
      </c>
      <c r="D87" s="411"/>
      <c r="E87" s="29">
        <f>365-E86</f>
        <v>365</v>
      </c>
      <c r="F87" s="29"/>
      <c r="G87" s="66"/>
      <c r="H87" s="29">
        <v>13</v>
      </c>
      <c r="I87" s="29"/>
      <c r="J87" s="73">
        <v>13</v>
      </c>
      <c r="K87" s="47">
        <f t="shared" si="10"/>
        <v>0</v>
      </c>
      <c r="L87" s="47">
        <f t="shared" si="11"/>
        <v>100</v>
      </c>
      <c r="M87" s="47">
        <f t="shared" si="12"/>
        <v>0</v>
      </c>
      <c r="N87" s="68">
        <f t="shared" si="13"/>
        <v>100</v>
      </c>
      <c r="O87" s="46"/>
      <c r="P87" s="47">
        <v>53.8</v>
      </c>
      <c r="Q87" s="47"/>
      <c r="R87" s="48">
        <f t="shared" si="14"/>
        <v>53.8</v>
      </c>
      <c r="S87" s="29">
        <v>1</v>
      </c>
      <c r="T87" s="286"/>
      <c r="U87" s="295"/>
      <c r="V87" s="38" t="s">
        <v>981</v>
      </c>
      <c r="W87" s="29" t="s">
        <v>17</v>
      </c>
      <c r="X87" s="29" t="s">
        <v>18</v>
      </c>
      <c r="Y87" s="39">
        <v>53.8</v>
      </c>
      <c r="Z87" s="29"/>
      <c r="AA87" s="29"/>
      <c r="AB87" s="29"/>
      <c r="AC87" s="29"/>
      <c r="AD87" s="38"/>
      <c r="AE87" s="29"/>
      <c r="AF87" s="29"/>
      <c r="AG87" s="39"/>
      <c r="AH87" s="29"/>
      <c r="AI87" s="29"/>
      <c r="AJ87" s="29"/>
      <c r="AK87" s="29"/>
      <c r="AL87" s="38"/>
      <c r="AM87" s="29"/>
      <c r="AN87" s="29"/>
      <c r="AO87" s="39"/>
      <c r="AP87" s="38"/>
      <c r="AQ87" s="29"/>
      <c r="AR87" s="29"/>
      <c r="AS87" s="39"/>
      <c r="AT87" s="29"/>
      <c r="AU87" s="29"/>
      <c r="AV87" s="29"/>
      <c r="AW87" s="39"/>
      <c r="AX87" s="29"/>
      <c r="AY87" s="29"/>
      <c r="AZ87" s="29"/>
      <c r="BA87" s="40"/>
    </row>
    <row r="88" spans="1:53" x14ac:dyDescent="0.15">
      <c r="A88" s="29">
        <v>2007</v>
      </c>
      <c r="B88" s="295"/>
      <c r="C88" s="411" t="s">
        <v>987</v>
      </c>
      <c r="D88" s="411"/>
      <c r="E88" s="29">
        <v>0</v>
      </c>
      <c r="F88" s="29"/>
      <c r="G88" s="66"/>
      <c r="H88" s="29">
        <v>13</v>
      </c>
      <c r="I88" s="29"/>
      <c r="J88" s="73">
        <v>13</v>
      </c>
      <c r="K88" s="47">
        <f t="shared" si="10"/>
        <v>0</v>
      </c>
      <c r="L88" s="47">
        <f t="shared" si="11"/>
        <v>100</v>
      </c>
      <c r="M88" s="47">
        <f t="shared" si="12"/>
        <v>0</v>
      </c>
      <c r="N88" s="68">
        <f t="shared" si="13"/>
        <v>100</v>
      </c>
      <c r="O88" s="46"/>
      <c r="P88" s="47">
        <v>54.8</v>
      </c>
      <c r="Q88" s="47"/>
      <c r="R88" s="48">
        <f t="shared" si="14"/>
        <v>54.8</v>
      </c>
      <c r="S88" s="29">
        <v>1</v>
      </c>
      <c r="T88" s="286"/>
      <c r="U88" s="295"/>
      <c r="V88" s="38" t="s">
        <v>981</v>
      </c>
      <c r="W88" s="29" t="s">
        <v>17</v>
      </c>
      <c r="X88" s="29" t="s">
        <v>18</v>
      </c>
      <c r="Y88" s="39">
        <v>53.8</v>
      </c>
      <c r="Z88" s="29"/>
      <c r="AA88" s="29"/>
      <c r="AB88" s="29"/>
      <c r="AC88" s="29"/>
      <c r="AD88" s="38"/>
      <c r="AE88" s="29"/>
      <c r="AF88" s="29"/>
      <c r="AG88" s="39"/>
      <c r="AH88" s="29"/>
      <c r="AI88" s="29"/>
      <c r="AJ88" s="29"/>
      <c r="AK88" s="29"/>
      <c r="AL88" s="38"/>
      <c r="AM88" s="29"/>
      <c r="AN88" s="29"/>
      <c r="AO88" s="39"/>
      <c r="AP88" s="38"/>
      <c r="AQ88" s="29"/>
      <c r="AR88" s="29"/>
      <c r="AS88" s="39"/>
      <c r="AT88" s="29"/>
      <c r="AU88" s="29"/>
      <c r="AV88" s="29"/>
      <c r="AW88" s="39"/>
      <c r="AX88" s="29"/>
      <c r="AY88" s="29"/>
      <c r="AZ88" s="29"/>
      <c r="BA88" s="40"/>
    </row>
    <row r="89" spans="1:53" x14ac:dyDescent="0.15">
      <c r="A89" s="29">
        <v>2007</v>
      </c>
      <c r="B89" s="295"/>
      <c r="C89" s="411" t="s">
        <v>987</v>
      </c>
      <c r="D89" s="411"/>
      <c r="E89" s="29">
        <v>365</v>
      </c>
      <c r="F89" s="29"/>
      <c r="G89" s="66"/>
      <c r="H89" s="29">
        <v>13</v>
      </c>
      <c r="I89" s="29"/>
      <c r="J89" s="73">
        <v>13</v>
      </c>
      <c r="K89" s="47">
        <f t="shared" si="10"/>
        <v>0</v>
      </c>
      <c r="L89" s="47">
        <f t="shared" si="11"/>
        <v>100</v>
      </c>
      <c r="M89" s="47">
        <f t="shared" si="12"/>
        <v>0</v>
      </c>
      <c r="N89" s="68">
        <f t="shared" si="13"/>
        <v>100</v>
      </c>
      <c r="O89" s="46"/>
      <c r="P89" s="47">
        <v>55.8</v>
      </c>
      <c r="Q89" s="47"/>
      <c r="R89" s="48">
        <f t="shared" si="14"/>
        <v>55.8</v>
      </c>
      <c r="S89" s="29">
        <v>1</v>
      </c>
      <c r="T89" s="286"/>
      <c r="U89" s="295"/>
      <c r="V89" s="38" t="s">
        <v>981</v>
      </c>
      <c r="W89" s="29" t="s">
        <v>17</v>
      </c>
      <c r="X89" s="29" t="s">
        <v>18</v>
      </c>
      <c r="Y89" s="39">
        <v>53.8</v>
      </c>
      <c r="Z89" s="29"/>
      <c r="AA89" s="29"/>
      <c r="AB89" s="29"/>
      <c r="AC89" s="29"/>
      <c r="AD89" s="38"/>
      <c r="AE89" s="29"/>
      <c r="AF89" s="29"/>
      <c r="AG89" s="39"/>
      <c r="AH89" s="29"/>
      <c r="AI89" s="29"/>
      <c r="AJ89" s="29"/>
      <c r="AK89" s="29"/>
      <c r="AL89" s="38"/>
      <c r="AM89" s="29"/>
      <c r="AN89" s="29"/>
      <c r="AO89" s="39"/>
      <c r="AP89" s="38"/>
      <c r="AQ89" s="29"/>
      <c r="AR89" s="29"/>
      <c r="AS89" s="39"/>
      <c r="AT89" s="29"/>
      <c r="AU89" s="29"/>
      <c r="AV89" s="29"/>
      <c r="AW89" s="39"/>
      <c r="AX89" s="29"/>
      <c r="AY89" s="29"/>
      <c r="AZ89" s="29"/>
      <c r="BA89" s="40"/>
    </row>
    <row r="90" spans="1:53" x14ac:dyDescent="0.15">
      <c r="A90" s="29">
        <v>2008</v>
      </c>
      <c r="B90" s="295"/>
      <c r="C90" s="411" t="s">
        <v>987</v>
      </c>
      <c r="D90" s="411"/>
      <c r="E90" s="29">
        <v>71</v>
      </c>
      <c r="F90" s="29"/>
      <c r="G90" s="66"/>
      <c r="H90" s="29">
        <v>13</v>
      </c>
      <c r="I90" s="29"/>
      <c r="J90" s="73">
        <v>13</v>
      </c>
      <c r="K90" s="47">
        <f t="shared" si="10"/>
        <v>0</v>
      </c>
      <c r="L90" s="47">
        <f t="shared" si="11"/>
        <v>100</v>
      </c>
      <c r="M90" s="47">
        <f t="shared" si="12"/>
        <v>0</v>
      </c>
      <c r="N90" s="68">
        <f t="shared" si="13"/>
        <v>100</v>
      </c>
      <c r="O90" s="46"/>
      <c r="P90" s="47">
        <v>55.8</v>
      </c>
      <c r="Q90" s="47"/>
      <c r="R90" s="48">
        <f t="shared" si="14"/>
        <v>55.8</v>
      </c>
      <c r="S90" s="29">
        <v>1</v>
      </c>
      <c r="T90" s="286"/>
      <c r="U90" s="295"/>
      <c r="V90" s="38" t="s">
        <v>981</v>
      </c>
      <c r="W90" s="29" t="s">
        <v>17</v>
      </c>
      <c r="X90" s="29" t="s">
        <v>18</v>
      </c>
      <c r="Y90" s="39">
        <v>53.8</v>
      </c>
      <c r="Z90" s="29"/>
      <c r="AA90" s="29"/>
      <c r="AB90" s="29"/>
      <c r="AC90" s="29"/>
      <c r="AD90" s="38"/>
      <c r="AE90" s="29"/>
      <c r="AF90" s="29"/>
      <c r="AG90" s="39"/>
      <c r="AH90" s="29"/>
      <c r="AI90" s="29"/>
      <c r="AJ90" s="29"/>
      <c r="AK90" s="29"/>
      <c r="AL90" s="38"/>
      <c r="AM90" s="29"/>
      <c r="AN90" s="29"/>
      <c r="AO90" s="39"/>
      <c r="AP90" s="38"/>
      <c r="AQ90" s="29"/>
      <c r="AR90" s="29"/>
      <c r="AS90" s="39"/>
      <c r="AT90" s="29"/>
      <c r="AU90" s="29"/>
      <c r="AV90" s="29"/>
      <c r="AW90" s="39"/>
      <c r="AX90" s="29"/>
      <c r="AY90" s="29"/>
      <c r="AZ90" s="29"/>
      <c r="BA90" s="40"/>
    </row>
    <row r="91" spans="1:53" x14ac:dyDescent="0.15">
      <c r="A91" s="171">
        <v>2008</v>
      </c>
      <c r="B91" s="283">
        <v>39519</v>
      </c>
      <c r="C91" s="410" t="s">
        <v>988</v>
      </c>
      <c r="D91" s="410"/>
      <c r="E91" s="171">
        <f>366-E90</f>
        <v>295</v>
      </c>
      <c r="F91" s="171">
        <v>1</v>
      </c>
      <c r="G91" s="233"/>
      <c r="H91" s="171">
        <v>9</v>
      </c>
      <c r="I91" s="171"/>
      <c r="J91" s="241">
        <v>9</v>
      </c>
      <c r="K91" s="214">
        <f t="shared" si="10"/>
        <v>0</v>
      </c>
      <c r="L91" s="214">
        <f t="shared" si="11"/>
        <v>100</v>
      </c>
      <c r="M91" s="214">
        <f t="shared" si="12"/>
        <v>0</v>
      </c>
      <c r="N91" s="235">
        <f t="shared" si="13"/>
        <v>100</v>
      </c>
      <c r="O91" s="213"/>
      <c r="P91" s="214">
        <v>50.72</v>
      </c>
      <c r="Q91" s="214"/>
      <c r="R91" s="215">
        <f t="shared" si="14"/>
        <v>50.72</v>
      </c>
      <c r="S91" s="171">
        <v>1</v>
      </c>
      <c r="T91" s="285">
        <v>39515</v>
      </c>
      <c r="U91" s="283">
        <v>39519</v>
      </c>
      <c r="V91" s="178" t="s">
        <v>981</v>
      </c>
      <c r="W91" s="171" t="s">
        <v>17</v>
      </c>
      <c r="X91" s="171" t="s">
        <v>18</v>
      </c>
      <c r="Y91" s="179">
        <v>50.7</v>
      </c>
      <c r="Z91" s="171"/>
      <c r="AA91" s="171"/>
      <c r="AB91" s="171"/>
      <c r="AC91" s="171"/>
      <c r="AD91" s="178"/>
      <c r="AE91" s="171"/>
      <c r="AF91" s="171"/>
      <c r="AG91" s="179"/>
      <c r="AH91" s="171"/>
      <c r="AI91" s="171"/>
      <c r="AJ91" s="171"/>
      <c r="AK91" s="171"/>
      <c r="AL91" s="178"/>
      <c r="AM91" s="171"/>
      <c r="AN91" s="171"/>
      <c r="AO91" s="179"/>
      <c r="AP91" s="178"/>
      <c r="AQ91" s="171"/>
      <c r="AR91" s="171"/>
      <c r="AS91" s="179"/>
      <c r="AT91" s="171"/>
      <c r="AU91" s="171"/>
      <c r="AV91" s="171"/>
      <c r="AW91" s="179"/>
      <c r="AX91" s="171"/>
      <c r="AY91" s="171"/>
      <c r="AZ91" s="171"/>
      <c r="BA91" s="180"/>
    </row>
    <row r="92" spans="1:53" x14ac:dyDescent="0.15">
      <c r="A92" s="171">
        <v>2009</v>
      </c>
      <c r="B92" s="283"/>
      <c r="C92" s="410" t="s">
        <v>988</v>
      </c>
      <c r="D92" s="410"/>
      <c r="E92" s="171">
        <v>0</v>
      </c>
      <c r="F92" s="171"/>
      <c r="G92" s="233"/>
      <c r="H92" s="171">
        <v>9</v>
      </c>
      <c r="I92" s="171"/>
      <c r="J92" s="241">
        <v>9</v>
      </c>
      <c r="K92" s="214">
        <f t="shared" si="10"/>
        <v>0</v>
      </c>
      <c r="L92" s="214">
        <f t="shared" si="11"/>
        <v>100</v>
      </c>
      <c r="M92" s="214">
        <f t="shared" si="12"/>
        <v>0</v>
      </c>
      <c r="N92" s="235">
        <f t="shared" si="13"/>
        <v>100</v>
      </c>
      <c r="O92" s="213"/>
      <c r="P92" s="214">
        <v>50.72</v>
      </c>
      <c r="Q92" s="214"/>
      <c r="R92" s="215">
        <f t="shared" si="14"/>
        <v>50.72</v>
      </c>
      <c r="S92" s="171">
        <v>1</v>
      </c>
      <c r="T92" s="285"/>
      <c r="U92" s="283"/>
      <c r="V92" s="178" t="s">
        <v>981</v>
      </c>
      <c r="W92" s="171" t="s">
        <v>17</v>
      </c>
      <c r="X92" s="171" t="s">
        <v>18</v>
      </c>
      <c r="Y92" s="179">
        <v>50.7</v>
      </c>
      <c r="Z92" s="171"/>
      <c r="AA92" s="171"/>
      <c r="AB92" s="171"/>
      <c r="AC92" s="171"/>
      <c r="AD92" s="178"/>
      <c r="AE92" s="171"/>
      <c r="AF92" s="171"/>
      <c r="AG92" s="179"/>
      <c r="AH92" s="171"/>
      <c r="AI92" s="171"/>
      <c r="AJ92" s="171"/>
      <c r="AK92" s="171"/>
      <c r="AL92" s="178"/>
      <c r="AM92" s="171"/>
      <c r="AN92" s="171"/>
      <c r="AO92" s="179"/>
      <c r="AP92" s="178"/>
      <c r="AQ92" s="171"/>
      <c r="AR92" s="171"/>
      <c r="AS92" s="179"/>
      <c r="AT92" s="171"/>
      <c r="AU92" s="171"/>
      <c r="AV92" s="171"/>
      <c r="AW92" s="179"/>
      <c r="AX92" s="171"/>
      <c r="AY92" s="171"/>
      <c r="AZ92" s="171"/>
      <c r="BA92" s="180"/>
    </row>
    <row r="93" spans="1:53" x14ac:dyDescent="0.15">
      <c r="A93" s="171">
        <v>2009</v>
      </c>
      <c r="B93" s="283"/>
      <c r="C93" s="410" t="s">
        <v>988</v>
      </c>
      <c r="D93" s="410"/>
      <c r="E93" s="171">
        <v>365</v>
      </c>
      <c r="F93" s="171"/>
      <c r="G93" s="233"/>
      <c r="H93" s="171">
        <v>9</v>
      </c>
      <c r="I93" s="171"/>
      <c r="J93" s="241">
        <v>9</v>
      </c>
      <c r="K93" s="214">
        <f t="shared" si="10"/>
        <v>0</v>
      </c>
      <c r="L93" s="214">
        <f t="shared" si="11"/>
        <v>100</v>
      </c>
      <c r="M93" s="214">
        <f t="shared" si="12"/>
        <v>0</v>
      </c>
      <c r="N93" s="235">
        <f t="shared" si="13"/>
        <v>100</v>
      </c>
      <c r="O93" s="213"/>
      <c r="P93" s="214">
        <v>50.72</v>
      </c>
      <c r="Q93" s="214"/>
      <c r="R93" s="215">
        <f t="shared" si="14"/>
        <v>50.72</v>
      </c>
      <c r="S93" s="171">
        <v>1</v>
      </c>
      <c r="T93" s="285"/>
      <c r="U93" s="283"/>
      <c r="V93" s="178" t="s">
        <v>981</v>
      </c>
      <c r="W93" s="171" t="s">
        <v>17</v>
      </c>
      <c r="X93" s="171" t="s">
        <v>18</v>
      </c>
      <c r="Y93" s="179">
        <v>50.7</v>
      </c>
      <c r="Z93" s="171"/>
      <c r="AA93" s="171"/>
      <c r="AB93" s="171"/>
      <c r="AC93" s="171"/>
      <c r="AD93" s="178"/>
      <c r="AE93" s="171"/>
      <c r="AF93" s="171"/>
      <c r="AG93" s="179"/>
      <c r="AH93" s="171"/>
      <c r="AI93" s="171"/>
      <c r="AJ93" s="171"/>
      <c r="AK93" s="171"/>
      <c r="AL93" s="178"/>
      <c r="AM93" s="171"/>
      <c r="AN93" s="171"/>
      <c r="AO93" s="179"/>
      <c r="AP93" s="178"/>
      <c r="AQ93" s="171"/>
      <c r="AR93" s="171"/>
      <c r="AS93" s="179"/>
      <c r="AT93" s="171"/>
      <c r="AU93" s="171"/>
      <c r="AV93" s="171"/>
      <c r="AW93" s="179"/>
      <c r="AX93" s="171"/>
      <c r="AY93" s="171"/>
      <c r="AZ93" s="171"/>
      <c r="BA93" s="180"/>
    </row>
    <row r="94" spans="1:53" x14ac:dyDescent="0.15">
      <c r="A94" s="171">
        <v>2010</v>
      </c>
      <c r="B94" s="283"/>
      <c r="C94" s="410" t="s">
        <v>988</v>
      </c>
      <c r="D94" s="410"/>
      <c r="E94" s="171">
        <v>0</v>
      </c>
      <c r="F94" s="171"/>
      <c r="G94" s="233"/>
      <c r="H94" s="171">
        <v>9</v>
      </c>
      <c r="I94" s="171"/>
      <c r="J94" s="241">
        <v>9</v>
      </c>
      <c r="K94" s="214">
        <f t="shared" si="10"/>
        <v>0</v>
      </c>
      <c r="L94" s="214">
        <f t="shared" si="11"/>
        <v>100</v>
      </c>
      <c r="M94" s="214">
        <f t="shared" si="12"/>
        <v>0</v>
      </c>
      <c r="N94" s="235">
        <f t="shared" si="13"/>
        <v>100</v>
      </c>
      <c r="O94" s="213"/>
      <c r="P94" s="214">
        <v>50.72</v>
      </c>
      <c r="Q94" s="214"/>
      <c r="R94" s="215">
        <f t="shared" si="14"/>
        <v>50.72</v>
      </c>
      <c r="S94" s="171">
        <v>1</v>
      </c>
      <c r="T94" s="285"/>
      <c r="U94" s="283"/>
      <c r="V94" s="178" t="s">
        <v>981</v>
      </c>
      <c r="W94" s="171" t="s">
        <v>17</v>
      </c>
      <c r="X94" s="171" t="s">
        <v>18</v>
      </c>
      <c r="Y94" s="179">
        <v>50.7</v>
      </c>
      <c r="Z94" s="171"/>
      <c r="AA94" s="171"/>
      <c r="AB94" s="171"/>
      <c r="AC94" s="171"/>
      <c r="AD94" s="178"/>
      <c r="AE94" s="171"/>
      <c r="AF94" s="171"/>
      <c r="AG94" s="179"/>
      <c r="AH94" s="171"/>
      <c r="AI94" s="171"/>
      <c r="AJ94" s="171"/>
      <c r="AK94" s="171"/>
      <c r="AL94" s="178"/>
      <c r="AM94" s="171"/>
      <c r="AN94" s="171"/>
      <c r="AO94" s="179"/>
      <c r="AP94" s="178"/>
      <c r="AQ94" s="171"/>
      <c r="AR94" s="171"/>
      <c r="AS94" s="179"/>
      <c r="AT94" s="171"/>
      <c r="AU94" s="171"/>
      <c r="AV94" s="171"/>
      <c r="AW94" s="179"/>
      <c r="AX94" s="171"/>
      <c r="AY94" s="171"/>
      <c r="AZ94" s="171"/>
      <c r="BA94" s="180"/>
    </row>
    <row r="95" spans="1:53" x14ac:dyDescent="0.15">
      <c r="A95" s="171">
        <v>2010</v>
      </c>
      <c r="B95" s="283"/>
      <c r="C95" s="410" t="s">
        <v>988</v>
      </c>
      <c r="D95" s="410"/>
      <c r="E95" s="171">
        <v>365</v>
      </c>
      <c r="F95" s="171"/>
      <c r="G95" s="233"/>
      <c r="H95" s="171">
        <v>9</v>
      </c>
      <c r="I95" s="171"/>
      <c r="J95" s="241">
        <v>9</v>
      </c>
      <c r="K95" s="214">
        <f t="shared" si="10"/>
        <v>0</v>
      </c>
      <c r="L95" s="214">
        <f t="shared" si="11"/>
        <v>100</v>
      </c>
      <c r="M95" s="214">
        <f t="shared" si="12"/>
        <v>0</v>
      </c>
      <c r="N95" s="235">
        <f t="shared" si="13"/>
        <v>100</v>
      </c>
      <c r="O95" s="213"/>
      <c r="P95" s="214">
        <v>50.72</v>
      </c>
      <c r="Q95" s="214"/>
      <c r="R95" s="215">
        <f t="shared" si="14"/>
        <v>50.72</v>
      </c>
      <c r="S95" s="171">
        <v>1</v>
      </c>
      <c r="T95" s="285"/>
      <c r="U95" s="283"/>
      <c r="V95" s="178" t="s">
        <v>981</v>
      </c>
      <c r="W95" s="171" t="s">
        <v>17</v>
      </c>
      <c r="X95" s="171" t="s">
        <v>18</v>
      </c>
      <c r="Y95" s="179">
        <v>50.7</v>
      </c>
      <c r="Z95" s="171"/>
      <c r="AA95" s="171"/>
      <c r="AB95" s="171"/>
      <c r="AC95" s="171"/>
      <c r="AD95" s="178"/>
      <c r="AE95" s="171"/>
      <c r="AF95" s="171"/>
      <c r="AG95" s="179"/>
      <c r="AH95" s="171"/>
      <c r="AI95" s="171"/>
      <c r="AJ95" s="171"/>
      <c r="AK95" s="171"/>
      <c r="AL95" s="178"/>
      <c r="AM95" s="171"/>
      <c r="AN95" s="171"/>
      <c r="AO95" s="179"/>
      <c r="AP95" s="178"/>
      <c r="AQ95" s="171"/>
      <c r="AR95" s="171"/>
      <c r="AS95" s="179"/>
      <c r="AT95" s="171"/>
      <c r="AU95" s="171"/>
      <c r="AV95" s="171"/>
      <c r="AW95" s="179"/>
      <c r="AX95" s="171"/>
      <c r="AY95" s="171"/>
      <c r="AZ95" s="171"/>
      <c r="BA95" s="180"/>
    </row>
    <row r="96" spans="1:53" x14ac:dyDescent="0.15">
      <c r="A96" s="171">
        <v>2011</v>
      </c>
      <c r="B96" s="283"/>
      <c r="C96" s="410" t="s">
        <v>988</v>
      </c>
      <c r="D96" s="410"/>
      <c r="E96" s="171">
        <v>0</v>
      </c>
      <c r="F96" s="171"/>
      <c r="G96" s="233"/>
      <c r="H96" s="171">
        <v>9</v>
      </c>
      <c r="I96" s="171"/>
      <c r="J96" s="241">
        <v>9</v>
      </c>
      <c r="K96" s="214">
        <f t="shared" si="10"/>
        <v>0</v>
      </c>
      <c r="L96" s="214">
        <f t="shared" si="11"/>
        <v>100</v>
      </c>
      <c r="M96" s="214">
        <f t="shared" si="12"/>
        <v>0</v>
      </c>
      <c r="N96" s="235">
        <f t="shared" si="13"/>
        <v>100</v>
      </c>
      <c r="O96" s="213"/>
      <c r="P96" s="214">
        <v>50.72</v>
      </c>
      <c r="Q96" s="214"/>
      <c r="R96" s="215">
        <f t="shared" si="14"/>
        <v>50.72</v>
      </c>
      <c r="S96" s="171">
        <v>1</v>
      </c>
      <c r="T96" s="285"/>
      <c r="U96" s="283"/>
      <c r="V96" s="178" t="s">
        <v>981</v>
      </c>
      <c r="W96" s="171" t="s">
        <v>17</v>
      </c>
      <c r="X96" s="171" t="s">
        <v>18</v>
      </c>
      <c r="Y96" s="179">
        <v>50.7</v>
      </c>
      <c r="Z96" s="171"/>
      <c r="AA96" s="171"/>
      <c r="AB96" s="171"/>
      <c r="AC96" s="171"/>
      <c r="AD96" s="178"/>
      <c r="AE96" s="171"/>
      <c r="AF96" s="171"/>
      <c r="AG96" s="179"/>
      <c r="AH96" s="171"/>
      <c r="AI96" s="171"/>
      <c r="AJ96" s="171"/>
      <c r="AK96" s="171"/>
      <c r="AL96" s="178"/>
      <c r="AM96" s="171"/>
      <c r="AN96" s="171"/>
      <c r="AO96" s="179"/>
      <c r="AP96" s="178"/>
      <c r="AQ96" s="171"/>
      <c r="AR96" s="171"/>
      <c r="AS96" s="179"/>
      <c r="AT96" s="171"/>
      <c r="AU96" s="171"/>
      <c r="AV96" s="171"/>
      <c r="AW96" s="179"/>
      <c r="AX96" s="171"/>
      <c r="AY96" s="171"/>
      <c r="AZ96" s="171"/>
      <c r="BA96" s="180"/>
    </row>
    <row r="97" spans="1:53" x14ac:dyDescent="0.15">
      <c r="A97" s="171">
        <v>2011</v>
      </c>
      <c r="B97" s="283"/>
      <c r="C97" s="410" t="s">
        <v>988</v>
      </c>
      <c r="D97" s="410"/>
      <c r="E97" s="171">
        <v>365</v>
      </c>
      <c r="F97" s="171"/>
      <c r="G97" s="233"/>
      <c r="H97" s="171">
        <v>9</v>
      </c>
      <c r="I97" s="171"/>
      <c r="J97" s="241">
        <v>9</v>
      </c>
      <c r="K97" s="214">
        <f t="shared" si="10"/>
        <v>0</v>
      </c>
      <c r="L97" s="214">
        <f t="shared" si="11"/>
        <v>100</v>
      </c>
      <c r="M97" s="214">
        <f t="shared" si="12"/>
        <v>0</v>
      </c>
      <c r="N97" s="235">
        <f t="shared" si="13"/>
        <v>100</v>
      </c>
      <c r="O97" s="213"/>
      <c r="P97" s="214">
        <v>50.72</v>
      </c>
      <c r="Q97" s="214"/>
      <c r="R97" s="215">
        <f t="shared" si="14"/>
        <v>50.72</v>
      </c>
      <c r="S97" s="171">
        <v>1</v>
      </c>
      <c r="T97" s="285"/>
      <c r="U97" s="283"/>
      <c r="V97" s="178" t="s">
        <v>981</v>
      </c>
      <c r="W97" s="171" t="s">
        <v>17</v>
      </c>
      <c r="X97" s="171" t="s">
        <v>18</v>
      </c>
      <c r="Y97" s="179">
        <v>50.7</v>
      </c>
      <c r="Z97" s="171"/>
      <c r="AA97" s="171"/>
      <c r="AB97" s="171"/>
      <c r="AC97" s="171"/>
      <c r="AD97" s="178"/>
      <c r="AE97" s="171"/>
      <c r="AF97" s="171"/>
      <c r="AG97" s="179"/>
      <c r="AH97" s="171"/>
      <c r="AI97" s="171"/>
      <c r="AJ97" s="171"/>
      <c r="AK97" s="171"/>
      <c r="AL97" s="178"/>
      <c r="AM97" s="171"/>
      <c r="AN97" s="171"/>
      <c r="AO97" s="179"/>
      <c r="AP97" s="178"/>
      <c r="AQ97" s="171"/>
      <c r="AR97" s="171"/>
      <c r="AS97" s="179"/>
      <c r="AT97" s="171"/>
      <c r="AU97" s="171"/>
      <c r="AV97" s="171"/>
      <c r="AW97" s="179"/>
      <c r="AX97" s="171"/>
      <c r="AY97" s="171"/>
      <c r="AZ97" s="171"/>
      <c r="BA97" s="180"/>
    </row>
    <row r="98" spans="1:53" x14ac:dyDescent="0.15">
      <c r="A98" s="171">
        <v>2012</v>
      </c>
      <c r="B98" s="301"/>
      <c r="C98" s="410" t="s">
        <v>988</v>
      </c>
      <c r="D98" s="410"/>
      <c r="E98" s="171">
        <v>5</v>
      </c>
      <c r="F98" s="192"/>
      <c r="G98" s="233"/>
      <c r="H98" s="171">
        <v>9</v>
      </c>
      <c r="I98" s="171"/>
      <c r="J98" s="241">
        <v>9</v>
      </c>
      <c r="K98" s="214">
        <f t="shared" si="10"/>
        <v>0</v>
      </c>
      <c r="L98" s="214">
        <f t="shared" si="11"/>
        <v>100</v>
      </c>
      <c r="M98" s="214">
        <f t="shared" si="12"/>
        <v>0</v>
      </c>
      <c r="N98" s="235">
        <f t="shared" si="13"/>
        <v>100</v>
      </c>
      <c r="O98" s="213"/>
      <c r="P98" s="214">
        <v>50.72</v>
      </c>
      <c r="Q98" s="214"/>
      <c r="R98" s="215">
        <f t="shared" si="14"/>
        <v>50.72</v>
      </c>
      <c r="S98" s="171">
        <v>1</v>
      </c>
      <c r="T98" s="285"/>
      <c r="U98" s="283"/>
      <c r="V98" s="178" t="s">
        <v>981</v>
      </c>
      <c r="W98" s="171" t="s">
        <v>17</v>
      </c>
      <c r="X98" s="171" t="s">
        <v>18</v>
      </c>
      <c r="Y98" s="179">
        <v>50.7</v>
      </c>
      <c r="Z98" s="171"/>
      <c r="AA98" s="171"/>
      <c r="AB98" s="171"/>
      <c r="AC98" s="171"/>
      <c r="AD98" s="178"/>
      <c r="AE98" s="171"/>
      <c r="AF98" s="171"/>
      <c r="AG98" s="179"/>
      <c r="AH98" s="171"/>
      <c r="AI98" s="171"/>
      <c r="AJ98" s="171"/>
      <c r="AK98" s="171"/>
      <c r="AL98" s="178"/>
      <c r="AM98" s="171"/>
      <c r="AN98" s="171"/>
      <c r="AO98" s="179"/>
      <c r="AP98" s="178"/>
      <c r="AQ98" s="171"/>
      <c r="AR98" s="171"/>
      <c r="AS98" s="179"/>
      <c r="AT98" s="171"/>
      <c r="AU98" s="171"/>
      <c r="AV98" s="171"/>
      <c r="AW98" s="179"/>
      <c r="AX98" s="171"/>
      <c r="AY98" s="171"/>
      <c r="AZ98" s="171"/>
      <c r="BA98" s="180"/>
    </row>
    <row r="99" spans="1:53" x14ac:dyDescent="0.15">
      <c r="A99" s="171">
        <v>2012</v>
      </c>
      <c r="B99" s="301">
        <v>40914</v>
      </c>
      <c r="C99" s="410" t="s">
        <v>988</v>
      </c>
      <c r="D99" s="410"/>
      <c r="E99" s="171">
        <v>361</v>
      </c>
      <c r="F99" s="192">
        <v>0</v>
      </c>
      <c r="G99" s="233"/>
      <c r="H99" s="171">
        <v>11</v>
      </c>
      <c r="I99" s="171"/>
      <c r="J99" s="241">
        <v>11</v>
      </c>
      <c r="K99" s="214">
        <f t="shared" si="10"/>
        <v>0</v>
      </c>
      <c r="L99" s="214">
        <f t="shared" si="11"/>
        <v>100</v>
      </c>
      <c r="M99" s="214">
        <f t="shared" si="12"/>
        <v>0</v>
      </c>
      <c r="N99" s="235">
        <f t="shared" si="13"/>
        <v>100</v>
      </c>
      <c r="O99" s="213"/>
      <c r="P99" s="214">
        <v>50.72</v>
      </c>
      <c r="Q99" s="214"/>
      <c r="R99" s="215">
        <f t="shared" si="14"/>
        <v>50.72</v>
      </c>
      <c r="S99" s="171">
        <v>1</v>
      </c>
      <c r="T99" s="285"/>
      <c r="U99" s="283"/>
      <c r="V99" s="178" t="s">
        <v>981</v>
      </c>
      <c r="W99" s="171" t="s">
        <v>17</v>
      </c>
      <c r="X99" s="171" t="s">
        <v>18</v>
      </c>
      <c r="Y99" s="179">
        <v>50.7</v>
      </c>
      <c r="Z99" s="171"/>
      <c r="AA99" s="171"/>
      <c r="AB99" s="171"/>
      <c r="AC99" s="171"/>
      <c r="AD99" s="178"/>
      <c r="AE99" s="171"/>
      <c r="AF99" s="171"/>
      <c r="AG99" s="179"/>
      <c r="AH99" s="171"/>
      <c r="AI99" s="171"/>
      <c r="AJ99" s="171"/>
      <c r="AK99" s="171"/>
      <c r="AL99" s="178"/>
      <c r="AM99" s="171"/>
      <c r="AN99" s="171"/>
      <c r="AO99" s="179"/>
      <c r="AP99" s="178"/>
      <c r="AQ99" s="171"/>
      <c r="AR99" s="171"/>
      <c r="AS99" s="179"/>
      <c r="AT99" s="171"/>
      <c r="AU99" s="171"/>
      <c r="AV99" s="171"/>
      <c r="AW99" s="179"/>
      <c r="AX99" s="171"/>
      <c r="AY99" s="171"/>
      <c r="AZ99" s="171"/>
      <c r="BA99" s="180"/>
    </row>
    <row r="100" spans="1:53" x14ac:dyDescent="0.15">
      <c r="A100" s="171">
        <v>2013</v>
      </c>
      <c r="B100" s="283"/>
      <c r="C100" s="410" t="s">
        <v>988</v>
      </c>
      <c r="D100" s="410"/>
      <c r="E100" s="171">
        <v>71</v>
      </c>
      <c r="F100" s="171"/>
      <c r="G100" s="233"/>
      <c r="H100" s="171">
        <v>11</v>
      </c>
      <c r="I100" s="171"/>
      <c r="J100" s="241">
        <v>11</v>
      </c>
      <c r="K100" s="214">
        <f t="shared" si="10"/>
        <v>0</v>
      </c>
      <c r="L100" s="214">
        <f t="shared" si="11"/>
        <v>100</v>
      </c>
      <c r="M100" s="214">
        <f t="shared" si="12"/>
        <v>0</v>
      </c>
      <c r="N100" s="235">
        <f t="shared" si="13"/>
        <v>100</v>
      </c>
      <c r="O100" s="213"/>
      <c r="P100" s="214">
        <v>50.72</v>
      </c>
      <c r="Q100" s="214"/>
      <c r="R100" s="215">
        <f t="shared" si="14"/>
        <v>50.72</v>
      </c>
      <c r="S100" s="171">
        <v>1</v>
      </c>
      <c r="T100" s="285"/>
      <c r="U100" s="283"/>
      <c r="V100" s="178" t="s">
        <v>981</v>
      </c>
      <c r="W100" s="171" t="s">
        <v>17</v>
      </c>
      <c r="X100" s="171" t="s">
        <v>18</v>
      </c>
      <c r="Y100" s="179">
        <v>50.7</v>
      </c>
      <c r="Z100" s="171"/>
      <c r="AA100" s="171"/>
      <c r="AB100" s="171"/>
      <c r="AC100" s="171"/>
      <c r="AD100" s="178"/>
      <c r="AE100" s="171"/>
      <c r="AF100" s="171"/>
      <c r="AG100" s="179"/>
      <c r="AH100" s="171"/>
      <c r="AI100" s="171"/>
      <c r="AJ100" s="171"/>
      <c r="AK100" s="171"/>
      <c r="AL100" s="178"/>
      <c r="AM100" s="171"/>
      <c r="AN100" s="171"/>
      <c r="AO100" s="179"/>
      <c r="AP100" s="178"/>
      <c r="AQ100" s="171"/>
      <c r="AR100" s="171"/>
      <c r="AS100" s="179"/>
      <c r="AT100" s="171"/>
      <c r="AU100" s="171"/>
      <c r="AV100" s="171"/>
      <c r="AW100" s="179"/>
      <c r="AX100" s="171"/>
      <c r="AY100" s="171"/>
      <c r="AZ100" s="171"/>
      <c r="BA100" s="180"/>
    </row>
    <row r="101" spans="1:53" x14ac:dyDescent="0.15">
      <c r="A101" s="29">
        <v>2013</v>
      </c>
      <c r="B101" s="295">
        <v>41346</v>
      </c>
      <c r="C101" s="411" t="s">
        <v>1254</v>
      </c>
      <c r="D101" s="411"/>
      <c r="E101" s="29">
        <f>365-E100</f>
        <v>294</v>
      </c>
      <c r="F101" s="29">
        <v>1</v>
      </c>
      <c r="G101" s="66"/>
      <c r="H101" s="29"/>
      <c r="I101" s="29">
        <v>15</v>
      </c>
      <c r="J101" s="73">
        <v>15</v>
      </c>
      <c r="K101" s="47">
        <f t="shared" si="10"/>
        <v>0</v>
      </c>
      <c r="L101" s="47">
        <f t="shared" si="11"/>
        <v>0</v>
      </c>
      <c r="M101" s="47">
        <f t="shared" si="12"/>
        <v>100</v>
      </c>
      <c r="N101" s="68">
        <f t="shared" si="13"/>
        <v>100</v>
      </c>
      <c r="O101" s="46"/>
      <c r="P101" s="47"/>
      <c r="Q101" s="47">
        <v>56.5</v>
      </c>
      <c r="R101" s="48">
        <f t="shared" si="14"/>
        <v>56.5</v>
      </c>
      <c r="S101" s="29">
        <v>1</v>
      </c>
      <c r="T101" s="286">
        <v>41341</v>
      </c>
      <c r="U101" s="295">
        <v>41346</v>
      </c>
      <c r="V101" s="38" t="s">
        <v>984</v>
      </c>
      <c r="W101" s="29" t="s">
        <v>20</v>
      </c>
      <c r="X101" s="29" t="s">
        <v>12</v>
      </c>
      <c r="Y101" s="39">
        <v>56.5</v>
      </c>
      <c r="Z101" s="29"/>
      <c r="AA101" s="29"/>
      <c r="AB101" s="29"/>
      <c r="AC101" s="29"/>
      <c r="AD101" s="38"/>
      <c r="AE101" s="29"/>
      <c r="AF101" s="29"/>
      <c r="AG101" s="39"/>
      <c r="AH101" s="29"/>
      <c r="AI101" s="29"/>
      <c r="AJ101" s="29"/>
      <c r="AK101" s="29"/>
      <c r="AL101" s="38"/>
      <c r="AM101" s="29"/>
      <c r="AN101" s="29"/>
      <c r="AO101" s="39"/>
      <c r="AP101" s="38"/>
      <c r="AQ101" s="29"/>
      <c r="AR101" s="29"/>
      <c r="AS101" s="39"/>
      <c r="AT101" s="29"/>
      <c r="AU101" s="29"/>
      <c r="AV101" s="29"/>
      <c r="AW101" s="39"/>
      <c r="AX101" s="29"/>
      <c r="AY101" s="29"/>
      <c r="AZ101" s="29"/>
      <c r="BA101" s="40"/>
    </row>
    <row r="102" spans="1:53" x14ac:dyDescent="0.15">
      <c r="A102" s="29">
        <v>2014</v>
      </c>
      <c r="B102" s="295"/>
      <c r="C102" s="411" t="s">
        <v>1254</v>
      </c>
      <c r="D102" s="411"/>
      <c r="E102" s="29">
        <v>0</v>
      </c>
      <c r="F102" s="29"/>
      <c r="G102" s="66"/>
      <c r="H102" s="29"/>
      <c r="I102" s="29">
        <v>15</v>
      </c>
      <c r="J102" s="73">
        <v>15</v>
      </c>
      <c r="K102" s="47">
        <f>G102/J102*100</f>
        <v>0</v>
      </c>
      <c r="L102" s="47">
        <f>H102/J102*100</f>
        <v>0</v>
      </c>
      <c r="M102" s="47">
        <f>I102/J102*100</f>
        <v>100</v>
      </c>
      <c r="N102" s="68">
        <f>K102+L102+M102</f>
        <v>100</v>
      </c>
      <c r="O102" s="46"/>
      <c r="P102" s="47"/>
      <c r="Q102" s="47">
        <v>56.5</v>
      </c>
      <c r="R102" s="48">
        <f t="shared" si="14"/>
        <v>56.5</v>
      </c>
      <c r="S102" s="29">
        <v>1</v>
      </c>
      <c r="T102" s="286"/>
      <c r="U102" s="295"/>
      <c r="V102" s="38" t="s">
        <v>984</v>
      </c>
      <c r="W102" s="29" t="s">
        <v>20</v>
      </c>
      <c r="X102" s="29" t="s">
        <v>12</v>
      </c>
      <c r="Y102" s="39">
        <v>56.5</v>
      </c>
      <c r="Z102" s="29"/>
      <c r="AA102" s="29"/>
      <c r="AB102" s="29"/>
      <c r="AC102" s="29"/>
      <c r="AD102" s="38"/>
      <c r="AE102" s="29"/>
      <c r="AF102" s="29"/>
      <c r="AG102" s="39"/>
      <c r="AH102" s="29"/>
      <c r="AI102" s="29"/>
      <c r="AJ102" s="29"/>
      <c r="AK102" s="29"/>
      <c r="AL102" s="38"/>
      <c r="AM102" s="29"/>
      <c r="AN102" s="29"/>
      <c r="AO102" s="39"/>
      <c r="AP102" s="38"/>
      <c r="AQ102" s="29"/>
      <c r="AR102" s="29"/>
      <c r="AS102" s="39"/>
      <c r="AT102" s="29"/>
      <c r="AU102" s="29"/>
      <c r="AV102" s="29"/>
      <c r="AW102" s="39"/>
      <c r="AX102" s="29"/>
      <c r="AY102" s="29"/>
      <c r="AZ102" s="29"/>
      <c r="BA102" s="40"/>
    </row>
    <row r="103" spans="1:53" x14ac:dyDescent="0.15">
      <c r="A103" s="29">
        <v>2014</v>
      </c>
      <c r="B103" s="303"/>
      <c r="C103" s="411" t="s">
        <v>1254</v>
      </c>
      <c r="D103" s="411"/>
      <c r="E103" s="29">
        <v>365</v>
      </c>
      <c r="F103" s="84"/>
      <c r="G103" s="66"/>
      <c r="H103" s="29"/>
      <c r="I103" s="29">
        <v>15</v>
      </c>
      <c r="J103" s="73">
        <v>15</v>
      </c>
      <c r="K103" s="47">
        <f>G103/J103*100</f>
        <v>0</v>
      </c>
      <c r="L103" s="47">
        <f>H103/J103*100</f>
        <v>0</v>
      </c>
      <c r="M103" s="47">
        <f>I103/J103*100</f>
        <v>100</v>
      </c>
      <c r="N103" s="68">
        <f>K103+L103+M103</f>
        <v>100</v>
      </c>
      <c r="O103" s="46"/>
      <c r="P103" s="47"/>
      <c r="Q103" s="47">
        <v>56.5</v>
      </c>
      <c r="R103" s="48">
        <f t="shared" si="14"/>
        <v>56.5</v>
      </c>
      <c r="S103" s="29">
        <v>1</v>
      </c>
      <c r="T103" s="286"/>
      <c r="U103" s="295"/>
      <c r="V103" s="38" t="s">
        <v>984</v>
      </c>
      <c r="W103" s="29" t="s">
        <v>20</v>
      </c>
      <c r="X103" s="29" t="s">
        <v>12</v>
      </c>
      <c r="Y103" s="39">
        <v>56.5</v>
      </c>
      <c r="Z103" s="29"/>
      <c r="AA103" s="29"/>
      <c r="AB103" s="29"/>
      <c r="AC103" s="29"/>
      <c r="AD103" s="38"/>
      <c r="AE103" s="29"/>
      <c r="AF103" s="29"/>
      <c r="AG103" s="39"/>
      <c r="AH103" s="29"/>
      <c r="AI103" s="29"/>
      <c r="AJ103" s="29"/>
      <c r="AK103" s="29"/>
      <c r="AL103" s="38"/>
      <c r="AM103" s="29"/>
      <c r="AN103" s="29"/>
      <c r="AO103" s="39"/>
      <c r="AP103" s="38"/>
      <c r="AQ103" s="29"/>
      <c r="AR103" s="29"/>
      <c r="AS103" s="39"/>
      <c r="AT103" s="29"/>
      <c r="AU103" s="29"/>
      <c r="AV103" s="29"/>
      <c r="AW103" s="39"/>
      <c r="AX103" s="29"/>
      <c r="AY103" s="29"/>
      <c r="AZ103" s="29"/>
      <c r="BA103" s="40"/>
    </row>
    <row r="104" spans="1:53" x14ac:dyDescent="0.15">
      <c r="A104" s="29">
        <v>2015</v>
      </c>
      <c r="B104" s="303"/>
      <c r="C104" s="411" t="s">
        <v>1254</v>
      </c>
      <c r="D104" s="411"/>
      <c r="E104" s="29">
        <v>0</v>
      </c>
      <c r="F104" s="84"/>
      <c r="G104" s="66"/>
      <c r="H104" s="29"/>
      <c r="I104" s="29">
        <v>15</v>
      </c>
      <c r="J104" s="73">
        <v>15</v>
      </c>
      <c r="K104" s="47">
        <f t="shared" ref="K104:K107" si="15">G104/J104*100</f>
        <v>0</v>
      </c>
      <c r="L104" s="47">
        <f t="shared" ref="L104:L107" si="16">H104/J104*100</f>
        <v>0</v>
      </c>
      <c r="M104" s="47">
        <f>I104/J104*100</f>
        <v>100</v>
      </c>
      <c r="N104" s="68">
        <f t="shared" ref="N104:N107" si="17">K104+L104+M104</f>
        <v>100</v>
      </c>
      <c r="O104" s="46"/>
      <c r="P104" s="47"/>
      <c r="Q104" s="47">
        <v>56.5</v>
      </c>
      <c r="R104" s="48">
        <f t="shared" ref="R104:R105" si="18">O104+P104+Q104</f>
        <v>56.5</v>
      </c>
      <c r="S104" s="29">
        <v>1</v>
      </c>
      <c r="T104" s="286"/>
      <c r="U104" s="295"/>
      <c r="V104" s="38" t="s">
        <v>984</v>
      </c>
      <c r="W104" s="29" t="s">
        <v>20</v>
      </c>
      <c r="X104" s="29" t="s">
        <v>12</v>
      </c>
      <c r="Y104" s="39">
        <v>56.5</v>
      </c>
      <c r="Z104" s="29"/>
      <c r="AA104" s="29"/>
      <c r="AB104" s="29"/>
      <c r="AC104" s="29"/>
      <c r="AD104" s="38"/>
      <c r="AE104" s="29"/>
      <c r="AF104" s="29"/>
      <c r="AG104" s="39"/>
      <c r="AH104" s="29"/>
      <c r="AI104" s="29"/>
      <c r="AJ104" s="29"/>
      <c r="AK104" s="29"/>
      <c r="AL104" s="38"/>
      <c r="AM104" s="29"/>
      <c r="AN104" s="29"/>
      <c r="AO104" s="39"/>
      <c r="AP104" s="38"/>
      <c r="AQ104" s="29"/>
      <c r="AR104" s="29"/>
      <c r="AS104" s="39"/>
      <c r="AT104" s="29"/>
      <c r="AU104" s="29"/>
      <c r="AV104" s="29"/>
      <c r="AW104" s="39"/>
      <c r="AX104" s="29"/>
      <c r="AY104" s="29"/>
      <c r="AZ104" s="29"/>
      <c r="BA104" s="40"/>
    </row>
    <row r="105" spans="1:53" x14ac:dyDescent="0.15">
      <c r="A105" s="29">
        <v>2015</v>
      </c>
      <c r="B105" s="303"/>
      <c r="C105" s="411" t="s">
        <v>1254</v>
      </c>
      <c r="D105" s="411"/>
      <c r="E105" s="29">
        <v>365</v>
      </c>
      <c r="F105" s="84"/>
      <c r="G105" s="66"/>
      <c r="H105" s="29"/>
      <c r="I105" s="29">
        <v>15</v>
      </c>
      <c r="J105" s="73">
        <v>15</v>
      </c>
      <c r="K105" s="47">
        <f t="shared" si="15"/>
        <v>0</v>
      </c>
      <c r="L105" s="47">
        <f t="shared" si="16"/>
        <v>0</v>
      </c>
      <c r="M105" s="47">
        <f t="shared" ref="M105:M107" si="19">I105/J105*100</f>
        <v>100</v>
      </c>
      <c r="N105" s="68">
        <f t="shared" si="17"/>
        <v>100</v>
      </c>
      <c r="O105" s="46"/>
      <c r="P105" s="47"/>
      <c r="Q105" s="47">
        <v>56.5</v>
      </c>
      <c r="R105" s="48">
        <f t="shared" si="18"/>
        <v>56.5</v>
      </c>
      <c r="S105" s="29">
        <v>1</v>
      </c>
      <c r="T105" s="286"/>
      <c r="U105" s="295"/>
      <c r="V105" s="38" t="s">
        <v>984</v>
      </c>
      <c r="W105" s="29" t="s">
        <v>20</v>
      </c>
      <c r="X105" s="29" t="s">
        <v>12</v>
      </c>
      <c r="Y105" s="39">
        <v>56.5</v>
      </c>
      <c r="Z105" s="29"/>
      <c r="AA105" s="29"/>
      <c r="AB105" s="29"/>
      <c r="AC105" s="29"/>
      <c r="AD105" s="38"/>
      <c r="AE105" s="29"/>
      <c r="AF105" s="29"/>
      <c r="AG105" s="39"/>
      <c r="AH105" s="29"/>
      <c r="AI105" s="29"/>
      <c r="AJ105" s="29"/>
      <c r="AK105" s="29"/>
      <c r="AL105" s="38"/>
      <c r="AM105" s="29"/>
      <c r="AN105" s="29"/>
      <c r="AO105" s="39"/>
      <c r="AP105" s="38"/>
      <c r="AQ105" s="29"/>
      <c r="AR105" s="29"/>
      <c r="AS105" s="39"/>
      <c r="AT105" s="29"/>
      <c r="AU105" s="29"/>
      <c r="AV105" s="29"/>
      <c r="AW105" s="39"/>
      <c r="AX105" s="29"/>
      <c r="AY105" s="29"/>
      <c r="AZ105" s="29"/>
      <c r="BA105" s="40"/>
    </row>
    <row r="106" spans="1:53" x14ac:dyDescent="0.15">
      <c r="A106" s="29">
        <v>2016</v>
      </c>
      <c r="B106" s="303"/>
      <c r="C106" s="411" t="s">
        <v>1254</v>
      </c>
      <c r="D106" s="411"/>
      <c r="E106" s="29">
        <v>118</v>
      </c>
      <c r="F106" s="84"/>
      <c r="G106" s="66"/>
      <c r="H106" s="29"/>
      <c r="I106" s="29">
        <v>15</v>
      </c>
      <c r="J106" s="73">
        <v>15</v>
      </c>
      <c r="K106" s="47">
        <f t="shared" si="15"/>
        <v>0</v>
      </c>
      <c r="L106" s="47">
        <f t="shared" si="16"/>
        <v>0</v>
      </c>
      <c r="M106" s="47">
        <f t="shared" si="19"/>
        <v>100</v>
      </c>
      <c r="N106" s="68">
        <f t="shared" si="17"/>
        <v>100</v>
      </c>
      <c r="O106" s="46"/>
      <c r="P106" s="47"/>
      <c r="Q106" s="47">
        <v>56.5</v>
      </c>
      <c r="R106" s="48">
        <f t="shared" ref="R106:R107" si="20">O106+P106+Q106</f>
        <v>56.5</v>
      </c>
      <c r="S106" s="29">
        <v>1</v>
      </c>
      <c r="T106" s="286"/>
      <c r="U106" s="295"/>
      <c r="V106" s="38" t="s">
        <v>984</v>
      </c>
      <c r="W106" s="29" t="s">
        <v>20</v>
      </c>
      <c r="X106" s="29" t="s">
        <v>12</v>
      </c>
      <c r="Y106" s="39">
        <v>56.5</v>
      </c>
      <c r="Z106" s="29"/>
      <c r="AA106" s="29"/>
      <c r="AB106" s="29"/>
      <c r="AC106" s="29"/>
      <c r="AD106" s="38"/>
      <c r="AE106" s="29"/>
      <c r="AF106" s="29"/>
      <c r="AG106" s="39"/>
      <c r="AH106" s="29"/>
      <c r="AI106" s="29"/>
      <c r="AJ106" s="29"/>
      <c r="AK106" s="29"/>
      <c r="AL106" s="38"/>
      <c r="AM106" s="29"/>
      <c r="AN106" s="29"/>
      <c r="AO106" s="39"/>
      <c r="AP106" s="38"/>
      <c r="AQ106" s="29"/>
      <c r="AR106" s="29"/>
      <c r="AS106" s="39"/>
      <c r="AT106" s="29"/>
      <c r="AU106" s="29"/>
      <c r="AV106" s="29"/>
      <c r="AW106" s="39"/>
      <c r="AX106" s="29"/>
      <c r="AY106" s="29"/>
      <c r="AZ106" s="29"/>
      <c r="BA106" s="40"/>
    </row>
    <row r="107" spans="1:53" x14ac:dyDescent="0.15">
      <c r="A107" s="29">
        <v>2016</v>
      </c>
      <c r="B107" s="303">
        <v>42488</v>
      </c>
      <c r="C107" s="411" t="s">
        <v>1254</v>
      </c>
      <c r="D107" s="411"/>
      <c r="E107" s="29">
        <v>248</v>
      </c>
      <c r="F107" s="84">
        <v>0</v>
      </c>
      <c r="G107" s="66"/>
      <c r="H107" s="29"/>
      <c r="I107" s="29">
        <v>17</v>
      </c>
      <c r="J107" s="73">
        <v>17</v>
      </c>
      <c r="K107" s="47">
        <f t="shared" si="15"/>
        <v>0</v>
      </c>
      <c r="L107" s="47">
        <f t="shared" si="16"/>
        <v>0</v>
      </c>
      <c r="M107" s="47">
        <f t="shared" si="19"/>
        <v>100</v>
      </c>
      <c r="N107" s="68">
        <f t="shared" si="17"/>
        <v>100</v>
      </c>
      <c r="O107" s="46"/>
      <c r="P107" s="47"/>
      <c r="Q107" s="47">
        <v>56.5</v>
      </c>
      <c r="R107" s="48">
        <f t="shared" si="20"/>
        <v>56.5</v>
      </c>
      <c r="S107" s="37">
        <v>1</v>
      </c>
      <c r="T107" s="321"/>
      <c r="U107" s="295"/>
      <c r="V107" s="38" t="s">
        <v>984</v>
      </c>
      <c r="W107" s="29" t="s">
        <v>20</v>
      </c>
      <c r="X107" s="29" t="s">
        <v>12</v>
      </c>
      <c r="Y107" s="39">
        <v>56.5</v>
      </c>
      <c r="Z107" s="29"/>
      <c r="AA107" s="29"/>
      <c r="AB107" s="29"/>
      <c r="AC107" s="29"/>
      <c r="AD107" s="38"/>
      <c r="AE107" s="29"/>
      <c r="AF107" s="29"/>
      <c r="AG107" s="39"/>
      <c r="AH107" s="29"/>
      <c r="AI107" s="29"/>
      <c r="AJ107" s="29"/>
      <c r="AK107" s="29"/>
      <c r="AL107" s="38"/>
      <c r="AM107" s="29"/>
      <c r="AN107" s="29"/>
      <c r="AO107" s="39"/>
      <c r="AP107" s="38"/>
      <c r="AQ107" s="29"/>
      <c r="AR107" s="29"/>
      <c r="AS107" s="39"/>
      <c r="AT107" s="29"/>
      <c r="AU107" s="29"/>
      <c r="AV107" s="29"/>
      <c r="AW107" s="39"/>
      <c r="AX107" s="29"/>
      <c r="AY107" s="29"/>
      <c r="AZ107" s="29"/>
      <c r="BA107" s="40"/>
    </row>
    <row r="108" spans="1:53" x14ac:dyDescent="0.15">
      <c r="A108" s="29">
        <v>2017</v>
      </c>
      <c r="B108" s="303"/>
      <c r="C108" s="411" t="s">
        <v>1254</v>
      </c>
      <c r="D108" s="411"/>
      <c r="E108" s="29">
        <v>159</v>
      </c>
      <c r="F108" s="84"/>
      <c r="G108" s="66"/>
      <c r="H108" s="29"/>
      <c r="I108" s="29">
        <v>17</v>
      </c>
      <c r="J108" s="73">
        <v>17</v>
      </c>
      <c r="K108" s="47">
        <f t="shared" ref="K108:K109" si="21">G108/J108*100</f>
        <v>0</v>
      </c>
      <c r="L108" s="47">
        <f t="shared" ref="L108:L109" si="22">H108/J108*100</f>
        <v>0</v>
      </c>
      <c r="M108" s="47">
        <f t="shared" ref="M108:M109" si="23">I108/J108*100</f>
        <v>100</v>
      </c>
      <c r="N108" s="68">
        <f t="shared" ref="N108:N109" si="24">K108+L108+M108</f>
        <v>100</v>
      </c>
      <c r="O108" s="46"/>
      <c r="P108" s="47"/>
      <c r="Q108" s="47">
        <v>56.5</v>
      </c>
      <c r="R108" s="48">
        <f t="shared" ref="R108:R109" si="25">O108+P108+Q108</f>
        <v>56.5</v>
      </c>
      <c r="S108" s="37">
        <v>1</v>
      </c>
      <c r="T108" s="321"/>
      <c r="U108" s="295"/>
      <c r="V108" s="38" t="s">
        <v>984</v>
      </c>
      <c r="W108" s="29" t="s">
        <v>20</v>
      </c>
      <c r="X108" s="29" t="s">
        <v>12</v>
      </c>
      <c r="Y108" s="39">
        <v>56.5</v>
      </c>
      <c r="Z108" s="29"/>
      <c r="AA108" s="29"/>
      <c r="AB108" s="29"/>
      <c r="AC108" s="29"/>
      <c r="AD108" s="38"/>
      <c r="AE108" s="29"/>
      <c r="AF108" s="29"/>
      <c r="AG108" s="39"/>
      <c r="AH108" s="29"/>
      <c r="AI108" s="29"/>
      <c r="AJ108" s="29"/>
      <c r="AK108" s="29"/>
      <c r="AL108" s="38"/>
      <c r="AM108" s="29"/>
      <c r="AN108" s="29"/>
      <c r="AO108" s="39"/>
      <c r="AP108" s="38"/>
      <c r="AQ108" s="29"/>
      <c r="AR108" s="29"/>
      <c r="AS108" s="39"/>
      <c r="AT108" s="29"/>
      <c r="AU108" s="29"/>
      <c r="AV108" s="29"/>
      <c r="AW108" s="39"/>
      <c r="AX108" s="29"/>
      <c r="AY108" s="29"/>
      <c r="AZ108" s="29"/>
      <c r="BA108" s="40"/>
    </row>
    <row r="109" spans="1:53" s="171" customFormat="1" x14ac:dyDescent="0.15">
      <c r="A109" s="171">
        <v>2017</v>
      </c>
      <c r="B109" s="283">
        <v>42895</v>
      </c>
      <c r="C109" s="410" t="s">
        <v>1377</v>
      </c>
      <c r="D109" s="410"/>
      <c r="E109" s="171">
        <v>206</v>
      </c>
      <c r="F109" s="171">
        <v>1</v>
      </c>
      <c r="G109" s="233"/>
      <c r="I109" s="171">
        <v>15</v>
      </c>
      <c r="J109" s="241">
        <v>15</v>
      </c>
      <c r="K109" s="214">
        <f t="shared" si="21"/>
        <v>0</v>
      </c>
      <c r="L109" s="214">
        <f t="shared" si="22"/>
        <v>0</v>
      </c>
      <c r="M109" s="214">
        <f t="shared" si="23"/>
        <v>100</v>
      </c>
      <c r="N109" s="235">
        <f t="shared" si="24"/>
        <v>100</v>
      </c>
      <c r="O109" s="213"/>
      <c r="P109" s="214"/>
      <c r="Q109" s="214">
        <v>55.2</v>
      </c>
      <c r="R109" s="215">
        <f t="shared" si="25"/>
        <v>55.2</v>
      </c>
      <c r="S109" s="171">
        <v>1</v>
      </c>
      <c r="T109" s="285">
        <v>42889</v>
      </c>
      <c r="U109" s="283">
        <v>42895</v>
      </c>
      <c r="V109" s="178" t="s">
        <v>984</v>
      </c>
      <c r="W109" s="171" t="s">
        <v>20</v>
      </c>
      <c r="X109" s="171" t="s">
        <v>12</v>
      </c>
      <c r="Y109" s="179">
        <v>55.2</v>
      </c>
      <c r="AD109" s="178"/>
      <c r="AG109" s="179"/>
      <c r="AK109" s="179"/>
      <c r="AO109" s="179"/>
      <c r="AP109" s="178"/>
      <c r="AS109" s="179"/>
      <c r="AW109" s="179"/>
      <c r="BA109" s="180"/>
    </row>
    <row r="110" spans="1:53" s="171" customFormat="1" x14ac:dyDescent="0.15">
      <c r="A110" s="171">
        <v>2018</v>
      </c>
      <c r="B110" s="283"/>
      <c r="C110" s="410" t="s">
        <v>1377</v>
      </c>
      <c r="D110" s="410"/>
      <c r="E110" s="171">
        <v>0</v>
      </c>
      <c r="G110" s="233"/>
      <c r="I110" s="171">
        <v>15</v>
      </c>
      <c r="J110" s="241">
        <v>15</v>
      </c>
      <c r="K110" s="214">
        <f t="shared" ref="K110:K111" si="26">G110/J110*100</f>
        <v>0</v>
      </c>
      <c r="L110" s="214">
        <f t="shared" ref="L110:L111" si="27">H110/J110*100</f>
        <v>0</v>
      </c>
      <c r="M110" s="214">
        <f t="shared" ref="M110:M111" si="28">I110/J110*100</f>
        <v>100</v>
      </c>
      <c r="N110" s="235">
        <f t="shared" ref="N110:N111" si="29">K110+L110+M110</f>
        <v>100</v>
      </c>
      <c r="O110" s="213"/>
      <c r="P110" s="214"/>
      <c r="Q110" s="214">
        <v>55.2</v>
      </c>
      <c r="R110" s="215">
        <f t="shared" ref="R110:R111" si="30">O110+P110+Q110</f>
        <v>55.2</v>
      </c>
      <c r="S110" s="171">
        <v>1</v>
      </c>
      <c r="T110" s="285"/>
      <c r="U110" s="283"/>
      <c r="V110" s="178" t="s">
        <v>984</v>
      </c>
      <c r="W110" s="171" t="s">
        <v>20</v>
      </c>
      <c r="X110" s="171" t="s">
        <v>12</v>
      </c>
      <c r="Y110" s="179">
        <v>55.2</v>
      </c>
      <c r="AD110" s="178"/>
      <c r="AG110" s="179"/>
      <c r="AK110" s="179"/>
      <c r="AO110" s="179"/>
      <c r="AP110" s="178"/>
      <c r="AS110" s="179"/>
      <c r="AW110" s="179"/>
      <c r="BA110" s="180"/>
    </row>
    <row r="111" spans="1:53" s="171" customFormat="1" x14ac:dyDescent="0.15">
      <c r="A111" s="171">
        <v>2018</v>
      </c>
      <c r="B111" s="283"/>
      <c r="C111" s="410" t="s">
        <v>1377</v>
      </c>
      <c r="D111" s="410"/>
      <c r="E111" s="171">
        <v>365</v>
      </c>
      <c r="G111" s="233"/>
      <c r="I111" s="171">
        <v>15</v>
      </c>
      <c r="J111" s="241">
        <v>15</v>
      </c>
      <c r="K111" s="214">
        <f t="shared" si="26"/>
        <v>0</v>
      </c>
      <c r="L111" s="214">
        <f t="shared" si="27"/>
        <v>0</v>
      </c>
      <c r="M111" s="214">
        <f t="shared" si="28"/>
        <v>100</v>
      </c>
      <c r="N111" s="235">
        <f t="shared" si="29"/>
        <v>100</v>
      </c>
      <c r="O111" s="213"/>
      <c r="P111" s="214"/>
      <c r="Q111" s="214">
        <v>55.2</v>
      </c>
      <c r="R111" s="215">
        <f t="shared" si="30"/>
        <v>55.2</v>
      </c>
      <c r="S111" s="171">
        <v>1</v>
      </c>
      <c r="T111" s="285"/>
      <c r="U111" s="283"/>
      <c r="V111" s="178" t="s">
        <v>984</v>
      </c>
      <c r="W111" s="171" t="s">
        <v>20</v>
      </c>
      <c r="X111" s="171" t="s">
        <v>12</v>
      </c>
      <c r="Y111" s="179">
        <v>55.2</v>
      </c>
      <c r="AD111" s="178"/>
      <c r="AG111" s="179"/>
      <c r="AK111" s="179"/>
      <c r="AO111" s="179"/>
      <c r="AS111" s="179"/>
      <c r="AW111" s="179"/>
      <c r="BA111" s="180"/>
    </row>
    <row r="112" spans="1:53" s="171" customFormat="1" x14ac:dyDescent="0.15">
      <c r="A112" s="171">
        <v>2019</v>
      </c>
      <c r="B112" s="283"/>
      <c r="C112" s="410" t="s">
        <v>1377</v>
      </c>
      <c r="D112" s="410"/>
      <c r="E112" s="171">
        <v>0</v>
      </c>
      <c r="G112" s="233"/>
      <c r="I112" s="171">
        <v>15</v>
      </c>
      <c r="J112" s="241">
        <v>15</v>
      </c>
      <c r="K112" s="214">
        <f t="shared" ref="K112:K116" si="31">G112/J112*100</f>
        <v>0</v>
      </c>
      <c r="L112" s="214">
        <f t="shared" ref="L112:L116" si="32">H112/J112*100</f>
        <v>0</v>
      </c>
      <c r="M112" s="214">
        <f t="shared" ref="M112:M116" si="33">I112/J112*100</f>
        <v>100</v>
      </c>
      <c r="N112" s="235">
        <f t="shared" ref="N112:N116" si="34">K112+L112+M112</f>
        <v>100</v>
      </c>
      <c r="O112" s="213"/>
      <c r="P112" s="214"/>
      <c r="Q112" s="214">
        <v>55.2</v>
      </c>
      <c r="R112" s="215">
        <f t="shared" ref="R112:R114" si="35">O112+P112+Q112</f>
        <v>55.2</v>
      </c>
      <c r="S112" s="171">
        <v>1</v>
      </c>
      <c r="T112" s="285"/>
      <c r="U112" s="283"/>
      <c r="V112" s="178" t="s">
        <v>984</v>
      </c>
      <c r="W112" s="171" t="s">
        <v>20</v>
      </c>
      <c r="X112" s="171" t="s">
        <v>12</v>
      </c>
      <c r="Y112" s="179">
        <v>55.2</v>
      </c>
      <c r="AC112" s="179"/>
      <c r="AG112" s="179"/>
      <c r="AK112" s="179"/>
      <c r="AO112" s="179"/>
      <c r="AS112" s="179"/>
      <c r="AW112" s="179"/>
      <c r="BA112" s="180"/>
    </row>
    <row r="113" spans="1:53" s="171" customFormat="1" x14ac:dyDescent="0.15">
      <c r="A113" s="171">
        <v>2019</v>
      </c>
      <c r="B113" s="283"/>
      <c r="C113" s="410" t="s">
        <v>1377</v>
      </c>
      <c r="D113" s="410"/>
      <c r="E113" s="171">
        <v>365</v>
      </c>
      <c r="F113" s="180"/>
      <c r="I113" s="171">
        <v>15</v>
      </c>
      <c r="J113" s="241">
        <v>15</v>
      </c>
      <c r="K113" s="214">
        <f t="shared" si="31"/>
        <v>0</v>
      </c>
      <c r="L113" s="214">
        <f t="shared" si="32"/>
        <v>0</v>
      </c>
      <c r="M113" s="214">
        <f t="shared" si="33"/>
        <v>100</v>
      </c>
      <c r="N113" s="215">
        <f t="shared" si="34"/>
        <v>100</v>
      </c>
      <c r="O113" s="214"/>
      <c r="P113" s="214"/>
      <c r="Q113" s="214">
        <v>55.2</v>
      </c>
      <c r="R113" s="215">
        <f t="shared" si="35"/>
        <v>55.2</v>
      </c>
      <c r="S113" s="190">
        <v>1</v>
      </c>
      <c r="T113" s="285"/>
      <c r="U113" s="298"/>
      <c r="V113" s="171" t="s">
        <v>984</v>
      </c>
      <c r="W113" s="171" t="s">
        <v>20</v>
      </c>
      <c r="X113" s="171" t="s">
        <v>12</v>
      </c>
      <c r="Y113" s="179">
        <v>55.2</v>
      </c>
      <c r="AC113" s="179"/>
      <c r="AG113" s="179"/>
      <c r="AK113" s="179"/>
      <c r="AO113" s="179"/>
      <c r="AS113" s="179"/>
      <c r="AW113" s="179"/>
      <c r="BA113" s="180"/>
    </row>
    <row r="114" spans="1:53" s="171" customFormat="1" x14ac:dyDescent="0.15">
      <c r="A114" s="171">
        <v>2020</v>
      </c>
      <c r="B114" s="283"/>
      <c r="C114" s="410" t="s">
        <v>1377</v>
      </c>
      <c r="D114" s="410"/>
      <c r="E114" s="171">
        <v>14</v>
      </c>
      <c r="F114" s="180"/>
      <c r="I114" s="171">
        <v>15</v>
      </c>
      <c r="J114" s="241">
        <v>15</v>
      </c>
      <c r="K114" s="214">
        <f t="shared" si="31"/>
        <v>0</v>
      </c>
      <c r="L114" s="214">
        <f t="shared" si="32"/>
        <v>0</v>
      </c>
      <c r="M114" s="214">
        <f t="shared" si="33"/>
        <v>100</v>
      </c>
      <c r="N114" s="215">
        <f t="shared" si="34"/>
        <v>100</v>
      </c>
      <c r="O114" s="214"/>
      <c r="P114" s="214"/>
      <c r="Q114" s="214">
        <v>55.2</v>
      </c>
      <c r="R114" s="215">
        <f t="shared" si="35"/>
        <v>55.2</v>
      </c>
      <c r="S114" s="190">
        <v>1</v>
      </c>
      <c r="T114" s="285"/>
      <c r="U114" s="298"/>
      <c r="V114" s="171" t="s">
        <v>984</v>
      </c>
      <c r="W114" s="171" t="s">
        <v>20</v>
      </c>
      <c r="X114" s="171" t="s">
        <v>12</v>
      </c>
      <c r="Y114" s="179">
        <v>55.2</v>
      </c>
      <c r="AC114" s="179"/>
      <c r="AG114" s="179"/>
      <c r="AK114" s="179"/>
      <c r="AO114" s="179"/>
      <c r="AS114" s="179"/>
      <c r="AW114" s="179"/>
      <c r="BA114" s="180"/>
    </row>
    <row r="115" spans="1:53" s="29" customFormat="1" x14ac:dyDescent="0.15">
      <c r="A115" s="29">
        <v>2020</v>
      </c>
      <c r="B115" s="295">
        <v>43845</v>
      </c>
      <c r="C115" s="411" t="s">
        <v>1472</v>
      </c>
      <c r="D115" s="411"/>
      <c r="E115" s="29">
        <v>313</v>
      </c>
      <c r="F115" s="40">
        <v>2</v>
      </c>
      <c r="I115" s="29">
        <v>18</v>
      </c>
      <c r="J115" s="73">
        <v>18</v>
      </c>
      <c r="K115" s="47">
        <f t="shared" si="31"/>
        <v>0</v>
      </c>
      <c r="L115" s="47">
        <f t="shared" si="32"/>
        <v>0</v>
      </c>
      <c r="M115" s="47">
        <f t="shared" si="33"/>
        <v>100</v>
      </c>
      <c r="N115" s="48">
        <f t="shared" si="34"/>
        <v>100</v>
      </c>
      <c r="O115" s="47"/>
      <c r="P115" s="47"/>
      <c r="Q115" s="47">
        <v>55.2</v>
      </c>
      <c r="R115" s="48">
        <v>55.2</v>
      </c>
      <c r="S115" s="37">
        <v>1</v>
      </c>
      <c r="T115" s="286"/>
      <c r="U115" s="292">
        <v>43845</v>
      </c>
      <c r="V115" s="29" t="s">
        <v>984</v>
      </c>
      <c r="W115" s="29" t="s">
        <v>20</v>
      </c>
      <c r="X115" s="29" t="s">
        <v>12</v>
      </c>
      <c r="Y115" s="39">
        <v>55.2</v>
      </c>
      <c r="AC115" s="39"/>
      <c r="AG115" s="39"/>
      <c r="AK115" s="39"/>
      <c r="AO115" s="39"/>
      <c r="AS115" s="39"/>
      <c r="AW115" s="39"/>
      <c r="BA115" s="40"/>
    </row>
    <row r="116" spans="1:53" s="29" customFormat="1" x14ac:dyDescent="0.15">
      <c r="A116" s="29">
        <v>2020</v>
      </c>
      <c r="B116" s="303">
        <v>44158</v>
      </c>
      <c r="C116" s="411" t="s">
        <v>1472</v>
      </c>
      <c r="D116" s="411"/>
      <c r="E116" s="29">
        <v>39</v>
      </c>
      <c r="F116" s="343">
        <v>0</v>
      </c>
      <c r="I116" s="29">
        <v>21</v>
      </c>
      <c r="J116" s="73">
        <v>21</v>
      </c>
      <c r="K116" s="47">
        <f t="shared" si="31"/>
        <v>0</v>
      </c>
      <c r="L116" s="47">
        <f t="shared" si="32"/>
        <v>0</v>
      </c>
      <c r="M116" s="47">
        <f t="shared" si="33"/>
        <v>100</v>
      </c>
      <c r="N116" s="48">
        <f t="shared" si="34"/>
        <v>100</v>
      </c>
      <c r="O116" s="47"/>
      <c r="P116" s="47"/>
      <c r="Q116" s="47">
        <v>55.2</v>
      </c>
      <c r="R116" s="48">
        <v>55.2</v>
      </c>
      <c r="S116" s="37">
        <v>1</v>
      </c>
      <c r="T116" s="286"/>
      <c r="U116" s="292"/>
      <c r="V116" s="29" t="s">
        <v>984</v>
      </c>
      <c r="W116" s="29" t="s">
        <v>20</v>
      </c>
      <c r="X116" s="29" t="s">
        <v>12</v>
      </c>
      <c r="Y116" s="39">
        <v>55.2</v>
      </c>
      <c r="AC116" s="39"/>
      <c r="AG116" s="39"/>
      <c r="AK116" s="39"/>
      <c r="AO116" s="39"/>
      <c r="AS116" s="39"/>
      <c r="AW116" s="39"/>
      <c r="BA116" s="40"/>
    </row>
    <row r="117" spans="1:53" x14ac:dyDescent="0.15">
      <c r="AS117" s="17"/>
    </row>
    <row r="119" spans="1:53" ht="18" customHeight="1" x14ac:dyDescent="0.15">
      <c r="B119" s="16" t="s">
        <v>1264</v>
      </c>
    </row>
    <row r="120" spans="1:53" ht="9" customHeight="1" x14ac:dyDescent="0.15"/>
    <row r="121" spans="1:53" s="195" customFormat="1" ht="9" customHeight="1" x14ac:dyDescent="0.15">
      <c r="A121" s="193"/>
      <c r="B121" s="194" t="s">
        <v>1215</v>
      </c>
      <c r="C121" s="194"/>
      <c r="D121" s="194"/>
      <c r="E121" s="194"/>
      <c r="F121" s="194"/>
      <c r="G121" s="194" t="s">
        <v>1216</v>
      </c>
      <c r="H121" s="194"/>
      <c r="I121" s="194"/>
      <c r="J121" s="194"/>
      <c r="K121" s="194"/>
      <c r="L121" s="194"/>
      <c r="M121" s="194"/>
      <c r="N121" s="194"/>
      <c r="R121" s="388" t="s">
        <v>1217</v>
      </c>
      <c r="S121" s="388"/>
      <c r="T121" s="388"/>
      <c r="U121" s="388"/>
      <c r="V121" s="388"/>
      <c r="W121" s="388"/>
      <c r="X121" s="196"/>
      <c r="Y121" s="196"/>
      <c r="AA121" s="196"/>
      <c r="AB121" s="196"/>
      <c r="AC121" s="196"/>
      <c r="AD121" s="196"/>
    </row>
    <row r="122" spans="1:53" s="200" customFormat="1" ht="9" customHeight="1" x14ac:dyDescent="0.15">
      <c r="A122" s="197"/>
      <c r="B122" s="198" t="s">
        <v>1219</v>
      </c>
      <c r="C122" s="199"/>
      <c r="D122" s="199"/>
      <c r="E122" s="199"/>
      <c r="F122" s="199"/>
      <c r="G122" s="198" t="s">
        <v>1218</v>
      </c>
      <c r="H122" s="199"/>
      <c r="I122" s="199"/>
      <c r="J122" s="199"/>
      <c r="K122" s="199"/>
      <c r="L122" s="199"/>
      <c r="M122" s="199"/>
      <c r="N122" s="199"/>
      <c r="R122" s="201" t="s">
        <v>1220</v>
      </c>
      <c r="S122" s="202"/>
      <c r="T122" s="203"/>
      <c r="U122" s="203"/>
      <c r="V122" s="203"/>
      <c r="W122" s="201" t="s">
        <v>1221</v>
      </c>
      <c r="X122" s="203"/>
      <c r="Y122" s="203"/>
      <c r="AA122" s="203"/>
      <c r="AB122" s="203"/>
      <c r="AC122" s="203"/>
      <c r="AD122" s="203"/>
    </row>
    <row r="123" spans="1:53" s="186" customFormat="1" ht="12" customHeight="1" x14ac:dyDescent="0.15">
      <c r="A123" s="204" t="s">
        <v>3</v>
      </c>
      <c r="B123" s="205" t="s">
        <v>8</v>
      </c>
      <c r="C123" s="205" t="s">
        <v>9</v>
      </c>
      <c r="D123" s="205" t="s">
        <v>10</v>
      </c>
      <c r="E123" s="206" t="s">
        <v>1195</v>
      </c>
      <c r="F123" s="205"/>
      <c r="G123" s="186" t="s">
        <v>3</v>
      </c>
      <c r="H123" s="389" t="s">
        <v>0</v>
      </c>
      <c r="I123" s="389"/>
      <c r="J123" s="389" t="s">
        <v>1</v>
      </c>
      <c r="K123" s="389"/>
      <c r="L123" s="389" t="s">
        <v>2</v>
      </c>
      <c r="M123" s="389"/>
      <c r="N123" s="390" t="s">
        <v>1195</v>
      </c>
      <c r="O123" s="390"/>
      <c r="P123" s="207"/>
      <c r="Q123" s="207"/>
      <c r="R123" s="208" t="s">
        <v>3</v>
      </c>
      <c r="S123" s="209" t="s">
        <v>135</v>
      </c>
      <c r="T123" s="207" t="s">
        <v>133</v>
      </c>
      <c r="U123" s="205" t="s">
        <v>134</v>
      </c>
      <c r="V123" s="207"/>
      <c r="W123" s="210" t="s">
        <v>26</v>
      </c>
    </row>
    <row r="124" spans="1:53" x14ac:dyDescent="0.15">
      <c r="A124" s="1">
        <v>1966</v>
      </c>
      <c r="B124" s="10">
        <f>(K7*($E7/275))</f>
        <v>0</v>
      </c>
      <c r="C124" s="10">
        <f>(L7*($E7/275))</f>
        <v>100</v>
      </c>
      <c r="D124" s="10">
        <f>(M7*($E7/275))</f>
        <v>0</v>
      </c>
      <c r="E124" s="265">
        <f t="shared" ref="E124:E171" si="36">SUM(B124:D124)</f>
        <v>100</v>
      </c>
      <c r="F124" s="266"/>
      <c r="G124" s="1">
        <v>1966</v>
      </c>
      <c r="H124" s="409">
        <f>(O7/$R7*100*($E7/275))</f>
        <v>0</v>
      </c>
      <c r="I124" s="409"/>
      <c r="J124" s="409">
        <f>(P7/$R7*100*($E7/275))</f>
        <v>100</v>
      </c>
      <c r="K124" s="409"/>
      <c r="L124" s="409">
        <f>(Q7/$R7*100*($E7/275))</f>
        <v>0</v>
      </c>
      <c r="M124" s="409"/>
      <c r="N124" s="424">
        <f t="shared" ref="N124:N147" si="37">SUM(H124:M124)</f>
        <v>100</v>
      </c>
      <c r="O124" s="424"/>
      <c r="P124" s="266"/>
      <c r="Q124" s="266"/>
      <c r="R124" s="1">
        <v>1966</v>
      </c>
      <c r="S124" s="5">
        <f>(O7*($E7/275))</f>
        <v>0</v>
      </c>
      <c r="T124" s="5">
        <f>(P7*($E7/275))</f>
        <v>56</v>
      </c>
      <c r="U124" s="5">
        <f>(Q7*($E7/275))</f>
        <v>0</v>
      </c>
      <c r="V124" s="5"/>
      <c r="W124" s="5">
        <f t="shared" ref="W124:W150" si="38">SUM(S124:U124)</f>
        <v>56</v>
      </c>
      <c r="X124" s="266"/>
      <c r="Y124" s="27" t="s">
        <v>1276</v>
      </c>
      <c r="Z124" s="266"/>
      <c r="AA124" s="266"/>
      <c r="AB124" s="266"/>
      <c r="AC124" s="266"/>
      <c r="AD124" s="266"/>
      <c r="AE124" s="266"/>
      <c r="AF124" s="266"/>
      <c r="AG124" s="266"/>
      <c r="AH124" s="266"/>
      <c r="AI124" s="266"/>
      <c r="AJ124" s="266"/>
      <c r="AK124" s="266"/>
      <c r="AL124" s="266"/>
      <c r="AM124" s="266"/>
      <c r="AN124" s="266"/>
      <c r="AO124" s="266"/>
      <c r="AP124" s="266"/>
      <c r="AQ124" s="266"/>
      <c r="AR124" s="266"/>
      <c r="AS124" s="266"/>
      <c r="AT124" s="266"/>
      <c r="AU124" s="266"/>
      <c r="AV124" s="266"/>
      <c r="AW124" s="266"/>
      <c r="AX124" s="266"/>
      <c r="AY124" s="266"/>
      <c r="AZ124" s="266"/>
      <c r="BA124" s="266"/>
    </row>
    <row r="125" spans="1:53" x14ac:dyDescent="0.15">
      <c r="A125" s="1">
        <v>1967</v>
      </c>
      <c r="B125" s="10">
        <f>(K8*($E8/365))+(K9*($E9/365))</f>
        <v>0</v>
      </c>
      <c r="C125" s="10">
        <f>(L8*($E8/365))+(L9*($E9/365))</f>
        <v>100</v>
      </c>
      <c r="D125" s="10">
        <f>(M8*($E8/365))+(M9*($E9/365))</f>
        <v>0</v>
      </c>
      <c r="E125" s="265">
        <f t="shared" si="36"/>
        <v>100</v>
      </c>
      <c r="F125" s="266"/>
      <c r="G125" s="1">
        <v>1967</v>
      </c>
      <c r="H125" s="409">
        <f>(O8/$R8*100*($E8/365))+(O9/$R9*100*($E9/365))</f>
        <v>0</v>
      </c>
      <c r="I125" s="409"/>
      <c r="J125" s="409">
        <f>(P8/$R8*100*($E8/365))+(P9/$R9*100*($E9/365))</f>
        <v>100</v>
      </c>
      <c r="K125" s="409"/>
      <c r="L125" s="409">
        <f>(Q8/$R8*100*($E8/365))+(Q9/$R9*100*($E9/365))</f>
        <v>0</v>
      </c>
      <c r="M125" s="409"/>
      <c r="N125" s="424">
        <f t="shared" si="37"/>
        <v>100</v>
      </c>
      <c r="O125" s="424"/>
      <c r="P125" s="266"/>
      <c r="Q125" s="266"/>
      <c r="R125" s="1">
        <v>1967</v>
      </c>
      <c r="S125" s="5">
        <f>(O8*($E8/365))+(O9*($E9/365))</f>
        <v>0</v>
      </c>
      <c r="T125" s="5">
        <f>(P8*($E8/365))+(P9*($E9/365))</f>
        <v>56</v>
      </c>
      <c r="U125" s="5">
        <f>(Q8*($E8/365))+(Q9*($E9/365))</f>
        <v>0</v>
      </c>
      <c r="V125" s="5"/>
      <c r="W125" s="5">
        <f t="shared" si="38"/>
        <v>56</v>
      </c>
      <c r="X125" s="266"/>
      <c r="Y125" s="266"/>
      <c r="Z125" s="266"/>
      <c r="AA125" s="266"/>
      <c r="AB125" s="266"/>
      <c r="AC125" s="266"/>
      <c r="AD125" s="266"/>
      <c r="AE125" s="266"/>
      <c r="AF125" s="266"/>
      <c r="AG125" s="266"/>
      <c r="AH125" s="266"/>
      <c r="AI125" s="266"/>
      <c r="AJ125" s="266"/>
      <c r="AK125" s="266"/>
      <c r="AL125" s="266"/>
      <c r="AM125" s="266"/>
      <c r="AN125" s="266"/>
      <c r="AO125" s="266"/>
      <c r="AP125" s="266"/>
      <c r="AQ125" s="266"/>
      <c r="AR125" s="266"/>
      <c r="AS125" s="266"/>
      <c r="AT125" s="266"/>
      <c r="AU125" s="266"/>
      <c r="AV125" s="266"/>
      <c r="AW125" s="266"/>
      <c r="AX125" s="266"/>
      <c r="AY125" s="266"/>
      <c r="AZ125" s="266"/>
      <c r="BA125" s="266"/>
    </row>
    <row r="126" spans="1:53" x14ac:dyDescent="0.15">
      <c r="A126" s="1">
        <v>1968</v>
      </c>
      <c r="B126" s="10">
        <f>(K10*($E10/366))+(K11*($E11/366))</f>
        <v>0</v>
      </c>
      <c r="C126" s="10">
        <f>(L10*($E10/366))+(L11*($E11/366))</f>
        <v>100</v>
      </c>
      <c r="D126" s="10">
        <f>(M10*($E10/366))+(M11*($E11/366))</f>
        <v>0</v>
      </c>
      <c r="E126" s="265">
        <f t="shared" si="36"/>
        <v>100</v>
      </c>
      <c r="F126" s="266"/>
      <c r="G126" s="1">
        <v>1968</v>
      </c>
      <c r="H126" s="409">
        <f>(O10/$R10*100*($E10/366))+(O11/$R11*100*($E11/366))</f>
        <v>0</v>
      </c>
      <c r="I126" s="409"/>
      <c r="J126" s="409">
        <f>(P10/$R10*100*($E10/366))+(P11/$R11*100*($E11/366))</f>
        <v>100</v>
      </c>
      <c r="K126" s="409"/>
      <c r="L126" s="409">
        <f>(Q10/$R10*100*($E10/366))+(Q11/$R11*100*($E11/366))</f>
        <v>0</v>
      </c>
      <c r="M126" s="409"/>
      <c r="N126" s="424">
        <f t="shared" si="37"/>
        <v>100</v>
      </c>
      <c r="O126" s="424"/>
      <c r="P126" s="266"/>
      <c r="Q126" s="266"/>
      <c r="R126" s="1">
        <v>1968</v>
      </c>
      <c r="S126" s="5">
        <f>(O10*($E10/366))+(O11*($E11/366))</f>
        <v>0</v>
      </c>
      <c r="T126" s="5">
        <f>(P10*($E10/366))+(P11*($E11/366))</f>
        <v>56</v>
      </c>
      <c r="U126" s="5">
        <f>(Q10*($E10/366))+(Q11*($E11/366))</f>
        <v>0</v>
      </c>
      <c r="V126" s="5"/>
      <c r="W126" s="5">
        <f t="shared" si="38"/>
        <v>56</v>
      </c>
      <c r="X126" s="266"/>
      <c r="Y126" s="266"/>
      <c r="Z126" s="266"/>
      <c r="AA126" s="266"/>
      <c r="AB126" s="266"/>
      <c r="AC126" s="266"/>
      <c r="AD126" s="266"/>
      <c r="AE126" s="266"/>
      <c r="AF126" s="266"/>
      <c r="AG126" s="266"/>
      <c r="AH126" s="266"/>
      <c r="AI126" s="266"/>
      <c r="AJ126" s="266"/>
      <c r="AK126" s="266"/>
      <c r="AL126" s="266"/>
      <c r="AM126" s="266"/>
      <c r="AN126" s="266"/>
      <c r="AO126" s="266"/>
      <c r="AP126" s="266"/>
      <c r="AQ126" s="266"/>
      <c r="AR126" s="266"/>
      <c r="AS126" s="266"/>
      <c r="AT126" s="266"/>
      <c r="AU126" s="266"/>
      <c r="AV126" s="266"/>
      <c r="AW126" s="266"/>
      <c r="AX126" s="266"/>
      <c r="AY126" s="266"/>
      <c r="AZ126" s="266"/>
      <c r="BA126" s="266"/>
    </row>
    <row r="127" spans="1:53" x14ac:dyDescent="0.15">
      <c r="A127" s="1">
        <v>1969</v>
      </c>
      <c r="B127" s="10">
        <f>(K12*($E12/365))+(K13*($E13/365))</f>
        <v>0</v>
      </c>
      <c r="C127" s="10">
        <f>(L12*($E12/365))+(L13*($E13/365))</f>
        <v>100</v>
      </c>
      <c r="D127" s="10">
        <f>(M12*($E12/365))+(M13*($E13/365))</f>
        <v>0</v>
      </c>
      <c r="E127" s="265">
        <f t="shared" si="36"/>
        <v>100</v>
      </c>
      <c r="F127" s="266"/>
      <c r="G127" s="1">
        <v>1969</v>
      </c>
      <c r="H127" s="409">
        <f>(O12/$R12*100*($E12/365))+(O13/$R13*100*($E13/365))</f>
        <v>0</v>
      </c>
      <c r="I127" s="409"/>
      <c r="J127" s="409">
        <f>(P12/$R12*100*($E12/365))+(P13/$R13*100*($E13/365))</f>
        <v>100</v>
      </c>
      <c r="K127" s="409"/>
      <c r="L127" s="409">
        <f>(Q12/$R12*100*($E12/365))+(Q13/$R13*100*($E13/365))</f>
        <v>0</v>
      </c>
      <c r="M127" s="409"/>
      <c r="N127" s="424">
        <f t="shared" si="37"/>
        <v>100</v>
      </c>
      <c r="O127" s="424"/>
      <c r="P127" s="266"/>
      <c r="Q127" s="266"/>
      <c r="R127" s="1">
        <v>1969</v>
      </c>
      <c r="S127" s="5">
        <f>(O12*($E12/365))+(O13*($E13/365))</f>
        <v>0</v>
      </c>
      <c r="T127" s="5">
        <f>(P12*($E12/365))+(P13*($E13/365))</f>
        <v>56</v>
      </c>
      <c r="U127" s="5">
        <f>(Q12*($E12/365))+(Q13*($E13/365))</f>
        <v>0</v>
      </c>
      <c r="V127" s="5"/>
      <c r="W127" s="5">
        <f t="shared" si="38"/>
        <v>56</v>
      </c>
      <c r="X127" s="266"/>
      <c r="Y127" s="266"/>
      <c r="Z127" s="266"/>
      <c r="AA127" s="266"/>
      <c r="AB127" s="266"/>
      <c r="AC127" s="266"/>
      <c r="AD127" s="266"/>
      <c r="AE127" s="266"/>
      <c r="AF127" s="266"/>
      <c r="AG127" s="266"/>
      <c r="AH127" s="266"/>
      <c r="AI127" s="266"/>
      <c r="AJ127" s="266"/>
      <c r="AK127" s="266"/>
      <c r="AL127" s="266"/>
      <c r="AM127" s="266"/>
      <c r="AN127" s="266"/>
      <c r="AO127" s="266"/>
      <c r="AP127" s="266"/>
      <c r="AQ127" s="266"/>
      <c r="AR127" s="266"/>
      <c r="AS127" s="266"/>
      <c r="AT127" s="266"/>
      <c r="AU127" s="266"/>
      <c r="AV127" s="266"/>
      <c r="AW127" s="266"/>
      <c r="AX127" s="266"/>
      <c r="AY127" s="266"/>
      <c r="AZ127" s="266"/>
      <c r="BA127" s="266"/>
    </row>
    <row r="128" spans="1:53" x14ac:dyDescent="0.15">
      <c r="A128" s="1">
        <v>1970</v>
      </c>
      <c r="B128" s="10">
        <f>(K14*($E14/365))+(K15*($E15/365))</f>
        <v>0</v>
      </c>
      <c r="C128" s="10">
        <f>(L14*($E14/365))+(L15*($E15/365))</f>
        <v>100</v>
      </c>
      <c r="D128" s="10">
        <f>(M14*($E14/365))+(M15*($E15/365))</f>
        <v>0</v>
      </c>
      <c r="E128" s="265">
        <f t="shared" si="36"/>
        <v>100</v>
      </c>
      <c r="F128" s="266"/>
      <c r="G128" s="1">
        <v>1970</v>
      </c>
      <c r="H128" s="409">
        <f>(O14/$R14*100*($E14/365))+(O15/$R15*100*($E15/365))</f>
        <v>0</v>
      </c>
      <c r="I128" s="409"/>
      <c r="J128" s="409">
        <f>(P14/$R14*100*($E14/365))+(P15/$R15*100*($E15/365))</f>
        <v>100</v>
      </c>
      <c r="K128" s="409"/>
      <c r="L128" s="409">
        <f>(Q14/$R14*100*($E14/365))+(Q15/$R15*100*($E15/365))</f>
        <v>0</v>
      </c>
      <c r="M128" s="409"/>
      <c r="N128" s="424">
        <f t="shared" si="37"/>
        <v>100</v>
      </c>
      <c r="O128" s="424"/>
      <c r="P128" s="266"/>
      <c r="Q128" s="266"/>
      <c r="R128" s="1">
        <v>1970</v>
      </c>
      <c r="S128" s="5">
        <f>(O14*($E14/365))+(O15*($E15/365))</f>
        <v>0</v>
      </c>
      <c r="T128" s="5">
        <f>(P14*($E14/365))+(P15*($E15/365))</f>
        <v>56</v>
      </c>
      <c r="U128" s="5">
        <f>(Q14*($E14/365))+(Q15*($E15/365))</f>
        <v>0</v>
      </c>
      <c r="V128" s="5"/>
      <c r="W128" s="5">
        <f t="shared" si="38"/>
        <v>56</v>
      </c>
    </row>
    <row r="129" spans="1:23" x14ac:dyDescent="0.15">
      <c r="A129" s="1">
        <v>1971</v>
      </c>
      <c r="B129" s="10">
        <f>(K16*($E16/365))+(K17*($E17/365))</f>
        <v>0</v>
      </c>
      <c r="C129" s="10">
        <f>(L16*($E16/365))+(L17*($E17/365))</f>
        <v>46.849315068493155</v>
      </c>
      <c r="D129" s="10">
        <f>(M16*($E16/365))+(M17*($E17/365))</f>
        <v>53.150684931506852</v>
      </c>
      <c r="E129" s="265">
        <f t="shared" si="36"/>
        <v>100</v>
      </c>
      <c r="F129" s="266"/>
      <c r="G129" s="1">
        <v>1971</v>
      </c>
      <c r="H129" s="409">
        <f>(O16/$R16*100*($E16/365))+(O17/$R17*100*($E17/365))</f>
        <v>0</v>
      </c>
      <c r="I129" s="409"/>
      <c r="J129" s="409">
        <f>(P16/$R16*100*($E16/365))+(P17/$R17*100*($E17/365))</f>
        <v>46.849315068493155</v>
      </c>
      <c r="K129" s="409"/>
      <c r="L129" s="409">
        <f>(Q16/$R16*100*($E16/365))+(Q17/$R17*100*($E17/365))</f>
        <v>53.150684931506852</v>
      </c>
      <c r="M129" s="409"/>
      <c r="N129" s="424">
        <f t="shared" si="37"/>
        <v>100</v>
      </c>
      <c r="O129" s="424"/>
      <c r="P129" s="266"/>
      <c r="Q129" s="266"/>
      <c r="R129" s="1">
        <v>1971</v>
      </c>
      <c r="S129" s="5">
        <f>(O16*($E16/365))+(O17*($E17/365))</f>
        <v>0</v>
      </c>
      <c r="T129" s="5">
        <f>(P16*($E16/365))+(P17*($E17/365))</f>
        <v>26.235616438356164</v>
      </c>
      <c r="U129" s="5">
        <f>(Q16*($E16/365))+(Q17*($E17/365))</f>
        <v>27.053698630136989</v>
      </c>
      <c r="V129" s="5"/>
      <c r="W129" s="5">
        <f t="shared" si="38"/>
        <v>53.289315068493153</v>
      </c>
    </row>
    <row r="130" spans="1:23" x14ac:dyDescent="0.15">
      <c r="A130" s="1">
        <v>1972</v>
      </c>
      <c r="B130" s="10">
        <f>(K18*($E18/366))+(K19*($E19/366))</f>
        <v>0</v>
      </c>
      <c r="C130" s="10">
        <f>(L18*($E18/366))+(L19*($E19/366))</f>
        <v>0</v>
      </c>
      <c r="D130" s="10">
        <f>(M18*($E18/366))+(M19*($E19/366))</f>
        <v>100</v>
      </c>
      <c r="E130" s="265">
        <f t="shared" si="36"/>
        <v>100</v>
      </c>
      <c r="F130" s="266"/>
      <c r="G130" s="1">
        <v>1972</v>
      </c>
      <c r="H130" s="409">
        <f>(O18/$R18*100*($E18/366))+(O19/$R19*100*($E19/366))</f>
        <v>0</v>
      </c>
      <c r="I130" s="409"/>
      <c r="J130" s="409">
        <f>(P18/$R18*100*($E18/366))+(P19/$R19*100*($E19/366))</f>
        <v>0</v>
      </c>
      <c r="K130" s="409"/>
      <c r="L130" s="409">
        <f>(Q18/$R18*100*($E18/366))+(Q19/$R19*100*($E19/366))</f>
        <v>100</v>
      </c>
      <c r="M130" s="409"/>
      <c r="N130" s="424">
        <f t="shared" si="37"/>
        <v>100</v>
      </c>
      <c r="O130" s="424"/>
      <c r="P130" s="266"/>
      <c r="Q130" s="266"/>
      <c r="R130" s="1">
        <v>1972</v>
      </c>
      <c r="S130" s="5">
        <f>(O18*($E18/366))+(O19*($E19/366))</f>
        <v>0</v>
      </c>
      <c r="T130" s="5">
        <f>(P18*($E18/366))+(P19*($E19/366))</f>
        <v>0</v>
      </c>
      <c r="U130" s="5">
        <f>(Q18*($E18/366))+(Q19*($E19/366))</f>
        <v>50.9</v>
      </c>
      <c r="V130" s="5"/>
      <c r="W130" s="5">
        <f t="shared" si="38"/>
        <v>50.9</v>
      </c>
    </row>
    <row r="131" spans="1:23" x14ac:dyDescent="0.15">
      <c r="A131" s="1">
        <v>1973</v>
      </c>
      <c r="B131" s="10">
        <f>(K20*($E20/365))+(K21*($E21/365))</f>
        <v>0</v>
      </c>
      <c r="C131" s="10">
        <f>(L20*($E20/365))+(L21*($E21/365))</f>
        <v>0</v>
      </c>
      <c r="D131" s="10">
        <f>(M20*($E20/365))+(M21*($E21/365))</f>
        <v>100</v>
      </c>
      <c r="E131" s="265">
        <f t="shared" si="36"/>
        <v>100</v>
      </c>
      <c r="F131" s="266"/>
      <c r="G131" s="1">
        <v>1973</v>
      </c>
      <c r="H131" s="409">
        <f>(O20/$R20*100*($E20/365))+(O21/$R21*100*($E21/365))</f>
        <v>0</v>
      </c>
      <c r="I131" s="409"/>
      <c r="J131" s="409">
        <f>(P20/$R20*100*($E20/365))+(P21/$R21*100*($E21/365))</f>
        <v>0</v>
      </c>
      <c r="K131" s="409"/>
      <c r="L131" s="409">
        <f>(Q20/$R20*100*($E20/365))+(Q21/$R21*100*($E21/365))</f>
        <v>100</v>
      </c>
      <c r="M131" s="409"/>
      <c r="N131" s="424">
        <f t="shared" si="37"/>
        <v>100</v>
      </c>
      <c r="O131" s="424"/>
      <c r="P131" s="266"/>
      <c r="Q131" s="266"/>
      <c r="R131" s="1">
        <v>1973</v>
      </c>
      <c r="S131" s="5">
        <f>(O20*($E20/365))+(O21*($E21/365))</f>
        <v>0</v>
      </c>
      <c r="T131" s="5">
        <f>(P20*($E20/365))+(P21*($E21/365))</f>
        <v>0</v>
      </c>
      <c r="U131" s="5">
        <f>(Q20*($E20/365))+(Q21*($E21/365))</f>
        <v>50.9</v>
      </c>
      <c r="V131" s="5"/>
      <c r="W131" s="5">
        <f t="shared" si="38"/>
        <v>50.9</v>
      </c>
    </row>
    <row r="132" spans="1:23" x14ac:dyDescent="0.15">
      <c r="A132" s="1">
        <v>1974</v>
      </c>
      <c r="B132" s="10">
        <f>(K22*($E22/365))+(K23*($E23/365))</f>
        <v>0</v>
      </c>
      <c r="C132" s="10">
        <f>(L22*($E22/365))+(L23*($E23/365))</f>
        <v>0</v>
      </c>
      <c r="D132" s="10">
        <f>(M22*($E22/365))+(M23*($E23/365))</f>
        <v>100</v>
      </c>
      <c r="E132" s="265">
        <f t="shared" si="36"/>
        <v>100</v>
      </c>
      <c r="F132" s="266"/>
      <c r="G132" s="1">
        <v>1974</v>
      </c>
      <c r="H132" s="409">
        <f>(O22/$R22*100*($E22/365))+(O23/$R23*100*($E23/365))</f>
        <v>0</v>
      </c>
      <c r="I132" s="409"/>
      <c r="J132" s="409">
        <f>(P22/$R22*100*($E22/365))+(P23/$R23*100*($E23/365))</f>
        <v>0</v>
      </c>
      <c r="K132" s="409"/>
      <c r="L132" s="409">
        <f>(Q22/$R22*100*($E22/365))+(Q23/$R23*100*($E23/365))</f>
        <v>100</v>
      </c>
      <c r="M132" s="409"/>
      <c r="N132" s="424">
        <f t="shared" si="37"/>
        <v>100</v>
      </c>
      <c r="O132" s="424"/>
      <c r="P132" s="266"/>
      <c r="Q132" s="266"/>
      <c r="R132" s="1">
        <v>1974</v>
      </c>
      <c r="S132" s="5">
        <f>(O22*($E22/365))+(O23*($E23/365))</f>
        <v>0</v>
      </c>
      <c r="T132" s="5">
        <f>(P22*($E22/365))+(P23*($E23/365))</f>
        <v>0</v>
      </c>
      <c r="U132" s="5">
        <f>(Q22*($E22/365))+(Q23*($E23/365))</f>
        <v>50.9</v>
      </c>
      <c r="V132" s="5"/>
      <c r="W132" s="5">
        <f t="shared" si="38"/>
        <v>50.9</v>
      </c>
    </row>
    <row r="133" spans="1:23" x14ac:dyDescent="0.15">
      <c r="A133" s="1">
        <v>1975</v>
      </c>
      <c r="B133" s="10">
        <f>(K24*($E24/365))+(K25*($E25/365))</f>
        <v>0</v>
      </c>
      <c r="C133" s="10">
        <f>(L24*($E24/365))+(L25*($E25/365))</f>
        <v>0</v>
      </c>
      <c r="D133" s="10">
        <f>(M24*($E24/365))+(M25*($E25/365))</f>
        <v>100</v>
      </c>
      <c r="E133" s="265">
        <f t="shared" si="36"/>
        <v>100</v>
      </c>
      <c r="F133" s="266"/>
      <c r="G133" s="1">
        <v>1975</v>
      </c>
      <c r="H133" s="409">
        <f>(O24/$R24*100*($E24/365))+(O25/$R25*100*($E25/365))</f>
        <v>0</v>
      </c>
      <c r="I133" s="409"/>
      <c r="J133" s="409">
        <f>(P24/$R24*100*($E24/365))+(P25/$R25*100*($E25/365))</f>
        <v>0</v>
      </c>
      <c r="K133" s="409"/>
      <c r="L133" s="409">
        <f>(Q24/$R24*100*($E24/365))+(Q25/$R25*100*($E25/365))</f>
        <v>100</v>
      </c>
      <c r="M133" s="409"/>
      <c r="N133" s="424">
        <f t="shared" si="37"/>
        <v>100</v>
      </c>
      <c r="O133" s="424"/>
      <c r="P133" s="266"/>
      <c r="Q133" s="266"/>
      <c r="R133" s="1">
        <v>1975</v>
      </c>
      <c r="S133" s="5">
        <f>(O24*($E24/365))+(O25*($E25/365))</f>
        <v>0</v>
      </c>
      <c r="T133" s="5">
        <f>(P24*($E24/365))+(P25*($E25/365))</f>
        <v>0</v>
      </c>
      <c r="U133" s="5">
        <f>(Q24*($E24/365))+(Q25*($E25/365))</f>
        <v>50.9</v>
      </c>
      <c r="V133" s="5"/>
      <c r="W133" s="5">
        <f t="shared" si="38"/>
        <v>50.9</v>
      </c>
    </row>
    <row r="134" spans="1:23" x14ac:dyDescent="0.15">
      <c r="A134" s="1">
        <v>1976</v>
      </c>
      <c r="B134" s="10">
        <f>(K26*($E26/366))+(K27*($E27/366))</f>
        <v>0</v>
      </c>
      <c r="C134" s="10">
        <f>(L26*($E26/366))+(L27*($E27/366))</f>
        <v>0</v>
      </c>
      <c r="D134" s="10">
        <f>(M26*($E26/366))+(M27*($E27/366))</f>
        <v>100</v>
      </c>
      <c r="E134" s="265">
        <f t="shared" si="36"/>
        <v>100</v>
      </c>
      <c r="F134" s="266"/>
      <c r="G134" s="1">
        <v>1976</v>
      </c>
      <c r="H134" s="409">
        <f>(O26/$R26*100*($E26/366))+(O27/$R27*100*($E27/366))</f>
        <v>0</v>
      </c>
      <c r="I134" s="409"/>
      <c r="J134" s="409">
        <f>(P26/$R26*100*($E26/366))+(P27/$R27*100*($E27/366))</f>
        <v>0</v>
      </c>
      <c r="K134" s="409"/>
      <c r="L134" s="409">
        <f>(Q26/$R26*100*($E26/366))+(Q27/$R27*100*($E27/366))</f>
        <v>100</v>
      </c>
      <c r="M134" s="409"/>
      <c r="N134" s="424">
        <f t="shared" si="37"/>
        <v>100</v>
      </c>
      <c r="O134" s="424"/>
      <c r="P134" s="266"/>
      <c r="Q134" s="266"/>
      <c r="R134" s="1">
        <v>1976</v>
      </c>
      <c r="S134" s="5">
        <f>(O26*($E26/366))+(O27*($E27/366))</f>
        <v>0</v>
      </c>
      <c r="T134" s="5">
        <f>(P26*($E26/366))+(P27*($E27/366))</f>
        <v>0</v>
      </c>
      <c r="U134" s="5">
        <f>(Q26*($E26/366))+(Q27*($E27/366))</f>
        <v>51.28633879781421</v>
      </c>
      <c r="V134" s="5"/>
      <c r="W134" s="5">
        <f t="shared" si="38"/>
        <v>51.28633879781421</v>
      </c>
    </row>
    <row r="135" spans="1:23" x14ac:dyDescent="0.15">
      <c r="A135" s="1">
        <v>1977</v>
      </c>
      <c r="B135" s="10">
        <f>(K28*($E28/365))+(K29*($E29/365))</f>
        <v>0</v>
      </c>
      <c r="C135" s="10">
        <f>(L28*($E28/365))+(L29*($E29/365))</f>
        <v>0</v>
      </c>
      <c r="D135" s="10">
        <f>(M28*($E28/365))+(M29*($E29/365))</f>
        <v>100</v>
      </c>
      <c r="E135" s="265">
        <f t="shared" si="36"/>
        <v>100</v>
      </c>
      <c r="F135" s="266"/>
      <c r="G135" s="1">
        <v>1977</v>
      </c>
      <c r="H135" s="409">
        <f>(O28/$R28*100*($E28/365))+(O29/$R29*100*($E29/365))</f>
        <v>0</v>
      </c>
      <c r="I135" s="409"/>
      <c r="J135" s="409">
        <f>(P28/$R28*100*($E28/365))+(P29/$R29*100*($E29/365))</f>
        <v>0</v>
      </c>
      <c r="K135" s="409"/>
      <c r="L135" s="409">
        <f>(Q28/$R28*100*($E28/365))+(Q29/$R29*100*($E29/365))</f>
        <v>100</v>
      </c>
      <c r="M135" s="409"/>
      <c r="N135" s="424">
        <f t="shared" si="37"/>
        <v>100</v>
      </c>
      <c r="O135" s="424"/>
      <c r="P135" s="266"/>
      <c r="Q135" s="266"/>
      <c r="R135" s="1">
        <v>1977</v>
      </c>
      <c r="S135" s="5">
        <f>(O28*($E28/365))+(O29*($E29/365))</f>
        <v>0</v>
      </c>
      <c r="T135" s="5">
        <f>(P28*($E28/365))+(P29*($E29/365))</f>
        <v>0</v>
      </c>
      <c r="U135" s="5">
        <f>(Q28*($E28/365))+(Q29*($E29/365))</f>
        <v>52.3</v>
      </c>
      <c r="V135" s="5"/>
      <c r="W135" s="5">
        <f t="shared" si="38"/>
        <v>52.3</v>
      </c>
    </row>
    <row r="136" spans="1:23" x14ac:dyDescent="0.15">
      <c r="A136" s="1">
        <v>1978</v>
      </c>
      <c r="B136" s="10">
        <f>(K30*($E30/365))+(K31*($E31/365))</f>
        <v>0</v>
      </c>
      <c r="C136" s="10">
        <f>(L30*($E30/365))+(L31*($E31/365))</f>
        <v>0</v>
      </c>
      <c r="D136" s="10">
        <f>(M30*($E30/365))+(M31*($E31/365))</f>
        <v>100</v>
      </c>
      <c r="E136" s="265">
        <f t="shared" si="36"/>
        <v>100</v>
      </c>
      <c r="F136" s="266"/>
      <c r="G136" s="1">
        <v>1978</v>
      </c>
      <c r="H136" s="409">
        <f>(O30/$R30*100*($E30/365))+(O31/$R31*100*($E31/365))</f>
        <v>0</v>
      </c>
      <c r="I136" s="409"/>
      <c r="J136" s="409">
        <f>(P30/$R30*100*($E30/365))+(P31/$R31*100*($E31/365))</f>
        <v>0</v>
      </c>
      <c r="K136" s="409"/>
      <c r="L136" s="409">
        <f>(Q30/$R30*100*($E30/365))+(Q31/$R31*100*($E31/365))</f>
        <v>100</v>
      </c>
      <c r="M136" s="409"/>
      <c r="N136" s="424">
        <f t="shared" si="37"/>
        <v>100</v>
      </c>
      <c r="O136" s="424"/>
      <c r="P136" s="266"/>
      <c r="Q136" s="266"/>
      <c r="R136" s="1">
        <v>1978</v>
      </c>
      <c r="S136" s="5">
        <f>(O30*($E30/365))+(O31*($E31/365))</f>
        <v>0</v>
      </c>
      <c r="T136" s="5">
        <f>(P30*($E30/365))+(P31*($E31/365))</f>
        <v>0</v>
      </c>
      <c r="U136" s="5">
        <f>(Q30*($E30/365))+(Q31*($E31/365))</f>
        <v>52.3</v>
      </c>
      <c r="V136" s="5"/>
      <c r="W136" s="5">
        <f t="shared" si="38"/>
        <v>52.3</v>
      </c>
    </row>
    <row r="137" spans="1:23" x14ac:dyDescent="0.15">
      <c r="A137" s="1">
        <v>1979</v>
      </c>
      <c r="B137" s="10">
        <f>(K32*($E32/365))+(K33*($E33/365))</f>
        <v>0</v>
      </c>
      <c r="C137" s="10">
        <f>(L32*($E32/365))+(L33*($E33/365))</f>
        <v>0</v>
      </c>
      <c r="D137" s="10">
        <f>(M32*($E32/365))+(M33*($E33/365))</f>
        <v>100</v>
      </c>
      <c r="E137" s="265">
        <f t="shared" si="36"/>
        <v>100</v>
      </c>
      <c r="F137" s="266"/>
      <c r="G137" s="1">
        <v>1979</v>
      </c>
      <c r="H137" s="409">
        <f>(O32/$R32*100*($E32/365))+(O33/$R33*100*($E33/365))</f>
        <v>0</v>
      </c>
      <c r="I137" s="409"/>
      <c r="J137" s="409">
        <f>(P32/$R32*100*($E32/365))+(P33/$R33*100*($E33/365))</f>
        <v>0</v>
      </c>
      <c r="K137" s="409"/>
      <c r="L137" s="409">
        <f>(Q32/$R32*100*($E32/365))+(Q33/$R33*100*($E33/365))</f>
        <v>100</v>
      </c>
      <c r="M137" s="409"/>
      <c r="N137" s="424">
        <f t="shared" si="37"/>
        <v>100</v>
      </c>
      <c r="O137" s="424"/>
      <c r="P137" s="266"/>
      <c r="Q137" s="266"/>
      <c r="R137" s="1">
        <v>1979</v>
      </c>
      <c r="S137" s="5">
        <f>(O32*($E32/365))+(O33*($E33/365))</f>
        <v>0</v>
      </c>
      <c r="T137" s="5">
        <f>(P32*($E32/365))+(P33*($E33/365))</f>
        <v>0</v>
      </c>
      <c r="U137" s="5">
        <f>(Q32*($E32/365))+(Q33*($E33/365))</f>
        <v>52.3</v>
      </c>
      <c r="V137" s="5"/>
      <c r="W137" s="5">
        <f t="shared" si="38"/>
        <v>52.3</v>
      </c>
    </row>
    <row r="138" spans="1:23" x14ac:dyDescent="0.15">
      <c r="A138" s="1">
        <v>1980</v>
      </c>
      <c r="B138" s="10">
        <f>(K34*($E34/366))+(K35*($E35/366))</f>
        <v>0</v>
      </c>
      <c r="C138" s="10">
        <f>(L34*($E34/366))+(L35*($E35/366))</f>
        <v>0</v>
      </c>
      <c r="D138" s="10">
        <f>(M34*($E34/366))+(M35*($E35/366))</f>
        <v>100</v>
      </c>
      <c r="E138" s="265">
        <f t="shared" si="36"/>
        <v>100</v>
      </c>
      <c r="F138" s="266"/>
      <c r="G138" s="1">
        <v>1980</v>
      </c>
      <c r="H138" s="409">
        <f>(O34/$R34*100*($E34/366))+(O35/$R35*100*($E35/366))</f>
        <v>0</v>
      </c>
      <c r="I138" s="409"/>
      <c r="J138" s="409">
        <f>(P34/$R34*100*($E34/366))+(P35/$R35*100*($E35/366))</f>
        <v>0</v>
      </c>
      <c r="K138" s="409"/>
      <c r="L138" s="409">
        <f>(Q34/$R34*100*($E34/366))+(Q35/$R35*100*($E35/366))</f>
        <v>100</v>
      </c>
      <c r="M138" s="409"/>
      <c r="N138" s="424">
        <f t="shared" si="37"/>
        <v>100</v>
      </c>
      <c r="O138" s="424"/>
      <c r="P138" s="266"/>
      <c r="Q138" s="266"/>
      <c r="R138" s="1">
        <v>1980</v>
      </c>
      <c r="S138" s="5">
        <f>(O34*($E34/366))+(O35*($E35/366))</f>
        <v>0</v>
      </c>
      <c r="T138" s="5">
        <f>(P34*($E34/366))+(P35*($E35/366))</f>
        <v>0</v>
      </c>
      <c r="U138" s="5">
        <f>(Q34*($E34/366))+(Q35*($E35/366))</f>
        <v>52.3</v>
      </c>
      <c r="V138" s="5"/>
      <c r="W138" s="5">
        <f t="shared" si="38"/>
        <v>52.3</v>
      </c>
    </row>
    <row r="139" spans="1:23" x14ac:dyDescent="0.15">
      <c r="A139" s="1">
        <v>1981</v>
      </c>
      <c r="B139" s="10">
        <f>(K36*($E36/365))+(K37*($E37/365))</f>
        <v>0</v>
      </c>
      <c r="C139" s="10">
        <f>(L36*($E36/365))+(L37*($E37/365))</f>
        <v>0</v>
      </c>
      <c r="D139" s="10">
        <f>(M36*($E36/365))+(M37*($E37/365))</f>
        <v>100.00000000000001</v>
      </c>
      <c r="E139" s="265">
        <f t="shared" si="36"/>
        <v>100.00000000000001</v>
      </c>
      <c r="F139" s="266"/>
      <c r="G139" s="1">
        <v>1981</v>
      </c>
      <c r="H139" s="409">
        <f>(O36/$R36*100*($E36/365))+(O37/$R37*100*($E37/365))</f>
        <v>0</v>
      </c>
      <c r="I139" s="409"/>
      <c r="J139" s="409">
        <f>(P36/$R36*100*($E36/365))+(P37/$R37*100*($E37/365))</f>
        <v>0</v>
      </c>
      <c r="K139" s="409"/>
      <c r="L139" s="409">
        <f>(Q36/$R36*100*($E36/365))+(Q37/$R37*100*($E37/365))</f>
        <v>100.00000000000001</v>
      </c>
      <c r="M139" s="409"/>
      <c r="N139" s="424">
        <f t="shared" si="37"/>
        <v>100.00000000000001</v>
      </c>
      <c r="O139" s="424"/>
      <c r="P139" s="266"/>
      <c r="Q139" s="266"/>
      <c r="R139" s="1">
        <v>1981</v>
      </c>
      <c r="S139" s="5">
        <f>(O36*($E36/365))+(O37*($E37/365))</f>
        <v>0</v>
      </c>
      <c r="T139" s="5">
        <f>(P36*($E36/365))+(P37*($E37/365))</f>
        <v>0</v>
      </c>
      <c r="U139" s="5">
        <f>(Q36*($E36/365))+(Q37*($E37/365))</f>
        <v>52.300000000000004</v>
      </c>
      <c r="V139" s="5"/>
      <c r="W139" s="5">
        <f t="shared" si="38"/>
        <v>52.300000000000004</v>
      </c>
    </row>
    <row r="140" spans="1:23" x14ac:dyDescent="0.15">
      <c r="A140" s="1">
        <v>1982</v>
      </c>
      <c r="B140" s="10">
        <f>(K38*($E38/365))+(K39*($E39/365))</f>
        <v>0</v>
      </c>
      <c r="C140" s="10">
        <f>(L38*($E38/365))+(L39*($E39/365))</f>
        <v>0</v>
      </c>
      <c r="D140" s="10">
        <f>(M38*($E38/365))+(M39*($E39/365))</f>
        <v>100</v>
      </c>
      <c r="E140" s="265">
        <f t="shared" si="36"/>
        <v>100</v>
      </c>
      <c r="F140" s="266"/>
      <c r="G140" s="1">
        <v>1982</v>
      </c>
      <c r="H140" s="409">
        <f>(O38/$R38*100*($E38/365))+(O39/$R39*100*($E39/365))</f>
        <v>0</v>
      </c>
      <c r="I140" s="409"/>
      <c r="J140" s="409">
        <f>(P38/$R38*100*($E38/365))+(P39/$R39*100*($E39/365))</f>
        <v>0</v>
      </c>
      <c r="K140" s="409"/>
      <c r="L140" s="409">
        <f>(Q38/$R38*100*($E38/365))+(Q39/$R39*100*($E39/365))</f>
        <v>100</v>
      </c>
      <c r="M140" s="409"/>
      <c r="N140" s="424">
        <f t="shared" si="37"/>
        <v>100</v>
      </c>
      <c r="O140" s="424"/>
      <c r="P140" s="266"/>
      <c r="Q140" s="266"/>
      <c r="R140" s="1">
        <v>1982</v>
      </c>
      <c r="S140" s="5">
        <f>(O38*($E38/365))+(O39*($E39/365))</f>
        <v>0</v>
      </c>
      <c r="T140" s="5">
        <f>(P38*($E38/365))+(P39*($E39/365))</f>
        <v>0</v>
      </c>
      <c r="U140" s="5">
        <f>(Q38*($E38/365))+(Q39*($E39/365))</f>
        <v>52.3</v>
      </c>
      <c r="V140" s="5"/>
      <c r="W140" s="5">
        <f t="shared" si="38"/>
        <v>52.3</v>
      </c>
    </row>
    <row r="141" spans="1:23" x14ac:dyDescent="0.15">
      <c r="A141" s="1">
        <v>1983</v>
      </c>
      <c r="B141" s="10">
        <f>(K40*($E40/365))+(K41*($E41/365))</f>
        <v>0</v>
      </c>
      <c r="C141" s="10">
        <f>(L40*($E40/365))+(L41*($E41/365))</f>
        <v>0</v>
      </c>
      <c r="D141" s="10">
        <f>(M40*($E40/365))+(M41*($E41/365))</f>
        <v>100</v>
      </c>
      <c r="E141" s="265">
        <f t="shared" si="36"/>
        <v>100</v>
      </c>
      <c r="F141" s="266"/>
      <c r="G141" s="1">
        <v>1983</v>
      </c>
      <c r="H141" s="409">
        <f>(O40/$R40*100*($E40/365))+(O41/$R41*100*($E41/365))</f>
        <v>0</v>
      </c>
      <c r="I141" s="409"/>
      <c r="J141" s="409">
        <f>(P40/$R40*100*($E40/365))+(P41/$R41*100*($E41/365))</f>
        <v>0</v>
      </c>
      <c r="K141" s="409"/>
      <c r="L141" s="409">
        <f>(Q40/$R40*100*($E40/365))+(Q41/$R41*100*($E41/365))</f>
        <v>100</v>
      </c>
      <c r="M141" s="409"/>
      <c r="N141" s="424">
        <f t="shared" si="37"/>
        <v>100</v>
      </c>
      <c r="O141" s="424"/>
      <c r="P141" s="266"/>
      <c r="Q141" s="266"/>
      <c r="R141" s="1">
        <v>1983</v>
      </c>
      <c r="S141" s="5">
        <f>(O40*($E40/365))+(O41*($E41/365))</f>
        <v>0</v>
      </c>
      <c r="T141" s="5">
        <f>(P40*($E40/365))+(P41*($E41/365))</f>
        <v>0</v>
      </c>
      <c r="U141" s="5">
        <f>(Q40*($E40/365))+(Q41*($E41/365))</f>
        <v>52.3</v>
      </c>
      <c r="V141" s="5"/>
      <c r="W141" s="5">
        <f t="shared" si="38"/>
        <v>52.3</v>
      </c>
    </row>
    <row r="142" spans="1:23" x14ac:dyDescent="0.15">
      <c r="A142" s="1">
        <v>1984</v>
      </c>
      <c r="B142" s="10">
        <f>(K42*($E42/366))+(K43*($E43/366))</f>
        <v>0</v>
      </c>
      <c r="C142" s="10">
        <f>(L42*($E42/366))+(L43*($E43/366))</f>
        <v>0</v>
      </c>
      <c r="D142" s="10">
        <f>(M42*($E42/366))+(M43*($E43/366))</f>
        <v>100</v>
      </c>
      <c r="E142" s="265">
        <f t="shared" si="36"/>
        <v>100</v>
      </c>
      <c r="F142" s="266"/>
      <c r="G142" s="1">
        <v>1984</v>
      </c>
      <c r="H142" s="409">
        <f>(O42/$R42*100*($E42/366))+(O43/$R43*100*($E43/366))</f>
        <v>0</v>
      </c>
      <c r="I142" s="409"/>
      <c r="J142" s="409">
        <f>(P42/$R42*100*($E42/366))+(P43/$R43*100*($E43/366))</f>
        <v>0</v>
      </c>
      <c r="K142" s="409"/>
      <c r="L142" s="409">
        <f>(Q42/$R42*100*($E42/366))+(Q43/$R43*100*($E43/366))</f>
        <v>100</v>
      </c>
      <c r="M142" s="409"/>
      <c r="N142" s="424">
        <f t="shared" si="37"/>
        <v>100</v>
      </c>
      <c r="O142" s="424"/>
      <c r="P142" s="266"/>
      <c r="Q142" s="266"/>
      <c r="R142" s="1">
        <v>1984</v>
      </c>
      <c r="S142" s="5">
        <f>(O42*($E42/366))+(O43*($E43/366))</f>
        <v>0</v>
      </c>
      <c r="T142" s="5">
        <f>(P42*($E42/366))+(P43*($E43/366))</f>
        <v>0</v>
      </c>
      <c r="U142" s="5">
        <f>(Q42*($E42/366))+(Q43*($E43/366))</f>
        <v>52.3</v>
      </c>
      <c r="V142" s="5"/>
      <c r="W142" s="5">
        <f t="shared" si="38"/>
        <v>52.3</v>
      </c>
    </row>
    <row r="143" spans="1:23" x14ac:dyDescent="0.15">
      <c r="A143" s="1">
        <v>1985</v>
      </c>
      <c r="B143" s="10">
        <f>(K44*($E44/365))+(K45*($E45/365))</f>
        <v>0</v>
      </c>
      <c r="C143" s="10">
        <f>(L44*($E44/365))+(L45*($E45/365))</f>
        <v>0</v>
      </c>
      <c r="D143" s="10">
        <f>(M44*($E44/365))+(M45*($E45/365))</f>
        <v>100</v>
      </c>
      <c r="E143" s="265">
        <f t="shared" si="36"/>
        <v>100</v>
      </c>
      <c r="F143" s="266"/>
      <c r="G143" s="1">
        <v>1985</v>
      </c>
      <c r="H143" s="409">
        <f>(O44/$R44*100*($E44/365))+(O45/$R45*100*($E45/365))</f>
        <v>0</v>
      </c>
      <c r="I143" s="409"/>
      <c r="J143" s="409">
        <f>(P44/$R44*100*($E44/365))+(P45/$R45*100*($E45/365))</f>
        <v>0</v>
      </c>
      <c r="K143" s="409"/>
      <c r="L143" s="409">
        <f>(Q44/$R44*100*($E44/365))+(Q45/$R45*100*($E45/365))</f>
        <v>100</v>
      </c>
      <c r="M143" s="409"/>
      <c r="N143" s="424">
        <f t="shared" si="37"/>
        <v>100</v>
      </c>
      <c r="O143" s="424"/>
      <c r="P143" s="266"/>
      <c r="Q143" s="266"/>
      <c r="R143" s="1">
        <v>1985</v>
      </c>
      <c r="S143" s="5">
        <f>(O44*($E44/365))+(O45*($E45/365))</f>
        <v>0</v>
      </c>
      <c r="T143" s="5">
        <f>(P44*($E44/365))+(P45*($E45/365))</f>
        <v>0</v>
      </c>
      <c r="U143" s="5">
        <f>(Q44*($E44/365))+(Q45*($E45/365))</f>
        <v>52.3</v>
      </c>
      <c r="V143" s="5"/>
      <c r="W143" s="5">
        <f t="shared" si="38"/>
        <v>52.3</v>
      </c>
    </row>
    <row r="144" spans="1:23" x14ac:dyDescent="0.15">
      <c r="A144" s="1">
        <v>1986</v>
      </c>
      <c r="B144" s="10">
        <f>(K46*($E46/365))+(K47*($E47/365))</f>
        <v>0</v>
      </c>
      <c r="C144" s="10">
        <f>(L46*($E46/365))+(L47*($E47/365))</f>
        <v>0</v>
      </c>
      <c r="D144" s="10">
        <f>(M46*($E46/365))+(M47*($E47/365))</f>
        <v>100</v>
      </c>
      <c r="E144" s="265">
        <f t="shared" si="36"/>
        <v>100</v>
      </c>
      <c r="F144" s="266"/>
      <c r="G144" s="1">
        <v>1986</v>
      </c>
      <c r="H144" s="409">
        <f>(O46/$R46*100*($E46/365))+(O47/$R47*100*($E47/365))</f>
        <v>0</v>
      </c>
      <c r="I144" s="409"/>
      <c r="J144" s="409">
        <f>(P46/$R46*100*($E46/365))+(P47/$R47*100*($E47/365))</f>
        <v>0</v>
      </c>
      <c r="K144" s="409"/>
      <c r="L144" s="409">
        <f>(Q46/$R46*100*($E46/365))+(Q47/$R47*100*($E47/365))</f>
        <v>100</v>
      </c>
      <c r="M144" s="409"/>
      <c r="N144" s="424">
        <f t="shared" si="37"/>
        <v>100</v>
      </c>
      <c r="O144" s="424"/>
      <c r="P144" s="266"/>
      <c r="Q144" s="266"/>
      <c r="R144" s="1">
        <v>1986</v>
      </c>
      <c r="S144" s="5">
        <f>(O46*($E46/365))+(O47*($E47/365))</f>
        <v>0</v>
      </c>
      <c r="T144" s="5">
        <f>(P46*($E46/365))+(P47*($E47/365))</f>
        <v>0</v>
      </c>
      <c r="U144" s="5">
        <f>(Q46*($E46/365))+(Q47*($E47/365))</f>
        <v>52.3</v>
      </c>
      <c r="V144" s="5"/>
      <c r="W144" s="5">
        <f t="shared" si="38"/>
        <v>52.3</v>
      </c>
    </row>
    <row r="145" spans="1:23" x14ac:dyDescent="0.15">
      <c r="A145" s="1">
        <v>1987</v>
      </c>
      <c r="B145" s="10">
        <f>(K48*($E48/365))+(K49*($E49/365))</f>
        <v>0</v>
      </c>
      <c r="C145" s="10">
        <f>(L48*($E48/365))+(L49*($E49/365))</f>
        <v>63.561643835616444</v>
      </c>
      <c r="D145" s="10">
        <f>(M48*($E48/365))+(M49*($E49/365))</f>
        <v>36.438356164383563</v>
      </c>
      <c r="E145" s="265">
        <f t="shared" si="36"/>
        <v>100</v>
      </c>
      <c r="F145" s="266"/>
      <c r="G145" s="1">
        <v>1987</v>
      </c>
      <c r="H145" s="409">
        <f>(O48/$R48*100*($E48/365))+(O49/$R49*100*($E49/365))</f>
        <v>0</v>
      </c>
      <c r="I145" s="409"/>
      <c r="J145" s="409">
        <f>(P48/$R48*100*($E48/365))+(P49/$R49*100*($E49/365))</f>
        <v>63.561643835616444</v>
      </c>
      <c r="K145" s="409"/>
      <c r="L145" s="409">
        <f>(Q48/$R48*100*($E48/365))+(Q49/$R49*100*($E49/365))</f>
        <v>36.438356164383563</v>
      </c>
      <c r="M145" s="409"/>
      <c r="N145" s="424">
        <f t="shared" si="37"/>
        <v>100</v>
      </c>
      <c r="O145" s="424"/>
      <c r="P145" s="266"/>
      <c r="Q145" s="266"/>
      <c r="R145" s="1">
        <v>1987</v>
      </c>
      <c r="S145" s="5">
        <f>(O48*($E48/365))+(O49*($E49/365))</f>
        <v>0</v>
      </c>
      <c r="T145" s="5">
        <f>(P48*($E48/365))+(P49*($E49/365))</f>
        <v>32.22575342465754</v>
      </c>
      <c r="U145" s="5">
        <f>(Q48*($E48/365))+(Q49*($E49/365))</f>
        <v>19.057260273972602</v>
      </c>
      <c r="V145" s="5"/>
      <c r="W145" s="5">
        <f t="shared" si="38"/>
        <v>51.283013698630143</v>
      </c>
    </row>
    <row r="146" spans="1:23" x14ac:dyDescent="0.15">
      <c r="A146" s="1">
        <v>1988</v>
      </c>
      <c r="B146" s="10">
        <f>(K50*($E50/366))+(K51*($E51/366))</f>
        <v>0</v>
      </c>
      <c r="C146" s="10">
        <f>(L50*($E50/366))+(L51*($E51/366))</f>
        <v>100</v>
      </c>
      <c r="D146" s="10">
        <f>(M50*($E50/366))+(M51*($E51/366))</f>
        <v>0</v>
      </c>
      <c r="E146" s="265">
        <f t="shared" si="36"/>
        <v>100</v>
      </c>
      <c r="F146" s="266"/>
      <c r="G146" s="1">
        <v>1988</v>
      </c>
      <c r="H146" s="409">
        <f>(O50/$R50*100*($E50/366))+(O51/$R51*100*($E51/366))</f>
        <v>0</v>
      </c>
      <c r="I146" s="409"/>
      <c r="J146" s="409">
        <f>(P50/$R50*100*($E50/366))+(P51/$R51*100*($E51/366))</f>
        <v>100</v>
      </c>
      <c r="K146" s="409"/>
      <c r="L146" s="409">
        <f>(Q50/$R50*100*($E50/366))+(Q51/$R51*100*($E51/366))</f>
        <v>0</v>
      </c>
      <c r="M146" s="409"/>
      <c r="N146" s="424">
        <f t="shared" si="37"/>
        <v>100</v>
      </c>
      <c r="O146" s="424"/>
      <c r="P146" s="266"/>
      <c r="Q146" s="266"/>
      <c r="R146" s="1">
        <v>1988</v>
      </c>
      <c r="S146" s="5">
        <f>(O50*($E50/366))+(O51*($E51/366))</f>
        <v>0</v>
      </c>
      <c r="T146" s="5">
        <f>(P50*($E50/366))+(P51*($E51/366))</f>
        <v>50.7</v>
      </c>
      <c r="U146" s="5">
        <f>(Q50*($E50/366))+(Q51*($E51/366))</f>
        <v>0</v>
      </c>
      <c r="V146" s="5"/>
      <c r="W146" s="5">
        <f t="shared" si="38"/>
        <v>50.7</v>
      </c>
    </row>
    <row r="147" spans="1:23" x14ac:dyDescent="0.15">
      <c r="A147" s="1">
        <v>1989</v>
      </c>
      <c r="B147" s="10">
        <f>(K52*($E52/365))+(K53*($E53/365))</f>
        <v>0</v>
      </c>
      <c r="C147" s="10">
        <f>(L52*($E52/365))+(L53*($E53/365))</f>
        <v>100</v>
      </c>
      <c r="D147" s="10">
        <f>(M52*($E52/365))+(M53*($E53/365))</f>
        <v>0</v>
      </c>
      <c r="E147" s="265">
        <f t="shared" si="36"/>
        <v>100</v>
      </c>
      <c r="F147" s="266"/>
      <c r="G147" s="1">
        <v>1989</v>
      </c>
      <c r="H147" s="409">
        <f>(O52/$R52*100*($E52/365))+(O53/$R53*100*($E53/365))</f>
        <v>0</v>
      </c>
      <c r="I147" s="409"/>
      <c r="J147" s="409">
        <f>(P52/$R52*100*($E52/365))+(P53/$R53*100*($E53/365))</f>
        <v>100</v>
      </c>
      <c r="K147" s="409"/>
      <c r="L147" s="409">
        <f>(Q52/$R52*100*($E52/365))+(Q53/$R53*100*($E53/365))</f>
        <v>0</v>
      </c>
      <c r="M147" s="409"/>
      <c r="N147" s="424">
        <f t="shared" si="37"/>
        <v>100</v>
      </c>
      <c r="O147" s="424"/>
      <c r="P147" s="266"/>
      <c r="Q147" s="266"/>
      <c r="R147" s="1">
        <v>1989</v>
      </c>
      <c r="S147" s="5">
        <f>(O52*($E52/365))+(O53*($E53/365))</f>
        <v>0</v>
      </c>
      <c r="T147" s="5">
        <f>(P52*($E52/365))+(P53*($E53/365))</f>
        <v>50.7</v>
      </c>
      <c r="U147" s="5">
        <f>(Q52*($E52/365))+(Q53*($E53/365))</f>
        <v>0</v>
      </c>
      <c r="V147" s="5"/>
      <c r="W147" s="5">
        <f t="shared" si="38"/>
        <v>50.7</v>
      </c>
    </row>
    <row r="148" spans="1:23" x14ac:dyDescent="0.15">
      <c r="A148" s="1">
        <v>1990</v>
      </c>
      <c r="B148" s="10">
        <f>(K54*($E54/365))+(K55*($E55/365))</f>
        <v>0</v>
      </c>
      <c r="C148" s="10">
        <f>(L54*($E54/365))+(L55*($E55/365))</f>
        <v>100</v>
      </c>
      <c r="D148" s="10">
        <f>(M54*($E54/365))+(M55*($E55/365))</f>
        <v>0</v>
      </c>
      <c r="E148" s="265">
        <f t="shared" si="36"/>
        <v>100</v>
      </c>
      <c r="F148" s="266"/>
      <c r="G148" s="1">
        <v>1990</v>
      </c>
      <c r="H148" s="409">
        <f>(O54/$R54*100*($E54/365))+(O55/$R55*100*($E55/365))</f>
        <v>0</v>
      </c>
      <c r="I148" s="409"/>
      <c r="J148" s="409">
        <f>(P54/$R54*100*($E54/365))+(P55/$R55*100*($E55/365))</f>
        <v>100</v>
      </c>
      <c r="K148" s="409"/>
      <c r="L148" s="409">
        <f>(Q54/$R54*100*($E54/365))+(Q55/$R55*100*($E55/365))</f>
        <v>0</v>
      </c>
      <c r="M148" s="409"/>
      <c r="N148" s="424">
        <f t="shared" ref="N148:N171" si="39">H148+J148+L148</f>
        <v>100</v>
      </c>
      <c r="O148" s="424"/>
      <c r="P148" s="266"/>
      <c r="Q148" s="266"/>
      <c r="R148" s="1">
        <v>1990</v>
      </c>
      <c r="S148" s="5">
        <f>(O54*($E54/365))+(O55*($E55/365))</f>
        <v>0</v>
      </c>
      <c r="T148" s="5">
        <f>(P54*($E54/365))+(P55*($E55/365))</f>
        <v>50.7</v>
      </c>
      <c r="U148" s="5">
        <f>(Q54*($E54/365))+(Q55*($E55/365))</f>
        <v>0</v>
      </c>
      <c r="V148" s="5"/>
      <c r="W148" s="5">
        <f t="shared" si="38"/>
        <v>50.7</v>
      </c>
    </row>
    <row r="149" spans="1:23" x14ac:dyDescent="0.15">
      <c r="A149" s="1">
        <v>1991</v>
      </c>
      <c r="B149" s="10">
        <f>(K56*($E56/365))+(K57*($E57/365))</f>
        <v>0</v>
      </c>
      <c r="C149" s="10">
        <f>(L56*($E56/365))+(L57*($E57/365))</f>
        <v>100</v>
      </c>
      <c r="D149" s="10">
        <f>(M56*($E56/365))+(M57*($E57/365))</f>
        <v>0</v>
      </c>
      <c r="E149" s="265">
        <f t="shared" si="36"/>
        <v>100</v>
      </c>
      <c r="F149" s="266"/>
      <c r="G149" s="1">
        <v>1991</v>
      </c>
      <c r="H149" s="409">
        <f>(O56/$R56*100*($E56/365))+(O57/$R57*100*($E57/365))</f>
        <v>0</v>
      </c>
      <c r="I149" s="409"/>
      <c r="J149" s="409">
        <f>(P56/$R56*100*($E56/365))+(P57/$R57*100*($E57/365))</f>
        <v>100</v>
      </c>
      <c r="K149" s="409"/>
      <c r="L149" s="409">
        <f>(Q56/$R56*100*($E56/365))+(Q57/$R57*100*($E57/365))</f>
        <v>0</v>
      </c>
      <c r="M149" s="409"/>
      <c r="N149" s="424">
        <f t="shared" si="39"/>
        <v>100</v>
      </c>
      <c r="O149" s="424"/>
      <c r="P149" s="266"/>
      <c r="Q149" s="266"/>
      <c r="R149" s="1">
        <v>1991</v>
      </c>
      <c r="S149" s="5">
        <f>(O56*($E56/365))+(O57*($E57/365))</f>
        <v>0</v>
      </c>
      <c r="T149" s="5">
        <f>(P56*($E56/365))+(P57*($E57/365))</f>
        <v>50.7</v>
      </c>
      <c r="U149" s="5">
        <f>(Q56*($E56/365))+(Q57*($E57/365))</f>
        <v>0</v>
      </c>
      <c r="V149" s="5"/>
      <c r="W149" s="5">
        <f t="shared" si="38"/>
        <v>50.7</v>
      </c>
    </row>
    <row r="150" spans="1:23" x14ac:dyDescent="0.15">
      <c r="A150" s="1">
        <v>1992</v>
      </c>
      <c r="B150" s="10">
        <f>(K58*($E58/366))+(K59*($E59/366))</f>
        <v>0</v>
      </c>
      <c r="C150" s="10">
        <f>(L58*($E58/366))+(L59*($E59/366))</f>
        <v>100</v>
      </c>
      <c r="D150" s="10">
        <f>(M58*($E58/366))+(M59*($E59/366))</f>
        <v>0</v>
      </c>
      <c r="E150" s="265">
        <f t="shared" si="36"/>
        <v>100</v>
      </c>
      <c r="F150" s="266"/>
      <c r="G150" s="1">
        <v>1992</v>
      </c>
      <c r="H150" s="409">
        <f>(O58/$R58*100*($E58/366))+(O59/$R59*100*($E59/366))</f>
        <v>0</v>
      </c>
      <c r="I150" s="409"/>
      <c r="J150" s="409">
        <f>(P58/$R58*100*($E58/366))+(P59/$R59*100*($E59/366))</f>
        <v>100</v>
      </c>
      <c r="K150" s="409"/>
      <c r="L150" s="409">
        <f>(Q58/$R58*100*($E58/366))+(Q59/$R59*100*($E59/366))</f>
        <v>0</v>
      </c>
      <c r="M150" s="409"/>
      <c r="N150" s="424">
        <f t="shared" si="39"/>
        <v>100</v>
      </c>
      <c r="O150" s="424"/>
      <c r="P150" s="266"/>
      <c r="Q150" s="266"/>
      <c r="R150" s="1">
        <v>1992</v>
      </c>
      <c r="S150" s="5">
        <f>(O58*($E58/366))+(O59*($E59/366))</f>
        <v>0</v>
      </c>
      <c r="T150" s="5">
        <f>(P58*($E58/366))+(P59*($E59/366))</f>
        <v>52.050819672131155</v>
      </c>
      <c r="U150" s="5">
        <f>(Q58*($E58/366))+(Q59*($E59/366))</f>
        <v>0</v>
      </c>
      <c r="V150" s="5"/>
      <c r="W150" s="5">
        <f t="shared" si="38"/>
        <v>52.050819672131155</v>
      </c>
    </row>
    <row r="151" spans="1:23" x14ac:dyDescent="0.15">
      <c r="A151" s="1">
        <v>1993</v>
      </c>
      <c r="B151" s="10">
        <f>(K60*($E60/365))+(K61*($E61/365))</f>
        <v>0</v>
      </c>
      <c r="C151" s="10">
        <f>(L60*($E60/365))+(L61*($E61/365))</f>
        <v>100</v>
      </c>
      <c r="D151" s="10">
        <f>(M60*($E60/365))+(M61*($E61/365))</f>
        <v>0</v>
      </c>
      <c r="E151" s="265">
        <f t="shared" si="36"/>
        <v>100</v>
      </c>
      <c r="F151" s="266"/>
      <c r="G151" s="1">
        <v>1993</v>
      </c>
      <c r="H151" s="409">
        <f>(O60/$R60*100*($E60/365))+(O61/$R61*100*($E61/365))</f>
        <v>0</v>
      </c>
      <c r="I151" s="409"/>
      <c r="J151" s="409">
        <f>(P60/$R60*100*($E60/365))+(P61/$R61*100*($E61/365))</f>
        <v>100</v>
      </c>
      <c r="K151" s="409"/>
      <c r="L151" s="409">
        <f>(Q60/$R60*100*($E60/365))+(Q61/$R61*100*($E61/365))</f>
        <v>0</v>
      </c>
      <c r="M151" s="409"/>
      <c r="N151" s="424">
        <f t="shared" si="39"/>
        <v>100</v>
      </c>
      <c r="O151" s="424"/>
      <c r="P151" s="266"/>
      <c r="Q151" s="266"/>
      <c r="R151" s="1">
        <v>1993</v>
      </c>
      <c r="S151" s="5">
        <f>(O60*($E60/365))+(O61*($E61/365))</f>
        <v>0</v>
      </c>
      <c r="T151" s="5">
        <f>(P60*($E60/365))+(P61*($E61/365))</f>
        <v>52.3</v>
      </c>
      <c r="U151" s="5">
        <f>(Q60*($E60/365))+(Q61*($E61/365))</f>
        <v>0</v>
      </c>
      <c r="V151" s="5"/>
      <c r="W151" s="5">
        <f t="shared" ref="W151:W171" si="40">S151+T151+U151</f>
        <v>52.3</v>
      </c>
    </row>
    <row r="152" spans="1:23" x14ac:dyDescent="0.15">
      <c r="A152" s="1">
        <v>1994</v>
      </c>
      <c r="B152" s="10">
        <f>(K62*($E62/365))+(K63*($E63/365))</f>
        <v>0</v>
      </c>
      <c r="C152" s="10">
        <f>(L62*($E62/365))+(L63*($E63/365))</f>
        <v>100</v>
      </c>
      <c r="D152" s="10">
        <f>(M62*($E62/365))+(M63*($E63/365))</f>
        <v>0</v>
      </c>
      <c r="E152" s="265">
        <f t="shared" si="36"/>
        <v>100</v>
      </c>
      <c r="F152" s="266"/>
      <c r="G152" s="1">
        <v>1994</v>
      </c>
      <c r="H152" s="409">
        <f>(O62/$R62*100*($E62/365))+(O63/$R63*100*($E63/365))</f>
        <v>0</v>
      </c>
      <c r="I152" s="409"/>
      <c r="J152" s="409">
        <f>(P62/$R62*100*($E62/365))+(P63/$R63*100*($E63/365))</f>
        <v>100</v>
      </c>
      <c r="K152" s="409"/>
      <c r="L152" s="409">
        <f>(Q62/$R62*100*($E62/365))+(Q63/$R63*100*($E63/365))</f>
        <v>0</v>
      </c>
      <c r="M152" s="409"/>
      <c r="N152" s="424">
        <f t="shared" si="39"/>
        <v>100</v>
      </c>
      <c r="O152" s="424"/>
      <c r="P152" s="266"/>
      <c r="Q152" s="266"/>
      <c r="R152" s="1">
        <v>1994</v>
      </c>
      <c r="S152" s="5">
        <f>(O62*($E62/365))+(O63*($E63/365))</f>
        <v>0</v>
      </c>
      <c r="T152" s="5">
        <f>(P62*($E62/365))+(P63*($E63/365))</f>
        <v>52.3</v>
      </c>
      <c r="U152" s="5">
        <f>(Q62*($E62/365))+(Q63*($E63/365))</f>
        <v>0</v>
      </c>
      <c r="V152" s="5"/>
      <c r="W152" s="5">
        <f t="shared" si="40"/>
        <v>52.3</v>
      </c>
    </row>
    <row r="153" spans="1:23" x14ac:dyDescent="0.15">
      <c r="A153" s="1">
        <v>1995</v>
      </c>
      <c r="B153" s="10">
        <f>(K64*($E64/365))+(K65*($E65/365))</f>
        <v>0</v>
      </c>
      <c r="C153" s="10">
        <f>(L64*($E64/365))+(L65*($E65/365))</f>
        <v>100</v>
      </c>
      <c r="D153" s="10">
        <f>(M64*($E64/365))+(M65*($E65/365))</f>
        <v>0</v>
      </c>
      <c r="E153" s="265">
        <f t="shared" si="36"/>
        <v>100</v>
      </c>
      <c r="F153" s="266"/>
      <c r="G153" s="1">
        <v>1995</v>
      </c>
      <c r="H153" s="409">
        <f>(O64/$R64*100*($E64/365))+(O65/$R65*100*($E65/365))</f>
        <v>0</v>
      </c>
      <c r="I153" s="409"/>
      <c r="J153" s="409">
        <f>(P64/$R64*100*($E64/365))+(P65/$R65*100*($E65/365))</f>
        <v>100</v>
      </c>
      <c r="K153" s="409"/>
      <c r="L153" s="409">
        <f>(Q64/$R64*100*($E64/365))+(Q65/$R65*100*($E65/365))</f>
        <v>0</v>
      </c>
      <c r="M153" s="409"/>
      <c r="N153" s="424">
        <f t="shared" si="39"/>
        <v>100</v>
      </c>
      <c r="O153" s="424"/>
      <c r="P153" s="266"/>
      <c r="Q153" s="266"/>
      <c r="R153" s="1">
        <v>1995</v>
      </c>
      <c r="S153" s="5">
        <f>(O64*($E64/365))+(O65*($E65/365))</f>
        <v>0</v>
      </c>
      <c r="T153" s="5">
        <f>(P64*($E64/365))+(P65*($E65/365))</f>
        <v>52.3</v>
      </c>
      <c r="U153" s="5">
        <f>(Q64*($E64/365))+(Q65*($E65/365))</f>
        <v>0</v>
      </c>
      <c r="V153" s="5"/>
      <c r="W153" s="5">
        <f t="shared" si="40"/>
        <v>52.3</v>
      </c>
    </row>
    <row r="154" spans="1:23" x14ac:dyDescent="0.15">
      <c r="A154" s="1">
        <v>1996</v>
      </c>
      <c r="B154" s="10">
        <f>(K66*($E66/366))+(K67*($E67/366))</f>
        <v>0</v>
      </c>
      <c r="C154" s="10">
        <f>(L66*($E66/366))+(L67*($E67/366))</f>
        <v>82.513661202185801</v>
      </c>
      <c r="D154" s="10">
        <f>(M66*($E66/366))+(M67*($E67/366))</f>
        <v>17.486338797814209</v>
      </c>
      <c r="E154" s="265">
        <f t="shared" si="36"/>
        <v>100.00000000000001</v>
      </c>
      <c r="F154" s="266"/>
      <c r="G154" s="1">
        <v>1996</v>
      </c>
      <c r="H154" s="409">
        <f>(O66/$R66*100*($E66/366))+(O67/$R67*100*($E67/366))</f>
        <v>0</v>
      </c>
      <c r="I154" s="409"/>
      <c r="J154" s="409">
        <f>(P66/$R66*100*($E66/366))+(P67/$R67*100*($E67/366))</f>
        <v>82.513661202185801</v>
      </c>
      <c r="K154" s="409"/>
      <c r="L154" s="409">
        <f>(Q66/$R66*100*($E66/366))+(Q67/$R67*100*($E67/366))</f>
        <v>17.486338797814209</v>
      </c>
      <c r="M154" s="409"/>
      <c r="N154" s="424">
        <f t="shared" si="39"/>
        <v>100.00000000000001</v>
      </c>
      <c r="O154" s="424"/>
      <c r="P154" s="266"/>
      <c r="Q154" s="266"/>
      <c r="R154" s="1">
        <v>1996</v>
      </c>
      <c r="S154" s="5">
        <f>(O66*($E66/366))+(O67*($E67/366))</f>
        <v>0</v>
      </c>
      <c r="T154" s="5">
        <f>(P66*($E66/366))+(P67*($E67/366))</f>
        <v>43.154644808743171</v>
      </c>
      <c r="U154" s="5">
        <f>(Q66*($E66/366))+(Q67*($E67/366))</f>
        <v>8.8655737704918032</v>
      </c>
      <c r="V154" s="5"/>
      <c r="W154" s="5">
        <f t="shared" si="40"/>
        <v>52.020218579234978</v>
      </c>
    </row>
    <row r="155" spans="1:23" x14ac:dyDescent="0.15">
      <c r="A155" s="1">
        <v>1997</v>
      </c>
      <c r="B155" s="10">
        <f>(K68*($E68/365))+(K69*($E69/365))</f>
        <v>0</v>
      </c>
      <c r="C155" s="10">
        <f>(L68*($E68/365))+(L69*($E69/365))</f>
        <v>0</v>
      </c>
      <c r="D155" s="10">
        <f>(M68*($E68/365))+(M69*($E69/365))</f>
        <v>100</v>
      </c>
      <c r="E155" s="265">
        <f t="shared" si="36"/>
        <v>100</v>
      </c>
      <c r="F155" s="266"/>
      <c r="G155" s="1">
        <v>1997</v>
      </c>
      <c r="H155" s="409">
        <f>(O68/$R68*100*($E68/365))+(O69/$R69*100*($E69/365))</f>
        <v>0</v>
      </c>
      <c r="I155" s="409"/>
      <c r="J155" s="409">
        <f>(P68/$R68*100*($E68/365))+(P69/$R69*100*($E69/365))</f>
        <v>0</v>
      </c>
      <c r="K155" s="409"/>
      <c r="L155" s="409">
        <f>(Q68/$R68*100*($E68/365))+(Q69/$R69*100*($E69/365))</f>
        <v>100</v>
      </c>
      <c r="M155" s="409"/>
      <c r="N155" s="424">
        <f t="shared" si="39"/>
        <v>100</v>
      </c>
      <c r="O155" s="424"/>
      <c r="P155" s="266"/>
      <c r="Q155" s="266"/>
      <c r="R155" s="1">
        <v>1997</v>
      </c>
      <c r="S155" s="5">
        <f>(O68*($E68/365))+(O69*($E69/365))</f>
        <v>0</v>
      </c>
      <c r="T155" s="5">
        <f>(P68*($E68/365))+(P69*($E69/365))</f>
        <v>0</v>
      </c>
      <c r="U155" s="5">
        <f>(Q68*($E68/365))+(Q69*($E69/365))</f>
        <v>50.7</v>
      </c>
      <c r="V155" s="5"/>
      <c r="W155" s="5">
        <f t="shared" si="40"/>
        <v>50.7</v>
      </c>
    </row>
    <row r="156" spans="1:23" x14ac:dyDescent="0.15">
      <c r="A156" s="1">
        <v>1998</v>
      </c>
      <c r="B156" s="10">
        <f>(K70*($E70/365))+(K71*($E71/365))</f>
        <v>0</v>
      </c>
      <c r="C156" s="10">
        <f>(L70*($E70/365))+(L71*($E71/365))</f>
        <v>31.506849315068493</v>
      </c>
      <c r="D156" s="10">
        <f>(M70*($E70/365))+(M71*($E71/365))</f>
        <v>68.493150684931507</v>
      </c>
      <c r="E156" s="265">
        <f t="shared" si="36"/>
        <v>100</v>
      </c>
      <c r="F156" s="266"/>
      <c r="G156" s="1">
        <v>1998</v>
      </c>
      <c r="H156" s="409">
        <f>(O70/$R70*100*($E70/365))+(O71/$R71*100*($E71/365))</f>
        <v>0</v>
      </c>
      <c r="I156" s="409"/>
      <c r="J156" s="409">
        <f>(P70/$R70*100*($E70/365))+(P71/$R71*100*($E71/365))</f>
        <v>31.506849315068493</v>
      </c>
      <c r="K156" s="409"/>
      <c r="L156" s="409">
        <f>(Q70/$R70*100*($E70/365))+(Q71/$R71*100*($E71/365))</f>
        <v>68.493150684931507</v>
      </c>
      <c r="M156" s="409"/>
      <c r="N156" s="424">
        <f t="shared" si="39"/>
        <v>100</v>
      </c>
      <c r="O156" s="424"/>
      <c r="P156" s="266"/>
      <c r="Q156" s="266"/>
      <c r="R156" s="1">
        <v>1998</v>
      </c>
      <c r="S156" s="5">
        <f>(O70*($E70/365))+(O71*($E71/365))</f>
        <v>0</v>
      </c>
      <c r="T156" s="5">
        <f>(P70*($E70/365))+(P71*($E71/365))</f>
        <v>16.950684931506846</v>
      </c>
      <c r="U156" s="5">
        <f>(Q70*($E70/365))+(Q71*($E71/365))</f>
        <v>34.726027397260275</v>
      </c>
      <c r="V156" s="5"/>
      <c r="W156" s="5">
        <f t="shared" si="40"/>
        <v>51.676712328767124</v>
      </c>
    </row>
    <row r="157" spans="1:23" x14ac:dyDescent="0.15">
      <c r="A157" s="1">
        <v>1999</v>
      </c>
      <c r="B157" s="10">
        <f>(K72*($E72/365))+(K73*($E73/365))</f>
        <v>0</v>
      </c>
      <c r="C157" s="10">
        <f>(L72*($E72/365))+(L73*($E73/365))</f>
        <v>100</v>
      </c>
      <c r="D157" s="10">
        <f>(M72*($E72/365))+(M73*($E73/365))</f>
        <v>0</v>
      </c>
      <c r="E157" s="265">
        <f t="shared" si="36"/>
        <v>100</v>
      </c>
      <c r="F157" s="266"/>
      <c r="G157" s="1">
        <v>1999</v>
      </c>
      <c r="H157" s="409">
        <f>(O72/$R72*100*($E72/365))+(O73/$R73*100*($E73/365))</f>
        <v>0</v>
      </c>
      <c r="I157" s="409"/>
      <c r="J157" s="409">
        <f>(P72/$R72*100*($E72/365))+(P73/$R73*100*($E73/365))</f>
        <v>100</v>
      </c>
      <c r="K157" s="409"/>
      <c r="L157" s="409">
        <f>(Q72/$R72*100*($E72/365))+(Q73/$R73*100*($E73/365))</f>
        <v>0</v>
      </c>
      <c r="M157" s="409"/>
      <c r="N157" s="424">
        <f t="shared" si="39"/>
        <v>100</v>
      </c>
      <c r="O157" s="424"/>
      <c r="P157" s="266"/>
      <c r="Q157" s="266"/>
      <c r="R157" s="1">
        <v>1999</v>
      </c>
      <c r="S157" s="5">
        <f>(O72*($E72/365))+(O73*($E73/365))</f>
        <v>0</v>
      </c>
      <c r="T157" s="5">
        <f>(P72*($E72/365))+(P73*($E73/365))</f>
        <v>53.8</v>
      </c>
      <c r="U157" s="5">
        <f>(Q72*($E72/365))+(Q73*($E73/365))</f>
        <v>0</v>
      </c>
      <c r="V157" s="5"/>
      <c r="W157" s="5">
        <f t="shared" si="40"/>
        <v>53.8</v>
      </c>
    </row>
    <row r="158" spans="1:23" x14ac:dyDescent="0.15">
      <c r="A158" s="1">
        <v>2000</v>
      </c>
      <c r="B158" s="10">
        <f>(K74*($E74/366))+(K75*($E75/366))</f>
        <v>0</v>
      </c>
      <c r="C158" s="10">
        <f>(L74*($E74/366))+(L75*($E75/366))</f>
        <v>100</v>
      </c>
      <c r="D158" s="10">
        <f>(M74*($E74/366))+(M75*($E75/366))</f>
        <v>0</v>
      </c>
      <c r="E158" s="265">
        <f t="shared" si="36"/>
        <v>100</v>
      </c>
      <c r="F158" s="266"/>
      <c r="G158" s="1">
        <v>2000</v>
      </c>
      <c r="H158" s="409">
        <f>(O74/$R74*100*($E74/366))+(O75/$R75*100*($E75/366))</f>
        <v>0</v>
      </c>
      <c r="I158" s="409"/>
      <c r="J158" s="409">
        <f>(P74/$R74*100*($E74/366))+(P75/$R75*100*($E75/366))</f>
        <v>100</v>
      </c>
      <c r="K158" s="409"/>
      <c r="L158" s="409">
        <f>(Q74/$R74*100*($E74/366))+(Q75/$R75*100*($E75/366))</f>
        <v>0</v>
      </c>
      <c r="M158" s="409"/>
      <c r="N158" s="424">
        <f t="shared" si="39"/>
        <v>100</v>
      </c>
      <c r="O158" s="424"/>
      <c r="P158" s="266"/>
      <c r="Q158" s="266"/>
      <c r="R158" s="1">
        <v>2000</v>
      </c>
      <c r="S158" s="5">
        <f>(O74*($E74/366))+(O75*($E75/366))</f>
        <v>0</v>
      </c>
      <c r="T158" s="5">
        <f>(P74*($E74/366))+(P75*($E75/366))</f>
        <v>53.8</v>
      </c>
      <c r="U158" s="5">
        <f>(Q74*($E74/366))+(Q75*($E75/366))</f>
        <v>0</v>
      </c>
      <c r="V158" s="5"/>
      <c r="W158" s="5">
        <f t="shared" si="40"/>
        <v>53.8</v>
      </c>
    </row>
    <row r="159" spans="1:23" x14ac:dyDescent="0.15">
      <c r="A159" s="1">
        <v>2001</v>
      </c>
      <c r="B159" s="10">
        <f>(K76*($E76/365))+(K77*($E77/365))</f>
        <v>0</v>
      </c>
      <c r="C159" s="10">
        <f>(L76*($E76/365))+(L77*($E77/365))</f>
        <v>100</v>
      </c>
      <c r="D159" s="10">
        <f>(M76*($E76/365))+(M77*($E77/365))</f>
        <v>0</v>
      </c>
      <c r="E159" s="265">
        <f t="shared" si="36"/>
        <v>100</v>
      </c>
      <c r="F159" s="266"/>
      <c r="G159" s="1">
        <v>2001</v>
      </c>
      <c r="H159" s="409">
        <f>(O76/$R76*100*($E76/365))+(O77/$R77*100*($E77/365))</f>
        <v>0</v>
      </c>
      <c r="I159" s="409"/>
      <c r="J159" s="409">
        <f>(P76/$R76*100*($E76/365))+(P77/$R77*100*($E77/365))</f>
        <v>100</v>
      </c>
      <c r="K159" s="409"/>
      <c r="L159" s="409">
        <f>(Q76/$R76*100*($E76/365))+(Q77/$R77*100*($E77/365))</f>
        <v>0</v>
      </c>
      <c r="M159" s="409"/>
      <c r="N159" s="424">
        <f t="shared" si="39"/>
        <v>100</v>
      </c>
      <c r="O159" s="424"/>
      <c r="P159" s="266"/>
      <c r="Q159" s="266"/>
      <c r="R159" s="1">
        <v>2001</v>
      </c>
      <c r="S159" s="5">
        <f>(O76*($E76/365))+(O77*($E77/365))</f>
        <v>0</v>
      </c>
      <c r="T159" s="5">
        <f>(P76*($E76/365))+(P77*($E77/365))</f>
        <v>53.8</v>
      </c>
      <c r="U159" s="5">
        <f>(Q76*($E76/365))+(Q77*($E77/365))</f>
        <v>0</v>
      </c>
      <c r="V159" s="5"/>
      <c r="W159" s="5">
        <f t="shared" si="40"/>
        <v>53.8</v>
      </c>
    </row>
    <row r="160" spans="1:23" x14ac:dyDescent="0.15">
      <c r="A160" s="1">
        <v>2002</v>
      </c>
      <c r="B160" s="10">
        <f>(K78*($E78/365))+(K79*($E79/365))</f>
        <v>0</v>
      </c>
      <c r="C160" s="10">
        <f>(L78*($E78/365))+(L79*($E79/365))</f>
        <v>100</v>
      </c>
      <c r="D160" s="10">
        <f>(M78*($E78/365))+(M79*($E79/365))</f>
        <v>0</v>
      </c>
      <c r="E160" s="265">
        <f t="shared" si="36"/>
        <v>100</v>
      </c>
      <c r="F160" s="266"/>
      <c r="G160" s="1">
        <v>2002</v>
      </c>
      <c r="H160" s="409">
        <f>(O78/$R78*100*($E78/365))+(O79/$R79*100*($E79/365))</f>
        <v>0</v>
      </c>
      <c r="I160" s="409"/>
      <c r="J160" s="409">
        <f>(P78/$R78*100*($E78/365))+(P79/$R79*100*($E79/365))</f>
        <v>100</v>
      </c>
      <c r="K160" s="409"/>
      <c r="L160" s="409">
        <f>(Q78/$R78*100*($E78/365))+(Q79/$R79*100*($E79/365))</f>
        <v>0</v>
      </c>
      <c r="M160" s="409"/>
      <c r="N160" s="424">
        <f t="shared" si="39"/>
        <v>100</v>
      </c>
      <c r="O160" s="424"/>
      <c r="P160" s="266"/>
      <c r="Q160" s="266"/>
      <c r="R160" s="1">
        <v>2002</v>
      </c>
      <c r="S160" s="5">
        <f>(O78*($E78/365))+(O79*($E79/365))</f>
        <v>0</v>
      </c>
      <c r="T160" s="5">
        <f>(P78*($E78/365))+(P79*($E79/365))</f>
        <v>53.8</v>
      </c>
      <c r="U160" s="5">
        <f>(Q78*($E78/365))+(Q79*($E79/365))</f>
        <v>0</v>
      </c>
      <c r="V160" s="5"/>
      <c r="W160" s="5">
        <f t="shared" si="40"/>
        <v>53.8</v>
      </c>
    </row>
    <row r="161" spans="1:23" x14ac:dyDescent="0.15">
      <c r="A161" s="1">
        <v>2003</v>
      </c>
      <c r="B161" s="10">
        <f>(K80*($E80/365))+(K81*($E81/365))</f>
        <v>0</v>
      </c>
      <c r="C161" s="10">
        <f>(L80*($E80/365))+(L81*($E81/365))</f>
        <v>100</v>
      </c>
      <c r="D161" s="10">
        <f>(M80*($E80/365))+(M81*($E81/365))</f>
        <v>0</v>
      </c>
      <c r="E161" s="265">
        <f t="shared" si="36"/>
        <v>100</v>
      </c>
      <c r="F161" s="266"/>
      <c r="G161" s="1">
        <v>2003</v>
      </c>
      <c r="H161" s="409">
        <f>(O80/$R80*100*($E80/365))+(O81/$R81*100*($E81/365))</f>
        <v>0</v>
      </c>
      <c r="I161" s="409"/>
      <c r="J161" s="409">
        <f>(P80/$R80*100*($E80/365))+(P81/$R81*100*($E81/365))</f>
        <v>100</v>
      </c>
      <c r="K161" s="409"/>
      <c r="L161" s="409">
        <f>(Q80/$R80*100*($E80/365))+(Q81/$R81*100*($E81/365))</f>
        <v>0</v>
      </c>
      <c r="M161" s="409"/>
      <c r="N161" s="424">
        <f t="shared" si="39"/>
        <v>100</v>
      </c>
      <c r="O161" s="424"/>
      <c r="P161" s="266"/>
      <c r="Q161" s="266"/>
      <c r="R161" s="1">
        <v>2003</v>
      </c>
      <c r="S161" s="5">
        <f>(O80*($E80/365))+(O81*($E81/365))</f>
        <v>0</v>
      </c>
      <c r="T161" s="5">
        <f>(P80*($E80/365))+(P81*($E81/365))</f>
        <v>53.8</v>
      </c>
      <c r="U161" s="5">
        <f>(Q80*($E80/365))+(Q81*($E81/365))</f>
        <v>0</v>
      </c>
      <c r="V161" s="5"/>
      <c r="W161" s="5">
        <f t="shared" si="40"/>
        <v>53.8</v>
      </c>
    </row>
    <row r="162" spans="1:23" x14ac:dyDescent="0.15">
      <c r="A162" s="1">
        <v>2004</v>
      </c>
      <c r="B162" s="10">
        <f>(K82*($E82/366))+(K83*($E83/366))</f>
        <v>0</v>
      </c>
      <c r="C162" s="10">
        <f>(L82*($E82/366))+(L83*($E83/366))</f>
        <v>100</v>
      </c>
      <c r="D162" s="10">
        <f>(M82*($E82/366))+(M83*($E83/366))</f>
        <v>0</v>
      </c>
      <c r="E162" s="265">
        <f t="shared" si="36"/>
        <v>100</v>
      </c>
      <c r="F162" s="266"/>
      <c r="G162" s="1">
        <v>2004</v>
      </c>
      <c r="H162" s="409">
        <f>(O82/$R82*100*($E82/366))+(O83/$R83*100*($E83/366))</f>
        <v>0</v>
      </c>
      <c r="I162" s="409"/>
      <c r="J162" s="409">
        <f>(P82/$R82*100*($E82/366))+(P83/$R83*100*($E83/366))</f>
        <v>100</v>
      </c>
      <c r="K162" s="409"/>
      <c r="L162" s="409">
        <f>(Q82/$R82*100*($E82/366))+(Q83/$R83*100*($E83/366))</f>
        <v>0</v>
      </c>
      <c r="M162" s="409"/>
      <c r="N162" s="424">
        <f t="shared" si="39"/>
        <v>100</v>
      </c>
      <c r="O162" s="424"/>
      <c r="P162" s="266"/>
      <c r="Q162" s="266"/>
      <c r="R162" s="1">
        <v>2004</v>
      </c>
      <c r="S162" s="5">
        <f>(O82*($E82/366))+(O83*($E83/366))</f>
        <v>0</v>
      </c>
      <c r="T162" s="5">
        <f>(P82*($E82/366))+(P83*($E83/366))</f>
        <v>53.8</v>
      </c>
      <c r="U162" s="5">
        <f>(Q82*($E82/366))+(Q83*($E83/366))</f>
        <v>0</v>
      </c>
      <c r="V162" s="5"/>
      <c r="W162" s="5">
        <f t="shared" si="40"/>
        <v>53.8</v>
      </c>
    </row>
    <row r="163" spans="1:23" x14ac:dyDescent="0.15">
      <c r="A163" s="1">
        <v>2005</v>
      </c>
      <c r="B163" s="10">
        <f>(K84*($E84/365))+(K85*($E85/365))</f>
        <v>0</v>
      </c>
      <c r="C163" s="10">
        <f>(L84*($E84/365))+(L85*($E85/365))</f>
        <v>100</v>
      </c>
      <c r="D163" s="10">
        <f>(M84*($E84/365))+(M85*($E85/365))</f>
        <v>0</v>
      </c>
      <c r="E163" s="265">
        <f t="shared" si="36"/>
        <v>100</v>
      </c>
      <c r="F163" s="266"/>
      <c r="G163" s="1">
        <v>2005</v>
      </c>
      <c r="H163" s="409">
        <f>(O84/$R84*100*($E84/365))+(O85/$R85*100*($E85/365))</f>
        <v>0</v>
      </c>
      <c r="I163" s="409"/>
      <c r="J163" s="409">
        <f>(P84/$R84*100*($E84/365))+(P85/$R85*100*($E85/365))</f>
        <v>100</v>
      </c>
      <c r="K163" s="409"/>
      <c r="L163" s="409">
        <f>(Q84/$R84*100*($E84/365))+(Q85/$R85*100*($E85/365))</f>
        <v>0</v>
      </c>
      <c r="M163" s="409"/>
      <c r="N163" s="424">
        <f t="shared" si="39"/>
        <v>100</v>
      </c>
      <c r="O163" s="424"/>
      <c r="P163" s="266"/>
      <c r="Q163" s="266"/>
      <c r="R163" s="1">
        <v>2005</v>
      </c>
      <c r="S163" s="5">
        <f>(O84*($E84/365))+(O85*($E85/365))</f>
        <v>0</v>
      </c>
      <c r="T163" s="5">
        <f>(P84*($E84/365))+(P85*($E85/365))</f>
        <v>53.8</v>
      </c>
      <c r="U163" s="5">
        <f>(Q84*($E84/365))+(Q85*($E85/365))</f>
        <v>0</v>
      </c>
      <c r="V163" s="5"/>
      <c r="W163" s="5">
        <f t="shared" si="40"/>
        <v>53.8</v>
      </c>
    </row>
    <row r="164" spans="1:23" x14ac:dyDescent="0.15">
      <c r="A164" s="1">
        <v>2006</v>
      </c>
      <c r="B164" s="10">
        <f>(K86*($E86/365))+(K87*($E87/365))</f>
        <v>0</v>
      </c>
      <c r="C164" s="10">
        <f>(L86*($E86/365))+(L87*($E87/365))</f>
        <v>100</v>
      </c>
      <c r="D164" s="10">
        <f>(M86*($E86/365))+(M87*($E87/365))</f>
        <v>0</v>
      </c>
      <c r="E164" s="265">
        <f t="shared" si="36"/>
        <v>100</v>
      </c>
      <c r="F164" s="266"/>
      <c r="G164" s="1">
        <v>2006</v>
      </c>
      <c r="H164" s="409">
        <f>(O86/$R86*100*($E86/365))+(O87/$R87*100*($E87/365))</f>
        <v>0</v>
      </c>
      <c r="I164" s="409"/>
      <c r="J164" s="409">
        <f>(P86/$R86*100*($E86/365))+(P87/$R87*100*($E87/365))</f>
        <v>100</v>
      </c>
      <c r="K164" s="409"/>
      <c r="L164" s="409">
        <f>(Q86/$R86*100*($E86/365))+(Q87/$R87*100*($E87/365))</f>
        <v>0</v>
      </c>
      <c r="M164" s="409"/>
      <c r="N164" s="424">
        <f t="shared" si="39"/>
        <v>100</v>
      </c>
      <c r="O164" s="424"/>
      <c r="P164" s="266"/>
      <c r="Q164" s="266"/>
      <c r="R164" s="1">
        <v>2006</v>
      </c>
      <c r="S164" s="5">
        <f>(O86*($E86/365))+(O87*($E87/365))</f>
        <v>0</v>
      </c>
      <c r="T164" s="5">
        <f>(P86*($E86/365))+(P87*($E87/365))</f>
        <v>53.8</v>
      </c>
      <c r="U164" s="5">
        <f>(Q86*($E86/365))+(Q87*($E87/365))</f>
        <v>0</v>
      </c>
      <c r="V164" s="5"/>
      <c r="W164" s="5">
        <f t="shared" si="40"/>
        <v>53.8</v>
      </c>
    </row>
    <row r="165" spans="1:23" x14ac:dyDescent="0.15">
      <c r="A165" s="1">
        <v>2007</v>
      </c>
      <c r="B165" s="10">
        <f>(K88*($E88/365))+(K89*($E89/365))</f>
        <v>0</v>
      </c>
      <c r="C165" s="10">
        <f>(L88*($E88/365))+(L89*($E89/365))</f>
        <v>100</v>
      </c>
      <c r="D165" s="10">
        <f>(M88*($E88/365))+(M89*($E89/365))</f>
        <v>0</v>
      </c>
      <c r="E165" s="265">
        <f t="shared" si="36"/>
        <v>100</v>
      </c>
      <c r="F165" s="266"/>
      <c r="G165" s="1">
        <v>2007</v>
      </c>
      <c r="H165" s="409">
        <f>(O88/$R88*100*($E88/365))+(O89/$R89*100*($E89/365))</f>
        <v>0</v>
      </c>
      <c r="I165" s="409"/>
      <c r="J165" s="409">
        <f>(P88/$R88*100*($E88/365))+(P89/$R89*100*($E89/365))</f>
        <v>100</v>
      </c>
      <c r="K165" s="409"/>
      <c r="L165" s="409">
        <f>(Q88/$R88*100*($E88/365))+(Q89/$R89*100*($E89/365))</f>
        <v>0</v>
      </c>
      <c r="M165" s="409"/>
      <c r="N165" s="424">
        <f t="shared" si="39"/>
        <v>100</v>
      </c>
      <c r="O165" s="424"/>
      <c r="P165" s="266"/>
      <c r="Q165" s="266"/>
      <c r="R165" s="1">
        <v>2007</v>
      </c>
      <c r="S165" s="5">
        <f>(O88*($E88/365))+(O89*($E89/365))</f>
        <v>0</v>
      </c>
      <c r="T165" s="5">
        <f>(P88*($E88/365))+(P89*($E89/365))</f>
        <v>55.8</v>
      </c>
      <c r="U165" s="5">
        <f>(Q88*($E88/365))+(Q89*($E89/365))</f>
        <v>0</v>
      </c>
      <c r="V165" s="5"/>
      <c r="W165" s="5">
        <f t="shared" si="40"/>
        <v>55.8</v>
      </c>
    </row>
    <row r="166" spans="1:23" x14ac:dyDescent="0.15">
      <c r="A166" s="1">
        <v>2008</v>
      </c>
      <c r="B166" s="10">
        <f>(K90*($E90/366))+(K91*($E91/366))</f>
        <v>0</v>
      </c>
      <c r="C166" s="10">
        <f>(L90*($E90/366))+(L91*($E91/366))</f>
        <v>100</v>
      </c>
      <c r="D166" s="10">
        <f>(M90*($E90/366))+(M91*($E91/366))</f>
        <v>0</v>
      </c>
      <c r="E166" s="265">
        <f t="shared" si="36"/>
        <v>100</v>
      </c>
      <c r="F166" s="266"/>
      <c r="G166" s="1">
        <v>2008</v>
      </c>
      <c r="H166" s="409">
        <f>(O90/$R90*100*($E90/366))+(O91/$R91*100*($E91/366))</f>
        <v>0</v>
      </c>
      <c r="I166" s="409"/>
      <c r="J166" s="409">
        <f>(P90/$R90*100*($E90/366))+(P91/$R91*100*($E91/366))</f>
        <v>100</v>
      </c>
      <c r="K166" s="409"/>
      <c r="L166" s="409">
        <f>(Q90/$R90*100*($E90/366))+(Q91/$R91*100*($E91/366))</f>
        <v>0</v>
      </c>
      <c r="M166" s="409"/>
      <c r="N166" s="424">
        <f t="shared" si="39"/>
        <v>100</v>
      </c>
      <c r="O166" s="424"/>
      <c r="P166" s="266"/>
      <c r="Q166" s="266"/>
      <c r="R166" s="1">
        <v>2008</v>
      </c>
      <c r="S166" s="5">
        <f>(O90*($E90/366))+(O91*($E91/366))</f>
        <v>0</v>
      </c>
      <c r="T166" s="5">
        <f>(P90*($E90/366))+(P91*($E91/366))</f>
        <v>51.705464480874312</v>
      </c>
      <c r="U166" s="5">
        <f>(Q90*($E90/366))+(Q91*($E91/366))</f>
        <v>0</v>
      </c>
      <c r="V166" s="5"/>
      <c r="W166" s="5">
        <f t="shared" si="40"/>
        <v>51.705464480874312</v>
      </c>
    </row>
    <row r="167" spans="1:23" x14ac:dyDescent="0.15">
      <c r="A167" s="1">
        <v>2009</v>
      </c>
      <c r="B167" s="10">
        <f>(K92*($E92/365))+(K93*($E93/365))</f>
        <v>0</v>
      </c>
      <c r="C167" s="10">
        <f>(L92*($E92/365))+(L93*($E93/365))</f>
        <v>100</v>
      </c>
      <c r="D167" s="10">
        <f>(M92*($E92/365))+(M93*($E93/365))</f>
        <v>0</v>
      </c>
      <c r="E167" s="265">
        <f t="shared" si="36"/>
        <v>100</v>
      </c>
      <c r="F167" s="266"/>
      <c r="G167" s="1">
        <v>2009</v>
      </c>
      <c r="H167" s="409">
        <f>(O92/$R92*100*($E92/365))+(O93/$R93*100*($E93/365))</f>
        <v>0</v>
      </c>
      <c r="I167" s="409"/>
      <c r="J167" s="409">
        <f>(P92/$R92*100*($E92/365))+(P93/$R93*100*($E93/365))</f>
        <v>100</v>
      </c>
      <c r="K167" s="409"/>
      <c r="L167" s="409">
        <f>(Q92/$R92*100*($E92/365))+(Q93/$R93*100*($E93/365))</f>
        <v>0</v>
      </c>
      <c r="M167" s="409"/>
      <c r="N167" s="424">
        <f t="shared" si="39"/>
        <v>100</v>
      </c>
      <c r="O167" s="424"/>
      <c r="P167" s="266"/>
      <c r="Q167" s="266"/>
      <c r="R167" s="1">
        <v>2009</v>
      </c>
      <c r="S167" s="5">
        <f>(O92*($E92/365))+(O93*($E93/365))</f>
        <v>0</v>
      </c>
      <c r="T167" s="5">
        <f>(P92*($E92/365))+(P93*($E93/365))</f>
        <v>50.72</v>
      </c>
      <c r="U167" s="5">
        <f>(Q92*($E92/365))+(Q93*($E93/365))</f>
        <v>0</v>
      </c>
      <c r="V167" s="5"/>
      <c r="W167" s="5">
        <f t="shared" si="40"/>
        <v>50.72</v>
      </c>
    </row>
    <row r="168" spans="1:23" x14ac:dyDescent="0.15">
      <c r="A168" s="1">
        <v>2010</v>
      </c>
      <c r="B168" s="10">
        <f>(K94*($E94/365))+(K95*($E95/365))</f>
        <v>0</v>
      </c>
      <c r="C168" s="10">
        <f>(L94*($E94/365))+(L95*($E95/365))</f>
        <v>100</v>
      </c>
      <c r="D168" s="10">
        <f>(M94*($E94/365))+(M95*($E95/365))</f>
        <v>0</v>
      </c>
      <c r="E168" s="265">
        <f t="shared" si="36"/>
        <v>100</v>
      </c>
      <c r="F168" s="266"/>
      <c r="G168" s="1">
        <v>2010</v>
      </c>
      <c r="H168" s="409">
        <f>(O94/$R94*100*($E94/365))+(O95/$R95*100*($E95/365))</f>
        <v>0</v>
      </c>
      <c r="I168" s="409"/>
      <c r="J168" s="409">
        <f>(P94/$R94*100*($E94/365))+(P95/$R95*100*($E95/365))</f>
        <v>100</v>
      </c>
      <c r="K168" s="409"/>
      <c r="L168" s="409">
        <f>(Q94/$R94*100*($E94/365))+(Q95/$R95*100*($E95/365))</f>
        <v>0</v>
      </c>
      <c r="M168" s="409"/>
      <c r="N168" s="424">
        <f t="shared" si="39"/>
        <v>100</v>
      </c>
      <c r="O168" s="424"/>
      <c r="P168" s="266"/>
      <c r="Q168" s="266"/>
      <c r="R168" s="1">
        <v>2010</v>
      </c>
      <c r="S168" s="5">
        <f>(O94*($E94/365))+(O95*($E95/365))</f>
        <v>0</v>
      </c>
      <c r="T168" s="5">
        <f>(P94*($E94/365))+(P95*($E95/365))</f>
        <v>50.72</v>
      </c>
      <c r="U168" s="5">
        <f>(Q94*($E94/365))+(Q95*($E95/365))</f>
        <v>0</v>
      </c>
      <c r="V168" s="5"/>
      <c r="W168" s="5">
        <f t="shared" si="40"/>
        <v>50.72</v>
      </c>
    </row>
    <row r="169" spans="1:23" x14ac:dyDescent="0.15">
      <c r="A169" s="1">
        <v>2011</v>
      </c>
      <c r="B169" s="10">
        <f>(K96*($E96/365))+(K97*($E97/365))</f>
        <v>0</v>
      </c>
      <c r="C169" s="10">
        <f>(L96*($E96/365))+(L97*($E97/365))</f>
        <v>100</v>
      </c>
      <c r="D169" s="10">
        <f>(M96*($E96/365))+(M97*($E97/365))</f>
        <v>0</v>
      </c>
      <c r="E169" s="265">
        <f t="shared" si="36"/>
        <v>100</v>
      </c>
      <c r="F169" s="266"/>
      <c r="G169" s="1">
        <v>2011</v>
      </c>
      <c r="H169" s="409">
        <f>(O96/$R96*100*($E96/365))+(O97/$R97*100*($E97/365))</f>
        <v>0</v>
      </c>
      <c r="I169" s="409"/>
      <c r="J169" s="409">
        <f>(P96/$R96*100*($E96/365))+(P97/$R97*100*($E97/365))</f>
        <v>100</v>
      </c>
      <c r="K169" s="409"/>
      <c r="L169" s="409">
        <f>(Q96/$R96*100*($E96/365))+(Q97/$R97*100*($E97/365))</f>
        <v>0</v>
      </c>
      <c r="M169" s="409"/>
      <c r="N169" s="424">
        <f t="shared" si="39"/>
        <v>100</v>
      </c>
      <c r="O169" s="424"/>
      <c r="P169" s="266"/>
      <c r="Q169" s="266"/>
      <c r="R169" s="1">
        <v>2011</v>
      </c>
      <c r="S169" s="5">
        <f>(O96*($E96/365))+(O97*($E97/365))</f>
        <v>0</v>
      </c>
      <c r="T169" s="5">
        <f>(P96*($E96/365))+(P97*($E97/365))</f>
        <v>50.72</v>
      </c>
      <c r="U169" s="5">
        <f>(Q96*($E96/365))+(Q97*($E97/365))</f>
        <v>0</v>
      </c>
      <c r="V169" s="5"/>
      <c r="W169" s="5">
        <f t="shared" si="40"/>
        <v>50.72</v>
      </c>
    </row>
    <row r="170" spans="1:23" x14ac:dyDescent="0.15">
      <c r="A170" s="1">
        <v>2012</v>
      </c>
      <c r="B170" s="10">
        <f>(K98*($E98/366))+(K99*($E99/366))</f>
        <v>0</v>
      </c>
      <c r="C170" s="10">
        <f>(L98*($E98/366))+(L99*($E99/366))</f>
        <v>100</v>
      </c>
      <c r="D170" s="10">
        <f>(M98*($E98/366))+(M99*($E99/366))</f>
        <v>0</v>
      </c>
      <c r="E170" s="265">
        <f t="shared" si="36"/>
        <v>100</v>
      </c>
      <c r="F170" s="266"/>
      <c r="G170" s="1">
        <v>2012</v>
      </c>
      <c r="H170" s="409">
        <f>(O98/$R98*100*($E98/366))+(O99/$R99*100*($E99/366))</f>
        <v>0</v>
      </c>
      <c r="I170" s="409"/>
      <c r="J170" s="409">
        <f>(P98/$R98*100*($E98/366))+(P99/$R99*100*($E99/366))</f>
        <v>100</v>
      </c>
      <c r="K170" s="409"/>
      <c r="L170" s="409">
        <f>(Q98/$R98*100*($E98/366))+(Q99/$R99*100*($E99/366))</f>
        <v>0</v>
      </c>
      <c r="M170" s="409"/>
      <c r="N170" s="424">
        <f t="shared" si="39"/>
        <v>100</v>
      </c>
      <c r="O170" s="424"/>
      <c r="P170" s="266"/>
      <c r="Q170" s="266"/>
      <c r="R170" s="1">
        <v>2012</v>
      </c>
      <c r="S170" s="5">
        <f>(O98*($E98/366))+(O99*($E99/366))</f>
        <v>0</v>
      </c>
      <c r="T170" s="5">
        <f>(P98*($E98/366))+(P99*($E99/366))</f>
        <v>50.72</v>
      </c>
      <c r="U170" s="5">
        <f>(Q98*($E98/366))+(Q99*($E99/366))</f>
        <v>0</v>
      </c>
      <c r="V170" s="5"/>
      <c r="W170" s="5">
        <f t="shared" si="40"/>
        <v>50.72</v>
      </c>
    </row>
    <row r="171" spans="1:23" x14ac:dyDescent="0.15">
      <c r="A171" s="1">
        <v>2013</v>
      </c>
      <c r="B171" s="10">
        <f>(K100*($E100/365))+(K101*($E101/365))</f>
        <v>0</v>
      </c>
      <c r="C171" s="10">
        <f>(L100*($E100/365))+(L101*($E101/365))</f>
        <v>19.452054794520549</v>
      </c>
      <c r="D171" s="10">
        <f>(M100*($E100/365))+(M101*($E101/365))</f>
        <v>80.547945205479451</v>
      </c>
      <c r="E171" s="265">
        <f t="shared" si="36"/>
        <v>100</v>
      </c>
      <c r="F171" s="266"/>
      <c r="G171" s="1">
        <v>2013</v>
      </c>
      <c r="H171" s="409">
        <f>(O100/$R100*100*($E100/365))+(O101/$R101*100*($E101/365))</f>
        <v>0</v>
      </c>
      <c r="I171" s="409"/>
      <c r="J171" s="409">
        <f>(P100/$R100*100*($E100/365))+(P101/$R101*100*($E101/365))</f>
        <v>19.452054794520549</v>
      </c>
      <c r="K171" s="409"/>
      <c r="L171" s="409">
        <f>(Q100/$R100*100*($E100/365))+(Q101/$R101*100*($E101/365))</f>
        <v>80.547945205479451</v>
      </c>
      <c r="M171" s="409"/>
      <c r="N171" s="424">
        <f t="shared" si="39"/>
        <v>100</v>
      </c>
      <c r="O171" s="424"/>
      <c r="P171" s="266"/>
      <c r="Q171" s="266"/>
      <c r="R171" s="1">
        <v>2013</v>
      </c>
      <c r="S171" s="5">
        <f>(O100*($E100/365))+(O101*($E101/365))</f>
        <v>0</v>
      </c>
      <c r="T171" s="5">
        <f>(P100*($E100/365))+(P101*($E101/365))</f>
        <v>9.8660821917808228</v>
      </c>
      <c r="U171" s="5">
        <f>(Q100*($E100/365))+(Q101*($E101/365))</f>
        <v>45.509589041095893</v>
      </c>
      <c r="V171" s="5"/>
      <c r="W171" s="5">
        <f t="shared" si="40"/>
        <v>55.375671232876712</v>
      </c>
    </row>
    <row r="172" spans="1:23" x14ac:dyDescent="0.15">
      <c r="A172" s="1">
        <v>2014</v>
      </c>
      <c r="B172" s="10">
        <f>(K102*($E102/365))+(K103*($E103/365))</f>
        <v>0</v>
      </c>
      <c r="C172" s="10">
        <f>(L102*($E102/365))+(L103*($E103/365))</f>
        <v>0</v>
      </c>
      <c r="D172" s="10">
        <f>(M102*($E102/365))+(M103*($E103/365))</f>
        <v>100</v>
      </c>
      <c r="E172" s="265">
        <f>SUM(B172:D172)</f>
        <v>100</v>
      </c>
      <c r="F172" s="266"/>
      <c r="G172" s="1">
        <v>2014</v>
      </c>
      <c r="H172" s="409">
        <f>(O102/$R102*100*($E102/365))+(O103/$R103*100*($E103/365))</f>
        <v>0</v>
      </c>
      <c r="I172" s="409"/>
      <c r="J172" s="409">
        <f>(P102/$R102*100*($E102/365))+(P103/$R103*100*($E103/365))</f>
        <v>0</v>
      </c>
      <c r="K172" s="409"/>
      <c r="L172" s="409">
        <f>(Q102/$R102*100*($E102/365))+(Q103/$R103*100*($E103/365))</f>
        <v>100</v>
      </c>
      <c r="M172" s="409"/>
      <c r="N172" s="424">
        <f>H172+J172+L172</f>
        <v>100</v>
      </c>
      <c r="O172" s="424"/>
      <c r="P172" s="266"/>
      <c r="Q172" s="266"/>
      <c r="R172" s="1">
        <v>2014</v>
      </c>
      <c r="S172" s="5">
        <f>(O102*($E102/365))+(O103*($E103/365))</f>
        <v>0</v>
      </c>
      <c r="T172" s="5">
        <f>(P102*($E102/365))+(P103*($E103/365))</f>
        <v>0</v>
      </c>
      <c r="U172" s="5">
        <f>(Q102*($E102/365))+(Q103*($E103/365))</f>
        <v>56.5</v>
      </c>
      <c r="V172" s="5"/>
      <c r="W172" s="5">
        <f>S172+T172+U172</f>
        <v>56.5</v>
      </c>
    </row>
    <row r="173" spans="1:23" x14ac:dyDescent="0.15">
      <c r="A173" s="1">
        <v>2015</v>
      </c>
      <c r="B173" s="10">
        <f>(K104*($E104/365))+(K105*($E105/365))</f>
        <v>0</v>
      </c>
      <c r="C173" s="10">
        <f>(L104*($E104/365))+(L105*($E105/365))</f>
        <v>0</v>
      </c>
      <c r="D173" s="10">
        <f>(M104*($E104/365))+(M105*($E105/365))</f>
        <v>100</v>
      </c>
      <c r="E173" s="265">
        <f>SUM(B173:D173)</f>
        <v>100</v>
      </c>
      <c r="F173" s="266"/>
      <c r="G173" s="1">
        <v>2015</v>
      </c>
      <c r="H173" s="409">
        <f>(O104/$R104*100*($E104/365))+(O105/$R105*100*($E105/365))</f>
        <v>0</v>
      </c>
      <c r="I173" s="409"/>
      <c r="J173" s="409">
        <f>(P104/$R104*100*($E104/365))+(P105/$R105*100*($E105/365))</f>
        <v>0</v>
      </c>
      <c r="K173" s="409"/>
      <c r="L173" s="409">
        <f>(Q104/$R104*100*($E104/365))+(Q105/$R105*100*($E105/365))</f>
        <v>100</v>
      </c>
      <c r="M173" s="409"/>
      <c r="N173" s="424">
        <f>H173+J173+L173</f>
        <v>100</v>
      </c>
      <c r="O173" s="424"/>
      <c r="P173" s="266"/>
      <c r="Q173" s="266"/>
      <c r="R173" s="1">
        <v>2015</v>
      </c>
      <c r="S173" s="5">
        <f>(O104*($E104/365))+(O105*($E105/365))</f>
        <v>0</v>
      </c>
      <c r="T173" s="5">
        <f>(P104*($E104/365))+(P105*($E105/365))</f>
        <v>0</v>
      </c>
      <c r="U173" s="5">
        <f>(Q104*($E104/365))+(Q105*($E105/365))</f>
        <v>56.5</v>
      </c>
      <c r="V173" s="5"/>
      <c r="W173" s="5">
        <f>S173+T173+U173</f>
        <v>56.5</v>
      </c>
    </row>
    <row r="174" spans="1:23" x14ac:dyDescent="0.15">
      <c r="A174" s="1">
        <v>2016</v>
      </c>
      <c r="B174" s="10">
        <f>(K106*($E106/366))+(K107*($E107/366))</f>
        <v>0</v>
      </c>
      <c r="C174" s="10">
        <f>(L106*($E106/366))+(L107*($E107/366))</f>
        <v>0</v>
      </c>
      <c r="D174" s="10">
        <f>(M106*($E106/366))+(M107*($E107/366))</f>
        <v>100</v>
      </c>
      <c r="E174" s="265">
        <f t="shared" ref="E174" si="41">SUM(B174:D174)</f>
        <v>100</v>
      </c>
      <c r="F174" s="266"/>
      <c r="G174" s="1">
        <v>2016</v>
      </c>
      <c r="H174" s="409">
        <f>(O106/$R106*100*($E106/366))+(O107/$R107*100*($E107/366))</f>
        <v>0</v>
      </c>
      <c r="I174" s="409"/>
      <c r="J174" s="409">
        <f>(P106/$R106*100*($E106/366))+(P107/$R107*100*($E107/366))</f>
        <v>0</v>
      </c>
      <c r="K174" s="409"/>
      <c r="L174" s="409">
        <f>(Q106/$R106*100*($E106/366))+(Q107/$R107*100*($E107/366))</f>
        <v>100</v>
      </c>
      <c r="M174" s="409"/>
      <c r="N174" s="424">
        <f t="shared" ref="N174" si="42">H174+J174+L174</f>
        <v>100</v>
      </c>
      <c r="O174" s="424"/>
      <c r="P174" s="266"/>
      <c r="Q174" s="266"/>
      <c r="R174" s="1">
        <v>2016</v>
      </c>
      <c r="S174" s="5">
        <f>(O106*($E106/366))+(O107*($E107/366))</f>
        <v>0</v>
      </c>
      <c r="T174" s="5">
        <f>(P106*($E106/366))+(P107*($E107/366))</f>
        <v>0</v>
      </c>
      <c r="U174" s="5">
        <f>(Q106*($E106/366))+(Q107*($E107/366))</f>
        <v>56.5</v>
      </c>
      <c r="V174" s="5"/>
      <c r="W174" s="5">
        <f t="shared" ref="W174" si="43">S174+T174+U174</f>
        <v>56.5</v>
      </c>
    </row>
    <row r="175" spans="1:23" x14ac:dyDescent="0.15">
      <c r="A175" s="1">
        <v>2017</v>
      </c>
      <c r="B175" s="10">
        <f>(K108*($E108/365))+(K109*($E109/365))</f>
        <v>0</v>
      </c>
      <c r="C175" s="10">
        <f>(L108*($E108/365))+(L109*($E109/365))</f>
        <v>0</v>
      </c>
      <c r="D175" s="10">
        <f>(M108*($E108/365))+(M109*($E109/365))</f>
        <v>100</v>
      </c>
      <c r="E175" s="265">
        <f t="shared" ref="E175" si="44">SUM(B175:D175)</f>
        <v>100</v>
      </c>
      <c r="F175" s="266"/>
      <c r="G175" s="1">
        <v>2017</v>
      </c>
      <c r="H175" s="409">
        <f>(O108/$R108*100*($E108/365))+(O109/$R109*100*($E109/365))</f>
        <v>0</v>
      </c>
      <c r="I175" s="409"/>
      <c r="J175" s="409">
        <f>(P108/$R108*100*($E108/365))+(P109/$R109*100*($E109/365))</f>
        <v>0</v>
      </c>
      <c r="K175" s="409"/>
      <c r="L175" s="409">
        <f>(Q108/$R108*100*($E108/365))+(Q109/$R109*100*($E109/365))</f>
        <v>100</v>
      </c>
      <c r="M175" s="409"/>
      <c r="N175" s="424">
        <f t="shared" ref="N175" si="45">H175+J175+L175</f>
        <v>100</v>
      </c>
      <c r="O175" s="424"/>
      <c r="P175" s="266"/>
      <c r="Q175" s="266"/>
      <c r="R175" s="1">
        <v>2017</v>
      </c>
      <c r="S175" s="5">
        <f>(O108*($E108/365))+(O109*($E109/365))</f>
        <v>0</v>
      </c>
      <c r="T175" s="5">
        <f>(P108*($E108/365))+(P109*($E109/365))</f>
        <v>0</v>
      </c>
      <c r="U175" s="5">
        <f>(Q108*($E108/365))+(Q109*($E109/365))</f>
        <v>55.766301369863015</v>
      </c>
      <c r="V175" s="5"/>
      <c r="W175" s="5">
        <f t="shared" ref="W175" si="46">S175+T175+U175</f>
        <v>55.766301369863015</v>
      </c>
    </row>
    <row r="176" spans="1:23" x14ac:dyDescent="0.15">
      <c r="A176" s="1">
        <v>2018</v>
      </c>
      <c r="B176" s="10">
        <f>(K110*($E110/365))+(K111*($E111/365))</f>
        <v>0</v>
      </c>
      <c r="C176" s="10">
        <f>(L110*($E110/365))+(L111*($E111/365))</f>
        <v>0</v>
      </c>
      <c r="D176" s="10">
        <f>(M110*($E110/365))+(M111*($E111/365))</f>
        <v>100</v>
      </c>
      <c r="E176" s="265">
        <f t="shared" ref="E176" si="47">SUM(B176:D176)</f>
        <v>100</v>
      </c>
      <c r="F176" s="266"/>
      <c r="G176" s="1">
        <v>2018</v>
      </c>
      <c r="H176" s="409">
        <f>(O110/$R110*100*($E110/365))+(O111/$R111*100*($E111/365))</f>
        <v>0</v>
      </c>
      <c r="I176" s="409"/>
      <c r="J176" s="409">
        <f>(P110/$R110*100*($E110/365))+(P111/$R111*100*($E111/365))</f>
        <v>0</v>
      </c>
      <c r="K176" s="409"/>
      <c r="L176" s="409">
        <f>(Q110/$R110*100*($E110/365))+(Q111/$R111*100*($E111/365))</f>
        <v>100</v>
      </c>
      <c r="M176" s="409"/>
      <c r="N176" s="424">
        <f t="shared" ref="N176" si="48">H176+J176+L176</f>
        <v>100</v>
      </c>
      <c r="O176" s="424"/>
      <c r="P176" s="266"/>
      <c r="Q176" s="266"/>
      <c r="R176" s="1">
        <v>2018</v>
      </c>
      <c r="S176" s="5">
        <f>(O110*($E110/365))+(O111*($E111/365))</f>
        <v>0</v>
      </c>
      <c r="T176" s="5">
        <f>(P110*($E110/365))+(P111*($E111/365))</f>
        <v>0</v>
      </c>
      <c r="U176" s="5">
        <f>(Q110*($E110/365))+(Q111*($E111/365))</f>
        <v>55.2</v>
      </c>
      <c r="V176" s="5"/>
      <c r="W176" s="5">
        <f t="shared" ref="W176" si="49">S176+T176+U176</f>
        <v>55.2</v>
      </c>
    </row>
    <row r="177" spans="1:23" x14ac:dyDescent="0.15">
      <c r="A177" s="1">
        <v>2019</v>
      </c>
      <c r="B177" s="10">
        <f>(K112*($E112/365))+(K113*($E113/365))</f>
        <v>0</v>
      </c>
      <c r="C177" s="10">
        <f>(L112*($E112/365))+(L113*($E113/365))</f>
        <v>0</v>
      </c>
      <c r="D177" s="10">
        <f>(M112*($E112/365))+(M113*($E113/365))</f>
        <v>100</v>
      </c>
      <c r="E177" s="265">
        <f t="shared" ref="E177:E178" si="50">SUM(B177:D177)</f>
        <v>100</v>
      </c>
      <c r="F177" s="266"/>
      <c r="G177" s="1">
        <v>2019</v>
      </c>
      <c r="H177" s="409">
        <f>(O112/$R112*100*($E112/365))+(O113/$R113*100*($E113/365))</f>
        <v>0</v>
      </c>
      <c r="I177" s="409"/>
      <c r="J177" s="409">
        <f>(P112/$R112*100*($E112/365))+(P113/$R113*100*($E113/365))</f>
        <v>0</v>
      </c>
      <c r="K177" s="409"/>
      <c r="L177" s="409">
        <f>(Q112/$R112*100*($E112/365))+(Q113/$R113*100*($E113/365))</f>
        <v>100</v>
      </c>
      <c r="M177" s="409"/>
      <c r="N177" s="424">
        <f t="shared" ref="N177" si="51">H177+J177+L177</f>
        <v>100</v>
      </c>
      <c r="O177" s="424"/>
      <c r="P177" s="266"/>
      <c r="Q177" s="266"/>
      <c r="R177" s="1">
        <v>2019</v>
      </c>
      <c r="S177" s="5">
        <f>(O112*($E112/365))+(O113*($E113/365))</f>
        <v>0</v>
      </c>
      <c r="T177" s="5">
        <f>(P112*($E112/365))+(P113*($E113/365))</f>
        <v>0</v>
      </c>
      <c r="U177" s="5">
        <f>(Q112*($E112/365))+(Q113*($E113/365))</f>
        <v>55.2</v>
      </c>
      <c r="V177" s="5"/>
      <c r="W177" s="5">
        <f t="shared" ref="W177:W178" si="52">S177+T177+U177</f>
        <v>55.2</v>
      </c>
    </row>
    <row r="178" spans="1:23" x14ac:dyDescent="0.15">
      <c r="A178" s="1">
        <v>2020</v>
      </c>
      <c r="B178" s="10">
        <f>(K114*($E114/366))+(K115*($E115/366))+(K116*($E116/366))</f>
        <v>0</v>
      </c>
      <c r="C178" s="10">
        <f>(L114*($E114/366))+(L115*($E115/366))+(L116*($E116/366))</f>
        <v>0</v>
      </c>
      <c r="D178" s="10">
        <f>(M114*($E114/366))+(M115*($E115/366))+(M116*($E116/366))</f>
        <v>100</v>
      </c>
      <c r="E178" s="265">
        <f t="shared" si="50"/>
        <v>100</v>
      </c>
      <c r="G178" s="1">
        <v>2020</v>
      </c>
      <c r="H178" s="409">
        <f>(O114/$R114*100*($E114/366))+(O115/$R115*100*($E115/366))+(O116/$R116*100*($E116/366))</f>
        <v>0</v>
      </c>
      <c r="I178" s="409"/>
      <c r="J178" s="409">
        <f>(P114/$R114*100*($E114/366))+(P115/$R115*100*($E115/366))+(P116/$R116*100*($E116/366))</f>
        <v>0</v>
      </c>
      <c r="K178" s="409"/>
      <c r="L178" s="409">
        <f>(Q114/$R114*100*($E114/366))+(Q115/$R115*100*($E115/366))+(Q116/$R116*100*($E116/366))</f>
        <v>100</v>
      </c>
      <c r="M178" s="409"/>
      <c r="N178" s="424">
        <f t="shared" ref="N178" si="53">H178+J178+L178</f>
        <v>100</v>
      </c>
      <c r="O178" s="424"/>
      <c r="R178" s="1">
        <v>2020</v>
      </c>
      <c r="S178" s="5">
        <f>(O114*($E114/366))+(O115*($E115/366))+(O116*($E116/366))</f>
        <v>0</v>
      </c>
      <c r="T178" s="5">
        <f>(P114*($E114/366))+(P115*($E115/366))+(P116*($E116/366))</f>
        <v>0</v>
      </c>
      <c r="U178" s="5">
        <f>(Q114*($E114/366))+(Q115*($E115/366))+(Q116*($E116/366))</f>
        <v>55.2</v>
      </c>
      <c r="W178" s="5">
        <f t="shared" si="52"/>
        <v>55.2</v>
      </c>
    </row>
  </sheetData>
  <mergeCells count="357">
    <mergeCell ref="N171:O171"/>
    <mergeCell ref="N169:O169"/>
    <mergeCell ref="N170:O170"/>
    <mergeCell ref="N167:O167"/>
    <mergeCell ref="N154:O154"/>
    <mergeCell ref="N155:O155"/>
    <mergeCell ref="N158:O158"/>
    <mergeCell ref="N159:O159"/>
    <mergeCell ref="N156:O156"/>
    <mergeCell ref="N157:O157"/>
    <mergeCell ref="N168:O168"/>
    <mergeCell ref="N160:O160"/>
    <mergeCell ref="N162:O162"/>
    <mergeCell ref="N163:O163"/>
    <mergeCell ref="N164:O164"/>
    <mergeCell ref="N165:O165"/>
    <mergeCell ref="N166:O166"/>
    <mergeCell ref="N161:O161"/>
    <mergeCell ref="C108:D108"/>
    <mergeCell ref="C109:D109"/>
    <mergeCell ref="C106:D106"/>
    <mergeCell ref="C107:D107"/>
    <mergeCell ref="H174:I174"/>
    <mergeCell ref="J174:K174"/>
    <mergeCell ref="L174:M174"/>
    <mergeCell ref="N174:O174"/>
    <mergeCell ref="L157:M157"/>
    <mergeCell ref="L160:M160"/>
    <mergeCell ref="L171:M171"/>
    <mergeCell ref="L162:M162"/>
    <mergeCell ref="J171:K171"/>
    <mergeCell ref="H171:I171"/>
    <mergeCell ref="H132:I132"/>
    <mergeCell ref="L155:M155"/>
    <mergeCell ref="H133:I133"/>
    <mergeCell ref="J133:K133"/>
    <mergeCell ref="H134:I134"/>
    <mergeCell ref="J134:K134"/>
    <mergeCell ref="H127:I127"/>
    <mergeCell ref="J127:K127"/>
    <mergeCell ref="L127:M127"/>
    <mergeCell ref="H128:I128"/>
    <mergeCell ref="C105:D105"/>
    <mergeCell ref="H173:I173"/>
    <mergeCell ref="J173:K173"/>
    <mergeCell ref="L173:M173"/>
    <mergeCell ref="N173:O173"/>
    <mergeCell ref="J166:K166"/>
    <mergeCell ref="H157:I157"/>
    <mergeCell ref="H154:I154"/>
    <mergeCell ref="H155:I155"/>
    <mergeCell ref="H168:I168"/>
    <mergeCell ref="H169:I169"/>
    <mergeCell ref="H163:I163"/>
    <mergeCell ref="H164:I164"/>
    <mergeCell ref="H165:I165"/>
    <mergeCell ref="H166:I166"/>
    <mergeCell ref="H167:I167"/>
    <mergeCell ref="H158:I158"/>
    <mergeCell ref="L163:M163"/>
    <mergeCell ref="L164:M164"/>
    <mergeCell ref="L158:M158"/>
    <mergeCell ref="L159:M159"/>
    <mergeCell ref="L161:M161"/>
    <mergeCell ref="L154:M154"/>
    <mergeCell ref="L156:M156"/>
    <mergeCell ref="C99:D99"/>
    <mergeCell ref="C91:D91"/>
    <mergeCell ref="C92:D92"/>
    <mergeCell ref="C93:D93"/>
    <mergeCell ref="H137:I137"/>
    <mergeCell ref="J137:K137"/>
    <mergeCell ref="H170:I170"/>
    <mergeCell ref="H159:I159"/>
    <mergeCell ref="H160:I160"/>
    <mergeCell ref="H161:I161"/>
    <mergeCell ref="H162:I162"/>
    <mergeCell ref="J152:K152"/>
    <mergeCell ref="H151:I151"/>
    <mergeCell ref="H142:I142"/>
    <mergeCell ref="J146:K146"/>
    <mergeCell ref="H145:I145"/>
    <mergeCell ref="C104:D104"/>
    <mergeCell ref="H123:I123"/>
    <mergeCell ref="H129:I129"/>
    <mergeCell ref="J129:K129"/>
    <mergeCell ref="H130:I130"/>
    <mergeCell ref="J130:K130"/>
    <mergeCell ref="H131:I131"/>
    <mergeCell ref="J131:K131"/>
    <mergeCell ref="C98:D98"/>
    <mergeCell ref="C95:D95"/>
    <mergeCell ref="C94:D94"/>
    <mergeCell ref="C88:D88"/>
    <mergeCell ref="C96:D96"/>
    <mergeCell ref="C89:D89"/>
    <mergeCell ref="C90:D90"/>
    <mergeCell ref="C97:D97"/>
    <mergeCell ref="C85:D85"/>
    <mergeCell ref="C86:D86"/>
    <mergeCell ref="C87:D87"/>
    <mergeCell ref="C60:D60"/>
    <mergeCell ref="C61:D61"/>
    <mergeCell ref="C79:D79"/>
    <mergeCell ref="C80:D80"/>
    <mergeCell ref="C81:D81"/>
    <mergeCell ref="C82:D82"/>
    <mergeCell ref="C83:D83"/>
    <mergeCell ref="C78:D78"/>
    <mergeCell ref="C56:D56"/>
    <mergeCell ref="C48:D48"/>
    <mergeCell ref="C50:D50"/>
    <mergeCell ref="C47:D47"/>
    <mergeCell ref="C49:D49"/>
    <mergeCell ref="C57:D57"/>
    <mergeCell ref="C54:D54"/>
    <mergeCell ref="C55:D55"/>
    <mergeCell ref="C58:D58"/>
    <mergeCell ref="C59:D59"/>
    <mergeCell ref="J125:K125"/>
    <mergeCell ref="L125:M125"/>
    <mergeCell ref="AP4:AS4"/>
    <mergeCell ref="K4:N4"/>
    <mergeCell ref="O4:R4"/>
    <mergeCell ref="S4:S5"/>
    <mergeCell ref="T4:T5"/>
    <mergeCell ref="Z4:AC4"/>
    <mergeCell ref="AD4:AG4"/>
    <mergeCell ref="AH4:AK4"/>
    <mergeCell ref="AL4:AO4"/>
    <mergeCell ref="U4:U5"/>
    <mergeCell ref="V4:Y4"/>
    <mergeCell ref="J123:K123"/>
    <mergeCell ref="L123:M123"/>
    <mergeCell ref="N123:O123"/>
    <mergeCell ref="R121:W121"/>
    <mergeCell ref="C14:D14"/>
    <mergeCell ref="C75:D75"/>
    <mergeCell ref="C76:D76"/>
    <mergeCell ref="C101:D101"/>
    <mergeCell ref="C63:D63"/>
    <mergeCell ref="C64:D64"/>
    <mergeCell ref="C65:D65"/>
    <mergeCell ref="C66:D66"/>
    <mergeCell ref="C67:D67"/>
    <mergeCell ref="C70:D70"/>
    <mergeCell ref="C71:D71"/>
    <mergeCell ref="C25:D25"/>
    <mergeCell ref="C27:D27"/>
    <mergeCell ref="C17:D17"/>
    <mergeCell ref="C62:D62"/>
    <mergeCell ref="C77:D77"/>
    <mergeCell ref="C40:D40"/>
    <mergeCell ref="C41:D41"/>
    <mergeCell ref="C43:D43"/>
    <mergeCell ref="C45:D45"/>
    <mergeCell ref="C53:D53"/>
    <mergeCell ref="C51:D51"/>
    <mergeCell ref="C42:D42"/>
    <mergeCell ref="C29:D29"/>
    <mergeCell ref="G3:M3"/>
    <mergeCell ref="O3:Q3"/>
    <mergeCell ref="A4:A5"/>
    <mergeCell ref="B4:B5"/>
    <mergeCell ref="C4:D5"/>
    <mergeCell ref="E4:E5"/>
    <mergeCell ref="F4:F5"/>
    <mergeCell ref="G4:J4"/>
    <mergeCell ref="C13:D13"/>
    <mergeCell ref="C6:D6"/>
    <mergeCell ref="C12:D12"/>
    <mergeCell ref="C8:D8"/>
    <mergeCell ref="C10:D10"/>
    <mergeCell ref="C7:D7"/>
    <mergeCell ref="C9:D9"/>
    <mergeCell ref="C11:D11"/>
    <mergeCell ref="C16:D16"/>
    <mergeCell ref="C20:D20"/>
    <mergeCell ref="C22:D22"/>
    <mergeCell ref="C24:D24"/>
    <mergeCell ref="C19:D19"/>
    <mergeCell ref="C28:D28"/>
    <mergeCell ref="H144:I144"/>
    <mergeCell ref="C15:D15"/>
    <mergeCell ref="H125:I125"/>
    <mergeCell ref="H126:I126"/>
    <mergeCell ref="C18:D18"/>
    <mergeCell ref="C112:D112"/>
    <mergeCell ref="C113:D113"/>
    <mergeCell ref="C31:D31"/>
    <mergeCell ref="C33:D33"/>
    <mergeCell ref="C35:D35"/>
    <mergeCell ref="C37:D37"/>
    <mergeCell ref="C39:D39"/>
    <mergeCell ref="C52:D52"/>
    <mergeCell ref="C30:D30"/>
    <mergeCell ref="C38:D38"/>
    <mergeCell ref="C84:D84"/>
    <mergeCell ref="C44:D44"/>
    <mergeCell ref="C46:D46"/>
    <mergeCell ref="J126:K126"/>
    <mergeCell ref="L126:M126"/>
    <mergeCell ref="J124:K124"/>
    <mergeCell ref="L124:M124"/>
    <mergeCell ref="C68:D68"/>
    <mergeCell ref="C69:D69"/>
    <mergeCell ref="C21:D21"/>
    <mergeCell ref="C23:D23"/>
    <mergeCell ref="C100:D100"/>
    <mergeCell ref="C72:D72"/>
    <mergeCell ref="C73:D73"/>
    <mergeCell ref="C74:D74"/>
    <mergeCell ref="C26:D26"/>
    <mergeCell ref="C102:D102"/>
    <mergeCell ref="C103:D103"/>
    <mergeCell ref="H124:I124"/>
    <mergeCell ref="C32:D32"/>
    <mergeCell ref="C34:D34"/>
    <mergeCell ref="C36:D36"/>
    <mergeCell ref="C110:D110"/>
    <mergeCell ref="C111:D111"/>
    <mergeCell ref="C114:D114"/>
    <mergeCell ref="C115:D115"/>
    <mergeCell ref="C116:D116"/>
    <mergeCell ref="H149:I149"/>
    <mergeCell ref="H150:I150"/>
    <mergeCell ref="L152:M152"/>
    <mergeCell ref="J145:K145"/>
    <mergeCell ref="J147:K147"/>
    <mergeCell ref="N149:O149"/>
    <mergeCell ref="J151:K151"/>
    <mergeCell ref="L149:M149"/>
    <mergeCell ref="H152:I152"/>
    <mergeCell ref="J149:K149"/>
    <mergeCell ref="H148:I148"/>
    <mergeCell ref="J148:K148"/>
    <mergeCell ref="H147:I147"/>
    <mergeCell ref="H146:I146"/>
    <mergeCell ref="N150:O150"/>
    <mergeCell ref="N151:O151"/>
    <mergeCell ref="N146:O146"/>
    <mergeCell ref="L146:M146"/>
    <mergeCell ref="N145:O145"/>
    <mergeCell ref="N147:O147"/>
    <mergeCell ref="L148:M148"/>
    <mergeCell ref="L147:M147"/>
    <mergeCell ref="L150:M150"/>
    <mergeCell ref="L151:M151"/>
    <mergeCell ref="AT4:AW4"/>
    <mergeCell ref="AX4:BA4"/>
    <mergeCell ref="L165:M165"/>
    <mergeCell ref="L166:M166"/>
    <mergeCell ref="N141:O141"/>
    <mergeCell ref="L133:M133"/>
    <mergeCell ref="N134:O134"/>
    <mergeCell ref="L134:M134"/>
    <mergeCell ref="N133:O133"/>
    <mergeCell ref="L144:M144"/>
    <mergeCell ref="N143:O143"/>
    <mergeCell ref="L132:M132"/>
    <mergeCell ref="L135:M135"/>
    <mergeCell ref="N136:O136"/>
    <mergeCell ref="L136:M136"/>
    <mergeCell ref="N135:O135"/>
    <mergeCell ref="L139:M139"/>
    <mergeCell ref="L137:M137"/>
    <mergeCell ref="N138:O138"/>
    <mergeCell ref="L138:M138"/>
    <mergeCell ref="N124:O124"/>
    <mergeCell ref="N125:O125"/>
    <mergeCell ref="L128:M128"/>
    <mergeCell ref="N152:O152"/>
    <mergeCell ref="N126:O126"/>
    <mergeCell ref="N128:O128"/>
    <mergeCell ref="N127:O127"/>
    <mergeCell ref="L167:M167"/>
    <mergeCell ref="L168:M168"/>
    <mergeCell ref="L169:M169"/>
    <mergeCell ref="L170:M170"/>
    <mergeCell ref="J158:K158"/>
    <mergeCell ref="J170:K170"/>
    <mergeCell ref="J159:K159"/>
    <mergeCell ref="J160:K160"/>
    <mergeCell ref="J161:K161"/>
    <mergeCell ref="J162:K162"/>
    <mergeCell ref="J164:K164"/>
    <mergeCell ref="J167:K167"/>
    <mergeCell ref="J168:K168"/>
    <mergeCell ref="J169:K169"/>
    <mergeCell ref="J163:K163"/>
    <mergeCell ref="J165:K165"/>
    <mergeCell ref="J144:K144"/>
    <mergeCell ref="J157:K157"/>
    <mergeCell ref="N130:O130"/>
    <mergeCell ref="N129:O129"/>
    <mergeCell ref="N132:O132"/>
    <mergeCell ref="J128:K128"/>
    <mergeCell ref="L140:M140"/>
    <mergeCell ref="H136:I136"/>
    <mergeCell ref="J136:K136"/>
    <mergeCell ref="H143:I143"/>
    <mergeCell ref="L141:M141"/>
    <mergeCell ref="H140:I140"/>
    <mergeCell ref="H178:I178"/>
    <mergeCell ref="J178:K178"/>
    <mergeCell ref="L178:M178"/>
    <mergeCell ref="J156:K156"/>
    <mergeCell ref="J155:K155"/>
    <mergeCell ref="J132:K132"/>
    <mergeCell ref="L143:M143"/>
    <mergeCell ref="L142:M142"/>
    <mergeCell ref="H135:I135"/>
    <mergeCell ref="J135:K135"/>
    <mergeCell ref="H138:I138"/>
    <mergeCell ref="J138:K138"/>
    <mergeCell ref="H141:I141"/>
    <mergeCell ref="H139:I139"/>
    <mergeCell ref="J139:K139"/>
    <mergeCell ref="H156:I156"/>
    <mergeCell ref="H153:I153"/>
    <mergeCell ref="N178:O178"/>
    <mergeCell ref="N176:O176"/>
    <mergeCell ref="H172:I172"/>
    <mergeCell ref="J172:K172"/>
    <mergeCell ref="L172:M172"/>
    <mergeCell ref="N172:O172"/>
    <mergeCell ref="H176:I176"/>
    <mergeCell ref="J176:K176"/>
    <mergeCell ref="L176:M176"/>
    <mergeCell ref="H177:I177"/>
    <mergeCell ref="J177:K177"/>
    <mergeCell ref="L177:M177"/>
    <mergeCell ref="N177:O177"/>
    <mergeCell ref="H175:I175"/>
    <mergeCell ref="J175:K175"/>
    <mergeCell ref="L175:M175"/>
    <mergeCell ref="N175:O175"/>
    <mergeCell ref="N153:O153"/>
    <mergeCell ref="J140:K140"/>
    <mergeCell ref="J142:K142"/>
    <mergeCell ref="J143:K143"/>
    <mergeCell ref="J141:K141"/>
    <mergeCell ref="L129:M129"/>
    <mergeCell ref="L130:M130"/>
    <mergeCell ref="L131:M131"/>
    <mergeCell ref="J154:K154"/>
    <mergeCell ref="N137:O137"/>
    <mergeCell ref="N144:O144"/>
    <mergeCell ref="N139:O139"/>
    <mergeCell ref="N148:O148"/>
    <mergeCell ref="L145:M145"/>
    <mergeCell ref="J153:K153"/>
    <mergeCell ref="J150:K150"/>
    <mergeCell ref="L153:M153"/>
    <mergeCell ref="N131:O131"/>
    <mergeCell ref="N142:O142"/>
    <mergeCell ref="N140:O14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A206"/>
  <sheetViews>
    <sheetView zoomScale="150" zoomScaleNormal="120" workbookViewId="0">
      <pane xSplit="1" ySplit="5" topLeftCell="B6" activePane="bottomRight" state="frozen"/>
      <selection pane="topRight" activeCell="B1" sqref="B1"/>
      <selection pane="bottomLeft" activeCell="A6" sqref="A6"/>
      <selection pane="bottomRight" activeCell="H138" sqref="H138"/>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63</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1233</v>
      </c>
      <c r="D6" s="416"/>
      <c r="E6" s="140">
        <v>138</v>
      </c>
      <c r="G6" s="148">
        <v>7</v>
      </c>
      <c r="H6" s="140">
        <v>6</v>
      </c>
      <c r="J6" s="154">
        <v>13</v>
      </c>
      <c r="K6" s="134">
        <f>AC6+AG6</f>
        <v>17.3</v>
      </c>
      <c r="L6" s="134">
        <v>32.700000000000003</v>
      </c>
      <c r="M6" s="134">
        <f>I6/$J6*100</f>
        <v>0</v>
      </c>
      <c r="N6" s="150">
        <f>K6+L6+M6</f>
        <v>50</v>
      </c>
      <c r="O6" s="133">
        <v>30</v>
      </c>
      <c r="P6" s="134">
        <v>32.700000000000003</v>
      </c>
      <c r="Q6" s="134"/>
      <c r="R6" s="135">
        <f>O6+P6+Q6</f>
        <v>62.7</v>
      </c>
      <c r="S6" s="140">
        <v>3</v>
      </c>
      <c r="T6" s="308"/>
      <c r="U6" s="296"/>
      <c r="V6" s="139" t="s">
        <v>483</v>
      </c>
      <c r="W6" s="140" t="s">
        <v>81</v>
      </c>
      <c r="X6" s="140" t="s">
        <v>18</v>
      </c>
      <c r="Y6" s="141">
        <v>32.700000000000003</v>
      </c>
      <c r="Z6" s="140" t="s">
        <v>484</v>
      </c>
      <c r="AA6" s="140" t="s">
        <v>17</v>
      </c>
      <c r="AB6" s="140" t="s">
        <v>11</v>
      </c>
      <c r="AC6" s="140">
        <v>9.3000000000000007</v>
      </c>
      <c r="AD6" s="139" t="s">
        <v>485</v>
      </c>
      <c r="AE6" s="140" t="s">
        <v>85</v>
      </c>
      <c r="AF6" s="140" t="s">
        <v>11</v>
      </c>
      <c r="AG6" s="141">
        <v>8</v>
      </c>
      <c r="AL6" s="139"/>
      <c r="AO6" s="141"/>
      <c r="AP6" s="139"/>
      <c r="AS6" s="141"/>
      <c r="AW6" s="141"/>
      <c r="BA6" s="142"/>
    </row>
    <row r="7" spans="1:53" s="140" customFormat="1" x14ac:dyDescent="0.15">
      <c r="A7" s="146">
        <v>1959</v>
      </c>
      <c r="B7" s="296">
        <v>21689</v>
      </c>
      <c r="C7" s="416" t="s">
        <v>651</v>
      </c>
      <c r="D7" s="416"/>
      <c r="E7" s="140">
        <f>365-E6</f>
        <v>227</v>
      </c>
      <c r="F7" s="140">
        <v>1</v>
      </c>
      <c r="G7" s="148">
        <v>7</v>
      </c>
      <c r="H7" s="140">
        <v>6</v>
      </c>
      <c r="J7" s="154">
        <v>13</v>
      </c>
      <c r="K7" s="134">
        <f>G7/$J7*100</f>
        <v>53.846153846153847</v>
      </c>
      <c r="L7" s="134">
        <f>H7/$J7*100</f>
        <v>46.153846153846153</v>
      </c>
      <c r="M7" s="134">
        <f>I7/$J7*100</f>
        <v>0</v>
      </c>
      <c r="N7" s="150">
        <f>K7+L7+M7</f>
        <v>100</v>
      </c>
      <c r="O7" s="133">
        <v>30</v>
      </c>
      <c r="P7" s="134">
        <v>32.700000000000003</v>
      </c>
      <c r="Q7" s="134"/>
      <c r="R7" s="135">
        <f>O7+P7+Q7</f>
        <v>62.7</v>
      </c>
      <c r="S7" s="140">
        <v>3</v>
      </c>
      <c r="T7" s="308">
        <v>21887</v>
      </c>
      <c r="U7" s="296">
        <v>21689</v>
      </c>
      <c r="V7" s="139" t="s">
        <v>483</v>
      </c>
      <c r="W7" s="140" t="s">
        <v>81</v>
      </c>
      <c r="X7" s="140" t="s">
        <v>18</v>
      </c>
      <c r="Y7" s="141">
        <v>32.700000000000003</v>
      </c>
      <c r="Z7" s="140" t="s">
        <v>484</v>
      </c>
      <c r="AA7" s="140" t="s">
        <v>17</v>
      </c>
      <c r="AB7" s="140" t="s">
        <v>11</v>
      </c>
      <c r="AC7" s="140">
        <v>9.3000000000000007</v>
      </c>
      <c r="AD7" s="139" t="s">
        <v>485</v>
      </c>
      <c r="AE7" s="140" t="s">
        <v>85</v>
      </c>
      <c r="AF7" s="140" t="s">
        <v>11</v>
      </c>
      <c r="AG7" s="141">
        <v>8</v>
      </c>
      <c r="AH7" s="140" t="s">
        <v>486</v>
      </c>
      <c r="AI7" s="140" t="s">
        <v>22</v>
      </c>
      <c r="AJ7" s="140" t="s">
        <v>11</v>
      </c>
      <c r="AK7" s="140">
        <v>12.7</v>
      </c>
      <c r="AL7" s="139"/>
      <c r="AO7" s="141"/>
      <c r="AP7" s="139"/>
      <c r="AS7" s="141"/>
      <c r="AW7" s="141"/>
      <c r="BA7" s="142"/>
    </row>
    <row r="8" spans="1:53" s="29" customFormat="1" x14ac:dyDescent="0.15">
      <c r="A8" s="52">
        <v>1960</v>
      </c>
      <c r="B8" s="295"/>
      <c r="C8" s="411" t="s">
        <v>651</v>
      </c>
      <c r="D8" s="411"/>
      <c r="E8" s="29">
        <v>0</v>
      </c>
      <c r="G8" s="66">
        <v>7</v>
      </c>
      <c r="H8" s="29">
        <v>6</v>
      </c>
      <c r="J8" s="73">
        <v>13</v>
      </c>
      <c r="K8" s="47">
        <f>G8/$J8*100</f>
        <v>53.846153846153847</v>
      </c>
      <c r="L8" s="47">
        <f>H8/$J8*100</f>
        <v>46.153846153846153</v>
      </c>
      <c r="M8" s="47">
        <f>I8/$J8*100</f>
        <v>0</v>
      </c>
      <c r="N8" s="68">
        <f>K8+L8+M8</f>
        <v>100</v>
      </c>
      <c r="O8" s="46">
        <v>30</v>
      </c>
      <c r="P8" s="47">
        <v>32.700000000000003</v>
      </c>
      <c r="Q8" s="47"/>
      <c r="R8" s="48">
        <f>O8+P8+Q8</f>
        <v>62.7</v>
      </c>
      <c r="S8" s="29">
        <v>3</v>
      </c>
      <c r="T8" s="286"/>
      <c r="U8" s="295"/>
      <c r="V8" s="38" t="s">
        <v>483</v>
      </c>
      <c r="W8" s="29" t="s">
        <v>81</v>
      </c>
      <c r="X8" s="29" t="s">
        <v>18</v>
      </c>
      <c r="Y8" s="39">
        <v>32.700000000000003</v>
      </c>
      <c r="Z8" s="29" t="s">
        <v>484</v>
      </c>
      <c r="AA8" s="29" t="s">
        <v>17</v>
      </c>
      <c r="AB8" s="29" t="s">
        <v>11</v>
      </c>
      <c r="AC8" s="29">
        <v>9.3000000000000007</v>
      </c>
      <c r="AD8" s="38" t="s">
        <v>485</v>
      </c>
      <c r="AE8" s="29" t="s">
        <v>85</v>
      </c>
      <c r="AF8" s="29" t="s">
        <v>11</v>
      </c>
      <c r="AG8" s="39">
        <v>8</v>
      </c>
      <c r="AH8" s="29" t="s">
        <v>486</v>
      </c>
      <c r="AI8" s="29" t="s">
        <v>22</v>
      </c>
      <c r="AJ8" s="29" t="s">
        <v>11</v>
      </c>
      <c r="AK8" s="29">
        <v>12.7</v>
      </c>
      <c r="AL8" s="38"/>
      <c r="AO8" s="39"/>
      <c r="AP8" s="38"/>
      <c r="AS8" s="39"/>
      <c r="AW8" s="39"/>
      <c r="BA8" s="40"/>
    </row>
    <row r="9" spans="1:53" s="29" customFormat="1" x14ac:dyDescent="0.15">
      <c r="A9" s="52">
        <v>1960</v>
      </c>
      <c r="B9" s="295"/>
      <c r="C9" s="411" t="s">
        <v>651</v>
      </c>
      <c r="D9" s="411"/>
      <c r="E9" s="29">
        <v>366</v>
      </c>
      <c r="G9" s="66">
        <v>7</v>
      </c>
      <c r="H9" s="29">
        <v>6</v>
      </c>
      <c r="J9" s="73">
        <v>13</v>
      </c>
      <c r="K9" s="47">
        <f t="shared" ref="K9:M59" si="0">G9/$J9*100</f>
        <v>53.846153846153847</v>
      </c>
      <c r="L9" s="47">
        <f t="shared" si="0"/>
        <v>46.153846153846153</v>
      </c>
      <c r="M9" s="47">
        <f t="shared" si="0"/>
        <v>0</v>
      </c>
      <c r="N9" s="68">
        <f t="shared" ref="N9:N72" si="1">K9+L9+M9</f>
        <v>100</v>
      </c>
      <c r="O9" s="46">
        <v>30</v>
      </c>
      <c r="P9" s="47">
        <v>32.700000000000003</v>
      </c>
      <c r="Q9" s="47"/>
      <c r="R9" s="48">
        <f t="shared" ref="R9:R72" si="2">O9+P9+Q9</f>
        <v>62.7</v>
      </c>
      <c r="S9" s="29">
        <v>3</v>
      </c>
      <c r="T9" s="286"/>
      <c r="U9" s="295"/>
      <c r="V9" s="38" t="s">
        <v>483</v>
      </c>
      <c r="W9" s="29" t="s">
        <v>81</v>
      </c>
      <c r="X9" s="29" t="s">
        <v>18</v>
      </c>
      <c r="Y9" s="39">
        <v>32.700000000000003</v>
      </c>
      <c r="Z9" s="29" t="s">
        <v>484</v>
      </c>
      <c r="AA9" s="29" t="s">
        <v>17</v>
      </c>
      <c r="AB9" s="29" t="s">
        <v>11</v>
      </c>
      <c r="AC9" s="29">
        <v>9.3000000000000007</v>
      </c>
      <c r="AD9" s="38" t="s">
        <v>485</v>
      </c>
      <c r="AE9" s="29" t="s">
        <v>85</v>
      </c>
      <c r="AF9" s="29" t="s">
        <v>11</v>
      </c>
      <c r="AG9" s="39">
        <v>8</v>
      </c>
      <c r="AH9" s="29" t="s">
        <v>486</v>
      </c>
      <c r="AI9" s="29" t="s">
        <v>22</v>
      </c>
      <c r="AJ9" s="29" t="s">
        <v>11</v>
      </c>
      <c r="AK9" s="29">
        <v>12.7</v>
      </c>
      <c r="AL9" s="38"/>
      <c r="AO9" s="39"/>
      <c r="AP9" s="38"/>
      <c r="AS9" s="39"/>
      <c r="AW9" s="39"/>
      <c r="BA9" s="40"/>
    </row>
    <row r="10" spans="1:53" s="29" customFormat="1" x14ac:dyDescent="0.15">
      <c r="A10" s="52">
        <v>1961</v>
      </c>
      <c r="B10" s="295"/>
      <c r="C10" s="411" t="s">
        <v>651</v>
      </c>
      <c r="D10" s="411"/>
      <c r="E10" s="29">
        <v>0</v>
      </c>
      <c r="G10" s="66">
        <v>7</v>
      </c>
      <c r="H10" s="29">
        <v>6</v>
      </c>
      <c r="J10" s="73">
        <v>13</v>
      </c>
      <c r="K10" s="47">
        <f t="shared" si="0"/>
        <v>53.846153846153847</v>
      </c>
      <c r="L10" s="47">
        <f t="shared" si="0"/>
        <v>46.153846153846153</v>
      </c>
      <c r="M10" s="47">
        <f t="shared" si="0"/>
        <v>0</v>
      </c>
      <c r="N10" s="68">
        <f>K10+L10+M10</f>
        <v>100</v>
      </c>
      <c r="O10" s="46">
        <v>30</v>
      </c>
      <c r="P10" s="47">
        <v>32.700000000000003</v>
      </c>
      <c r="Q10" s="47"/>
      <c r="R10" s="48">
        <f t="shared" si="2"/>
        <v>62.7</v>
      </c>
      <c r="S10" s="29">
        <v>3</v>
      </c>
      <c r="T10" s="286"/>
      <c r="U10" s="295"/>
      <c r="V10" s="38" t="s">
        <v>483</v>
      </c>
      <c r="W10" s="29" t="s">
        <v>81</v>
      </c>
      <c r="X10" s="29" t="s">
        <v>18</v>
      </c>
      <c r="Y10" s="39">
        <v>32.700000000000003</v>
      </c>
      <c r="Z10" s="29" t="s">
        <v>484</v>
      </c>
      <c r="AA10" s="29" t="s">
        <v>17</v>
      </c>
      <c r="AB10" s="29" t="s">
        <v>11</v>
      </c>
      <c r="AC10" s="29">
        <v>9.3000000000000007</v>
      </c>
      <c r="AD10" s="38" t="s">
        <v>485</v>
      </c>
      <c r="AE10" s="29" t="s">
        <v>85</v>
      </c>
      <c r="AF10" s="29" t="s">
        <v>11</v>
      </c>
      <c r="AG10" s="39">
        <v>8</v>
      </c>
      <c r="AH10" s="29" t="s">
        <v>486</v>
      </c>
      <c r="AI10" s="29" t="s">
        <v>22</v>
      </c>
      <c r="AJ10" s="29" t="s">
        <v>11</v>
      </c>
      <c r="AK10" s="29">
        <v>12.7</v>
      </c>
      <c r="AL10" s="38"/>
      <c r="AO10" s="39"/>
      <c r="AP10" s="38"/>
      <c r="AS10" s="39"/>
      <c r="AW10" s="39"/>
      <c r="BA10" s="40"/>
    </row>
    <row r="11" spans="1:53" s="29" customFormat="1" x14ac:dyDescent="0.15">
      <c r="A11" s="52">
        <v>1961</v>
      </c>
      <c r="B11" s="295"/>
      <c r="C11" s="411" t="s">
        <v>651</v>
      </c>
      <c r="D11" s="411"/>
      <c r="E11" s="29">
        <v>365</v>
      </c>
      <c r="G11" s="66">
        <v>7</v>
      </c>
      <c r="H11" s="29">
        <v>6</v>
      </c>
      <c r="J11" s="73">
        <v>13</v>
      </c>
      <c r="K11" s="47">
        <f t="shared" si="0"/>
        <v>53.846153846153847</v>
      </c>
      <c r="L11" s="47">
        <f t="shared" si="0"/>
        <v>46.153846153846153</v>
      </c>
      <c r="M11" s="47">
        <f t="shared" si="0"/>
        <v>0</v>
      </c>
      <c r="N11" s="68">
        <f t="shared" si="1"/>
        <v>100</v>
      </c>
      <c r="O11" s="46">
        <v>30</v>
      </c>
      <c r="P11" s="47">
        <v>32.700000000000003</v>
      </c>
      <c r="Q11" s="47"/>
      <c r="R11" s="48">
        <f t="shared" si="2"/>
        <v>62.7</v>
      </c>
      <c r="S11" s="29">
        <v>3</v>
      </c>
      <c r="T11" s="286"/>
      <c r="U11" s="295"/>
      <c r="V11" s="38" t="s">
        <v>483</v>
      </c>
      <c r="W11" s="29" t="s">
        <v>81</v>
      </c>
      <c r="X11" s="29" t="s">
        <v>18</v>
      </c>
      <c r="Y11" s="39">
        <v>32.700000000000003</v>
      </c>
      <c r="Z11" s="29" t="s">
        <v>484</v>
      </c>
      <c r="AA11" s="29" t="s">
        <v>17</v>
      </c>
      <c r="AB11" s="29" t="s">
        <v>11</v>
      </c>
      <c r="AC11" s="29">
        <v>9.3000000000000007</v>
      </c>
      <c r="AD11" s="38" t="s">
        <v>485</v>
      </c>
      <c r="AE11" s="29" t="s">
        <v>85</v>
      </c>
      <c r="AF11" s="29" t="s">
        <v>11</v>
      </c>
      <c r="AG11" s="39">
        <v>8</v>
      </c>
      <c r="AH11" s="29" t="s">
        <v>486</v>
      </c>
      <c r="AI11" s="29" t="s">
        <v>22</v>
      </c>
      <c r="AJ11" s="29" t="s">
        <v>11</v>
      </c>
      <c r="AK11" s="29">
        <v>12.7</v>
      </c>
      <c r="AL11" s="38"/>
      <c r="AO11" s="39"/>
      <c r="AP11" s="38"/>
      <c r="AS11" s="39"/>
      <c r="AW11" s="39"/>
      <c r="BA11" s="40"/>
    </row>
    <row r="12" spans="1:53" s="29" customFormat="1" x14ac:dyDescent="0.15">
      <c r="A12" s="52">
        <v>1962</v>
      </c>
      <c r="B12" s="295"/>
      <c r="C12" s="411" t="s">
        <v>651</v>
      </c>
      <c r="D12" s="411"/>
      <c r="E12" s="29">
        <v>0</v>
      </c>
      <c r="G12" s="66">
        <v>7</v>
      </c>
      <c r="H12" s="29">
        <v>6</v>
      </c>
      <c r="J12" s="73">
        <v>13</v>
      </c>
      <c r="K12" s="47">
        <f t="shared" si="0"/>
        <v>53.846153846153847</v>
      </c>
      <c r="L12" s="47">
        <f t="shared" si="0"/>
        <v>46.153846153846153</v>
      </c>
      <c r="M12" s="47">
        <f t="shared" si="0"/>
        <v>0</v>
      </c>
      <c r="N12" s="68">
        <f t="shared" si="1"/>
        <v>100</v>
      </c>
      <c r="O12" s="46">
        <v>30</v>
      </c>
      <c r="P12" s="47">
        <v>32.700000000000003</v>
      </c>
      <c r="Q12" s="47"/>
      <c r="R12" s="48">
        <f t="shared" si="2"/>
        <v>62.7</v>
      </c>
      <c r="S12" s="29">
        <v>3</v>
      </c>
      <c r="T12" s="286"/>
      <c r="U12" s="295"/>
      <c r="V12" s="38" t="s">
        <v>483</v>
      </c>
      <c r="W12" s="29" t="s">
        <v>81</v>
      </c>
      <c r="X12" s="29" t="s">
        <v>18</v>
      </c>
      <c r="Y12" s="39">
        <v>32.700000000000003</v>
      </c>
      <c r="Z12" s="29" t="s">
        <v>484</v>
      </c>
      <c r="AA12" s="29" t="s">
        <v>17</v>
      </c>
      <c r="AB12" s="29" t="s">
        <v>11</v>
      </c>
      <c r="AC12" s="29">
        <v>9.3000000000000007</v>
      </c>
      <c r="AD12" s="38" t="s">
        <v>485</v>
      </c>
      <c r="AE12" s="29" t="s">
        <v>85</v>
      </c>
      <c r="AF12" s="29" t="s">
        <v>11</v>
      </c>
      <c r="AG12" s="39">
        <v>8</v>
      </c>
      <c r="AH12" s="29" t="s">
        <v>486</v>
      </c>
      <c r="AI12" s="29" t="s">
        <v>22</v>
      </c>
      <c r="AJ12" s="29" t="s">
        <v>11</v>
      </c>
      <c r="AK12" s="29">
        <v>12.7</v>
      </c>
      <c r="AL12" s="38"/>
      <c r="AO12" s="39"/>
      <c r="AP12" s="38"/>
      <c r="AS12" s="39"/>
      <c r="AW12" s="39"/>
      <c r="BA12" s="40"/>
    </row>
    <row r="13" spans="1:53" s="29" customFormat="1" x14ac:dyDescent="0.15">
      <c r="A13" s="52">
        <v>1962</v>
      </c>
      <c r="B13" s="295"/>
      <c r="C13" s="411" t="s">
        <v>651</v>
      </c>
      <c r="D13" s="411"/>
      <c r="E13" s="29">
        <v>365</v>
      </c>
      <c r="G13" s="66">
        <v>7</v>
      </c>
      <c r="H13" s="29">
        <v>6</v>
      </c>
      <c r="J13" s="73">
        <v>13</v>
      </c>
      <c r="K13" s="47">
        <f t="shared" si="0"/>
        <v>53.846153846153847</v>
      </c>
      <c r="L13" s="47">
        <f t="shared" si="0"/>
        <v>46.153846153846153</v>
      </c>
      <c r="M13" s="47">
        <f t="shared" si="0"/>
        <v>0</v>
      </c>
      <c r="N13" s="68">
        <f t="shared" si="1"/>
        <v>100</v>
      </c>
      <c r="O13" s="46">
        <v>30</v>
      </c>
      <c r="P13" s="47">
        <v>32.700000000000003</v>
      </c>
      <c r="Q13" s="47"/>
      <c r="R13" s="48">
        <f t="shared" si="2"/>
        <v>62.7</v>
      </c>
      <c r="S13" s="29">
        <v>3</v>
      </c>
      <c r="T13" s="286"/>
      <c r="U13" s="295"/>
      <c r="V13" s="38" t="s">
        <v>483</v>
      </c>
      <c r="W13" s="29" t="s">
        <v>81</v>
      </c>
      <c r="X13" s="29" t="s">
        <v>18</v>
      </c>
      <c r="Y13" s="39">
        <v>32.700000000000003</v>
      </c>
      <c r="Z13" s="29" t="s">
        <v>484</v>
      </c>
      <c r="AA13" s="29" t="s">
        <v>17</v>
      </c>
      <c r="AB13" s="29" t="s">
        <v>11</v>
      </c>
      <c r="AC13" s="29">
        <v>9.3000000000000007</v>
      </c>
      <c r="AD13" s="38" t="s">
        <v>485</v>
      </c>
      <c r="AE13" s="29" t="s">
        <v>85</v>
      </c>
      <c r="AF13" s="29" t="s">
        <v>11</v>
      </c>
      <c r="AG13" s="39">
        <v>8</v>
      </c>
      <c r="AH13" s="29" t="s">
        <v>486</v>
      </c>
      <c r="AI13" s="29" t="s">
        <v>22</v>
      </c>
      <c r="AJ13" s="29" t="s">
        <v>11</v>
      </c>
      <c r="AK13" s="29">
        <v>12.7</v>
      </c>
      <c r="AL13" s="38"/>
      <c r="AO13" s="39"/>
      <c r="AP13" s="38"/>
      <c r="AS13" s="39"/>
      <c r="AW13" s="39"/>
      <c r="BA13" s="40"/>
    </row>
    <row r="14" spans="1:53" s="29" customFormat="1" x14ac:dyDescent="0.15">
      <c r="A14" s="52">
        <v>1962.6</v>
      </c>
      <c r="B14" s="295"/>
      <c r="C14" s="411" t="s">
        <v>651</v>
      </c>
      <c r="D14" s="411"/>
      <c r="E14" s="29">
        <v>204</v>
      </c>
      <c r="G14" s="66">
        <v>7</v>
      </c>
      <c r="H14" s="29">
        <v>6</v>
      </c>
      <c r="J14" s="73">
        <v>13</v>
      </c>
      <c r="K14" s="47">
        <f t="shared" si="0"/>
        <v>53.846153846153847</v>
      </c>
      <c r="L14" s="47">
        <f t="shared" si="0"/>
        <v>46.153846153846153</v>
      </c>
      <c r="M14" s="47">
        <f t="shared" si="0"/>
        <v>0</v>
      </c>
      <c r="N14" s="68">
        <f t="shared" si="1"/>
        <v>100</v>
      </c>
      <c r="O14" s="46">
        <v>30</v>
      </c>
      <c r="P14" s="47">
        <v>32.700000000000003</v>
      </c>
      <c r="Q14" s="47"/>
      <c r="R14" s="48">
        <f t="shared" si="2"/>
        <v>62.7</v>
      </c>
      <c r="S14" s="29">
        <v>3</v>
      </c>
      <c r="T14" s="286"/>
      <c r="U14" s="295"/>
      <c r="V14" s="38" t="s">
        <v>483</v>
      </c>
      <c r="W14" s="29" t="s">
        <v>81</v>
      </c>
      <c r="X14" s="29" t="s">
        <v>18</v>
      </c>
      <c r="Y14" s="39">
        <v>32.700000000000003</v>
      </c>
      <c r="Z14" s="29" t="s">
        <v>484</v>
      </c>
      <c r="AA14" s="29" t="s">
        <v>17</v>
      </c>
      <c r="AB14" s="29" t="s">
        <v>11</v>
      </c>
      <c r="AC14" s="29">
        <v>9.3000000000000007</v>
      </c>
      <c r="AD14" s="38" t="s">
        <v>485</v>
      </c>
      <c r="AE14" s="29" t="s">
        <v>85</v>
      </c>
      <c r="AF14" s="29" t="s">
        <v>11</v>
      </c>
      <c r="AG14" s="39">
        <v>8</v>
      </c>
      <c r="AH14" s="29" t="s">
        <v>486</v>
      </c>
      <c r="AI14" s="29" t="s">
        <v>22</v>
      </c>
      <c r="AJ14" s="29" t="s">
        <v>11</v>
      </c>
      <c r="AK14" s="29">
        <v>12.7</v>
      </c>
      <c r="AL14" s="38"/>
      <c r="AO14" s="39"/>
      <c r="AP14" s="38"/>
      <c r="AS14" s="39"/>
      <c r="AW14" s="39"/>
      <c r="BA14" s="40"/>
    </row>
    <row r="15" spans="1:53" s="171" customFormat="1" x14ac:dyDescent="0.15">
      <c r="A15" s="216">
        <v>1963.05714285714</v>
      </c>
      <c r="B15" s="283">
        <v>23216</v>
      </c>
      <c r="C15" s="410" t="s">
        <v>652</v>
      </c>
      <c r="D15" s="410"/>
      <c r="E15" s="171">
        <f>365-E14</f>
        <v>161</v>
      </c>
      <c r="F15" s="171">
        <v>1</v>
      </c>
      <c r="G15" s="233">
        <v>7</v>
      </c>
      <c r="H15" s="171">
        <v>6</v>
      </c>
      <c r="J15" s="241">
        <v>13</v>
      </c>
      <c r="K15" s="214">
        <f t="shared" si="0"/>
        <v>53.846153846153847</v>
      </c>
      <c r="L15" s="214">
        <f t="shared" si="0"/>
        <v>46.153846153846153</v>
      </c>
      <c r="M15" s="214">
        <f t="shared" si="0"/>
        <v>0</v>
      </c>
      <c r="N15" s="235">
        <f t="shared" si="1"/>
        <v>100</v>
      </c>
      <c r="O15" s="213">
        <v>28.099999999999998</v>
      </c>
      <c r="P15" s="214">
        <v>33.299999999999997</v>
      </c>
      <c r="Q15" s="214"/>
      <c r="R15" s="215">
        <f t="shared" si="2"/>
        <v>61.399999999999991</v>
      </c>
      <c r="S15" s="171">
        <v>3</v>
      </c>
      <c r="T15" s="285">
        <v>23146</v>
      </c>
      <c r="U15" s="283">
        <v>23216</v>
      </c>
      <c r="V15" s="178" t="s">
        <v>483</v>
      </c>
      <c r="W15" s="171" t="s">
        <v>81</v>
      </c>
      <c r="X15" s="171" t="s">
        <v>18</v>
      </c>
      <c r="Y15" s="179">
        <v>33.299999999999997</v>
      </c>
      <c r="Z15" s="171" t="s">
        <v>484</v>
      </c>
      <c r="AA15" s="171" t="s">
        <v>17</v>
      </c>
      <c r="AB15" s="171" t="s">
        <v>11</v>
      </c>
      <c r="AC15" s="171">
        <v>8.6999999999999993</v>
      </c>
      <c r="AD15" s="178" t="s">
        <v>485</v>
      </c>
      <c r="AE15" s="171" t="s">
        <v>85</v>
      </c>
      <c r="AF15" s="171" t="s">
        <v>11</v>
      </c>
      <c r="AG15" s="179">
        <v>8.6999999999999993</v>
      </c>
      <c r="AH15" s="171" t="s">
        <v>486</v>
      </c>
      <c r="AI15" s="171" t="s">
        <v>22</v>
      </c>
      <c r="AJ15" s="171" t="s">
        <v>11</v>
      </c>
      <c r="AK15" s="171">
        <v>10.7</v>
      </c>
      <c r="AL15" s="178"/>
      <c r="AO15" s="179"/>
      <c r="AP15" s="178"/>
      <c r="AS15" s="179"/>
      <c r="AW15" s="179"/>
      <c r="BA15" s="180"/>
    </row>
    <row r="16" spans="1:53" s="171" customFormat="1" x14ac:dyDescent="0.15">
      <c r="A16" s="216">
        <v>1963.5142857142901</v>
      </c>
      <c r="B16" s="283"/>
      <c r="C16" s="410" t="s">
        <v>652</v>
      </c>
      <c r="D16" s="410"/>
      <c r="E16" s="171">
        <v>0</v>
      </c>
      <c r="G16" s="233">
        <v>7</v>
      </c>
      <c r="H16" s="171">
        <v>6</v>
      </c>
      <c r="J16" s="241">
        <v>13</v>
      </c>
      <c r="K16" s="214">
        <f t="shared" si="0"/>
        <v>53.846153846153847</v>
      </c>
      <c r="L16" s="214">
        <f t="shared" si="0"/>
        <v>46.153846153846153</v>
      </c>
      <c r="M16" s="214">
        <f t="shared" si="0"/>
        <v>0</v>
      </c>
      <c r="N16" s="235">
        <f t="shared" si="1"/>
        <v>100</v>
      </c>
      <c r="O16" s="213">
        <v>28.099999999999998</v>
      </c>
      <c r="P16" s="214">
        <v>33.299999999999997</v>
      </c>
      <c r="Q16" s="214"/>
      <c r="R16" s="215">
        <f t="shared" si="2"/>
        <v>61.399999999999991</v>
      </c>
      <c r="S16" s="171">
        <v>3</v>
      </c>
      <c r="T16" s="285"/>
      <c r="U16" s="283"/>
      <c r="V16" s="178" t="s">
        <v>483</v>
      </c>
      <c r="W16" s="171" t="s">
        <v>81</v>
      </c>
      <c r="X16" s="171" t="s">
        <v>18</v>
      </c>
      <c r="Y16" s="179">
        <v>33.299999999999997</v>
      </c>
      <c r="Z16" s="171" t="s">
        <v>484</v>
      </c>
      <c r="AA16" s="171" t="s">
        <v>17</v>
      </c>
      <c r="AB16" s="171" t="s">
        <v>11</v>
      </c>
      <c r="AC16" s="171">
        <v>8.6999999999999993</v>
      </c>
      <c r="AD16" s="178" t="s">
        <v>485</v>
      </c>
      <c r="AE16" s="171" t="s">
        <v>85</v>
      </c>
      <c r="AF16" s="171" t="s">
        <v>11</v>
      </c>
      <c r="AG16" s="179">
        <v>8.6999999999999993</v>
      </c>
      <c r="AH16" s="171" t="s">
        <v>486</v>
      </c>
      <c r="AI16" s="171" t="s">
        <v>22</v>
      </c>
      <c r="AJ16" s="171" t="s">
        <v>11</v>
      </c>
      <c r="AK16" s="171">
        <v>10.7</v>
      </c>
      <c r="AL16" s="178"/>
      <c r="AO16" s="179"/>
      <c r="AP16" s="178"/>
      <c r="AS16" s="179"/>
      <c r="AW16" s="179"/>
      <c r="BA16" s="180"/>
    </row>
    <row r="17" spans="1:53" s="171" customFormat="1" x14ac:dyDescent="0.15">
      <c r="A17" s="216">
        <v>1963.9714285714299</v>
      </c>
      <c r="B17" s="283"/>
      <c r="C17" s="410" t="s">
        <v>652</v>
      </c>
      <c r="D17" s="410"/>
      <c r="E17" s="171">
        <v>366</v>
      </c>
      <c r="G17" s="233">
        <v>7</v>
      </c>
      <c r="H17" s="171">
        <v>6</v>
      </c>
      <c r="J17" s="241">
        <v>13</v>
      </c>
      <c r="K17" s="214">
        <f t="shared" si="0"/>
        <v>53.846153846153847</v>
      </c>
      <c r="L17" s="214">
        <f t="shared" si="0"/>
        <v>46.153846153846153</v>
      </c>
      <c r="M17" s="214">
        <f t="shared" si="0"/>
        <v>0</v>
      </c>
      <c r="N17" s="235">
        <f t="shared" si="1"/>
        <v>100</v>
      </c>
      <c r="O17" s="213">
        <v>28.099999999999998</v>
      </c>
      <c r="P17" s="214">
        <v>33.299999999999997</v>
      </c>
      <c r="Q17" s="214"/>
      <c r="R17" s="215">
        <f t="shared" si="2"/>
        <v>61.399999999999991</v>
      </c>
      <c r="S17" s="171">
        <v>3</v>
      </c>
      <c r="T17" s="285"/>
      <c r="U17" s="283"/>
      <c r="V17" s="178" t="s">
        <v>483</v>
      </c>
      <c r="W17" s="171" t="s">
        <v>81</v>
      </c>
      <c r="X17" s="171" t="s">
        <v>18</v>
      </c>
      <c r="Y17" s="179">
        <v>33.299999999999997</v>
      </c>
      <c r="Z17" s="171" t="s">
        <v>484</v>
      </c>
      <c r="AA17" s="171" t="s">
        <v>17</v>
      </c>
      <c r="AB17" s="171" t="s">
        <v>11</v>
      </c>
      <c r="AC17" s="171">
        <v>8.6999999999999993</v>
      </c>
      <c r="AD17" s="178" t="s">
        <v>485</v>
      </c>
      <c r="AE17" s="171" t="s">
        <v>85</v>
      </c>
      <c r="AF17" s="171" t="s">
        <v>11</v>
      </c>
      <c r="AG17" s="179">
        <v>8.6999999999999993</v>
      </c>
      <c r="AH17" s="171" t="s">
        <v>486</v>
      </c>
      <c r="AI17" s="171" t="s">
        <v>22</v>
      </c>
      <c r="AJ17" s="171" t="s">
        <v>11</v>
      </c>
      <c r="AK17" s="171">
        <v>10.7</v>
      </c>
      <c r="AL17" s="178"/>
      <c r="AO17" s="179"/>
      <c r="AP17" s="178"/>
      <c r="AS17" s="179"/>
      <c r="AW17" s="179"/>
      <c r="BA17" s="180"/>
    </row>
    <row r="18" spans="1:53" s="171" customFormat="1" x14ac:dyDescent="0.15">
      <c r="A18" s="216">
        <v>1965</v>
      </c>
      <c r="B18" s="283"/>
      <c r="C18" s="410" t="s">
        <v>652</v>
      </c>
      <c r="D18" s="410"/>
      <c r="E18" s="171">
        <v>116</v>
      </c>
      <c r="G18" s="233">
        <v>7</v>
      </c>
      <c r="H18" s="171">
        <v>6</v>
      </c>
      <c r="J18" s="241">
        <v>13</v>
      </c>
      <c r="K18" s="214">
        <f t="shared" si="0"/>
        <v>53.846153846153847</v>
      </c>
      <c r="L18" s="214">
        <f t="shared" si="0"/>
        <v>46.153846153846153</v>
      </c>
      <c r="M18" s="214">
        <f t="shared" si="0"/>
        <v>0</v>
      </c>
      <c r="N18" s="235">
        <f t="shared" si="1"/>
        <v>100</v>
      </c>
      <c r="O18" s="213">
        <v>28.099999999999998</v>
      </c>
      <c r="P18" s="214">
        <v>33.299999999999997</v>
      </c>
      <c r="Q18" s="214"/>
      <c r="R18" s="215">
        <f t="shared" si="2"/>
        <v>61.399999999999991</v>
      </c>
      <c r="S18" s="171">
        <v>3</v>
      </c>
      <c r="T18" s="285"/>
      <c r="U18" s="283"/>
      <c r="V18" s="178" t="s">
        <v>483</v>
      </c>
      <c r="W18" s="171" t="s">
        <v>81</v>
      </c>
      <c r="X18" s="171" t="s">
        <v>18</v>
      </c>
      <c r="Y18" s="179">
        <v>33.299999999999997</v>
      </c>
      <c r="Z18" s="171" t="s">
        <v>484</v>
      </c>
      <c r="AA18" s="171" t="s">
        <v>17</v>
      </c>
      <c r="AB18" s="171" t="s">
        <v>11</v>
      </c>
      <c r="AC18" s="171">
        <v>8.6999999999999993</v>
      </c>
      <c r="AD18" s="178" t="s">
        <v>485</v>
      </c>
      <c r="AE18" s="171" t="s">
        <v>85</v>
      </c>
      <c r="AF18" s="171" t="s">
        <v>11</v>
      </c>
      <c r="AG18" s="179">
        <v>8.6999999999999993</v>
      </c>
      <c r="AH18" s="171" t="s">
        <v>486</v>
      </c>
      <c r="AI18" s="171" t="s">
        <v>22</v>
      </c>
      <c r="AJ18" s="171" t="s">
        <v>11</v>
      </c>
      <c r="AK18" s="171">
        <v>10.7</v>
      </c>
      <c r="AL18" s="178"/>
      <c r="AO18" s="179"/>
      <c r="AP18" s="178"/>
      <c r="AS18" s="179"/>
      <c r="AW18" s="179"/>
      <c r="BA18" s="180"/>
    </row>
    <row r="19" spans="1:53" s="29" customFormat="1" x14ac:dyDescent="0.15">
      <c r="A19" s="52">
        <v>1964.88571428572</v>
      </c>
      <c r="B19" s="295">
        <v>23859</v>
      </c>
      <c r="C19" s="411" t="s">
        <v>653</v>
      </c>
      <c r="D19" s="411"/>
      <c r="E19" s="29">
        <f>365-E18</f>
        <v>249</v>
      </c>
      <c r="F19" s="29">
        <v>4</v>
      </c>
      <c r="G19" s="66">
        <v>2</v>
      </c>
      <c r="H19" s="29">
        <v>6</v>
      </c>
      <c r="I19" s="29">
        <v>5</v>
      </c>
      <c r="J19" s="73">
        <v>14</v>
      </c>
      <c r="K19" s="47">
        <f t="shared" si="0"/>
        <v>14.285714285714285</v>
      </c>
      <c r="L19" s="47">
        <f t="shared" si="0"/>
        <v>42.857142857142854</v>
      </c>
      <c r="M19" s="47">
        <f t="shared" si="0"/>
        <v>35.714285714285715</v>
      </c>
      <c r="N19" s="68">
        <f t="shared" si="1"/>
        <v>92.857142857142861</v>
      </c>
      <c r="O19" s="46">
        <v>8.6999999999999993</v>
      </c>
      <c r="P19" s="47">
        <v>33.299999999999997</v>
      </c>
      <c r="Q19" s="47">
        <v>28.7</v>
      </c>
      <c r="R19" s="48">
        <f t="shared" si="2"/>
        <v>70.7</v>
      </c>
      <c r="S19" s="29">
        <v>3</v>
      </c>
      <c r="T19" s="286"/>
      <c r="U19" s="295">
        <v>23859</v>
      </c>
      <c r="V19" s="38" t="s">
        <v>483</v>
      </c>
      <c r="W19" s="29" t="s">
        <v>81</v>
      </c>
      <c r="X19" s="29" t="s">
        <v>18</v>
      </c>
      <c r="Y19" s="39">
        <v>33.299999999999997</v>
      </c>
      <c r="Z19" s="29" t="s">
        <v>484</v>
      </c>
      <c r="AA19" s="29" t="s">
        <v>17</v>
      </c>
      <c r="AB19" s="29" t="s">
        <v>11</v>
      </c>
      <c r="AC19" s="29">
        <v>8.6999999999999993</v>
      </c>
      <c r="AD19" s="38" t="s">
        <v>487</v>
      </c>
      <c r="AE19" s="29" t="s">
        <v>20</v>
      </c>
      <c r="AF19" s="29" t="s">
        <v>12</v>
      </c>
      <c r="AG19" s="39">
        <v>28.7</v>
      </c>
      <c r="AL19" s="38"/>
      <c r="AO19" s="39"/>
      <c r="AP19" s="38"/>
      <c r="AS19" s="39"/>
      <c r="AW19" s="39"/>
      <c r="BA19" s="40"/>
    </row>
    <row r="20" spans="1:53" s="29" customFormat="1" x14ac:dyDescent="0.15">
      <c r="A20" s="52">
        <v>1966</v>
      </c>
      <c r="B20" s="295"/>
      <c r="C20" s="411" t="s">
        <v>653</v>
      </c>
      <c r="D20" s="411"/>
      <c r="E20" s="29">
        <v>325</v>
      </c>
      <c r="G20" s="66">
        <v>2</v>
      </c>
      <c r="H20" s="29">
        <v>6</v>
      </c>
      <c r="I20" s="29">
        <v>5</v>
      </c>
      <c r="J20" s="73">
        <v>14</v>
      </c>
      <c r="K20" s="47">
        <f t="shared" si="0"/>
        <v>14.285714285714285</v>
      </c>
      <c r="L20" s="47">
        <f t="shared" si="0"/>
        <v>42.857142857142854</v>
      </c>
      <c r="M20" s="47">
        <f t="shared" si="0"/>
        <v>35.714285714285715</v>
      </c>
      <c r="N20" s="68">
        <f t="shared" si="1"/>
        <v>92.857142857142861</v>
      </c>
      <c r="O20" s="46">
        <v>8.6999999999999993</v>
      </c>
      <c r="P20" s="47">
        <v>33.299999999999997</v>
      </c>
      <c r="Q20" s="47">
        <v>28.7</v>
      </c>
      <c r="R20" s="48">
        <f t="shared" si="2"/>
        <v>70.7</v>
      </c>
      <c r="S20" s="29">
        <v>3</v>
      </c>
      <c r="T20" s="286"/>
      <c r="U20" s="295"/>
      <c r="V20" s="38" t="s">
        <v>483</v>
      </c>
      <c r="W20" s="29" t="s">
        <v>81</v>
      </c>
      <c r="X20" s="29" t="s">
        <v>18</v>
      </c>
      <c r="Y20" s="39">
        <v>33.299999999999997</v>
      </c>
      <c r="Z20" s="29" t="s">
        <v>484</v>
      </c>
      <c r="AA20" s="29" t="s">
        <v>17</v>
      </c>
      <c r="AB20" s="29" t="s">
        <v>11</v>
      </c>
      <c r="AC20" s="29">
        <v>8.6999999999999993</v>
      </c>
      <c r="AD20" s="38" t="s">
        <v>487</v>
      </c>
      <c r="AE20" s="29" t="s">
        <v>20</v>
      </c>
      <c r="AF20" s="29" t="s">
        <v>12</v>
      </c>
      <c r="AG20" s="39">
        <v>28.7</v>
      </c>
      <c r="AL20" s="38"/>
      <c r="AO20" s="39"/>
      <c r="AP20" s="38"/>
      <c r="AS20" s="39"/>
      <c r="AW20" s="39"/>
      <c r="BA20" s="40"/>
    </row>
    <row r="21" spans="1:53" s="171" customFormat="1" x14ac:dyDescent="0.15">
      <c r="A21" s="216">
        <v>1965.8</v>
      </c>
      <c r="B21" s="283">
        <v>24433</v>
      </c>
      <c r="C21" s="410" t="s">
        <v>654</v>
      </c>
      <c r="D21" s="410"/>
      <c r="E21" s="171">
        <f>365-E20</f>
        <v>40</v>
      </c>
      <c r="F21" s="171">
        <v>5</v>
      </c>
      <c r="G21" s="233">
        <v>4</v>
      </c>
      <c r="H21" s="171">
        <v>9</v>
      </c>
      <c r="J21" s="241">
        <v>13</v>
      </c>
      <c r="K21" s="214">
        <f t="shared" si="0"/>
        <v>30.76923076923077</v>
      </c>
      <c r="L21" s="214">
        <f t="shared" si="0"/>
        <v>69.230769230769226</v>
      </c>
      <c r="M21" s="214">
        <f t="shared" si="0"/>
        <v>0</v>
      </c>
      <c r="N21" s="235">
        <f t="shared" si="1"/>
        <v>100</v>
      </c>
      <c r="O21" s="213">
        <v>8.6999999999999993</v>
      </c>
      <c r="P21" s="214">
        <v>33.299999999999997</v>
      </c>
      <c r="Q21" s="214"/>
      <c r="R21" s="215">
        <f t="shared" si="2"/>
        <v>42</v>
      </c>
      <c r="S21" s="171">
        <v>6</v>
      </c>
      <c r="T21" s="285"/>
      <c r="U21" s="283">
        <v>24433</v>
      </c>
      <c r="V21" s="178" t="s">
        <v>483</v>
      </c>
      <c r="W21" s="171" t="s">
        <v>81</v>
      </c>
      <c r="X21" s="171" t="s">
        <v>18</v>
      </c>
      <c r="Y21" s="179">
        <v>33.299999999999997</v>
      </c>
      <c r="Z21" s="171" t="s">
        <v>484</v>
      </c>
      <c r="AA21" s="171" t="s">
        <v>17</v>
      </c>
      <c r="AB21" s="171" t="s">
        <v>11</v>
      </c>
      <c r="AC21" s="171">
        <v>8.6999999999999993</v>
      </c>
      <c r="AD21" s="178"/>
      <c r="AG21" s="179"/>
      <c r="AL21" s="178"/>
      <c r="AO21" s="179"/>
      <c r="AP21" s="178"/>
      <c r="AS21" s="179"/>
      <c r="AW21" s="179"/>
      <c r="BA21" s="180"/>
    </row>
    <row r="22" spans="1:53" s="171" customFormat="1" x14ac:dyDescent="0.15">
      <c r="A22" s="216">
        <v>1967</v>
      </c>
      <c r="B22" s="283"/>
      <c r="C22" s="410" t="s">
        <v>654</v>
      </c>
      <c r="D22" s="410"/>
      <c r="E22" s="171">
        <v>92</v>
      </c>
      <c r="G22" s="233">
        <v>4</v>
      </c>
      <c r="H22" s="171">
        <v>9</v>
      </c>
      <c r="J22" s="241">
        <v>13</v>
      </c>
      <c r="K22" s="214">
        <f t="shared" si="0"/>
        <v>30.76923076923077</v>
      </c>
      <c r="L22" s="214">
        <f t="shared" si="0"/>
        <v>69.230769230769226</v>
      </c>
      <c r="M22" s="214">
        <f t="shared" si="0"/>
        <v>0</v>
      </c>
      <c r="N22" s="235">
        <f t="shared" si="1"/>
        <v>100</v>
      </c>
      <c r="O22" s="213">
        <v>8.6999999999999993</v>
      </c>
      <c r="P22" s="214">
        <v>33.299999999999997</v>
      </c>
      <c r="Q22" s="214"/>
      <c r="R22" s="215">
        <f t="shared" si="2"/>
        <v>42</v>
      </c>
      <c r="S22" s="171">
        <v>6</v>
      </c>
      <c r="T22" s="285"/>
      <c r="U22" s="283"/>
      <c r="V22" s="178" t="s">
        <v>483</v>
      </c>
      <c r="W22" s="171" t="s">
        <v>81</v>
      </c>
      <c r="X22" s="171" t="s">
        <v>18</v>
      </c>
      <c r="Y22" s="179">
        <v>33.299999999999997</v>
      </c>
      <c r="Z22" s="171" t="s">
        <v>484</v>
      </c>
      <c r="AA22" s="171" t="s">
        <v>17</v>
      </c>
      <c r="AB22" s="171" t="s">
        <v>11</v>
      </c>
      <c r="AC22" s="171">
        <v>8.6999999999999993</v>
      </c>
      <c r="AD22" s="178"/>
      <c r="AG22" s="179"/>
      <c r="AL22" s="178"/>
      <c r="AO22" s="179"/>
      <c r="AP22" s="178"/>
      <c r="AS22" s="179"/>
      <c r="AW22" s="179"/>
      <c r="BA22" s="180"/>
    </row>
    <row r="23" spans="1:53" s="29" customFormat="1" x14ac:dyDescent="0.15">
      <c r="A23" s="52">
        <v>1966.7142857142901</v>
      </c>
      <c r="B23" s="295">
        <v>24565</v>
      </c>
      <c r="C23" s="411" t="s">
        <v>807</v>
      </c>
      <c r="D23" s="411"/>
      <c r="E23" s="29">
        <f>365-E22</f>
        <v>273</v>
      </c>
      <c r="F23" s="29">
        <v>1</v>
      </c>
      <c r="G23" s="66">
        <v>8</v>
      </c>
      <c r="H23" s="29">
        <v>6</v>
      </c>
      <c r="J23" s="73">
        <v>14</v>
      </c>
      <c r="K23" s="47">
        <f t="shared" si="0"/>
        <v>57.142857142857139</v>
      </c>
      <c r="L23" s="47">
        <f t="shared" si="0"/>
        <v>42.857142857142854</v>
      </c>
      <c r="M23" s="47">
        <f t="shared" si="0"/>
        <v>0</v>
      </c>
      <c r="N23" s="68">
        <f t="shared" si="1"/>
        <v>100</v>
      </c>
      <c r="O23" s="46">
        <v>29.3</v>
      </c>
      <c r="P23" s="47">
        <v>28</v>
      </c>
      <c r="Q23" s="47"/>
      <c r="R23" s="48">
        <f t="shared" si="2"/>
        <v>57.3</v>
      </c>
      <c r="S23" s="29">
        <v>2</v>
      </c>
      <c r="T23" s="286">
        <v>24518</v>
      </c>
      <c r="U23" s="295">
        <v>24565</v>
      </c>
      <c r="V23" s="38" t="s">
        <v>483</v>
      </c>
      <c r="W23" s="29" t="s">
        <v>81</v>
      </c>
      <c r="X23" s="29" t="s">
        <v>18</v>
      </c>
      <c r="Y23" s="39">
        <v>28</v>
      </c>
      <c r="Z23" s="29" t="s">
        <v>484</v>
      </c>
      <c r="AA23" s="29" t="s">
        <v>17</v>
      </c>
      <c r="AB23" s="29" t="s">
        <v>11</v>
      </c>
      <c r="AC23" s="29">
        <v>10</v>
      </c>
      <c r="AD23" s="38" t="s">
        <v>485</v>
      </c>
      <c r="AE23" s="29" t="s">
        <v>85</v>
      </c>
      <c r="AF23" s="29" t="s">
        <v>11</v>
      </c>
      <c r="AG23" s="39">
        <v>8</v>
      </c>
      <c r="AH23" s="29" t="s">
        <v>486</v>
      </c>
      <c r="AI23" s="29" t="s">
        <v>22</v>
      </c>
      <c r="AJ23" s="29" t="s">
        <v>11</v>
      </c>
      <c r="AK23" s="29">
        <v>11.3</v>
      </c>
      <c r="AL23" s="38"/>
      <c r="AO23" s="39"/>
      <c r="AP23" s="38"/>
      <c r="AS23" s="39"/>
      <c r="AW23" s="39"/>
      <c r="BA23" s="40"/>
    </row>
    <row r="24" spans="1:53" s="29" customFormat="1" x14ac:dyDescent="0.15">
      <c r="A24" s="52">
        <v>1968</v>
      </c>
      <c r="B24" s="295"/>
      <c r="C24" s="411" t="s">
        <v>807</v>
      </c>
      <c r="D24" s="411"/>
      <c r="E24" s="29">
        <v>0</v>
      </c>
      <c r="G24" s="66">
        <v>8</v>
      </c>
      <c r="H24" s="29">
        <v>6</v>
      </c>
      <c r="J24" s="73">
        <v>14</v>
      </c>
      <c r="K24" s="47">
        <f t="shared" si="0"/>
        <v>57.142857142857139</v>
      </c>
      <c r="L24" s="47">
        <f t="shared" si="0"/>
        <v>42.857142857142854</v>
      </c>
      <c r="M24" s="47">
        <f t="shared" si="0"/>
        <v>0</v>
      </c>
      <c r="N24" s="68">
        <f t="shared" si="1"/>
        <v>100</v>
      </c>
      <c r="O24" s="46">
        <v>29.3</v>
      </c>
      <c r="P24" s="47">
        <v>28</v>
      </c>
      <c r="Q24" s="47"/>
      <c r="R24" s="48">
        <f t="shared" si="2"/>
        <v>57.3</v>
      </c>
      <c r="S24" s="29">
        <v>2</v>
      </c>
      <c r="T24" s="286"/>
      <c r="U24" s="295"/>
      <c r="V24" s="38" t="s">
        <v>483</v>
      </c>
      <c r="W24" s="29" t="s">
        <v>81</v>
      </c>
      <c r="X24" s="29" t="s">
        <v>18</v>
      </c>
      <c r="Y24" s="39">
        <v>28</v>
      </c>
      <c r="Z24" s="29" t="s">
        <v>484</v>
      </c>
      <c r="AA24" s="29" t="s">
        <v>17</v>
      </c>
      <c r="AB24" s="29" t="s">
        <v>11</v>
      </c>
      <c r="AC24" s="29">
        <v>10</v>
      </c>
      <c r="AD24" s="38" t="s">
        <v>485</v>
      </c>
      <c r="AE24" s="29" t="s">
        <v>85</v>
      </c>
      <c r="AF24" s="29" t="s">
        <v>11</v>
      </c>
      <c r="AG24" s="39">
        <v>8</v>
      </c>
      <c r="AH24" s="29" t="s">
        <v>486</v>
      </c>
      <c r="AI24" s="29" t="s">
        <v>22</v>
      </c>
      <c r="AJ24" s="29" t="s">
        <v>11</v>
      </c>
      <c r="AK24" s="29">
        <v>11.3</v>
      </c>
      <c r="AL24" s="38"/>
      <c r="AO24" s="39"/>
      <c r="AP24" s="38"/>
      <c r="AS24" s="39"/>
      <c r="AW24" s="39"/>
      <c r="BA24" s="40"/>
    </row>
    <row r="25" spans="1:53" s="29" customFormat="1" x14ac:dyDescent="0.15">
      <c r="A25" s="52">
        <v>1967.62857142857</v>
      </c>
      <c r="B25" s="295"/>
      <c r="C25" s="411" t="s">
        <v>807</v>
      </c>
      <c r="D25" s="411"/>
      <c r="E25" s="29">
        <v>366</v>
      </c>
      <c r="G25" s="66">
        <v>8</v>
      </c>
      <c r="H25" s="29">
        <v>6</v>
      </c>
      <c r="J25" s="73">
        <v>14</v>
      </c>
      <c r="K25" s="47">
        <f t="shared" si="0"/>
        <v>57.142857142857139</v>
      </c>
      <c r="L25" s="47">
        <f t="shared" si="0"/>
        <v>42.857142857142854</v>
      </c>
      <c r="M25" s="47">
        <f t="shared" si="0"/>
        <v>0</v>
      </c>
      <c r="N25" s="68">
        <f t="shared" si="1"/>
        <v>100</v>
      </c>
      <c r="O25" s="46">
        <v>29.3</v>
      </c>
      <c r="P25" s="47">
        <v>28</v>
      </c>
      <c r="Q25" s="47"/>
      <c r="R25" s="48">
        <f t="shared" si="2"/>
        <v>57.3</v>
      </c>
      <c r="S25" s="29">
        <v>2</v>
      </c>
      <c r="T25" s="286"/>
      <c r="U25" s="295"/>
      <c r="V25" s="38" t="s">
        <v>483</v>
      </c>
      <c r="W25" s="29" t="s">
        <v>81</v>
      </c>
      <c r="X25" s="29" t="s">
        <v>18</v>
      </c>
      <c r="Y25" s="39">
        <v>28</v>
      </c>
      <c r="Z25" s="29" t="s">
        <v>484</v>
      </c>
      <c r="AA25" s="29" t="s">
        <v>17</v>
      </c>
      <c r="AB25" s="29" t="s">
        <v>11</v>
      </c>
      <c r="AC25" s="29">
        <v>10</v>
      </c>
      <c r="AD25" s="38" t="s">
        <v>485</v>
      </c>
      <c r="AE25" s="29" t="s">
        <v>85</v>
      </c>
      <c r="AF25" s="29" t="s">
        <v>11</v>
      </c>
      <c r="AG25" s="39">
        <v>8</v>
      </c>
      <c r="AH25" s="29" t="s">
        <v>486</v>
      </c>
      <c r="AI25" s="29" t="s">
        <v>22</v>
      </c>
      <c r="AJ25" s="29" t="s">
        <v>11</v>
      </c>
      <c r="AK25" s="29">
        <v>11.3</v>
      </c>
      <c r="AL25" s="38"/>
      <c r="AO25" s="39"/>
      <c r="AP25" s="38"/>
      <c r="AS25" s="39"/>
      <c r="AW25" s="39"/>
      <c r="BA25" s="40"/>
    </row>
    <row r="26" spans="1:53" s="29" customFormat="1" x14ac:dyDescent="0.15">
      <c r="A26" s="52">
        <v>1969</v>
      </c>
      <c r="B26" s="295"/>
      <c r="C26" s="411" t="s">
        <v>807</v>
      </c>
      <c r="D26" s="411"/>
      <c r="E26" s="29">
        <v>0</v>
      </c>
      <c r="G26" s="66">
        <v>8</v>
      </c>
      <c r="H26" s="29">
        <v>6</v>
      </c>
      <c r="J26" s="73">
        <v>14</v>
      </c>
      <c r="K26" s="47">
        <f t="shared" si="0"/>
        <v>57.142857142857139</v>
      </c>
      <c r="L26" s="47">
        <f t="shared" si="0"/>
        <v>42.857142857142854</v>
      </c>
      <c r="M26" s="47">
        <f t="shared" si="0"/>
        <v>0</v>
      </c>
      <c r="N26" s="68">
        <f t="shared" si="1"/>
        <v>100</v>
      </c>
      <c r="O26" s="46">
        <v>29.3</v>
      </c>
      <c r="P26" s="47">
        <v>28</v>
      </c>
      <c r="Q26" s="47"/>
      <c r="R26" s="48">
        <f t="shared" si="2"/>
        <v>57.3</v>
      </c>
      <c r="S26" s="29">
        <v>2</v>
      </c>
      <c r="T26" s="286"/>
      <c r="U26" s="295"/>
      <c r="V26" s="38" t="s">
        <v>483</v>
      </c>
      <c r="W26" s="29" t="s">
        <v>81</v>
      </c>
      <c r="X26" s="29" t="s">
        <v>18</v>
      </c>
      <c r="Y26" s="39">
        <v>28</v>
      </c>
      <c r="Z26" s="29" t="s">
        <v>484</v>
      </c>
      <c r="AA26" s="29" t="s">
        <v>17</v>
      </c>
      <c r="AB26" s="29" t="s">
        <v>11</v>
      </c>
      <c r="AC26" s="29">
        <v>10</v>
      </c>
      <c r="AD26" s="38" t="s">
        <v>485</v>
      </c>
      <c r="AE26" s="29" t="s">
        <v>85</v>
      </c>
      <c r="AF26" s="29" t="s">
        <v>11</v>
      </c>
      <c r="AG26" s="39">
        <v>8</v>
      </c>
      <c r="AH26" s="29" t="s">
        <v>486</v>
      </c>
      <c r="AI26" s="29" t="s">
        <v>22</v>
      </c>
      <c r="AJ26" s="29" t="s">
        <v>11</v>
      </c>
      <c r="AK26" s="29">
        <v>11.3</v>
      </c>
      <c r="AL26" s="38"/>
      <c r="AO26" s="39"/>
      <c r="AP26" s="38"/>
      <c r="AS26" s="39"/>
      <c r="AW26" s="39"/>
      <c r="BA26" s="40"/>
    </row>
    <row r="27" spans="1:53" s="29" customFormat="1" x14ac:dyDescent="0.15">
      <c r="A27" s="52">
        <v>1968.5428571428599</v>
      </c>
      <c r="B27" s="295"/>
      <c r="C27" s="411" t="s">
        <v>807</v>
      </c>
      <c r="D27" s="411"/>
      <c r="E27" s="29">
        <v>365</v>
      </c>
      <c r="G27" s="66">
        <v>8</v>
      </c>
      <c r="H27" s="29">
        <v>6</v>
      </c>
      <c r="J27" s="73">
        <v>14</v>
      </c>
      <c r="K27" s="47">
        <f t="shared" si="0"/>
        <v>57.142857142857139</v>
      </c>
      <c r="L27" s="47">
        <f t="shared" si="0"/>
        <v>42.857142857142854</v>
      </c>
      <c r="M27" s="47">
        <f t="shared" si="0"/>
        <v>0</v>
      </c>
      <c r="N27" s="68">
        <f t="shared" si="1"/>
        <v>100</v>
      </c>
      <c r="O27" s="46">
        <v>29.3</v>
      </c>
      <c r="P27" s="47">
        <v>28</v>
      </c>
      <c r="Q27" s="47"/>
      <c r="R27" s="48">
        <f t="shared" si="2"/>
        <v>57.3</v>
      </c>
      <c r="S27" s="29">
        <v>2</v>
      </c>
      <c r="T27" s="286"/>
      <c r="U27" s="295"/>
      <c r="V27" s="38" t="s">
        <v>483</v>
      </c>
      <c r="W27" s="29" t="s">
        <v>81</v>
      </c>
      <c r="X27" s="29" t="s">
        <v>18</v>
      </c>
      <c r="Y27" s="39">
        <v>28</v>
      </c>
      <c r="Z27" s="29" t="s">
        <v>484</v>
      </c>
      <c r="AA27" s="29" t="s">
        <v>17</v>
      </c>
      <c r="AB27" s="29" t="s">
        <v>11</v>
      </c>
      <c r="AC27" s="29">
        <v>10</v>
      </c>
      <c r="AD27" s="38" t="s">
        <v>485</v>
      </c>
      <c r="AE27" s="29" t="s">
        <v>85</v>
      </c>
      <c r="AF27" s="29" t="s">
        <v>11</v>
      </c>
      <c r="AG27" s="39">
        <v>8</v>
      </c>
      <c r="AH27" s="29" t="s">
        <v>486</v>
      </c>
      <c r="AI27" s="29" t="s">
        <v>22</v>
      </c>
      <c r="AJ27" s="29" t="s">
        <v>11</v>
      </c>
      <c r="AK27" s="29">
        <v>11.3</v>
      </c>
      <c r="AL27" s="38"/>
      <c r="AO27" s="39"/>
      <c r="AP27" s="38"/>
      <c r="AS27" s="39"/>
      <c r="AW27" s="39"/>
      <c r="BA27" s="40"/>
    </row>
    <row r="28" spans="1:53" s="29" customFormat="1" x14ac:dyDescent="0.15">
      <c r="A28" s="52">
        <v>1970</v>
      </c>
      <c r="B28" s="295"/>
      <c r="C28" s="411" t="s">
        <v>807</v>
      </c>
      <c r="D28" s="411"/>
      <c r="E28" s="29">
        <v>0</v>
      </c>
      <c r="G28" s="66">
        <v>8</v>
      </c>
      <c r="H28" s="29">
        <v>6</v>
      </c>
      <c r="J28" s="73">
        <v>14</v>
      </c>
      <c r="K28" s="47">
        <f t="shared" si="0"/>
        <v>57.142857142857139</v>
      </c>
      <c r="L28" s="47">
        <f t="shared" si="0"/>
        <v>42.857142857142854</v>
      </c>
      <c r="M28" s="47">
        <f t="shared" si="0"/>
        <v>0</v>
      </c>
      <c r="N28" s="68">
        <f t="shared" si="1"/>
        <v>100</v>
      </c>
      <c r="O28" s="46">
        <v>29.3</v>
      </c>
      <c r="P28" s="47">
        <v>28</v>
      </c>
      <c r="Q28" s="47"/>
      <c r="R28" s="48">
        <f t="shared" si="2"/>
        <v>57.3</v>
      </c>
      <c r="S28" s="29">
        <v>2</v>
      </c>
      <c r="T28" s="286"/>
      <c r="U28" s="295"/>
      <c r="V28" s="38" t="s">
        <v>483</v>
      </c>
      <c r="W28" s="29" t="s">
        <v>81</v>
      </c>
      <c r="X28" s="29" t="s">
        <v>18</v>
      </c>
      <c r="Y28" s="39">
        <v>28</v>
      </c>
      <c r="Z28" s="29" t="s">
        <v>484</v>
      </c>
      <c r="AA28" s="29" t="s">
        <v>17</v>
      </c>
      <c r="AB28" s="29" t="s">
        <v>11</v>
      </c>
      <c r="AC28" s="29">
        <v>10</v>
      </c>
      <c r="AD28" s="38" t="s">
        <v>485</v>
      </c>
      <c r="AE28" s="29" t="s">
        <v>85</v>
      </c>
      <c r="AF28" s="29" t="s">
        <v>11</v>
      </c>
      <c r="AG28" s="39">
        <v>8</v>
      </c>
      <c r="AH28" s="29" t="s">
        <v>486</v>
      </c>
      <c r="AI28" s="29" t="s">
        <v>22</v>
      </c>
      <c r="AJ28" s="29" t="s">
        <v>11</v>
      </c>
      <c r="AK28" s="29">
        <v>11.3</v>
      </c>
      <c r="AL28" s="38"/>
      <c r="AO28" s="39"/>
      <c r="AP28" s="38"/>
      <c r="AS28" s="39"/>
      <c r="AW28" s="39"/>
      <c r="BA28" s="40"/>
    </row>
    <row r="29" spans="1:53" s="29" customFormat="1" x14ac:dyDescent="0.15">
      <c r="A29" s="52">
        <v>1970</v>
      </c>
      <c r="B29" s="295"/>
      <c r="C29" s="411" t="s">
        <v>807</v>
      </c>
      <c r="D29" s="411"/>
      <c r="E29" s="29">
        <v>365</v>
      </c>
      <c r="G29" s="66">
        <v>8</v>
      </c>
      <c r="H29" s="29">
        <v>6</v>
      </c>
      <c r="J29" s="73">
        <v>14</v>
      </c>
      <c r="K29" s="47">
        <f t="shared" si="0"/>
        <v>57.142857142857139</v>
      </c>
      <c r="L29" s="47">
        <f t="shared" si="0"/>
        <v>42.857142857142854</v>
      </c>
      <c r="M29" s="47">
        <f t="shared" si="0"/>
        <v>0</v>
      </c>
      <c r="N29" s="68">
        <f t="shared" si="1"/>
        <v>100</v>
      </c>
      <c r="O29" s="46">
        <v>29.3</v>
      </c>
      <c r="P29" s="47">
        <v>28</v>
      </c>
      <c r="Q29" s="47"/>
      <c r="R29" s="48">
        <f t="shared" si="2"/>
        <v>57.3</v>
      </c>
      <c r="S29" s="29">
        <v>2</v>
      </c>
      <c r="T29" s="286"/>
      <c r="U29" s="295"/>
      <c r="V29" s="38" t="s">
        <v>483</v>
      </c>
      <c r="W29" s="29" t="s">
        <v>81</v>
      </c>
      <c r="X29" s="29" t="s">
        <v>18</v>
      </c>
      <c r="Y29" s="39">
        <v>28</v>
      </c>
      <c r="Z29" s="29" t="s">
        <v>484</v>
      </c>
      <c r="AA29" s="29" t="s">
        <v>17</v>
      </c>
      <c r="AB29" s="29" t="s">
        <v>11</v>
      </c>
      <c r="AC29" s="29">
        <v>10</v>
      </c>
      <c r="AD29" s="38" t="s">
        <v>485</v>
      </c>
      <c r="AE29" s="29" t="s">
        <v>85</v>
      </c>
      <c r="AF29" s="29" t="s">
        <v>11</v>
      </c>
      <c r="AG29" s="39">
        <v>8</v>
      </c>
      <c r="AH29" s="29" t="s">
        <v>486</v>
      </c>
      <c r="AI29" s="29" t="s">
        <v>22</v>
      </c>
      <c r="AJ29" s="29" t="s">
        <v>11</v>
      </c>
      <c r="AK29" s="29">
        <v>11.3</v>
      </c>
      <c r="AL29" s="38"/>
      <c r="AO29" s="39"/>
      <c r="AP29" s="38"/>
      <c r="AS29" s="39"/>
      <c r="AW29" s="39"/>
      <c r="BA29" s="40"/>
    </row>
    <row r="30" spans="1:53" s="29" customFormat="1" x14ac:dyDescent="0.15">
      <c r="A30" s="52">
        <v>1971</v>
      </c>
      <c r="B30" s="295"/>
      <c r="C30" s="411" t="s">
        <v>807</v>
      </c>
      <c r="D30" s="411"/>
      <c r="E30" s="29">
        <v>186</v>
      </c>
      <c r="G30" s="66">
        <v>8</v>
      </c>
      <c r="H30" s="29">
        <v>6</v>
      </c>
      <c r="J30" s="73">
        <v>14</v>
      </c>
      <c r="K30" s="47">
        <f t="shared" si="0"/>
        <v>57.142857142857139</v>
      </c>
      <c r="L30" s="47">
        <f t="shared" si="0"/>
        <v>42.857142857142854</v>
      </c>
      <c r="M30" s="47">
        <f t="shared" si="0"/>
        <v>0</v>
      </c>
      <c r="N30" s="68">
        <f t="shared" si="1"/>
        <v>100</v>
      </c>
      <c r="O30" s="46">
        <v>29.3</v>
      </c>
      <c r="P30" s="47">
        <v>28</v>
      </c>
      <c r="Q30" s="47"/>
      <c r="R30" s="48">
        <f t="shared" si="2"/>
        <v>57.3</v>
      </c>
      <c r="S30" s="29">
        <v>2</v>
      </c>
      <c r="T30" s="286"/>
      <c r="U30" s="295"/>
      <c r="V30" s="38" t="s">
        <v>483</v>
      </c>
      <c r="W30" s="29" t="s">
        <v>81</v>
      </c>
      <c r="X30" s="29" t="s">
        <v>18</v>
      </c>
      <c r="Y30" s="39">
        <v>28</v>
      </c>
      <c r="Z30" s="29" t="s">
        <v>484</v>
      </c>
      <c r="AA30" s="29" t="s">
        <v>17</v>
      </c>
      <c r="AB30" s="29" t="s">
        <v>11</v>
      </c>
      <c r="AC30" s="29">
        <v>10</v>
      </c>
      <c r="AD30" s="38" t="s">
        <v>485</v>
      </c>
      <c r="AE30" s="29" t="s">
        <v>85</v>
      </c>
      <c r="AF30" s="29" t="s">
        <v>11</v>
      </c>
      <c r="AG30" s="39">
        <v>8</v>
      </c>
      <c r="AH30" s="29" t="s">
        <v>486</v>
      </c>
      <c r="AI30" s="29" t="s">
        <v>22</v>
      </c>
      <c r="AJ30" s="29" t="s">
        <v>11</v>
      </c>
      <c r="AK30" s="29">
        <v>11.3</v>
      </c>
      <c r="AL30" s="38"/>
      <c r="AO30" s="39"/>
      <c r="AP30" s="38"/>
      <c r="AS30" s="39"/>
      <c r="AW30" s="39"/>
      <c r="BA30" s="40"/>
    </row>
    <row r="31" spans="1:53" s="171" customFormat="1" x14ac:dyDescent="0.15">
      <c r="A31" s="216">
        <v>1971</v>
      </c>
      <c r="B31" s="283">
        <v>26120</v>
      </c>
      <c r="C31" s="410" t="s">
        <v>655</v>
      </c>
      <c r="D31" s="410"/>
      <c r="E31" s="171">
        <v>179</v>
      </c>
      <c r="F31" s="171">
        <v>1</v>
      </c>
      <c r="G31" s="233">
        <v>8</v>
      </c>
      <c r="H31" s="171">
        <v>8</v>
      </c>
      <c r="J31" s="241">
        <v>16</v>
      </c>
      <c r="K31" s="214">
        <f t="shared" si="0"/>
        <v>50</v>
      </c>
      <c r="L31" s="214">
        <f t="shared" si="0"/>
        <v>50</v>
      </c>
      <c r="M31" s="214">
        <f t="shared" si="0"/>
        <v>0</v>
      </c>
      <c r="N31" s="235">
        <f t="shared" si="1"/>
        <v>100</v>
      </c>
      <c r="O31" s="213">
        <v>26.099999999999998</v>
      </c>
      <c r="P31" s="214">
        <v>28.6</v>
      </c>
      <c r="Q31" s="214"/>
      <c r="R31" s="215">
        <f t="shared" si="2"/>
        <v>54.7</v>
      </c>
      <c r="S31" s="171">
        <v>2</v>
      </c>
      <c r="T31" s="285">
        <v>26020</v>
      </c>
      <c r="U31" s="283">
        <v>26120</v>
      </c>
      <c r="V31" s="178" t="s">
        <v>483</v>
      </c>
      <c r="W31" s="171" t="s">
        <v>81</v>
      </c>
      <c r="X31" s="171" t="s">
        <v>18</v>
      </c>
      <c r="Y31" s="179">
        <v>23.3</v>
      </c>
      <c r="Z31" s="171" t="s">
        <v>484</v>
      </c>
      <c r="AA31" s="171" t="s">
        <v>17</v>
      </c>
      <c r="AB31" s="171" t="s">
        <v>11</v>
      </c>
      <c r="AC31" s="171">
        <v>8.6999999999999993</v>
      </c>
      <c r="AD31" s="178" t="s">
        <v>485</v>
      </c>
      <c r="AE31" s="171" t="s">
        <v>85</v>
      </c>
      <c r="AF31" s="171" t="s">
        <v>11</v>
      </c>
      <c r="AG31" s="179">
        <v>6.7</v>
      </c>
      <c r="AH31" s="171" t="s">
        <v>486</v>
      </c>
      <c r="AI31" s="171" t="s">
        <v>22</v>
      </c>
      <c r="AJ31" s="171" t="s">
        <v>11</v>
      </c>
      <c r="AK31" s="171">
        <v>10.7</v>
      </c>
      <c r="AL31" s="178" t="s">
        <v>488</v>
      </c>
      <c r="AM31" s="171" t="s">
        <v>97</v>
      </c>
      <c r="AN31" s="171" t="s">
        <v>18</v>
      </c>
      <c r="AO31" s="179">
        <v>5.3</v>
      </c>
      <c r="AP31" s="178"/>
      <c r="AS31" s="179"/>
      <c r="AW31" s="179"/>
      <c r="BA31" s="180"/>
    </row>
    <row r="32" spans="1:53" s="171" customFormat="1" x14ac:dyDescent="0.15">
      <c r="A32" s="216">
        <v>1972</v>
      </c>
      <c r="B32" s="283"/>
      <c r="C32" s="410" t="s">
        <v>655</v>
      </c>
      <c r="D32" s="410"/>
      <c r="E32" s="171">
        <v>229</v>
      </c>
      <c r="G32" s="233">
        <v>8</v>
      </c>
      <c r="H32" s="171">
        <v>8</v>
      </c>
      <c r="J32" s="241">
        <v>16</v>
      </c>
      <c r="K32" s="214">
        <f t="shared" si="0"/>
        <v>50</v>
      </c>
      <c r="L32" s="214">
        <f t="shared" si="0"/>
        <v>50</v>
      </c>
      <c r="M32" s="214">
        <f t="shared" si="0"/>
        <v>0</v>
      </c>
      <c r="N32" s="235">
        <f t="shared" si="1"/>
        <v>100</v>
      </c>
      <c r="O32" s="213">
        <v>26.099999999999998</v>
      </c>
      <c r="P32" s="214">
        <v>28.6</v>
      </c>
      <c r="Q32" s="214"/>
      <c r="R32" s="215">
        <f t="shared" si="2"/>
        <v>54.7</v>
      </c>
      <c r="S32" s="171">
        <v>2</v>
      </c>
      <c r="T32" s="285"/>
      <c r="U32" s="283"/>
      <c r="V32" s="178" t="s">
        <v>483</v>
      </c>
      <c r="W32" s="171" t="s">
        <v>81</v>
      </c>
      <c r="X32" s="171" t="s">
        <v>18</v>
      </c>
      <c r="Y32" s="179">
        <v>23.3</v>
      </c>
      <c r="Z32" s="171" t="s">
        <v>484</v>
      </c>
      <c r="AA32" s="171" t="s">
        <v>17</v>
      </c>
      <c r="AB32" s="171" t="s">
        <v>11</v>
      </c>
      <c r="AC32" s="171">
        <v>8.6999999999999993</v>
      </c>
      <c r="AD32" s="178" t="s">
        <v>485</v>
      </c>
      <c r="AE32" s="171" t="s">
        <v>85</v>
      </c>
      <c r="AF32" s="171" t="s">
        <v>11</v>
      </c>
      <c r="AG32" s="179">
        <v>6.7</v>
      </c>
      <c r="AH32" s="171" t="s">
        <v>486</v>
      </c>
      <c r="AI32" s="171" t="s">
        <v>22</v>
      </c>
      <c r="AJ32" s="171" t="s">
        <v>11</v>
      </c>
      <c r="AK32" s="171">
        <v>10.7</v>
      </c>
      <c r="AL32" s="178" t="s">
        <v>488</v>
      </c>
      <c r="AM32" s="171" t="s">
        <v>97</v>
      </c>
      <c r="AN32" s="171" t="s">
        <v>18</v>
      </c>
      <c r="AO32" s="179">
        <v>5.3</v>
      </c>
      <c r="AP32" s="178"/>
      <c r="AS32" s="179"/>
      <c r="AW32" s="179"/>
      <c r="BA32" s="180"/>
    </row>
    <row r="33" spans="1:53" s="29" customFormat="1" x14ac:dyDescent="0.15">
      <c r="A33" s="52">
        <v>1972</v>
      </c>
      <c r="B33" s="295">
        <v>26528</v>
      </c>
      <c r="C33" s="411" t="s">
        <v>656</v>
      </c>
      <c r="D33" s="411"/>
      <c r="E33" s="29">
        <f>366-E32</f>
        <v>137</v>
      </c>
      <c r="F33" s="29">
        <v>4</v>
      </c>
      <c r="G33" s="66">
        <v>8</v>
      </c>
      <c r="H33" s="29">
        <v>6</v>
      </c>
      <c r="J33" s="73">
        <v>14</v>
      </c>
      <c r="K33" s="47">
        <f t="shared" si="0"/>
        <v>57.142857142857139</v>
      </c>
      <c r="L33" s="47">
        <f t="shared" si="0"/>
        <v>42.857142857142854</v>
      </c>
      <c r="M33" s="47">
        <f t="shared" si="0"/>
        <v>0</v>
      </c>
      <c r="N33" s="68">
        <f t="shared" si="1"/>
        <v>100</v>
      </c>
      <c r="O33" s="46">
        <v>26.099999999999998</v>
      </c>
      <c r="P33" s="47">
        <v>23.3</v>
      </c>
      <c r="Q33" s="47"/>
      <c r="R33" s="48">
        <f t="shared" si="2"/>
        <v>49.4</v>
      </c>
      <c r="S33" s="29">
        <v>6</v>
      </c>
      <c r="T33" s="286">
        <v>26632</v>
      </c>
      <c r="U33" s="295">
        <v>26528</v>
      </c>
      <c r="V33" s="38" t="s">
        <v>483</v>
      </c>
      <c r="W33" s="29" t="s">
        <v>81</v>
      </c>
      <c r="X33" s="29" t="s">
        <v>18</v>
      </c>
      <c r="Y33" s="39">
        <v>23.3</v>
      </c>
      <c r="Z33" s="29" t="s">
        <v>484</v>
      </c>
      <c r="AA33" s="29" t="s">
        <v>17</v>
      </c>
      <c r="AB33" s="29" t="s">
        <v>11</v>
      </c>
      <c r="AC33" s="29">
        <v>8.6999999999999993</v>
      </c>
      <c r="AD33" s="38" t="s">
        <v>485</v>
      </c>
      <c r="AE33" s="29" t="s">
        <v>85</v>
      </c>
      <c r="AF33" s="29" t="s">
        <v>11</v>
      </c>
      <c r="AG33" s="39">
        <v>6.7</v>
      </c>
      <c r="AH33" s="29" t="s">
        <v>486</v>
      </c>
      <c r="AI33" s="29" t="s">
        <v>22</v>
      </c>
      <c r="AJ33" s="29" t="s">
        <v>11</v>
      </c>
      <c r="AK33" s="29">
        <v>10.7</v>
      </c>
      <c r="AL33" s="38"/>
      <c r="AO33" s="39"/>
      <c r="AP33" s="38"/>
      <c r="AS33" s="39"/>
      <c r="AW33" s="39"/>
      <c r="BA33" s="40"/>
    </row>
    <row r="34" spans="1:53" s="29" customFormat="1" x14ac:dyDescent="0.15">
      <c r="A34" s="52">
        <v>1973</v>
      </c>
      <c r="B34" s="295"/>
      <c r="C34" s="411" t="s">
        <v>656</v>
      </c>
      <c r="D34" s="411"/>
      <c r="E34" s="29">
        <v>130</v>
      </c>
      <c r="G34" s="66">
        <v>8</v>
      </c>
      <c r="H34" s="29">
        <v>6</v>
      </c>
      <c r="J34" s="73">
        <v>14</v>
      </c>
      <c r="K34" s="47">
        <f t="shared" si="0"/>
        <v>57.142857142857139</v>
      </c>
      <c r="L34" s="47">
        <f t="shared" si="0"/>
        <v>42.857142857142854</v>
      </c>
      <c r="M34" s="47">
        <f t="shared" si="0"/>
        <v>0</v>
      </c>
      <c r="N34" s="68">
        <f t="shared" si="1"/>
        <v>100</v>
      </c>
      <c r="O34" s="46">
        <v>26.099999999999998</v>
      </c>
      <c r="P34" s="47">
        <v>23.3</v>
      </c>
      <c r="Q34" s="47"/>
      <c r="R34" s="48">
        <f t="shared" si="2"/>
        <v>49.4</v>
      </c>
      <c r="S34" s="29">
        <v>6</v>
      </c>
      <c r="T34" s="286"/>
      <c r="U34" s="295"/>
      <c r="V34" s="38" t="s">
        <v>483</v>
      </c>
      <c r="W34" s="29" t="s">
        <v>81</v>
      </c>
      <c r="X34" s="29" t="s">
        <v>18</v>
      </c>
      <c r="Y34" s="39">
        <v>23.3</v>
      </c>
      <c r="Z34" s="29" t="s">
        <v>484</v>
      </c>
      <c r="AA34" s="29" t="s">
        <v>17</v>
      </c>
      <c r="AB34" s="29" t="s">
        <v>11</v>
      </c>
      <c r="AC34" s="29">
        <v>8.6999999999999993</v>
      </c>
      <c r="AD34" s="38" t="s">
        <v>485</v>
      </c>
      <c r="AE34" s="29" t="s">
        <v>85</v>
      </c>
      <c r="AF34" s="29" t="s">
        <v>11</v>
      </c>
      <c r="AG34" s="39">
        <v>6.7</v>
      </c>
      <c r="AH34" s="29" t="s">
        <v>486</v>
      </c>
      <c r="AI34" s="29" t="s">
        <v>22</v>
      </c>
      <c r="AJ34" s="29" t="s">
        <v>11</v>
      </c>
      <c r="AK34" s="29">
        <v>10.7</v>
      </c>
      <c r="AL34" s="38"/>
      <c r="AO34" s="39"/>
      <c r="AP34" s="38"/>
      <c r="AS34" s="39"/>
      <c r="AW34" s="39"/>
      <c r="BA34" s="40"/>
    </row>
    <row r="35" spans="1:53" s="171" customFormat="1" x14ac:dyDescent="0.15">
      <c r="A35" s="216">
        <v>1973</v>
      </c>
      <c r="B35" s="283">
        <v>26795</v>
      </c>
      <c r="C35" s="410" t="s">
        <v>808</v>
      </c>
      <c r="D35" s="410"/>
      <c r="E35" s="171">
        <f>365-E34</f>
        <v>235</v>
      </c>
      <c r="F35" s="171">
        <v>1</v>
      </c>
      <c r="G35" s="233">
        <v>2</v>
      </c>
      <c r="H35" s="171">
        <v>5</v>
      </c>
      <c r="I35" s="171">
        <v>9</v>
      </c>
      <c r="J35" s="241">
        <v>16</v>
      </c>
      <c r="K35" s="214">
        <f t="shared" si="0"/>
        <v>12.5</v>
      </c>
      <c r="L35" s="214">
        <f t="shared" si="0"/>
        <v>31.25</v>
      </c>
      <c r="M35" s="214">
        <f t="shared" si="0"/>
        <v>56.25</v>
      </c>
      <c r="N35" s="235">
        <f t="shared" si="1"/>
        <v>100</v>
      </c>
      <c r="O35" s="213">
        <v>9.3000000000000007</v>
      </c>
      <c r="P35" s="214">
        <v>22</v>
      </c>
      <c r="Q35" s="214">
        <v>33.4</v>
      </c>
      <c r="R35" s="215">
        <f t="shared" si="2"/>
        <v>64.7</v>
      </c>
      <c r="S35" s="171">
        <v>3</v>
      </c>
      <c r="T35" s="285"/>
      <c r="U35" s="283">
        <v>26795</v>
      </c>
      <c r="V35" s="178" t="s">
        <v>483</v>
      </c>
      <c r="W35" s="171" t="s">
        <v>81</v>
      </c>
      <c r="X35" s="171" t="s">
        <v>18</v>
      </c>
      <c r="Y35" s="179">
        <v>18</v>
      </c>
      <c r="Z35" s="171" t="s">
        <v>484</v>
      </c>
      <c r="AA35" s="171" t="s">
        <v>17</v>
      </c>
      <c r="AB35" s="171" t="s">
        <v>11</v>
      </c>
      <c r="AC35" s="171">
        <v>9.3000000000000007</v>
      </c>
      <c r="AD35" s="178" t="s">
        <v>487</v>
      </c>
      <c r="AE35" s="171" t="s">
        <v>20</v>
      </c>
      <c r="AF35" s="171" t="s">
        <v>12</v>
      </c>
      <c r="AG35" s="179">
        <v>28.7</v>
      </c>
      <c r="AH35" s="171" t="s">
        <v>489</v>
      </c>
      <c r="AI35" s="171" t="s">
        <v>87</v>
      </c>
      <c r="AJ35" s="171" t="s">
        <v>18</v>
      </c>
      <c r="AK35" s="171">
        <v>4</v>
      </c>
      <c r="AL35" s="178" t="s">
        <v>564</v>
      </c>
      <c r="AM35" s="171" t="s">
        <v>324</v>
      </c>
      <c r="AN35" s="171" t="s">
        <v>12</v>
      </c>
      <c r="AO35" s="179">
        <v>4.7</v>
      </c>
      <c r="AP35" s="178"/>
      <c r="AS35" s="179"/>
      <c r="AW35" s="179"/>
      <c r="BA35" s="180"/>
    </row>
    <row r="36" spans="1:53" s="171" customFormat="1" x14ac:dyDescent="0.15">
      <c r="A36" s="216">
        <v>1974</v>
      </c>
      <c r="B36" s="283"/>
      <c r="C36" s="410" t="s">
        <v>808</v>
      </c>
      <c r="D36" s="410"/>
      <c r="E36" s="171">
        <v>0</v>
      </c>
      <c r="G36" s="233">
        <v>2</v>
      </c>
      <c r="H36" s="171">
        <v>5</v>
      </c>
      <c r="I36" s="171">
        <v>9</v>
      </c>
      <c r="J36" s="241">
        <v>16</v>
      </c>
      <c r="K36" s="214">
        <f t="shared" si="0"/>
        <v>12.5</v>
      </c>
      <c r="L36" s="214">
        <f t="shared" si="0"/>
        <v>31.25</v>
      </c>
      <c r="M36" s="214">
        <f t="shared" si="0"/>
        <v>56.25</v>
      </c>
      <c r="N36" s="235">
        <f t="shared" si="1"/>
        <v>100</v>
      </c>
      <c r="O36" s="213">
        <v>9.3000000000000007</v>
      </c>
      <c r="P36" s="214">
        <v>22</v>
      </c>
      <c r="Q36" s="214">
        <v>33.4</v>
      </c>
      <c r="R36" s="215">
        <f t="shared" si="2"/>
        <v>64.7</v>
      </c>
      <c r="S36" s="171">
        <v>3</v>
      </c>
      <c r="T36" s="285"/>
      <c r="U36" s="283"/>
      <c r="V36" s="178" t="s">
        <v>483</v>
      </c>
      <c r="W36" s="171" t="s">
        <v>81</v>
      </c>
      <c r="X36" s="171" t="s">
        <v>18</v>
      </c>
      <c r="Y36" s="179">
        <v>18</v>
      </c>
      <c r="Z36" s="171" t="s">
        <v>484</v>
      </c>
      <c r="AA36" s="171" t="s">
        <v>17</v>
      </c>
      <c r="AB36" s="171" t="s">
        <v>11</v>
      </c>
      <c r="AC36" s="171">
        <v>9.3000000000000007</v>
      </c>
      <c r="AD36" s="178" t="s">
        <v>487</v>
      </c>
      <c r="AE36" s="171" t="s">
        <v>20</v>
      </c>
      <c r="AF36" s="171" t="s">
        <v>12</v>
      </c>
      <c r="AG36" s="179">
        <v>28.7</v>
      </c>
      <c r="AH36" s="171" t="s">
        <v>489</v>
      </c>
      <c r="AI36" s="171" t="s">
        <v>87</v>
      </c>
      <c r="AJ36" s="171" t="s">
        <v>18</v>
      </c>
      <c r="AK36" s="171">
        <v>4</v>
      </c>
      <c r="AL36" s="178" t="s">
        <v>564</v>
      </c>
      <c r="AM36" s="171" t="s">
        <v>324</v>
      </c>
      <c r="AN36" s="171" t="s">
        <v>12</v>
      </c>
      <c r="AO36" s="179">
        <v>4.7</v>
      </c>
      <c r="AP36" s="178"/>
      <c r="AS36" s="179"/>
      <c r="AW36" s="179"/>
      <c r="BA36" s="180"/>
    </row>
    <row r="37" spans="1:53" s="171" customFormat="1" x14ac:dyDescent="0.15">
      <c r="A37" s="216">
        <v>1974</v>
      </c>
      <c r="B37" s="283"/>
      <c r="C37" s="410" t="s">
        <v>808</v>
      </c>
      <c r="D37" s="410"/>
      <c r="E37" s="171">
        <v>365</v>
      </c>
      <c r="G37" s="233">
        <v>2</v>
      </c>
      <c r="H37" s="171">
        <v>5</v>
      </c>
      <c r="I37" s="171">
        <v>9</v>
      </c>
      <c r="J37" s="241">
        <v>16</v>
      </c>
      <c r="K37" s="214">
        <f t="shared" si="0"/>
        <v>12.5</v>
      </c>
      <c r="L37" s="214">
        <f t="shared" si="0"/>
        <v>31.25</v>
      </c>
      <c r="M37" s="214">
        <f t="shared" si="0"/>
        <v>56.25</v>
      </c>
      <c r="N37" s="235">
        <f t="shared" si="1"/>
        <v>100</v>
      </c>
      <c r="O37" s="213">
        <v>9.3000000000000007</v>
      </c>
      <c r="P37" s="214">
        <v>22</v>
      </c>
      <c r="Q37" s="214">
        <v>33.4</v>
      </c>
      <c r="R37" s="215">
        <f t="shared" si="2"/>
        <v>64.7</v>
      </c>
      <c r="S37" s="171">
        <v>3</v>
      </c>
      <c r="T37" s="285"/>
      <c r="U37" s="283"/>
      <c r="V37" s="178" t="s">
        <v>483</v>
      </c>
      <c r="W37" s="171" t="s">
        <v>81</v>
      </c>
      <c r="X37" s="171" t="s">
        <v>18</v>
      </c>
      <c r="Y37" s="179">
        <v>18</v>
      </c>
      <c r="Z37" s="171" t="s">
        <v>484</v>
      </c>
      <c r="AA37" s="171" t="s">
        <v>17</v>
      </c>
      <c r="AB37" s="171" t="s">
        <v>11</v>
      </c>
      <c r="AC37" s="171">
        <v>9.3000000000000007</v>
      </c>
      <c r="AD37" s="178" t="s">
        <v>487</v>
      </c>
      <c r="AE37" s="171" t="s">
        <v>20</v>
      </c>
      <c r="AF37" s="171" t="s">
        <v>12</v>
      </c>
      <c r="AG37" s="179">
        <v>28.7</v>
      </c>
      <c r="AH37" s="171" t="s">
        <v>489</v>
      </c>
      <c r="AI37" s="171" t="s">
        <v>87</v>
      </c>
      <c r="AJ37" s="171" t="s">
        <v>18</v>
      </c>
      <c r="AK37" s="171">
        <v>4</v>
      </c>
      <c r="AL37" s="178" t="s">
        <v>564</v>
      </c>
      <c r="AM37" s="171" t="s">
        <v>324</v>
      </c>
      <c r="AN37" s="171" t="s">
        <v>12</v>
      </c>
      <c r="AO37" s="179">
        <v>4.7</v>
      </c>
      <c r="AP37" s="178"/>
      <c r="AS37" s="179"/>
      <c r="AW37" s="179"/>
      <c r="BA37" s="180"/>
    </row>
    <row r="38" spans="1:53" s="171" customFormat="1" x14ac:dyDescent="0.15">
      <c r="A38" s="216">
        <v>1975</v>
      </c>
      <c r="B38" s="283"/>
      <c r="C38" s="410" t="s">
        <v>808</v>
      </c>
      <c r="D38" s="410"/>
      <c r="E38" s="171">
        <v>0</v>
      </c>
      <c r="G38" s="233">
        <v>2</v>
      </c>
      <c r="H38" s="171">
        <v>5</v>
      </c>
      <c r="I38" s="171">
        <v>9</v>
      </c>
      <c r="J38" s="241">
        <v>16</v>
      </c>
      <c r="K38" s="214">
        <f t="shared" si="0"/>
        <v>12.5</v>
      </c>
      <c r="L38" s="214">
        <f t="shared" si="0"/>
        <v>31.25</v>
      </c>
      <c r="M38" s="214">
        <f t="shared" si="0"/>
        <v>56.25</v>
      </c>
      <c r="N38" s="235">
        <f t="shared" si="1"/>
        <v>100</v>
      </c>
      <c r="O38" s="213">
        <v>9.3000000000000007</v>
      </c>
      <c r="P38" s="214">
        <v>22</v>
      </c>
      <c r="Q38" s="214">
        <v>33.4</v>
      </c>
      <c r="R38" s="215">
        <f t="shared" si="2"/>
        <v>64.7</v>
      </c>
      <c r="S38" s="171">
        <v>3</v>
      </c>
      <c r="T38" s="285"/>
      <c r="U38" s="283"/>
      <c r="V38" s="178" t="s">
        <v>483</v>
      </c>
      <c r="W38" s="171" t="s">
        <v>81</v>
      </c>
      <c r="X38" s="171" t="s">
        <v>18</v>
      </c>
      <c r="Y38" s="179">
        <v>18</v>
      </c>
      <c r="Z38" s="171" t="s">
        <v>484</v>
      </c>
      <c r="AA38" s="171" t="s">
        <v>17</v>
      </c>
      <c r="AB38" s="171" t="s">
        <v>11</v>
      </c>
      <c r="AC38" s="171">
        <v>9.3000000000000007</v>
      </c>
      <c r="AD38" s="178" t="s">
        <v>487</v>
      </c>
      <c r="AE38" s="171" t="s">
        <v>20</v>
      </c>
      <c r="AF38" s="171" t="s">
        <v>12</v>
      </c>
      <c r="AG38" s="179">
        <v>28.7</v>
      </c>
      <c r="AH38" s="171" t="s">
        <v>489</v>
      </c>
      <c r="AI38" s="171" t="s">
        <v>87</v>
      </c>
      <c r="AJ38" s="171" t="s">
        <v>18</v>
      </c>
      <c r="AK38" s="171">
        <v>4</v>
      </c>
      <c r="AL38" s="178" t="s">
        <v>564</v>
      </c>
      <c r="AM38" s="171" t="s">
        <v>324</v>
      </c>
      <c r="AN38" s="171" t="s">
        <v>12</v>
      </c>
      <c r="AO38" s="179">
        <v>4.7</v>
      </c>
      <c r="AP38" s="178"/>
      <c r="AS38" s="179"/>
      <c r="AW38" s="179"/>
      <c r="BA38" s="180"/>
    </row>
    <row r="39" spans="1:53" s="171" customFormat="1" x14ac:dyDescent="0.15">
      <c r="A39" s="216">
        <v>1975</v>
      </c>
      <c r="B39" s="283"/>
      <c r="C39" s="410" t="s">
        <v>808</v>
      </c>
      <c r="D39" s="410"/>
      <c r="E39" s="171">
        <v>365</v>
      </c>
      <c r="G39" s="233">
        <v>2</v>
      </c>
      <c r="H39" s="171">
        <v>5</v>
      </c>
      <c r="I39" s="171">
        <v>9</v>
      </c>
      <c r="J39" s="241">
        <v>16</v>
      </c>
      <c r="K39" s="214">
        <f t="shared" si="0"/>
        <v>12.5</v>
      </c>
      <c r="L39" s="214">
        <f t="shared" si="0"/>
        <v>31.25</v>
      </c>
      <c r="M39" s="214">
        <f t="shared" si="0"/>
        <v>56.25</v>
      </c>
      <c r="N39" s="235">
        <f t="shared" si="1"/>
        <v>100</v>
      </c>
      <c r="O39" s="213">
        <v>9.3000000000000007</v>
      </c>
      <c r="P39" s="214">
        <v>22</v>
      </c>
      <c r="Q39" s="214">
        <v>33.4</v>
      </c>
      <c r="R39" s="215">
        <f t="shared" si="2"/>
        <v>64.7</v>
      </c>
      <c r="S39" s="171">
        <v>3</v>
      </c>
      <c r="T39" s="285"/>
      <c r="U39" s="283"/>
      <c r="V39" s="178" t="s">
        <v>483</v>
      </c>
      <c r="W39" s="171" t="s">
        <v>81</v>
      </c>
      <c r="X39" s="171" t="s">
        <v>18</v>
      </c>
      <c r="Y39" s="179">
        <v>18</v>
      </c>
      <c r="Z39" s="171" t="s">
        <v>484</v>
      </c>
      <c r="AA39" s="171" t="s">
        <v>17</v>
      </c>
      <c r="AB39" s="171" t="s">
        <v>11</v>
      </c>
      <c r="AC39" s="171">
        <v>9.3000000000000007</v>
      </c>
      <c r="AD39" s="178" t="s">
        <v>487</v>
      </c>
      <c r="AE39" s="171" t="s">
        <v>20</v>
      </c>
      <c r="AF39" s="171" t="s">
        <v>12</v>
      </c>
      <c r="AG39" s="179">
        <v>28.7</v>
      </c>
      <c r="AH39" s="171" t="s">
        <v>489</v>
      </c>
      <c r="AI39" s="171" t="s">
        <v>87</v>
      </c>
      <c r="AJ39" s="171" t="s">
        <v>18</v>
      </c>
      <c r="AK39" s="171">
        <v>4</v>
      </c>
      <c r="AL39" s="178" t="s">
        <v>564</v>
      </c>
      <c r="AM39" s="171" t="s">
        <v>324</v>
      </c>
      <c r="AN39" s="171" t="s">
        <v>12</v>
      </c>
      <c r="AO39" s="179">
        <v>4.7</v>
      </c>
      <c r="AP39" s="178"/>
      <c r="AS39" s="179"/>
      <c r="AW39" s="179"/>
      <c r="BA39" s="180"/>
    </row>
    <row r="40" spans="1:53" s="171" customFormat="1" x14ac:dyDescent="0.15">
      <c r="A40" s="216">
        <v>1976</v>
      </c>
      <c r="B40" s="283"/>
      <c r="C40" s="410" t="s">
        <v>808</v>
      </c>
      <c r="D40" s="410"/>
      <c r="E40" s="171">
        <v>0</v>
      </c>
      <c r="G40" s="233">
        <v>2</v>
      </c>
      <c r="H40" s="171">
        <v>5</v>
      </c>
      <c r="I40" s="171">
        <v>9</v>
      </c>
      <c r="J40" s="241">
        <v>16</v>
      </c>
      <c r="K40" s="214">
        <f t="shared" si="0"/>
        <v>12.5</v>
      </c>
      <c r="L40" s="214">
        <f t="shared" si="0"/>
        <v>31.25</v>
      </c>
      <c r="M40" s="214">
        <f t="shared" si="0"/>
        <v>56.25</v>
      </c>
      <c r="N40" s="235">
        <f t="shared" si="1"/>
        <v>100</v>
      </c>
      <c r="O40" s="213">
        <v>9.3000000000000007</v>
      </c>
      <c r="P40" s="214">
        <v>22</v>
      </c>
      <c r="Q40" s="214">
        <v>33.4</v>
      </c>
      <c r="R40" s="215">
        <f t="shared" si="2"/>
        <v>64.7</v>
      </c>
      <c r="S40" s="171">
        <v>3</v>
      </c>
      <c r="T40" s="285"/>
      <c r="U40" s="283"/>
      <c r="V40" s="178" t="s">
        <v>483</v>
      </c>
      <c r="W40" s="171" t="s">
        <v>81</v>
      </c>
      <c r="X40" s="171" t="s">
        <v>18</v>
      </c>
      <c r="Y40" s="179">
        <v>18</v>
      </c>
      <c r="Z40" s="171" t="s">
        <v>484</v>
      </c>
      <c r="AA40" s="171" t="s">
        <v>17</v>
      </c>
      <c r="AB40" s="171" t="s">
        <v>11</v>
      </c>
      <c r="AC40" s="171">
        <v>9.3000000000000007</v>
      </c>
      <c r="AD40" s="178" t="s">
        <v>487</v>
      </c>
      <c r="AE40" s="171" t="s">
        <v>20</v>
      </c>
      <c r="AF40" s="171" t="s">
        <v>12</v>
      </c>
      <c r="AG40" s="179">
        <v>28.7</v>
      </c>
      <c r="AH40" s="171" t="s">
        <v>489</v>
      </c>
      <c r="AI40" s="171" t="s">
        <v>87</v>
      </c>
      <c r="AJ40" s="171" t="s">
        <v>18</v>
      </c>
      <c r="AK40" s="171">
        <v>4</v>
      </c>
      <c r="AL40" s="178" t="s">
        <v>564</v>
      </c>
      <c r="AM40" s="171" t="s">
        <v>324</v>
      </c>
      <c r="AN40" s="171" t="s">
        <v>12</v>
      </c>
      <c r="AO40" s="179">
        <v>4.7</v>
      </c>
      <c r="AP40" s="178"/>
      <c r="AS40" s="179"/>
      <c r="AW40" s="179"/>
      <c r="BA40" s="180"/>
    </row>
    <row r="41" spans="1:53" s="171" customFormat="1" x14ac:dyDescent="0.15">
      <c r="A41" s="216">
        <v>1976</v>
      </c>
      <c r="B41" s="283"/>
      <c r="C41" s="410" t="s">
        <v>808</v>
      </c>
      <c r="D41" s="410"/>
      <c r="E41" s="171">
        <v>366</v>
      </c>
      <c r="G41" s="233">
        <v>2</v>
      </c>
      <c r="H41" s="171">
        <v>5</v>
      </c>
      <c r="I41" s="171">
        <v>9</v>
      </c>
      <c r="J41" s="241">
        <v>16</v>
      </c>
      <c r="K41" s="214">
        <f t="shared" si="0"/>
        <v>12.5</v>
      </c>
      <c r="L41" s="214">
        <f t="shared" si="0"/>
        <v>31.25</v>
      </c>
      <c r="M41" s="214">
        <f t="shared" si="0"/>
        <v>56.25</v>
      </c>
      <c r="N41" s="235">
        <f t="shared" si="1"/>
        <v>100</v>
      </c>
      <c r="O41" s="213">
        <v>9.3000000000000007</v>
      </c>
      <c r="P41" s="214">
        <v>22</v>
      </c>
      <c r="Q41" s="214">
        <v>33.4</v>
      </c>
      <c r="R41" s="215">
        <f t="shared" si="2"/>
        <v>64.7</v>
      </c>
      <c r="S41" s="171">
        <v>3</v>
      </c>
      <c r="T41" s="285"/>
      <c r="U41" s="283"/>
      <c r="V41" s="178" t="s">
        <v>483</v>
      </c>
      <c r="W41" s="171" t="s">
        <v>81</v>
      </c>
      <c r="X41" s="171" t="s">
        <v>18</v>
      </c>
      <c r="Y41" s="179">
        <v>18</v>
      </c>
      <c r="Z41" s="171" t="s">
        <v>484</v>
      </c>
      <c r="AA41" s="171" t="s">
        <v>17</v>
      </c>
      <c r="AB41" s="171" t="s">
        <v>11</v>
      </c>
      <c r="AC41" s="171">
        <v>9.3000000000000007</v>
      </c>
      <c r="AD41" s="178" t="s">
        <v>487</v>
      </c>
      <c r="AE41" s="171" t="s">
        <v>20</v>
      </c>
      <c r="AF41" s="171" t="s">
        <v>12</v>
      </c>
      <c r="AG41" s="179">
        <v>28.7</v>
      </c>
      <c r="AH41" s="171" t="s">
        <v>489</v>
      </c>
      <c r="AI41" s="171" t="s">
        <v>87</v>
      </c>
      <c r="AJ41" s="171" t="s">
        <v>18</v>
      </c>
      <c r="AK41" s="171">
        <v>4</v>
      </c>
      <c r="AL41" s="178" t="s">
        <v>564</v>
      </c>
      <c r="AM41" s="171" t="s">
        <v>324</v>
      </c>
      <c r="AN41" s="171" t="s">
        <v>12</v>
      </c>
      <c r="AO41" s="179">
        <v>4.7</v>
      </c>
      <c r="AP41" s="178"/>
      <c r="AS41" s="179"/>
      <c r="AW41" s="179"/>
      <c r="BA41" s="180"/>
    </row>
    <row r="42" spans="1:53" s="171" customFormat="1" x14ac:dyDescent="0.15">
      <c r="A42" s="216">
        <v>1977</v>
      </c>
      <c r="B42" s="283"/>
      <c r="C42" s="410" t="s">
        <v>808</v>
      </c>
      <c r="D42" s="410"/>
      <c r="E42" s="171">
        <v>352</v>
      </c>
      <c r="G42" s="233">
        <v>2</v>
      </c>
      <c r="H42" s="171">
        <v>5</v>
      </c>
      <c r="I42" s="171">
        <v>9</v>
      </c>
      <c r="J42" s="241">
        <v>16</v>
      </c>
      <c r="K42" s="214">
        <f t="shared" si="0"/>
        <v>12.5</v>
      </c>
      <c r="L42" s="214">
        <f t="shared" si="0"/>
        <v>31.25</v>
      </c>
      <c r="M42" s="214">
        <f t="shared" si="0"/>
        <v>56.25</v>
      </c>
      <c r="N42" s="235">
        <f t="shared" si="1"/>
        <v>100</v>
      </c>
      <c r="O42" s="213">
        <v>9.3000000000000007</v>
      </c>
      <c r="P42" s="214">
        <v>22</v>
      </c>
      <c r="Q42" s="214">
        <v>33.4</v>
      </c>
      <c r="R42" s="215">
        <f t="shared" si="2"/>
        <v>64.7</v>
      </c>
      <c r="S42" s="171">
        <v>3</v>
      </c>
      <c r="T42" s="285"/>
      <c r="U42" s="283"/>
      <c r="V42" s="178" t="s">
        <v>483</v>
      </c>
      <c r="W42" s="171" t="s">
        <v>81</v>
      </c>
      <c r="X42" s="171" t="s">
        <v>18</v>
      </c>
      <c r="Y42" s="179">
        <v>18</v>
      </c>
      <c r="Z42" s="171" t="s">
        <v>484</v>
      </c>
      <c r="AA42" s="171" t="s">
        <v>17</v>
      </c>
      <c r="AB42" s="171" t="s">
        <v>11</v>
      </c>
      <c r="AC42" s="171">
        <v>9.3000000000000007</v>
      </c>
      <c r="AD42" s="178" t="s">
        <v>487</v>
      </c>
      <c r="AE42" s="171" t="s">
        <v>20</v>
      </c>
      <c r="AF42" s="171" t="s">
        <v>12</v>
      </c>
      <c r="AG42" s="179">
        <v>28.7</v>
      </c>
      <c r="AH42" s="171" t="s">
        <v>489</v>
      </c>
      <c r="AI42" s="171" t="s">
        <v>87</v>
      </c>
      <c r="AJ42" s="171" t="s">
        <v>18</v>
      </c>
      <c r="AK42" s="171">
        <v>4</v>
      </c>
      <c r="AL42" s="178" t="s">
        <v>564</v>
      </c>
      <c r="AM42" s="171" t="s">
        <v>324</v>
      </c>
      <c r="AN42" s="171" t="s">
        <v>12</v>
      </c>
      <c r="AO42" s="179">
        <v>4.7</v>
      </c>
      <c r="AP42" s="178"/>
      <c r="AS42" s="179"/>
      <c r="AW42" s="179"/>
      <c r="BA42" s="180"/>
    </row>
    <row r="43" spans="1:53" s="29" customFormat="1" x14ac:dyDescent="0.15">
      <c r="A43" s="52">
        <v>1977</v>
      </c>
      <c r="B43" s="295">
        <v>28478</v>
      </c>
      <c r="C43" s="411" t="s">
        <v>809</v>
      </c>
      <c r="D43" s="411"/>
      <c r="E43" s="29">
        <f>365-E42</f>
        <v>13</v>
      </c>
      <c r="F43" s="29">
        <v>4</v>
      </c>
      <c r="G43" s="66">
        <v>5</v>
      </c>
      <c r="H43" s="29">
        <v>10</v>
      </c>
      <c r="J43" s="73">
        <v>15</v>
      </c>
      <c r="K43" s="47">
        <f t="shared" si="0"/>
        <v>33.333333333333329</v>
      </c>
      <c r="L43" s="47">
        <f>H43/$J43*100</f>
        <v>66.666666666666657</v>
      </c>
      <c r="M43" s="47">
        <f>I43/$J43*100</f>
        <v>0</v>
      </c>
      <c r="N43" s="68">
        <f t="shared" si="1"/>
        <v>99.999999999999986</v>
      </c>
      <c r="O43" s="46">
        <v>18.7</v>
      </c>
      <c r="P43" s="47">
        <v>32.700000000000003</v>
      </c>
      <c r="Q43" s="47"/>
      <c r="R43" s="48">
        <f t="shared" si="2"/>
        <v>51.400000000000006</v>
      </c>
      <c r="S43" s="29">
        <v>2</v>
      </c>
      <c r="T43" s="286">
        <v>28270</v>
      </c>
      <c r="U43" s="295">
        <v>28478</v>
      </c>
      <c r="V43" s="38" t="s">
        <v>490</v>
      </c>
      <c r="W43" s="29" t="s">
        <v>325</v>
      </c>
      <c r="X43" s="29" t="s">
        <v>18</v>
      </c>
      <c r="Y43" s="39">
        <v>32.700000000000003</v>
      </c>
      <c r="Z43" s="29" t="s">
        <v>486</v>
      </c>
      <c r="AA43" s="29" t="s">
        <v>22</v>
      </c>
      <c r="AB43" s="29" t="s">
        <v>11</v>
      </c>
      <c r="AC43" s="29">
        <v>18.7</v>
      </c>
      <c r="AD43" s="38"/>
      <c r="AG43" s="39"/>
      <c r="AL43" s="38"/>
      <c r="AO43" s="39"/>
      <c r="AP43" s="38"/>
      <c r="AS43" s="39"/>
      <c r="AW43" s="39"/>
      <c r="BA43" s="40"/>
    </row>
    <row r="44" spans="1:53" s="29" customFormat="1" x14ac:dyDescent="0.15">
      <c r="A44" s="52">
        <v>1978</v>
      </c>
      <c r="B44" s="295"/>
      <c r="C44" s="411" t="s">
        <v>809</v>
      </c>
      <c r="D44" s="411"/>
      <c r="E44" s="29">
        <v>0</v>
      </c>
      <c r="G44" s="66">
        <v>5</v>
      </c>
      <c r="H44" s="29">
        <v>10</v>
      </c>
      <c r="J44" s="73">
        <v>15</v>
      </c>
      <c r="K44" s="47">
        <f>G44/$J44*100</f>
        <v>33.333333333333329</v>
      </c>
      <c r="L44" s="47">
        <f t="shared" si="0"/>
        <v>66.666666666666657</v>
      </c>
      <c r="M44" s="47">
        <f t="shared" si="0"/>
        <v>0</v>
      </c>
      <c r="N44" s="68">
        <f t="shared" si="1"/>
        <v>99.999999999999986</v>
      </c>
      <c r="O44" s="46">
        <v>18.7</v>
      </c>
      <c r="P44" s="47">
        <v>32.700000000000003</v>
      </c>
      <c r="Q44" s="47"/>
      <c r="R44" s="48">
        <f t="shared" si="2"/>
        <v>51.400000000000006</v>
      </c>
      <c r="S44" s="29">
        <v>2</v>
      </c>
      <c r="T44" s="286"/>
      <c r="U44" s="295"/>
      <c r="V44" s="38" t="s">
        <v>490</v>
      </c>
      <c r="W44" s="29" t="s">
        <v>325</v>
      </c>
      <c r="X44" s="29" t="s">
        <v>18</v>
      </c>
      <c r="Y44" s="39">
        <v>32.700000000000003</v>
      </c>
      <c r="Z44" s="29" t="s">
        <v>486</v>
      </c>
      <c r="AA44" s="29" t="s">
        <v>22</v>
      </c>
      <c r="AB44" s="29" t="s">
        <v>11</v>
      </c>
      <c r="AC44" s="29">
        <v>18.7</v>
      </c>
      <c r="AD44" s="38"/>
      <c r="AG44" s="39"/>
      <c r="AL44" s="38"/>
      <c r="AO44" s="39"/>
      <c r="AP44" s="38"/>
      <c r="AS44" s="39"/>
      <c r="AW44" s="39"/>
      <c r="BA44" s="40"/>
    </row>
    <row r="45" spans="1:53" s="29" customFormat="1" x14ac:dyDescent="0.15">
      <c r="A45" s="52">
        <v>1978</v>
      </c>
      <c r="B45" s="295"/>
      <c r="C45" s="411" t="s">
        <v>809</v>
      </c>
      <c r="D45" s="411"/>
      <c r="E45" s="29">
        <v>365</v>
      </c>
      <c r="G45" s="66">
        <v>5</v>
      </c>
      <c r="H45" s="29">
        <v>10</v>
      </c>
      <c r="J45" s="73">
        <v>15</v>
      </c>
      <c r="K45" s="47">
        <f t="shared" si="0"/>
        <v>33.333333333333329</v>
      </c>
      <c r="L45" s="47">
        <f t="shared" si="0"/>
        <v>66.666666666666657</v>
      </c>
      <c r="M45" s="47">
        <f t="shared" si="0"/>
        <v>0</v>
      </c>
      <c r="N45" s="68">
        <f t="shared" si="1"/>
        <v>99.999999999999986</v>
      </c>
      <c r="O45" s="46">
        <v>18.7</v>
      </c>
      <c r="P45" s="47">
        <v>32.700000000000003</v>
      </c>
      <c r="Q45" s="47"/>
      <c r="R45" s="48">
        <f t="shared" si="2"/>
        <v>51.400000000000006</v>
      </c>
      <c r="S45" s="29">
        <v>2</v>
      </c>
      <c r="T45" s="286"/>
      <c r="U45" s="295"/>
      <c r="V45" s="38" t="s">
        <v>490</v>
      </c>
      <c r="W45" s="29" t="s">
        <v>325</v>
      </c>
      <c r="X45" s="29" t="s">
        <v>18</v>
      </c>
      <c r="Y45" s="39">
        <v>32.700000000000003</v>
      </c>
      <c r="Z45" s="29" t="s">
        <v>486</v>
      </c>
      <c r="AA45" s="29" t="s">
        <v>22</v>
      </c>
      <c r="AB45" s="29" t="s">
        <v>11</v>
      </c>
      <c r="AC45" s="29">
        <v>18.7</v>
      </c>
      <c r="AD45" s="38"/>
      <c r="AG45" s="39"/>
      <c r="AL45" s="38"/>
      <c r="AO45" s="39"/>
      <c r="AP45" s="38"/>
      <c r="AS45" s="39"/>
      <c r="AW45" s="39"/>
      <c r="BA45" s="40"/>
    </row>
    <row r="46" spans="1:53" s="29" customFormat="1" x14ac:dyDescent="0.15">
      <c r="A46" s="52">
        <v>1979</v>
      </c>
      <c r="B46" s="295"/>
      <c r="C46" s="411" t="s">
        <v>809</v>
      </c>
      <c r="D46" s="411"/>
      <c r="E46" s="29">
        <v>0</v>
      </c>
      <c r="G46" s="66">
        <v>5</v>
      </c>
      <c r="H46" s="29">
        <v>10</v>
      </c>
      <c r="J46" s="73">
        <v>15</v>
      </c>
      <c r="K46" s="47">
        <f t="shared" si="0"/>
        <v>33.333333333333329</v>
      </c>
      <c r="L46" s="47">
        <f t="shared" si="0"/>
        <v>66.666666666666657</v>
      </c>
      <c r="M46" s="47">
        <f t="shared" si="0"/>
        <v>0</v>
      </c>
      <c r="N46" s="68">
        <f t="shared" si="1"/>
        <v>99.999999999999986</v>
      </c>
      <c r="O46" s="46">
        <v>18.7</v>
      </c>
      <c r="P46" s="47">
        <v>32.700000000000003</v>
      </c>
      <c r="Q46" s="47"/>
      <c r="R46" s="48">
        <f t="shared" si="2"/>
        <v>51.400000000000006</v>
      </c>
      <c r="S46" s="29">
        <v>2</v>
      </c>
      <c r="T46" s="286"/>
      <c r="U46" s="295"/>
      <c r="V46" s="38" t="s">
        <v>490</v>
      </c>
      <c r="W46" s="29" t="s">
        <v>325</v>
      </c>
      <c r="X46" s="29" t="s">
        <v>18</v>
      </c>
      <c r="Y46" s="39">
        <v>32.700000000000003</v>
      </c>
      <c r="Z46" s="29" t="s">
        <v>486</v>
      </c>
      <c r="AA46" s="29" t="s">
        <v>22</v>
      </c>
      <c r="AB46" s="29" t="s">
        <v>11</v>
      </c>
      <c r="AC46" s="29">
        <v>18.7</v>
      </c>
      <c r="AD46" s="38"/>
      <c r="AG46" s="39"/>
      <c r="AL46" s="38"/>
      <c r="AO46" s="39"/>
      <c r="AP46" s="38"/>
      <c r="AS46" s="39"/>
      <c r="AW46" s="39"/>
      <c r="BA46" s="40"/>
    </row>
    <row r="47" spans="1:53" s="29" customFormat="1" x14ac:dyDescent="0.15">
      <c r="A47" s="52">
        <v>1979</v>
      </c>
      <c r="B47" s="295"/>
      <c r="C47" s="411" t="s">
        <v>809</v>
      </c>
      <c r="D47" s="411"/>
      <c r="E47" s="29">
        <v>365</v>
      </c>
      <c r="G47" s="66">
        <v>5</v>
      </c>
      <c r="H47" s="29">
        <v>10</v>
      </c>
      <c r="J47" s="73">
        <v>15</v>
      </c>
      <c r="K47" s="47">
        <f t="shared" si="0"/>
        <v>33.333333333333329</v>
      </c>
      <c r="L47" s="47">
        <f t="shared" si="0"/>
        <v>66.666666666666657</v>
      </c>
      <c r="M47" s="47">
        <f t="shared" si="0"/>
        <v>0</v>
      </c>
      <c r="N47" s="68">
        <f t="shared" si="1"/>
        <v>99.999999999999986</v>
      </c>
      <c r="O47" s="46">
        <v>18.7</v>
      </c>
      <c r="P47" s="47">
        <v>32.700000000000003</v>
      </c>
      <c r="Q47" s="47"/>
      <c r="R47" s="48">
        <f t="shared" si="2"/>
        <v>51.400000000000006</v>
      </c>
      <c r="S47" s="29">
        <v>2</v>
      </c>
      <c r="T47" s="286"/>
      <c r="U47" s="295"/>
      <c r="V47" s="38" t="s">
        <v>490</v>
      </c>
      <c r="W47" s="29" t="s">
        <v>325</v>
      </c>
      <c r="X47" s="29" t="s">
        <v>18</v>
      </c>
      <c r="Y47" s="39">
        <v>32.700000000000003</v>
      </c>
      <c r="Z47" s="29" t="s">
        <v>486</v>
      </c>
      <c r="AA47" s="29" t="s">
        <v>22</v>
      </c>
      <c r="AB47" s="29" t="s">
        <v>11</v>
      </c>
      <c r="AC47" s="29">
        <v>18.7</v>
      </c>
      <c r="AD47" s="38"/>
      <c r="AG47" s="39"/>
      <c r="AL47" s="38"/>
      <c r="AO47" s="39"/>
      <c r="AP47" s="38"/>
      <c r="AS47" s="39"/>
      <c r="AW47" s="39"/>
      <c r="BA47" s="40"/>
    </row>
    <row r="48" spans="1:53" s="29" customFormat="1" x14ac:dyDescent="0.15">
      <c r="A48" s="52">
        <v>1980</v>
      </c>
      <c r="B48" s="295"/>
      <c r="C48" s="411" t="s">
        <v>809</v>
      </c>
      <c r="D48" s="411"/>
      <c r="E48" s="29">
        <v>0</v>
      </c>
      <c r="G48" s="66">
        <v>5</v>
      </c>
      <c r="H48" s="29">
        <v>10</v>
      </c>
      <c r="J48" s="73">
        <v>15</v>
      </c>
      <c r="K48" s="47">
        <f t="shared" si="0"/>
        <v>33.333333333333329</v>
      </c>
      <c r="L48" s="47">
        <f t="shared" si="0"/>
        <v>66.666666666666657</v>
      </c>
      <c r="M48" s="47">
        <f t="shared" si="0"/>
        <v>0</v>
      </c>
      <c r="N48" s="68">
        <f t="shared" si="1"/>
        <v>99.999999999999986</v>
      </c>
      <c r="O48" s="46">
        <v>18.7</v>
      </c>
      <c r="P48" s="47">
        <v>32.700000000000003</v>
      </c>
      <c r="Q48" s="47"/>
      <c r="R48" s="48">
        <f t="shared" si="2"/>
        <v>51.400000000000006</v>
      </c>
      <c r="S48" s="29">
        <v>2</v>
      </c>
      <c r="T48" s="286"/>
      <c r="U48" s="295"/>
      <c r="V48" s="38" t="s">
        <v>490</v>
      </c>
      <c r="W48" s="29" t="s">
        <v>325</v>
      </c>
      <c r="X48" s="29" t="s">
        <v>18</v>
      </c>
      <c r="Y48" s="39">
        <v>32.700000000000003</v>
      </c>
      <c r="Z48" s="29" t="s">
        <v>486</v>
      </c>
      <c r="AA48" s="29" t="s">
        <v>22</v>
      </c>
      <c r="AB48" s="29" t="s">
        <v>11</v>
      </c>
      <c r="AC48" s="29">
        <v>18.7</v>
      </c>
      <c r="AD48" s="38"/>
      <c r="AG48" s="39"/>
      <c r="AL48" s="38"/>
      <c r="AO48" s="39"/>
      <c r="AP48" s="38"/>
      <c r="AS48" s="39"/>
      <c r="AW48" s="39"/>
      <c r="BA48" s="40"/>
    </row>
    <row r="49" spans="1:53" s="29" customFormat="1" x14ac:dyDescent="0.15">
      <c r="A49" s="52">
        <v>1980</v>
      </c>
      <c r="B49" s="295"/>
      <c r="C49" s="411" t="s">
        <v>809</v>
      </c>
      <c r="D49" s="411"/>
      <c r="E49" s="29">
        <v>366</v>
      </c>
      <c r="G49" s="66">
        <v>5</v>
      </c>
      <c r="H49" s="29">
        <v>10</v>
      </c>
      <c r="J49" s="73">
        <v>15</v>
      </c>
      <c r="K49" s="47">
        <f t="shared" si="0"/>
        <v>33.333333333333329</v>
      </c>
      <c r="L49" s="47">
        <f t="shared" si="0"/>
        <v>66.666666666666657</v>
      </c>
      <c r="M49" s="47">
        <f t="shared" si="0"/>
        <v>0</v>
      </c>
      <c r="N49" s="68">
        <f t="shared" si="1"/>
        <v>99.999999999999986</v>
      </c>
      <c r="O49" s="46">
        <v>18.7</v>
      </c>
      <c r="P49" s="47">
        <v>32.700000000000003</v>
      </c>
      <c r="Q49" s="47"/>
      <c r="R49" s="48">
        <f t="shared" si="2"/>
        <v>51.400000000000006</v>
      </c>
      <c r="S49" s="29">
        <v>2</v>
      </c>
      <c r="T49" s="286"/>
      <c r="U49" s="295"/>
      <c r="V49" s="38" t="s">
        <v>490</v>
      </c>
      <c r="W49" s="29" t="s">
        <v>325</v>
      </c>
      <c r="X49" s="29" t="s">
        <v>18</v>
      </c>
      <c r="Y49" s="39">
        <v>32.700000000000003</v>
      </c>
      <c r="Z49" s="29" t="s">
        <v>486</v>
      </c>
      <c r="AA49" s="29" t="s">
        <v>22</v>
      </c>
      <c r="AB49" s="29" t="s">
        <v>11</v>
      </c>
      <c r="AC49" s="29">
        <v>18.7</v>
      </c>
      <c r="AD49" s="38"/>
      <c r="AG49" s="39"/>
      <c r="AL49" s="38"/>
      <c r="AO49" s="39"/>
      <c r="AP49" s="38"/>
      <c r="AS49" s="39"/>
      <c r="AW49" s="39"/>
      <c r="BA49" s="40"/>
    </row>
    <row r="50" spans="1:53" s="29" customFormat="1" x14ac:dyDescent="0.15">
      <c r="A50" s="52">
        <v>1981</v>
      </c>
      <c r="B50" s="295"/>
      <c r="C50" s="411" t="s">
        <v>809</v>
      </c>
      <c r="D50" s="411"/>
      <c r="E50" s="29">
        <v>253</v>
      </c>
      <c r="G50" s="66">
        <v>5</v>
      </c>
      <c r="H50" s="29">
        <v>10</v>
      </c>
      <c r="J50" s="73">
        <v>15</v>
      </c>
      <c r="K50" s="47">
        <f t="shared" si="0"/>
        <v>33.333333333333329</v>
      </c>
      <c r="L50" s="47">
        <f t="shared" si="0"/>
        <v>66.666666666666657</v>
      </c>
      <c r="M50" s="47">
        <f t="shared" si="0"/>
        <v>0</v>
      </c>
      <c r="N50" s="68">
        <f t="shared" si="1"/>
        <v>99.999999999999986</v>
      </c>
      <c r="O50" s="46">
        <v>18.7</v>
      </c>
      <c r="P50" s="47">
        <v>32.700000000000003</v>
      </c>
      <c r="Q50" s="47"/>
      <c r="R50" s="48">
        <f t="shared" si="2"/>
        <v>51.400000000000006</v>
      </c>
      <c r="S50" s="29">
        <v>2</v>
      </c>
      <c r="T50" s="286"/>
      <c r="U50" s="295"/>
      <c r="V50" s="38" t="s">
        <v>490</v>
      </c>
      <c r="W50" s="29" t="s">
        <v>325</v>
      </c>
      <c r="X50" s="29" t="s">
        <v>18</v>
      </c>
      <c r="Y50" s="39">
        <v>32.700000000000003</v>
      </c>
      <c r="Z50" s="29" t="s">
        <v>486</v>
      </c>
      <c r="AA50" s="29" t="s">
        <v>22</v>
      </c>
      <c r="AB50" s="29" t="s">
        <v>11</v>
      </c>
      <c r="AC50" s="29">
        <v>18.7</v>
      </c>
      <c r="AD50" s="38"/>
      <c r="AG50" s="39"/>
      <c r="AL50" s="38"/>
      <c r="AO50" s="39"/>
      <c r="AP50" s="38"/>
      <c r="AS50" s="39"/>
      <c r="AW50" s="39"/>
      <c r="BA50" s="40"/>
    </row>
    <row r="51" spans="1:53" s="171" customFormat="1" x14ac:dyDescent="0.15">
      <c r="A51" s="216">
        <v>1981</v>
      </c>
      <c r="B51" s="283">
        <v>29840</v>
      </c>
      <c r="C51" s="410" t="s">
        <v>810</v>
      </c>
      <c r="D51" s="410"/>
      <c r="E51" s="171">
        <f>365-E50</f>
        <v>112</v>
      </c>
      <c r="F51" s="171">
        <v>1</v>
      </c>
      <c r="G51" s="233"/>
      <c r="H51" s="171">
        <v>9</v>
      </c>
      <c r="I51" s="171">
        <v>6</v>
      </c>
      <c r="J51" s="241">
        <v>15</v>
      </c>
      <c r="K51" s="214">
        <f t="shared" si="0"/>
        <v>0</v>
      </c>
      <c r="L51" s="214">
        <f t="shared" si="0"/>
        <v>60</v>
      </c>
      <c r="M51" s="214">
        <f t="shared" si="0"/>
        <v>40</v>
      </c>
      <c r="N51" s="235">
        <f t="shared" si="1"/>
        <v>100</v>
      </c>
      <c r="O51" s="213"/>
      <c r="P51" s="214">
        <v>43.3</v>
      </c>
      <c r="Q51" s="214">
        <v>29.3</v>
      </c>
      <c r="R51" s="215">
        <f t="shared" si="2"/>
        <v>72.599999999999994</v>
      </c>
      <c r="S51" s="171">
        <v>3</v>
      </c>
      <c r="T51" s="285">
        <v>29732</v>
      </c>
      <c r="U51" s="283">
        <v>29840</v>
      </c>
      <c r="V51" s="178" t="s">
        <v>490</v>
      </c>
      <c r="W51" s="171" t="s">
        <v>325</v>
      </c>
      <c r="X51" s="171" t="s">
        <v>18</v>
      </c>
      <c r="Y51" s="179">
        <v>32</v>
      </c>
      <c r="Z51" s="178" t="s">
        <v>487</v>
      </c>
      <c r="AA51" s="171" t="s">
        <v>20</v>
      </c>
      <c r="AB51" s="171" t="s">
        <v>12</v>
      </c>
      <c r="AC51" s="171">
        <v>29.3</v>
      </c>
      <c r="AD51" s="178" t="s">
        <v>489</v>
      </c>
      <c r="AE51" s="171" t="s">
        <v>87</v>
      </c>
      <c r="AF51" s="171" t="s">
        <v>18</v>
      </c>
      <c r="AG51" s="179">
        <v>11.3</v>
      </c>
      <c r="AL51" s="178"/>
      <c r="AO51" s="179"/>
      <c r="AP51" s="178"/>
      <c r="AS51" s="179"/>
      <c r="AW51" s="179"/>
      <c r="BA51" s="180"/>
    </row>
    <row r="52" spans="1:53" s="171" customFormat="1" x14ac:dyDescent="0.15">
      <c r="A52" s="216">
        <v>1982</v>
      </c>
      <c r="B52" s="283"/>
      <c r="C52" s="410" t="s">
        <v>810</v>
      </c>
      <c r="D52" s="410"/>
      <c r="E52" s="171">
        <v>148</v>
      </c>
      <c r="G52" s="233"/>
      <c r="H52" s="171">
        <v>9</v>
      </c>
      <c r="I52" s="171">
        <v>6</v>
      </c>
      <c r="J52" s="241">
        <v>15</v>
      </c>
      <c r="K52" s="214">
        <f t="shared" si="0"/>
        <v>0</v>
      </c>
      <c r="L52" s="214">
        <f t="shared" si="0"/>
        <v>60</v>
      </c>
      <c r="M52" s="214">
        <f t="shared" si="0"/>
        <v>40</v>
      </c>
      <c r="N52" s="235">
        <f t="shared" si="1"/>
        <v>100</v>
      </c>
      <c r="O52" s="213"/>
      <c r="P52" s="214">
        <v>43.3</v>
      </c>
      <c r="Q52" s="214">
        <v>29.3</v>
      </c>
      <c r="R52" s="215">
        <f t="shared" si="2"/>
        <v>72.599999999999994</v>
      </c>
      <c r="S52" s="171">
        <v>3</v>
      </c>
      <c r="T52" s="285"/>
      <c r="U52" s="283"/>
      <c r="V52" s="178" t="s">
        <v>490</v>
      </c>
      <c r="W52" s="171" t="s">
        <v>325</v>
      </c>
      <c r="X52" s="171" t="s">
        <v>18</v>
      </c>
      <c r="Y52" s="179">
        <v>32</v>
      </c>
      <c r="Z52" s="178" t="s">
        <v>487</v>
      </c>
      <c r="AA52" s="171" t="s">
        <v>20</v>
      </c>
      <c r="AB52" s="171" t="s">
        <v>12</v>
      </c>
      <c r="AC52" s="171">
        <v>29.3</v>
      </c>
      <c r="AD52" s="178" t="s">
        <v>489</v>
      </c>
      <c r="AE52" s="171" t="s">
        <v>87</v>
      </c>
      <c r="AF52" s="171" t="s">
        <v>18</v>
      </c>
      <c r="AG52" s="179">
        <v>11.3</v>
      </c>
      <c r="AL52" s="178"/>
      <c r="AO52" s="179"/>
      <c r="AP52" s="178"/>
      <c r="AS52" s="179"/>
      <c r="AW52" s="179"/>
      <c r="BA52" s="180"/>
    </row>
    <row r="53" spans="1:53" s="29" customFormat="1" x14ac:dyDescent="0.15">
      <c r="A53" s="52">
        <v>1982</v>
      </c>
      <c r="B53" s="295">
        <v>30100</v>
      </c>
      <c r="C53" s="411" t="s">
        <v>811</v>
      </c>
      <c r="D53" s="411"/>
      <c r="E53" s="29">
        <v>159</v>
      </c>
      <c r="F53" s="29">
        <v>4</v>
      </c>
      <c r="G53" s="66"/>
      <c r="H53" s="29">
        <v>9</v>
      </c>
      <c r="I53" s="29">
        <v>6</v>
      </c>
      <c r="J53" s="73">
        <v>15</v>
      </c>
      <c r="K53" s="47">
        <f t="shared" si="0"/>
        <v>0</v>
      </c>
      <c r="L53" s="47">
        <f t="shared" si="0"/>
        <v>60</v>
      </c>
      <c r="M53" s="47">
        <f t="shared" si="0"/>
        <v>40</v>
      </c>
      <c r="N53" s="68">
        <f t="shared" si="1"/>
        <v>100</v>
      </c>
      <c r="O53" s="46"/>
      <c r="P53" s="47">
        <v>43.3</v>
      </c>
      <c r="Q53" s="47"/>
      <c r="R53" s="48">
        <f t="shared" si="2"/>
        <v>43.3</v>
      </c>
      <c r="S53" s="29">
        <v>6</v>
      </c>
      <c r="T53" s="286"/>
      <c r="U53" s="295">
        <v>30100</v>
      </c>
      <c r="V53" s="38" t="s">
        <v>490</v>
      </c>
      <c r="W53" s="29" t="s">
        <v>325</v>
      </c>
      <c r="X53" s="29" t="s">
        <v>18</v>
      </c>
      <c r="Y53" s="39">
        <v>32</v>
      </c>
      <c r="Z53" s="29" t="s">
        <v>489</v>
      </c>
      <c r="AA53" s="29" t="s">
        <v>87</v>
      </c>
      <c r="AB53" s="29" t="s">
        <v>18</v>
      </c>
      <c r="AC53" s="29">
        <v>11.3</v>
      </c>
      <c r="AD53" s="38"/>
      <c r="AG53" s="39"/>
      <c r="AL53" s="38"/>
      <c r="AO53" s="39"/>
      <c r="AP53" s="38"/>
      <c r="AS53" s="39"/>
      <c r="AW53" s="39"/>
      <c r="BA53" s="40"/>
    </row>
    <row r="54" spans="1:53" s="171" customFormat="1" x14ac:dyDescent="0.15">
      <c r="A54" s="216">
        <v>1982</v>
      </c>
      <c r="B54" s="283">
        <v>30259</v>
      </c>
      <c r="C54" s="410" t="s">
        <v>657</v>
      </c>
      <c r="D54" s="410"/>
      <c r="E54" s="171">
        <f>365-E52-E53</f>
        <v>58</v>
      </c>
      <c r="F54" s="171">
        <v>1</v>
      </c>
      <c r="G54" s="233"/>
      <c r="H54" s="171">
        <v>14</v>
      </c>
      <c r="J54" s="241">
        <v>14</v>
      </c>
      <c r="K54" s="214">
        <f t="shared" si="0"/>
        <v>0</v>
      </c>
      <c r="L54" s="214">
        <f t="shared" si="0"/>
        <v>100</v>
      </c>
      <c r="M54" s="214">
        <f t="shared" si="0"/>
        <v>0</v>
      </c>
      <c r="N54" s="235">
        <f t="shared" si="1"/>
        <v>100</v>
      </c>
      <c r="O54" s="213">
        <v>24</v>
      </c>
      <c r="P54" s="214">
        <v>30</v>
      </c>
      <c r="Q54" s="214"/>
      <c r="R54" s="215">
        <f t="shared" si="2"/>
        <v>54</v>
      </c>
      <c r="S54" s="171">
        <v>2</v>
      </c>
      <c r="T54" s="285">
        <v>30202</v>
      </c>
      <c r="U54" s="283">
        <v>30259</v>
      </c>
      <c r="V54" s="178" t="s">
        <v>490</v>
      </c>
      <c r="W54" s="171" t="s">
        <v>325</v>
      </c>
      <c r="X54" s="171" t="s">
        <v>18</v>
      </c>
      <c r="Y54" s="179">
        <v>30</v>
      </c>
      <c r="Z54" s="171" t="s">
        <v>486</v>
      </c>
      <c r="AA54" s="171" t="s">
        <v>22</v>
      </c>
      <c r="AB54" s="171" t="s">
        <v>11</v>
      </c>
      <c r="AC54" s="171">
        <v>24</v>
      </c>
      <c r="AD54" s="178"/>
      <c r="AG54" s="179"/>
      <c r="AL54" s="178"/>
      <c r="AO54" s="179"/>
      <c r="AP54" s="178"/>
      <c r="AS54" s="179"/>
      <c r="AW54" s="179"/>
      <c r="BA54" s="180"/>
    </row>
    <row r="55" spans="1:53" s="171" customFormat="1" x14ac:dyDescent="0.15">
      <c r="A55" s="216">
        <v>1983</v>
      </c>
      <c r="B55" s="283"/>
      <c r="C55" s="410" t="s">
        <v>657</v>
      </c>
      <c r="D55" s="410"/>
      <c r="E55" s="171">
        <v>0</v>
      </c>
      <c r="G55" s="233"/>
      <c r="H55" s="171">
        <v>14</v>
      </c>
      <c r="J55" s="241">
        <v>14</v>
      </c>
      <c r="K55" s="214">
        <f t="shared" si="0"/>
        <v>0</v>
      </c>
      <c r="L55" s="214">
        <f t="shared" si="0"/>
        <v>100</v>
      </c>
      <c r="M55" s="214">
        <f t="shared" si="0"/>
        <v>0</v>
      </c>
      <c r="N55" s="235">
        <f t="shared" si="1"/>
        <v>100</v>
      </c>
      <c r="O55" s="213">
        <v>24</v>
      </c>
      <c r="P55" s="214">
        <v>30</v>
      </c>
      <c r="Q55" s="214"/>
      <c r="R55" s="215">
        <f t="shared" si="2"/>
        <v>54</v>
      </c>
      <c r="S55" s="171">
        <v>2</v>
      </c>
      <c r="T55" s="285"/>
      <c r="U55" s="283"/>
      <c r="V55" s="178" t="s">
        <v>490</v>
      </c>
      <c r="W55" s="171" t="s">
        <v>325</v>
      </c>
      <c r="X55" s="171" t="s">
        <v>18</v>
      </c>
      <c r="Y55" s="179">
        <v>30</v>
      </c>
      <c r="Z55" s="171" t="s">
        <v>486</v>
      </c>
      <c r="AA55" s="171" t="s">
        <v>22</v>
      </c>
      <c r="AB55" s="171" t="s">
        <v>11</v>
      </c>
      <c r="AC55" s="171">
        <v>24</v>
      </c>
      <c r="AD55" s="178"/>
      <c r="AG55" s="179"/>
      <c r="AL55" s="178"/>
      <c r="AO55" s="179"/>
      <c r="AP55" s="178"/>
      <c r="AS55" s="179"/>
      <c r="AW55" s="179"/>
      <c r="BA55" s="180"/>
    </row>
    <row r="56" spans="1:53" s="171" customFormat="1" x14ac:dyDescent="0.15">
      <c r="A56" s="216">
        <v>1983</v>
      </c>
      <c r="B56" s="283"/>
      <c r="C56" s="410" t="s">
        <v>657</v>
      </c>
      <c r="D56" s="410"/>
      <c r="E56" s="171">
        <v>365</v>
      </c>
      <c r="G56" s="233"/>
      <c r="H56" s="171">
        <v>14</v>
      </c>
      <c r="J56" s="241">
        <v>14</v>
      </c>
      <c r="K56" s="214">
        <f t="shared" si="0"/>
        <v>0</v>
      </c>
      <c r="L56" s="214">
        <f t="shared" si="0"/>
        <v>100</v>
      </c>
      <c r="M56" s="214">
        <f t="shared" si="0"/>
        <v>0</v>
      </c>
      <c r="N56" s="235">
        <f t="shared" si="1"/>
        <v>100</v>
      </c>
      <c r="O56" s="213">
        <v>24</v>
      </c>
      <c r="P56" s="214">
        <v>30</v>
      </c>
      <c r="Q56" s="214"/>
      <c r="R56" s="215">
        <f t="shared" si="2"/>
        <v>54</v>
      </c>
      <c r="S56" s="171">
        <v>2</v>
      </c>
      <c r="T56" s="285"/>
      <c r="U56" s="283"/>
      <c r="V56" s="178" t="s">
        <v>490</v>
      </c>
      <c r="W56" s="171" t="s">
        <v>325</v>
      </c>
      <c r="X56" s="171" t="s">
        <v>18</v>
      </c>
      <c r="Y56" s="179">
        <v>30</v>
      </c>
      <c r="Z56" s="171" t="s">
        <v>486</v>
      </c>
      <c r="AA56" s="171" t="s">
        <v>22</v>
      </c>
      <c r="AB56" s="171" t="s">
        <v>11</v>
      </c>
      <c r="AC56" s="171">
        <v>24</v>
      </c>
      <c r="AD56" s="178"/>
      <c r="AG56" s="179"/>
      <c r="AL56" s="178"/>
      <c r="AO56" s="179"/>
      <c r="AP56" s="178"/>
      <c r="AS56" s="179"/>
      <c r="AW56" s="179"/>
      <c r="BA56" s="180"/>
    </row>
    <row r="57" spans="1:53" s="171" customFormat="1" x14ac:dyDescent="0.15">
      <c r="A57" s="216">
        <v>1984</v>
      </c>
      <c r="B57" s="283"/>
      <c r="C57" s="410" t="s">
        <v>657</v>
      </c>
      <c r="D57" s="410"/>
      <c r="E57" s="171">
        <v>0</v>
      </c>
      <c r="G57" s="233"/>
      <c r="H57" s="171">
        <v>14</v>
      </c>
      <c r="J57" s="241">
        <v>14</v>
      </c>
      <c r="K57" s="214">
        <f t="shared" si="0"/>
        <v>0</v>
      </c>
      <c r="L57" s="214">
        <f t="shared" si="0"/>
        <v>100</v>
      </c>
      <c r="M57" s="214">
        <f t="shared" si="0"/>
        <v>0</v>
      </c>
      <c r="N57" s="235">
        <f t="shared" si="1"/>
        <v>100</v>
      </c>
      <c r="O57" s="213">
        <v>24</v>
      </c>
      <c r="P57" s="214">
        <v>30</v>
      </c>
      <c r="Q57" s="214"/>
      <c r="R57" s="215">
        <f t="shared" si="2"/>
        <v>54</v>
      </c>
      <c r="S57" s="171">
        <v>2</v>
      </c>
      <c r="T57" s="285"/>
      <c r="U57" s="283"/>
      <c r="V57" s="178" t="s">
        <v>490</v>
      </c>
      <c r="W57" s="171" t="s">
        <v>325</v>
      </c>
      <c r="X57" s="171" t="s">
        <v>18</v>
      </c>
      <c r="Y57" s="179">
        <v>30</v>
      </c>
      <c r="Z57" s="171" t="s">
        <v>486</v>
      </c>
      <c r="AA57" s="171" t="s">
        <v>22</v>
      </c>
      <c r="AB57" s="171" t="s">
        <v>11</v>
      </c>
      <c r="AC57" s="171">
        <v>24</v>
      </c>
      <c r="AD57" s="178"/>
      <c r="AG57" s="179"/>
      <c r="AL57" s="178"/>
      <c r="AO57" s="179"/>
      <c r="AP57" s="178"/>
      <c r="AS57" s="179"/>
      <c r="AW57" s="179"/>
      <c r="BA57" s="180"/>
    </row>
    <row r="58" spans="1:53" s="171" customFormat="1" x14ac:dyDescent="0.15">
      <c r="A58" s="216">
        <v>1984</v>
      </c>
      <c r="B58" s="283"/>
      <c r="C58" s="410" t="s">
        <v>657</v>
      </c>
      <c r="D58" s="410"/>
      <c r="E58" s="171">
        <v>366</v>
      </c>
      <c r="G58" s="233"/>
      <c r="H58" s="171">
        <v>14</v>
      </c>
      <c r="J58" s="241">
        <v>14</v>
      </c>
      <c r="K58" s="214">
        <f t="shared" si="0"/>
        <v>0</v>
      </c>
      <c r="L58" s="214">
        <f t="shared" si="0"/>
        <v>100</v>
      </c>
      <c r="M58" s="214">
        <f t="shared" si="0"/>
        <v>0</v>
      </c>
      <c r="N58" s="235">
        <f t="shared" si="1"/>
        <v>100</v>
      </c>
      <c r="O58" s="213">
        <v>24</v>
      </c>
      <c r="P58" s="214">
        <v>30</v>
      </c>
      <c r="Q58" s="214"/>
      <c r="R58" s="215">
        <f t="shared" si="2"/>
        <v>54</v>
      </c>
      <c r="S58" s="171">
        <v>2</v>
      </c>
      <c r="T58" s="285"/>
      <c r="U58" s="283"/>
      <c r="V58" s="178" t="s">
        <v>490</v>
      </c>
      <c r="W58" s="171" t="s">
        <v>325</v>
      </c>
      <c r="X58" s="171" t="s">
        <v>18</v>
      </c>
      <c r="Y58" s="179">
        <v>30</v>
      </c>
      <c r="Z58" s="171" t="s">
        <v>486</v>
      </c>
      <c r="AA58" s="171" t="s">
        <v>22</v>
      </c>
      <c r="AB58" s="171" t="s">
        <v>11</v>
      </c>
      <c r="AC58" s="171">
        <v>24</v>
      </c>
      <c r="AD58" s="178"/>
      <c r="AG58" s="179"/>
      <c r="AL58" s="178"/>
      <c r="AO58" s="179"/>
      <c r="AP58" s="178"/>
      <c r="AS58" s="179"/>
      <c r="AW58" s="179"/>
      <c r="BA58" s="180"/>
    </row>
    <row r="59" spans="1:53" s="171" customFormat="1" x14ac:dyDescent="0.15">
      <c r="A59" s="216">
        <v>1985</v>
      </c>
      <c r="B59" s="283"/>
      <c r="C59" s="410" t="s">
        <v>657</v>
      </c>
      <c r="D59" s="410"/>
      <c r="E59" s="171">
        <v>0</v>
      </c>
      <c r="G59" s="233"/>
      <c r="H59" s="171">
        <v>14</v>
      </c>
      <c r="J59" s="241">
        <v>14</v>
      </c>
      <c r="K59" s="214">
        <f t="shared" si="0"/>
        <v>0</v>
      </c>
      <c r="L59" s="214">
        <f t="shared" si="0"/>
        <v>100</v>
      </c>
      <c r="M59" s="214">
        <f t="shared" si="0"/>
        <v>0</v>
      </c>
      <c r="N59" s="235">
        <f t="shared" si="1"/>
        <v>100</v>
      </c>
      <c r="O59" s="213">
        <v>24</v>
      </c>
      <c r="P59" s="214">
        <v>30</v>
      </c>
      <c r="Q59" s="214"/>
      <c r="R59" s="215">
        <f t="shared" si="2"/>
        <v>54</v>
      </c>
      <c r="S59" s="171">
        <v>2</v>
      </c>
      <c r="T59" s="285"/>
      <c r="U59" s="283"/>
      <c r="V59" s="178" t="s">
        <v>490</v>
      </c>
      <c r="W59" s="171" t="s">
        <v>325</v>
      </c>
      <c r="X59" s="171" t="s">
        <v>18</v>
      </c>
      <c r="Y59" s="179">
        <v>30</v>
      </c>
      <c r="Z59" s="171" t="s">
        <v>486</v>
      </c>
      <c r="AA59" s="171" t="s">
        <v>22</v>
      </c>
      <c r="AB59" s="171" t="s">
        <v>11</v>
      </c>
      <c r="AC59" s="171">
        <v>24</v>
      </c>
      <c r="AD59" s="178"/>
      <c r="AG59" s="179"/>
      <c r="AL59" s="178"/>
      <c r="AO59" s="179"/>
      <c r="AP59" s="178"/>
      <c r="AS59" s="179"/>
      <c r="AW59" s="179"/>
      <c r="BA59" s="180"/>
    </row>
    <row r="60" spans="1:53" s="171" customFormat="1" x14ac:dyDescent="0.15">
      <c r="A60" s="216">
        <v>1985</v>
      </c>
      <c r="B60" s="283"/>
      <c r="C60" s="410" t="s">
        <v>657</v>
      </c>
      <c r="D60" s="410"/>
      <c r="E60" s="171">
        <v>365</v>
      </c>
      <c r="G60" s="233"/>
      <c r="H60" s="171">
        <v>14</v>
      </c>
      <c r="J60" s="241">
        <v>14</v>
      </c>
      <c r="K60" s="214">
        <f>G60/$J60*100</f>
        <v>0</v>
      </c>
      <c r="L60" s="214">
        <f t="shared" ref="L60:M112" si="3">H60/$J60*100</f>
        <v>100</v>
      </c>
      <c r="M60" s="214">
        <f t="shared" si="3"/>
        <v>0</v>
      </c>
      <c r="N60" s="235">
        <f t="shared" si="1"/>
        <v>100</v>
      </c>
      <c r="O60" s="213">
        <v>24</v>
      </c>
      <c r="P60" s="214">
        <v>30</v>
      </c>
      <c r="Q60" s="214"/>
      <c r="R60" s="215">
        <f t="shared" si="2"/>
        <v>54</v>
      </c>
      <c r="S60" s="171">
        <v>2</v>
      </c>
      <c r="T60" s="285"/>
      <c r="U60" s="283"/>
      <c r="V60" s="178" t="s">
        <v>490</v>
      </c>
      <c r="W60" s="171" t="s">
        <v>325</v>
      </c>
      <c r="X60" s="171" t="s">
        <v>18</v>
      </c>
      <c r="Y60" s="179">
        <v>30</v>
      </c>
      <c r="Z60" s="171" t="s">
        <v>486</v>
      </c>
      <c r="AA60" s="171" t="s">
        <v>22</v>
      </c>
      <c r="AB60" s="171" t="s">
        <v>11</v>
      </c>
      <c r="AC60" s="171">
        <v>24</v>
      </c>
      <c r="AD60" s="178"/>
      <c r="AG60" s="179"/>
      <c r="AL60" s="178"/>
      <c r="AO60" s="179"/>
      <c r="AP60" s="178"/>
      <c r="AS60" s="179"/>
      <c r="AW60" s="179"/>
      <c r="BA60" s="180"/>
    </row>
    <row r="61" spans="1:53" s="171" customFormat="1" x14ac:dyDescent="0.15">
      <c r="A61" s="216">
        <v>1986</v>
      </c>
      <c r="B61" s="283"/>
      <c r="C61" s="410" t="s">
        <v>657</v>
      </c>
      <c r="D61" s="410"/>
      <c r="E61" s="171">
        <v>317</v>
      </c>
      <c r="G61" s="233"/>
      <c r="H61" s="171">
        <v>14</v>
      </c>
      <c r="J61" s="241">
        <v>14</v>
      </c>
      <c r="K61" s="214">
        <f t="shared" ref="K61:K102" si="4">G61/$J61*100</f>
        <v>0</v>
      </c>
      <c r="L61" s="214">
        <f t="shared" si="3"/>
        <v>100</v>
      </c>
      <c r="M61" s="214">
        <f t="shared" si="3"/>
        <v>0</v>
      </c>
      <c r="N61" s="235">
        <f t="shared" si="1"/>
        <v>100</v>
      </c>
      <c r="O61" s="213">
        <v>24</v>
      </c>
      <c r="P61" s="214">
        <v>30</v>
      </c>
      <c r="Q61" s="214"/>
      <c r="R61" s="215">
        <f t="shared" si="2"/>
        <v>54</v>
      </c>
      <c r="S61" s="171">
        <v>2</v>
      </c>
      <c r="T61" s="285"/>
      <c r="U61" s="283"/>
      <c r="V61" s="178" t="s">
        <v>490</v>
      </c>
      <c r="W61" s="171" t="s">
        <v>325</v>
      </c>
      <c r="X61" s="171" t="s">
        <v>18</v>
      </c>
      <c r="Y61" s="179">
        <v>30</v>
      </c>
      <c r="Z61" s="171" t="s">
        <v>486</v>
      </c>
      <c r="AA61" s="171" t="s">
        <v>22</v>
      </c>
      <c r="AB61" s="171" t="s">
        <v>11</v>
      </c>
      <c r="AC61" s="171">
        <v>24</v>
      </c>
      <c r="AD61" s="178"/>
      <c r="AG61" s="179"/>
      <c r="AL61" s="178"/>
      <c r="AO61" s="179"/>
      <c r="AP61" s="178"/>
      <c r="AS61" s="179"/>
      <c r="AW61" s="179"/>
      <c r="BA61" s="180"/>
    </row>
    <row r="62" spans="1:53" s="29" customFormat="1" x14ac:dyDescent="0.15">
      <c r="A62" s="52">
        <v>1986</v>
      </c>
      <c r="B62" s="295">
        <v>31730</v>
      </c>
      <c r="C62" s="411" t="s">
        <v>658</v>
      </c>
      <c r="D62" s="411"/>
      <c r="E62" s="29">
        <f>365-E61</f>
        <v>48</v>
      </c>
      <c r="F62" s="29">
        <v>1</v>
      </c>
      <c r="G62" s="66">
        <v>5</v>
      </c>
      <c r="H62" s="29">
        <v>9</v>
      </c>
      <c r="J62" s="73">
        <v>14</v>
      </c>
      <c r="K62" s="47">
        <f t="shared" si="4"/>
        <v>35.714285714285715</v>
      </c>
      <c r="L62" s="47">
        <f t="shared" si="3"/>
        <v>64.285714285714292</v>
      </c>
      <c r="M62" s="47">
        <f t="shared" si="3"/>
        <v>0</v>
      </c>
      <c r="N62" s="68">
        <f t="shared" si="1"/>
        <v>100</v>
      </c>
      <c r="O62" s="46">
        <v>18</v>
      </c>
      <c r="P62" s="47">
        <v>36</v>
      </c>
      <c r="Q62" s="47"/>
      <c r="R62" s="48">
        <f t="shared" si="2"/>
        <v>54</v>
      </c>
      <c r="S62" s="29">
        <v>2</v>
      </c>
      <c r="T62" s="286">
        <v>31553</v>
      </c>
      <c r="U62" s="295">
        <v>31730</v>
      </c>
      <c r="V62" s="38" t="s">
        <v>490</v>
      </c>
      <c r="W62" s="29" t="s">
        <v>325</v>
      </c>
      <c r="X62" s="29" t="s">
        <v>18</v>
      </c>
      <c r="Y62" s="39">
        <v>36</v>
      </c>
      <c r="Z62" s="29" t="s">
        <v>486</v>
      </c>
      <c r="AA62" s="29" t="s">
        <v>22</v>
      </c>
      <c r="AB62" s="29" t="s">
        <v>11</v>
      </c>
      <c r="AC62" s="29">
        <v>18</v>
      </c>
      <c r="AD62" s="38"/>
      <c r="AG62" s="39"/>
      <c r="AL62" s="38"/>
      <c r="AO62" s="39"/>
      <c r="AP62" s="38"/>
      <c r="AS62" s="39"/>
      <c r="AW62" s="39"/>
      <c r="BA62" s="40"/>
    </row>
    <row r="63" spans="1:53" s="29" customFormat="1" x14ac:dyDescent="0.15">
      <c r="A63" s="52">
        <v>1987</v>
      </c>
      <c r="B63" s="295"/>
      <c r="C63" s="411" t="s">
        <v>658</v>
      </c>
      <c r="D63" s="411"/>
      <c r="E63" s="29">
        <v>0</v>
      </c>
      <c r="G63" s="66">
        <v>5</v>
      </c>
      <c r="H63" s="29">
        <v>9</v>
      </c>
      <c r="J63" s="73">
        <v>14</v>
      </c>
      <c r="K63" s="47">
        <f t="shared" si="4"/>
        <v>35.714285714285715</v>
      </c>
      <c r="L63" s="47">
        <f t="shared" si="3"/>
        <v>64.285714285714292</v>
      </c>
      <c r="M63" s="47">
        <f t="shared" si="3"/>
        <v>0</v>
      </c>
      <c r="N63" s="68">
        <f t="shared" si="1"/>
        <v>100</v>
      </c>
      <c r="O63" s="46">
        <v>18</v>
      </c>
      <c r="P63" s="47">
        <v>36</v>
      </c>
      <c r="Q63" s="47"/>
      <c r="R63" s="48">
        <f t="shared" si="2"/>
        <v>54</v>
      </c>
      <c r="S63" s="29">
        <v>2</v>
      </c>
      <c r="T63" s="286"/>
      <c r="U63" s="295"/>
      <c r="V63" s="38" t="s">
        <v>490</v>
      </c>
      <c r="W63" s="29" t="s">
        <v>325</v>
      </c>
      <c r="X63" s="29" t="s">
        <v>18</v>
      </c>
      <c r="Y63" s="39">
        <v>36</v>
      </c>
      <c r="Z63" s="29" t="s">
        <v>486</v>
      </c>
      <c r="AA63" s="29" t="s">
        <v>22</v>
      </c>
      <c r="AB63" s="29" t="s">
        <v>11</v>
      </c>
      <c r="AC63" s="29">
        <v>18</v>
      </c>
      <c r="AD63" s="38"/>
      <c r="AG63" s="39"/>
      <c r="AL63" s="38"/>
      <c r="AO63" s="39"/>
      <c r="AP63" s="38"/>
      <c r="AS63" s="39"/>
      <c r="AW63" s="39"/>
      <c r="BA63" s="40"/>
    </row>
    <row r="64" spans="1:53" s="29" customFormat="1" x14ac:dyDescent="0.15">
      <c r="A64" s="52">
        <v>1987</v>
      </c>
      <c r="B64" s="295"/>
      <c r="C64" s="411" t="s">
        <v>658</v>
      </c>
      <c r="D64" s="411"/>
      <c r="E64" s="29">
        <v>365</v>
      </c>
      <c r="G64" s="66">
        <v>5</v>
      </c>
      <c r="H64" s="29">
        <v>9</v>
      </c>
      <c r="J64" s="73">
        <v>14</v>
      </c>
      <c r="K64" s="47">
        <f t="shared" si="4"/>
        <v>35.714285714285715</v>
      </c>
      <c r="L64" s="47">
        <f t="shared" si="3"/>
        <v>64.285714285714292</v>
      </c>
      <c r="M64" s="47">
        <f t="shared" si="3"/>
        <v>0</v>
      </c>
      <c r="N64" s="68">
        <f t="shared" si="1"/>
        <v>100</v>
      </c>
      <c r="O64" s="46">
        <v>18</v>
      </c>
      <c r="P64" s="47">
        <v>36</v>
      </c>
      <c r="Q64" s="47"/>
      <c r="R64" s="48">
        <f t="shared" si="2"/>
        <v>54</v>
      </c>
      <c r="S64" s="29">
        <v>2</v>
      </c>
      <c r="T64" s="286"/>
      <c r="U64" s="295"/>
      <c r="V64" s="38" t="s">
        <v>490</v>
      </c>
      <c r="W64" s="29" t="s">
        <v>325</v>
      </c>
      <c r="X64" s="29" t="s">
        <v>18</v>
      </c>
      <c r="Y64" s="39">
        <v>36</v>
      </c>
      <c r="Z64" s="29" t="s">
        <v>486</v>
      </c>
      <c r="AA64" s="29" t="s">
        <v>22</v>
      </c>
      <c r="AB64" s="29" t="s">
        <v>11</v>
      </c>
      <c r="AC64" s="29">
        <v>18</v>
      </c>
      <c r="AD64" s="38"/>
      <c r="AG64" s="39"/>
      <c r="AL64" s="38"/>
      <c r="AO64" s="39"/>
      <c r="AP64" s="38"/>
      <c r="AS64" s="39"/>
      <c r="AW64" s="39"/>
      <c r="BA64" s="40"/>
    </row>
    <row r="65" spans="1:53" s="29" customFormat="1" x14ac:dyDescent="0.15">
      <c r="A65" s="52">
        <v>1988</v>
      </c>
      <c r="B65" s="295"/>
      <c r="C65" s="411" t="s">
        <v>658</v>
      </c>
      <c r="D65" s="411"/>
      <c r="E65" s="29">
        <v>0</v>
      </c>
      <c r="G65" s="66">
        <v>5</v>
      </c>
      <c r="H65" s="29">
        <v>9</v>
      </c>
      <c r="J65" s="73">
        <v>14</v>
      </c>
      <c r="K65" s="47">
        <f t="shared" si="4"/>
        <v>35.714285714285715</v>
      </c>
      <c r="L65" s="47">
        <f t="shared" si="3"/>
        <v>64.285714285714292</v>
      </c>
      <c r="M65" s="47">
        <f t="shared" si="3"/>
        <v>0</v>
      </c>
      <c r="N65" s="68">
        <f t="shared" si="1"/>
        <v>100</v>
      </c>
      <c r="O65" s="46">
        <v>18</v>
      </c>
      <c r="P65" s="47">
        <v>36</v>
      </c>
      <c r="Q65" s="47"/>
      <c r="R65" s="48">
        <f t="shared" si="2"/>
        <v>54</v>
      </c>
      <c r="S65" s="29">
        <v>2</v>
      </c>
      <c r="T65" s="286"/>
      <c r="U65" s="295"/>
      <c r="V65" s="38" t="s">
        <v>490</v>
      </c>
      <c r="W65" s="29" t="s">
        <v>325</v>
      </c>
      <c r="X65" s="29" t="s">
        <v>18</v>
      </c>
      <c r="Y65" s="39">
        <v>36</v>
      </c>
      <c r="Z65" s="29" t="s">
        <v>486</v>
      </c>
      <c r="AA65" s="29" t="s">
        <v>22</v>
      </c>
      <c r="AB65" s="29" t="s">
        <v>11</v>
      </c>
      <c r="AC65" s="29">
        <v>18</v>
      </c>
      <c r="AD65" s="38"/>
      <c r="AG65" s="39"/>
      <c r="AL65" s="38"/>
      <c r="AO65" s="39"/>
      <c r="AP65" s="38"/>
      <c r="AS65" s="39"/>
      <c r="AW65" s="39"/>
      <c r="BA65" s="40"/>
    </row>
    <row r="66" spans="1:53" s="29" customFormat="1" x14ac:dyDescent="0.15">
      <c r="A66" s="52">
        <v>1988</v>
      </c>
      <c r="B66" s="295"/>
      <c r="C66" s="411" t="s">
        <v>658</v>
      </c>
      <c r="D66" s="411"/>
      <c r="E66" s="29">
        <v>366</v>
      </c>
      <c r="G66" s="66">
        <v>5</v>
      </c>
      <c r="H66" s="29">
        <v>9</v>
      </c>
      <c r="J66" s="73">
        <v>14</v>
      </c>
      <c r="K66" s="47">
        <f t="shared" si="4"/>
        <v>35.714285714285715</v>
      </c>
      <c r="L66" s="47">
        <f t="shared" si="3"/>
        <v>64.285714285714292</v>
      </c>
      <c r="M66" s="47">
        <f t="shared" si="3"/>
        <v>0</v>
      </c>
      <c r="N66" s="68">
        <f t="shared" si="1"/>
        <v>100</v>
      </c>
      <c r="O66" s="46">
        <v>18</v>
      </c>
      <c r="P66" s="47">
        <v>36</v>
      </c>
      <c r="Q66" s="47"/>
      <c r="R66" s="48">
        <f t="shared" si="2"/>
        <v>54</v>
      </c>
      <c r="S66" s="29">
        <v>2</v>
      </c>
      <c r="T66" s="286"/>
      <c r="U66" s="295"/>
      <c r="V66" s="38" t="s">
        <v>490</v>
      </c>
      <c r="W66" s="29" t="s">
        <v>325</v>
      </c>
      <c r="X66" s="29" t="s">
        <v>18</v>
      </c>
      <c r="Y66" s="39">
        <v>36</v>
      </c>
      <c r="Z66" s="29" t="s">
        <v>486</v>
      </c>
      <c r="AA66" s="29" t="s">
        <v>22</v>
      </c>
      <c r="AB66" s="29" t="s">
        <v>11</v>
      </c>
      <c r="AC66" s="29">
        <v>18</v>
      </c>
      <c r="AD66" s="38"/>
      <c r="AG66" s="39"/>
      <c r="AL66" s="38"/>
      <c r="AO66" s="39"/>
      <c r="AP66" s="38"/>
      <c r="AS66" s="39"/>
      <c r="AW66" s="39"/>
      <c r="BA66" s="40"/>
    </row>
    <row r="67" spans="1:53" s="29" customFormat="1" x14ac:dyDescent="0.15">
      <c r="A67" s="52">
        <v>1989</v>
      </c>
      <c r="B67" s="295"/>
      <c r="C67" s="411" t="s">
        <v>658</v>
      </c>
      <c r="D67" s="411"/>
      <c r="E67" s="29">
        <v>310</v>
      </c>
      <c r="G67" s="66">
        <v>5</v>
      </c>
      <c r="H67" s="29">
        <v>9</v>
      </c>
      <c r="J67" s="73">
        <v>14</v>
      </c>
      <c r="K67" s="47">
        <f t="shared" si="4"/>
        <v>35.714285714285715</v>
      </c>
      <c r="L67" s="47">
        <f t="shared" si="3"/>
        <v>64.285714285714292</v>
      </c>
      <c r="M67" s="47">
        <f t="shared" si="3"/>
        <v>0</v>
      </c>
      <c r="N67" s="68">
        <f t="shared" si="1"/>
        <v>100</v>
      </c>
      <c r="O67" s="46">
        <v>18</v>
      </c>
      <c r="P67" s="47">
        <v>36</v>
      </c>
      <c r="Q67" s="47"/>
      <c r="R67" s="48">
        <f t="shared" si="2"/>
        <v>54</v>
      </c>
      <c r="S67" s="29">
        <v>2</v>
      </c>
      <c r="T67" s="286"/>
      <c r="U67" s="295"/>
      <c r="V67" s="38" t="s">
        <v>490</v>
      </c>
      <c r="W67" s="29" t="s">
        <v>325</v>
      </c>
      <c r="X67" s="29" t="s">
        <v>18</v>
      </c>
      <c r="Y67" s="39">
        <v>36</v>
      </c>
      <c r="Z67" s="29" t="s">
        <v>486</v>
      </c>
      <c r="AA67" s="29" t="s">
        <v>22</v>
      </c>
      <c r="AB67" s="29" t="s">
        <v>11</v>
      </c>
      <c r="AC67" s="29">
        <v>18</v>
      </c>
      <c r="AD67" s="38"/>
      <c r="AG67" s="39"/>
      <c r="AL67" s="38"/>
      <c r="AO67" s="39"/>
      <c r="AP67" s="38"/>
      <c r="AS67" s="39"/>
      <c r="AW67" s="39"/>
      <c r="BA67" s="40"/>
    </row>
    <row r="68" spans="1:53" s="54" customFormat="1" x14ac:dyDescent="0.15">
      <c r="A68" s="118">
        <v>1989</v>
      </c>
      <c r="B68" s="293">
        <v>32819</v>
      </c>
      <c r="C68" s="414" t="s">
        <v>659</v>
      </c>
      <c r="D68" s="414"/>
      <c r="E68" s="54">
        <f>365-E67</f>
        <v>55</v>
      </c>
      <c r="F68" s="54">
        <v>5</v>
      </c>
      <c r="G68" s="249"/>
      <c r="H68" s="54">
        <v>7</v>
      </c>
      <c r="I68" s="54">
        <v>7</v>
      </c>
      <c r="J68" s="250">
        <v>14</v>
      </c>
      <c r="K68" s="225">
        <f t="shared" si="4"/>
        <v>0</v>
      </c>
      <c r="L68" s="226">
        <f t="shared" si="3"/>
        <v>50</v>
      </c>
      <c r="M68" s="226">
        <f t="shared" si="3"/>
        <v>50</v>
      </c>
      <c r="N68" s="227">
        <f t="shared" si="1"/>
        <v>100</v>
      </c>
      <c r="O68" s="225"/>
      <c r="P68" s="226">
        <v>36</v>
      </c>
      <c r="Q68" s="226">
        <v>32.700000000000003</v>
      </c>
      <c r="R68" s="227">
        <f t="shared" si="2"/>
        <v>68.7</v>
      </c>
      <c r="S68" s="258">
        <v>2</v>
      </c>
      <c r="T68" s="287">
        <v>32757</v>
      </c>
      <c r="U68" s="293">
        <v>32819</v>
      </c>
      <c r="V68" s="55" t="s">
        <v>490</v>
      </c>
      <c r="W68" s="54" t="s">
        <v>325</v>
      </c>
      <c r="X68" s="54" t="s">
        <v>18</v>
      </c>
      <c r="Y68" s="56">
        <v>36</v>
      </c>
      <c r="Z68" s="55" t="s">
        <v>487</v>
      </c>
      <c r="AA68" s="54" t="s">
        <v>20</v>
      </c>
      <c r="AB68" s="54" t="s">
        <v>12</v>
      </c>
      <c r="AC68" s="54">
        <v>32.700000000000003</v>
      </c>
      <c r="AD68" s="55"/>
      <c r="AG68" s="56"/>
      <c r="AL68" s="55"/>
      <c r="AO68" s="56"/>
      <c r="AP68" s="55"/>
      <c r="AS68" s="56"/>
      <c r="AW68" s="56"/>
      <c r="BA68" s="57"/>
    </row>
    <row r="69" spans="1:53" s="171" customFormat="1" x14ac:dyDescent="0.15">
      <c r="A69" s="171">
        <v>1990</v>
      </c>
      <c r="B69" s="283"/>
      <c r="C69" s="410" t="s">
        <v>659</v>
      </c>
      <c r="D69" s="410"/>
      <c r="E69" s="171">
        <v>0</v>
      </c>
      <c r="G69" s="233"/>
      <c r="H69" s="171">
        <v>7</v>
      </c>
      <c r="I69" s="171">
        <v>7</v>
      </c>
      <c r="J69" s="241">
        <v>14</v>
      </c>
      <c r="K69" s="214">
        <f t="shared" si="4"/>
        <v>0</v>
      </c>
      <c r="L69" s="214">
        <f t="shared" si="3"/>
        <v>50</v>
      </c>
      <c r="M69" s="214">
        <f t="shared" si="3"/>
        <v>50</v>
      </c>
      <c r="N69" s="235">
        <f t="shared" si="1"/>
        <v>100</v>
      </c>
      <c r="O69" s="213"/>
      <c r="P69" s="214">
        <v>36</v>
      </c>
      <c r="Q69" s="214">
        <v>32.700000000000003</v>
      </c>
      <c r="R69" s="215">
        <f t="shared" si="2"/>
        <v>68.7</v>
      </c>
      <c r="S69" s="171">
        <v>2</v>
      </c>
      <c r="T69" s="285"/>
      <c r="U69" s="283"/>
      <c r="V69" s="178" t="s">
        <v>490</v>
      </c>
      <c r="W69" s="171" t="s">
        <v>325</v>
      </c>
      <c r="X69" s="171" t="s">
        <v>18</v>
      </c>
      <c r="Y69" s="171">
        <v>36</v>
      </c>
      <c r="Z69" s="178" t="s">
        <v>487</v>
      </c>
      <c r="AA69" s="171" t="s">
        <v>20</v>
      </c>
      <c r="AB69" s="171" t="s">
        <v>12</v>
      </c>
      <c r="AC69" s="171">
        <v>32.700000000000003</v>
      </c>
      <c r="AD69" s="178"/>
      <c r="AG69" s="179"/>
      <c r="AL69" s="178"/>
      <c r="AO69" s="179"/>
      <c r="AP69" s="178"/>
      <c r="AS69" s="179"/>
      <c r="AW69" s="179"/>
      <c r="BA69" s="180"/>
    </row>
    <row r="70" spans="1:53" s="171" customFormat="1" x14ac:dyDescent="0.15">
      <c r="A70" s="171">
        <v>1990</v>
      </c>
      <c r="B70" s="283"/>
      <c r="C70" s="410" t="s">
        <v>659</v>
      </c>
      <c r="D70" s="410"/>
      <c r="E70" s="171">
        <f>365-E69</f>
        <v>365</v>
      </c>
      <c r="G70" s="233"/>
      <c r="H70" s="171">
        <v>7</v>
      </c>
      <c r="I70" s="171">
        <v>7</v>
      </c>
      <c r="J70" s="241">
        <v>14</v>
      </c>
      <c r="K70" s="214">
        <f t="shared" si="4"/>
        <v>0</v>
      </c>
      <c r="L70" s="214">
        <f t="shared" si="3"/>
        <v>50</v>
      </c>
      <c r="M70" s="214">
        <f t="shared" si="3"/>
        <v>50</v>
      </c>
      <c r="N70" s="235">
        <f t="shared" si="1"/>
        <v>100</v>
      </c>
      <c r="O70" s="213"/>
      <c r="P70" s="214">
        <v>36</v>
      </c>
      <c r="Q70" s="214">
        <v>32.700000000000003</v>
      </c>
      <c r="R70" s="215">
        <f t="shared" si="2"/>
        <v>68.7</v>
      </c>
      <c r="S70" s="171">
        <v>2</v>
      </c>
      <c r="T70" s="285"/>
      <c r="U70" s="283"/>
      <c r="V70" s="178" t="s">
        <v>490</v>
      </c>
      <c r="W70" s="171" t="s">
        <v>325</v>
      </c>
      <c r="X70" s="171" t="s">
        <v>18</v>
      </c>
      <c r="Y70" s="171">
        <v>36</v>
      </c>
      <c r="Z70" s="178" t="s">
        <v>487</v>
      </c>
      <c r="AA70" s="171" t="s">
        <v>20</v>
      </c>
      <c r="AB70" s="171" t="s">
        <v>12</v>
      </c>
      <c r="AC70" s="171">
        <v>32.700000000000003</v>
      </c>
      <c r="AD70" s="178"/>
      <c r="AG70" s="179"/>
      <c r="AL70" s="178"/>
      <c r="AO70" s="179"/>
      <c r="AP70" s="178"/>
      <c r="AS70" s="179"/>
      <c r="AW70" s="179"/>
      <c r="BA70" s="180"/>
    </row>
    <row r="71" spans="1:53" s="171" customFormat="1" x14ac:dyDescent="0.15">
      <c r="A71" s="171">
        <v>1991</v>
      </c>
      <c r="B71" s="283"/>
      <c r="C71" s="410" t="s">
        <v>659</v>
      </c>
      <c r="D71" s="410"/>
      <c r="E71" s="171">
        <v>0</v>
      </c>
      <c r="G71" s="233"/>
      <c r="H71" s="171">
        <v>7</v>
      </c>
      <c r="I71" s="171">
        <v>7</v>
      </c>
      <c r="J71" s="241">
        <v>14</v>
      </c>
      <c r="K71" s="214">
        <f t="shared" si="4"/>
        <v>0</v>
      </c>
      <c r="L71" s="214">
        <f t="shared" si="3"/>
        <v>50</v>
      </c>
      <c r="M71" s="214">
        <f t="shared" si="3"/>
        <v>50</v>
      </c>
      <c r="N71" s="235">
        <f t="shared" si="1"/>
        <v>100</v>
      </c>
      <c r="O71" s="213"/>
      <c r="P71" s="214">
        <v>36</v>
      </c>
      <c r="Q71" s="214">
        <v>32.700000000000003</v>
      </c>
      <c r="R71" s="215">
        <f t="shared" si="2"/>
        <v>68.7</v>
      </c>
      <c r="S71" s="171">
        <v>2</v>
      </c>
      <c r="T71" s="285"/>
      <c r="U71" s="283"/>
      <c r="V71" s="178" t="s">
        <v>490</v>
      </c>
      <c r="W71" s="171" t="s">
        <v>325</v>
      </c>
      <c r="X71" s="171" t="s">
        <v>18</v>
      </c>
      <c r="Y71" s="171">
        <v>36</v>
      </c>
      <c r="Z71" s="178" t="s">
        <v>487</v>
      </c>
      <c r="AA71" s="171" t="s">
        <v>20</v>
      </c>
      <c r="AB71" s="171" t="s">
        <v>12</v>
      </c>
      <c r="AC71" s="171">
        <v>32.700000000000003</v>
      </c>
      <c r="AD71" s="178"/>
      <c r="AG71" s="179"/>
      <c r="AL71" s="178"/>
      <c r="AO71" s="179"/>
      <c r="AP71" s="178"/>
      <c r="AS71" s="179"/>
      <c r="AW71" s="179"/>
      <c r="BA71" s="180"/>
    </row>
    <row r="72" spans="1:53" s="171" customFormat="1" x14ac:dyDescent="0.15">
      <c r="A72" s="171">
        <v>1991</v>
      </c>
      <c r="B72" s="283"/>
      <c r="C72" s="410" t="s">
        <v>659</v>
      </c>
      <c r="D72" s="410"/>
      <c r="E72" s="171">
        <f>365-E71</f>
        <v>365</v>
      </c>
      <c r="G72" s="233"/>
      <c r="H72" s="171">
        <v>7</v>
      </c>
      <c r="I72" s="171">
        <v>7</v>
      </c>
      <c r="J72" s="241">
        <v>14</v>
      </c>
      <c r="K72" s="214">
        <f t="shared" si="4"/>
        <v>0</v>
      </c>
      <c r="L72" s="214">
        <f t="shared" si="3"/>
        <v>50</v>
      </c>
      <c r="M72" s="214">
        <f t="shared" si="3"/>
        <v>50</v>
      </c>
      <c r="N72" s="235">
        <f t="shared" si="1"/>
        <v>100</v>
      </c>
      <c r="O72" s="213"/>
      <c r="P72" s="214">
        <v>36</v>
      </c>
      <c r="Q72" s="214">
        <v>32.700000000000003</v>
      </c>
      <c r="R72" s="215">
        <f t="shared" si="2"/>
        <v>68.7</v>
      </c>
      <c r="S72" s="171">
        <v>2</v>
      </c>
      <c r="T72" s="285"/>
      <c r="U72" s="283"/>
      <c r="V72" s="178" t="s">
        <v>490</v>
      </c>
      <c r="W72" s="171" t="s">
        <v>325</v>
      </c>
      <c r="X72" s="171" t="s">
        <v>18</v>
      </c>
      <c r="Y72" s="171">
        <v>36</v>
      </c>
      <c r="Z72" s="178" t="s">
        <v>487</v>
      </c>
      <c r="AA72" s="171" t="s">
        <v>20</v>
      </c>
      <c r="AB72" s="171" t="s">
        <v>12</v>
      </c>
      <c r="AC72" s="171">
        <v>32.700000000000003</v>
      </c>
      <c r="AD72" s="178"/>
      <c r="AG72" s="179"/>
      <c r="AL72" s="178"/>
      <c r="AO72" s="179"/>
      <c r="AP72" s="178"/>
      <c r="AS72" s="179"/>
      <c r="AW72" s="179"/>
      <c r="BA72" s="180"/>
    </row>
    <row r="73" spans="1:53" s="171" customFormat="1" x14ac:dyDescent="0.15">
      <c r="A73" s="171">
        <v>1992</v>
      </c>
      <c r="B73" s="283"/>
      <c r="C73" s="410" t="s">
        <v>659</v>
      </c>
      <c r="D73" s="410"/>
      <c r="E73" s="171">
        <v>0</v>
      </c>
      <c r="G73" s="233"/>
      <c r="H73" s="171">
        <v>7</v>
      </c>
      <c r="I73" s="171">
        <v>7</v>
      </c>
      <c r="J73" s="241">
        <v>14</v>
      </c>
      <c r="K73" s="214">
        <f t="shared" si="4"/>
        <v>0</v>
      </c>
      <c r="L73" s="214">
        <f t="shared" si="3"/>
        <v>50</v>
      </c>
      <c r="M73" s="214">
        <f t="shared" si="3"/>
        <v>50</v>
      </c>
      <c r="N73" s="235">
        <f t="shared" ref="N73:N120" si="5">K73+L73+M73</f>
        <v>100</v>
      </c>
      <c r="O73" s="213"/>
      <c r="P73" s="214">
        <v>36</v>
      </c>
      <c r="Q73" s="214">
        <v>32.700000000000003</v>
      </c>
      <c r="R73" s="215">
        <f t="shared" ref="R73:R118" si="6">O73+P73+Q73</f>
        <v>68.7</v>
      </c>
      <c r="S73" s="171">
        <v>2</v>
      </c>
      <c r="T73" s="285"/>
      <c r="U73" s="283"/>
      <c r="V73" s="178" t="s">
        <v>490</v>
      </c>
      <c r="W73" s="171" t="s">
        <v>325</v>
      </c>
      <c r="X73" s="171" t="s">
        <v>18</v>
      </c>
      <c r="Y73" s="171">
        <v>36</v>
      </c>
      <c r="Z73" s="178" t="s">
        <v>487</v>
      </c>
      <c r="AA73" s="171" t="s">
        <v>20</v>
      </c>
      <c r="AB73" s="171" t="s">
        <v>12</v>
      </c>
      <c r="AC73" s="171">
        <v>32.700000000000003</v>
      </c>
      <c r="AD73" s="178"/>
      <c r="AG73" s="179"/>
      <c r="AL73" s="178"/>
      <c r="AO73" s="179"/>
      <c r="AP73" s="178"/>
      <c r="AS73" s="179"/>
      <c r="AW73" s="179"/>
      <c r="BA73" s="180"/>
    </row>
    <row r="74" spans="1:53" s="171" customFormat="1" x14ac:dyDescent="0.15">
      <c r="A74" s="171">
        <v>1992</v>
      </c>
      <c r="B74" s="283"/>
      <c r="C74" s="410" t="s">
        <v>659</v>
      </c>
      <c r="D74" s="410"/>
      <c r="E74" s="171">
        <v>366</v>
      </c>
      <c r="G74" s="233"/>
      <c r="H74" s="171">
        <v>7</v>
      </c>
      <c r="I74" s="171">
        <v>7</v>
      </c>
      <c r="J74" s="241">
        <v>14</v>
      </c>
      <c r="K74" s="214">
        <f t="shared" si="4"/>
        <v>0</v>
      </c>
      <c r="L74" s="214">
        <f t="shared" si="3"/>
        <v>50</v>
      </c>
      <c r="M74" s="214">
        <f t="shared" si="3"/>
        <v>50</v>
      </c>
      <c r="N74" s="235">
        <f t="shared" si="5"/>
        <v>100</v>
      </c>
      <c r="O74" s="213"/>
      <c r="P74" s="214">
        <v>36</v>
      </c>
      <c r="Q74" s="214">
        <v>32.700000000000003</v>
      </c>
      <c r="R74" s="215">
        <f t="shared" si="6"/>
        <v>68.7</v>
      </c>
      <c r="S74" s="171">
        <v>2</v>
      </c>
      <c r="T74" s="285"/>
      <c r="U74" s="283"/>
      <c r="V74" s="178" t="s">
        <v>490</v>
      </c>
      <c r="W74" s="171" t="s">
        <v>325</v>
      </c>
      <c r="X74" s="171" t="s">
        <v>18</v>
      </c>
      <c r="Y74" s="171">
        <v>36</v>
      </c>
      <c r="Z74" s="178" t="s">
        <v>487</v>
      </c>
      <c r="AA74" s="171" t="s">
        <v>20</v>
      </c>
      <c r="AB74" s="171" t="s">
        <v>12</v>
      </c>
      <c r="AC74" s="171">
        <v>32.700000000000003</v>
      </c>
      <c r="AD74" s="178"/>
      <c r="AG74" s="179"/>
      <c r="AL74" s="178"/>
      <c r="AO74" s="179"/>
      <c r="AP74" s="178"/>
      <c r="AS74" s="179"/>
      <c r="AW74" s="179"/>
      <c r="BA74" s="180"/>
    </row>
    <row r="75" spans="1:53" s="171" customFormat="1" x14ac:dyDescent="0.15">
      <c r="A75" s="171">
        <v>1993</v>
      </c>
      <c r="B75" s="283"/>
      <c r="C75" s="410" t="s">
        <v>659</v>
      </c>
      <c r="D75" s="410"/>
      <c r="E75" s="171">
        <v>0</v>
      </c>
      <c r="G75" s="233"/>
      <c r="H75" s="171">
        <v>7</v>
      </c>
      <c r="I75" s="171">
        <v>7</v>
      </c>
      <c r="J75" s="241">
        <v>14</v>
      </c>
      <c r="K75" s="214">
        <f t="shared" si="4"/>
        <v>0</v>
      </c>
      <c r="L75" s="214">
        <f t="shared" si="3"/>
        <v>50</v>
      </c>
      <c r="M75" s="214">
        <f t="shared" si="3"/>
        <v>50</v>
      </c>
      <c r="N75" s="235">
        <f t="shared" si="5"/>
        <v>100</v>
      </c>
      <c r="O75" s="213"/>
      <c r="P75" s="214">
        <v>36</v>
      </c>
      <c r="Q75" s="214">
        <v>32.700000000000003</v>
      </c>
      <c r="R75" s="215">
        <f t="shared" si="6"/>
        <v>68.7</v>
      </c>
      <c r="S75" s="171">
        <v>2</v>
      </c>
      <c r="T75" s="285"/>
      <c r="U75" s="283"/>
      <c r="V75" s="178" t="s">
        <v>490</v>
      </c>
      <c r="W75" s="171" t="s">
        <v>325</v>
      </c>
      <c r="X75" s="171" t="s">
        <v>18</v>
      </c>
      <c r="Y75" s="171">
        <v>36</v>
      </c>
      <c r="Z75" s="178" t="s">
        <v>487</v>
      </c>
      <c r="AA75" s="171" t="s">
        <v>20</v>
      </c>
      <c r="AB75" s="171" t="s">
        <v>12</v>
      </c>
      <c r="AC75" s="171">
        <v>32.700000000000003</v>
      </c>
      <c r="AD75" s="178"/>
      <c r="AG75" s="179"/>
      <c r="AL75" s="178"/>
      <c r="AO75" s="179"/>
      <c r="AP75" s="178"/>
      <c r="AS75" s="179"/>
      <c r="AW75" s="179"/>
      <c r="BA75" s="180"/>
    </row>
    <row r="76" spans="1:53" s="171" customFormat="1" x14ac:dyDescent="0.15">
      <c r="A76" s="171">
        <v>1993</v>
      </c>
      <c r="B76" s="283"/>
      <c r="C76" s="410" t="s">
        <v>659</v>
      </c>
      <c r="D76" s="410"/>
      <c r="E76" s="171">
        <f>365-E75</f>
        <v>365</v>
      </c>
      <c r="G76" s="233"/>
      <c r="H76" s="171">
        <v>7</v>
      </c>
      <c r="I76" s="171">
        <v>7</v>
      </c>
      <c r="J76" s="241">
        <v>14</v>
      </c>
      <c r="K76" s="214">
        <f t="shared" si="4"/>
        <v>0</v>
      </c>
      <c r="L76" s="214">
        <f t="shared" si="3"/>
        <v>50</v>
      </c>
      <c r="M76" s="214">
        <f t="shared" si="3"/>
        <v>50</v>
      </c>
      <c r="N76" s="235">
        <f t="shared" si="5"/>
        <v>100</v>
      </c>
      <c r="O76" s="213"/>
      <c r="P76" s="214">
        <v>36</v>
      </c>
      <c r="Q76" s="214">
        <v>32.700000000000003</v>
      </c>
      <c r="R76" s="215">
        <f t="shared" si="6"/>
        <v>68.7</v>
      </c>
      <c r="S76" s="171">
        <v>2</v>
      </c>
      <c r="T76" s="285"/>
      <c r="U76" s="283"/>
      <c r="V76" s="178" t="s">
        <v>490</v>
      </c>
      <c r="W76" s="171" t="s">
        <v>325</v>
      </c>
      <c r="X76" s="171" t="s">
        <v>18</v>
      </c>
      <c r="Y76" s="171">
        <v>36</v>
      </c>
      <c r="Z76" s="178" t="s">
        <v>487</v>
      </c>
      <c r="AA76" s="171" t="s">
        <v>20</v>
      </c>
      <c r="AB76" s="171" t="s">
        <v>12</v>
      </c>
      <c r="AC76" s="171">
        <v>32.700000000000003</v>
      </c>
      <c r="AD76" s="178"/>
      <c r="AG76" s="179"/>
      <c r="AL76" s="178"/>
      <c r="AO76" s="179"/>
      <c r="AP76" s="178"/>
      <c r="AS76" s="179"/>
      <c r="AW76" s="179"/>
      <c r="BA76" s="180"/>
    </row>
    <row r="77" spans="1:53" s="171" customFormat="1" x14ac:dyDescent="0.15">
      <c r="A77" s="171">
        <v>1994</v>
      </c>
      <c r="B77" s="283"/>
      <c r="C77" s="410" t="s">
        <v>659</v>
      </c>
      <c r="D77" s="410"/>
      <c r="E77" s="171">
        <v>233</v>
      </c>
      <c r="G77" s="233"/>
      <c r="H77" s="171">
        <v>7</v>
      </c>
      <c r="I77" s="171">
        <v>7</v>
      </c>
      <c r="J77" s="241">
        <v>14</v>
      </c>
      <c r="K77" s="214">
        <f t="shared" si="4"/>
        <v>0</v>
      </c>
      <c r="L77" s="214">
        <f t="shared" si="3"/>
        <v>50</v>
      </c>
      <c r="M77" s="214">
        <f t="shared" si="3"/>
        <v>50</v>
      </c>
      <c r="N77" s="235">
        <f t="shared" si="5"/>
        <v>100</v>
      </c>
      <c r="O77" s="213"/>
      <c r="P77" s="214">
        <v>36</v>
      </c>
      <c r="Q77" s="214">
        <v>32.700000000000003</v>
      </c>
      <c r="R77" s="215">
        <f t="shared" si="6"/>
        <v>68.7</v>
      </c>
      <c r="S77" s="171">
        <v>2</v>
      </c>
      <c r="T77" s="285"/>
      <c r="U77" s="283"/>
      <c r="V77" s="178" t="s">
        <v>490</v>
      </c>
      <c r="W77" s="171" t="s">
        <v>325</v>
      </c>
      <c r="X77" s="171" t="s">
        <v>18</v>
      </c>
      <c r="Y77" s="171">
        <v>36</v>
      </c>
      <c r="Z77" s="178" t="s">
        <v>487</v>
      </c>
      <c r="AA77" s="171" t="s">
        <v>20</v>
      </c>
      <c r="AB77" s="171" t="s">
        <v>12</v>
      </c>
      <c r="AC77" s="171">
        <v>32.700000000000003</v>
      </c>
      <c r="AD77" s="178"/>
      <c r="AG77" s="179"/>
      <c r="AL77" s="178"/>
      <c r="AO77" s="179"/>
      <c r="AP77" s="178"/>
      <c r="AS77" s="179"/>
      <c r="AW77" s="179"/>
      <c r="BA77" s="180"/>
    </row>
    <row r="78" spans="1:53" s="29" customFormat="1" x14ac:dyDescent="0.15">
      <c r="A78" s="29">
        <v>1994</v>
      </c>
      <c r="B78" s="295">
        <v>34568</v>
      </c>
      <c r="C78" s="411" t="s">
        <v>660</v>
      </c>
      <c r="D78" s="411"/>
      <c r="E78" s="29">
        <f>365-E77</f>
        <v>132</v>
      </c>
      <c r="F78" s="29">
        <v>1</v>
      </c>
      <c r="G78" s="66">
        <v>5</v>
      </c>
      <c r="H78" s="29">
        <v>4</v>
      </c>
      <c r="I78" s="29">
        <v>5</v>
      </c>
      <c r="J78" s="73">
        <v>14</v>
      </c>
      <c r="K78" s="47">
        <f t="shared" si="4"/>
        <v>35.714285714285715</v>
      </c>
      <c r="L78" s="47">
        <f t="shared" si="3"/>
        <v>28.571428571428569</v>
      </c>
      <c r="M78" s="47">
        <f t="shared" si="3"/>
        <v>35.714285714285715</v>
      </c>
      <c r="N78" s="68">
        <f t="shared" si="5"/>
        <v>100</v>
      </c>
      <c r="O78" s="46">
        <v>20.7</v>
      </c>
      <c r="P78" s="47">
        <v>16</v>
      </c>
      <c r="Q78" s="47">
        <v>24.7</v>
      </c>
      <c r="R78" s="48">
        <f t="shared" si="6"/>
        <v>61.400000000000006</v>
      </c>
      <c r="S78" s="29">
        <v>2</v>
      </c>
      <c r="T78" s="286">
        <v>34457</v>
      </c>
      <c r="U78" s="295">
        <v>34568</v>
      </c>
      <c r="V78" s="38" t="s">
        <v>487</v>
      </c>
      <c r="W78" s="29" t="s">
        <v>20</v>
      </c>
      <c r="X78" s="29" t="s">
        <v>12</v>
      </c>
      <c r="Y78" s="39">
        <v>24.7</v>
      </c>
      <c r="Z78" s="29" t="s">
        <v>486</v>
      </c>
      <c r="AA78" s="29" t="s">
        <v>22</v>
      </c>
      <c r="AB78" s="29" t="s">
        <v>11</v>
      </c>
      <c r="AC78" s="29">
        <v>20.7</v>
      </c>
      <c r="AD78" s="38" t="s">
        <v>489</v>
      </c>
      <c r="AE78" s="29" t="s">
        <v>87</v>
      </c>
      <c r="AF78" s="29" t="s">
        <v>18</v>
      </c>
      <c r="AG78" s="39">
        <v>16</v>
      </c>
      <c r="AL78" s="38"/>
      <c r="AO78" s="39"/>
      <c r="AP78" s="38"/>
      <c r="AS78" s="39"/>
      <c r="AW78" s="39"/>
      <c r="BA78" s="40"/>
    </row>
    <row r="79" spans="1:53" s="29" customFormat="1" x14ac:dyDescent="0.15">
      <c r="A79" s="29">
        <v>1995</v>
      </c>
      <c r="B79" s="295"/>
      <c r="C79" s="411" t="s">
        <v>660</v>
      </c>
      <c r="D79" s="411"/>
      <c r="E79" s="29">
        <v>0</v>
      </c>
      <c r="G79" s="66">
        <v>5</v>
      </c>
      <c r="H79" s="29">
        <v>4</v>
      </c>
      <c r="I79" s="29">
        <v>5</v>
      </c>
      <c r="J79" s="73">
        <v>14</v>
      </c>
      <c r="K79" s="47">
        <f t="shared" si="4"/>
        <v>35.714285714285715</v>
      </c>
      <c r="L79" s="47">
        <f t="shared" si="3"/>
        <v>28.571428571428569</v>
      </c>
      <c r="M79" s="47">
        <f t="shared" si="3"/>
        <v>35.714285714285715</v>
      </c>
      <c r="N79" s="68">
        <f t="shared" si="5"/>
        <v>100</v>
      </c>
      <c r="O79" s="46">
        <v>20.7</v>
      </c>
      <c r="P79" s="47">
        <v>16</v>
      </c>
      <c r="Q79" s="47">
        <v>24.7</v>
      </c>
      <c r="R79" s="48">
        <f t="shared" si="6"/>
        <v>61.400000000000006</v>
      </c>
      <c r="S79" s="29">
        <v>2</v>
      </c>
      <c r="T79" s="286"/>
      <c r="U79" s="295"/>
      <c r="V79" s="38" t="s">
        <v>487</v>
      </c>
      <c r="W79" s="29" t="s">
        <v>20</v>
      </c>
      <c r="X79" s="29" t="s">
        <v>12</v>
      </c>
      <c r="Y79" s="39">
        <v>24.7</v>
      </c>
      <c r="Z79" s="29" t="s">
        <v>486</v>
      </c>
      <c r="AA79" s="29" t="s">
        <v>22</v>
      </c>
      <c r="AB79" s="29" t="s">
        <v>11</v>
      </c>
      <c r="AC79" s="29">
        <v>20.7</v>
      </c>
      <c r="AD79" s="38" t="s">
        <v>489</v>
      </c>
      <c r="AE79" s="29" t="s">
        <v>87</v>
      </c>
      <c r="AF79" s="29" t="s">
        <v>18</v>
      </c>
      <c r="AG79" s="39">
        <v>16</v>
      </c>
      <c r="AL79" s="38"/>
      <c r="AO79" s="39"/>
      <c r="AP79" s="38"/>
      <c r="AS79" s="39"/>
      <c r="AW79" s="39"/>
      <c r="BA79" s="40"/>
    </row>
    <row r="80" spans="1:53" s="29" customFormat="1" x14ac:dyDescent="0.15">
      <c r="A80" s="29">
        <v>1995</v>
      </c>
      <c r="B80" s="295"/>
      <c r="C80" s="411" t="s">
        <v>660</v>
      </c>
      <c r="D80" s="411"/>
      <c r="E80" s="29">
        <f>365-E79</f>
        <v>365</v>
      </c>
      <c r="G80" s="66">
        <v>5</v>
      </c>
      <c r="H80" s="29">
        <v>4</v>
      </c>
      <c r="I80" s="29">
        <v>5</v>
      </c>
      <c r="J80" s="73">
        <v>14</v>
      </c>
      <c r="K80" s="47">
        <f t="shared" si="4"/>
        <v>35.714285714285715</v>
      </c>
      <c r="L80" s="47">
        <f t="shared" si="3"/>
        <v>28.571428571428569</v>
      </c>
      <c r="M80" s="47">
        <f t="shared" si="3"/>
        <v>35.714285714285715</v>
      </c>
      <c r="N80" s="68">
        <f t="shared" si="5"/>
        <v>100</v>
      </c>
      <c r="O80" s="46">
        <v>20.7</v>
      </c>
      <c r="P80" s="47">
        <v>16</v>
      </c>
      <c r="Q80" s="47">
        <v>24.7</v>
      </c>
      <c r="R80" s="48">
        <f t="shared" si="6"/>
        <v>61.400000000000006</v>
      </c>
      <c r="S80" s="29">
        <v>2</v>
      </c>
      <c r="T80" s="286"/>
      <c r="U80" s="295"/>
      <c r="V80" s="38" t="s">
        <v>487</v>
      </c>
      <c r="W80" s="29" t="s">
        <v>20</v>
      </c>
      <c r="X80" s="29" t="s">
        <v>12</v>
      </c>
      <c r="Y80" s="39">
        <v>24.7</v>
      </c>
      <c r="Z80" s="29" t="s">
        <v>486</v>
      </c>
      <c r="AA80" s="29" t="s">
        <v>22</v>
      </c>
      <c r="AB80" s="29" t="s">
        <v>11</v>
      </c>
      <c r="AC80" s="29">
        <v>20.7</v>
      </c>
      <c r="AD80" s="38" t="s">
        <v>489</v>
      </c>
      <c r="AE80" s="29" t="s">
        <v>87</v>
      </c>
      <c r="AF80" s="29" t="s">
        <v>18</v>
      </c>
      <c r="AG80" s="39">
        <v>16</v>
      </c>
      <c r="AL80" s="38"/>
      <c r="AO80" s="39"/>
      <c r="AP80" s="38"/>
      <c r="AS80" s="39"/>
      <c r="AW80" s="39"/>
      <c r="BA80" s="40"/>
    </row>
    <row r="81" spans="1:53" s="29" customFormat="1" x14ac:dyDescent="0.15">
      <c r="A81" s="29">
        <v>1996</v>
      </c>
      <c r="B81" s="295"/>
      <c r="C81" s="411" t="s">
        <v>660</v>
      </c>
      <c r="D81" s="411"/>
      <c r="E81" s="29">
        <v>0</v>
      </c>
      <c r="G81" s="66">
        <v>5</v>
      </c>
      <c r="H81" s="29">
        <v>4</v>
      </c>
      <c r="I81" s="29">
        <v>5</v>
      </c>
      <c r="J81" s="73">
        <v>14</v>
      </c>
      <c r="K81" s="47">
        <f t="shared" si="4"/>
        <v>35.714285714285715</v>
      </c>
      <c r="L81" s="47">
        <f t="shared" si="3"/>
        <v>28.571428571428569</v>
      </c>
      <c r="M81" s="47">
        <f t="shared" si="3"/>
        <v>35.714285714285715</v>
      </c>
      <c r="N81" s="68">
        <f t="shared" si="5"/>
        <v>100</v>
      </c>
      <c r="O81" s="46">
        <v>20.7</v>
      </c>
      <c r="P81" s="47">
        <v>16</v>
      </c>
      <c r="Q81" s="47">
        <v>24.7</v>
      </c>
      <c r="R81" s="48">
        <f t="shared" si="6"/>
        <v>61.400000000000006</v>
      </c>
      <c r="S81" s="29">
        <v>2</v>
      </c>
      <c r="T81" s="286"/>
      <c r="U81" s="295"/>
      <c r="V81" s="38" t="s">
        <v>487</v>
      </c>
      <c r="W81" s="29" t="s">
        <v>20</v>
      </c>
      <c r="X81" s="29" t="s">
        <v>12</v>
      </c>
      <c r="Y81" s="39">
        <v>24.7</v>
      </c>
      <c r="Z81" s="29" t="s">
        <v>486</v>
      </c>
      <c r="AA81" s="29" t="s">
        <v>22</v>
      </c>
      <c r="AB81" s="29" t="s">
        <v>11</v>
      </c>
      <c r="AC81" s="29">
        <v>20.7</v>
      </c>
      <c r="AD81" s="38" t="s">
        <v>489</v>
      </c>
      <c r="AE81" s="29" t="s">
        <v>87</v>
      </c>
      <c r="AF81" s="29" t="s">
        <v>18</v>
      </c>
      <c r="AG81" s="39">
        <v>16</v>
      </c>
      <c r="AL81" s="38"/>
      <c r="AO81" s="39"/>
      <c r="AP81" s="38"/>
      <c r="AS81" s="39"/>
      <c r="AW81" s="39"/>
      <c r="BA81" s="40"/>
    </row>
    <row r="82" spans="1:53" s="29" customFormat="1" x14ac:dyDescent="0.15">
      <c r="A82" s="29">
        <v>1996</v>
      </c>
      <c r="B82" s="295"/>
      <c r="C82" s="411" t="s">
        <v>660</v>
      </c>
      <c r="D82" s="411"/>
      <c r="E82" s="29">
        <v>366</v>
      </c>
      <c r="G82" s="66">
        <v>5</v>
      </c>
      <c r="H82" s="29">
        <v>4</v>
      </c>
      <c r="I82" s="29">
        <v>5</v>
      </c>
      <c r="J82" s="73">
        <v>14</v>
      </c>
      <c r="K82" s="47">
        <f t="shared" si="4"/>
        <v>35.714285714285715</v>
      </c>
      <c r="L82" s="47">
        <f t="shared" si="3"/>
        <v>28.571428571428569</v>
      </c>
      <c r="M82" s="47">
        <f t="shared" si="3"/>
        <v>35.714285714285715</v>
      </c>
      <c r="N82" s="68">
        <f t="shared" si="5"/>
        <v>100</v>
      </c>
      <c r="O82" s="46">
        <v>20.7</v>
      </c>
      <c r="P82" s="47">
        <v>16</v>
      </c>
      <c r="Q82" s="47">
        <v>24.7</v>
      </c>
      <c r="R82" s="48">
        <f t="shared" si="6"/>
        <v>61.400000000000006</v>
      </c>
      <c r="S82" s="29">
        <v>2</v>
      </c>
      <c r="T82" s="286"/>
      <c r="U82" s="295"/>
      <c r="V82" s="38" t="s">
        <v>487</v>
      </c>
      <c r="W82" s="29" t="s">
        <v>20</v>
      </c>
      <c r="X82" s="29" t="s">
        <v>12</v>
      </c>
      <c r="Y82" s="39">
        <v>24.7</v>
      </c>
      <c r="Z82" s="29" t="s">
        <v>486</v>
      </c>
      <c r="AA82" s="29" t="s">
        <v>22</v>
      </c>
      <c r="AB82" s="29" t="s">
        <v>11</v>
      </c>
      <c r="AC82" s="29">
        <v>20.7</v>
      </c>
      <c r="AD82" s="38" t="s">
        <v>489</v>
      </c>
      <c r="AE82" s="29" t="s">
        <v>87</v>
      </c>
      <c r="AF82" s="29" t="s">
        <v>18</v>
      </c>
      <c r="AG82" s="39">
        <v>16</v>
      </c>
      <c r="AL82" s="38"/>
      <c r="AO82" s="39"/>
      <c r="AP82" s="38"/>
      <c r="AS82" s="39"/>
      <c r="AW82" s="39"/>
      <c r="BA82" s="40"/>
    </row>
    <row r="83" spans="1:53" s="29" customFormat="1" x14ac:dyDescent="0.15">
      <c r="A83" s="29">
        <v>1997</v>
      </c>
      <c r="B83" s="295"/>
      <c r="C83" s="411" t="s">
        <v>660</v>
      </c>
      <c r="D83" s="411"/>
      <c r="E83" s="29">
        <v>0</v>
      </c>
      <c r="G83" s="66">
        <v>5</v>
      </c>
      <c r="H83" s="29">
        <v>4</v>
      </c>
      <c r="I83" s="29">
        <v>5</v>
      </c>
      <c r="J83" s="73">
        <v>14</v>
      </c>
      <c r="K83" s="47">
        <f t="shared" si="4"/>
        <v>35.714285714285715</v>
      </c>
      <c r="L83" s="47">
        <f t="shared" si="3"/>
        <v>28.571428571428569</v>
      </c>
      <c r="M83" s="47">
        <f t="shared" si="3"/>
        <v>35.714285714285715</v>
      </c>
      <c r="N83" s="68">
        <f t="shared" si="5"/>
        <v>100</v>
      </c>
      <c r="O83" s="46">
        <v>20.7</v>
      </c>
      <c r="P83" s="47">
        <v>16</v>
      </c>
      <c r="Q83" s="47">
        <v>24.7</v>
      </c>
      <c r="R83" s="48">
        <f t="shared" si="6"/>
        <v>61.400000000000006</v>
      </c>
      <c r="S83" s="29">
        <v>2</v>
      </c>
      <c r="T83" s="286"/>
      <c r="U83" s="295"/>
      <c r="V83" s="38" t="s">
        <v>487</v>
      </c>
      <c r="W83" s="29" t="s">
        <v>20</v>
      </c>
      <c r="X83" s="29" t="s">
        <v>12</v>
      </c>
      <c r="Y83" s="39">
        <v>24.7</v>
      </c>
      <c r="Z83" s="29" t="s">
        <v>486</v>
      </c>
      <c r="AA83" s="29" t="s">
        <v>22</v>
      </c>
      <c r="AB83" s="29" t="s">
        <v>11</v>
      </c>
      <c r="AC83" s="29">
        <v>20.7</v>
      </c>
      <c r="AD83" s="38" t="s">
        <v>489</v>
      </c>
      <c r="AE83" s="29" t="s">
        <v>87</v>
      </c>
      <c r="AF83" s="29" t="s">
        <v>18</v>
      </c>
      <c r="AG83" s="39">
        <v>16</v>
      </c>
      <c r="AL83" s="38"/>
      <c r="AO83" s="39"/>
      <c r="AP83" s="38"/>
      <c r="AS83" s="39"/>
      <c r="AW83" s="39"/>
      <c r="BA83" s="40"/>
    </row>
    <row r="84" spans="1:53" s="29" customFormat="1" x14ac:dyDescent="0.15">
      <c r="A84" s="29">
        <v>1997</v>
      </c>
      <c r="B84" s="295"/>
      <c r="C84" s="411" t="s">
        <v>660</v>
      </c>
      <c r="D84" s="411"/>
      <c r="E84" s="29">
        <f>365-E83</f>
        <v>365</v>
      </c>
      <c r="G84" s="66">
        <v>5</v>
      </c>
      <c r="H84" s="29">
        <v>4</v>
      </c>
      <c r="I84" s="29">
        <v>5</v>
      </c>
      <c r="J84" s="73">
        <v>14</v>
      </c>
      <c r="K84" s="47">
        <f t="shared" si="4"/>
        <v>35.714285714285715</v>
      </c>
      <c r="L84" s="47">
        <f t="shared" si="3"/>
        <v>28.571428571428569</v>
      </c>
      <c r="M84" s="47">
        <f t="shared" si="3"/>
        <v>35.714285714285715</v>
      </c>
      <c r="N84" s="68">
        <f t="shared" si="5"/>
        <v>100</v>
      </c>
      <c r="O84" s="46">
        <v>20.7</v>
      </c>
      <c r="P84" s="47">
        <v>16</v>
      </c>
      <c r="Q84" s="47">
        <v>24.7</v>
      </c>
      <c r="R84" s="48">
        <f t="shared" si="6"/>
        <v>61.400000000000006</v>
      </c>
      <c r="S84" s="29">
        <v>2</v>
      </c>
      <c r="T84" s="286"/>
      <c r="U84" s="295"/>
      <c r="V84" s="38" t="s">
        <v>487</v>
      </c>
      <c r="W84" s="29" t="s">
        <v>20</v>
      </c>
      <c r="X84" s="29" t="s">
        <v>12</v>
      </c>
      <c r="Y84" s="39">
        <v>24.7</v>
      </c>
      <c r="Z84" s="29" t="s">
        <v>486</v>
      </c>
      <c r="AA84" s="29" t="s">
        <v>22</v>
      </c>
      <c r="AB84" s="29" t="s">
        <v>11</v>
      </c>
      <c r="AC84" s="29">
        <v>20.7</v>
      </c>
      <c r="AD84" s="38" t="s">
        <v>489</v>
      </c>
      <c r="AE84" s="29" t="s">
        <v>87</v>
      </c>
      <c r="AF84" s="29" t="s">
        <v>18</v>
      </c>
      <c r="AG84" s="39">
        <v>16</v>
      </c>
      <c r="AL84" s="38"/>
      <c r="AO84" s="39"/>
      <c r="AP84" s="38"/>
      <c r="AS84" s="39"/>
      <c r="AW84" s="39"/>
      <c r="BA84" s="40"/>
    </row>
    <row r="85" spans="1:53" s="29" customFormat="1" x14ac:dyDescent="0.15">
      <c r="A85" s="29">
        <v>1998</v>
      </c>
      <c r="B85" s="295"/>
      <c r="C85" s="411" t="s">
        <v>660</v>
      </c>
      <c r="D85" s="411"/>
      <c r="E85" s="29">
        <v>214</v>
      </c>
      <c r="G85" s="66">
        <v>5</v>
      </c>
      <c r="H85" s="29">
        <v>4</v>
      </c>
      <c r="I85" s="29">
        <v>5</v>
      </c>
      <c r="J85" s="73">
        <v>14</v>
      </c>
      <c r="K85" s="47">
        <f t="shared" si="4"/>
        <v>35.714285714285715</v>
      </c>
      <c r="L85" s="47">
        <f t="shared" si="3"/>
        <v>28.571428571428569</v>
      </c>
      <c r="M85" s="47">
        <f t="shared" si="3"/>
        <v>35.714285714285715</v>
      </c>
      <c r="N85" s="68">
        <f t="shared" si="5"/>
        <v>100</v>
      </c>
      <c r="O85" s="46">
        <v>20.7</v>
      </c>
      <c r="P85" s="47">
        <v>16</v>
      </c>
      <c r="Q85" s="47">
        <v>24.7</v>
      </c>
      <c r="R85" s="48">
        <f t="shared" si="6"/>
        <v>61.400000000000006</v>
      </c>
      <c r="S85" s="29">
        <v>2</v>
      </c>
      <c r="T85" s="286"/>
      <c r="U85" s="295"/>
      <c r="V85" s="38" t="s">
        <v>487</v>
      </c>
      <c r="W85" s="29" t="s">
        <v>20</v>
      </c>
      <c r="X85" s="29" t="s">
        <v>12</v>
      </c>
      <c r="Y85" s="39">
        <v>24.7</v>
      </c>
      <c r="Z85" s="29" t="s">
        <v>486</v>
      </c>
      <c r="AA85" s="29" t="s">
        <v>22</v>
      </c>
      <c r="AB85" s="29" t="s">
        <v>11</v>
      </c>
      <c r="AC85" s="29">
        <v>20.7</v>
      </c>
      <c r="AD85" s="38" t="s">
        <v>489</v>
      </c>
      <c r="AE85" s="29" t="s">
        <v>87</v>
      </c>
      <c r="AF85" s="29" t="s">
        <v>18</v>
      </c>
      <c r="AG85" s="39">
        <v>16</v>
      </c>
      <c r="AL85" s="38"/>
      <c r="AO85" s="39"/>
      <c r="AP85" s="38"/>
      <c r="AS85" s="39"/>
      <c r="AW85" s="39"/>
      <c r="BA85" s="40"/>
    </row>
    <row r="86" spans="1:53" s="171" customFormat="1" x14ac:dyDescent="0.15">
      <c r="A86" s="171">
        <v>1998</v>
      </c>
      <c r="B86" s="283">
        <v>36010</v>
      </c>
      <c r="C86" s="410" t="s">
        <v>661</v>
      </c>
      <c r="D86" s="410"/>
      <c r="E86" s="171">
        <f>365-E85</f>
        <v>151</v>
      </c>
      <c r="F86" s="171">
        <v>1</v>
      </c>
      <c r="G86" s="233">
        <v>6</v>
      </c>
      <c r="H86" s="171">
        <v>3</v>
      </c>
      <c r="I86" s="171">
        <v>5</v>
      </c>
      <c r="J86" s="241">
        <v>14</v>
      </c>
      <c r="K86" s="214">
        <f t="shared" si="4"/>
        <v>42.857142857142854</v>
      </c>
      <c r="L86" s="214">
        <f t="shared" si="3"/>
        <v>21.428571428571427</v>
      </c>
      <c r="M86" s="214">
        <f t="shared" si="3"/>
        <v>35.714285714285715</v>
      </c>
      <c r="N86" s="235">
        <f t="shared" si="5"/>
        <v>100</v>
      </c>
      <c r="O86" s="213">
        <v>25.3</v>
      </c>
      <c r="P86" s="214">
        <v>9.3000000000000007</v>
      </c>
      <c r="Q86" s="214">
        <v>30</v>
      </c>
      <c r="R86" s="215">
        <f t="shared" si="6"/>
        <v>64.599999999999994</v>
      </c>
      <c r="S86" s="171">
        <v>3</v>
      </c>
      <c r="T86" s="285">
        <v>35921</v>
      </c>
      <c r="U86" s="283">
        <v>36010</v>
      </c>
      <c r="V86" s="178" t="s">
        <v>487</v>
      </c>
      <c r="W86" s="171" t="s">
        <v>20</v>
      </c>
      <c r="X86" s="171" t="s">
        <v>12</v>
      </c>
      <c r="Y86" s="179">
        <v>30</v>
      </c>
      <c r="Z86" s="171" t="s">
        <v>486</v>
      </c>
      <c r="AA86" s="171" t="s">
        <v>22</v>
      </c>
      <c r="AB86" s="171" t="s">
        <v>11</v>
      </c>
      <c r="AC86" s="171">
        <v>25.3</v>
      </c>
      <c r="AD86" s="178" t="s">
        <v>489</v>
      </c>
      <c r="AE86" s="171" t="s">
        <v>87</v>
      </c>
      <c r="AF86" s="171" t="s">
        <v>18</v>
      </c>
      <c r="AG86" s="179">
        <v>9.3000000000000007</v>
      </c>
      <c r="AL86" s="178"/>
      <c r="AO86" s="179"/>
      <c r="AP86" s="178"/>
      <c r="AS86" s="179"/>
      <c r="AW86" s="179"/>
      <c r="BA86" s="180"/>
    </row>
    <row r="87" spans="1:53" s="171" customFormat="1" x14ac:dyDescent="0.15">
      <c r="A87" s="171">
        <v>1999</v>
      </c>
      <c r="B87" s="283"/>
      <c r="C87" s="410" t="s">
        <v>661</v>
      </c>
      <c r="D87" s="410"/>
      <c r="E87" s="171">
        <v>0</v>
      </c>
      <c r="G87" s="233">
        <v>6</v>
      </c>
      <c r="H87" s="171">
        <v>3</v>
      </c>
      <c r="I87" s="171">
        <v>6</v>
      </c>
      <c r="J87" s="241">
        <v>15</v>
      </c>
      <c r="K87" s="214">
        <f t="shared" si="4"/>
        <v>40</v>
      </c>
      <c r="L87" s="214">
        <f t="shared" si="3"/>
        <v>20</v>
      </c>
      <c r="M87" s="214">
        <f t="shared" si="3"/>
        <v>40</v>
      </c>
      <c r="N87" s="235">
        <f t="shared" si="5"/>
        <v>100</v>
      </c>
      <c r="O87" s="213">
        <v>25.3</v>
      </c>
      <c r="P87" s="214">
        <v>9.3000000000000007</v>
      </c>
      <c r="Q87" s="214">
        <v>30</v>
      </c>
      <c r="R87" s="215">
        <f t="shared" si="6"/>
        <v>64.599999999999994</v>
      </c>
      <c r="S87" s="171">
        <v>3</v>
      </c>
      <c r="T87" s="285"/>
      <c r="U87" s="283"/>
      <c r="V87" s="178" t="s">
        <v>487</v>
      </c>
      <c r="W87" s="171" t="s">
        <v>20</v>
      </c>
      <c r="X87" s="171" t="s">
        <v>12</v>
      </c>
      <c r="Y87" s="179">
        <v>30</v>
      </c>
      <c r="Z87" s="171" t="s">
        <v>486</v>
      </c>
      <c r="AA87" s="171" t="s">
        <v>22</v>
      </c>
      <c r="AB87" s="171" t="s">
        <v>11</v>
      </c>
      <c r="AC87" s="171">
        <v>25.3</v>
      </c>
      <c r="AD87" s="178" t="s">
        <v>489</v>
      </c>
      <c r="AE87" s="171" t="s">
        <v>87</v>
      </c>
      <c r="AF87" s="171" t="s">
        <v>18</v>
      </c>
      <c r="AG87" s="179">
        <v>9.3000000000000007</v>
      </c>
      <c r="AL87" s="178"/>
      <c r="AO87" s="179"/>
      <c r="AP87" s="178"/>
      <c r="AS87" s="179"/>
      <c r="AW87" s="179"/>
      <c r="BA87" s="180"/>
    </row>
    <row r="88" spans="1:53" s="171" customFormat="1" x14ac:dyDescent="0.15">
      <c r="A88" s="171">
        <v>1999</v>
      </c>
      <c r="B88" s="283"/>
      <c r="C88" s="410" t="s">
        <v>661</v>
      </c>
      <c r="D88" s="410"/>
      <c r="E88" s="171">
        <f>365-E87</f>
        <v>365</v>
      </c>
      <c r="G88" s="233">
        <v>6</v>
      </c>
      <c r="H88" s="171">
        <v>3</v>
      </c>
      <c r="I88" s="171">
        <v>6</v>
      </c>
      <c r="J88" s="241">
        <v>15</v>
      </c>
      <c r="K88" s="214">
        <f t="shared" si="4"/>
        <v>40</v>
      </c>
      <c r="L88" s="214">
        <f t="shared" si="3"/>
        <v>20</v>
      </c>
      <c r="M88" s="214">
        <f t="shared" si="3"/>
        <v>40</v>
      </c>
      <c r="N88" s="235">
        <f t="shared" si="5"/>
        <v>100</v>
      </c>
      <c r="O88" s="213">
        <v>25.3</v>
      </c>
      <c r="P88" s="214">
        <v>9.3000000000000007</v>
      </c>
      <c r="Q88" s="214">
        <v>30</v>
      </c>
      <c r="R88" s="215">
        <f t="shared" si="6"/>
        <v>64.599999999999994</v>
      </c>
      <c r="S88" s="171">
        <v>3</v>
      </c>
      <c r="T88" s="285"/>
      <c r="U88" s="283"/>
      <c r="V88" s="178" t="s">
        <v>487</v>
      </c>
      <c r="W88" s="171" t="s">
        <v>20</v>
      </c>
      <c r="X88" s="171" t="s">
        <v>12</v>
      </c>
      <c r="Y88" s="179">
        <v>30</v>
      </c>
      <c r="Z88" s="171" t="s">
        <v>486</v>
      </c>
      <c r="AA88" s="171" t="s">
        <v>22</v>
      </c>
      <c r="AB88" s="171" t="s">
        <v>11</v>
      </c>
      <c r="AC88" s="171">
        <v>25.3</v>
      </c>
      <c r="AD88" s="178" t="s">
        <v>489</v>
      </c>
      <c r="AE88" s="171" t="s">
        <v>87</v>
      </c>
      <c r="AF88" s="171" t="s">
        <v>18</v>
      </c>
      <c r="AG88" s="179">
        <v>9.3000000000000007</v>
      </c>
      <c r="AL88" s="178"/>
      <c r="AO88" s="179"/>
      <c r="AP88" s="178"/>
      <c r="AS88" s="179"/>
      <c r="AW88" s="179"/>
      <c r="BA88" s="180"/>
    </row>
    <row r="89" spans="1:53" s="171" customFormat="1" x14ac:dyDescent="0.15">
      <c r="A89" s="171">
        <v>2000</v>
      </c>
      <c r="B89" s="283"/>
      <c r="C89" s="410" t="s">
        <v>661</v>
      </c>
      <c r="D89" s="410"/>
      <c r="E89" s="171">
        <v>0</v>
      </c>
      <c r="G89" s="233">
        <v>6</v>
      </c>
      <c r="H89" s="171">
        <v>3</v>
      </c>
      <c r="I89" s="171">
        <v>6</v>
      </c>
      <c r="J89" s="241">
        <v>15</v>
      </c>
      <c r="K89" s="214">
        <f t="shared" si="4"/>
        <v>40</v>
      </c>
      <c r="L89" s="214">
        <f t="shared" si="3"/>
        <v>20</v>
      </c>
      <c r="M89" s="214">
        <f t="shared" si="3"/>
        <v>40</v>
      </c>
      <c r="N89" s="235">
        <f t="shared" si="5"/>
        <v>100</v>
      </c>
      <c r="O89" s="213">
        <v>25.3</v>
      </c>
      <c r="P89" s="214">
        <v>9.3000000000000007</v>
      </c>
      <c r="Q89" s="214">
        <v>30</v>
      </c>
      <c r="R89" s="215">
        <f t="shared" si="6"/>
        <v>64.599999999999994</v>
      </c>
      <c r="S89" s="171">
        <v>3</v>
      </c>
      <c r="T89" s="285"/>
      <c r="U89" s="283"/>
      <c r="V89" s="178" t="s">
        <v>487</v>
      </c>
      <c r="W89" s="171" t="s">
        <v>20</v>
      </c>
      <c r="X89" s="171" t="s">
        <v>12</v>
      </c>
      <c r="Y89" s="179">
        <v>30</v>
      </c>
      <c r="Z89" s="171" t="s">
        <v>486</v>
      </c>
      <c r="AA89" s="171" t="s">
        <v>22</v>
      </c>
      <c r="AB89" s="171" t="s">
        <v>11</v>
      </c>
      <c r="AC89" s="171">
        <v>25.3</v>
      </c>
      <c r="AD89" s="178" t="s">
        <v>489</v>
      </c>
      <c r="AE89" s="171" t="s">
        <v>87</v>
      </c>
      <c r="AF89" s="171" t="s">
        <v>18</v>
      </c>
      <c r="AG89" s="179">
        <v>9.3000000000000007</v>
      </c>
      <c r="AL89" s="178"/>
      <c r="AO89" s="179"/>
      <c r="AP89" s="178"/>
      <c r="AS89" s="179"/>
      <c r="AW89" s="179"/>
      <c r="BA89" s="180"/>
    </row>
    <row r="90" spans="1:53" s="171" customFormat="1" x14ac:dyDescent="0.15">
      <c r="A90" s="171">
        <v>2000</v>
      </c>
      <c r="B90" s="283"/>
      <c r="C90" s="410" t="s">
        <v>661</v>
      </c>
      <c r="D90" s="410"/>
      <c r="E90" s="171">
        <v>366</v>
      </c>
      <c r="G90" s="233">
        <v>6</v>
      </c>
      <c r="H90" s="171">
        <v>3</v>
      </c>
      <c r="I90" s="171">
        <v>6</v>
      </c>
      <c r="J90" s="241">
        <v>15</v>
      </c>
      <c r="K90" s="214">
        <f t="shared" si="4"/>
        <v>40</v>
      </c>
      <c r="L90" s="214">
        <f t="shared" si="3"/>
        <v>20</v>
      </c>
      <c r="M90" s="214">
        <f t="shared" si="3"/>
        <v>40</v>
      </c>
      <c r="N90" s="235">
        <f t="shared" si="5"/>
        <v>100</v>
      </c>
      <c r="O90" s="213">
        <v>25.3</v>
      </c>
      <c r="P90" s="214">
        <v>9.3000000000000007</v>
      </c>
      <c r="Q90" s="214">
        <v>30</v>
      </c>
      <c r="R90" s="215">
        <f t="shared" si="6"/>
        <v>64.599999999999994</v>
      </c>
      <c r="S90" s="171">
        <v>3</v>
      </c>
      <c r="T90" s="285"/>
      <c r="U90" s="283"/>
      <c r="V90" s="178" t="s">
        <v>487</v>
      </c>
      <c r="W90" s="171" t="s">
        <v>20</v>
      </c>
      <c r="X90" s="171" t="s">
        <v>12</v>
      </c>
      <c r="Y90" s="179">
        <v>30</v>
      </c>
      <c r="Z90" s="171" t="s">
        <v>486</v>
      </c>
      <c r="AA90" s="171" t="s">
        <v>22</v>
      </c>
      <c r="AB90" s="171" t="s">
        <v>11</v>
      </c>
      <c r="AC90" s="171">
        <v>25.3</v>
      </c>
      <c r="AD90" s="178" t="s">
        <v>489</v>
      </c>
      <c r="AE90" s="171" t="s">
        <v>87</v>
      </c>
      <c r="AF90" s="171" t="s">
        <v>18</v>
      </c>
      <c r="AG90" s="179">
        <v>9.3000000000000007</v>
      </c>
      <c r="AL90" s="178"/>
      <c r="AO90" s="179"/>
      <c r="AP90" s="178"/>
      <c r="AS90" s="179"/>
      <c r="AW90" s="179"/>
      <c r="BA90" s="180"/>
    </row>
    <row r="91" spans="1:53" s="171" customFormat="1" x14ac:dyDescent="0.15">
      <c r="A91" s="171">
        <v>2001</v>
      </c>
      <c r="B91" s="283"/>
      <c r="C91" s="410" t="s">
        <v>661</v>
      </c>
      <c r="D91" s="410"/>
      <c r="E91" s="171">
        <v>0</v>
      </c>
      <c r="G91" s="233">
        <v>6</v>
      </c>
      <c r="H91" s="171">
        <v>3</v>
      </c>
      <c r="I91" s="171">
        <v>6</v>
      </c>
      <c r="J91" s="241">
        <v>15</v>
      </c>
      <c r="K91" s="214">
        <f t="shared" si="4"/>
        <v>40</v>
      </c>
      <c r="L91" s="214">
        <f t="shared" si="3"/>
        <v>20</v>
      </c>
      <c r="M91" s="214">
        <f t="shared" si="3"/>
        <v>40</v>
      </c>
      <c r="N91" s="235">
        <f t="shared" si="5"/>
        <v>100</v>
      </c>
      <c r="O91" s="213">
        <v>25.3</v>
      </c>
      <c r="P91" s="214">
        <v>9.3000000000000007</v>
      </c>
      <c r="Q91" s="214">
        <v>30</v>
      </c>
      <c r="R91" s="215">
        <f t="shared" si="6"/>
        <v>64.599999999999994</v>
      </c>
      <c r="S91" s="171">
        <v>3</v>
      </c>
      <c r="T91" s="285"/>
      <c r="U91" s="283"/>
      <c r="V91" s="178" t="s">
        <v>487</v>
      </c>
      <c r="W91" s="171" t="s">
        <v>20</v>
      </c>
      <c r="X91" s="171" t="s">
        <v>12</v>
      </c>
      <c r="Y91" s="179">
        <v>30</v>
      </c>
      <c r="Z91" s="171" t="s">
        <v>486</v>
      </c>
      <c r="AA91" s="171" t="s">
        <v>22</v>
      </c>
      <c r="AB91" s="171" t="s">
        <v>11</v>
      </c>
      <c r="AC91" s="171">
        <v>25.3</v>
      </c>
      <c r="AD91" s="178" t="s">
        <v>489</v>
      </c>
      <c r="AE91" s="171" t="s">
        <v>87</v>
      </c>
      <c r="AF91" s="171" t="s">
        <v>18</v>
      </c>
      <c r="AG91" s="179">
        <v>9.3000000000000007</v>
      </c>
      <c r="AL91" s="178"/>
      <c r="AO91" s="179"/>
      <c r="AP91" s="178"/>
      <c r="AS91" s="179"/>
      <c r="AW91" s="179"/>
      <c r="BA91" s="180"/>
    </row>
    <row r="92" spans="1:53" s="171" customFormat="1" x14ac:dyDescent="0.15">
      <c r="A92" s="171">
        <v>2001</v>
      </c>
      <c r="B92" s="283"/>
      <c r="C92" s="410" t="s">
        <v>661</v>
      </c>
      <c r="D92" s="410"/>
      <c r="E92" s="171">
        <f>365-E91</f>
        <v>365</v>
      </c>
      <c r="G92" s="233">
        <v>6</v>
      </c>
      <c r="H92" s="171">
        <v>3</v>
      </c>
      <c r="I92" s="171">
        <v>6</v>
      </c>
      <c r="J92" s="241">
        <v>15</v>
      </c>
      <c r="K92" s="214">
        <f t="shared" si="4"/>
        <v>40</v>
      </c>
      <c r="L92" s="214">
        <f t="shared" si="3"/>
        <v>20</v>
      </c>
      <c r="M92" s="214">
        <f t="shared" si="3"/>
        <v>40</v>
      </c>
      <c r="N92" s="235">
        <f t="shared" si="5"/>
        <v>100</v>
      </c>
      <c r="O92" s="213">
        <v>25.3</v>
      </c>
      <c r="P92" s="214">
        <v>9.3000000000000007</v>
      </c>
      <c r="Q92" s="214">
        <v>30</v>
      </c>
      <c r="R92" s="215">
        <f t="shared" si="6"/>
        <v>64.599999999999994</v>
      </c>
      <c r="S92" s="171">
        <v>3</v>
      </c>
      <c r="T92" s="285"/>
      <c r="U92" s="283"/>
      <c r="V92" s="178" t="s">
        <v>487</v>
      </c>
      <c r="W92" s="171" t="s">
        <v>20</v>
      </c>
      <c r="X92" s="171" t="s">
        <v>12</v>
      </c>
      <c r="Y92" s="179">
        <v>30</v>
      </c>
      <c r="Z92" s="171" t="s">
        <v>486</v>
      </c>
      <c r="AA92" s="171" t="s">
        <v>22</v>
      </c>
      <c r="AB92" s="171" t="s">
        <v>11</v>
      </c>
      <c r="AC92" s="171">
        <v>25.3</v>
      </c>
      <c r="AD92" s="178" t="s">
        <v>489</v>
      </c>
      <c r="AE92" s="171" t="s">
        <v>87</v>
      </c>
      <c r="AF92" s="171" t="s">
        <v>18</v>
      </c>
      <c r="AG92" s="179">
        <v>9.3000000000000007</v>
      </c>
      <c r="AL92" s="178"/>
      <c r="AO92" s="179"/>
      <c r="AP92" s="178"/>
      <c r="AS92" s="179"/>
      <c r="AW92" s="179"/>
      <c r="BA92" s="180"/>
    </row>
    <row r="93" spans="1:53" s="171" customFormat="1" x14ac:dyDescent="0.15">
      <c r="A93" s="171">
        <v>2002</v>
      </c>
      <c r="B93" s="283"/>
      <c r="C93" s="410" t="s">
        <v>661</v>
      </c>
      <c r="D93" s="410"/>
      <c r="E93" s="171">
        <v>105</v>
      </c>
      <c r="G93" s="233">
        <v>6</v>
      </c>
      <c r="H93" s="171">
        <v>3</v>
      </c>
      <c r="I93" s="171">
        <v>6</v>
      </c>
      <c r="J93" s="241">
        <v>15</v>
      </c>
      <c r="K93" s="214">
        <f t="shared" si="4"/>
        <v>40</v>
      </c>
      <c r="L93" s="214">
        <f t="shared" si="3"/>
        <v>20</v>
      </c>
      <c r="M93" s="214">
        <f t="shared" si="3"/>
        <v>40</v>
      </c>
      <c r="N93" s="235">
        <f t="shared" si="5"/>
        <v>100</v>
      </c>
      <c r="O93" s="213">
        <v>25.3</v>
      </c>
      <c r="P93" s="214">
        <v>9.3000000000000007</v>
      </c>
      <c r="Q93" s="214">
        <v>30</v>
      </c>
      <c r="R93" s="215">
        <f t="shared" si="6"/>
        <v>64.599999999999994</v>
      </c>
      <c r="S93" s="171">
        <v>3</v>
      </c>
      <c r="T93" s="285"/>
      <c r="U93" s="283"/>
      <c r="V93" s="178" t="s">
        <v>487</v>
      </c>
      <c r="W93" s="171" t="s">
        <v>20</v>
      </c>
      <c r="X93" s="171" t="s">
        <v>12</v>
      </c>
      <c r="Y93" s="179">
        <v>30</v>
      </c>
      <c r="Z93" s="171" t="s">
        <v>486</v>
      </c>
      <c r="AA93" s="171" t="s">
        <v>22</v>
      </c>
      <c r="AB93" s="171" t="s">
        <v>11</v>
      </c>
      <c r="AC93" s="171">
        <v>25.3</v>
      </c>
      <c r="AD93" s="178" t="s">
        <v>489</v>
      </c>
      <c r="AE93" s="171" t="s">
        <v>87</v>
      </c>
      <c r="AF93" s="171" t="s">
        <v>18</v>
      </c>
      <c r="AG93" s="179">
        <v>9.3000000000000007</v>
      </c>
      <c r="AL93" s="178"/>
      <c r="AO93" s="179"/>
      <c r="AP93" s="178"/>
      <c r="AS93" s="179"/>
      <c r="AW93" s="179"/>
      <c r="BA93" s="180"/>
    </row>
    <row r="94" spans="1:53" s="29" customFormat="1" x14ac:dyDescent="0.15">
      <c r="A94" s="29">
        <v>2002</v>
      </c>
      <c r="B94" s="295">
        <v>37362</v>
      </c>
      <c r="C94" s="411" t="s">
        <v>662</v>
      </c>
      <c r="D94" s="411"/>
      <c r="E94" s="29">
        <v>97</v>
      </c>
      <c r="F94" s="29">
        <v>2</v>
      </c>
      <c r="G94" s="66">
        <v>6</v>
      </c>
      <c r="H94" s="29">
        <v>3</v>
      </c>
      <c r="I94" s="29">
        <v>6</v>
      </c>
      <c r="J94" s="73">
        <v>15</v>
      </c>
      <c r="K94" s="47">
        <f t="shared" si="4"/>
        <v>40</v>
      </c>
      <c r="L94" s="47">
        <f t="shared" si="3"/>
        <v>20</v>
      </c>
      <c r="M94" s="47">
        <f t="shared" si="3"/>
        <v>40</v>
      </c>
      <c r="N94" s="68">
        <f t="shared" si="5"/>
        <v>100</v>
      </c>
      <c r="O94" s="46">
        <v>25.3</v>
      </c>
      <c r="P94" s="47">
        <v>9.3000000000000007</v>
      </c>
      <c r="Q94" s="47">
        <v>30</v>
      </c>
      <c r="R94" s="48">
        <f t="shared" si="6"/>
        <v>64.599999999999994</v>
      </c>
      <c r="S94" s="29">
        <v>6</v>
      </c>
      <c r="T94" s="286"/>
      <c r="U94" s="295">
        <v>37362</v>
      </c>
      <c r="V94" s="38" t="s">
        <v>487</v>
      </c>
      <c r="W94" s="29" t="s">
        <v>20</v>
      </c>
      <c r="X94" s="29" t="s">
        <v>12</v>
      </c>
      <c r="Y94" s="39">
        <v>30</v>
      </c>
      <c r="Z94" s="29" t="s">
        <v>486</v>
      </c>
      <c r="AA94" s="29" t="s">
        <v>22</v>
      </c>
      <c r="AB94" s="29" t="s">
        <v>11</v>
      </c>
      <c r="AC94" s="29">
        <v>25.3</v>
      </c>
      <c r="AD94" s="38" t="s">
        <v>489</v>
      </c>
      <c r="AE94" s="29" t="s">
        <v>87</v>
      </c>
      <c r="AF94" s="29" t="s">
        <v>18</v>
      </c>
      <c r="AG94" s="39">
        <v>9.3000000000000007</v>
      </c>
      <c r="AL94" s="38"/>
      <c r="AO94" s="39"/>
      <c r="AP94" s="38"/>
      <c r="AS94" s="39"/>
      <c r="AW94" s="39"/>
      <c r="BA94" s="40"/>
    </row>
    <row r="95" spans="1:53" s="171" customFormat="1" x14ac:dyDescent="0.15">
      <c r="A95" s="171">
        <v>2002</v>
      </c>
      <c r="B95" s="283">
        <v>37459</v>
      </c>
      <c r="C95" s="410" t="s">
        <v>663</v>
      </c>
      <c r="D95" s="410"/>
      <c r="E95" s="171">
        <v>86</v>
      </c>
      <c r="F95" s="171">
        <v>1</v>
      </c>
      <c r="G95" s="233">
        <v>5</v>
      </c>
      <c r="H95" s="171">
        <v>6</v>
      </c>
      <c r="J95" s="241">
        <v>11</v>
      </c>
      <c r="K95" s="214">
        <f t="shared" si="4"/>
        <v>45.454545454545453</v>
      </c>
      <c r="L95" s="214">
        <f t="shared" si="3"/>
        <v>54.54545454545454</v>
      </c>
      <c r="M95" s="214">
        <f t="shared" si="3"/>
        <v>0</v>
      </c>
      <c r="N95" s="235">
        <f t="shared" si="5"/>
        <v>100</v>
      </c>
      <c r="O95" s="213">
        <v>33.299999999999997</v>
      </c>
      <c r="P95" s="214">
        <v>28.7</v>
      </c>
      <c r="Q95" s="214"/>
      <c r="R95" s="215">
        <f t="shared" si="6"/>
        <v>62</v>
      </c>
      <c r="S95" s="171">
        <v>2</v>
      </c>
      <c r="T95" s="285">
        <v>37391</v>
      </c>
      <c r="U95" s="283">
        <v>37459</v>
      </c>
      <c r="V95" s="178" t="s">
        <v>490</v>
      </c>
      <c r="W95" s="171" t="s">
        <v>325</v>
      </c>
      <c r="X95" s="171" t="s">
        <v>18</v>
      </c>
      <c r="Y95" s="179">
        <v>28.7</v>
      </c>
      <c r="Z95" s="171" t="s">
        <v>486</v>
      </c>
      <c r="AA95" s="171" t="s">
        <v>22</v>
      </c>
      <c r="AB95" s="171" t="s">
        <v>11</v>
      </c>
      <c r="AC95" s="171">
        <v>16</v>
      </c>
      <c r="AD95" s="178" t="s">
        <v>491</v>
      </c>
      <c r="AE95" s="171" t="s">
        <v>294</v>
      </c>
      <c r="AF95" s="171" t="s">
        <v>11</v>
      </c>
      <c r="AG95" s="179">
        <v>17.3</v>
      </c>
      <c r="AL95" s="178"/>
      <c r="AO95" s="179"/>
      <c r="AP95" s="178"/>
      <c r="AS95" s="179"/>
      <c r="AW95" s="179"/>
      <c r="BA95" s="180"/>
    </row>
    <row r="96" spans="1:53" s="29" customFormat="1" x14ac:dyDescent="0.15">
      <c r="A96" s="29">
        <v>2002</v>
      </c>
      <c r="B96" s="295">
        <v>37545</v>
      </c>
      <c r="C96" s="411" t="s">
        <v>664</v>
      </c>
      <c r="D96" s="411"/>
      <c r="E96" s="29">
        <v>57</v>
      </c>
      <c r="F96" s="29">
        <v>2</v>
      </c>
      <c r="G96" s="66">
        <v>3</v>
      </c>
      <c r="H96" s="29">
        <v>6</v>
      </c>
      <c r="J96" s="73">
        <v>9</v>
      </c>
      <c r="K96" s="47">
        <f t="shared" si="4"/>
        <v>33.333333333333329</v>
      </c>
      <c r="L96" s="47">
        <f t="shared" si="3"/>
        <v>66.666666666666657</v>
      </c>
      <c r="M96" s="47">
        <f t="shared" si="3"/>
        <v>0</v>
      </c>
      <c r="N96" s="68">
        <f t="shared" si="5"/>
        <v>99.999999999999986</v>
      </c>
      <c r="O96" s="46">
        <v>16</v>
      </c>
      <c r="P96" s="47">
        <v>28.7</v>
      </c>
      <c r="Q96" s="47"/>
      <c r="R96" s="48">
        <f t="shared" si="6"/>
        <v>44.7</v>
      </c>
      <c r="S96" s="29">
        <v>6</v>
      </c>
      <c r="T96" s="286"/>
      <c r="U96" s="295">
        <v>37545</v>
      </c>
      <c r="V96" s="38" t="s">
        <v>490</v>
      </c>
      <c r="W96" s="29" t="s">
        <v>325</v>
      </c>
      <c r="X96" s="29" t="s">
        <v>18</v>
      </c>
      <c r="Y96" s="39">
        <v>28.7</v>
      </c>
      <c r="Z96" s="29" t="s">
        <v>486</v>
      </c>
      <c r="AA96" s="29" t="s">
        <v>22</v>
      </c>
      <c r="AB96" s="29" t="s">
        <v>11</v>
      </c>
      <c r="AC96" s="29">
        <v>16</v>
      </c>
      <c r="AD96" s="38"/>
      <c r="AG96" s="39"/>
      <c r="AL96" s="38"/>
      <c r="AO96" s="39"/>
      <c r="AP96" s="38"/>
      <c r="AS96" s="39"/>
      <c r="AW96" s="39"/>
      <c r="BA96" s="40"/>
    </row>
    <row r="97" spans="1:53" s="29" customFormat="1" x14ac:dyDescent="0.15">
      <c r="A97" s="29">
        <v>2002</v>
      </c>
      <c r="B97" s="303">
        <v>37602</v>
      </c>
      <c r="C97" s="411" t="s">
        <v>664</v>
      </c>
      <c r="D97" s="411"/>
      <c r="E97" s="29">
        <f>365-E93-E94-E95-E96</f>
        <v>20</v>
      </c>
      <c r="F97" s="84">
        <v>0</v>
      </c>
      <c r="G97" s="66">
        <v>2</v>
      </c>
      <c r="H97" s="29">
        <v>6</v>
      </c>
      <c r="J97" s="73">
        <v>8</v>
      </c>
      <c r="K97" s="47">
        <f t="shared" si="4"/>
        <v>25</v>
      </c>
      <c r="L97" s="47">
        <f t="shared" si="3"/>
        <v>75</v>
      </c>
      <c r="M97" s="47">
        <f t="shared" si="3"/>
        <v>0</v>
      </c>
      <c r="N97" s="68">
        <f t="shared" si="5"/>
        <v>100</v>
      </c>
      <c r="O97" s="46">
        <v>16</v>
      </c>
      <c r="P97" s="47">
        <v>28.7</v>
      </c>
      <c r="Q97" s="47"/>
      <c r="R97" s="48">
        <f>O97+P97+Q97</f>
        <v>44.7</v>
      </c>
      <c r="S97" s="29">
        <v>6</v>
      </c>
      <c r="T97" s="286"/>
      <c r="U97" s="295"/>
      <c r="V97" s="38" t="s">
        <v>490</v>
      </c>
      <c r="W97" s="29" t="s">
        <v>325</v>
      </c>
      <c r="X97" s="29" t="s">
        <v>18</v>
      </c>
      <c r="Y97" s="39">
        <v>28.7</v>
      </c>
      <c r="Z97" s="29" t="s">
        <v>486</v>
      </c>
      <c r="AA97" s="29" t="s">
        <v>22</v>
      </c>
      <c r="AB97" s="29" t="s">
        <v>11</v>
      </c>
      <c r="AC97" s="29">
        <v>16</v>
      </c>
      <c r="AD97" s="38"/>
      <c r="AG97" s="39"/>
      <c r="AL97" s="38"/>
      <c r="AO97" s="39"/>
      <c r="AP97" s="38"/>
      <c r="AS97" s="39"/>
      <c r="AW97" s="39"/>
      <c r="BA97" s="40"/>
    </row>
    <row r="98" spans="1:53" s="29" customFormat="1" x14ac:dyDescent="0.15">
      <c r="A98" s="29">
        <v>2003</v>
      </c>
      <c r="B98" s="295"/>
      <c r="C98" s="411" t="s">
        <v>664</v>
      </c>
      <c r="D98" s="411"/>
      <c r="E98" s="29">
        <v>146</v>
      </c>
      <c r="G98" s="66">
        <v>2</v>
      </c>
      <c r="H98" s="29">
        <v>6</v>
      </c>
      <c r="J98" s="73">
        <v>8</v>
      </c>
      <c r="K98" s="47">
        <f t="shared" si="4"/>
        <v>25</v>
      </c>
      <c r="L98" s="47">
        <f t="shared" si="3"/>
        <v>75</v>
      </c>
      <c r="M98" s="47">
        <f t="shared" si="3"/>
        <v>0</v>
      </c>
      <c r="N98" s="68">
        <f t="shared" si="5"/>
        <v>100</v>
      </c>
      <c r="O98" s="46">
        <v>16</v>
      </c>
      <c r="P98" s="47">
        <v>28.7</v>
      </c>
      <c r="Q98" s="47"/>
      <c r="R98" s="48">
        <f t="shared" si="6"/>
        <v>44.7</v>
      </c>
      <c r="S98" s="29">
        <v>6</v>
      </c>
      <c r="T98" s="286"/>
      <c r="U98" s="295"/>
      <c r="V98" s="38" t="s">
        <v>490</v>
      </c>
      <c r="W98" s="29" t="s">
        <v>325</v>
      </c>
      <c r="X98" s="29" t="s">
        <v>18</v>
      </c>
      <c r="Y98" s="39">
        <v>28.7</v>
      </c>
      <c r="Z98" s="29" t="s">
        <v>486</v>
      </c>
      <c r="AA98" s="29" t="s">
        <v>22</v>
      </c>
      <c r="AB98" s="29" t="s">
        <v>11</v>
      </c>
      <c r="AC98" s="29">
        <v>16</v>
      </c>
      <c r="AD98" s="38"/>
      <c r="AG98" s="39"/>
      <c r="AL98" s="38"/>
      <c r="AO98" s="39"/>
      <c r="AP98" s="38"/>
      <c r="AS98" s="39"/>
      <c r="AW98" s="39"/>
      <c r="BA98" s="40"/>
    </row>
    <row r="99" spans="1:53" s="171" customFormat="1" x14ac:dyDescent="0.15">
      <c r="A99" s="171">
        <v>2003</v>
      </c>
      <c r="B99" s="283">
        <v>37768</v>
      </c>
      <c r="C99" s="410" t="s">
        <v>665</v>
      </c>
      <c r="D99" s="410"/>
      <c r="E99" s="171">
        <f>365-E98</f>
        <v>219</v>
      </c>
      <c r="F99" s="171">
        <v>1</v>
      </c>
      <c r="G99" s="233">
        <v>6</v>
      </c>
      <c r="H99" s="171">
        <v>10</v>
      </c>
      <c r="J99" s="241">
        <v>16</v>
      </c>
      <c r="K99" s="214">
        <f t="shared" si="4"/>
        <v>37.5</v>
      </c>
      <c r="L99" s="214">
        <f t="shared" si="3"/>
        <v>62.5</v>
      </c>
      <c r="M99" s="214">
        <f t="shared" si="3"/>
        <v>0</v>
      </c>
      <c r="N99" s="235">
        <f t="shared" si="5"/>
        <v>100</v>
      </c>
      <c r="O99" s="213">
        <v>18.7</v>
      </c>
      <c r="P99" s="214">
        <v>33.299999999999997</v>
      </c>
      <c r="Q99" s="214"/>
      <c r="R99" s="215">
        <f t="shared" si="6"/>
        <v>52</v>
      </c>
      <c r="S99" s="171">
        <v>2</v>
      </c>
      <c r="T99" s="285">
        <v>37643</v>
      </c>
      <c r="U99" s="283">
        <v>37768</v>
      </c>
      <c r="V99" s="178" t="s">
        <v>490</v>
      </c>
      <c r="W99" s="171" t="s">
        <v>325</v>
      </c>
      <c r="X99" s="171" t="s">
        <v>18</v>
      </c>
      <c r="Y99" s="179">
        <v>29.3</v>
      </c>
      <c r="Z99" s="171" t="s">
        <v>486</v>
      </c>
      <c r="AA99" s="171" t="s">
        <v>22</v>
      </c>
      <c r="AB99" s="171" t="s">
        <v>11</v>
      </c>
      <c r="AC99" s="171">
        <v>18.7</v>
      </c>
      <c r="AD99" s="178" t="s">
        <v>489</v>
      </c>
      <c r="AE99" s="171" t="s">
        <v>87</v>
      </c>
      <c r="AF99" s="171" t="s">
        <v>18</v>
      </c>
      <c r="AG99" s="179">
        <v>4</v>
      </c>
      <c r="AL99" s="178"/>
      <c r="AO99" s="179"/>
      <c r="AP99" s="178"/>
      <c r="AS99" s="179"/>
      <c r="AW99" s="179"/>
      <c r="BA99" s="180"/>
    </row>
    <row r="100" spans="1:53" s="171" customFormat="1" x14ac:dyDescent="0.15">
      <c r="A100" s="171">
        <v>2004</v>
      </c>
      <c r="B100" s="283"/>
      <c r="C100" s="410" t="s">
        <v>665</v>
      </c>
      <c r="D100" s="410"/>
      <c r="E100" s="171">
        <v>0</v>
      </c>
      <c r="G100" s="233">
        <v>6</v>
      </c>
      <c r="H100" s="171">
        <v>10</v>
      </c>
      <c r="J100" s="241">
        <v>16</v>
      </c>
      <c r="K100" s="214">
        <f t="shared" si="4"/>
        <v>37.5</v>
      </c>
      <c r="L100" s="214">
        <f t="shared" si="3"/>
        <v>62.5</v>
      </c>
      <c r="M100" s="214">
        <f t="shared" si="3"/>
        <v>0</v>
      </c>
      <c r="N100" s="235">
        <f t="shared" si="5"/>
        <v>100</v>
      </c>
      <c r="O100" s="213">
        <v>18.7</v>
      </c>
      <c r="P100" s="214">
        <v>33.299999999999997</v>
      </c>
      <c r="Q100" s="214"/>
      <c r="R100" s="215">
        <f t="shared" si="6"/>
        <v>52</v>
      </c>
      <c r="S100" s="171">
        <v>2</v>
      </c>
      <c r="T100" s="285"/>
      <c r="U100" s="283"/>
      <c r="V100" s="178" t="s">
        <v>490</v>
      </c>
      <c r="W100" s="171" t="s">
        <v>325</v>
      </c>
      <c r="X100" s="171" t="s">
        <v>18</v>
      </c>
      <c r="Y100" s="179">
        <v>29.3</v>
      </c>
      <c r="Z100" s="171" t="s">
        <v>486</v>
      </c>
      <c r="AA100" s="171" t="s">
        <v>22</v>
      </c>
      <c r="AB100" s="171" t="s">
        <v>11</v>
      </c>
      <c r="AC100" s="171">
        <v>18.7</v>
      </c>
      <c r="AD100" s="178" t="s">
        <v>489</v>
      </c>
      <c r="AE100" s="171" t="s">
        <v>87</v>
      </c>
      <c r="AF100" s="171" t="s">
        <v>18</v>
      </c>
      <c r="AG100" s="179">
        <v>4</v>
      </c>
      <c r="AL100" s="178"/>
      <c r="AO100" s="179"/>
      <c r="AP100" s="178"/>
      <c r="AS100" s="179"/>
      <c r="AW100" s="179"/>
      <c r="BA100" s="180"/>
    </row>
    <row r="101" spans="1:53" s="171" customFormat="1" x14ac:dyDescent="0.15">
      <c r="A101" s="171">
        <v>2004</v>
      </c>
      <c r="B101" s="283"/>
      <c r="C101" s="410" t="s">
        <v>665</v>
      </c>
      <c r="D101" s="410"/>
      <c r="E101" s="171">
        <v>366</v>
      </c>
      <c r="G101" s="233">
        <v>6</v>
      </c>
      <c r="H101" s="171">
        <v>10</v>
      </c>
      <c r="J101" s="241">
        <v>16</v>
      </c>
      <c r="K101" s="214">
        <f t="shared" si="4"/>
        <v>37.5</v>
      </c>
      <c r="L101" s="214">
        <f t="shared" si="3"/>
        <v>62.5</v>
      </c>
      <c r="M101" s="214">
        <f t="shared" si="3"/>
        <v>0</v>
      </c>
      <c r="N101" s="235">
        <f t="shared" si="5"/>
        <v>100</v>
      </c>
      <c r="O101" s="213">
        <v>18.7</v>
      </c>
      <c r="P101" s="214">
        <v>33.299999999999997</v>
      </c>
      <c r="Q101" s="214"/>
      <c r="R101" s="215">
        <f t="shared" si="6"/>
        <v>52</v>
      </c>
      <c r="S101" s="171">
        <v>2</v>
      </c>
      <c r="T101" s="285"/>
      <c r="U101" s="283"/>
      <c r="V101" s="178" t="s">
        <v>490</v>
      </c>
      <c r="W101" s="171" t="s">
        <v>325</v>
      </c>
      <c r="X101" s="171" t="s">
        <v>18</v>
      </c>
      <c r="Y101" s="179">
        <v>29.3</v>
      </c>
      <c r="Z101" s="171" t="s">
        <v>486</v>
      </c>
      <c r="AA101" s="171" t="s">
        <v>22</v>
      </c>
      <c r="AB101" s="171" t="s">
        <v>11</v>
      </c>
      <c r="AC101" s="171">
        <v>18.7</v>
      </c>
      <c r="AD101" s="178" t="s">
        <v>489</v>
      </c>
      <c r="AE101" s="171" t="s">
        <v>87</v>
      </c>
      <c r="AF101" s="171" t="s">
        <v>18</v>
      </c>
      <c r="AG101" s="179">
        <v>4</v>
      </c>
      <c r="AL101" s="178"/>
      <c r="AO101" s="179"/>
      <c r="AP101" s="178"/>
      <c r="AS101" s="179"/>
      <c r="AW101" s="179"/>
      <c r="BA101" s="180"/>
    </row>
    <row r="102" spans="1:53" s="171" customFormat="1" x14ac:dyDescent="0.15">
      <c r="A102" s="171">
        <v>2005</v>
      </c>
      <c r="B102" s="283"/>
      <c r="C102" s="410" t="s">
        <v>665</v>
      </c>
      <c r="D102" s="410"/>
      <c r="E102" s="171">
        <v>0</v>
      </c>
      <c r="G102" s="233">
        <v>6</v>
      </c>
      <c r="H102" s="171">
        <v>10</v>
      </c>
      <c r="J102" s="241">
        <v>16</v>
      </c>
      <c r="K102" s="214">
        <f t="shared" si="4"/>
        <v>37.5</v>
      </c>
      <c r="L102" s="214">
        <f t="shared" si="3"/>
        <v>62.5</v>
      </c>
      <c r="M102" s="214">
        <f t="shared" si="3"/>
        <v>0</v>
      </c>
      <c r="N102" s="235">
        <f t="shared" si="5"/>
        <v>100</v>
      </c>
      <c r="O102" s="213">
        <v>18.7</v>
      </c>
      <c r="P102" s="214">
        <v>33.299999999999997</v>
      </c>
      <c r="Q102" s="214"/>
      <c r="R102" s="215">
        <f t="shared" si="6"/>
        <v>52</v>
      </c>
      <c r="S102" s="171">
        <v>2</v>
      </c>
      <c r="T102" s="285"/>
      <c r="U102" s="283"/>
      <c r="V102" s="178" t="s">
        <v>490</v>
      </c>
      <c r="W102" s="171" t="s">
        <v>325</v>
      </c>
      <c r="X102" s="171" t="s">
        <v>18</v>
      </c>
      <c r="Y102" s="179">
        <v>29.3</v>
      </c>
      <c r="Z102" s="171" t="s">
        <v>486</v>
      </c>
      <c r="AA102" s="171" t="s">
        <v>22</v>
      </c>
      <c r="AB102" s="171" t="s">
        <v>11</v>
      </c>
      <c r="AC102" s="171">
        <v>18.7</v>
      </c>
      <c r="AD102" s="178" t="s">
        <v>489</v>
      </c>
      <c r="AE102" s="171" t="s">
        <v>87</v>
      </c>
      <c r="AF102" s="171" t="s">
        <v>18</v>
      </c>
      <c r="AG102" s="179">
        <v>4</v>
      </c>
      <c r="AL102" s="178"/>
      <c r="AO102" s="179"/>
      <c r="AP102" s="178"/>
      <c r="AS102" s="179"/>
      <c r="AW102" s="179"/>
      <c r="BA102" s="180"/>
    </row>
    <row r="103" spans="1:53" s="171" customFormat="1" x14ac:dyDescent="0.15">
      <c r="A103" s="171">
        <v>2005</v>
      </c>
      <c r="B103" s="283"/>
      <c r="C103" s="410" t="s">
        <v>665</v>
      </c>
      <c r="D103" s="410"/>
      <c r="E103" s="171">
        <f>365-E102</f>
        <v>365</v>
      </c>
      <c r="G103" s="233">
        <v>6</v>
      </c>
      <c r="H103" s="171">
        <v>10</v>
      </c>
      <c r="J103" s="241">
        <v>16</v>
      </c>
      <c r="K103" s="214">
        <f>G103/$J103*100</f>
        <v>37.5</v>
      </c>
      <c r="L103" s="214">
        <f t="shared" si="3"/>
        <v>62.5</v>
      </c>
      <c r="M103" s="214">
        <f t="shared" si="3"/>
        <v>0</v>
      </c>
      <c r="N103" s="235">
        <f t="shared" si="5"/>
        <v>100</v>
      </c>
      <c r="O103" s="213">
        <v>18.7</v>
      </c>
      <c r="P103" s="214">
        <v>33.299999999999997</v>
      </c>
      <c r="Q103" s="214"/>
      <c r="R103" s="215">
        <f t="shared" si="6"/>
        <v>52</v>
      </c>
      <c r="S103" s="171">
        <v>2</v>
      </c>
      <c r="T103" s="285"/>
      <c r="U103" s="283"/>
      <c r="V103" s="178" t="s">
        <v>490</v>
      </c>
      <c r="W103" s="171" t="s">
        <v>325</v>
      </c>
      <c r="X103" s="171" t="s">
        <v>18</v>
      </c>
      <c r="Y103" s="179">
        <v>29.3</v>
      </c>
      <c r="Z103" s="171" t="s">
        <v>486</v>
      </c>
      <c r="AA103" s="171" t="s">
        <v>22</v>
      </c>
      <c r="AB103" s="171" t="s">
        <v>11</v>
      </c>
      <c r="AC103" s="171">
        <v>18.7</v>
      </c>
      <c r="AD103" s="178" t="s">
        <v>489</v>
      </c>
      <c r="AE103" s="171" t="s">
        <v>87</v>
      </c>
      <c r="AF103" s="171" t="s">
        <v>18</v>
      </c>
      <c r="AG103" s="179">
        <v>4</v>
      </c>
      <c r="AL103" s="178"/>
      <c r="AO103" s="179"/>
      <c r="AP103" s="178"/>
      <c r="AS103" s="179"/>
      <c r="AW103" s="179"/>
      <c r="BA103" s="180"/>
    </row>
    <row r="104" spans="1:53" s="171" customFormat="1" x14ac:dyDescent="0.15">
      <c r="A104" s="171">
        <v>2006</v>
      </c>
      <c r="B104" s="283"/>
      <c r="C104" s="410" t="s">
        <v>665</v>
      </c>
      <c r="D104" s="410"/>
      <c r="E104" s="171">
        <v>187</v>
      </c>
      <c r="G104" s="233">
        <v>6</v>
      </c>
      <c r="H104" s="171">
        <v>10</v>
      </c>
      <c r="J104" s="241">
        <v>16</v>
      </c>
      <c r="K104" s="214">
        <f t="shared" ref="K104:M120" si="7">G104/$J104*100</f>
        <v>37.5</v>
      </c>
      <c r="L104" s="214">
        <f t="shared" si="3"/>
        <v>62.5</v>
      </c>
      <c r="M104" s="214">
        <f t="shared" si="3"/>
        <v>0</v>
      </c>
      <c r="N104" s="235">
        <f t="shared" si="5"/>
        <v>100</v>
      </c>
      <c r="O104" s="213">
        <v>18.7</v>
      </c>
      <c r="P104" s="214">
        <v>33.299999999999997</v>
      </c>
      <c r="Q104" s="214"/>
      <c r="R104" s="215">
        <f t="shared" si="6"/>
        <v>52</v>
      </c>
      <c r="S104" s="171">
        <v>2</v>
      </c>
      <c r="T104" s="285"/>
      <c r="U104" s="283"/>
      <c r="V104" s="178" t="s">
        <v>490</v>
      </c>
      <c r="W104" s="171" t="s">
        <v>325</v>
      </c>
      <c r="X104" s="171" t="s">
        <v>18</v>
      </c>
      <c r="Y104" s="179">
        <v>29.3</v>
      </c>
      <c r="Z104" s="171" t="s">
        <v>486</v>
      </c>
      <c r="AA104" s="171" t="s">
        <v>22</v>
      </c>
      <c r="AB104" s="171" t="s">
        <v>11</v>
      </c>
      <c r="AC104" s="171">
        <v>18.7</v>
      </c>
      <c r="AD104" s="178" t="s">
        <v>489</v>
      </c>
      <c r="AE104" s="171" t="s">
        <v>87</v>
      </c>
      <c r="AF104" s="171" t="s">
        <v>18</v>
      </c>
      <c r="AG104" s="179">
        <v>4</v>
      </c>
      <c r="AL104" s="178"/>
      <c r="AO104" s="179"/>
      <c r="AP104" s="178"/>
      <c r="AS104" s="179"/>
      <c r="AW104" s="179"/>
      <c r="BA104" s="180"/>
    </row>
    <row r="105" spans="1:53" s="29" customFormat="1" x14ac:dyDescent="0.15">
      <c r="A105" s="29">
        <v>2006</v>
      </c>
      <c r="B105" s="295">
        <v>38905</v>
      </c>
      <c r="C105" s="411" t="s">
        <v>666</v>
      </c>
      <c r="D105" s="411"/>
      <c r="E105" s="29">
        <f>365-E104</f>
        <v>178</v>
      </c>
      <c r="F105" s="29">
        <v>4</v>
      </c>
      <c r="G105" s="66">
        <v>7</v>
      </c>
      <c r="H105" s="29">
        <v>9</v>
      </c>
      <c r="J105" s="73">
        <v>16</v>
      </c>
      <c r="K105" s="47">
        <f t="shared" si="7"/>
        <v>43.75</v>
      </c>
      <c r="L105" s="47">
        <f t="shared" si="3"/>
        <v>56.25</v>
      </c>
      <c r="M105" s="47">
        <f t="shared" si="3"/>
        <v>0</v>
      </c>
      <c r="N105" s="68">
        <f t="shared" si="5"/>
        <v>100</v>
      </c>
      <c r="O105" s="46">
        <v>18.7</v>
      </c>
      <c r="P105" s="47">
        <v>29.3</v>
      </c>
      <c r="Q105" s="47"/>
      <c r="R105" s="48">
        <f t="shared" si="6"/>
        <v>48</v>
      </c>
      <c r="S105" s="29">
        <v>5</v>
      </c>
      <c r="T105" s="286"/>
      <c r="U105" s="295">
        <v>38905</v>
      </c>
      <c r="V105" s="38" t="s">
        <v>490</v>
      </c>
      <c r="W105" s="29" t="s">
        <v>325</v>
      </c>
      <c r="X105" s="29" t="s">
        <v>18</v>
      </c>
      <c r="Y105" s="39">
        <v>29.3</v>
      </c>
      <c r="Z105" s="29" t="s">
        <v>486</v>
      </c>
      <c r="AA105" s="29" t="s">
        <v>22</v>
      </c>
      <c r="AB105" s="29" t="s">
        <v>11</v>
      </c>
      <c r="AC105" s="29">
        <v>18.7</v>
      </c>
      <c r="AD105" s="38"/>
      <c r="AG105" s="39"/>
      <c r="AL105" s="38"/>
      <c r="AO105" s="39"/>
      <c r="AP105" s="38"/>
      <c r="AS105" s="39"/>
      <c r="AW105" s="39"/>
      <c r="BA105" s="40"/>
    </row>
    <row r="106" spans="1:53" s="29" customFormat="1" x14ac:dyDescent="0.15">
      <c r="A106" s="29">
        <v>2007</v>
      </c>
      <c r="B106" s="295"/>
      <c r="C106" s="411" t="s">
        <v>666</v>
      </c>
      <c r="D106" s="411"/>
      <c r="E106" s="29">
        <v>52</v>
      </c>
      <c r="G106" s="66">
        <v>7</v>
      </c>
      <c r="H106" s="29">
        <v>9</v>
      </c>
      <c r="J106" s="73">
        <v>16</v>
      </c>
      <c r="K106" s="47">
        <f t="shared" si="7"/>
        <v>43.75</v>
      </c>
      <c r="L106" s="47">
        <f t="shared" si="3"/>
        <v>56.25</v>
      </c>
      <c r="M106" s="47">
        <f t="shared" si="3"/>
        <v>0</v>
      </c>
      <c r="N106" s="68">
        <f t="shared" si="5"/>
        <v>100</v>
      </c>
      <c r="O106" s="46">
        <v>18.7</v>
      </c>
      <c r="P106" s="47">
        <v>29.3</v>
      </c>
      <c r="Q106" s="47"/>
      <c r="R106" s="48">
        <f t="shared" si="6"/>
        <v>48</v>
      </c>
      <c r="S106" s="29">
        <v>5</v>
      </c>
      <c r="T106" s="286">
        <v>39043</v>
      </c>
      <c r="U106" s="295"/>
      <c r="V106" s="38" t="s">
        <v>490</v>
      </c>
      <c r="W106" s="29" t="s">
        <v>325</v>
      </c>
      <c r="X106" s="29" t="s">
        <v>18</v>
      </c>
      <c r="Y106" s="39">
        <v>29.3</v>
      </c>
      <c r="Z106" s="29" t="s">
        <v>486</v>
      </c>
      <c r="AA106" s="29" t="s">
        <v>22</v>
      </c>
      <c r="AB106" s="29" t="s">
        <v>11</v>
      </c>
      <c r="AC106" s="29">
        <v>18.7</v>
      </c>
      <c r="AD106" s="38"/>
      <c r="AG106" s="39"/>
      <c r="AL106" s="38"/>
      <c r="AO106" s="39"/>
      <c r="AP106" s="38"/>
      <c r="AS106" s="39"/>
      <c r="AW106" s="39"/>
      <c r="BA106" s="40"/>
    </row>
    <row r="107" spans="1:53" s="171" customFormat="1" x14ac:dyDescent="0.15">
      <c r="A107" s="171">
        <v>2007</v>
      </c>
      <c r="B107" s="283">
        <v>39135</v>
      </c>
      <c r="C107" s="410" t="s">
        <v>667</v>
      </c>
      <c r="D107" s="410"/>
      <c r="E107" s="171">
        <f>365-E106</f>
        <v>313</v>
      </c>
      <c r="F107" s="171">
        <v>1</v>
      </c>
      <c r="G107" s="233"/>
      <c r="H107" s="171">
        <v>10</v>
      </c>
      <c r="I107" s="171">
        <v>6</v>
      </c>
      <c r="J107" s="241">
        <v>16</v>
      </c>
      <c r="K107" s="214">
        <f t="shared" si="7"/>
        <v>0</v>
      </c>
      <c r="L107" s="214">
        <f t="shared" si="3"/>
        <v>62.5</v>
      </c>
      <c r="M107" s="214">
        <f t="shared" si="3"/>
        <v>37.5</v>
      </c>
      <c r="N107" s="235">
        <f t="shared" si="5"/>
        <v>100</v>
      </c>
      <c r="O107" s="213"/>
      <c r="P107" s="214">
        <v>31.3</v>
      </c>
      <c r="Q107" s="214">
        <v>22</v>
      </c>
      <c r="R107" s="215">
        <f t="shared" si="6"/>
        <v>53.3</v>
      </c>
      <c r="S107" s="171">
        <v>2</v>
      </c>
      <c r="T107" s="285"/>
      <c r="U107" s="283">
        <v>39135</v>
      </c>
      <c r="V107" s="178" t="s">
        <v>490</v>
      </c>
      <c r="W107" s="171" t="s">
        <v>325</v>
      </c>
      <c r="X107" s="171" t="s">
        <v>18</v>
      </c>
      <c r="Y107" s="179">
        <v>27.3</v>
      </c>
      <c r="Z107" s="178" t="s">
        <v>487</v>
      </c>
      <c r="AA107" s="171" t="s">
        <v>20</v>
      </c>
      <c r="AB107" s="171" t="s">
        <v>12</v>
      </c>
      <c r="AC107" s="171">
        <v>22</v>
      </c>
      <c r="AD107" s="178" t="s">
        <v>565</v>
      </c>
      <c r="AE107" s="171" t="s">
        <v>326</v>
      </c>
      <c r="AF107" s="171" t="s">
        <v>18</v>
      </c>
      <c r="AG107" s="179">
        <v>4</v>
      </c>
      <c r="AL107" s="178"/>
      <c r="AO107" s="179"/>
      <c r="AP107" s="178"/>
      <c r="AS107" s="179"/>
      <c r="AW107" s="179"/>
      <c r="BA107" s="180"/>
    </row>
    <row r="108" spans="1:53" s="171" customFormat="1" x14ac:dyDescent="0.15">
      <c r="A108" s="171">
        <v>2008</v>
      </c>
      <c r="B108" s="283"/>
      <c r="C108" s="410" t="s">
        <v>667</v>
      </c>
      <c r="D108" s="410"/>
      <c r="E108" s="171">
        <v>0</v>
      </c>
      <c r="G108" s="233"/>
      <c r="H108" s="171">
        <v>10</v>
      </c>
      <c r="I108" s="171">
        <v>6</v>
      </c>
      <c r="J108" s="241">
        <v>16</v>
      </c>
      <c r="K108" s="214">
        <f t="shared" si="7"/>
        <v>0</v>
      </c>
      <c r="L108" s="214">
        <f t="shared" si="3"/>
        <v>62.5</v>
      </c>
      <c r="M108" s="214">
        <f t="shared" si="3"/>
        <v>37.5</v>
      </c>
      <c r="N108" s="235">
        <f t="shared" si="5"/>
        <v>100</v>
      </c>
      <c r="O108" s="213"/>
      <c r="P108" s="214">
        <v>31.3</v>
      </c>
      <c r="Q108" s="214">
        <v>22</v>
      </c>
      <c r="R108" s="215">
        <f t="shared" si="6"/>
        <v>53.3</v>
      </c>
      <c r="S108" s="171">
        <v>2</v>
      </c>
      <c r="T108" s="285"/>
      <c r="U108" s="283"/>
      <c r="V108" s="178" t="s">
        <v>490</v>
      </c>
      <c r="W108" s="171" t="s">
        <v>325</v>
      </c>
      <c r="X108" s="171" t="s">
        <v>18</v>
      </c>
      <c r="Y108" s="179">
        <v>27.3</v>
      </c>
      <c r="Z108" s="178" t="s">
        <v>487</v>
      </c>
      <c r="AA108" s="171" t="s">
        <v>20</v>
      </c>
      <c r="AB108" s="171" t="s">
        <v>12</v>
      </c>
      <c r="AC108" s="171">
        <v>22</v>
      </c>
      <c r="AD108" s="178" t="s">
        <v>565</v>
      </c>
      <c r="AE108" s="171" t="s">
        <v>326</v>
      </c>
      <c r="AF108" s="171" t="s">
        <v>18</v>
      </c>
      <c r="AG108" s="179">
        <v>4</v>
      </c>
      <c r="AL108" s="178"/>
      <c r="AO108" s="179"/>
      <c r="AP108" s="178"/>
      <c r="AS108" s="179"/>
      <c r="AW108" s="179"/>
      <c r="BA108" s="180"/>
    </row>
    <row r="109" spans="1:53" s="171" customFormat="1" x14ac:dyDescent="0.15">
      <c r="A109" s="171">
        <v>2008</v>
      </c>
      <c r="B109" s="283"/>
      <c r="C109" s="410" t="s">
        <v>667</v>
      </c>
      <c r="D109" s="410"/>
      <c r="E109" s="171">
        <v>366</v>
      </c>
      <c r="G109" s="233"/>
      <c r="H109" s="171">
        <v>10</v>
      </c>
      <c r="I109" s="171">
        <v>6</v>
      </c>
      <c r="J109" s="241">
        <v>16</v>
      </c>
      <c r="K109" s="214">
        <f t="shared" si="7"/>
        <v>0</v>
      </c>
      <c r="L109" s="214">
        <f t="shared" si="3"/>
        <v>62.5</v>
      </c>
      <c r="M109" s="214">
        <f t="shared" si="3"/>
        <v>37.5</v>
      </c>
      <c r="N109" s="235">
        <f t="shared" si="5"/>
        <v>100</v>
      </c>
      <c r="O109" s="213"/>
      <c r="P109" s="214">
        <v>31.3</v>
      </c>
      <c r="Q109" s="214">
        <v>22</v>
      </c>
      <c r="R109" s="215">
        <f t="shared" si="6"/>
        <v>53.3</v>
      </c>
      <c r="S109" s="171">
        <v>2</v>
      </c>
      <c r="T109" s="285"/>
      <c r="U109" s="283"/>
      <c r="V109" s="178" t="s">
        <v>490</v>
      </c>
      <c r="W109" s="171" t="s">
        <v>325</v>
      </c>
      <c r="X109" s="171" t="s">
        <v>18</v>
      </c>
      <c r="Y109" s="179">
        <v>27.3</v>
      </c>
      <c r="Z109" s="178" t="s">
        <v>487</v>
      </c>
      <c r="AA109" s="171" t="s">
        <v>20</v>
      </c>
      <c r="AB109" s="171" t="s">
        <v>12</v>
      </c>
      <c r="AC109" s="171">
        <v>22</v>
      </c>
      <c r="AD109" s="178" t="s">
        <v>565</v>
      </c>
      <c r="AE109" s="171" t="s">
        <v>326</v>
      </c>
      <c r="AF109" s="171" t="s">
        <v>18</v>
      </c>
      <c r="AG109" s="179">
        <v>4</v>
      </c>
      <c r="AL109" s="178"/>
      <c r="AO109" s="179"/>
      <c r="AP109" s="178"/>
      <c r="AS109" s="179"/>
      <c r="AW109" s="179"/>
      <c r="BA109" s="180"/>
    </row>
    <row r="110" spans="1:53" s="171" customFormat="1" x14ac:dyDescent="0.15">
      <c r="A110" s="171">
        <v>2009</v>
      </c>
      <c r="B110" s="283"/>
      <c r="C110" s="410" t="s">
        <v>667</v>
      </c>
      <c r="D110" s="410"/>
      <c r="E110" s="171">
        <v>0</v>
      </c>
      <c r="G110" s="233"/>
      <c r="H110" s="171">
        <v>10</v>
      </c>
      <c r="I110" s="171">
        <v>6</v>
      </c>
      <c r="J110" s="241">
        <v>16</v>
      </c>
      <c r="K110" s="214">
        <f t="shared" si="7"/>
        <v>0</v>
      </c>
      <c r="L110" s="214">
        <f t="shared" si="3"/>
        <v>62.5</v>
      </c>
      <c r="M110" s="214">
        <f t="shared" si="3"/>
        <v>37.5</v>
      </c>
      <c r="N110" s="235">
        <f t="shared" si="5"/>
        <v>100</v>
      </c>
      <c r="O110" s="213"/>
      <c r="P110" s="214">
        <v>31.3</v>
      </c>
      <c r="Q110" s="214">
        <v>22</v>
      </c>
      <c r="R110" s="215">
        <f t="shared" si="6"/>
        <v>53.3</v>
      </c>
      <c r="S110" s="171">
        <v>2</v>
      </c>
      <c r="T110" s="285"/>
      <c r="U110" s="283"/>
      <c r="V110" s="178" t="s">
        <v>490</v>
      </c>
      <c r="W110" s="171" t="s">
        <v>325</v>
      </c>
      <c r="X110" s="171" t="s">
        <v>18</v>
      </c>
      <c r="Y110" s="179">
        <v>27.3</v>
      </c>
      <c r="Z110" s="178" t="s">
        <v>487</v>
      </c>
      <c r="AA110" s="171" t="s">
        <v>20</v>
      </c>
      <c r="AB110" s="171" t="s">
        <v>12</v>
      </c>
      <c r="AC110" s="171">
        <v>22</v>
      </c>
      <c r="AD110" s="178" t="s">
        <v>565</v>
      </c>
      <c r="AE110" s="171" t="s">
        <v>326</v>
      </c>
      <c r="AF110" s="171" t="s">
        <v>18</v>
      </c>
      <c r="AG110" s="179">
        <v>4</v>
      </c>
      <c r="AL110" s="178"/>
      <c r="AO110" s="179"/>
      <c r="AP110" s="178"/>
      <c r="AS110" s="179"/>
      <c r="AW110" s="179"/>
      <c r="BA110" s="180"/>
    </row>
    <row r="111" spans="1:53" s="171" customFormat="1" x14ac:dyDescent="0.15">
      <c r="A111" s="171">
        <v>2009</v>
      </c>
      <c r="B111" s="283"/>
      <c r="C111" s="410" t="s">
        <v>667</v>
      </c>
      <c r="D111" s="410"/>
      <c r="E111" s="171">
        <v>365</v>
      </c>
      <c r="G111" s="233"/>
      <c r="H111" s="171">
        <v>10</v>
      </c>
      <c r="I111" s="171">
        <v>6</v>
      </c>
      <c r="J111" s="241">
        <v>16</v>
      </c>
      <c r="K111" s="214">
        <f t="shared" si="7"/>
        <v>0</v>
      </c>
      <c r="L111" s="214">
        <f t="shared" si="3"/>
        <v>62.5</v>
      </c>
      <c r="M111" s="214">
        <f t="shared" si="3"/>
        <v>37.5</v>
      </c>
      <c r="N111" s="235">
        <f t="shared" si="5"/>
        <v>100</v>
      </c>
      <c r="O111" s="213"/>
      <c r="P111" s="214">
        <v>31.3</v>
      </c>
      <c r="Q111" s="214">
        <v>22</v>
      </c>
      <c r="R111" s="215">
        <f t="shared" si="6"/>
        <v>53.3</v>
      </c>
      <c r="S111" s="171">
        <v>2</v>
      </c>
      <c r="T111" s="285"/>
      <c r="U111" s="283"/>
      <c r="V111" s="178" t="s">
        <v>490</v>
      </c>
      <c r="W111" s="171" t="s">
        <v>325</v>
      </c>
      <c r="X111" s="171" t="s">
        <v>18</v>
      </c>
      <c r="Y111" s="179">
        <v>27.3</v>
      </c>
      <c r="Z111" s="178" t="s">
        <v>487</v>
      </c>
      <c r="AA111" s="171" t="s">
        <v>20</v>
      </c>
      <c r="AB111" s="171" t="s">
        <v>12</v>
      </c>
      <c r="AC111" s="171">
        <v>22</v>
      </c>
      <c r="AD111" s="178" t="s">
        <v>565</v>
      </c>
      <c r="AE111" s="171" t="s">
        <v>326</v>
      </c>
      <c r="AF111" s="171" t="s">
        <v>18</v>
      </c>
      <c r="AG111" s="179">
        <v>4</v>
      </c>
      <c r="AL111" s="178"/>
      <c r="AO111" s="179"/>
      <c r="AP111" s="178"/>
      <c r="AS111" s="179"/>
      <c r="AW111" s="179"/>
      <c r="BA111" s="180"/>
    </row>
    <row r="112" spans="1:53" s="171" customFormat="1" x14ac:dyDescent="0.15">
      <c r="A112" s="171">
        <v>2010</v>
      </c>
      <c r="B112" s="283"/>
      <c r="C112" s="410" t="s">
        <v>667</v>
      </c>
      <c r="D112" s="410"/>
      <c r="E112" s="171">
        <v>50</v>
      </c>
      <c r="G112" s="233"/>
      <c r="H112" s="171">
        <v>10</v>
      </c>
      <c r="I112" s="171">
        <v>6</v>
      </c>
      <c r="J112" s="241">
        <v>16</v>
      </c>
      <c r="K112" s="214">
        <f t="shared" si="7"/>
        <v>0</v>
      </c>
      <c r="L112" s="214">
        <f t="shared" si="3"/>
        <v>62.5</v>
      </c>
      <c r="M112" s="214">
        <f t="shared" si="3"/>
        <v>37.5</v>
      </c>
      <c r="N112" s="235">
        <f t="shared" si="5"/>
        <v>100</v>
      </c>
      <c r="O112" s="213"/>
      <c r="P112" s="214">
        <v>31.3</v>
      </c>
      <c r="Q112" s="214">
        <v>22</v>
      </c>
      <c r="R112" s="215">
        <f t="shared" si="6"/>
        <v>53.3</v>
      </c>
      <c r="S112" s="171">
        <v>2</v>
      </c>
      <c r="T112" s="285"/>
      <c r="U112" s="283"/>
      <c r="V112" s="178" t="s">
        <v>490</v>
      </c>
      <c r="W112" s="171" t="s">
        <v>325</v>
      </c>
      <c r="X112" s="171" t="s">
        <v>18</v>
      </c>
      <c r="Y112" s="179">
        <v>27.3</v>
      </c>
      <c r="Z112" s="178" t="s">
        <v>487</v>
      </c>
      <c r="AA112" s="171" t="s">
        <v>20</v>
      </c>
      <c r="AB112" s="171" t="s">
        <v>12</v>
      </c>
      <c r="AC112" s="171">
        <v>22</v>
      </c>
      <c r="AD112" s="178" t="s">
        <v>565</v>
      </c>
      <c r="AE112" s="171" t="s">
        <v>326</v>
      </c>
      <c r="AF112" s="171" t="s">
        <v>18</v>
      </c>
      <c r="AG112" s="179">
        <v>4</v>
      </c>
      <c r="AL112" s="178"/>
      <c r="AO112" s="179"/>
      <c r="AP112" s="178"/>
      <c r="AS112" s="179"/>
      <c r="AW112" s="179"/>
      <c r="BA112" s="180"/>
    </row>
    <row r="113" spans="1:53" s="29" customFormat="1" x14ac:dyDescent="0.15">
      <c r="A113" s="29">
        <v>2010</v>
      </c>
      <c r="B113" s="295">
        <v>40229</v>
      </c>
      <c r="C113" s="411" t="s">
        <v>668</v>
      </c>
      <c r="D113" s="411"/>
      <c r="E113" s="29">
        <f>365-E112-E114</f>
        <v>236</v>
      </c>
      <c r="F113" s="29">
        <v>4</v>
      </c>
      <c r="G113" s="66"/>
      <c r="H113" s="29">
        <v>10</v>
      </c>
      <c r="J113" s="73">
        <v>10</v>
      </c>
      <c r="K113" s="47">
        <f t="shared" si="7"/>
        <v>0</v>
      </c>
      <c r="L113" s="47">
        <f t="shared" si="7"/>
        <v>100</v>
      </c>
      <c r="M113" s="47">
        <f t="shared" si="7"/>
        <v>0</v>
      </c>
      <c r="N113" s="68">
        <f t="shared" si="5"/>
        <v>100</v>
      </c>
      <c r="O113" s="46"/>
      <c r="P113" s="47">
        <v>31.3</v>
      </c>
      <c r="Q113" s="47"/>
      <c r="R113" s="48">
        <f t="shared" si="6"/>
        <v>31.3</v>
      </c>
      <c r="S113" s="29">
        <v>6</v>
      </c>
      <c r="T113" s="286"/>
      <c r="U113" s="295">
        <v>40229</v>
      </c>
      <c r="V113" s="38" t="s">
        <v>490</v>
      </c>
      <c r="W113" s="29" t="s">
        <v>325</v>
      </c>
      <c r="X113" s="29" t="s">
        <v>18</v>
      </c>
      <c r="Y113" s="39">
        <v>27.3</v>
      </c>
      <c r="Z113" s="38" t="s">
        <v>565</v>
      </c>
      <c r="AA113" s="29" t="s">
        <v>326</v>
      </c>
      <c r="AB113" s="29" t="s">
        <v>18</v>
      </c>
      <c r="AC113" s="29">
        <v>4</v>
      </c>
      <c r="AD113" s="38"/>
      <c r="AG113" s="39"/>
      <c r="AL113" s="38"/>
      <c r="AO113" s="39"/>
      <c r="AP113" s="38"/>
      <c r="AS113" s="39"/>
      <c r="AW113" s="39"/>
      <c r="BA113" s="40"/>
    </row>
    <row r="114" spans="1:53" s="171" customFormat="1" x14ac:dyDescent="0.15">
      <c r="A114" s="171">
        <v>2010</v>
      </c>
      <c r="B114" s="283">
        <v>40465</v>
      </c>
      <c r="C114" s="410" t="s">
        <v>669</v>
      </c>
      <c r="D114" s="410"/>
      <c r="E114" s="171">
        <v>79</v>
      </c>
      <c r="F114" s="171">
        <v>1</v>
      </c>
      <c r="G114" s="233">
        <v>8</v>
      </c>
      <c r="H114" s="171">
        <v>8</v>
      </c>
      <c r="J114" s="241">
        <v>16</v>
      </c>
      <c r="K114" s="214">
        <f t="shared" si="7"/>
        <v>50</v>
      </c>
      <c r="L114" s="214">
        <f t="shared" si="7"/>
        <v>50</v>
      </c>
      <c r="M114" s="214">
        <f t="shared" si="7"/>
        <v>0</v>
      </c>
      <c r="N114" s="235">
        <f t="shared" si="5"/>
        <v>100</v>
      </c>
      <c r="O114" s="213">
        <v>20.7</v>
      </c>
      <c r="P114" s="214">
        <v>14</v>
      </c>
      <c r="Q114" s="214"/>
      <c r="R114" s="215">
        <f t="shared" si="6"/>
        <v>34.700000000000003</v>
      </c>
      <c r="S114" s="171">
        <v>5</v>
      </c>
      <c r="T114" s="285">
        <v>40338</v>
      </c>
      <c r="U114" s="283">
        <v>40465</v>
      </c>
      <c r="V114" s="178" t="s">
        <v>486</v>
      </c>
      <c r="W114" s="171" t="s">
        <v>22</v>
      </c>
      <c r="X114" s="171" t="s">
        <v>11</v>
      </c>
      <c r="Y114" s="179">
        <v>20.7</v>
      </c>
      <c r="Z114" s="171" t="s">
        <v>490</v>
      </c>
      <c r="AA114" s="171" t="s">
        <v>325</v>
      </c>
      <c r="AB114" s="171" t="s">
        <v>18</v>
      </c>
      <c r="AC114" s="171">
        <v>14</v>
      </c>
      <c r="AD114" s="178"/>
      <c r="AG114" s="179"/>
      <c r="AL114" s="178"/>
      <c r="AO114" s="179"/>
      <c r="AP114" s="178"/>
      <c r="AS114" s="179"/>
      <c r="AW114" s="179"/>
      <c r="BA114" s="180"/>
    </row>
    <row r="115" spans="1:53" s="171" customFormat="1" x14ac:dyDescent="0.15">
      <c r="A115" s="171">
        <v>2011</v>
      </c>
      <c r="B115" s="283"/>
      <c r="C115" s="410" t="s">
        <v>669</v>
      </c>
      <c r="D115" s="410"/>
      <c r="E115" s="171">
        <v>0</v>
      </c>
      <c r="G115" s="233">
        <v>8</v>
      </c>
      <c r="H115" s="171">
        <v>8</v>
      </c>
      <c r="J115" s="241">
        <v>16</v>
      </c>
      <c r="K115" s="214">
        <f t="shared" si="7"/>
        <v>50</v>
      </c>
      <c r="L115" s="214">
        <f t="shared" si="7"/>
        <v>50</v>
      </c>
      <c r="M115" s="214">
        <f t="shared" si="7"/>
        <v>0</v>
      </c>
      <c r="N115" s="235">
        <f t="shared" si="5"/>
        <v>100</v>
      </c>
      <c r="O115" s="213">
        <v>20.7</v>
      </c>
      <c r="P115" s="214">
        <v>14</v>
      </c>
      <c r="Q115" s="214"/>
      <c r="R115" s="215">
        <f t="shared" si="6"/>
        <v>34.700000000000003</v>
      </c>
      <c r="S115" s="171">
        <v>5</v>
      </c>
      <c r="T115" s="285"/>
      <c r="U115" s="283"/>
      <c r="V115" s="178" t="s">
        <v>486</v>
      </c>
      <c r="W115" s="171" t="s">
        <v>22</v>
      </c>
      <c r="X115" s="171" t="s">
        <v>11</v>
      </c>
      <c r="Y115" s="179">
        <v>20.7</v>
      </c>
      <c r="Z115" s="171" t="s">
        <v>490</v>
      </c>
      <c r="AA115" s="171" t="s">
        <v>325</v>
      </c>
      <c r="AB115" s="171" t="s">
        <v>18</v>
      </c>
      <c r="AC115" s="171">
        <v>14</v>
      </c>
      <c r="AD115" s="178"/>
      <c r="AG115" s="179"/>
      <c r="AL115" s="178"/>
      <c r="AO115" s="179"/>
      <c r="AP115" s="178"/>
      <c r="AS115" s="179"/>
      <c r="AW115" s="179"/>
      <c r="BA115" s="180"/>
    </row>
    <row r="116" spans="1:53" s="171" customFormat="1" x14ac:dyDescent="0.15">
      <c r="A116" s="171">
        <v>2011</v>
      </c>
      <c r="B116" s="283"/>
      <c r="C116" s="410" t="s">
        <v>669</v>
      </c>
      <c r="D116" s="410"/>
      <c r="E116" s="171">
        <v>365</v>
      </c>
      <c r="G116" s="233">
        <v>8</v>
      </c>
      <c r="H116" s="171">
        <v>8</v>
      </c>
      <c r="J116" s="241">
        <v>16</v>
      </c>
      <c r="K116" s="214">
        <f t="shared" si="7"/>
        <v>50</v>
      </c>
      <c r="L116" s="214">
        <f t="shared" si="7"/>
        <v>50</v>
      </c>
      <c r="M116" s="214">
        <f t="shared" si="7"/>
        <v>0</v>
      </c>
      <c r="N116" s="235">
        <f t="shared" si="5"/>
        <v>100</v>
      </c>
      <c r="O116" s="213">
        <v>20.7</v>
      </c>
      <c r="P116" s="214">
        <v>14</v>
      </c>
      <c r="Q116" s="214"/>
      <c r="R116" s="215">
        <f t="shared" si="6"/>
        <v>34.700000000000003</v>
      </c>
      <c r="S116" s="171">
        <v>5</v>
      </c>
      <c r="T116" s="285"/>
      <c r="U116" s="283"/>
      <c r="V116" s="178" t="s">
        <v>486</v>
      </c>
      <c r="W116" s="171" t="s">
        <v>22</v>
      </c>
      <c r="X116" s="171" t="s">
        <v>11</v>
      </c>
      <c r="Y116" s="179">
        <v>20.7</v>
      </c>
      <c r="Z116" s="171" t="s">
        <v>490</v>
      </c>
      <c r="AA116" s="171" t="s">
        <v>325</v>
      </c>
      <c r="AB116" s="171" t="s">
        <v>18</v>
      </c>
      <c r="AC116" s="171">
        <v>14</v>
      </c>
      <c r="AD116" s="178"/>
      <c r="AG116" s="179"/>
      <c r="AL116" s="178"/>
      <c r="AO116" s="179"/>
      <c r="AP116" s="178"/>
      <c r="AS116" s="179"/>
      <c r="AW116" s="179"/>
      <c r="BA116" s="180"/>
    </row>
    <row r="117" spans="1:53" s="171" customFormat="1" x14ac:dyDescent="0.15">
      <c r="A117" s="171">
        <v>2012</v>
      </c>
      <c r="B117" s="283"/>
      <c r="C117" s="410" t="s">
        <v>669</v>
      </c>
      <c r="D117" s="410"/>
      <c r="E117" s="171">
        <v>309</v>
      </c>
      <c r="G117" s="233">
        <v>8</v>
      </c>
      <c r="H117" s="171">
        <v>8</v>
      </c>
      <c r="J117" s="241">
        <v>16</v>
      </c>
      <c r="K117" s="214">
        <f t="shared" si="7"/>
        <v>50</v>
      </c>
      <c r="L117" s="214">
        <f t="shared" si="7"/>
        <v>50</v>
      </c>
      <c r="M117" s="214">
        <f t="shared" si="7"/>
        <v>0</v>
      </c>
      <c r="N117" s="235">
        <f t="shared" si="5"/>
        <v>100</v>
      </c>
      <c r="O117" s="213">
        <v>20.7</v>
      </c>
      <c r="P117" s="214">
        <v>14</v>
      </c>
      <c r="Q117" s="214"/>
      <c r="R117" s="215">
        <f t="shared" si="6"/>
        <v>34.700000000000003</v>
      </c>
      <c r="S117" s="171">
        <v>5</v>
      </c>
      <c r="T117" s="285"/>
      <c r="U117" s="283"/>
      <c r="V117" s="178" t="s">
        <v>486</v>
      </c>
      <c r="W117" s="171" t="s">
        <v>22</v>
      </c>
      <c r="X117" s="171" t="s">
        <v>11</v>
      </c>
      <c r="Y117" s="179">
        <v>20.7</v>
      </c>
      <c r="Z117" s="171" t="s">
        <v>490</v>
      </c>
      <c r="AA117" s="171" t="s">
        <v>325</v>
      </c>
      <c r="AB117" s="171" t="s">
        <v>18</v>
      </c>
      <c r="AC117" s="171">
        <v>14</v>
      </c>
      <c r="AD117" s="178"/>
      <c r="AG117" s="179"/>
      <c r="AL117" s="178"/>
      <c r="AO117" s="179"/>
      <c r="AP117" s="178"/>
      <c r="AS117" s="179"/>
      <c r="AW117" s="179"/>
      <c r="BA117" s="180"/>
    </row>
    <row r="118" spans="1:53" s="29" customFormat="1" x14ac:dyDescent="0.15">
      <c r="A118" s="29">
        <v>2012</v>
      </c>
      <c r="B118" s="295">
        <v>41218</v>
      </c>
      <c r="C118" s="411" t="s">
        <v>670</v>
      </c>
      <c r="D118" s="411"/>
      <c r="E118" s="29">
        <v>57</v>
      </c>
      <c r="F118" s="29">
        <v>1</v>
      </c>
      <c r="G118" s="66">
        <v>7</v>
      </c>
      <c r="I118" s="29">
        <v>6</v>
      </c>
      <c r="J118" s="73">
        <v>13</v>
      </c>
      <c r="K118" s="47">
        <f t="shared" si="7"/>
        <v>53.846153846153847</v>
      </c>
      <c r="L118" s="47">
        <f t="shared" si="7"/>
        <v>0</v>
      </c>
      <c r="M118" s="47">
        <f t="shared" si="7"/>
        <v>46.153846153846153</v>
      </c>
      <c r="N118" s="68">
        <f t="shared" si="5"/>
        <v>100</v>
      </c>
      <c r="O118" s="46">
        <v>27.3</v>
      </c>
      <c r="P118" s="47"/>
      <c r="Q118" s="47">
        <v>25.3</v>
      </c>
      <c r="R118" s="48">
        <f t="shared" si="6"/>
        <v>52.6</v>
      </c>
      <c r="S118" s="29">
        <v>2</v>
      </c>
      <c r="T118" s="286">
        <v>41164</v>
      </c>
      <c r="U118" s="295">
        <v>41218</v>
      </c>
      <c r="V118" s="38" t="s">
        <v>486</v>
      </c>
      <c r="W118" s="29" t="s">
        <v>22</v>
      </c>
      <c r="X118" s="29" t="s">
        <v>11</v>
      </c>
      <c r="Y118" s="39">
        <v>27.3</v>
      </c>
      <c r="Z118" s="29" t="s">
        <v>487</v>
      </c>
      <c r="AA118" s="29" t="s">
        <v>20</v>
      </c>
      <c r="AB118" s="29" t="s">
        <v>12</v>
      </c>
      <c r="AC118" s="29">
        <v>25.3</v>
      </c>
      <c r="AD118" s="38"/>
      <c r="AG118" s="39"/>
      <c r="AL118" s="38"/>
      <c r="AO118" s="39"/>
      <c r="AP118" s="38"/>
      <c r="AS118" s="39"/>
      <c r="AW118" s="39"/>
      <c r="BA118" s="40"/>
    </row>
    <row r="119" spans="1:53" s="29" customFormat="1" x14ac:dyDescent="0.15">
      <c r="A119" s="29">
        <v>2013</v>
      </c>
      <c r="B119" s="295"/>
      <c r="C119" s="411" t="s">
        <v>670</v>
      </c>
      <c r="D119" s="411"/>
      <c r="E119" s="29">
        <v>0</v>
      </c>
      <c r="G119" s="66">
        <v>7</v>
      </c>
      <c r="I119" s="29">
        <v>6</v>
      </c>
      <c r="J119" s="73">
        <v>13</v>
      </c>
      <c r="K119" s="47">
        <f t="shared" si="7"/>
        <v>53.846153846153847</v>
      </c>
      <c r="L119" s="47">
        <f t="shared" si="7"/>
        <v>0</v>
      </c>
      <c r="M119" s="47">
        <f t="shared" si="7"/>
        <v>46.153846153846153</v>
      </c>
      <c r="N119" s="68">
        <f t="shared" si="5"/>
        <v>100</v>
      </c>
      <c r="O119" s="46">
        <v>27.3</v>
      </c>
      <c r="P119" s="47"/>
      <c r="Q119" s="47">
        <v>25.3</v>
      </c>
      <c r="R119" s="48">
        <f>O119+P119+Q119</f>
        <v>52.6</v>
      </c>
      <c r="S119" s="29">
        <v>2</v>
      </c>
      <c r="T119" s="286"/>
      <c r="U119" s="295"/>
      <c r="V119" s="38" t="s">
        <v>486</v>
      </c>
      <c r="W119" s="29" t="s">
        <v>22</v>
      </c>
      <c r="X119" s="29" t="s">
        <v>11</v>
      </c>
      <c r="Y119" s="39">
        <v>27.3</v>
      </c>
      <c r="Z119" s="29" t="s">
        <v>487</v>
      </c>
      <c r="AA119" s="29" t="s">
        <v>20</v>
      </c>
      <c r="AB119" s="29" t="s">
        <v>12</v>
      </c>
      <c r="AC119" s="29">
        <v>25.3</v>
      </c>
      <c r="AD119" s="38"/>
      <c r="AG119" s="39"/>
      <c r="AL119" s="38"/>
      <c r="AO119" s="39"/>
      <c r="AP119" s="38"/>
      <c r="AS119" s="39"/>
      <c r="AW119" s="39"/>
      <c r="BA119" s="40"/>
    </row>
    <row r="120" spans="1:53" s="29" customFormat="1" x14ac:dyDescent="0.15">
      <c r="A120" s="29">
        <v>2013</v>
      </c>
      <c r="B120" s="295"/>
      <c r="C120" s="411" t="s">
        <v>670</v>
      </c>
      <c r="D120" s="411"/>
      <c r="E120" s="29">
        <v>365</v>
      </c>
      <c r="G120" s="66">
        <v>7</v>
      </c>
      <c r="I120" s="29">
        <v>6</v>
      </c>
      <c r="J120" s="73">
        <v>13</v>
      </c>
      <c r="K120" s="47">
        <f t="shared" si="7"/>
        <v>53.846153846153847</v>
      </c>
      <c r="L120" s="47">
        <f t="shared" si="7"/>
        <v>0</v>
      </c>
      <c r="M120" s="47">
        <f t="shared" si="7"/>
        <v>46.153846153846153</v>
      </c>
      <c r="N120" s="68">
        <f t="shared" si="5"/>
        <v>100</v>
      </c>
      <c r="O120" s="46">
        <v>27.3</v>
      </c>
      <c r="P120" s="47"/>
      <c r="Q120" s="47">
        <v>25.3</v>
      </c>
      <c r="R120" s="48">
        <f>O120+P120+Q120</f>
        <v>52.6</v>
      </c>
      <c r="S120" s="29">
        <v>2</v>
      </c>
      <c r="T120" s="286"/>
      <c r="U120" s="295"/>
      <c r="V120" s="38" t="s">
        <v>486</v>
      </c>
      <c r="W120" s="29" t="s">
        <v>22</v>
      </c>
      <c r="X120" s="29" t="s">
        <v>11</v>
      </c>
      <c r="Y120" s="39">
        <v>27.3</v>
      </c>
      <c r="Z120" s="29" t="s">
        <v>487</v>
      </c>
      <c r="AA120" s="29" t="s">
        <v>20</v>
      </c>
      <c r="AB120" s="29" t="s">
        <v>12</v>
      </c>
      <c r="AC120" s="29">
        <v>25.3</v>
      </c>
      <c r="AD120" s="38"/>
      <c r="AG120" s="39"/>
      <c r="AL120" s="38"/>
      <c r="AO120" s="39"/>
      <c r="AP120" s="38"/>
      <c r="AS120" s="39"/>
      <c r="AW120" s="39"/>
      <c r="BA120" s="40"/>
    </row>
    <row r="121" spans="1:53" s="29" customFormat="1" x14ac:dyDescent="0.15">
      <c r="A121" s="29">
        <v>2014</v>
      </c>
      <c r="B121" s="295"/>
      <c r="C121" s="411" t="s">
        <v>670</v>
      </c>
      <c r="D121" s="411"/>
      <c r="E121" s="29">
        <v>0</v>
      </c>
      <c r="G121" s="66">
        <v>7</v>
      </c>
      <c r="I121" s="29">
        <v>6</v>
      </c>
      <c r="J121" s="73">
        <v>13</v>
      </c>
      <c r="K121" s="47">
        <f t="shared" ref="K121:M122" si="8">G121/$J121*100</f>
        <v>53.846153846153847</v>
      </c>
      <c r="L121" s="47">
        <f t="shared" si="8"/>
        <v>0</v>
      </c>
      <c r="M121" s="47">
        <f t="shared" si="8"/>
        <v>46.153846153846153</v>
      </c>
      <c r="N121" s="68">
        <f>K121+L121+M121</f>
        <v>100</v>
      </c>
      <c r="O121" s="46">
        <v>27.3</v>
      </c>
      <c r="P121" s="47"/>
      <c r="Q121" s="47">
        <v>25.3</v>
      </c>
      <c r="R121" s="48">
        <f>O121+P121+Q121</f>
        <v>52.6</v>
      </c>
      <c r="S121" s="29">
        <v>2</v>
      </c>
      <c r="T121" s="286"/>
      <c r="U121" s="295"/>
      <c r="V121" s="38" t="s">
        <v>486</v>
      </c>
      <c r="W121" s="29" t="s">
        <v>22</v>
      </c>
      <c r="X121" s="29" t="s">
        <v>11</v>
      </c>
      <c r="Y121" s="39">
        <v>27.3</v>
      </c>
      <c r="Z121" s="29" t="s">
        <v>487</v>
      </c>
      <c r="AA121" s="29" t="s">
        <v>20</v>
      </c>
      <c r="AB121" s="29" t="s">
        <v>12</v>
      </c>
      <c r="AC121" s="29">
        <v>25.3</v>
      </c>
      <c r="AD121" s="38"/>
      <c r="AG121" s="39"/>
      <c r="AL121" s="38"/>
      <c r="AO121" s="39"/>
      <c r="AP121" s="38"/>
      <c r="AS121" s="39"/>
      <c r="AW121" s="39"/>
      <c r="BA121" s="40"/>
    </row>
    <row r="122" spans="1:53" s="29" customFormat="1" x14ac:dyDescent="0.15">
      <c r="A122" s="29">
        <v>2014</v>
      </c>
      <c r="B122" s="295"/>
      <c r="C122" s="411" t="s">
        <v>670</v>
      </c>
      <c r="D122" s="411"/>
      <c r="E122" s="29">
        <v>365</v>
      </c>
      <c r="G122" s="66">
        <v>7</v>
      </c>
      <c r="I122" s="29">
        <v>6</v>
      </c>
      <c r="J122" s="73">
        <v>13</v>
      </c>
      <c r="K122" s="47">
        <f t="shared" si="8"/>
        <v>53.846153846153847</v>
      </c>
      <c r="L122" s="47">
        <f t="shared" si="8"/>
        <v>0</v>
      </c>
      <c r="M122" s="47">
        <f t="shared" si="8"/>
        <v>46.153846153846153</v>
      </c>
      <c r="N122" s="68">
        <f>K122+L122+M122</f>
        <v>100</v>
      </c>
      <c r="O122" s="46">
        <v>27.3</v>
      </c>
      <c r="P122" s="47"/>
      <c r="Q122" s="47">
        <v>25.3</v>
      </c>
      <c r="R122" s="48">
        <f>O122+P122+Q122</f>
        <v>52.6</v>
      </c>
      <c r="S122" s="29">
        <v>2</v>
      </c>
      <c r="T122" s="286"/>
      <c r="U122" s="295"/>
      <c r="V122" s="38" t="s">
        <v>486</v>
      </c>
      <c r="W122" s="29" t="s">
        <v>22</v>
      </c>
      <c r="X122" s="29" t="s">
        <v>11</v>
      </c>
      <c r="Y122" s="39">
        <v>27.3</v>
      </c>
      <c r="Z122" s="29" t="s">
        <v>487</v>
      </c>
      <c r="AA122" s="29" t="s">
        <v>20</v>
      </c>
      <c r="AB122" s="29" t="s">
        <v>12</v>
      </c>
      <c r="AC122" s="29">
        <v>25.3</v>
      </c>
      <c r="AD122" s="38"/>
      <c r="AG122" s="39"/>
      <c r="AL122" s="38"/>
      <c r="AO122" s="39"/>
      <c r="AP122" s="38"/>
      <c r="AS122" s="39"/>
      <c r="AW122" s="39"/>
      <c r="BA122" s="40"/>
    </row>
    <row r="123" spans="1:53" s="29" customFormat="1" x14ac:dyDescent="0.15">
      <c r="A123" s="29">
        <v>2015</v>
      </c>
      <c r="B123" s="295"/>
      <c r="C123" s="411" t="s">
        <v>670</v>
      </c>
      <c r="D123" s="411"/>
      <c r="E123" s="29">
        <v>0</v>
      </c>
      <c r="G123" s="66">
        <v>7</v>
      </c>
      <c r="I123" s="29">
        <v>6</v>
      </c>
      <c r="J123" s="73">
        <v>13</v>
      </c>
      <c r="K123" s="47">
        <f t="shared" ref="K123:K124" si="9">G123/$J123*100</f>
        <v>53.846153846153847</v>
      </c>
      <c r="L123" s="47">
        <f t="shared" ref="L123:L124" si="10">H123/$J123*100</f>
        <v>0</v>
      </c>
      <c r="M123" s="47">
        <f t="shared" ref="M123:M124" si="11">I123/$J123*100</f>
        <v>46.153846153846153</v>
      </c>
      <c r="N123" s="68">
        <f t="shared" ref="N123:N124" si="12">K123+L123+M123</f>
        <v>100</v>
      </c>
      <c r="O123" s="46">
        <v>27.3</v>
      </c>
      <c r="P123" s="47"/>
      <c r="Q123" s="47">
        <v>25.3</v>
      </c>
      <c r="R123" s="48">
        <f t="shared" ref="R123:R124" si="13">O123+P123+Q123</f>
        <v>52.6</v>
      </c>
      <c r="S123" s="29">
        <v>2</v>
      </c>
      <c r="T123" s="286"/>
      <c r="U123" s="295"/>
      <c r="V123" s="38" t="s">
        <v>486</v>
      </c>
      <c r="W123" s="29" t="s">
        <v>22</v>
      </c>
      <c r="X123" s="29" t="s">
        <v>11</v>
      </c>
      <c r="Y123" s="39">
        <v>27.3</v>
      </c>
      <c r="Z123" s="29" t="s">
        <v>487</v>
      </c>
      <c r="AA123" s="29" t="s">
        <v>20</v>
      </c>
      <c r="AB123" s="29" t="s">
        <v>12</v>
      </c>
      <c r="AC123" s="29">
        <v>25.3</v>
      </c>
      <c r="AD123" s="38"/>
      <c r="AG123" s="39"/>
      <c r="AL123" s="38"/>
      <c r="AO123" s="39"/>
      <c r="AP123" s="38"/>
      <c r="AS123" s="39"/>
      <c r="AW123" s="39"/>
      <c r="BA123" s="40"/>
    </row>
    <row r="124" spans="1:53" s="29" customFormat="1" x14ac:dyDescent="0.15">
      <c r="A124" s="29">
        <v>2015</v>
      </c>
      <c r="B124" s="295"/>
      <c r="C124" s="411" t="s">
        <v>670</v>
      </c>
      <c r="D124" s="411"/>
      <c r="E124" s="29">
        <v>365</v>
      </c>
      <c r="G124" s="66">
        <v>7</v>
      </c>
      <c r="I124" s="29">
        <v>6</v>
      </c>
      <c r="J124" s="73">
        <v>13</v>
      </c>
      <c r="K124" s="47">
        <f t="shared" si="9"/>
        <v>53.846153846153847</v>
      </c>
      <c r="L124" s="47">
        <f t="shared" si="10"/>
        <v>0</v>
      </c>
      <c r="M124" s="47">
        <f t="shared" si="11"/>
        <v>46.153846153846153</v>
      </c>
      <c r="N124" s="68">
        <f t="shared" si="12"/>
        <v>100</v>
      </c>
      <c r="O124" s="46">
        <v>27.3</v>
      </c>
      <c r="P124" s="47"/>
      <c r="Q124" s="47">
        <v>25.3</v>
      </c>
      <c r="R124" s="48">
        <f t="shared" si="13"/>
        <v>52.6</v>
      </c>
      <c r="S124" s="29">
        <v>2</v>
      </c>
      <c r="T124" s="286"/>
      <c r="U124" s="295"/>
      <c r="V124" s="38" t="s">
        <v>486</v>
      </c>
      <c r="W124" s="29" t="s">
        <v>22</v>
      </c>
      <c r="X124" s="29" t="s">
        <v>11</v>
      </c>
      <c r="Y124" s="39">
        <v>27.3</v>
      </c>
      <c r="Z124" s="29" t="s">
        <v>487</v>
      </c>
      <c r="AA124" s="29" t="s">
        <v>20</v>
      </c>
      <c r="AB124" s="29" t="s">
        <v>12</v>
      </c>
      <c r="AC124" s="29">
        <v>25.3</v>
      </c>
      <c r="AD124" s="38"/>
      <c r="AG124" s="39"/>
      <c r="AL124" s="38"/>
      <c r="AO124" s="39"/>
      <c r="AP124" s="38"/>
      <c r="AS124" s="39"/>
      <c r="AW124" s="39"/>
      <c r="BA124" s="40"/>
    </row>
    <row r="125" spans="1:53" s="29" customFormat="1" x14ac:dyDescent="0.15">
      <c r="A125" s="29">
        <v>2016</v>
      </c>
      <c r="B125" s="295"/>
      <c r="C125" s="411" t="s">
        <v>670</v>
      </c>
      <c r="D125" s="411"/>
      <c r="E125" s="29">
        <v>0</v>
      </c>
      <c r="G125" s="66">
        <v>7</v>
      </c>
      <c r="I125" s="29">
        <v>6</v>
      </c>
      <c r="J125" s="73">
        <v>13</v>
      </c>
      <c r="K125" s="47">
        <f t="shared" ref="K125:K126" si="14">G125/$J125*100</f>
        <v>53.846153846153847</v>
      </c>
      <c r="L125" s="47">
        <f t="shared" ref="L125:L126" si="15">H125/$J125*100</f>
        <v>0</v>
      </c>
      <c r="M125" s="47">
        <f t="shared" ref="M125:M126" si="16">I125/$J125*100</f>
        <v>46.153846153846153</v>
      </c>
      <c r="N125" s="68">
        <f t="shared" ref="N125:N126" si="17">K125+L125+M125</f>
        <v>100</v>
      </c>
      <c r="O125" s="46">
        <v>27.3</v>
      </c>
      <c r="P125" s="47"/>
      <c r="Q125" s="47">
        <v>25.3</v>
      </c>
      <c r="R125" s="48">
        <f t="shared" ref="R125:R126" si="18">O125+P125+Q125</f>
        <v>52.6</v>
      </c>
      <c r="S125" s="29">
        <v>2</v>
      </c>
      <c r="T125" s="286"/>
      <c r="U125" s="295"/>
      <c r="V125" s="38" t="s">
        <v>486</v>
      </c>
      <c r="W125" s="29" t="s">
        <v>22</v>
      </c>
      <c r="X125" s="29" t="s">
        <v>11</v>
      </c>
      <c r="Y125" s="39">
        <v>27.3</v>
      </c>
      <c r="Z125" s="29" t="s">
        <v>487</v>
      </c>
      <c r="AA125" s="29" t="s">
        <v>20</v>
      </c>
      <c r="AB125" s="29" t="s">
        <v>12</v>
      </c>
      <c r="AC125" s="29">
        <v>25.3</v>
      </c>
      <c r="AD125" s="38"/>
      <c r="AG125" s="39"/>
      <c r="AL125" s="38"/>
      <c r="AO125" s="39"/>
      <c r="AP125" s="38"/>
      <c r="AS125" s="39"/>
      <c r="AW125" s="39"/>
      <c r="BA125" s="40"/>
    </row>
    <row r="126" spans="1:53" s="29" customFormat="1" x14ac:dyDescent="0.15">
      <c r="A126" s="29">
        <v>2016</v>
      </c>
      <c r="B126" s="295"/>
      <c r="C126" s="411" t="s">
        <v>670</v>
      </c>
      <c r="D126" s="411"/>
      <c r="E126" s="29">
        <v>366</v>
      </c>
      <c r="G126" s="66">
        <v>7</v>
      </c>
      <c r="I126" s="29">
        <v>6</v>
      </c>
      <c r="J126" s="73">
        <v>13</v>
      </c>
      <c r="K126" s="47">
        <f t="shared" si="14"/>
        <v>53.846153846153847</v>
      </c>
      <c r="L126" s="47">
        <f t="shared" si="15"/>
        <v>0</v>
      </c>
      <c r="M126" s="47">
        <f t="shared" si="16"/>
        <v>46.153846153846153</v>
      </c>
      <c r="N126" s="68">
        <f t="shared" si="17"/>
        <v>100</v>
      </c>
      <c r="O126" s="46">
        <v>27.3</v>
      </c>
      <c r="P126" s="47"/>
      <c r="Q126" s="47">
        <v>25.3</v>
      </c>
      <c r="R126" s="48">
        <f t="shared" si="18"/>
        <v>52.6</v>
      </c>
      <c r="S126" s="29">
        <v>2</v>
      </c>
      <c r="T126" s="286"/>
      <c r="U126" s="295"/>
      <c r="V126" s="38" t="s">
        <v>486</v>
      </c>
      <c r="W126" s="29" t="s">
        <v>22</v>
      </c>
      <c r="X126" s="29" t="s">
        <v>11</v>
      </c>
      <c r="Y126" s="39">
        <v>27.3</v>
      </c>
      <c r="Z126" s="29" t="s">
        <v>487</v>
      </c>
      <c r="AA126" s="29" t="s">
        <v>20</v>
      </c>
      <c r="AB126" s="29" t="s">
        <v>12</v>
      </c>
      <c r="AC126" s="29">
        <v>25.3</v>
      </c>
      <c r="AD126" s="38"/>
      <c r="AG126" s="39"/>
      <c r="AL126" s="38"/>
      <c r="AO126" s="39"/>
      <c r="AP126" s="38"/>
      <c r="AS126" s="39"/>
      <c r="AW126" s="39"/>
      <c r="BA126" s="40"/>
    </row>
    <row r="127" spans="1:53" s="29" customFormat="1" x14ac:dyDescent="0.15">
      <c r="A127" s="29">
        <v>2017</v>
      </c>
      <c r="B127" s="295"/>
      <c r="C127" s="411" t="s">
        <v>670</v>
      </c>
      <c r="D127" s="411"/>
      <c r="E127" s="29">
        <v>25</v>
      </c>
      <c r="G127" s="66">
        <v>7</v>
      </c>
      <c r="I127" s="29">
        <v>6</v>
      </c>
      <c r="J127" s="73">
        <v>13</v>
      </c>
      <c r="K127" s="47">
        <f t="shared" ref="K127:K128" si="19">G127/$J127*100</f>
        <v>53.846153846153847</v>
      </c>
      <c r="L127" s="47">
        <f t="shared" ref="L127:L128" si="20">H127/$J127*100</f>
        <v>0</v>
      </c>
      <c r="M127" s="47">
        <f t="shared" ref="M127:M128" si="21">I127/$J127*100</f>
        <v>46.153846153846153</v>
      </c>
      <c r="N127" s="68">
        <f t="shared" ref="N127:N128" si="22">K127+L127+M127</f>
        <v>100</v>
      </c>
      <c r="O127" s="46">
        <v>27.3</v>
      </c>
      <c r="P127" s="47"/>
      <c r="Q127" s="47">
        <v>25.3</v>
      </c>
      <c r="R127" s="48">
        <f t="shared" ref="R127" si="23">O127+P127+Q127</f>
        <v>52.6</v>
      </c>
      <c r="S127" s="29">
        <v>2</v>
      </c>
      <c r="T127" s="286"/>
      <c r="U127" s="295"/>
      <c r="V127" s="38" t="s">
        <v>486</v>
      </c>
      <c r="W127" s="29" t="s">
        <v>22</v>
      </c>
      <c r="X127" s="29" t="s">
        <v>11</v>
      </c>
      <c r="Y127" s="39">
        <v>27.3</v>
      </c>
      <c r="Z127" s="29" t="s">
        <v>487</v>
      </c>
      <c r="AA127" s="29" t="s">
        <v>20</v>
      </c>
      <c r="AB127" s="29" t="s">
        <v>12</v>
      </c>
      <c r="AC127" s="29">
        <v>25.3</v>
      </c>
      <c r="AD127" s="38"/>
      <c r="AG127" s="39"/>
      <c r="AL127" s="38"/>
      <c r="AO127" s="39"/>
      <c r="AP127" s="38"/>
      <c r="AS127" s="39"/>
      <c r="AW127" s="39"/>
      <c r="BA127" s="40"/>
    </row>
    <row r="128" spans="1:53" s="29" customFormat="1" x14ac:dyDescent="0.15">
      <c r="A128" s="29">
        <v>2017</v>
      </c>
      <c r="B128" s="303">
        <v>42761</v>
      </c>
      <c r="C128" s="411" t="s">
        <v>670</v>
      </c>
      <c r="D128" s="411"/>
      <c r="E128" s="29">
        <v>273</v>
      </c>
      <c r="F128" s="84">
        <v>0</v>
      </c>
      <c r="G128" s="66">
        <v>6</v>
      </c>
      <c r="I128" s="29">
        <v>6</v>
      </c>
      <c r="J128" s="73">
        <v>12</v>
      </c>
      <c r="K128" s="47">
        <f t="shared" si="19"/>
        <v>50</v>
      </c>
      <c r="L128" s="47">
        <f t="shared" si="20"/>
        <v>0</v>
      </c>
      <c r="M128" s="47">
        <f t="shared" si="21"/>
        <v>50</v>
      </c>
      <c r="N128" s="68">
        <f t="shared" si="22"/>
        <v>100</v>
      </c>
      <c r="O128" s="46">
        <v>27.3</v>
      </c>
      <c r="P128" s="47"/>
      <c r="Q128" s="47">
        <v>25.3</v>
      </c>
      <c r="R128" s="48">
        <f t="shared" ref="R128:R129" si="24">O128+P128+Q128</f>
        <v>52.6</v>
      </c>
      <c r="S128" s="29">
        <v>2</v>
      </c>
      <c r="T128" s="286"/>
      <c r="U128" s="295"/>
      <c r="V128" s="38" t="s">
        <v>486</v>
      </c>
      <c r="W128" s="29" t="s">
        <v>22</v>
      </c>
      <c r="X128" s="29" t="s">
        <v>11</v>
      </c>
      <c r="Y128" s="39">
        <v>27.3</v>
      </c>
      <c r="Z128" s="29" t="s">
        <v>487</v>
      </c>
      <c r="AA128" s="29" t="s">
        <v>20</v>
      </c>
      <c r="AB128" s="29" t="s">
        <v>12</v>
      </c>
      <c r="AC128" s="29">
        <v>25.3</v>
      </c>
      <c r="AD128" s="38"/>
      <c r="AG128" s="39"/>
      <c r="AL128" s="38"/>
      <c r="AO128" s="39"/>
      <c r="AP128" s="38"/>
      <c r="AS128" s="39"/>
      <c r="AW128" s="39"/>
      <c r="BA128" s="40"/>
    </row>
    <row r="129" spans="1:53" s="171" customFormat="1" x14ac:dyDescent="0.15">
      <c r="A129" s="171">
        <v>2017</v>
      </c>
      <c r="B129" s="283">
        <v>43034</v>
      </c>
      <c r="C129" s="410" t="s">
        <v>1378</v>
      </c>
      <c r="D129" s="410"/>
      <c r="E129" s="171">
        <v>67</v>
      </c>
      <c r="F129" s="171">
        <v>1</v>
      </c>
      <c r="G129" s="233">
        <v>6</v>
      </c>
      <c r="H129" s="171">
        <v>10</v>
      </c>
      <c r="J129" s="241">
        <v>16</v>
      </c>
      <c r="K129" s="214">
        <f t="shared" ref="K129" si="25">G129/$J129*100</f>
        <v>37.5</v>
      </c>
      <c r="L129" s="214">
        <f t="shared" ref="L129" si="26">H129/$J129*100</f>
        <v>62.5</v>
      </c>
      <c r="M129" s="214">
        <f t="shared" ref="M129" si="27">I129/$J129*100</f>
        <v>0</v>
      </c>
      <c r="N129" s="235">
        <f t="shared" ref="N129" si="28">K129+L129+M129</f>
        <v>100</v>
      </c>
      <c r="O129" s="213">
        <v>22</v>
      </c>
      <c r="P129" s="214">
        <v>28.7</v>
      </c>
      <c r="Q129" s="214"/>
      <c r="R129" s="215">
        <f t="shared" si="24"/>
        <v>50.7</v>
      </c>
      <c r="S129" s="171">
        <v>2</v>
      </c>
      <c r="T129" s="285">
        <v>42809</v>
      </c>
      <c r="U129" s="283">
        <v>43034</v>
      </c>
      <c r="V129" s="178" t="s">
        <v>486</v>
      </c>
      <c r="W129" s="171" t="s">
        <v>22</v>
      </c>
      <c r="X129" s="171" t="s">
        <v>11</v>
      </c>
      <c r="Y129" s="179">
        <v>22</v>
      </c>
      <c r="Z129" s="171" t="s">
        <v>490</v>
      </c>
      <c r="AA129" s="171" t="s">
        <v>325</v>
      </c>
      <c r="AB129" s="171" t="s">
        <v>18</v>
      </c>
      <c r="AC129" s="171">
        <v>12.7</v>
      </c>
      <c r="AD129" s="178" t="s">
        <v>489</v>
      </c>
      <c r="AE129" s="171" t="s">
        <v>87</v>
      </c>
      <c r="AF129" s="171" t="s">
        <v>18</v>
      </c>
      <c r="AG129" s="179">
        <v>12.7</v>
      </c>
      <c r="AH129" s="171" t="s">
        <v>565</v>
      </c>
      <c r="AI129" s="171" t="s">
        <v>326</v>
      </c>
      <c r="AJ129" s="171" t="s">
        <v>18</v>
      </c>
      <c r="AK129" s="171">
        <v>3.3</v>
      </c>
      <c r="AL129" s="178"/>
      <c r="AO129" s="179"/>
      <c r="AP129" s="178"/>
      <c r="AS129" s="179"/>
      <c r="AW129" s="179"/>
      <c r="BA129" s="180"/>
    </row>
    <row r="130" spans="1:53" s="171" customFormat="1" x14ac:dyDescent="0.15">
      <c r="A130" s="171">
        <v>2018</v>
      </c>
      <c r="B130" s="283"/>
      <c r="C130" s="410" t="s">
        <v>1378</v>
      </c>
      <c r="D130" s="410"/>
      <c r="E130" s="171">
        <v>0</v>
      </c>
      <c r="G130" s="233">
        <v>6</v>
      </c>
      <c r="H130" s="171">
        <v>10</v>
      </c>
      <c r="J130" s="241">
        <v>16</v>
      </c>
      <c r="K130" s="214">
        <f t="shared" ref="K130:K137" si="29">G130/$J130*100</f>
        <v>37.5</v>
      </c>
      <c r="L130" s="214">
        <f t="shared" ref="L130:L137" si="30">H130/$J130*100</f>
        <v>62.5</v>
      </c>
      <c r="M130" s="214">
        <f t="shared" ref="M130:M137" si="31">I130/$J130*100</f>
        <v>0</v>
      </c>
      <c r="N130" s="235">
        <f t="shared" ref="N130:N137" si="32">K130+L130+M130</f>
        <v>100</v>
      </c>
      <c r="O130" s="213">
        <v>22</v>
      </c>
      <c r="P130" s="214">
        <v>28.7</v>
      </c>
      <c r="Q130" s="214"/>
      <c r="R130" s="215">
        <f t="shared" ref="R130:R137" si="33">O130+P130+Q130</f>
        <v>50.7</v>
      </c>
      <c r="S130" s="171">
        <v>2</v>
      </c>
      <c r="T130" s="285"/>
      <c r="U130" s="283"/>
      <c r="V130" s="178" t="s">
        <v>486</v>
      </c>
      <c r="W130" s="171" t="s">
        <v>22</v>
      </c>
      <c r="X130" s="171" t="s">
        <v>11</v>
      </c>
      <c r="Y130" s="179">
        <v>22</v>
      </c>
      <c r="Z130" s="171" t="s">
        <v>490</v>
      </c>
      <c r="AA130" s="171" t="s">
        <v>325</v>
      </c>
      <c r="AB130" s="171" t="s">
        <v>18</v>
      </c>
      <c r="AC130" s="171">
        <v>12.7</v>
      </c>
      <c r="AD130" s="178" t="s">
        <v>489</v>
      </c>
      <c r="AE130" s="171" t="s">
        <v>87</v>
      </c>
      <c r="AF130" s="171" t="s">
        <v>18</v>
      </c>
      <c r="AG130" s="179">
        <v>12.7</v>
      </c>
      <c r="AH130" s="171" t="s">
        <v>565</v>
      </c>
      <c r="AI130" s="171" t="s">
        <v>326</v>
      </c>
      <c r="AJ130" s="171" t="s">
        <v>18</v>
      </c>
      <c r="AK130" s="171">
        <v>3.3</v>
      </c>
      <c r="AL130" s="178"/>
      <c r="AO130" s="179"/>
      <c r="AP130" s="178"/>
      <c r="AS130" s="179"/>
      <c r="AW130" s="179"/>
      <c r="BA130" s="180"/>
    </row>
    <row r="131" spans="1:53" s="171" customFormat="1" x14ac:dyDescent="0.15">
      <c r="A131" s="171">
        <v>2018</v>
      </c>
      <c r="B131" s="283"/>
      <c r="C131" s="410" t="s">
        <v>1378</v>
      </c>
      <c r="D131" s="410"/>
      <c r="E131" s="171">
        <v>365</v>
      </c>
      <c r="G131" s="233">
        <v>6</v>
      </c>
      <c r="H131" s="171">
        <v>10</v>
      </c>
      <c r="J131" s="241">
        <v>16</v>
      </c>
      <c r="K131" s="214">
        <f t="shared" si="29"/>
        <v>37.5</v>
      </c>
      <c r="L131" s="214">
        <f t="shared" si="30"/>
        <v>62.5</v>
      </c>
      <c r="M131" s="214">
        <f t="shared" si="31"/>
        <v>0</v>
      </c>
      <c r="N131" s="235">
        <f t="shared" si="32"/>
        <v>100</v>
      </c>
      <c r="O131" s="213">
        <v>22</v>
      </c>
      <c r="P131" s="214">
        <v>28.7</v>
      </c>
      <c r="Q131" s="214"/>
      <c r="R131" s="215">
        <f t="shared" si="33"/>
        <v>50.7</v>
      </c>
      <c r="S131" s="171">
        <v>2</v>
      </c>
      <c r="T131" s="285"/>
      <c r="U131" s="283"/>
      <c r="V131" s="178" t="s">
        <v>486</v>
      </c>
      <c r="W131" s="171" t="s">
        <v>22</v>
      </c>
      <c r="X131" s="171" t="s">
        <v>11</v>
      </c>
      <c r="Y131" s="179">
        <v>22</v>
      </c>
      <c r="Z131" s="171" t="s">
        <v>490</v>
      </c>
      <c r="AA131" s="347" t="s">
        <v>325</v>
      </c>
      <c r="AB131" s="171" t="s">
        <v>18</v>
      </c>
      <c r="AC131" s="171">
        <v>12.7</v>
      </c>
      <c r="AD131" s="178" t="s">
        <v>489</v>
      </c>
      <c r="AE131" s="171" t="s">
        <v>87</v>
      </c>
      <c r="AF131" s="171" t="s">
        <v>18</v>
      </c>
      <c r="AG131" s="179">
        <v>12.7</v>
      </c>
      <c r="AH131" s="171" t="s">
        <v>565</v>
      </c>
      <c r="AI131" s="171" t="s">
        <v>326</v>
      </c>
      <c r="AJ131" s="171" t="s">
        <v>18</v>
      </c>
      <c r="AK131" s="171">
        <v>3.3</v>
      </c>
      <c r="AL131" s="178"/>
      <c r="AO131" s="179"/>
      <c r="AP131" s="178"/>
      <c r="AS131" s="179"/>
      <c r="AW131" s="179"/>
      <c r="BA131" s="180"/>
    </row>
    <row r="132" spans="1:53" s="171" customFormat="1" x14ac:dyDescent="0.15">
      <c r="A132" s="171">
        <v>2019</v>
      </c>
      <c r="B132" s="283"/>
      <c r="C132" s="410" t="s">
        <v>1378</v>
      </c>
      <c r="D132" s="410"/>
      <c r="E132" s="171">
        <v>304</v>
      </c>
      <c r="G132" s="233">
        <v>6</v>
      </c>
      <c r="H132" s="171">
        <v>10</v>
      </c>
      <c r="J132" s="241">
        <v>16</v>
      </c>
      <c r="K132" s="214">
        <f t="shared" si="29"/>
        <v>37.5</v>
      </c>
      <c r="L132" s="214">
        <f t="shared" si="30"/>
        <v>62.5</v>
      </c>
      <c r="M132" s="214">
        <f t="shared" si="31"/>
        <v>0</v>
      </c>
      <c r="N132" s="235">
        <f t="shared" si="32"/>
        <v>100</v>
      </c>
      <c r="O132" s="213">
        <v>22</v>
      </c>
      <c r="P132" s="214">
        <v>28.7</v>
      </c>
      <c r="Q132" s="214"/>
      <c r="R132" s="215">
        <f t="shared" si="33"/>
        <v>50.7</v>
      </c>
      <c r="S132" s="171">
        <v>2</v>
      </c>
      <c r="T132" s="285"/>
      <c r="U132" s="283"/>
      <c r="V132" s="178" t="s">
        <v>486</v>
      </c>
      <c r="W132" s="171" t="s">
        <v>22</v>
      </c>
      <c r="X132" s="171" t="s">
        <v>11</v>
      </c>
      <c r="Y132" s="179">
        <v>22</v>
      </c>
      <c r="Z132" s="171" t="s">
        <v>490</v>
      </c>
      <c r="AA132" s="171" t="s">
        <v>325</v>
      </c>
      <c r="AB132" s="171" t="s">
        <v>18</v>
      </c>
      <c r="AC132" s="171">
        <v>12.7</v>
      </c>
      <c r="AD132" s="178" t="s">
        <v>489</v>
      </c>
      <c r="AE132" s="171" t="s">
        <v>87</v>
      </c>
      <c r="AF132" s="171" t="s">
        <v>18</v>
      </c>
      <c r="AG132" s="179">
        <v>12.7</v>
      </c>
      <c r="AH132" s="171" t="s">
        <v>565</v>
      </c>
      <c r="AI132" s="171" t="s">
        <v>326</v>
      </c>
      <c r="AJ132" s="171" t="s">
        <v>18</v>
      </c>
      <c r="AK132" s="171">
        <v>3.3</v>
      </c>
      <c r="AL132" s="178"/>
      <c r="AO132" s="179"/>
      <c r="AP132" s="178"/>
      <c r="AS132" s="179"/>
      <c r="AW132" s="179"/>
      <c r="BA132" s="180"/>
    </row>
    <row r="133" spans="1:53" s="171" customFormat="1" x14ac:dyDescent="0.15">
      <c r="A133" s="171">
        <v>2019</v>
      </c>
      <c r="B133" s="305">
        <v>43770</v>
      </c>
      <c r="C133" s="410" t="s">
        <v>1378</v>
      </c>
      <c r="D133" s="410"/>
      <c r="E133" s="171">
        <v>61</v>
      </c>
      <c r="F133" s="244">
        <v>0</v>
      </c>
      <c r="G133" s="233">
        <v>6</v>
      </c>
      <c r="H133" s="171">
        <v>11</v>
      </c>
      <c r="J133" s="241">
        <v>17</v>
      </c>
      <c r="K133" s="214">
        <f t="shared" si="29"/>
        <v>35.294117647058826</v>
      </c>
      <c r="L133" s="214">
        <f t="shared" si="30"/>
        <v>64.705882352941174</v>
      </c>
      <c r="M133" s="214">
        <f t="shared" si="31"/>
        <v>0</v>
      </c>
      <c r="N133" s="235">
        <f t="shared" si="32"/>
        <v>100</v>
      </c>
      <c r="O133" s="213">
        <v>22</v>
      </c>
      <c r="P133" s="214">
        <v>28.7</v>
      </c>
      <c r="Q133" s="214"/>
      <c r="R133" s="215">
        <f t="shared" si="33"/>
        <v>50.7</v>
      </c>
      <c r="S133" s="171">
        <v>2</v>
      </c>
      <c r="T133" s="285"/>
      <c r="U133" s="283"/>
      <c r="V133" s="178" t="s">
        <v>486</v>
      </c>
      <c r="W133" s="171" t="s">
        <v>22</v>
      </c>
      <c r="X133" s="171" t="s">
        <v>11</v>
      </c>
      <c r="Y133" s="179">
        <v>22</v>
      </c>
      <c r="Z133" s="171" t="s">
        <v>490</v>
      </c>
      <c r="AA133" s="171" t="s">
        <v>325</v>
      </c>
      <c r="AB133" s="171" t="s">
        <v>18</v>
      </c>
      <c r="AC133" s="171">
        <v>12.7</v>
      </c>
      <c r="AD133" s="178" t="s">
        <v>489</v>
      </c>
      <c r="AE133" s="171" t="s">
        <v>87</v>
      </c>
      <c r="AF133" s="171" t="s">
        <v>18</v>
      </c>
      <c r="AG133" s="179">
        <v>12.7</v>
      </c>
      <c r="AH133" s="171" t="s">
        <v>565</v>
      </c>
      <c r="AI133" s="171" t="s">
        <v>326</v>
      </c>
      <c r="AJ133" s="171" t="s">
        <v>18</v>
      </c>
      <c r="AK133" s="171">
        <v>3.3</v>
      </c>
      <c r="AL133" s="178"/>
      <c r="AO133" s="179"/>
      <c r="AP133" s="178"/>
      <c r="AS133" s="179"/>
      <c r="AW133" s="179"/>
      <c r="BA133" s="180"/>
    </row>
    <row r="134" spans="1:53" s="171" customFormat="1" x14ac:dyDescent="0.15">
      <c r="A134" s="171">
        <v>2020</v>
      </c>
      <c r="B134" s="305"/>
      <c r="C134" s="410" t="s">
        <v>1378</v>
      </c>
      <c r="D134" s="410"/>
      <c r="E134" s="171">
        <v>78</v>
      </c>
      <c r="F134" s="244"/>
      <c r="G134" s="233">
        <v>6</v>
      </c>
      <c r="H134" s="171">
        <v>11</v>
      </c>
      <c r="J134" s="241">
        <v>17</v>
      </c>
      <c r="K134" s="214">
        <f t="shared" si="29"/>
        <v>35.294117647058826</v>
      </c>
      <c r="L134" s="214">
        <f t="shared" si="30"/>
        <v>64.705882352941174</v>
      </c>
      <c r="M134" s="214">
        <f t="shared" si="31"/>
        <v>0</v>
      </c>
      <c r="N134" s="235">
        <f t="shared" si="32"/>
        <v>100</v>
      </c>
      <c r="O134" s="213">
        <v>22</v>
      </c>
      <c r="P134" s="214">
        <v>28.7</v>
      </c>
      <c r="Q134" s="214"/>
      <c r="R134" s="215">
        <f t="shared" si="33"/>
        <v>50.7</v>
      </c>
      <c r="S134" s="171">
        <v>2</v>
      </c>
      <c r="T134" s="285"/>
      <c r="U134" s="283"/>
      <c r="V134" s="178" t="s">
        <v>486</v>
      </c>
      <c r="W134" s="171" t="s">
        <v>22</v>
      </c>
      <c r="X134" s="171" t="s">
        <v>11</v>
      </c>
      <c r="Y134" s="179">
        <v>22</v>
      </c>
      <c r="Z134" s="171" t="s">
        <v>490</v>
      </c>
      <c r="AA134" s="171" t="s">
        <v>325</v>
      </c>
      <c r="AB134" s="171" t="s">
        <v>18</v>
      </c>
      <c r="AC134" s="171">
        <v>12.7</v>
      </c>
      <c r="AD134" s="178" t="s">
        <v>489</v>
      </c>
      <c r="AE134" s="171" t="s">
        <v>87</v>
      </c>
      <c r="AF134" s="171" t="s">
        <v>18</v>
      </c>
      <c r="AG134" s="179">
        <v>12.7</v>
      </c>
      <c r="AH134" s="171" t="s">
        <v>565</v>
      </c>
      <c r="AI134" s="171" t="s">
        <v>326</v>
      </c>
      <c r="AJ134" s="171" t="s">
        <v>18</v>
      </c>
      <c r="AK134" s="171">
        <v>3.3</v>
      </c>
      <c r="AL134" s="178"/>
      <c r="AO134" s="179"/>
      <c r="AP134" s="178"/>
      <c r="AS134" s="179"/>
      <c r="AW134" s="179"/>
      <c r="BA134" s="180"/>
    </row>
    <row r="135" spans="1:53" s="171" customFormat="1" x14ac:dyDescent="0.15">
      <c r="A135" s="171">
        <v>2020</v>
      </c>
      <c r="B135" s="305">
        <v>43909</v>
      </c>
      <c r="C135" s="410" t="s">
        <v>1378</v>
      </c>
      <c r="D135" s="410"/>
      <c r="E135" s="171">
        <v>26</v>
      </c>
      <c r="F135" s="244">
        <v>0</v>
      </c>
      <c r="G135" s="233">
        <v>5</v>
      </c>
      <c r="H135" s="171">
        <v>11</v>
      </c>
      <c r="J135" s="241">
        <v>17</v>
      </c>
      <c r="K135" s="214">
        <f t="shared" si="29"/>
        <v>29.411764705882355</v>
      </c>
      <c r="L135" s="214">
        <f t="shared" si="30"/>
        <v>64.705882352941174</v>
      </c>
      <c r="M135" s="214">
        <f t="shared" si="31"/>
        <v>0</v>
      </c>
      <c r="N135" s="235">
        <f t="shared" si="32"/>
        <v>94.117647058823536</v>
      </c>
      <c r="O135" s="213">
        <v>22</v>
      </c>
      <c r="P135" s="214">
        <v>28.7</v>
      </c>
      <c r="Q135" s="214"/>
      <c r="R135" s="215">
        <f t="shared" si="33"/>
        <v>50.7</v>
      </c>
      <c r="S135" s="171">
        <v>2</v>
      </c>
      <c r="T135" s="285"/>
      <c r="U135" s="283"/>
      <c r="V135" s="178" t="s">
        <v>486</v>
      </c>
      <c r="W135" s="171" t="s">
        <v>22</v>
      </c>
      <c r="X135" s="171" t="s">
        <v>11</v>
      </c>
      <c r="Y135" s="179">
        <v>22</v>
      </c>
      <c r="Z135" s="171" t="s">
        <v>490</v>
      </c>
      <c r="AA135" s="171" t="s">
        <v>325</v>
      </c>
      <c r="AB135" s="171" t="s">
        <v>18</v>
      </c>
      <c r="AC135" s="171">
        <v>12.7</v>
      </c>
      <c r="AD135" s="178" t="s">
        <v>489</v>
      </c>
      <c r="AE135" s="171" t="s">
        <v>87</v>
      </c>
      <c r="AF135" s="171" t="s">
        <v>18</v>
      </c>
      <c r="AG135" s="179">
        <v>12.7</v>
      </c>
      <c r="AH135" s="171" t="s">
        <v>565</v>
      </c>
      <c r="AI135" s="171" t="s">
        <v>326</v>
      </c>
      <c r="AJ135" s="171" t="s">
        <v>18</v>
      </c>
      <c r="AK135" s="171">
        <v>3.3</v>
      </c>
      <c r="AL135" s="178"/>
      <c r="AO135" s="179"/>
      <c r="AS135" s="179"/>
      <c r="AW135" s="179"/>
      <c r="BA135" s="180"/>
    </row>
    <row r="136" spans="1:53" s="171" customFormat="1" x14ac:dyDescent="0.15">
      <c r="A136" s="171">
        <v>2020</v>
      </c>
      <c r="B136" s="305">
        <v>43935</v>
      </c>
      <c r="C136" s="410" t="s">
        <v>1378</v>
      </c>
      <c r="D136" s="410"/>
      <c r="E136" s="171">
        <v>86</v>
      </c>
      <c r="F136" s="244">
        <v>0</v>
      </c>
      <c r="G136" s="233">
        <v>5</v>
      </c>
      <c r="H136" s="171">
        <v>10</v>
      </c>
      <c r="J136" s="241">
        <v>16</v>
      </c>
      <c r="K136" s="214">
        <f t="shared" si="29"/>
        <v>31.25</v>
      </c>
      <c r="L136" s="214">
        <f t="shared" si="30"/>
        <v>62.5</v>
      </c>
      <c r="M136" s="214">
        <f t="shared" si="31"/>
        <v>0</v>
      </c>
      <c r="N136" s="215">
        <f t="shared" si="32"/>
        <v>93.75</v>
      </c>
      <c r="O136" s="214">
        <v>22</v>
      </c>
      <c r="P136" s="214">
        <v>28.7</v>
      </c>
      <c r="Q136" s="214"/>
      <c r="R136" s="215">
        <f t="shared" si="33"/>
        <v>50.7</v>
      </c>
      <c r="S136" s="171">
        <v>2</v>
      </c>
      <c r="T136" s="285"/>
      <c r="U136" s="298"/>
      <c r="V136" s="171" t="s">
        <v>486</v>
      </c>
      <c r="W136" s="171" t="s">
        <v>22</v>
      </c>
      <c r="X136" s="171" t="s">
        <v>11</v>
      </c>
      <c r="Y136" s="179">
        <v>22</v>
      </c>
      <c r="Z136" s="171" t="s">
        <v>490</v>
      </c>
      <c r="AA136" s="171" t="s">
        <v>325</v>
      </c>
      <c r="AB136" s="171" t="s">
        <v>18</v>
      </c>
      <c r="AC136" s="179">
        <v>12.7</v>
      </c>
      <c r="AD136" s="171" t="s">
        <v>489</v>
      </c>
      <c r="AE136" s="171" t="s">
        <v>87</v>
      </c>
      <c r="AF136" s="171" t="s">
        <v>18</v>
      </c>
      <c r="AG136" s="179">
        <v>12.7</v>
      </c>
      <c r="AH136" s="171" t="s">
        <v>565</v>
      </c>
      <c r="AI136" s="171" t="s">
        <v>326</v>
      </c>
      <c r="AJ136" s="171" t="s">
        <v>18</v>
      </c>
      <c r="AK136" s="179">
        <v>3.3</v>
      </c>
      <c r="AO136" s="179"/>
      <c r="AS136" s="179"/>
      <c r="AW136" s="179"/>
      <c r="BA136" s="180"/>
    </row>
    <row r="137" spans="1:53" s="171" customFormat="1" x14ac:dyDescent="0.15">
      <c r="A137" s="171">
        <v>2020</v>
      </c>
      <c r="B137" s="305">
        <v>44021</v>
      </c>
      <c r="C137" s="410" t="s">
        <v>1378</v>
      </c>
      <c r="D137" s="410"/>
      <c r="E137" s="171">
        <v>176</v>
      </c>
      <c r="F137" s="247">
        <v>0</v>
      </c>
      <c r="G137" s="171">
        <v>6</v>
      </c>
      <c r="H137" s="171">
        <v>10</v>
      </c>
      <c r="J137" s="241">
        <v>16</v>
      </c>
      <c r="K137" s="214">
        <f t="shared" si="29"/>
        <v>37.5</v>
      </c>
      <c r="L137" s="214">
        <f t="shared" si="30"/>
        <v>62.5</v>
      </c>
      <c r="M137" s="214">
        <f t="shared" si="31"/>
        <v>0</v>
      </c>
      <c r="N137" s="215">
        <f t="shared" si="32"/>
        <v>100</v>
      </c>
      <c r="O137" s="214">
        <v>22</v>
      </c>
      <c r="P137" s="214">
        <v>28.7</v>
      </c>
      <c r="Q137" s="214"/>
      <c r="R137" s="215">
        <f t="shared" si="33"/>
        <v>50.7</v>
      </c>
      <c r="S137" s="190">
        <v>2</v>
      </c>
      <c r="T137" s="285"/>
      <c r="U137" s="298"/>
      <c r="V137" s="171" t="s">
        <v>486</v>
      </c>
      <c r="W137" s="171" t="s">
        <v>22</v>
      </c>
      <c r="X137" s="171" t="s">
        <v>11</v>
      </c>
      <c r="Y137" s="179">
        <v>22</v>
      </c>
      <c r="Z137" s="171" t="s">
        <v>490</v>
      </c>
      <c r="AA137" s="171" t="s">
        <v>325</v>
      </c>
      <c r="AB137" s="171" t="s">
        <v>18</v>
      </c>
      <c r="AC137" s="179">
        <v>12.7</v>
      </c>
      <c r="AD137" s="171" t="s">
        <v>489</v>
      </c>
      <c r="AE137" s="171" t="s">
        <v>87</v>
      </c>
      <c r="AF137" s="171" t="s">
        <v>18</v>
      </c>
      <c r="AG137" s="350" t="s">
        <v>1473</v>
      </c>
      <c r="AH137" s="171" t="s">
        <v>565</v>
      </c>
      <c r="AI137" s="171" t="s">
        <v>326</v>
      </c>
      <c r="AJ137" s="171" t="s">
        <v>18</v>
      </c>
      <c r="AK137" s="179">
        <v>3.3</v>
      </c>
      <c r="AO137" s="179"/>
      <c r="AS137" s="179"/>
      <c r="AW137" s="179"/>
      <c r="BA137" s="180"/>
    </row>
    <row r="138" spans="1:53" x14ac:dyDescent="0.15">
      <c r="AB138" s="29"/>
      <c r="AO138" s="17"/>
    </row>
    <row r="140" spans="1:53" ht="18" customHeight="1" x14ac:dyDescent="0.15">
      <c r="B140" s="16" t="s">
        <v>1264</v>
      </c>
      <c r="H140" s="4"/>
    </row>
    <row r="141" spans="1:53" ht="9" customHeight="1" x14ac:dyDescent="0.15">
      <c r="H141" s="4"/>
    </row>
    <row r="142" spans="1:53" s="195" customFormat="1" ht="9" customHeight="1" x14ac:dyDescent="0.15">
      <c r="A142" s="193"/>
      <c r="B142" s="194" t="s">
        <v>1215</v>
      </c>
      <c r="C142" s="194"/>
      <c r="D142" s="194"/>
      <c r="E142" s="194"/>
      <c r="F142" s="194"/>
      <c r="G142" s="194" t="s">
        <v>1216</v>
      </c>
      <c r="H142" s="194"/>
      <c r="I142" s="194"/>
      <c r="J142" s="194"/>
      <c r="K142" s="194"/>
      <c r="L142" s="194"/>
      <c r="M142" s="194"/>
      <c r="N142" s="194"/>
      <c r="R142" s="388" t="s">
        <v>1217</v>
      </c>
      <c r="S142" s="388"/>
      <c r="T142" s="388"/>
      <c r="U142" s="388"/>
      <c r="V142" s="388"/>
      <c r="W142" s="388"/>
      <c r="X142" s="196"/>
      <c r="Y142" s="196"/>
      <c r="AA142" s="196"/>
      <c r="AB142" s="196"/>
      <c r="AC142" s="196"/>
      <c r="AD142" s="196"/>
    </row>
    <row r="143" spans="1:53" s="200" customFormat="1" ht="9" customHeight="1" x14ac:dyDescent="0.15">
      <c r="A143" s="197"/>
      <c r="B143" s="198" t="s">
        <v>1219</v>
      </c>
      <c r="C143" s="199"/>
      <c r="D143" s="199"/>
      <c r="E143" s="199"/>
      <c r="F143" s="199"/>
      <c r="G143" s="198" t="s">
        <v>1218</v>
      </c>
      <c r="H143" s="199"/>
      <c r="I143" s="199"/>
      <c r="J143" s="199"/>
      <c r="K143" s="199"/>
      <c r="L143" s="199"/>
      <c r="M143" s="199"/>
      <c r="N143" s="199"/>
      <c r="R143" s="201" t="s">
        <v>1220</v>
      </c>
      <c r="S143" s="202"/>
      <c r="T143" s="203"/>
      <c r="U143" s="203"/>
      <c r="V143" s="203"/>
      <c r="W143" s="201" t="s">
        <v>1221</v>
      </c>
      <c r="X143" s="203"/>
      <c r="Y143" s="203"/>
      <c r="AA143" s="203"/>
      <c r="AB143" s="203"/>
      <c r="AC143" s="203"/>
      <c r="AD143" s="203"/>
    </row>
    <row r="144" spans="1:53" s="186" customFormat="1" ht="12" customHeight="1" x14ac:dyDescent="0.15">
      <c r="A144" s="204" t="s">
        <v>3</v>
      </c>
      <c r="B144" s="205" t="s">
        <v>8</v>
      </c>
      <c r="C144" s="205" t="s">
        <v>9</v>
      </c>
      <c r="D144" s="205" t="s">
        <v>10</v>
      </c>
      <c r="E144" s="206" t="s">
        <v>1195</v>
      </c>
      <c r="F144" s="205"/>
      <c r="G144" s="186" t="s">
        <v>3</v>
      </c>
      <c r="H144" s="389" t="s">
        <v>0</v>
      </c>
      <c r="I144" s="389"/>
      <c r="J144" s="389" t="s">
        <v>1</v>
      </c>
      <c r="K144" s="389"/>
      <c r="L144" s="389" t="s">
        <v>2</v>
      </c>
      <c r="M144" s="389"/>
      <c r="N144" s="390" t="s">
        <v>1195</v>
      </c>
      <c r="O144" s="390"/>
      <c r="P144" s="207"/>
      <c r="Q144" s="207"/>
      <c r="R144" s="208" t="s">
        <v>3</v>
      </c>
      <c r="S144" s="209" t="s">
        <v>135</v>
      </c>
      <c r="T144" s="207" t="s">
        <v>133</v>
      </c>
      <c r="U144" s="205" t="s">
        <v>134</v>
      </c>
      <c r="V144" s="207"/>
      <c r="W144" s="210" t="s">
        <v>26</v>
      </c>
    </row>
    <row r="145" spans="1:23" s="140" customFormat="1" x14ac:dyDescent="0.15">
      <c r="A145" s="140">
        <v>1959</v>
      </c>
      <c r="B145" s="143">
        <f>(K6*($E6/365)) + (K7*($E7/365))</f>
        <v>40.028703898840888</v>
      </c>
      <c r="C145" s="143">
        <f>(L6*($E6/365)) + (L7*($E7/365))</f>
        <v>41.06718651211802</v>
      </c>
      <c r="D145" s="143">
        <f>(M6*($E6/365)) + (M7*($E7/365))</f>
        <v>0</v>
      </c>
      <c r="E145" s="144">
        <f>B145+C145+D145</f>
        <v>81.095890410958901</v>
      </c>
      <c r="G145" s="140">
        <v>1959</v>
      </c>
      <c r="H145" s="417">
        <f>(O6/$R6*100*($E6/365))+(O7/$R7*100*($E7/365))</f>
        <v>47.846889952153113</v>
      </c>
      <c r="I145" s="417"/>
      <c r="J145" s="417">
        <f>(P6/$R6*100*($E6/365))+(P7/$R7*100*($E7/365))</f>
        <v>52.153110047846894</v>
      </c>
      <c r="K145" s="417"/>
      <c r="L145" s="417">
        <f>(Q6/$R6*100*($E6/365))+(Q7/$R7*100*($E7/365))</f>
        <v>0</v>
      </c>
      <c r="M145" s="417"/>
      <c r="N145" s="412">
        <f>H145+J145+L145</f>
        <v>100</v>
      </c>
      <c r="O145" s="412"/>
      <c r="R145" s="140">
        <v>1959</v>
      </c>
      <c r="S145" s="143">
        <f>(O6*($E6/365)) + (O7*($E7/365))</f>
        <v>30</v>
      </c>
      <c r="T145" s="143">
        <f>(P6*($E6/365)) + (P7*($E7/365))</f>
        <v>32.700000000000003</v>
      </c>
      <c r="U145" s="143">
        <f>(Q6*($E6/365)) + (Q7*($E7/365))</f>
        <v>0</v>
      </c>
      <c r="V145" s="143"/>
      <c r="W145" s="143">
        <f>S145+T145+U145</f>
        <v>62.7</v>
      </c>
    </row>
    <row r="146" spans="1:23" x14ac:dyDescent="0.15">
      <c r="A146" s="1">
        <v>1960</v>
      </c>
      <c r="B146" s="5">
        <f>(K8*($E8/366))+(K9*($E9/366))</f>
        <v>53.846153846153847</v>
      </c>
      <c r="C146" s="5">
        <f>(L8*($E8/366))+(L9*($E9/366))</f>
        <v>46.153846153846153</v>
      </c>
      <c r="D146" s="5">
        <f>(M8*($E8/366))+(M9*($E9/366))</f>
        <v>0</v>
      </c>
      <c r="E146" s="18">
        <f>B146+C146+D146</f>
        <v>100</v>
      </c>
      <c r="G146" s="1">
        <v>1960</v>
      </c>
      <c r="H146" s="409">
        <f>(O8/$R8*100*($E8/366))+(O9/$R9*100*($E9/366))</f>
        <v>47.846889952153113</v>
      </c>
      <c r="I146" s="409"/>
      <c r="J146" s="409">
        <f>(P8/$R8*100*($E8/366))+(P9/$R9*100*($E9/366))</f>
        <v>52.153110047846894</v>
      </c>
      <c r="K146" s="409"/>
      <c r="L146" s="409">
        <f>(Q8/$R8*100*($E8/366))+(Q9/$R9*100*($E9/366))</f>
        <v>0</v>
      </c>
      <c r="M146" s="409"/>
      <c r="N146" s="379">
        <f>H146+J146+L146</f>
        <v>100</v>
      </c>
      <c r="O146" s="379"/>
      <c r="R146" s="1">
        <v>1960</v>
      </c>
      <c r="S146" s="5">
        <f>(O8*($E8/366))+(O9*($E9/366))</f>
        <v>30</v>
      </c>
      <c r="T146" s="5">
        <f>(P8*($E8/366))+(P9*($E9/366))</f>
        <v>32.700000000000003</v>
      </c>
      <c r="U146" s="5">
        <f>(Q8*($E8/366))+(Q9*($E9/366))</f>
        <v>0</v>
      </c>
      <c r="V146" s="5"/>
      <c r="W146" s="5">
        <f>S146+T146+U146</f>
        <v>62.7</v>
      </c>
    </row>
    <row r="147" spans="1:23" x14ac:dyDescent="0.15">
      <c r="A147" s="1">
        <v>1961</v>
      </c>
      <c r="B147" s="5">
        <f>(K10*($E10/365))+(K11*($E11/365))</f>
        <v>53.846153846153847</v>
      </c>
      <c r="C147" s="5">
        <f>(L10*($E10/365))+(L11*($E11/365))</f>
        <v>46.153846153846153</v>
      </c>
      <c r="D147" s="5">
        <f>(M10*($E10/365))+(M11*($E11/365))</f>
        <v>0</v>
      </c>
      <c r="E147" s="18">
        <f t="shared" ref="E147:E199" si="34">B147+C147+D147</f>
        <v>100</v>
      </c>
      <c r="G147" s="1">
        <v>1961</v>
      </c>
      <c r="H147" s="409">
        <f>(O10/$R10*100*($E10/365))+(O11/$R11*100*($E11/365))</f>
        <v>47.846889952153113</v>
      </c>
      <c r="I147" s="409"/>
      <c r="J147" s="409">
        <f>(P10/$R10*100*($E10/365))+(P11/$R11*100*($E11/365))</f>
        <v>52.153110047846894</v>
      </c>
      <c r="K147" s="409"/>
      <c r="L147" s="409">
        <f>(Q10/$R10*100*($E10/365))+(Q11/$R11*100*($E11/365))</f>
        <v>0</v>
      </c>
      <c r="M147" s="409"/>
      <c r="N147" s="379">
        <f>H147+J147+L147</f>
        <v>100</v>
      </c>
      <c r="O147" s="379"/>
      <c r="R147" s="1">
        <v>1961</v>
      </c>
      <c r="S147" s="5">
        <f>(O10*($E10/365))+(O11*($E11/365))</f>
        <v>30</v>
      </c>
      <c r="T147" s="5">
        <f>(P10*($E10/365))+(P11*($E11/365))</f>
        <v>32.700000000000003</v>
      </c>
      <c r="U147" s="5">
        <f>(Q10*($E10/365))+(Q11*($E11/365))</f>
        <v>0</v>
      </c>
      <c r="V147" s="5"/>
      <c r="W147" s="5">
        <f t="shared" ref="W147:W199" si="35">S147+T147+U147</f>
        <v>62.7</v>
      </c>
    </row>
    <row r="148" spans="1:23" x14ac:dyDescent="0.15">
      <c r="A148" s="1">
        <v>1962</v>
      </c>
      <c r="B148" s="5">
        <f>(K12*($E12/365))+(K13*($E13/365))</f>
        <v>53.846153846153847</v>
      </c>
      <c r="C148" s="5">
        <f>(L12*($E12/365))+(L13*($E13/365))</f>
        <v>46.153846153846153</v>
      </c>
      <c r="D148" s="5">
        <f>(M12*($E12/365))+(M13*($E13/365))</f>
        <v>0</v>
      </c>
      <c r="E148" s="18">
        <f t="shared" si="34"/>
        <v>100</v>
      </c>
      <c r="G148" s="1">
        <v>1962</v>
      </c>
      <c r="H148" s="409">
        <f>(O12/$R12*100*($E12/365))+(O13/$R13*100*($E13/365))</f>
        <v>47.846889952153113</v>
      </c>
      <c r="I148" s="409"/>
      <c r="J148" s="409">
        <f>(P12/$R12*100*($E12/365))+(P13/$R13*100*($E13/365))</f>
        <v>52.153110047846894</v>
      </c>
      <c r="K148" s="409"/>
      <c r="L148" s="409">
        <f>(Q12/$R12*100*($E12/365))+(Q13/$R13*100*($E13/365))</f>
        <v>0</v>
      </c>
      <c r="M148" s="409"/>
      <c r="N148" s="379">
        <f t="shared" ref="N148:N198" si="36">H148+J148+L148</f>
        <v>100</v>
      </c>
      <c r="O148" s="379"/>
      <c r="R148" s="1">
        <v>1962</v>
      </c>
      <c r="S148" s="5">
        <f>(O12*($E12/365))+(O13*($E13/365))</f>
        <v>30</v>
      </c>
      <c r="T148" s="5">
        <f>(P12*($E12/365))+(P13*($E13/365))</f>
        <v>32.700000000000003</v>
      </c>
      <c r="U148" s="5">
        <f>(Q12*($E12/365))+(Q13*($E13/365))</f>
        <v>0</v>
      </c>
      <c r="V148" s="5"/>
      <c r="W148" s="5">
        <f t="shared" si="35"/>
        <v>62.7</v>
      </c>
    </row>
    <row r="149" spans="1:23" x14ac:dyDescent="0.15">
      <c r="A149" s="1">
        <v>1963</v>
      </c>
      <c r="B149" s="5">
        <f>(K14*($E14/365))+(K15*($E15/365))</f>
        <v>53.846153846153854</v>
      </c>
      <c r="C149" s="5">
        <f>(L14*($E14/365))+(L15*($E15/365))</f>
        <v>46.15384615384616</v>
      </c>
      <c r="D149" s="5">
        <f>(M14*($E14/365))+(M15*($E15/365))</f>
        <v>0</v>
      </c>
      <c r="E149" s="18">
        <f t="shared" si="34"/>
        <v>100.00000000000001</v>
      </c>
      <c r="G149" s="1">
        <v>1963</v>
      </c>
      <c r="H149" s="409">
        <f>(O14/$R14*100*($E14/365))+(O15/$R15*100*($E15/365))</f>
        <v>46.928785185163051</v>
      </c>
      <c r="I149" s="409"/>
      <c r="J149" s="409">
        <f>(P14/$R14*100*($E14/365))+(P15/$R15*100*($E15/365))</f>
        <v>53.071214814836964</v>
      </c>
      <c r="K149" s="409"/>
      <c r="L149" s="409">
        <f>(Q14/$R14*100*($E14/365))+(Q15/$R15*100*($E15/365))</f>
        <v>0</v>
      </c>
      <c r="M149" s="409"/>
      <c r="N149" s="379">
        <f t="shared" si="36"/>
        <v>100.00000000000001</v>
      </c>
      <c r="O149" s="379"/>
      <c r="R149" s="1">
        <v>1963</v>
      </c>
      <c r="S149" s="5">
        <f>(O14*($E14/365))+(O15*($E15/365))</f>
        <v>29.161917808219179</v>
      </c>
      <c r="T149" s="5">
        <f>(P14*($E14/365))+(P15*($E15/365))</f>
        <v>32.964657534246577</v>
      </c>
      <c r="U149" s="5">
        <f>(Q14*($E14/365))+(Q15*($E15/365))</f>
        <v>0</v>
      </c>
      <c r="V149" s="5"/>
      <c r="W149" s="5">
        <f t="shared" si="35"/>
        <v>62.126575342465756</v>
      </c>
    </row>
    <row r="150" spans="1:23" x14ac:dyDescent="0.15">
      <c r="A150" s="1">
        <v>1964</v>
      </c>
      <c r="B150" s="5">
        <f>(K16*($E16/366))+(K17*($E17/366))</f>
        <v>53.846153846153847</v>
      </c>
      <c r="C150" s="5">
        <f>(L16*($E16/366))+(L17*($E17/366))</f>
        <v>46.153846153846153</v>
      </c>
      <c r="D150" s="5">
        <f>(M16*($E16/366))+(M17*($E17/366))</f>
        <v>0</v>
      </c>
      <c r="E150" s="18">
        <f t="shared" si="34"/>
        <v>100</v>
      </c>
      <c r="G150" s="1">
        <v>1964</v>
      </c>
      <c r="H150" s="409">
        <f>(O16/$R16*100*($E16/366))+(O17/$R17*100*($E17/366))</f>
        <v>45.765472312703587</v>
      </c>
      <c r="I150" s="409"/>
      <c r="J150" s="409">
        <f>(P16/$R16*100*($E16/366))+(P17/$R17*100*($E17/366))</f>
        <v>54.234527687296421</v>
      </c>
      <c r="K150" s="409"/>
      <c r="L150" s="409">
        <f>(Q16/$R16*100*($E16/366))+(Q17/$R17*100*($E17/366))</f>
        <v>0</v>
      </c>
      <c r="M150" s="409"/>
      <c r="N150" s="379">
        <f t="shared" si="36"/>
        <v>100</v>
      </c>
      <c r="O150" s="379"/>
      <c r="R150" s="1">
        <v>1964</v>
      </c>
      <c r="S150" s="5">
        <f>(O16*($E16/366))+(O17*($E17/366))</f>
        <v>28.099999999999998</v>
      </c>
      <c r="T150" s="5">
        <f>(P16*($E16/366))+(P17*($E17/366))</f>
        <v>33.299999999999997</v>
      </c>
      <c r="U150" s="5">
        <f>(Q16*($E16/366))+(Q17*($E17/366))</f>
        <v>0</v>
      </c>
      <c r="V150" s="5"/>
      <c r="W150" s="5">
        <f t="shared" si="35"/>
        <v>61.399999999999991</v>
      </c>
    </row>
    <row r="151" spans="1:23" x14ac:dyDescent="0.15">
      <c r="A151" s="1">
        <v>1965</v>
      </c>
      <c r="B151" s="5">
        <f>(K18*($E18/365))+(K19*($E19/365))</f>
        <v>26.858347132319736</v>
      </c>
      <c r="C151" s="5">
        <f>(L18*($E18/365))+(L19*($E19/365))</f>
        <v>43.904862261026643</v>
      </c>
      <c r="D151" s="5">
        <f>(M18*($E18/365))+(M19*($E19/365))</f>
        <v>24.363992172211351</v>
      </c>
      <c r="E151" s="18">
        <f t="shared" si="34"/>
        <v>95.127201565557741</v>
      </c>
      <c r="G151" s="1">
        <v>1965</v>
      </c>
      <c r="H151" s="409">
        <f>(O18/$R18*100*($E18/365))+(O19/$R19*100*($E19/365))</f>
        <v>22.939365310919946</v>
      </c>
      <c r="I151" s="409"/>
      <c r="J151" s="409">
        <f>(P18/$R18*100*($E18/365))+(P19/$R19*100*($E19/365))</f>
        <v>49.367701012150718</v>
      </c>
      <c r="K151" s="409"/>
      <c r="L151" s="409">
        <f>(Q18/$R18*100*($E18/365))+(Q19/$R19*100*($E19/365))</f>
        <v>27.692933676929332</v>
      </c>
      <c r="M151" s="409"/>
      <c r="N151" s="379">
        <f t="shared" si="36"/>
        <v>100</v>
      </c>
      <c r="O151" s="379"/>
      <c r="R151" s="1">
        <v>1965</v>
      </c>
      <c r="S151" s="5">
        <f>(O18*($E18/365))+(O19*($E19/365))</f>
        <v>14.865479452054794</v>
      </c>
      <c r="T151" s="5">
        <f>(P18*($E18/365))+(P19*($E19/365))</f>
        <v>33.299999999999997</v>
      </c>
      <c r="U151" s="5">
        <f>(Q18*($E18/365))+(Q19*($E19/365))</f>
        <v>19.57890410958904</v>
      </c>
      <c r="V151" s="5"/>
      <c r="W151" s="5">
        <f t="shared" si="35"/>
        <v>67.744383561643829</v>
      </c>
    </row>
    <row r="152" spans="1:23" x14ac:dyDescent="0.15">
      <c r="A152" s="1">
        <v>1966</v>
      </c>
      <c r="B152" s="5">
        <f>(K20*($E20/365))+(K21*($E21/365))</f>
        <v>16.092127051031159</v>
      </c>
      <c r="C152" s="5">
        <f>(L20*($E20/365))+(L21*($E21/365))</f>
        <v>45.747403281649852</v>
      </c>
      <c r="D152" s="5">
        <f>(M20*($E20/365))+(M21*($E21/365))</f>
        <v>31.800391389432487</v>
      </c>
      <c r="E152" s="18">
        <f t="shared" si="34"/>
        <v>93.639921722113499</v>
      </c>
      <c r="G152" s="1">
        <v>1966</v>
      </c>
      <c r="H152" s="409">
        <f>(O20/$R20*100*($E20/365))+(O21/$R21*100*($E21/365))</f>
        <v>13.227025246555966</v>
      </c>
      <c r="I152" s="409"/>
      <c r="J152" s="409">
        <f>(P20/$R20*100*($E20/365))+(P21/$R21*100*($E21/365))</f>
        <v>50.627579391990068</v>
      </c>
      <c r="K152" s="409"/>
      <c r="L152" s="409">
        <f>(Q20/$R20*100*($E20/365))+(Q21/$R21*100*($E21/365))</f>
        <v>36.14539536145395</v>
      </c>
      <c r="M152" s="409"/>
      <c r="N152" s="379">
        <f t="shared" si="36"/>
        <v>99.999999999999986</v>
      </c>
      <c r="O152" s="379"/>
      <c r="R152" s="1">
        <v>1966</v>
      </c>
      <c r="S152" s="5">
        <f>(O20*($E20/365))+(O21*($E21/365))</f>
        <v>8.6999999999999993</v>
      </c>
      <c r="T152" s="5">
        <f>(P20*($E20/365))+(P21*($E21/365))</f>
        <v>33.299999999999997</v>
      </c>
      <c r="U152" s="5">
        <f>(Q20*($E20/365))+(Q21*($E21/365))</f>
        <v>25.554794520547944</v>
      </c>
      <c r="V152" s="5"/>
      <c r="W152" s="5">
        <f t="shared" si="35"/>
        <v>67.554794520547944</v>
      </c>
    </row>
    <row r="153" spans="1:23" x14ac:dyDescent="0.15">
      <c r="A153" s="1">
        <v>1967</v>
      </c>
      <c r="B153" s="5">
        <f>(K22*($E22/365))+(K23*($E23/365))</f>
        <v>50.495258166491041</v>
      </c>
      <c r="C153" s="5">
        <f>(L22*($E22/365))+(L23*($E23/365))</f>
        <v>49.504741833508959</v>
      </c>
      <c r="D153" s="5">
        <f>(M22*($E22/365))+(M23*($E23/365))</f>
        <v>0</v>
      </c>
      <c r="E153" s="18">
        <f t="shared" si="34"/>
        <v>100</v>
      </c>
      <c r="G153" s="1">
        <v>1967</v>
      </c>
      <c r="H153" s="409">
        <f>(O22/$R22*100*($E22/365))+(O23/$R23*100*($E23/365))</f>
        <v>43.466849724900364</v>
      </c>
      <c r="I153" s="409"/>
      <c r="J153" s="409">
        <f>(P22/$R22*100*($E22/365))+(P23/$R23*100*($E23/365))</f>
        <v>56.533150275099644</v>
      </c>
      <c r="K153" s="409"/>
      <c r="L153" s="409">
        <f>(Q22/$R22*100*($E22/365))+(Q23/$R23*100*($E23/365))</f>
        <v>0</v>
      </c>
      <c r="M153" s="409"/>
      <c r="N153" s="379">
        <f t="shared" si="36"/>
        <v>100</v>
      </c>
      <c r="O153" s="379"/>
      <c r="R153" s="1">
        <v>1967</v>
      </c>
      <c r="S153" s="5">
        <f>(O22*($E22/365))+(O23*($E23/365))</f>
        <v>24.107671232876715</v>
      </c>
      <c r="T153" s="5">
        <f>(P22*($E22/365))+(P23*($E23/365))</f>
        <v>29.335890410958907</v>
      </c>
      <c r="U153" s="5">
        <f>(Q22*($E22/365))+(Q23*($E23/365))</f>
        <v>0</v>
      </c>
      <c r="V153" s="5"/>
      <c r="W153" s="5">
        <f t="shared" si="35"/>
        <v>53.443561643835622</v>
      </c>
    </row>
    <row r="154" spans="1:23" x14ac:dyDescent="0.15">
      <c r="A154" s="1">
        <v>1968</v>
      </c>
      <c r="B154" s="5">
        <f>(K24*($E24/366))+(K25*($E25/366))</f>
        <v>57.142857142857139</v>
      </c>
      <c r="C154" s="5">
        <f>(L24*($E24/366))+(L25*($E25/366))</f>
        <v>42.857142857142854</v>
      </c>
      <c r="D154" s="5">
        <f>(M24*($E24/366))+(M25*($E25/366))</f>
        <v>0</v>
      </c>
      <c r="E154" s="18">
        <f t="shared" si="34"/>
        <v>100</v>
      </c>
      <c r="G154" s="1">
        <v>1968</v>
      </c>
      <c r="H154" s="409">
        <f>(O24/$R24*100*($E24/366))+(O25/$R25*100*($E25/366))</f>
        <v>51.134380453752179</v>
      </c>
      <c r="I154" s="409"/>
      <c r="J154" s="409">
        <f>(P24/$R24*100*($E24/366))+(P25/$R25*100*($E25/366))</f>
        <v>48.865619546247821</v>
      </c>
      <c r="K154" s="409"/>
      <c r="L154" s="409">
        <f>(Q24/$R24*100*($E24/366))+(Q25/$R25*100*($E25/366))</f>
        <v>0</v>
      </c>
      <c r="M154" s="409"/>
      <c r="N154" s="379">
        <f t="shared" si="36"/>
        <v>100</v>
      </c>
      <c r="O154" s="379"/>
      <c r="R154" s="1">
        <v>1968</v>
      </c>
      <c r="S154" s="5">
        <f>(O24*($E24/366))+(O25*($E25/366))</f>
        <v>29.3</v>
      </c>
      <c r="T154" s="5">
        <f>(P24*($E24/366))+(P25*($E25/366))</f>
        <v>28</v>
      </c>
      <c r="U154" s="5">
        <f>(Q24*($E24/366))+(Q25*($E25/366))</f>
        <v>0</v>
      </c>
      <c r="V154" s="5"/>
      <c r="W154" s="5">
        <f t="shared" si="35"/>
        <v>57.3</v>
      </c>
    </row>
    <row r="155" spans="1:23" x14ac:dyDescent="0.15">
      <c r="A155" s="1">
        <v>1969</v>
      </c>
      <c r="B155" s="5">
        <f>(K26*($E26/365))+(K27*($E27/365))</f>
        <v>57.142857142857139</v>
      </c>
      <c r="C155" s="5">
        <f>(L26*($E26/365))+(L27*($E27/365))</f>
        <v>42.857142857142854</v>
      </c>
      <c r="D155" s="5">
        <f>(M26*($E26/365))+(M27*($E27/365))</f>
        <v>0</v>
      </c>
      <c r="E155" s="18">
        <f t="shared" si="34"/>
        <v>100</v>
      </c>
      <c r="G155" s="1">
        <v>1969</v>
      </c>
      <c r="H155" s="409">
        <f>(O26/$R26*100*($E26/365))+(O27/$R27*100*($E27/365))</f>
        <v>51.134380453752179</v>
      </c>
      <c r="I155" s="409"/>
      <c r="J155" s="409">
        <f>(P26/$R26*100*($E26/365))+(P27/$R27*100*($E27/365))</f>
        <v>48.865619546247821</v>
      </c>
      <c r="K155" s="409"/>
      <c r="L155" s="409">
        <f>(Q26/$R26*100*($E26/365))+(Q27/$R27*100*($E27/365))</f>
        <v>0</v>
      </c>
      <c r="M155" s="409"/>
      <c r="N155" s="379">
        <f t="shared" si="36"/>
        <v>100</v>
      </c>
      <c r="O155" s="379"/>
      <c r="R155" s="1">
        <v>1969</v>
      </c>
      <c r="S155" s="5">
        <f>(O26*($E26/365))+(O27*($E27/365))</f>
        <v>29.3</v>
      </c>
      <c r="T155" s="5">
        <f>(P26*($E26/365))+(P27*($E27/365))</f>
        <v>28</v>
      </c>
      <c r="U155" s="5">
        <f>(Q26*($E26/365))+(Q27*($E27/365))</f>
        <v>0</v>
      </c>
      <c r="V155" s="5"/>
      <c r="W155" s="5">
        <f t="shared" si="35"/>
        <v>57.3</v>
      </c>
    </row>
    <row r="156" spans="1:23" x14ac:dyDescent="0.15">
      <c r="A156" s="1">
        <v>1970</v>
      </c>
      <c r="B156" s="5">
        <f>(K28*($E28/365))+(K29*($E29/365))</f>
        <v>57.142857142857139</v>
      </c>
      <c r="C156" s="5">
        <f>(L28*($E28/365))+(L29*($E29/365))</f>
        <v>42.857142857142854</v>
      </c>
      <c r="D156" s="5">
        <f>(M28*($E28/365))+(M29*($E29/365))</f>
        <v>0</v>
      </c>
      <c r="E156" s="18">
        <f t="shared" si="34"/>
        <v>100</v>
      </c>
      <c r="G156" s="1">
        <v>1970</v>
      </c>
      <c r="H156" s="409">
        <f>(O28/$R28*100*($E28/365))+(O29/$R29*100*($E29/365))</f>
        <v>51.134380453752179</v>
      </c>
      <c r="I156" s="409"/>
      <c r="J156" s="409">
        <f>(P28/$R28*100*($E28/365))+(P29/$R29*100*($E29/365))</f>
        <v>48.865619546247821</v>
      </c>
      <c r="K156" s="409"/>
      <c r="L156" s="409">
        <f>(Q28/$R28*100*($E28/365))+(Q29/$R29*100*($E29/365))</f>
        <v>0</v>
      </c>
      <c r="M156" s="409"/>
      <c r="N156" s="379">
        <f t="shared" si="36"/>
        <v>100</v>
      </c>
      <c r="O156" s="379"/>
      <c r="R156" s="1">
        <v>1970</v>
      </c>
      <c r="S156" s="5">
        <f>(O28*($E28/365))+(O29*($E29/365))</f>
        <v>29.3</v>
      </c>
      <c r="T156" s="5">
        <f>(P28*($E28/365))+(P29*($E29/365))</f>
        <v>28</v>
      </c>
      <c r="U156" s="5">
        <f>(Q28*($E28/365))+(Q29*($E29/365))</f>
        <v>0</v>
      </c>
      <c r="V156" s="5"/>
      <c r="W156" s="5">
        <f t="shared" si="35"/>
        <v>57.3</v>
      </c>
    </row>
    <row r="157" spans="1:23" x14ac:dyDescent="0.15">
      <c r="A157" s="1">
        <v>1971</v>
      </c>
      <c r="B157" s="5">
        <f>(K30*($E30/365))+(K31*($E31/365))</f>
        <v>53.639921722113499</v>
      </c>
      <c r="C157" s="5">
        <f>(L30*($E30/365))+(L31*($E31/365))</f>
        <v>46.360078277886494</v>
      </c>
      <c r="D157" s="5">
        <f>(M30*($E30/365))+(M31*($E31/365))</f>
        <v>0</v>
      </c>
      <c r="E157" s="18">
        <f t="shared" si="34"/>
        <v>100</v>
      </c>
      <c r="G157" s="1">
        <v>1971</v>
      </c>
      <c r="H157" s="409">
        <f>(O30/$R30*100*($E30/365))+(O31/$R31*100*($E31/365))</f>
        <v>49.457384669182602</v>
      </c>
      <c r="I157" s="409"/>
      <c r="J157" s="409">
        <f>(P30/$R30*100*($E30/365))+(P31/$R31*100*($E31/365))</f>
        <v>50.542615330817384</v>
      </c>
      <c r="K157" s="409"/>
      <c r="L157" s="409">
        <f>(Q30/$R30*100*($E30/365))+(Q31/$R31*100*($E31/365))</f>
        <v>0</v>
      </c>
      <c r="M157" s="409"/>
      <c r="N157" s="379">
        <f t="shared" si="36"/>
        <v>99.999999999999986</v>
      </c>
      <c r="O157" s="379"/>
      <c r="R157" s="1">
        <v>1971</v>
      </c>
      <c r="S157" s="5">
        <f>(O30*($E30/365))+(O31*($E31/365))</f>
        <v>27.73068493150685</v>
      </c>
      <c r="T157" s="5">
        <f>(P30*($E30/365))+(P31*($E31/365))</f>
        <v>28.294246575342466</v>
      </c>
      <c r="U157" s="5">
        <f>(Q30*($E30/365))+(Q31*($E31/365))</f>
        <v>0</v>
      </c>
      <c r="V157" s="5"/>
      <c r="W157" s="5">
        <f t="shared" si="35"/>
        <v>56.024931506849313</v>
      </c>
    </row>
    <row r="158" spans="1:23" x14ac:dyDescent="0.15">
      <c r="A158" s="1">
        <v>1972</v>
      </c>
      <c r="B158" s="5">
        <f>(K32*($E32/366))+(K33*($E33/366))</f>
        <v>52.67369242779079</v>
      </c>
      <c r="C158" s="5">
        <f>(L32*($E32/366))+(L33*($E33/366))</f>
        <v>47.326307572209217</v>
      </c>
      <c r="D158" s="5">
        <f>(M32*($E32/366))+(M33*($E33/366))</f>
        <v>0</v>
      </c>
      <c r="E158" s="18">
        <f t="shared" si="34"/>
        <v>100</v>
      </c>
      <c r="G158" s="1">
        <v>1972</v>
      </c>
      <c r="H158" s="409">
        <f>(O32/$R32*100*($E32/366))+(O33/$R33*100*($E33/366))</f>
        <v>49.63101134251167</v>
      </c>
      <c r="I158" s="409"/>
      <c r="J158" s="409">
        <f>(P32/$R32*100*($E32/366))+(P33/$R33*100*($E33/366))</f>
        <v>50.368988657488323</v>
      </c>
      <c r="K158" s="409"/>
      <c r="L158" s="409">
        <f>(Q32/$R32*100*($E32/366))+(Q33/$R33*100*($E33/366))</f>
        <v>0</v>
      </c>
      <c r="M158" s="409"/>
      <c r="N158" s="379">
        <f t="shared" si="36"/>
        <v>100</v>
      </c>
      <c r="O158" s="379"/>
      <c r="R158" s="1">
        <v>1972</v>
      </c>
      <c r="S158" s="5">
        <f>(O32*($E32/366))+(O33*($E33/366))</f>
        <v>26.099999999999998</v>
      </c>
      <c r="T158" s="5">
        <f>(P32*($E32/366))+(P33*($E33/366))</f>
        <v>26.61612021857924</v>
      </c>
      <c r="U158" s="5">
        <f>(Q32*($E32/366))+(Q33*($E33/366))</f>
        <v>0</v>
      </c>
      <c r="V158" s="5"/>
      <c r="W158" s="5">
        <f t="shared" si="35"/>
        <v>52.716120218579235</v>
      </c>
    </row>
    <row r="159" spans="1:23" x14ac:dyDescent="0.15">
      <c r="A159" s="1">
        <v>1973</v>
      </c>
      <c r="B159" s="5">
        <f>(K34*($E34/365))+(K35*($E35/365))</f>
        <v>28.400195694716238</v>
      </c>
      <c r="C159" s="5">
        <f>(L34*($E34/365))+(L35*($E35/365))</f>
        <v>35.384050880626219</v>
      </c>
      <c r="D159" s="5">
        <f>(M34*($E34/365))+(M35*($E35/365))</f>
        <v>36.215753424657535</v>
      </c>
      <c r="E159" s="18">
        <f t="shared" si="34"/>
        <v>100</v>
      </c>
      <c r="G159" s="1">
        <v>1973</v>
      </c>
      <c r="H159" s="409">
        <f>(O34/$R34*100*($E34/365))+(O35/$R35*100*($E35/365))</f>
        <v>28.07210696810413</v>
      </c>
      <c r="I159" s="409"/>
      <c r="J159" s="409">
        <f>(P34/$R34*100*($E34/365))+(P35/$R35*100*($E35/365))</f>
        <v>38.69124760833931</v>
      </c>
      <c r="K159" s="409"/>
      <c r="L159" s="409">
        <f>(Q34/$R34*100*($E34/365))+(Q35/$R35*100*($E35/365))</f>
        <v>33.23664542355656</v>
      </c>
      <c r="M159" s="409"/>
      <c r="N159" s="379">
        <f t="shared" si="36"/>
        <v>100</v>
      </c>
      <c r="O159" s="379"/>
      <c r="R159" s="1">
        <v>1973</v>
      </c>
      <c r="S159" s="5">
        <f>(O34*($E34/365))+(O35*($E35/365))</f>
        <v>15.283561643835615</v>
      </c>
      <c r="T159" s="5">
        <f>(P34*($E34/365))+(P35*($E35/365))</f>
        <v>22.463013698630135</v>
      </c>
      <c r="U159" s="5">
        <f>(Q34*($E34/365))+(Q35*($E35/365))</f>
        <v>21.504109589041096</v>
      </c>
      <c r="V159" s="5"/>
      <c r="W159" s="5">
        <f t="shared" si="35"/>
        <v>59.250684931506839</v>
      </c>
    </row>
    <row r="160" spans="1:23" x14ac:dyDescent="0.15">
      <c r="A160" s="1">
        <v>1974</v>
      </c>
      <c r="B160" s="5">
        <f>(K36*($E36/365))+(K37*($E37/365))</f>
        <v>12.5</v>
      </c>
      <c r="C160" s="5">
        <f>(L36*($E36/365))+(L37*($E37/365))</f>
        <v>31.25</v>
      </c>
      <c r="D160" s="5">
        <f>(M36*($E36/365))+(M37*($E37/365))</f>
        <v>56.25</v>
      </c>
      <c r="E160" s="18">
        <f t="shared" si="34"/>
        <v>100</v>
      </c>
      <c r="G160" s="1">
        <v>1974</v>
      </c>
      <c r="H160" s="409">
        <f>(O36/$R36*100*($E36/365))+(O37/$R37*100*($E37/365))</f>
        <v>14.374034003091191</v>
      </c>
      <c r="I160" s="409"/>
      <c r="J160" s="409">
        <f>(P36/$R36*100*($E36/365))+(P37/$R37*100*($E37/365))</f>
        <v>34.003091190108194</v>
      </c>
      <c r="K160" s="409"/>
      <c r="L160" s="409">
        <f>(Q36/$R36*100*($E36/365))+(Q37/$R37*100*($E37/365))</f>
        <v>51.62287480680061</v>
      </c>
      <c r="M160" s="409"/>
      <c r="N160" s="379">
        <f t="shared" si="36"/>
        <v>100</v>
      </c>
      <c r="O160" s="379"/>
      <c r="R160" s="1">
        <v>1974</v>
      </c>
      <c r="S160" s="5">
        <f>(O36*($E36/365))+(O37*($E37/365))</f>
        <v>9.3000000000000007</v>
      </c>
      <c r="T160" s="5">
        <f>(P36*($E36/365))+(P37*($E37/365))</f>
        <v>22</v>
      </c>
      <c r="U160" s="5">
        <f>(Q36*($E36/365))+(Q37*($E37/365))</f>
        <v>33.4</v>
      </c>
      <c r="V160" s="5"/>
      <c r="W160" s="5">
        <f t="shared" si="35"/>
        <v>64.7</v>
      </c>
    </row>
    <row r="161" spans="1:23" x14ac:dyDescent="0.15">
      <c r="A161" s="1">
        <v>1975</v>
      </c>
      <c r="B161" s="5">
        <f>(K38*($E38/365))+(K39*($E39/365))</f>
        <v>12.5</v>
      </c>
      <c r="C161" s="5">
        <f>(L38*($E38/365))+(L39*($E39/365))</f>
        <v>31.25</v>
      </c>
      <c r="D161" s="5">
        <f>(M38*($E38/365))+(M39*($E39/365))</f>
        <v>56.25</v>
      </c>
      <c r="E161" s="18">
        <f t="shared" si="34"/>
        <v>100</v>
      </c>
      <c r="G161" s="1">
        <v>1975</v>
      </c>
      <c r="H161" s="409">
        <f>(O38/$R38*100*($E38/365))+(O39/$R39*100*($E39/365))</f>
        <v>14.374034003091191</v>
      </c>
      <c r="I161" s="409"/>
      <c r="J161" s="409">
        <f>(P38/$R38*100*($E38/365))+(P39/$R39*100*($E39/365))</f>
        <v>34.003091190108194</v>
      </c>
      <c r="K161" s="409"/>
      <c r="L161" s="409">
        <f>(Q38/$R38*100*($E38/365))+(Q39/$R39*100*($E39/365))</f>
        <v>51.62287480680061</v>
      </c>
      <c r="M161" s="409"/>
      <c r="N161" s="379">
        <f t="shared" si="36"/>
        <v>100</v>
      </c>
      <c r="O161" s="379"/>
      <c r="R161" s="1">
        <v>1975</v>
      </c>
      <c r="S161" s="5">
        <f>(O38*($E38/365))+(O39*($E39/365))</f>
        <v>9.3000000000000007</v>
      </c>
      <c r="T161" s="5">
        <f>(P38*($E38/365))+(P39*($E39/365))</f>
        <v>22</v>
      </c>
      <c r="U161" s="5">
        <f>(Q38*($E38/365))+(Q39*($E39/365))</f>
        <v>33.4</v>
      </c>
      <c r="V161" s="5"/>
      <c r="W161" s="5">
        <f t="shared" si="35"/>
        <v>64.7</v>
      </c>
    </row>
    <row r="162" spans="1:23" x14ac:dyDescent="0.15">
      <c r="A162" s="1">
        <v>1976</v>
      </c>
      <c r="B162" s="5">
        <f>(K40*($E40/366))+(K41*($E41/366))</f>
        <v>12.5</v>
      </c>
      <c r="C162" s="5">
        <f>(L40*($E40/366))+(L41*($E41/366))</f>
        <v>31.25</v>
      </c>
      <c r="D162" s="5">
        <f>(M40*($E40/366))+(M41*($E41/366))</f>
        <v>56.25</v>
      </c>
      <c r="E162" s="18">
        <f t="shared" si="34"/>
        <v>100</v>
      </c>
      <c r="G162" s="1">
        <v>1976</v>
      </c>
      <c r="H162" s="409">
        <f>(O40/$R40*100*($E40/366))+(O41/$R41*100*($E41/366))</f>
        <v>14.374034003091191</v>
      </c>
      <c r="I162" s="409"/>
      <c r="J162" s="409">
        <f>(P40/$R40*100*($E40/366))+(P41/$R41*100*($E41/366))</f>
        <v>34.003091190108194</v>
      </c>
      <c r="K162" s="409"/>
      <c r="L162" s="409">
        <f>(Q40/$R40*100*($E40/366))+(Q41/$R41*100*($E41/366))</f>
        <v>51.62287480680061</v>
      </c>
      <c r="M162" s="409"/>
      <c r="N162" s="379">
        <f t="shared" si="36"/>
        <v>100</v>
      </c>
      <c r="O162" s="379"/>
      <c r="R162" s="1">
        <v>1976</v>
      </c>
      <c r="S162" s="5">
        <f>(O40*($E40/366))+(O41*($E41/366))</f>
        <v>9.3000000000000007</v>
      </c>
      <c r="T162" s="5">
        <f>(P40*($E40/366))+(P41*($E41/366))</f>
        <v>22</v>
      </c>
      <c r="U162" s="5">
        <f>(Q40*($E40/366))+(Q41*($E41/366))</f>
        <v>33.4</v>
      </c>
      <c r="V162" s="5"/>
      <c r="W162" s="5">
        <f t="shared" si="35"/>
        <v>64.7</v>
      </c>
    </row>
    <row r="163" spans="1:23" x14ac:dyDescent="0.15">
      <c r="A163" s="1">
        <v>1977</v>
      </c>
      <c r="B163" s="5">
        <f>(K42*($E42/365))+(K43*($E43/365))</f>
        <v>13.24200913242009</v>
      </c>
      <c r="C163" s="5">
        <f>(L42*($E42/365))+(L43*($E43/365))</f>
        <v>32.511415525114153</v>
      </c>
      <c r="D163" s="5">
        <f>(M42*($E42/365))+(M43*($E43/365))</f>
        <v>54.246575342465754</v>
      </c>
      <c r="E163" s="18">
        <f t="shared" si="34"/>
        <v>100</v>
      </c>
      <c r="G163" s="1">
        <v>1977</v>
      </c>
      <c r="H163" s="409">
        <f>(O42/$R42*100*($E42/365))+(O43/$R43*100*($E43/365))</f>
        <v>15.15785525351145</v>
      </c>
      <c r="I163" s="409"/>
      <c r="J163" s="409">
        <f>(P42/$R42*100*($E42/365))+(P43/$R43*100*($E43/365))</f>
        <v>35.057892878012346</v>
      </c>
      <c r="K163" s="409"/>
      <c r="L163" s="409">
        <f>(Q42/$R42*100*($E42/365))+(Q43/$R43*100*($E43/365))</f>
        <v>49.784251868476204</v>
      </c>
      <c r="M163" s="409"/>
      <c r="N163" s="379">
        <f t="shared" si="36"/>
        <v>100</v>
      </c>
      <c r="O163" s="379"/>
      <c r="R163" s="1">
        <v>1977</v>
      </c>
      <c r="S163" s="5">
        <f>(O42*($E42/365))+(O43*($E43/365))</f>
        <v>9.6347945205479473</v>
      </c>
      <c r="T163" s="5">
        <f>(P42*($E42/365))+(P43*($E43/365))</f>
        <v>22.381095890410961</v>
      </c>
      <c r="U163" s="5">
        <f>(Q42*($E42/365))+(Q43*($E43/365))</f>
        <v>32.210410958904106</v>
      </c>
      <c r="V163" s="5"/>
      <c r="W163" s="5">
        <f t="shared" si="35"/>
        <v>64.226301369863023</v>
      </c>
    </row>
    <row r="164" spans="1:23" x14ac:dyDescent="0.15">
      <c r="A164" s="1">
        <v>1978</v>
      </c>
      <c r="B164" s="5">
        <f>(K44*($E44/365))+(K45*($E45/365))</f>
        <v>33.333333333333329</v>
      </c>
      <c r="C164" s="5">
        <f>(L44*($E44/365))+(L45*($E45/365))</f>
        <v>66.666666666666657</v>
      </c>
      <c r="D164" s="5">
        <f>(M44*($E44/365))+(M45*($E45/365))</f>
        <v>0</v>
      </c>
      <c r="E164" s="18">
        <f t="shared" si="34"/>
        <v>99.999999999999986</v>
      </c>
      <c r="G164" s="1">
        <v>1978</v>
      </c>
      <c r="H164" s="409">
        <f>(O44/$R44*100*($E44/365))+(O45/$R45*100*($E45/365))</f>
        <v>36.381322957198435</v>
      </c>
      <c r="I164" s="409"/>
      <c r="J164" s="409">
        <f>(P44/$R44*100*($E44/365))+(P45/$R45*100*($E45/365))</f>
        <v>63.618677042801551</v>
      </c>
      <c r="K164" s="409"/>
      <c r="L164" s="409">
        <f>(Q44/$R44*100*($E44/365))+(Q45/$R45*100*($E45/365))</f>
        <v>0</v>
      </c>
      <c r="M164" s="409"/>
      <c r="N164" s="379">
        <f t="shared" si="36"/>
        <v>99.999999999999986</v>
      </c>
      <c r="O164" s="379"/>
      <c r="R164" s="1">
        <v>1978</v>
      </c>
      <c r="S164" s="5">
        <f>(O44*($E44/365))+(O45*($E45/365))</f>
        <v>18.7</v>
      </c>
      <c r="T164" s="5">
        <f>(P44*($E44/365))+(P45*($E45/365))</f>
        <v>32.700000000000003</v>
      </c>
      <c r="U164" s="5">
        <f>(Q44*($E44/365))+(Q45*($E45/365))</f>
        <v>0</v>
      </c>
      <c r="V164" s="5"/>
      <c r="W164" s="5">
        <f t="shared" si="35"/>
        <v>51.400000000000006</v>
      </c>
    </row>
    <row r="165" spans="1:23" x14ac:dyDescent="0.15">
      <c r="A165" s="1">
        <v>1979</v>
      </c>
      <c r="B165" s="5">
        <f>(K46*($E46/365))+(K47*($E47/365))</f>
        <v>33.333333333333329</v>
      </c>
      <c r="C165" s="5">
        <f>(L46*($E46/365))+(L47*($E47/365))</f>
        <v>66.666666666666657</v>
      </c>
      <c r="D165" s="5">
        <f>(M46*($E46/365))+(M47*($E47/365))</f>
        <v>0</v>
      </c>
      <c r="E165" s="18">
        <f t="shared" si="34"/>
        <v>99.999999999999986</v>
      </c>
      <c r="G165" s="1">
        <v>1979</v>
      </c>
      <c r="H165" s="409">
        <f>(O46/$R46*100*($E46/365))+(O47/$R47*100*($E47/365))</f>
        <v>36.381322957198435</v>
      </c>
      <c r="I165" s="409"/>
      <c r="J165" s="409">
        <f>(P46/$R46*100*($E46/365))+(P47/$R47*100*($E47/365))</f>
        <v>63.618677042801551</v>
      </c>
      <c r="K165" s="409"/>
      <c r="L165" s="409">
        <f>(Q46/$R46*100*($E46/365))+(Q47/$R47*100*($E47/365))</f>
        <v>0</v>
      </c>
      <c r="M165" s="409"/>
      <c r="N165" s="379">
        <f t="shared" si="36"/>
        <v>99.999999999999986</v>
      </c>
      <c r="O165" s="379"/>
      <c r="R165" s="1">
        <v>1979</v>
      </c>
      <c r="S165" s="5">
        <f>(O46*($E46/365))+(O47*($E47/365))</f>
        <v>18.7</v>
      </c>
      <c r="T165" s="5">
        <f>(P46*($E46/365))+(P47*($E47/365))</f>
        <v>32.700000000000003</v>
      </c>
      <c r="U165" s="5">
        <f>(Q46*($E46/365))+(Q47*($E47/365))</f>
        <v>0</v>
      </c>
      <c r="V165" s="5"/>
      <c r="W165" s="5">
        <f t="shared" si="35"/>
        <v>51.400000000000006</v>
      </c>
    </row>
    <row r="166" spans="1:23" x14ac:dyDescent="0.15">
      <c r="A166" s="1">
        <v>1980</v>
      </c>
      <c r="B166" s="5">
        <f>(K48*($E48/366))+(K49*($E49/366))</f>
        <v>33.333333333333329</v>
      </c>
      <c r="C166" s="5">
        <f>(L48*($E48/366))+(L49*($E49/366))</f>
        <v>66.666666666666657</v>
      </c>
      <c r="D166" s="5">
        <f>(M48*($E48/366))+(M49*($E49/366))</f>
        <v>0</v>
      </c>
      <c r="E166" s="18">
        <f t="shared" si="34"/>
        <v>99.999999999999986</v>
      </c>
      <c r="G166" s="1">
        <v>1980</v>
      </c>
      <c r="H166" s="409">
        <f>(O48/$R48*100*($E48/366))+(O49/$R49*100*($E49/366))</f>
        <v>36.381322957198435</v>
      </c>
      <c r="I166" s="409"/>
      <c r="J166" s="409">
        <f>(P48/$R48*100*($E48/366))+(P49/$R49*100*($E49/366))</f>
        <v>63.618677042801551</v>
      </c>
      <c r="K166" s="409"/>
      <c r="L166" s="409">
        <f>(Q48/$R48*100*($E48/366))+(Q49/$R49*100*($E49/366))</f>
        <v>0</v>
      </c>
      <c r="M166" s="409"/>
      <c r="N166" s="379">
        <f t="shared" si="36"/>
        <v>99.999999999999986</v>
      </c>
      <c r="O166" s="379"/>
      <c r="R166" s="1">
        <v>1980</v>
      </c>
      <c r="S166" s="5">
        <f>(O48*($E48/366))+(O49*($E49/366))</f>
        <v>18.7</v>
      </c>
      <c r="T166" s="5">
        <f>(P48*($E48/366))+(P49*($E49/366))</f>
        <v>32.700000000000003</v>
      </c>
      <c r="U166" s="5">
        <f>(Q48*($E48/366))+(Q49*($E49/366))</f>
        <v>0</v>
      </c>
      <c r="V166" s="5"/>
      <c r="W166" s="5">
        <f t="shared" si="35"/>
        <v>51.400000000000006</v>
      </c>
    </row>
    <row r="167" spans="1:23" x14ac:dyDescent="0.15">
      <c r="A167" s="1">
        <v>1981</v>
      </c>
      <c r="B167" s="5">
        <f>(K50*($E50/365))+(K51*($E51/365))</f>
        <v>23.105022831050228</v>
      </c>
      <c r="C167" s="5">
        <f>(L50*($E50/365))+(L51*($E51/365))</f>
        <v>64.621004566210047</v>
      </c>
      <c r="D167" s="5">
        <f>(M50*($E50/365))+(M51*($E51/365))</f>
        <v>12.273972602739727</v>
      </c>
      <c r="E167" s="18">
        <f t="shared" si="34"/>
        <v>100.00000000000001</v>
      </c>
      <c r="G167" s="1">
        <v>1981</v>
      </c>
      <c r="H167" s="409">
        <f>(O50/$R50*100*($E50/365))+(O51/$R51*100*($E51/365))</f>
        <v>25.217738926496452</v>
      </c>
      <c r="I167" s="409"/>
      <c r="J167" s="409">
        <f>(P50/$R50*100*($E50/365))+(P51/$R51*100*($E51/365))</f>
        <v>62.398397531483099</v>
      </c>
      <c r="K167" s="409"/>
      <c r="L167" s="409">
        <f>(Q50/$R50*100*($E50/365))+(Q51/$R51*100*($E51/365))</f>
        <v>12.383863542020455</v>
      </c>
      <c r="M167" s="409"/>
      <c r="N167" s="379">
        <f t="shared" si="36"/>
        <v>100</v>
      </c>
      <c r="O167" s="379"/>
      <c r="R167" s="1">
        <v>1981</v>
      </c>
      <c r="S167" s="5">
        <f>(O50*($E50/365))+(O51*($E51/365))</f>
        <v>12.961917808219178</v>
      </c>
      <c r="T167" s="5">
        <f>(P50*($E50/365))+(P51*($E51/365))</f>
        <v>35.952602739726032</v>
      </c>
      <c r="U167" s="5">
        <f>(Q50*($E50/365))+(Q51*($E51/365))</f>
        <v>8.9906849315068502</v>
      </c>
      <c r="V167" s="5"/>
      <c r="W167" s="5">
        <f t="shared" si="35"/>
        <v>57.905205479452057</v>
      </c>
    </row>
    <row r="168" spans="1:23" x14ac:dyDescent="0.15">
      <c r="A168" s="1">
        <v>1982</v>
      </c>
      <c r="B168" s="5">
        <f>(K52*($E52/365))+(K53*($E53/365))+(K54*($E54/365))</f>
        <v>0</v>
      </c>
      <c r="C168" s="5">
        <f>(L52*($E52/365))+(L53*($E53/365))+(L54*($E54/365))</f>
        <v>66.356164383561648</v>
      </c>
      <c r="D168" s="5">
        <f>(M52*($E52/365))+(M53*($E53/365))+(M54*($E54/365))</f>
        <v>33.643835616438352</v>
      </c>
      <c r="E168" s="18">
        <f t="shared" si="34"/>
        <v>100</v>
      </c>
      <c r="G168" s="1">
        <v>1982</v>
      </c>
      <c r="H168" s="409">
        <f>(O52/$R52*100*($E52/365))+(O53/$R53*100*($E53/365))+(O54/$R54*100*($E54/365))</f>
        <v>7.0624048706240492</v>
      </c>
      <c r="I168" s="409"/>
      <c r="J168" s="409">
        <f>(P52/$R52*100*($E52/365))+(P53/$R53*100*($E53/365))+(P54/$R54*100*($E54/365))</f>
        <v>76.573204020277501</v>
      </c>
      <c r="K168" s="409"/>
      <c r="L168" s="409">
        <f>(Q52/$R52*100*($E52/365))+(Q53/$R53*100*($E53/365))+(Q54/$R54*100*($E54/365))</f>
        <v>16.364391109098456</v>
      </c>
      <c r="M168" s="409"/>
      <c r="N168" s="379">
        <f t="shared" si="36"/>
        <v>100</v>
      </c>
      <c r="O168" s="379"/>
      <c r="R168" s="1">
        <v>1982</v>
      </c>
      <c r="S168" s="5">
        <f>(O52*($E52/365))+(O53*($E53/365))+(O54*($E54/365))</f>
        <v>3.8136986301369866</v>
      </c>
      <c r="T168" s="5">
        <f>(P52*($E52/365))+(P53*($E53/365))+(P54*($E54/365))</f>
        <v>41.186575342465751</v>
      </c>
      <c r="U168" s="5">
        <f>(Q52*($E52/365))+(Q53*($E53/365))+(Q54*($E54/365))</f>
        <v>11.88054794520548</v>
      </c>
      <c r="V168" s="5"/>
      <c r="W168" s="5">
        <f t="shared" si="35"/>
        <v>56.88082191780822</v>
      </c>
    </row>
    <row r="169" spans="1:23" x14ac:dyDescent="0.15">
      <c r="A169" s="1">
        <v>1983</v>
      </c>
      <c r="B169" s="5">
        <f>(K55*($E55/365))+(K56*($E56/365))</f>
        <v>0</v>
      </c>
      <c r="C169" s="5">
        <f>(L55*($E55/365))+(L56*($E56/365))</f>
        <v>100</v>
      </c>
      <c r="D169" s="5">
        <f>(M55*($E55/365))+(M56*($E56/365))</f>
        <v>0</v>
      </c>
      <c r="E169" s="18">
        <f t="shared" si="34"/>
        <v>100</v>
      </c>
      <c r="G169" s="1">
        <v>1983</v>
      </c>
      <c r="H169" s="409">
        <f>(O55/$R55*100*($E55/365))+(O56/$R56*100*($E56/365))</f>
        <v>44.444444444444443</v>
      </c>
      <c r="I169" s="409"/>
      <c r="J169" s="409">
        <f>(P55/$R55*100*($E55/365))+(P56/$R56*100*($E56/365))</f>
        <v>55.555555555555557</v>
      </c>
      <c r="K169" s="409"/>
      <c r="L169" s="409">
        <f>(Q55/$R55*100*($E55/365))+(Q56/$R56*100*($E56/365))</f>
        <v>0</v>
      </c>
      <c r="M169" s="409"/>
      <c r="N169" s="379">
        <f t="shared" si="36"/>
        <v>100</v>
      </c>
      <c r="O169" s="379"/>
      <c r="R169" s="1">
        <v>1983</v>
      </c>
      <c r="S169" s="5">
        <f>(O55*($E55/365))+(O56*($E56/365))</f>
        <v>24</v>
      </c>
      <c r="T169" s="5">
        <f>(P55*($E55/365))+(P56*($E56/365))</f>
        <v>30</v>
      </c>
      <c r="U169" s="5">
        <f>(Q55*($E55/365))+(Q56*($E56/365))</f>
        <v>0</v>
      </c>
      <c r="V169" s="5"/>
      <c r="W169" s="5">
        <f t="shared" si="35"/>
        <v>54</v>
      </c>
    </row>
    <row r="170" spans="1:23" x14ac:dyDescent="0.15">
      <c r="A170" s="1">
        <v>1984</v>
      </c>
      <c r="B170" s="5">
        <f>(K57*($E57/366))+(K58*($E58/366))</f>
        <v>0</v>
      </c>
      <c r="C170" s="5">
        <f>(L57*($E57/366))+(L58*($E58/366))</f>
        <v>100</v>
      </c>
      <c r="D170" s="5">
        <f>(M57*($E57/366))+(M58*($E58/366))</f>
        <v>0</v>
      </c>
      <c r="E170" s="18">
        <f t="shared" si="34"/>
        <v>100</v>
      </c>
      <c r="G170" s="1">
        <v>1984</v>
      </c>
      <c r="H170" s="409">
        <f>(O57/$R57*100*($E57/366))+(O58/$R58*100*($E58/366))</f>
        <v>44.444444444444443</v>
      </c>
      <c r="I170" s="409"/>
      <c r="J170" s="409">
        <f>(P57/$R57*100*($E57/366))+(P58/$R58*100*($E58/366))</f>
        <v>55.555555555555557</v>
      </c>
      <c r="K170" s="409"/>
      <c r="L170" s="409">
        <f>(Q57/$R57*100*($E57/366))+(Q58/$R58*100*($E58/366))</f>
        <v>0</v>
      </c>
      <c r="M170" s="409"/>
      <c r="N170" s="379">
        <f t="shared" si="36"/>
        <v>100</v>
      </c>
      <c r="O170" s="379"/>
      <c r="R170" s="1">
        <v>1984</v>
      </c>
      <c r="S170" s="5">
        <f>(O57*($E57/366))+(O58*($E58/366))</f>
        <v>24</v>
      </c>
      <c r="T170" s="5">
        <f>(P57*($E57/366))+(P58*($E58/366))</f>
        <v>30</v>
      </c>
      <c r="U170" s="5">
        <f>(Q57*($E57/366))+(Q58*($E58/366))</f>
        <v>0</v>
      </c>
      <c r="V170" s="5"/>
      <c r="W170" s="5">
        <f t="shared" si="35"/>
        <v>54</v>
      </c>
    </row>
    <row r="171" spans="1:23" x14ac:dyDescent="0.15">
      <c r="A171" s="1">
        <v>1985</v>
      </c>
      <c r="B171" s="5">
        <f>(K59*($E59/365))+(K60*($E60/365))</f>
        <v>0</v>
      </c>
      <c r="C171" s="5">
        <f>(L59*($E59/365))+(L60*($E60/365))</f>
        <v>100</v>
      </c>
      <c r="D171" s="5">
        <f>(M59*($E59/365))+(M60*($E60/365))</f>
        <v>0</v>
      </c>
      <c r="E171" s="18">
        <f t="shared" si="34"/>
        <v>100</v>
      </c>
      <c r="G171" s="1">
        <v>1985</v>
      </c>
      <c r="H171" s="409">
        <f>(O59/$R59*100*($E59/365))+(O60/$R60*100*($E60/365))</f>
        <v>44.444444444444443</v>
      </c>
      <c r="I171" s="409"/>
      <c r="J171" s="409">
        <f>(P59/$R59*100*($E59/365))+(P60/$R60*100*($E60/365))</f>
        <v>55.555555555555557</v>
      </c>
      <c r="K171" s="409"/>
      <c r="L171" s="409">
        <f>(Q59/$R59*100*($E59/365))+(Q60/$R60*100*($E60/365))</f>
        <v>0</v>
      </c>
      <c r="M171" s="409"/>
      <c r="N171" s="379">
        <f t="shared" si="36"/>
        <v>100</v>
      </c>
      <c r="O171" s="379"/>
      <c r="R171" s="1">
        <v>1985</v>
      </c>
      <c r="S171" s="5">
        <f>(O59*($E59/365))+(O60*($E60/365))</f>
        <v>24</v>
      </c>
      <c r="T171" s="5">
        <f>(P59*($E59/365))+(P60*($E60/365))</f>
        <v>30</v>
      </c>
      <c r="U171" s="5">
        <f>(Q59*($E59/365))+(Q60*($E60/365))</f>
        <v>0</v>
      </c>
      <c r="V171" s="5"/>
      <c r="W171" s="5">
        <f t="shared" si="35"/>
        <v>54</v>
      </c>
    </row>
    <row r="172" spans="1:23" x14ac:dyDescent="0.15">
      <c r="A172" s="1">
        <v>1986</v>
      </c>
      <c r="B172" s="5">
        <f>(K61*($E61/365))+(K62*($E62/365))</f>
        <v>4.6966731898238745</v>
      </c>
      <c r="C172" s="5">
        <f>(L61*($E61/365))+(L62*($E62/365))</f>
        <v>95.303326810176131</v>
      </c>
      <c r="D172" s="5">
        <f>(M61*($E61/365))+(M62*($E62/365))</f>
        <v>0</v>
      </c>
      <c r="E172" s="18">
        <f t="shared" si="34"/>
        <v>100</v>
      </c>
      <c r="G172" s="1">
        <v>1986</v>
      </c>
      <c r="H172" s="409">
        <f>(O61/$R61*100*($E61/365))+(O62/$R62*100*($E62/365))</f>
        <v>42.983257229832567</v>
      </c>
      <c r="I172" s="409"/>
      <c r="J172" s="409">
        <f>(P61/$R61*100*($E61/365))+(P62/$R62*100*($E62/365))</f>
        <v>57.016742770167426</v>
      </c>
      <c r="K172" s="409"/>
      <c r="L172" s="409">
        <f>(Q61/$R61*100*($E61/365))+(Q62/$R62*100*($E62/365))</f>
        <v>0</v>
      </c>
      <c r="M172" s="409"/>
      <c r="N172" s="379">
        <f t="shared" si="36"/>
        <v>100</v>
      </c>
      <c r="O172" s="379"/>
      <c r="R172" s="1">
        <v>1986</v>
      </c>
      <c r="S172" s="5">
        <f>(O61*($E61/365))+(O62*($E62/365))</f>
        <v>23.210958904109589</v>
      </c>
      <c r="T172" s="5">
        <f>(P61*($E61/365))+(P62*($E62/365))</f>
        <v>30.789041095890408</v>
      </c>
      <c r="U172" s="5">
        <f>(Q61*($E61/365))+(Q62*($E62/365))</f>
        <v>0</v>
      </c>
      <c r="V172" s="5"/>
      <c r="W172" s="5">
        <f t="shared" si="35"/>
        <v>54</v>
      </c>
    </row>
    <row r="173" spans="1:23" x14ac:dyDescent="0.15">
      <c r="A173" s="1">
        <v>1987</v>
      </c>
      <c r="B173" s="5">
        <f>(K63*($E63/365))+(K64*($E64/365))</f>
        <v>35.714285714285715</v>
      </c>
      <c r="C173" s="5">
        <f>(L63*($E63/365))+(L64*($E64/365))</f>
        <v>64.285714285714292</v>
      </c>
      <c r="D173" s="5">
        <f>(M63*($E63/365))+(M64*($E64/365))</f>
        <v>0</v>
      </c>
      <c r="E173" s="18">
        <f t="shared" si="34"/>
        <v>100</v>
      </c>
      <c r="G173" s="1">
        <v>1987</v>
      </c>
      <c r="H173" s="409">
        <f>(O63/$R63*100*($E63/365))+(O64/$R64*100*($E64/365))</f>
        <v>33.333333333333329</v>
      </c>
      <c r="I173" s="409"/>
      <c r="J173" s="409">
        <f>(P63/$R63*100*($E63/365))+(P64/$R64*100*($E64/365))</f>
        <v>66.666666666666657</v>
      </c>
      <c r="K173" s="409"/>
      <c r="L173" s="409">
        <f>(Q63/$R63*100*($E63/365))+(Q64/$R64*100*($E64/365))</f>
        <v>0</v>
      </c>
      <c r="M173" s="409"/>
      <c r="N173" s="379">
        <f t="shared" si="36"/>
        <v>99.999999999999986</v>
      </c>
      <c r="O173" s="379"/>
      <c r="R173" s="1">
        <v>1987</v>
      </c>
      <c r="S173" s="5">
        <f>(O63*($E63/365))+(O64*($E64/365))</f>
        <v>18</v>
      </c>
      <c r="T173" s="5">
        <f>(P63*($E63/365))+(P64*($E64/365))</f>
        <v>36</v>
      </c>
      <c r="U173" s="5">
        <f>(Q63*($E63/365))+(Q64*($E64/365))</f>
        <v>0</v>
      </c>
      <c r="V173" s="5"/>
      <c r="W173" s="5">
        <f t="shared" si="35"/>
        <v>54</v>
      </c>
    </row>
    <row r="174" spans="1:23" x14ac:dyDescent="0.15">
      <c r="A174" s="1">
        <v>1988</v>
      </c>
      <c r="B174" s="5">
        <f>(K65*($E65/366))+(K66*($E66/366))</f>
        <v>35.714285714285715</v>
      </c>
      <c r="C174" s="5">
        <f>(L65*($E65/366))+(L66*($E66/366))</f>
        <v>64.285714285714292</v>
      </c>
      <c r="D174" s="5">
        <f>(M65*($E65/366))+(M66*($E66/366))</f>
        <v>0</v>
      </c>
      <c r="E174" s="18">
        <f t="shared" si="34"/>
        <v>100</v>
      </c>
      <c r="G174" s="1">
        <v>1988</v>
      </c>
      <c r="H174" s="409">
        <f>(O65/$R65*100*($E65/366))+(O66/$R66*100*($E66/366))</f>
        <v>33.333333333333329</v>
      </c>
      <c r="I174" s="409"/>
      <c r="J174" s="409">
        <f>(P65/$R65*100*($E65/366))+(P66/$R66*100*($E66/366))</f>
        <v>66.666666666666657</v>
      </c>
      <c r="K174" s="409"/>
      <c r="L174" s="409">
        <f>(Q65/$R65*100*($E65/366))+(Q66/$R66*100*($E66/366))</f>
        <v>0</v>
      </c>
      <c r="M174" s="409"/>
      <c r="N174" s="379">
        <f t="shared" si="36"/>
        <v>99.999999999999986</v>
      </c>
      <c r="O174" s="379"/>
      <c r="R174" s="1">
        <v>1988</v>
      </c>
      <c r="S174" s="5">
        <f>(O65*($E65/366))+(O66*($E66/366))</f>
        <v>18</v>
      </c>
      <c r="T174" s="5">
        <f>(P65*($E65/366))+(P66*($E66/366))</f>
        <v>36</v>
      </c>
      <c r="U174" s="5">
        <f>(Q65*($E65/366))+(Q66*($E66/366))</f>
        <v>0</v>
      </c>
      <c r="V174" s="5"/>
      <c r="W174" s="5">
        <f t="shared" si="35"/>
        <v>54</v>
      </c>
    </row>
    <row r="175" spans="1:23" x14ac:dyDescent="0.15">
      <c r="A175" s="1">
        <v>1989</v>
      </c>
      <c r="B175" s="5">
        <f>(K67*($E67/365))+(K68*($E68/365))</f>
        <v>30.332681017612522</v>
      </c>
      <c r="C175" s="5">
        <f>(L67*($E67/365))+(L68*($E68/365))</f>
        <v>62.133072407045013</v>
      </c>
      <c r="D175" s="5">
        <f>(M67*($E67/365))+(M68*($E68/365))</f>
        <v>7.5342465753424657</v>
      </c>
      <c r="E175" s="18">
        <f t="shared" si="34"/>
        <v>100</v>
      </c>
      <c r="G175" s="1">
        <v>1989</v>
      </c>
      <c r="H175" s="409">
        <f>(O67/$R67*100*($E67/365))+(O68/$R68*100*($E68/365))</f>
        <v>28.310502283105016</v>
      </c>
      <c r="I175" s="409"/>
      <c r="J175" s="409">
        <f>(P67/$R67*100*($E67/365))+(P68/$R68*100*($E68/365))</f>
        <v>64.517158182289478</v>
      </c>
      <c r="K175" s="409"/>
      <c r="L175" s="409">
        <f>(Q67/$R67*100*($E67/365))+(Q68/$R68*100*($E68/365))</f>
        <v>7.1723395346054915</v>
      </c>
      <c r="M175" s="409"/>
      <c r="N175" s="379">
        <f t="shared" si="36"/>
        <v>100</v>
      </c>
      <c r="O175" s="379"/>
      <c r="R175" s="1">
        <v>1989</v>
      </c>
      <c r="S175" s="5">
        <f>(O67*($E67/365))+(O68*($E68/365))</f>
        <v>15.287671232876711</v>
      </c>
      <c r="T175" s="5">
        <f>(P67*($E67/365))+(P68*($E68/365))</f>
        <v>36</v>
      </c>
      <c r="U175" s="5">
        <f>(Q67*($E67/365))+(Q68*($E68/365))</f>
        <v>4.9273972602739731</v>
      </c>
      <c r="V175" s="5"/>
      <c r="W175" s="5">
        <f t="shared" si="35"/>
        <v>56.215068493150682</v>
      </c>
    </row>
    <row r="176" spans="1:23" x14ac:dyDescent="0.15">
      <c r="A176" s="1">
        <v>1990</v>
      </c>
      <c r="B176" s="5">
        <f>(K69*($E69/365))+(K70*($E70/365))</f>
        <v>0</v>
      </c>
      <c r="C176" s="5">
        <f>(L69*($E69/365))+(L70*($E70/365))</f>
        <v>50</v>
      </c>
      <c r="D176" s="5">
        <f>(M69*($E69/365))+(M70*($E70/365))</f>
        <v>50</v>
      </c>
      <c r="E176" s="18">
        <f t="shared" si="34"/>
        <v>100</v>
      </c>
      <c r="G176" s="1">
        <v>1990</v>
      </c>
      <c r="H176" s="409">
        <f>(O69/$R69*100*($E69/365))+(O70/$R70*100*($E70/365))</f>
        <v>0</v>
      </c>
      <c r="I176" s="409"/>
      <c r="J176" s="409">
        <f>(P69/$R69*100*($E69/365))+(P70/$R70*100*($E70/365))</f>
        <v>52.401746724890828</v>
      </c>
      <c r="K176" s="409"/>
      <c r="L176" s="409">
        <f>(Q69/$R69*100*($E69/365))+(Q70/$R70*100*($E70/365))</f>
        <v>47.598253275109172</v>
      </c>
      <c r="M176" s="409"/>
      <c r="N176" s="379">
        <f t="shared" si="36"/>
        <v>100</v>
      </c>
      <c r="O176" s="379"/>
      <c r="R176" s="1">
        <v>1990</v>
      </c>
      <c r="S176" s="5">
        <f>(O69*($E69/365))+(O70*($E70/365))</f>
        <v>0</v>
      </c>
      <c r="T176" s="5">
        <f>(P69*($E69/365))+(P70*($E70/365))</f>
        <v>36</v>
      </c>
      <c r="U176" s="5">
        <f>(Q69*($E69/365))+(Q70*($E70/365))</f>
        <v>32.700000000000003</v>
      </c>
      <c r="V176" s="5"/>
      <c r="W176" s="5">
        <f t="shared" si="35"/>
        <v>68.7</v>
      </c>
    </row>
    <row r="177" spans="1:23" x14ac:dyDescent="0.15">
      <c r="A177" s="1">
        <v>1991</v>
      </c>
      <c r="B177" s="5">
        <f>(K71*($E71/365))+(K72*($E72/365))</f>
        <v>0</v>
      </c>
      <c r="C177" s="5">
        <f>(L71*($E71/365))+(L72*($E72/365))</f>
        <v>50</v>
      </c>
      <c r="D177" s="5">
        <f>(M71*($E71/365))+(M72*($E72/365))</f>
        <v>50</v>
      </c>
      <c r="E177" s="18">
        <f t="shared" si="34"/>
        <v>100</v>
      </c>
      <c r="G177" s="1">
        <v>1991</v>
      </c>
      <c r="H177" s="409">
        <f>(O71/$R71*100*($E71/365))+(O72/$R72*100*($E72/365))</f>
        <v>0</v>
      </c>
      <c r="I177" s="409"/>
      <c r="J177" s="409">
        <f>(P71/$R71*100*($E71/365))+(P72/$R72*100*($E72/365))</f>
        <v>52.401746724890828</v>
      </c>
      <c r="K177" s="409"/>
      <c r="L177" s="409">
        <f>(Q71/$R71*100*($E71/365))+(Q72/$R72*100*($E72/365))</f>
        <v>47.598253275109172</v>
      </c>
      <c r="M177" s="409"/>
      <c r="N177" s="379">
        <f t="shared" si="36"/>
        <v>100</v>
      </c>
      <c r="O177" s="379"/>
      <c r="R177" s="1">
        <v>1991</v>
      </c>
      <c r="S177" s="5">
        <f>(O71*($E71/365))+(O72*($E72/365))</f>
        <v>0</v>
      </c>
      <c r="T177" s="5">
        <f>(P71*($E71/365))+(P72*($E72/365))</f>
        <v>36</v>
      </c>
      <c r="U177" s="5">
        <f>(Q71*($E71/365))+(Q72*($E72/365))</f>
        <v>32.700000000000003</v>
      </c>
      <c r="V177" s="5"/>
      <c r="W177" s="5">
        <f t="shared" si="35"/>
        <v>68.7</v>
      </c>
    </row>
    <row r="178" spans="1:23" x14ac:dyDescent="0.15">
      <c r="A178" s="1">
        <v>1992</v>
      </c>
      <c r="B178" s="5">
        <f>(K73*($E73/366))+(K74*($E74/366))</f>
        <v>0</v>
      </c>
      <c r="C178" s="5">
        <f>(L73*($E73/366))+(L74*($E74/366))</f>
        <v>50</v>
      </c>
      <c r="D178" s="5">
        <f>(M73*($E73/366))+(M74*($E74/366))</f>
        <v>50</v>
      </c>
      <c r="E178" s="18">
        <f t="shared" si="34"/>
        <v>100</v>
      </c>
      <c r="G178" s="1">
        <v>1992</v>
      </c>
      <c r="H178" s="409">
        <f>(O73/$R73*100*($E73/366))+(O74/$R74*100*($E74/366))</f>
        <v>0</v>
      </c>
      <c r="I178" s="409"/>
      <c r="J178" s="409">
        <f>(P73/$R73*100*($E73/366))+(P74/$R74*100*($E74/366))</f>
        <v>52.401746724890828</v>
      </c>
      <c r="K178" s="409"/>
      <c r="L178" s="409">
        <f>(Q73/$R73*100*($E73/366))+(Q74/$R74*100*($E74/366))</f>
        <v>47.598253275109172</v>
      </c>
      <c r="M178" s="409"/>
      <c r="N178" s="379">
        <f t="shared" si="36"/>
        <v>100</v>
      </c>
      <c r="O178" s="379"/>
      <c r="R178" s="1">
        <v>1992</v>
      </c>
      <c r="S178" s="5">
        <f>(O73*($E73/366))+(O74*($E74/366))</f>
        <v>0</v>
      </c>
      <c r="T178" s="5">
        <f>(P73*($E73/366))+(P74*($E74/366))</f>
        <v>36</v>
      </c>
      <c r="U178" s="5">
        <f>(Q73*($E73/366))+(Q74*($E74/366))</f>
        <v>32.700000000000003</v>
      </c>
      <c r="V178" s="5"/>
      <c r="W178" s="5">
        <f t="shared" si="35"/>
        <v>68.7</v>
      </c>
    </row>
    <row r="179" spans="1:23" x14ac:dyDescent="0.15">
      <c r="A179" s="1">
        <v>1993</v>
      </c>
      <c r="B179" s="5">
        <f>(K75*($E75/365))+(K76*($E76/365))</f>
        <v>0</v>
      </c>
      <c r="C179" s="5">
        <f>(L75*($E75/365))+(L76*($E76/365))</f>
        <v>50</v>
      </c>
      <c r="D179" s="5">
        <f>(M75*($E75/365))+(M76*($E76/365))</f>
        <v>50</v>
      </c>
      <c r="E179" s="18">
        <f t="shared" si="34"/>
        <v>100</v>
      </c>
      <c r="G179" s="1">
        <v>1993</v>
      </c>
      <c r="H179" s="409">
        <f>(O75/$R75*100*($E75/365))+(O76/$R76*100*($E76/365))</f>
        <v>0</v>
      </c>
      <c r="I179" s="409"/>
      <c r="J179" s="409">
        <f>(P75/$R75*100*($E75/365))+(P76/$R76*100*($E76/365))</f>
        <v>52.401746724890828</v>
      </c>
      <c r="K179" s="409"/>
      <c r="L179" s="409">
        <f>(Q75/$R75*100*($E75/365))+(Q76/$R76*100*($E76/365))</f>
        <v>47.598253275109172</v>
      </c>
      <c r="M179" s="409"/>
      <c r="N179" s="379">
        <f t="shared" si="36"/>
        <v>100</v>
      </c>
      <c r="O179" s="379"/>
      <c r="R179" s="1">
        <v>1993</v>
      </c>
      <c r="S179" s="5">
        <f>(O75*($E75/365))+(O76*($E76/365))</f>
        <v>0</v>
      </c>
      <c r="T179" s="5">
        <f>(P75*($E75/365))+(P76*($E76/365))</f>
        <v>36</v>
      </c>
      <c r="U179" s="5">
        <f>(Q75*($E75/365))+(Q76*($E76/365))</f>
        <v>32.700000000000003</v>
      </c>
      <c r="V179" s="5"/>
      <c r="W179" s="5">
        <f t="shared" si="35"/>
        <v>68.7</v>
      </c>
    </row>
    <row r="180" spans="1:23" x14ac:dyDescent="0.15">
      <c r="A180" s="1">
        <v>1994</v>
      </c>
      <c r="B180" s="5">
        <f>(K77*($E77/365))+(K78*($E78/365))</f>
        <v>12.915851272015656</v>
      </c>
      <c r="C180" s="5">
        <f>(L77*($E77/365))+(L78*($E78/365))</f>
        <v>42.250489236790607</v>
      </c>
      <c r="D180" s="5">
        <f>(M77*($E77/365))+(M78*($E78/365))</f>
        <v>44.833659491193742</v>
      </c>
      <c r="E180" s="18">
        <f t="shared" si="34"/>
        <v>100</v>
      </c>
      <c r="G180" s="1">
        <v>1994</v>
      </c>
      <c r="H180" s="409">
        <f>(O77/$R77*100*($E77/365))+(O78/$R78*100*($E78/365))</f>
        <v>12.192227031368523</v>
      </c>
      <c r="I180" s="409"/>
      <c r="J180" s="409">
        <f>(P77/$R77*100*($E77/365))+(P78/$R78*100*($E78/365))</f>
        <v>42.874921645425601</v>
      </c>
      <c r="K180" s="409"/>
      <c r="L180" s="409">
        <f>(Q77/$R77*100*($E77/365))+(Q78/$R78*100*($E78/365))</f>
        <v>44.932851323205874</v>
      </c>
      <c r="M180" s="409"/>
      <c r="N180" s="379">
        <f t="shared" si="36"/>
        <v>100</v>
      </c>
      <c r="O180" s="379"/>
      <c r="R180" s="1">
        <v>1994</v>
      </c>
      <c r="S180" s="5">
        <f>(O77*($E77/365))+(O78*($E78/365))</f>
        <v>7.4860273972602736</v>
      </c>
      <c r="T180" s="5">
        <f>(P77*($E77/365))+(P78*($E78/365))</f>
        <v>28.767123287671236</v>
      </c>
      <c r="U180" s="5">
        <f>(Q77*($E77/365))+(Q78*($E78/365))</f>
        <v>29.806849315068497</v>
      </c>
      <c r="V180" s="5"/>
      <c r="W180" s="5">
        <f t="shared" si="35"/>
        <v>66.06</v>
      </c>
    </row>
    <row r="181" spans="1:23" x14ac:dyDescent="0.15">
      <c r="A181" s="1">
        <v>1995</v>
      </c>
      <c r="B181" s="5">
        <f>(K79*($E79/365))+(K80*($E80/365))</f>
        <v>35.714285714285715</v>
      </c>
      <c r="C181" s="5">
        <f>(L79*($E79/365))+(L80*($E80/365))</f>
        <v>28.571428571428569</v>
      </c>
      <c r="D181" s="5">
        <f>(M79*($E79/365))+(M80*($E80/365))</f>
        <v>35.714285714285715</v>
      </c>
      <c r="E181" s="18">
        <f t="shared" si="34"/>
        <v>100</v>
      </c>
      <c r="G181" s="1">
        <v>1995</v>
      </c>
      <c r="H181" s="409">
        <f>(O79/$R79*100*($E79/365))+(O80/$R80*100*($E80/365))</f>
        <v>33.713355048859931</v>
      </c>
      <c r="I181" s="409"/>
      <c r="J181" s="409">
        <f>(P79/$R79*100*($E79/365))+(P80/$R80*100*($E80/365))</f>
        <v>26.058631921824098</v>
      </c>
      <c r="K181" s="409"/>
      <c r="L181" s="409">
        <f>(Q79/$R79*100*($E79/365))+(Q80/$R80*100*($E80/365))</f>
        <v>40.22801302931596</v>
      </c>
      <c r="M181" s="409"/>
      <c r="N181" s="379">
        <f t="shared" si="36"/>
        <v>99.999999999999986</v>
      </c>
      <c r="O181" s="379"/>
      <c r="R181" s="1">
        <v>1995</v>
      </c>
      <c r="S181" s="5">
        <f>(O79*($E79/365))+(O80*($E80/365))</f>
        <v>20.7</v>
      </c>
      <c r="T181" s="5">
        <f>(P79*($E79/365))+(P80*($E80/365))</f>
        <v>16</v>
      </c>
      <c r="U181" s="5">
        <f>(Q79*($E79/365))+(Q80*($E80/365))</f>
        <v>24.7</v>
      </c>
      <c r="V181" s="5"/>
      <c r="W181" s="5">
        <f t="shared" si="35"/>
        <v>61.400000000000006</v>
      </c>
    </row>
    <row r="182" spans="1:23" x14ac:dyDescent="0.15">
      <c r="A182" s="1">
        <v>1996</v>
      </c>
      <c r="B182" s="5">
        <f>(K81*($E81/366))+(K82*($E82/366))</f>
        <v>35.714285714285715</v>
      </c>
      <c r="C182" s="5">
        <f>(L81*($E81/366))+(L82*($E82/366))</f>
        <v>28.571428571428569</v>
      </c>
      <c r="D182" s="5">
        <f>(M81*($E81/366))+(M82*($E82/366))</f>
        <v>35.714285714285715</v>
      </c>
      <c r="E182" s="18">
        <f t="shared" si="34"/>
        <v>100</v>
      </c>
      <c r="G182" s="1">
        <v>1996</v>
      </c>
      <c r="H182" s="409">
        <f>(O81/$R81*100*($E81/366))+(O82/$R82*100*($E82/366))</f>
        <v>33.713355048859931</v>
      </c>
      <c r="I182" s="409"/>
      <c r="J182" s="409">
        <f>(P81/$R81*100*($E81/366))+(P82/$R82*100*($E82/366))</f>
        <v>26.058631921824098</v>
      </c>
      <c r="K182" s="409"/>
      <c r="L182" s="409">
        <f>(Q81/$R81*100*($E81/366))+(Q82/$R82*100*($E82/366))</f>
        <v>40.22801302931596</v>
      </c>
      <c r="M182" s="409"/>
      <c r="N182" s="379">
        <f t="shared" si="36"/>
        <v>99.999999999999986</v>
      </c>
      <c r="O182" s="379"/>
      <c r="R182" s="1">
        <v>1996</v>
      </c>
      <c r="S182" s="5">
        <f>(O81*($E81/366))+(O82*($E82/366))</f>
        <v>20.7</v>
      </c>
      <c r="T182" s="5">
        <f>(P81*($E81/366))+(P82*($E82/366))</f>
        <v>16</v>
      </c>
      <c r="U182" s="5">
        <f>(Q81*($E81/366))+(Q82*($E82/366))</f>
        <v>24.7</v>
      </c>
      <c r="V182" s="5"/>
      <c r="W182" s="5">
        <f t="shared" si="35"/>
        <v>61.400000000000006</v>
      </c>
    </row>
    <row r="183" spans="1:23" x14ac:dyDescent="0.15">
      <c r="A183" s="1">
        <v>1997</v>
      </c>
      <c r="B183" s="5">
        <f>(K83*($E83/365))+(K84*($E84/365))</f>
        <v>35.714285714285715</v>
      </c>
      <c r="C183" s="5">
        <f>(L83*($E83/365))+(L84*($E84/365))</f>
        <v>28.571428571428569</v>
      </c>
      <c r="D183" s="5">
        <f>(M83*($E83/365))+(M84*($E84/365))</f>
        <v>35.714285714285715</v>
      </c>
      <c r="E183" s="18">
        <f t="shared" si="34"/>
        <v>100</v>
      </c>
      <c r="G183" s="1">
        <v>1997</v>
      </c>
      <c r="H183" s="409">
        <f>(O83/$R83*100*($E83/365))+(O84/$R84*100*($E84/365))</f>
        <v>33.713355048859931</v>
      </c>
      <c r="I183" s="409"/>
      <c r="J183" s="409">
        <f>(P83/$R83*100*($E83/365))+(P84/$R84*100*($E84/365))</f>
        <v>26.058631921824098</v>
      </c>
      <c r="K183" s="409"/>
      <c r="L183" s="409">
        <f>(Q83/$R83*100*($E83/365))+(Q84/$R84*100*($E84/365))</f>
        <v>40.22801302931596</v>
      </c>
      <c r="M183" s="409"/>
      <c r="N183" s="379">
        <f t="shared" si="36"/>
        <v>99.999999999999986</v>
      </c>
      <c r="O183" s="379"/>
      <c r="R183" s="1">
        <v>1997</v>
      </c>
      <c r="S183" s="5">
        <f>(O83*($E83/365))+(O84*($E84/365))</f>
        <v>20.7</v>
      </c>
      <c r="T183" s="5">
        <f>(P83*($E83/365))+(P84*($E84/365))</f>
        <v>16</v>
      </c>
      <c r="U183" s="5">
        <f>(Q83*($E83/365))+(Q84*($E84/365))</f>
        <v>24.7</v>
      </c>
      <c r="V183" s="5"/>
      <c r="W183" s="5">
        <f t="shared" si="35"/>
        <v>61.400000000000006</v>
      </c>
    </row>
    <row r="184" spans="1:23" x14ac:dyDescent="0.15">
      <c r="A184" s="1">
        <v>1998</v>
      </c>
      <c r="B184" s="5">
        <f>(K85*($E85/365))+(K86*($E86/365))</f>
        <v>38.669275929549904</v>
      </c>
      <c r="C184" s="5">
        <f>(L85*($E85/365))+(L86*($E86/365))</f>
        <v>25.616438356164384</v>
      </c>
      <c r="D184" s="5">
        <f>(M85*($E85/365))+(M86*($E86/365))</f>
        <v>35.714285714285715</v>
      </c>
      <c r="E184" s="18">
        <f t="shared" si="34"/>
        <v>100</v>
      </c>
      <c r="G184" s="1">
        <v>1998</v>
      </c>
      <c r="H184" s="409">
        <f>(O85/$R85*100*($E85/365))+(O86/$R86*100*($E86/365))</f>
        <v>35.968315260929614</v>
      </c>
      <c r="I184" s="409"/>
      <c r="J184" s="409">
        <f>(P85/$R85*100*($E85/365))+(P86/$R86*100*($E86/365))</f>
        <v>21.233934905639135</v>
      </c>
      <c r="K184" s="409"/>
      <c r="L184" s="409">
        <f>(Q85/$R85*100*($E85/365))+(Q86/$R86*100*($E86/365))</f>
        <v>42.797749833431254</v>
      </c>
      <c r="M184" s="409"/>
      <c r="N184" s="379">
        <f t="shared" si="36"/>
        <v>100</v>
      </c>
      <c r="O184" s="379"/>
      <c r="R184" s="1">
        <v>1998</v>
      </c>
      <c r="S184" s="5">
        <f>(O85*($E85/365))+(O86*($E86/365))</f>
        <v>22.603013698630136</v>
      </c>
      <c r="T184" s="5">
        <f>(P85*($E85/365))+(P86*($E86/365))</f>
        <v>13.228219178082192</v>
      </c>
      <c r="U184" s="5">
        <f>(Q85*($E85/365))+(Q86*($E86/365))</f>
        <v>26.89260273972603</v>
      </c>
      <c r="V184" s="5"/>
      <c r="W184" s="5">
        <f t="shared" si="35"/>
        <v>62.723835616438357</v>
      </c>
    </row>
    <row r="185" spans="1:23" x14ac:dyDescent="0.15">
      <c r="A185" s="1">
        <v>1999</v>
      </c>
      <c r="B185" s="5">
        <f>(K87*($E87/365))+(K88*($E88/365))</f>
        <v>40</v>
      </c>
      <c r="C185" s="5">
        <f>(L87*($E87/365))+(L88*($E88/365))</f>
        <v>20</v>
      </c>
      <c r="D185" s="5">
        <f>(M87*($E87/365))+(M88*($E88/365))</f>
        <v>40</v>
      </c>
      <c r="E185" s="18">
        <f t="shared" si="34"/>
        <v>100</v>
      </c>
      <c r="G185" s="1">
        <v>1999</v>
      </c>
      <c r="H185" s="409">
        <f>(O87/$R87*100*($E87/365))+(O88/$R88*100*($E88/365))</f>
        <v>39.164086687306501</v>
      </c>
      <c r="I185" s="409"/>
      <c r="J185" s="409">
        <f>(P87/$R87*100*($E87/365))+(P88/$R88*100*($E88/365))</f>
        <v>14.396284829721365</v>
      </c>
      <c r="K185" s="409"/>
      <c r="L185" s="409">
        <f>(Q87/$R87*100*($E87/365))+(Q88/$R88*100*($E88/365))</f>
        <v>46.43962848297214</v>
      </c>
      <c r="M185" s="409"/>
      <c r="N185" s="379">
        <f t="shared" si="36"/>
        <v>100</v>
      </c>
      <c r="O185" s="379"/>
      <c r="R185" s="1">
        <v>1999</v>
      </c>
      <c r="S185" s="5">
        <f>(O87*($E87/365))+(O88*($E88/365))</f>
        <v>25.3</v>
      </c>
      <c r="T185" s="5">
        <f>(P87*($E87/365))+(P88*($E88/365))</f>
        <v>9.3000000000000007</v>
      </c>
      <c r="U185" s="5">
        <f>(Q87*($E87/365))+(Q88*($E88/365))</f>
        <v>30</v>
      </c>
      <c r="V185" s="5"/>
      <c r="W185" s="5">
        <f t="shared" si="35"/>
        <v>64.599999999999994</v>
      </c>
    </row>
    <row r="186" spans="1:23" x14ac:dyDescent="0.15">
      <c r="A186" s="1">
        <v>2000</v>
      </c>
      <c r="B186" s="5">
        <f>(K89*($E89/366))+(K90*($E90/366))</f>
        <v>40</v>
      </c>
      <c r="C186" s="5">
        <f>(L89*($E89/366))+(L90*($E90/366))</f>
        <v>20</v>
      </c>
      <c r="D186" s="5">
        <f>(M89*($E89/366))+(M90*($E90/366))</f>
        <v>40</v>
      </c>
      <c r="E186" s="18">
        <f t="shared" si="34"/>
        <v>100</v>
      </c>
      <c r="G186" s="1">
        <v>2000</v>
      </c>
      <c r="H186" s="409">
        <f>(O89/$R89*100*($E89/366))+(O90/$R90*100*($E90/366))</f>
        <v>39.164086687306501</v>
      </c>
      <c r="I186" s="409"/>
      <c r="J186" s="409">
        <f>(P89/$R89*100*($E89/366))+(P90/$R90*100*($E90/366))</f>
        <v>14.396284829721365</v>
      </c>
      <c r="K186" s="409"/>
      <c r="L186" s="409">
        <f>(Q89/$R89*100*($E89/366))+(Q90/$R90*100*($E90/366))</f>
        <v>46.43962848297214</v>
      </c>
      <c r="M186" s="409"/>
      <c r="N186" s="379">
        <f t="shared" si="36"/>
        <v>100</v>
      </c>
      <c r="O186" s="379"/>
      <c r="R186" s="1">
        <v>2000</v>
      </c>
      <c r="S186" s="5">
        <f>(O89*($E89/366))+(O90*($E90/366))</f>
        <v>25.3</v>
      </c>
      <c r="T186" s="5">
        <f>(P89*($E89/366))+(P90*($E90/366))</f>
        <v>9.3000000000000007</v>
      </c>
      <c r="U186" s="5">
        <f>(Q89*($E89/366))+(Q90*($E90/366))</f>
        <v>30</v>
      </c>
      <c r="V186" s="5"/>
      <c r="W186" s="5">
        <f t="shared" si="35"/>
        <v>64.599999999999994</v>
      </c>
    </row>
    <row r="187" spans="1:23" x14ac:dyDescent="0.15">
      <c r="A187" s="1">
        <v>2001</v>
      </c>
      <c r="B187" s="5">
        <f>(K91*($E91/365))+(K92*($E92/365))</f>
        <v>40</v>
      </c>
      <c r="C187" s="5">
        <f>(L91*($E91/365))+(L92*($E92/365))</f>
        <v>20</v>
      </c>
      <c r="D187" s="5">
        <f>(M91*($E91/365))+(M92*($E92/365))</f>
        <v>40</v>
      </c>
      <c r="E187" s="18">
        <f t="shared" si="34"/>
        <v>100</v>
      </c>
      <c r="G187" s="1">
        <v>2001</v>
      </c>
      <c r="H187" s="409">
        <f>(O91/$R91*100*($E91/365))+(O92/$R92*100*($E92/365))</f>
        <v>39.164086687306501</v>
      </c>
      <c r="I187" s="409"/>
      <c r="J187" s="409">
        <f>(P91/$R91*100*($E91/365))+(P92/$R92*100*($E92/365))</f>
        <v>14.396284829721365</v>
      </c>
      <c r="K187" s="409"/>
      <c r="L187" s="409">
        <f>(Q91/$R91*100*($E91/365))+(Q92/$R92*100*($E92/365))</f>
        <v>46.43962848297214</v>
      </c>
      <c r="M187" s="409"/>
      <c r="N187" s="379">
        <f t="shared" si="36"/>
        <v>100</v>
      </c>
      <c r="O187" s="379"/>
      <c r="R187" s="1">
        <v>2001</v>
      </c>
      <c r="S187" s="5">
        <f>(O91*($E91/365))+(O92*($E92/365))</f>
        <v>25.3</v>
      </c>
      <c r="T187" s="5">
        <f>(P91*($E91/365))+(P92*($E92/365))</f>
        <v>9.3000000000000007</v>
      </c>
      <c r="U187" s="5">
        <f>(Q91*($E91/365))+(Q92*($E92/365))</f>
        <v>30</v>
      </c>
      <c r="V187" s="5"/>
      <c r="W187" s="5">
        <f t="shared" si="35"/>
        <v>64.599999999999994</v>
      </c>
    </row>
    <row r="188" spans="1:23" x14ac:dyDescent="0.15">
      <c r="A188" s="1">
        <v>2002</v>
      </c>
      <c r="B188" s="5">
        <f>(K93*($E93/365))+(K94*($E94/365))+(K95*($E95/365))+(K96*($E96/365))+(K97*($E97/365))</f>
        <v>39.422166874221666</v>
      </c>
      <c r="C188" s="5">
        <f>(L93*($E93/365))+(L94*($E94/365))+(L95*($E95/365))+(L96*($E96/365))+(L97*($E97/365))</f>
        <v>38.440846824408467</v>
      </c>
      <c r="D188" s="5">
        <f>(M93*($E93/365))+(M94*($E94/365))+(M95*($E95/365))+(M96*($E96/365))+(M97*($E97/365))</f>
        <v>22.136986301369863</v>
      </c>
      <c r="E188" s="18">
        <f t="shared" si="34"/>
        <v>100</v>
      </c>
      <c r="G188" s="1">
        <v>2002</v>
      </c>
      <c r="H188" s="409">
        <f>(O93/$R93*100*($E93/365))+(O94/$R94*100*($E94/365))+(O95/$R95*100*($E95/365))+(O96/$R96*100*($E96/365))+(O97/$R97*100*($E97/365))</f>
        <v>41.880355874465941</v>
      </c>
      <c r="I188" s="409"/>
      <c r="J188" s="409">
        <f>(P93/$R93*100*($E93/365))+(P94/$R94*100*($E94/365))+(P95/$R95*100*($E95/365))+(P96/$R96*100*($E96/365))+(P97/$R97*100*($E97/365))</f>
        <v>32.418808636327554</v>
      </c>
      <c r="K188" s="409"/>
      <c r="L188" s="409">
        <f>(Q93/$R93*100*($E93/365))+(Q94/$R94*100*($E94/365))+(Q95/$R95*100*($E95/365))+(Q96/$R96*100*($E96/365))+(Q97/$R97*100*($E97/365))</f>
        <v>25.700835489206501</v>
      </c>
      <c r="M188" s="409"/>
      <c r="N188" s="379">
        <f t="shared" si="36"/>
        <v>100</v>
      </c>
      <c r="O188" s="379"/>
      <c r="R188" s="1">
        <v>2002</v>
      </c>
      <c r="S188" s="5">
        <f>(O93*($E93/365))+(O94*($E94/365))+(O95*($E95/365))+(O96*($E96/365))+(O97*($E97/365))</f>
        <v>25.223013698630133</v>
      </c>
      <c r="T188" s="5">
        <f>(P93*($E93/365))+(P94*($E94/365))+(P95*($E95/365))+(P96*($E96/365))+(P97*($E97/365))</f>
        <v>17.963561643835614</v>
      </c>
      <c r="U188" s="5">
        <f>(Q93*($E93/365))+(Q94*($E94/365))+(Q95*($E95/365))+(Q96*($E96/365))+(Q97*($E97/365))</f>
        <v>16.602739726027398</v>
      </c>
      <c r="V188" s="5"/>
      <c r="W188" s="5">
        <f t="shared" si="35"/>
        <v>59.789315068493138</v>
      </c>
    </row>
    <row r="189" spans="1:23" x14ac:dyDescent="0.15">
      <c r="A189" s="1">
        <v>2003</v>
      </c>
      <c r="B189" s="5">
        <f>(K98*($E98/365))+(K99*($E99/365))</f>
        <v>32.5</v>
      </c>
      <c r="C189" s="5">
        <f>(L98*($E98/365))+(L99*($E99/365))</f>
        <v>67.5</v>
      </c>
      <c r="D189" s="5">
        <f>(M98*($E98/365))+(M99*($E99/365))</f>
        <v>0</v>
      </c>
      <c r="E189" s="18">
        <f t="shared" si="34"/>
        <v>100</v>
      </c>
      <c r="G189" s="1">
        <v>2003</v>
      </c>
      <c r="H189" s="409">
        <f>(O98/$R98*100*($E98/365))+(O99/$R99*100*($E99/365))</f>
        <v>35.894596454999139</v>
      </c>
      <c r="I189" s="409"/>
      <c r="J189" s="409">
        <f>(P98/$R98*100*($E98/365))+(P99/$R99*100*($E99/365))</f>
        <v>64.105403545000854</v>
      </c>
      <c r="K189" s="409"/>
      <c r="L189" s="409">
        <f>(Q98/$R98*100*($E98/365))+(Q99/$R99*100*($E99/365))</f>
        <v>0</v>
      </c>
      <c r="M189" s="409"/>
      <c r="N189" s="379">
        <f t="shared" si="36"/>
        <v>100</v>
      </c>
      <c r="O189" s="379"/>
      <c r="R189" s="1">
        <v>2003</v>
      </c>
      <c r="S189" s="5">
        <f>(O98*($E98/365))+(O99*($E99/365))</f>
        <v>17.619999999999997</v>
      </c>
      <c r="T189" s="5">
        <f>(P98*($E98/365))+(P99*($E99/365))</f>
        <v>31.459999999999997</v>
      </c>
      <c r="U189" s="5">
        <f>(Q98*($E98/365))+(Q99*($E99/365))</f>
        <v>0</v>
      </c>
      <c r="V189" s="5"/>
      <c r="W189" s="5">
        <f t="shared" si="35"/>
        <v>49.08</v>
      </c>
    </row>
    <row r="190" spans="1:23" x14ac:dyDescent="0.15">
      <c r="A190" s="1">
        <v>2004</v>
      </c>
      <c r="B190" s="5">
        <f>(K100*($E100/366))+(K101*($E101/366))</f>
        <v>37.5</v>
      </c>
      <c r="C190" s="5">
        <f>(L100*($E100/366))+(L101*($E101/366))</f>
        <v>62.5</v>
      </c>
      <c r="D190" s="5">
        <f>(M100*($E100/366))+(M101*($E101/366))</f>
        <v>0</v>
      </c>
      <c r="E190" s="18">
        <f t="shared" si="34"/>
        <v>100</v>
      </c>
      <c r="G190" s="1">
        <v>2004</v>
      </c>
      <c r="H190" s="409">
        <f>(O100/$R100*100*($E100/366))+(O101/$R101*100*($E101/366))</f>
        <v>35.96153846153846</v>
      </c>
      <c r="I190" s="409"/>
      <c r="J190" s="409">
        <f>(P100/$R100*100*($E100/366))+(P101/$R101*100*($E101/366))</f>
        <v>64.038461538461533</v>
      </c>
      <c r="K190" s="409"/>
      <c r="L190" s="409">
        <f>(Q100/$R100*100*($E100/366))+(Q101/$R101*100*($E101/366))</f>
        <v>0</v>
      </c>
      <c r="M190" s="409"/>
      <c r="N190" s="379">
        <f t="shared" si="36"/>
        <v>100</v>
      </c>
      <c r="O190" s="379"/>
      <c r="R190" s="1">
        <v>2004</v>
      </c>
      <c r="S190" s="5">
        <f>(O100*($E100/366))+(O101*($E101/366))</f>
        <v>18.7</v>
      </c>
      <c r="T190" s="5">
        <f>(P100*($E100/366))+(P101*($E101/366))</f>
        <v>33.299999999999997</v>
      </c>
      <c r="U190" s="5">
        <f>(Q100*($E100/366))+(Q101*($E101/366))</f>
        <v>0</v>
      </c>
      <c r="V190" s="5"/>
      <c r="W190" s="5">
        <f t="shared" si="35"/>
        <v>52</v>
      </c>
    </row>
    <row r="191" spans="1:23" x14ac:dyDescent="0.15">
      <c r="A191" s="1">
        <v>2005</v>
      </c>
      <c r="B191" s="5">
        <f>(K102*($E102/365))+(K103*($E103/365))</f>
        <v>37.5</v>
      </c>
      <c r="C191" s="5">
        <f>(L102*($E102/365))+(L103*($E103/365))</f>
        <v>62.5</v>
      </c>
      <c r="D191" s="5">
        <f>(M102*($E102/365))+(M103*($E103/365))</f>
        <v>0</v>
      </c>
      <c r="E191" s="18">
        <f t="shared" si="34"/>
        <v>100</v>
      </c>
      <c r="G191" s="1">
        <v>2005</v>
      </c>
      <c r="H191" s="409">
        <f>(O102/$R102*100*($E102/365))+(O103/$R103*100*($E103/365))</f>
        <v>35.96153846153846</v>
      </c>
      <c r="I191" s="409"/>
      <c r="J191" s="409">
        <f>(P102/$R102*100*($E102/365))+(P103/$R103*100*($E103/365))</f>
        <v>64.038461538461533</v>
      </c>
      <c r="K191" s="409"/>
      <c r="L191" s="409">
        <f>(Q102/$R102*100*($E102/365))+(Q103/$R103*100*($E103/365))</f>
        <v>0</v>
      </c>
      <c r="M191" s="409"/>
      <c r="N191" s="379">
        <f t="shared" si="36"/>
        <v>100</v>
      </c>
      <c r="O191" s="379"/>
      <c r="R191" s="1">
        <v>2005</v>
      </c>
      <c r="S191" s="5">
        <f>(O102*($E102/365))+(O103*($E103/365))</f>
        <v>18.7</v>
      </c>
      <c r="T191" s="5">
        <f>(P102*($E102/365))+(P103*($E103/365))</f>
        <v>33.299999999999997</v>
      </c>
      <c r="U191" s="5">
        <f>(Q102*($E102/365))+(Q103*($E103/365))</f>
        <v>0</v>
      </c>
      <c r="V191" s="5"/>
      <c r="W191" s="5">
        <f t="shared" si="35"/>
        <v>52</v>
      </c>
    </row>
    <row r="192" spans="1:23" x14ac:dyDescent="0.15">
      <c r="A192" s="1">
        <v>2006</v>
      </c>
      <c r="B192" s="5">
        <f>(K104*($E104/365))+(K105*($E105/365))</f>
        <v>40.547945205479451</v>
      </c>
      <c r="C192" s="5">
        <f>(L104*($E104/365))+(L105*($E105/365))</f>
        <v>59.452054794520549</v>
      </c>
      <c r="D192" s="5">
        <f>(M104*($E104/365))+(M105*($E105/365))</f>
        <v>0</v>
      </c>
      <c r="E192" s="18">
        <f t="shared" si="34"/>
        <v>100</v>
      </c>
      <c r="G192" s="1">
        <v>2006</v>
      </c>
      <c r="H192" s="409">
        <f>(O104/$R104*100*($E104/365))+(O105/$R105*100*($E105/365))</f>
        <v>37.422989111345274</v>
      </c>
      <c r="I192" s="409"/>
      <c r="J192" s="409">
        <f>(P104/$R104*100*($E104/365))+(P105/$R105*100*($E105/365))</f>
        <v>62.577010888654726</v>
      </c>
      <c r="K192" s="409"/>
      <c r="L192" s="409">
        <f>(Q104/$R104*100*($E104/365))+(Q105/$R105*100*($E105/365))</f>
        <v>0</v>
      </c>
      <c r="M192" s="409"/>
      <c r="N192" s="379">
        <f t="shared" si="36"/>
        <v>100</v>
      </c>
      <c r="O192" s="379"/>
      <c r="R192" s="1">
        <v>2006</v>
      </c>
      <c r="S192" s="5">
        <f>(O104*($E104/365))+(O105*($E105/365))</f>
        <v>18.7</v>
      </c>
      <c r="T192" s="5">
        <f>(P104*($E104/365))+(P105*($E105/365))</f>
        <v>31.349315068493148</v>
      </c>
      <c r="U192" s="5">
        <f>(Q104*($E104/365))+(Q105*($E105/365))</f>
        <v>0</v>
      </c>
      <c r="V192" s="5"/>
      <c r="W192" s="5">
        <f t="shared" si="35"/>
        <v>50.049315068493144</v>
      </c>
    </row>
    <row r="193" spans="1:23" x14ac:dyDescent="0.15">
      <c r="A193" s="1">
        <v>2007</v>
      </c>
      <c r="B193" s="5">
        <f>(K106*($E106/365))+(K107*($E107/365))</f>
        <v>6.2328767123287667</v>
      </c>
      <c r="C193" s="5">
        <f>(L106*($E106/365))+(L107*($E107/365))</f>
        <v>61.609589041095894</v>
      </c>
      <c r="D193" s="5">
        <f>(M106*($E106/365))+(M107*($E107/365))</f>
        <v>32.157534246575345</v>
      </c>
      <c r="E193" s="18">
        <f t="shared" si="34"/>
        <v>100</v>
      </c>
      <c r="G193" s="1">
        <v>2007</v>
      </c>
      <c r="H193" s="409">
        <f>(O106/$R106*100*($E106/365))+(O107/$R107*100*($E107/365))</f>
        <v>5.5502283105022832</v>
      </c>
      <c r="I193" s="409"/>
      <c r="J193" s="409">
        <f>(P106/$R106*100*($E106/365))+(P107/$R107*100*($E107/365))</f>
        <v>59.05436188713837</v>
      </c>
      <c r="K193" s="409"/>
      <c r="L193" s="409">
        <f>(Q106/$R106*100*($E106/365))+(Q107/$R107*100*($E107/365))</f>
        <v>35.395409802359353</v>
      </c>
      <c r="M193" s="409"/>
      <c r="N193" s="379">
        <f t="shared" si="36"/>
        <v>100</v>
      </c>
      <c r="O193" s="379"/>
      <c r="R193" s="1">
        <v>2007</v>
      </c>
      <c r="S193" s="5">
        <f>(O106*($E106/365))+(O107*($E107/365))</f>
        <v>2.6641095890410957</v>
      </c>
      <c r="T193" s="5">
        <f>(P106*($E106/365))+(P107*($E107/365))</f>
        <v>31.015068493150686</v>
      </c>
      <c r="U193" s="5">
        <f>(Q106*($E106/365))+(Q107*($E107/365))</f>
        <v>18.865753424657534</v>
      </c>
      <c r="V193" s="5"/>
      <c r="W193" s="5">
        <f t="shared" si="35"/>
        <v>52.544931506849316</v>
      </c>
    </row>
    <row r="194" spans="1:23" x14ac:dyDescent="0.15">
      <c r="A194" s="1">
        <v>2008</v>
      </c>
      <c r="B194" s="5">
        <f>(K108*($E108/366))+(K109*($E109/366))</f>
        <v>0</v>
      </c>
      <c r="C194" s="5">
        <f>(L108*($E108/366))+(L109*($E109/366))</f>
        <v>62.5</v>
      </c>
      <c r="D194" s="5">
        <f>(M108*($E108/366))+(M109*($E109/366))</f>
        <v>37.5</v>
      </c>
      <c r="E194" s="18">
        <f t="shared" si="34"/>
        <v>100</v>
      </c>
      <c r="G194" s="1">
        <v>2008</v>
      </c>
      <c r="H194" s="409">
        <f>(O108/$R108*100*($E108/366))+(O109/$R109*100*($E109/366))</f>
        <v>0</v>
      </c>
      <c r="I194" s="409"/>
      <c r="J194" s="409">
        <f>(P108/$R108*100*($E108/366))+(P109/$R109*100*($E109/366))</f>
        <v>58.724202626641656</v>
      </c>
      <c r="K194" s="409"/>
      <c r="L194" s="409">
        <f>(Q108/$R108*100*($E108/366))+(Q109/$R109*100*($E109/366))</f>
        <v>41.275797373358351</v>
      </c>
      <c r="M194" s="409"/>
      <c r="N194" s="379">
        <f t="shared" si="36"/>
        <v>100</v>
      </c>
      <c r="O194" s="379"/>
      <c r="R194" s="1">
        <v>2008</v>
      </c>
      <c r="S194" s="5">
        <f>(O108*($E108/366))+(O109*($E109/366))</f>
        <v>0</v>
      </c>
      <c r="T194" s="5">
        <f>(P108*($E108/366))+(P109*($E109/366))</f>
        <v>31.3</v>
      </c>
      <c r="U194" s="5">
        <f>(Q108*($E108/366))+(Q109*($E109/366))</f>
        <v>22</v>
      </c>
      <c r="V194" s="5"/>
      <c r="W194" s="5">
        <f t="shared" si="35"/>
        <v>53.3</v>
      </c>
    </row>
    <row r="195" spans="1:23" x14ac:dyDescent="0.15">
      <c r="A195" s="1">
        <v>2009</v>
      </c>
      <c r="B195" s="5">
        <f>(K110*($E110/365))+(K111*($E111/365))</f>
        <v>0</v>
      </c>
      <c r="C195" s="5">
        <f>(L110*($E110/365))+(L111*($E111/365))</f>
        <v>62.5</v>
      </c>
      <c r="D195" s="5">
        <f>(M110*($E110/365))+(M111*($E111/365))</f>
        <v>37.5</v>
      </c>
      <c r="E195" s="18">
        <f t="shared" si="34"/>
        <v>100</v>
      </c>
      <c r="G195" s="1">
        <v>2009</v>
      </c>
      <c r="H195" s="409">
        <f>(O110/$R110*100*($E110/365))+(O111/$R111*100*($E111/365))</f>
        <v>0</v>
      </c>
      <c r="I195" s="409"/>
      <c r="J195" s="409">
        <f>(P110/$R110*100*($E110/365))+(P111/$R111*100*($E111/365))</f>
        <v>58.724202626641656</v>
      </c>
      <c r="K195" s="409"/>
      <c r="L195" s="409">
        <f>(Q110/$R110*100*($E110/365))+(Q111/$R111*100*($E111/365))</f>
        <v>41.275797373358351</v>
      </c>
      <c r="M195" s="409"/>
      <c r="N195" s="379">
        <f t="shared" si="36"/>
        <v>100</v>
      </c>
      <c r="O195" s="379"/>
      <c r="R195" s="1">
        <v>2009</v>
      </c>
      <c r="S195" s="5">
        <f>(O110*($E110/365))+(O111*($E111/365))</f>
        <v>0</v>
      </c>
      <c r="T195" s="5">
        <f>(P110*($E110/365))+(P111*($E111/365))</f>
        <v>31.3</v>
      </c>
      <c r="U195" s="5">
        <f>(Q110*($E110/365))+(Q111*($E111/365))</f>
        <v>22</v>
      </c>
      <c r="V195" s="5"/>
      <c r="W195" s="5">
        <f t="shared" si="35"/>
        <v>53.3</v>
      </c>
    </row>
    <row r="196" spans="1:23" x14ac:dyDescent="0.15">
      <c r="A196" s="1">
        <v>2010</v>
      </c>
      <c r="B196" s="5">
        <f>(K112*($E112/365))+(K113*($E113/365))+(K114*($E114/365))</f>
        <v>10.821917808219178</v>
      </c>
      <c r="C196" s="5">
        <f>(L112*($E112/365))+(L113*($E113/365))+(L114*($E114/365))</f>
        <v>84.041095890410958</v>
      </c>
      <c r="D196" s="5">
        <f>(M112*($E112/365))+(M113*($E113/365))+(M114*($E114/365))</f>
        <v>5.1369863013698627</v>
      </c>
      <c r="E196" s="18">
        <f t="shared" si="34"/>
        <v>100</v>
      </c>
      <c r="G196" s="1">
        <v>2010</v>
      </c>
      <c r="H196" s="409">
        <f>(O112/$R112*100*($E112/365))+(O113/$R113*100*($E113/365))+(O114/$R114*100*($E114/365))</f>
        <v>12.91145237061308</v>
      </c>
      <c r="I196" s="409"/>
      <c r="J196" s="409">
        <f>(P112/$R112*100*($E112/365))+(P113/$R113*100*($E113/365))+(P114/$R114*100*($E114/365))</f>
        <v>81.434328811118647</v>
      </c>
      <c r="K196" s="409"/>
      <c r="L196" s="409">
        <f>(Q112/$R112*100*($E112/365))+(Q113/$R113*100*($E113/365))+(Q114/$R114*100*($E114/365))</f>
        <v>5.6542188182682667</v>
      </c>
      <c r="M196" s="409"/>
      <c r="N196" s="379">
        <f t="shared" si="36"/>
        <v>99.999999999999986</v>
      </c>
      <c r="O196" s="379"/>
      <c r="R196" s="1">
        <v>2010</v>
      </c>
      <c r="S196" s="5">
        <f>(O112*($E112/365))+(O113*($E113/365))+(O114*($E114/365))</f>
        <v>4.4802739726027392</v>
      </c>
      <c r="T196" s="5">
        <f>(P112*($E112/365))+(P113*($E113/365))+(P114*($E114/365))</f>
        <v>27.555616438356161</v>
      </c>
      <c r="U196" s="5">
        <f>(Q112*($E112/365))+(Q113*($E113/365))+(Q114*($E114/365))</f>
        <v>3.0136986301369859</v>
      </c>
      <c r="V196" s="5"/>
      <c r="W196" s="5">
        <f t="shared" si="35"/>
        <v>35.049589041095885</v>
      </c>
    </row>
    <row r="197" spans="1:23" x14ac:dyDescent="0.15">
      <c r="A197" s="1">
        <v>2011</v>
      </c>
      <c r="B197" s="5">
        <f>(K115*($E115/365))+(K116*($E116/365))</f>
        <v>50</v>
      </c>
      <c r="C197" s="5">
        <f>(L115*($E115/365))+(L116*($E116/365))</f>
        <v>50</v>
      </c>
      <c r="D197" s="5">
        <f>(M115*($E115/365))+(M116*($E116/365))</f>
        <v>0</v>
      </c>
      <c r="E197" s="18">
        <f t="shared" si="34"/>
        <v>100</v>
      </c>
      <c r="G197" s="1">
        <v>2011</v>
      </c>
      <c r="H197" s="409">
        <f>(O115/$R115*100*($E115/365))+(O116/$R116*100*($E116/365))</f>
        <v>59.654178674351577</v>
      </c>
      <c r="I197" s="409"/>
      <c r="J197" s="409">
        <f>(P115/$R115*100*($E115/365))+(P116/$R116*100*($E116/365))</f>
        <v>40.345821325648416</v>
      </c>
      <c r="K197" s="409"/>
      <c r="L197" s="409">
        <f>(Q115/$R115*100*($E115/365))+(Q116/$R116*100*($E116/365))</f>
        <v>0</v>
      </c>
      <c r="M197" s="409"/>
      <c r="N197" s="379">
        <f t="shared" si="36"/>
        <v>100</v>
      </c>
      <c r="O197" s="379"/>
      <c r="R197" s="1">
        <v>2011</v>
      </c>
      <c r="S197" s="5">
        <f>(O115*($E115/365))+(O116*($E116/365))</f>
        <v>20.7</v>
      </c>
      <c r="T197" s="5">
        <f>(P115*($E115/365))+(P116*($E116/365))</f>
        <v>14</v>
      </c>
      <c r="U197" s="5">
        <f>(Q115*($E115/365))+(Q116*($E116/365))</f>
        <v>0</v>
      </c>
      <c r="V197" s="5"/>
      <c r="W197" s="5">
        <f t="shared" si="35"/>
        <v>34.700000000000003</v>
      </c>
    </row>
    <row r="198" spans="1:23" x14ac:dyDescent="0.15">
      <c r="A198" s="1">
        <v>2012</v>
      </c>
      <c r="B198" s="5">
        <f>(K117*($E117/366))+(K118*($E118/366))</f>
        <v>50.598991172761671</v>
      </c>
      <c r="C198" s="5">
        <f>(L117*($E117/366))+(L118*($E118/366))</f>
        <v>42.213114754098363</v>
      </c>
      <c r="D198" s="5">
        <f>(M117*($E117/366))+(M118*($E118/366))</f>
        <v>7.187894073139975</v>
      </c>
      <c r="E198" s="18">
        <f t="shared" si="34"/>
        <v>100</v>
      </c>
      <c r="G198" s="1">
        <v>2012</v>
      </c>
      <c r="H198" s="409">
        <f>(O117/$R117*100*($E117/366))+(O118/$R118*100*($E118/366))</f>
        <v>58.446738331655865</v>
      </c>
      <c r="I198" s="409"/>
      <c r="J198" s="409">
        <f>(P117/$R117*100*($E117/366))+(P118/$R118*100*($E118/366))</f>
        <v>34.062455709358908</v>
      </c>
      <c r="K198" s="409"/>
      <c r="L198" s="409">
        <f>(Q117/$R117*100*($E117/366))+(Q118/$R118*100*($E118/366))</f>
        <v>7.4908059589852272</v>
      </c>
      <c r="M198" s="409"/>
      <c r="N198" s="379">
        <f t="shared" si="36"/>
        <v>100</v>
      </c>
      <c r="O198" s="379"/>
      <c r="R198" s="1">
        <v>2012</v>
      </c>
      <c r="S198" s="5">
        <f>(O117*($E117/366))+(O118*($E118/366))</f>
        <v>21.727868852459014</v>
      </c>
      <c r="T198" s="5">
        <f>(P117*($E117/366))+(P118*($E118/366))</f>
        <v>11.819672131147541</v>
      </c>
      <c r="U198" s="5">
        <f>(Q117*($E117/366))+(Q118*($E118/366))</f>
        <v>3.9401639344262298</v>
      </c>
      <c r="V198" s="5"/>
      <c r="W198" s="5">
        <f t="shared" si="35"/>
        <v>37.487704918032783</v>
      </c>
    </row>
    <row r="199" spans="1:23" x14ac:dyDescent="0.15">
      <c r="A199" s="1">
        <v>2013</v>
      </c>
      <c r="B199" s="5">
        <f>(K119*($E119/365))+(K120*($E120/365))</f>
        <v>53.846153846153847</v>
      </c>
      <c r="C199" s="5">
        <f>(L119*($E119/365))+(L120*($E120/365))</f>
        <v>0</v>
      </c>
      <c r="D199" s="5">
        <f>(M119*($E119/365))+(M120*($E120/365))</f>
        <v>46.153846153846153</v>
      </c>
      <c r="E199" s="18">
        <f t="shared" si="34"/>
        <v>100</v>
      </c>
      <c r="F199" s="5"/>
      <c r="G199" s="1">
        <v>2013</v>
      </c>
      <c r="H199" s="409">
        <f>(O119/$R119*100*($E119/365))+(O120/$R120*100*($E120/365))</f>
        <v>51.901140684410649</v>
      </c>
      <c r="I199" s="409"/>
      <c r="J199" s="409">
        <f>(P119/$R119*100*($E119/365))+(P120/$R120*100*($E120/365))</f>
        <v>0</v>
      </c>
      <c r="K199" s="409"/>
      <c r="L199" s="409">
        <f>(Q119/$R119*100*($E119/365))+(Q120/$R120*100*($E120/365))</f>
        <v>48.098859315589351</v>
      </c>
      <c r="M199" s="409"/>
      <c r="N199" s="379">
        <f>H199+J199+L199</f>
        <v>100</v>
      </c>
      <c r="O199" s="379"/>
      <c r="R199" s="1">
        <v>2013</v>
      </c>
      <c r="S199" s="5">
        <f>(O119*($E119/365))+(O120*($E120/365))</f>
        <v>27.3</v>
      </c>
      <c r="T199" s="5">
        <f>(P119*($E119/365))+(P120*($E120/365))</f>
        <v>0</v>
      </c>
      <c r="U199" s="5">
        <f>(Q119*($E119/365))+(Q120*($E120/365))</f>
        <v>25.3</v>
      </c>
      <c r="W199" s="5">
        <f t="shared" si="35"/>
        <v>52.6</v>
      </c>
    </row>
    <row r="200" spans="1:23" x14ac:dyDescent="0.15">
      <c r="A200" s="1">
        <v>2014</v>
      </c>
      <c r="B200" s="5">
        <f>(K121*($E121/365))+(K122*($E122/365))</f>
        <v>53.846153846153847</v>
      </c>
      <c r="C200" s="5">
        <f>(L121*($E121/365))+(L122*($E122/365))</f>
        <v>0</v>
      </c>
      <c r="D200" s="5">
        <f>(M121*($E121/365))+(M122*($E122/365))</f>
        <v>46.153846153846153</v>
      </c>
      <c r="E200" s="18">
        <f>B200+C200+D200</f>
        <v>100</v>
      </c>
      <c r="F200" s="5"/>
      <c r="G200" s="1">
        <v>2014</v>
      </c>
      <c r="H200" s="409">
        <f>(O121/$R121*100*($E121/365))+(O122/$R122*100*($E122/365))</f>
        <v>51.901140684410649</v>
      </c>
      <c r="I200" s="409"/>
      <c r="J200" s="409">
        <f>(P121/$R121*100*($E121/365))+(P122/$R122*100*($E122/365))</f>
        <v>0</v>
      </c>
      <c r="K200" s="409"/>
      <c r="L200" s="409">
        <f>(Q121/$R121*100*($E121/365))+(Q122/$R122*100*($E122/365))</f>
        <v>48.098859315589351</v>
      </c>
      <c r="M200" s="409"/>
      <c r="N200" s="379">
        <f>H200+J200+L200</f>
        <v>100</v>
      </c>
      <c r="O200" s="379"/>
      <c r="R200" s="1">
        <v>2014</v>
      </c>
      <c r="S200" s="5">
        <f>(O121*($E121/365))+(O122*($E122/365))</f>
        <v>27.3</v>
      </c>
      <c r="T200" s="5">
        <f>(P121*($E121/365))+(P122*($E122/365))</f>
        <v>0</v>
      </c>
      <c r="U200" s="5">
        <f>(Q121*($E121/365))+(Q122*($E122/365))</f>
        <v>25.3</v>
      </c>
      <c r="W200" s="5">
        <f>S200+T200+U200</f>
        <v>52.6</v>
      </c>
    </row>
    <row r="201" spans="1:23" x14ac:dyDescent="0.15">
      <c r="A201" s="1">
        <v>2015</v>
      </c>
      <c r="B201" s="5">
        <f>(K123*($E123/365))+(K124*($E124/365))</f>
        <v>53.846153846153847</v>
      </c>
      <c r="C201" s="5">
        <f>(L123*($E123/365))+(L124*($E124/365))</f>
        <v>0</v>
      </c>
      <c r="D201" s="5">
        <f>(M123*($E123/365))+(M124*($E124/365))</f>
        <v>46.153846153846153</v>
      </c>
      <c r="E201" s="18">
        <f>B201+C201+D201</f>
        <v>100</v>
      </c>
      <c r="F201" s="5"/>
      <c r="G201" s="1">
        <v>2015</v>
      </c>
      <c r="H201" s="409">
        <f>(O123/$R123*100*($E123/365))+(O124/$R124*100*($E124/365))</f>
        <v>51.901140684410649</v>
      </c>
      <c r="I201" s="409"/>
      <c r="J201" s="409">
        <f>(P123/$R123*100*($E123/365))+(P124/$R124*100*($E124/365))</f>
        <v>0</v>
      </c>
      <c r="K201" s="409"/>
      <c r="L201" s="409">
        <f>(Q123/$R123*100*($E123/365))+(Q124/$R124*100*($E124/365))</f>
        <v>48.098859315589351</v>
      </c>
      <c r="M201" s="409"/>
      <c r="N201" s="379">
        <f>H201+J201+L201</f>
        <v>100</v>
      </c>
      <c r="O201" s="379"/>
      <c r="R201" s="1">
        <v>2015</v>
      </c>
      <c r="S201" s="5">
        <f>(O123*($E123/365))+(O124*($E124/365))</f>
        <v>27.3</v>
      </c>
      <c r="T201" s="5">
        <f>(P123*($E123/365))+(P124*($E124/365))</f>
        <v>0</v>
      </c>
      <c r="U201" s="5">
        <f>(Q123*($E123/365))+(Q124*($E124/365))</f>
        <v>25.3</v>
      </c>
      <c r="W201" s="5">
        <f>S201+T201+U201</f>
        <v>52.6</v>
      </c>
    </row>
    <row r="202" spans="1:23" x14ac:dyDescent="0.15">
      <c r="A202" s="1">
        <v>2016</v>
      </c>
      <c r="B202" s="5">
        <f>(K125*($E125/366))+(K126*($E126/366))</f>
        <v>53.846153846153847</v>
      </c>
      <c r="C202" s="5">
        <f>(L125*($E125/366))+(L126*($E126/366))</f>
        <v>0</v>
      </c>
      <c r="D202" s="5">
        <f>(M125*($E125/366))+(M126*($E126/366))</f>
        <v>46.153846153846153</v>
      </c>
      <c r="E202" s="18">
        <f t="shared" ref="E202" si="37">B202+C202+D202</f>
        <v>100</v>
      </c>
      <c r="F202" s="5"/>
      <c r="G202" s="1">
        <v>2016</v>
      </c>
      <c r="H202" s="409">
        <f>(O125/$R125*100*($E125/366))+(O126/$R126*100*($E126/366))</f>
        <v>51.901140684410649</v>
      </c>
      <c r="I202" s="409"/>
      <c r="J202" s="409">
        <f>(P125/$R125*100*($E125/366))+(P126/$R126*100*($E126/366))</f>
        <v>0</v>
      </c>
      <c r="K202" s="409"/>
      <c r="L202" s="409">
        <f>(Q125/$R125*100*($E125/366))+(Q126/$R126*100*($E126/366))</f>
        <v>48.098859315589351</v>
      </c>
      <c r="M202" s="409"/>
      <c r="N202" s="379">
        <f t="shared" ref="N202" si="38">H202+J202+L202</f>
        <v>100</v>
      </c>
      <c r="O202" s="379"/>
      <c r="R202" s="1">
        <v>2016</v>
      </c>
      <c r="S202" s="5">
        <f>(O125*($E125/366))+(O126*($E126/366))</f>
        <v>27.3</v>
      </c>
      <c r="T202" s="5">
        <f>(P125*($E125/366))+(P126*($E126/366))</f>
        <v>0</v>
      </c>
      <c r="U202" s="5">
        <f>(Q125*($E125/366))+(Q126*($E126/366))</f>
        <v>25.3</v>
      </c>
      <c r="W202" s="5">
        <f t="shared" ref="W202" si="39">S202+T202+U202</f>
        <v>52.6</v>
      </c>
    </row>
    <row r="203" spans="1:23" x14ac:dyDescent="0.15">
      <c r="A203" s="1">
        <v>2017</v>
      </c>
      <c r="B203" s="5">
        <f>(K127*($E127/365))+(K128*($E128/365))+(K129*($E129/365))</f>
        <v>47.968914646996836</v>
      </c>
      <c r="C203" s="5">
        <f t="shared" ref="C203:D203" si="40">(L127*($E127/365))+(L128*($E128/365))+(L129*($E129/365))</f>
        <v>11.472602739726026</v>
      </c>
      <c r="D203" s="5">
        <f t="shared" si="40"/>
        <v>40.558482613277135</v>
      </c>
      <c r="E203" s="18">
        <f t="shared" ref="E203" si="41">B203+C203+D203</f>
        <v>100</v>
      </c>
      <c r="F203" s="5"/>
      <c r="G203" s="1">
        <v>2017</v>
      </c>
      <c r="H203" s="409">
        <f>(O127/$R127*100*($E127/365))+(O128/$R128*100*($E128/365))+(O129/$R129*100*($E129/365))</f>
        <v>50.339281518709939</v>
      </c>
      <c r="I203" s="409"/>
      <c r="J203" s="409">
        <f>(P127/$R127*100*($E127/365))+(P128/$R128*100*($E128/365))+(P129/$R129*100*($E129/365))</f>
        <v>10.390964848288347</v>
      </c>
      <c r="K203" s="409"/>
      <c r="L203" s="409">
        <f>(Q127/$R127*100*($E127/365))+(Q128/$R128*100*($E128/365))+(Q129/$R129*100*($E129/365))</f>
        <v>39.26975363300172</v>
      </c>
      <c r="M203" s="409"/>
      <c r="N203" s="379">
        <f t="shared" ref="N203" si="42">H203+J203+L203</f>
        <v>100</v>
      </c>
      <c r="O203" s="379"/>
      <c r="R203" s="1">
        <v>2017</v>
      </c>
      <c r="S203" s="5">
        <f>(O127*($E127/365))+(O128*($E128/365))+(O129*($E129/365))</f>
        <v>26.327123287671235</v>
      </c>
      <c r="T203" s="5">
        <f t="shared" ref="T203:U203" si="43">(P127*($E127/365))+(P128*($E128/365))+(P129*($E129/365))</f>
        <v>5.2682191780821919</v>
      </c>
      <c r="U203" s="5">
        <f t="shared" si="43"/>
        <v>20.655890410958907</v>
      </c>
      <c r="W203" s="5">
        <f t="shared" ref="W203" si="44">S203+T203+U203</f>
        <v>52.251232876712336</v>
      </c>
    </row>
    <row r="204" spans="1:23" x14ac:dyDescent="0.15">
      <c r="A204" s="1">
        <v>2018</v>
      </c>
      <c r="B204" s="5">
        <f>(K130*($E130/365))+(K131*($E131/365))</f>
        <v>37.5</v>
      </c>
      <c r="C204" s="5">
        <f>(L130*($E130/365))+(L131*($E131/365))</f>
        <v>62.5</v>
      </c>
      <c r="D204" s="5">
        <f>(M130*($E130/365))+(M131*($E131/365))</f>
        <v>0</v>
      </c>
      <c r="E204" s="18">
        <f>B204+C204+D204</f>
        <v>100</v>
      </c>
      <c r="F204" s="5"/>
      <c r="G204" s="1">
        <v>2018</v>
      </c>
      <c r="H204" s="409">
        <f>(O130/$R130*100*($E130/365))+(O131/$R131*100*($E131/365))</f>
        <v>43.392504930966467</v>
      </c>
      <c r="I204" s="409"/>
      <c r="J204" s="409">
        <f>(P130/$R130*100*($E130/365))+(P131/$R131*100*($E131/365))</f>
        <v>56.607495069033533</v>
      </c>
      <c r="K204" s="409"/>
      <c r="L204" s="409">
        <f>(Q130/$R130*100*($E130/365))+(Q131/$R131*100*($E131/365))</f>
        <v>0</v>
      </c>
      <c r="M204" s="409"/>
      <c r="N204" s="379">
        <f t="shared" ref="N204" si="45">H204+J204+L204</f>
        <v>100</v>
      </c>
      <c r="O204" s="379"/>
      <c r="R204" s="1">
        <v>2018</v>
      </c>
      <c r="S204" s="5">
        <f>(O130*($E130/365))+(O131*($E131/365))</f>
        <v>22</v>
      </c>
      <c r="T204" s="5">
        <f>(P130*($E130/365))+(P131*($E131/365))</f>
        <v>28.7</v>
      </c>
      <c r="U204" s="5">
        <f>(Q130*($E130/365))+(Q131*($E131/365))</f>
        <v>0</v>
      </c>
      <c r="W204" s="5">
        <f>S204+T204+U204</f>
        <v>50.7</v>
      </c>
    </row>
    <row r="205" spans="1:23" x14ac:dyDescent="0.15">
      <c r="A205" s="1">
        <v>2019</v>
      </c>
      <c r="B205" s="5">
        <f>(K132*($E132/365))+(K133*($E133/365))</f>
        <v>37.131345688960515</v>
      </c>
      <c r="C205" s="5">
        <f>(L132*($E132/365))+(L133*($E133/365))</f>
        <v>62.868654311039485</v>
      </c>
      <c r="D205" s="5">
        <f>(M132*($E132/365))+(M133*($E133/365))</f>
        <v>0</v>
      </c>
      <c r="E205" s="18">
        <f>B205+C205+D205</f>
        <v>100</v>
      </c>
      <c r="F205" s="5"/>
      <c r="G205" s="1">
        <v>2019</v>
      </c>
      <c r="H205" s="409">
        <f>(O132/$R132*100*($E132/365))+(O133/$R133*100*($E133/365))</f>
        <v>43.392504930966467</v>
      </c>
      <c r="I205" s="409"/>
      <c r="J205" s="409">
        <f>(P132/$R132*100*($E132/365))+(P133/$R133*100*($E133/365))</f>
        <v>56.607495069033533</v>
      </c>
      <c r="K205" s="409"/>
      <c r="L205" s="409">
        <f>(Q132/$R132*100*($E132/365))+(Q133/$R133*100*($E133/365))</f>
        <v>0</v>
      </c>
      <c r="M205" s="409"/>
      <c r="N205" s="379">
        <f t="shared" ref="N205" si="46">H205+J205+L205</f>
        <v>100</v>
      </c>
      <c r="O205" s="379"/>
      <c r="R205" s="1">
        <v>2019</v>
      </c>
      <c r="S205" s="5">
        <f>(O132*($E132/365))+(O133*($E133/365))</f>
        <v>22</v>
      </c>
      <c r="T205" s="5">
        <f>(P132*($E132/365))+(P133*($E133/365))</f>
        <v>28.7</v>
      </c>
      <c r="U205" s="5">
        <f>(Q132*($E132/365))+(Q133*($E133/365))</f>
        <v>0</v>
      </c>
      <c r="W205" s="5">
        <f>S205+T205+U205</f>
        <v>50.7</v>
      </c>
    </row>
    <row r="206" spans="1:23" x14ac:dyDescent="0.15">
      <c r="A206" s="1">
        <v>2020</v>
      </c>
      <c r="B206" s="5">
        <f>(K134*($E134/366))+(K135*($E135/366))+(K136*($E136/366))+(K137*($E137/366))</f>
        <v>34.986740597878494</v>
      </c>
      <c r="C206" s="5">
        <f>(L134*($E134/366))+(L135*($E135/366))+(L136*($E136/366))+(L137*($E137/366))</f>
        <v>63.126808100289296</v>
      </c>
      <c r="D206" s="5">
        <f>(M134*($E134/366))+(M135*($E135/366))+(M136*($E136/366))+(M137*($E137/366))</f>
        <v>0</v>
      </c>
      <c r="E206" s="18">
        <f t="shared" ref="E206" si="47">B206+C206+D206</f>
        <v>98.11354869816779</v>
      </c>
      <c r="F206" s="5"/>
      <c r="G206" s="1">
        <v>2020</v>
      </c>
      <c r="H206" s="409">
        <f>(O134/$R134*100*($E134/366))+(O135/$R135*100*($E135/366))+(O136/$R136*100*($E136/366))+(O137/$R137*100*($E137/366))</f>
        <v>43.392504930966467</v>
      </c>
      <c r="I206" s="409"/>
      <c r="J206" s="409">
        <f>(P134/$R134*100*($E134/366))+(P135/$R135*100*($E135/366))+(P136/$R136*100*($E136/366))+(P137/$R137*100*($E137/366))</f>
        <v>56.607495069033533</v>
      </c>
      <c r="K206" s="409"/>
      <c r="L206" s="409">
        <f>(Q134/$R134*100*($E134/366))+(Q135/$R135*100*($E135/366))+(Q136/$R136*100*($E136/366))+(Q137/$R137*100*($E137/366))</f>
        <v>0</v>
      </c>
      <c r="M206" s="409"/>
      <c r="N206" s="379">
        <f t="shared" ref="N206" si="48">H206+J206+L206</f>
        <v>100</v>
      </c>
      <c r="O206" s="379"/>
      <c r="R206" s="1">
        <v>2020</v>
      </c>
      <c r="S206" s="5">
        <f>(O134*($E134/366))+(O135*($E135/366))+(O136*($E136/366))+(O137*($E137/366))</f>
        <v>22</v>
      </c>
      <c r="T206" s="5">
        <f>(P134*($E134/366))+(P135*($E135/366))+(P136*($E136/366))+(P137*($E137/366))</f>
        <v>28.699999999999996</v>
      </c>
      <c r="U206" s="5">
        <f>(Q134*($E134/366))+(Q135*($E135/366))+(Q136*($E136/366))+(Q137*($E137/366))</f>
        <v>0</v>
      </c>
      <c r="W206" s="5">
        <f t="shared" ref="W206" si="49">S206+T206+U206</f>
        <v>50.699999999999996</v>
      </c>
    </row>
  </sheetData>
  <mergeCells count="406">
    <mergeCell ref="H205:I205"/>
    <mergeCell ref="J205:K205"/>
    <mergeCell ref="L205:M205"/>
    <mergeCell ref="N205:O205"/>
    <mergeCell ref="H202:I202"/>
    <mergeCell ref="J202:K202"/>
    <mergeCell ref="L202:M202"/>
    <mergeCell ref="N202:O202"/>
    <mergeCell ref="H203:I203"/>
    <mergeCell ref="J203:K203"/>
    <mergeCell ref="L203:M203"/>
    <mergeCell ref="N203:O203"/>
    <mergeCell ref="H204:I204"/>
    <mergeCell ref="J204:K204"/>
    <mergeCell ref="L204:M204"/>
    <mergeCell ref="N204:O204"/>
    <mergeCell ref="H161:I161"/>
    <mergeCell ref="J161:K161"/>
    <mergeCell ref="L161:M161"/>
    <mergeCell ref="N161:O161"/>
    <mergeCell ref="H162:I162"/>
    <mergeCell ref="J162:K162"/>
    <mergeCell ref="L162:M162"/>
    <mergeCell ref="H165:I165"/>
    <mergeCell ref="J165:K165"/>
    <mergeCell ref="L165:M165"/>
    <mergeCell ref="N165:O165"/>
    <mergeCell ref="H163:I163"/>
    <mergeCell ref="J163:K163"/>
    <mergeCell ref="L163:M163"/>
    <mergeCell ref="N163:O163"/>
    <mergeCell ref="H164:I164"/>
    <mergeCell ref="J164:K164"/>
    <mergeCell ref="L164:M164"/>
    <mergeCell ref="N164:O164"/>
    <mergeCell ref="C127:D127"/>
    <mergeCell ref="C128:D128"/>
    <mergeCell ref="C129:D129"/>
    <mergeCell ref="L156:M156"/>
    <mergeCell ref="N156:O156"/>
    <mergeCell ref="H153:I153"/>
    <mergeCell ref="J153:K153"/>
    <mergeCell ref="L153:M153"/>
    <mergeCell ref="N153:O153"/>
    <mergeCell ref="H154:I154"/>
    <mergeCell ref="J154:K154"/>
    <mergeCell ref="C130:D130"/>
    <mergeCell ref="C131:D131"/>
    <mergeCell ref="C132:D132"/>
    <mergeCell ref="C133:D133"/>
    <mergeCell ref="C136:D136"/>
    <mergeCell ref="C134:D134"/>
    <mergeCell ref="C135:D135"/>
    <mergeCell ref="C137:D137"/>
    <mergeCell ref="L147:M147"/>
    <mergeCell ref="N147:O147"/>
    <mergeCell ref="H148:I148"/>
    <mergeCell ref="J148:K148"/>
    <mergeCell ref="J152:K152"/>
    <mergeCell ref="C114:D114"/>
    <mergeCell ref="C115:D115"/>
    <mergeCell ref="L154:M154"/>
    <mergeCell ref="N154:O154"/>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0:I150"/>
    <mergeCell ref="J150:K150"/>
    <mergeCell ref="H147:I147"/>
    <mergeCell ref="J147:K147"/>
    <mergeCell ref="C109:D109"/>
    <mergeCell ref="C110:D110"/>
    <mergeCell ref="C111:D111"/>
    <mergeCell ref="N199:O199"/>
    <mergeCell ref="C119:D119"/>
    <mergeCell ref="C120:D120"/>
    <mergeCell ref="H199:I199"/>
    <mergeCell ref="J199:K199"/>
    <mergeCell ref="L199:M199"/>
    <mergeCell ref="L145:M145"/>
    <mergeCell ref="N145:O145"/>
    <mergeCell ref="L144:M144"/>
    <mergeCell ref="N144:O144"/>
    <mergeCell ref="L148:M148"/>
    <mergeCell ref="N148:O148"/>
    <mergeCell ref="C123:D123"/>
    <mergeCell ref="C124:D124"/>
    <mergeCell ref="C125:D125"/>
    <mergeCell ref="C126:D126"/>
    <mergeCell ref="H156:I156"/>
    <mergeCell ref="J156:K156"/>
    <mergeCell ref="H155:I155"/>
    <mergeCell ref="J155:K155"/>
    <mergeCell ref="L155:M155"/>
    <mergeCell ref="C102:D102"/>
    <mergeCell ref="C103:D103"/>
    <mergeCell ref="C112:D112"/>
    <mergeCell ref="C113:D113"/>
    <mergeCell ref="C104:D104"/>
    <mergeCell ref="C105:D105"/>
    <mergeCell ref="C101:D101"/>
    <mergeCell ref="H152:I152"/>
    <mergeCell ref="C82:D82"/>
    <mergeCell ref="C89:D89"/>
    <mergeCell ref="C90:D90"/>
    <mergeCell ref="C93:D93"/>
    <mergeCell ref="C94:D94"/>
    <mergeCell ref="C91:D91"/>
    <mergeCell ref="C92:D92"/>
    <mergeCell ref="C95:D95"/>
    <mergeCell ref="C96:D96"/>
    <mergeCell ref="C100:D100"/>
    <mergeCell ref="C98:D98"/>
    <mergeCell ref="C99:D99"/>
    <mergeCell ref="C97:D97"/>
    <mergeCell ref="C106:D106"/>
    <mergeCell ref="C107:D107"/>
    <mergeCell ref="C108:D108"/>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64:D64"/>
    <mergeCell ref="C61:D61"/>
    <mergeCell ref="C62:D62"/>
    <mergeCell ref="C65:D65"/>
    <mergeCell ref="C66:D66"/>
    <mergeCell ref="C69:D69"/>
    <mergeCell ref="C70:D70"/>
    <mergeCell ref="C67:D67"/>
    <mergeCell ref="C68:D68"/>
    <mergeCell ref="C53:D53"/>
    <mergeCell ref="C54:D54"/>
    <mergeCell ref="C57:D57"/>
    <mergeCell ref="C58:D58"/>
    <mergeCell ref="C55:D55"/>
    <mergeCell ref="C56:D56"/>
    <mergeCell ref="C59:D59"/>
    <mergeCell ref="C60:D60"/>
    <mergeCell ref="C63:D63"/>
    <mergeCell ref="C46:D46"/>
    <mergeCell ref="C43:D43"/>
    <mergeCell ref="C44:D44"/>
    <mergeCell ref="C47:D47"/>
    <mergeCell ref="C48:D48"/>
    <mergeCell ref="C51:D51"/>
    <mergeCell ref="C52:D52"/>
    <mergeCell ref="C49:D49"/>
    <mergeCell ref="C50:D50"/>
    <mergeCell ref="C35:D35"/>
    <mergeCell ref="C36:D36"/>
    <mergeCell ref="C39:D39"/>
    <mergeCell ref="C40:D40"/>
    <mergeCell ref="C37:D37"/>
    <mergeCell ref="C38:D38"/>
    <mergeCell ref="C41:D41"/>
    <mergeCell ref="C42:D42"/>
    <mergeCell ref="C45:D45"/>
    <mergeCell ref="AP4:AS4"/>
    <mergeCell ref="C8:D8"/>
    <mergeCell ref="K4:N4"/>
    <mergeCell ref="O4:R4"/>
    <mergeCell ref="S4:S5"/>
    <mergeCell ref="T4:T5"/>
    <mergeCell ref="Z4:AC4"/>
    <mergeCell ref="AD4:AG4"/>
    <mergeCell ref="C13:D13"/>
    <mergeCell ref="C30:D30"/>
    <mergeCell ref="C33:D33"/>
    <mergeCell ref="C34:D34"/>
    <mergeCell ref="AH4:AK4"/>
    <mergeCell ref="C31:D31"/>
    <mergeCell ref="C32:D32"/>
    <mergeCell ref="AL4:AO4"/>
    <mergeCell ref="U4:U5"/>
    <mergeCell ref="V4:Y4"/>
    <mergeCell ref="C7:D7"/>
    <mergeCell ref="C6:D6"/>
    <mergeCell ref="C19:D19"/>
    <mergeCell ref="C20:D20"/>
    <mergeCell ref="C14:D14"/>
    <mergeCell ref="C15:D15"/>
    <mergeCell ref="C16:D16"/>
    <mergeCell ref="C17:D17"/>
    <mergeCell ref="C18:D18"/>
    <mergeCell ref="A4:A5"/>
    <mergeCell ref="B4:B5"/>
    <mergeCell ref="C4:D5"/>
    <mergeCell ref="E4:E5"/>
    <mergeCell ref="H144:I144"/>
    <mergeCell ref="J144:K144"/>
    <mergeCell ref="F4:F5"/>
    <mergeCell ref="G4:J4"/>
    <mergeCell ref="C11:D11"/>
    <mergeCell ref="C12:D12"/>
    <mergeCell ref="C9:D9"/>
    <mergeCell ref="C10:D10"/>
    <mergeCell ref="C21:D21"/>
    <mergeCell ref="C22:D22"/>
    <mergeCell ref="C23:D23"/>
    <mergeCell ref="C24:D24"/>
    <mergeCell ref="C116:D116"/>
    <mergeCell ref="C117:D117"/>
    <mergeCell ref="C118:D118"/>
    <mergeCell ref="C27:D27"/>
    <mergeCell ref="C28:D28"/>
    <mergeCell ref="C25:D25"/>
    <mergeCell ref="C26:D26"/>
    <mergeCell ref="C29:D29"/>
    <mergeCell ref="H166:I166"/>
    <mergeCell ref="J166:K166"/>
    <mergeCell ref="L166:M166"/>
    <mergeCell ref="N166:O166"/>
    <mergeCell ref="G3:M3"/>
    <mergeCell ref="O3:Q3"/>
    <mergeCell ref="H146:I146"/>
    <mergeCell ref="J146:K146"/>
    <mergeCell ref="L146:M146"/>
    <mergeCell ref="N146:O146"/>
    <mergeCell ref="H145:I145"/>
    <mergeCell ref="J145:K145"/>
    <mergeCell ref="H151:I151"/>
    <mergeCell ref="J151:K151"/>
    <mergeCell ref="L151:M151"/>
    <mergeCell ref="N151:O151"/>
    <mergeCell ref="H149:I149"/>
    <mergeCell ref="J149:K149"/>
    <mergeCell ref="L149:M149"/>
    <mergeCell ref="N149:O149"/>
    <mergeCell ref="L152:M152"/>
    <mergeCell ref="N152:O152"/>
    <mergeCell ref="L150:M150"/>
    <mergeCell ref="N150:O150"/>
    <mergeCell ref="H172:I172"/>
    <mergeCell ref="H173:I173"/>
    <mergeCell ref="H167:I167"/>
    <mergeCell ref="J167:K167"/>
    <mergeCell ref="L167:M167"/>
    <mergeCell ref="N167:O167"/>
    <mergeCell ref="H168:I168"/>
    <mergeCell ref="J168:K168"/>
    <mergeCell ref="L168:M168"/>
    <mergeCell ref="N168:O168"/>
    <mergeCell ref="H169:I169"/>
    <mergeCell ref="J169:K169"/>
    <mergeCell ref="L169:M169"/>
    <mergeCell ref="H170:I170"/>
    <mergeCell ref="J170:K170"/>
    <mergeCell ref="L170:M170"/>
    <mergeCell ref="H171:I171"/>
    <mergeCell ref="J171:K171"/>
    <mergeCell ref="J172:K172"/>
    <mergeCell ref="J173:K173"/>
    <mergeCell ref="H192:I192"/>
    <mergeCell ref="H193:I193"/>
    <mergeCell ref="H194:I194"/>
    <mergeCell ref="H183:I183"/>
    <mergeCell ref="H184:I184"/>
    <mergeCell ref="H185:I185"/>
    <mergeCell ref="H186:I186"/>
    <mergeCell ref="H187:I187"/>
    <mergeCell ref="H188:I188"/>
    <mergeCell ref="H190:I190"/>
    <mergeCell ref="H191:I191"/>
    <mergeCell ref="N177:O177"/>
    <mergeCell ref="N178:O178"/>
    <mergeCell ref="N179:O179"/>
    <mergeCell ref="N169:O169"/>
    <mergeCell ref="N170:O170"/>
    <mergeCell ref="N155:O155"/>
    <mergeCell ref="N162:O162"/>
    <mergeCell ref="J195:K195"/>
    <mergeCell ref="J186:K186"/>
    <mergeCell ref="J187:K187"/>
    <mergeCell ref="J188:K188"/>
    <mergeCell ref="J189:K189"/>
    <mergeCell ref="J190:K190"/>
    <mergeCell ref="J191:K191"/>
    <mergeCell ref="L171:M171"/>
    <mergeCell ref="L172:M172"/>
    <mergeCell ref="L173:M173"/>
    <mergeCell ref="L174:M174"/>
    <mergeCell ref="L175:M175"/>
    <mergeCell ref="L176:M176"/>
    <mergeCell ref="J180:K180"/>
    <mergeCell ref="J181:K181"/>
    <mergeCell ref="J182:K182"/>
    <mergeCell ref="J183:K183"/>
    <mergeCell ref="L186:M186"/>
    <mergeCell ref="H177:I177"/>
    <mergeCell ref="H178:I178"/>
    <mergeCell ref="H179:I179"/>
    <mergeCell ref="H180:I180"/>
    <mergeCell ref="H181:I181"/>
    <mergeCell ref="H182:I182"/>
    <mergeCell ref="H174:I174"/>
    <mergeCell ref="H175:I175"/>
    <mergeCell ref="H176:I176"/>
    <mergeCell ref="J184:K184"/>
    <mergeCell ref="J185:K185"/>
    <mergeCell ref="J174:K174"/>
    <mergeCell ref="J175:K175"/>
    <mergeCell ref="J176:K176"/>
    <mergeCell ref="L179:M179"/>
    <mergeCell ref="L180:M180"/>
    <mergeCell ref="L183:M183"/>
    <mergeCell ref="L184:M184"/>
    <mergeCell ref="L185:M185"/>
    <mergeCell ref="AX4:BA4"/>
    <mergeCell ref="H197:I197"/>
    <mergeCell ref="J197:K197"/>
    <mergeCell ref="L197:M197"/>
    <mergeCell ref="N197:O197"/>
    <mergeCell ref="N194:O194"/>
    <mergeCell ref="N195:O195"/>
    <mergeCell ref="L195:M195"/>
    <mergeCell ref="H195:I195"/>
    <mergeCell ref="H196:I196"/>
    <mergeCell ref="J196:K196"/>
    <mergeCell ref="L196:M196"/>
    <mergeCell ref="N196:O196"/>
    <mergeCell ref="N192:O192"/>
    <mergeCell ref="N193:O193"/>
    <mergeCell ref="L192:M192"/>
    <mergeCell ref="L193:M193"/>
    <mergeCell ref="L194:M194"/>
    <mergeCell ref="J192:K192"/>
    <mergeCell ref="N188:O188"/>
    <mergeCell ref="N189:O189"/>
    <mergeCell ref="N190:O190"/>
    <mergeCell ref="N191:O191"/>
    <mergeCell ref="H189:I189"/>
    <mergeCell ref="J193:K193"/>
    <mergeCell ref="J194:K194"/>
    <mergeCell ref="AT4:AW4"/>
    <mergeCell ref="R142:W142"/>
    <mergeCell ref="N186:O186"/>
    <mergeCell ref="N187:O187"/>
    <mergeCell ref="N171:O171"/>
    <mergeCell ref="N172:O172"/>
    <mergeCell ref="N173:O173"/>
    <mergeCell ref="N174:O174"/>
    <mergeCell ref="N180:O180"/>
    <mergeCell ref="N181:O181"/>
    <mergeCell ref="N182:O182"/>
    <mergeCell ref="N183:O183"/>
    <mergeCell ref="N184:O184"/>
    <mergeCell ref="N185:O185"/>
    <mergeCell ref="N175:O175"/>
    <mergeCell ref="N176:O176"/>
    <mergeCell ref="L187:M187"/>
    <mergeCell ref="L181:M181"/>
    <mergeCell ref="L182:M182"/>
    <mergeCell ref="J177:K177"/>
    <mergeCell ref="J178:K178"/>
    <mergeCell ref="J179:K179"/>
    <mergeCell ref="H206:I206"/>
    <mergeCell ref="J206:K206"/>
    <mergeCell ref="L206:M206"/>
    <mergeCell ref="N206:O206"/>
    <mergeCell ref="H201:I201"/>
    <mergeCell ref="J201:K201"/>
    <mergeCell ref="L201:M201"/>
    <mergeCell ref="N201:O201"/>
    <mergeCell ref="C121:D121"/>
    <mergeCell ref="C122:D122"/>
    <mergeCell ref="H200:I200"/>
    <mergeCell ref="J200:K200"/>
    <mergeCell ref="L200:M200"/>
    <mergeCell ref="N200:O200"/>
    <mergeCell ref="H198:I198"/>
    <mergeCell ref="J198:K198"/>
    <mergeCell ref="L198:M198"/>
    <mergeCell ref="N198:O198"/>
    <mergeCell ref="L189:M189"/>
    <mergeCell ref="L188:M188"/>
    <mergeCell ref="L190:M190"/>
    <mergeCell ref="L191:M191"/>
    <mergeCell ref="L177:M177"/>
    <mergeCell ref="L178:M17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A204"/>
  <sheetViews>
    <sheetView zoomScale="177" zoomScaleNormal="120" workbookViewId="0">
      <pane xSplit="1" ySplit="5" topLeftCell="B100" activePane="bottomRight" state="frozen"/>
      <selection pane="topRight" activeCell="B1" sqref="B1"/>
      <selection pane="bottomLeft" activeCell="A6" sqref="A6"/>
      <selection pane="bottomRight" activeCell="J138" sqref="J138"/>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64</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626</v>
      </c>
      <c r="D6" s="416"/>
      <c r="E6" s="140">
        <v>0</v>
      </c>
      <c r="G6" s="148"/>
      <c r="I6" s="140">
        <v>16</v>
      </c>
      <c r="J6" s="154">
        <v>16</v>
      </c>
      <c r="K6" s="134">
        <f t="shared" ref="K6:M8" si="0">G6/$J6*100</f>
        <v>0</v>
      </c>
      <c r="L6" s="134">
        <f t="shared" si="0"/>
        <v>0</v>
      </c>
      <c r="M6" s="134">
        <f t="shared" si="0"/>
        <v>100</v>
      </c>
      <c r="N6" s="150">
        <f>K6+L6+M6</f>
        <v>100</v>
      </c>
      <c r="O6" s="133"/>
      <c r="P6" s="134"/>
      <c r="Q6" s="134">
        <v>51.3</v>
      </c>
      <c r="R6" s="135">
        <f>O6+P6+Q6</f>
        <v>51.3</v>
      </c>
      <c r="S6" s="140">
        <v>1</v>
      </c>
      <c r="T6" s="308"/>
      <c r="U6" s="296"/>
      <c r="V6" s="139" t="s">
        <v>451</v>
      </c>
      <c r="W6" s="140" t="s">
        <v>20</v>
      </c>
      <c r="X6" s="140" t="s">
        <v>12</v>
      </c>
      <c r="Y6" s="141">
        <v>51.3</v>
      </c>
      <c r="AD6" s="139"/>
      <c r="AG6" s="141"/>
      <c r="AL6" s="139"/>
      <c r="AO6" s="141"/>
      <c r="AP6" s="139"/>
      <c r="AS6" s="141"/>
      <c r="AW6" s="141"/>
      <c r="BA6" s="142"/>
    </row>
    <row r="7" spans="1:53" s="140" customFormat="1" x14ac:dyDescent="0.15">
      <c r="A7" s="146">
        <v>1959</v>
      </c>
      <c r="B7" s="296"/>
      <c r="C7" s="416" t="s">
        <v>626</v>
      </c>
      <c r="D7" s="416"/>
      <c r="E7" s="140">
        <v>365</v>
      </c>
      <c r="G7" s="148"/>
      <c r="I7" s="140">
        <v>16</v>
      </c>
      <c r="J7" s="154">
        <v>16</v>
      </c>
      <c r="K7" s="134">
        <f t="shared" si="0"/>
        <v>0</v>
      </c>
      <c r="L7" s="134">
        <f t="shared" si="0"/>
        <v>0</v>
      </c>
      <c r="M7" s="134">
        <f t="shared" si="0"/>
        <v>100</v>
      </c>
      <c r="N7" s="150">
        <f>K7+L7+M7</f>
        <v>100</v>
      </c>
      <c r="O7" s="133"/>
      <c r="P7" s="134"/>
      <c r="Q7" s="134">
        <v>51.3</v>
      </c>
      <c r="R7" s="135">
        <f>O7+P7+Q7</f>
        <v>51.3</v>
      </c>
      <c r="S7" s="140">
        <v>1</v>
      </c>
      <c r="T7" s="308"/>
      <c r="U7" s="296"/>
      <c r="V7" s="139" t="s">
        <v>451</v>
      </c>
      <c r="W7" s="140" t="s">
        <v>20</v>
      </c>
      <c r="X7" s="140" t="s">
        <v>12</v>
      </c>
      <c r="Y7" s="141">
        <v>51.3</v>
      </c>
      <c r="AD7" s="139"/>
      <c r="AG7" s="141"/>
      <c r="AL7" s="139"/>
      <c r="AO7" s="141"/>
      <c r="AP7" s="139"/>
      <c r="AS7" s="141"/>
      <c r="AW7" s="141"/>
      <c r="BA7" s="142"/>
    </row>
    <row r="8" spans="1:53" s="29" customFormat="1" x14ac:dyDescent="0.15">
      <c r="A8" s="52">
        <v>1960</v>
      </c>
      <c r="B8" s="295"/>
      <c r="C8" s="411" t="s">
        <v>626</v>
      </c>
      <c r="D8" s="411"/>
      <c r="E8" s="29">
        <v>346</v>
      </c>
      <c r="G8" s="66"/>
      <c r="I8" s="29">
        <v>16</v>
      </c>
      <c r="J8" s="73">
        <v>16</v>
      </c>
      <c r="K8" s="47">
        <f t="shared" si="0"/>
        <v>0</v>
      </c>
      <c r="L8" s="47">
        <f t="shared" si="0"/>
        <v>0</v>
      </c>
      <c r="M8" s="47">
        <f t="shared" si="0"/>
        <v>100</v>
      </c>
      <c r="N8" s="68">
        <f>K8+L8+M8</f>
        <v>100</v>
      </c>
      <c r="O8" s="46"/>
      <c r="P8" s="47"/>
      <c r="Q8" s="47">
        <v>51.3</v>
      </c>
      <c r="R8" s="48">
        <f>O8+P8+Q8</f>
        <v>51.3</v>
      </c>
      <c r="S8" s="29">
        <v>1</v>
      </c>
      <c r="T8" s="286"/>
      <c r="U8" s="295"/>
      <c r="V8" s="38" t="s">
        <v>451</v>
      </c>
      <c r="W8" s="29" t="s">
        <v>20</v>
      </c>
      <c r="X8" s="29" t="s">
        <v>12</v>
      </c>
      <c r="Y8" s="39">
        <v>51.3</v>
      </c>
      <c r="AD8" s="38"/>
      <c r="AG8" s="39"/>
      <c r="AL8" s="38"/>
      <c r="AO8" s="39"/>
      <c r="AP8" s="38"/>
      <c r="AS8" s="39"/>
      <c r="AW8" s="39"/>
      <c r="BA8" s="40"/>
    </row>
    <row r="9" spans="1:53" s="171" customFormat="1" x14ac:dyDescent="0.15">
      <c r="A9" s="216">
        <v>1960</v>
      </c>
      <c r="B9" s="283">
        <v>22262</v>
      </c>
      <c r="C9" s="410" t="s">
        <v>627</v>
      </c>
      <c r="D9" s="410"/>
      <c r="E9" s="171">
        <f>366-E8</f>
        <v>20</v>
      </c>
      <c r="F9" s="171">
        <v>1</v>
      </c>
      <c r="G9" s="233">
        <v>16</v>
      </c>
      <c r="J9" s="241">
        <v>16</v>
      </c>
      <c r="K9" s="214">
        <f t="shared" ref="K9:M57" si="1">G9/$J9*100</f>
        <v>100</v>
      </c>
      <c r="L9" s="214">
        <f t="shared" si="1"/>
        <v>0</v>
      </c>
      <c r="M9" s="214">
        <f t="shared" si="1"/>
        <v>0</v>
      </c>
      <c r="N9" s="235">
        <f t="shared" ref="N9:N72" si="2">K9+L9+M9</f>
        <v>100</v>
      </c>
      <c r="O9" s="213">
        <v>57.5</v>
      </c>
      <c r="P9" s="214"/>
      <c r="Q9" s="214"/>
      <c r="R9" s="215">
        <f t="shared" ref="R9:R72" si="3">O9+P9+Q9</f>
        <v>57.5</v>
      </c>
      <c r="S9" s="171">
        <v>1</v>
      </c>
      <c r="T9" s="285">
        <v>22246</v>
      </c>
      <c r="U9" s="283">
        <v>22262</v>
      </c>
      <c r="V9" s="178" t="s">
        <v>452</v>
      </c>
      <c r="W9" s="171" t="s">
        <v>74</v>
      </c>
      <c r="X9" s="171" t="s">
        <v>11</v>
      </c>
      <c r="Y9" s="179">
        <v>57.5</v>
      </c>
      <c r="AD9" s="178"/>
      <c r="AG9" s="179"/>
      <c r="AL9" s="178"/>
      <c r="AO9" s="179"/>
      <c r="AP9" s="178"/>
      <c r="AS9" s="179"/>
      <c r="AW9" s="179"/>
      <c r="BA9" s="180"/>
    </row>
    <row r="10" spans="1:53" s="171" customFormat="1" x14ac:dyDescent="0.15">
      <c r="A10" s="216">
        <v>1961</v>
      </c>
      <c r="B10" s="283"/>
      <c r="C10" s="410" t="s">
        <v>627</v>
      </c>
      <c r="D10" s="410"/>
      <c r="E10" s="171">
        <v>0</v>
      </c>
      <c r="G10" s="233">
        <v>16</v>
      </c>
      <c r="J10" s="241">
        <v>16</v>
      </c>
      <c r="K10" s="214">
        <f t="shared" si="1"/>
        <v>100</v>
      </c>
      <c r="L10" s="214">
        <f t="shared" si="1"/>
        <v>0</v>
      </c>
      <c r="M10" s="214">
        <f t="shared" si="1"/>
        <v>0</v>
      </c>
      <c r="N10" s="235">
        <f t="shared" si="2"/>
        <v>100</v>
      </c>
      <c r="O10" s="213">
        <v>57.5</v>
      </c>
      <c r="P10" s="214"/>
      <c r="Q10" s="214"/>
      <c r="R10" s="215">
        <f t="shared" si="3"/>
        <v>57.5</v>
      </c>
      <c r="S10" s="171">
        <v>1</v>
      </c>
      <c r="T10" s="285"/>
      <c r="U10" s="283"/>
      <c r="V10" s="178" t="s">
        <v>452</v>
      </c>
      <c r="W10" s="171" t="s">
        <v>74</v>
      </c>
      <c r="X10" s="171" t="s">
        <v>11</v>
      </c>
      <c r="Y10" s="179">
        <v>57.5</v>
      </c>
      <c r="AD10" s="178"/>
      <c r="AG10" s="179"/>
      <c r="AL10" s="178"/>
      <c r="AO10" s="179"/>
      <c r="AP10" s="178"/>
      <c r="AS10" s="179"/>
      <c r="AW10" s="179"/>
      <c r="BA10" s="180"/>
    </row>
    <row r="11" spans="1:53" s="171" customFormat="1" x14ac:dyDescent="0.15">
      <c r="A11" s="216">
        <v>1961</v>
      </c>
      <c r="B11" s="283"/>
      <c r="C11" s="410" t="s">
        <v>627</v>
      </c>
      <c r="D11" s="410"/>
      <c r="E11" s="171">
        <v>365</v>
      </c>
      <c r="G11" s="233">
        <v>16</v>
      </c>
      <c r="J11" s="241">
        <v>16</v>
      </c>
      <c r="K11" s="214">
        <f t="shared" si="1"/>
        <v>100</v>
      </c>
      <c r="L11" s="214">
        <f t="shared" si="1"/>
        <v>0</v>
      </c>
      <c r="M11" s="214">
        <f t="shared" si="1"/>
        <v>0</v>
      </c>
      <c r="N11" s="235">
        <f t="shared" si="2"/>
        <v>100</v>
      </c>
      <c r="O11" s="213">
        <v>57.5</v>
      </c>
      <c r="P11" s="214"/>
      <c r="Q11" s="214"/>
      <c r="R11" s="215">
        <f t="shared" si="3"/>
        <v>57.5</v>
      </c>
      <c r="S11" s="171">
        <v>1</v>
      </c>
      <c r="T11" s="285"/>
      <c r="U11" s="283"/>
      <c r="V11" s="178" t="s">
        <v>452</v>
      </c>
      <c r="W11" s="171" t="s">
        <v>74</v>
      </c>
      <c r="X11" s="171" t="s">
        <v>11</v>
      </c>
      <c r="Y11" s="179">
        <v>57.5</v>
      </c>
      <c r="AD11" s="178"/>
      <c r="AG11" s="179"/>
      <c r="AL11" s="178"/>
      <c r="AO11" s="179"/>
      <c r="AP11" s="178"/>
      <c r="AS11" s="179"/>
      <c r="AW11" s="179"/>
      <c r="BA11" s="180"/>
    </row>
    <row r="12" spans="1:53" s="171" customFormat="1" x14ac:dyDescent="0.15">
      <c r="A12" s="216">
        <v>1962</v>
      </c>
      <c r="B12" s="283"/>
      <c r="C12" s="410" t="s">
        <v>627</v>
      </c>
      <c r="D12" s="410"/>
      <c r="E12" s="171">
        <v>0</v>
      </c>
      <c r="G12" s="233">
        <v>16</v>
      </c>
      <c r="J12" s="241">
        <v>16</v>
      </c>
      <c r="K12" s="214">
        <f t="shared" si="1"/>
        <v>100</v>
      </c>
      <c r="L12" s="214">
        <f t="shared" si="1"/>
        <v>0</v>
      </c>
      <c r="M12" s="214">
        <f t="shared" si="1"/>
        <v>0</v>
      </c>
      <c r="N12" s="235">
        <f t="shared" si="2"/>
        <v>100</v>
      </c>
      <c r="O12" s="213">
        <v>57.5</v>
      </c>
      <c r="P12" s="214"/>
      <c r="Q12" s="214"/>
      <c r="R12" s="215">
        <f t="shared" si="3"/>
        <v>57.5</v>
      </c>
      <c r="S12" s="171">
        <v>1</v>
      </c>
      <c r="T12" s="285"/>
      <c r="U12" s="283"/>
      <c r="V12" s="178" t="s">
        <v>452</v>
      </c>
      <c r="W12" s="171" t="s">
        <v>74</v>
      </c>
      <c r="X12" s="171" t="s">
        <v>11</v>
      </c>
      <c r="Y12" s="179">
        <v>57.5</v>
      </c>
      <c r="AD12" s="178"/>
      <c r="AG12" s="179"/>
      <c r="AL12" s="178"/>
      <c r="AO12" s="179"/>
      <c r="AP12" s="178"/>
      <c r="AS12" s="179"/>
      <c r="AW12" s="179"/>
      <c r="BA12" s="180"/>
    </row>
    <row r="13" spans="1:53" s="171" customFormat="1" x14ac:dyDescent="0.15">
      <c r="A13" s="216">
        <v>1962</v>
      </c>
      <c r="B13" s="283"/>
      <c r="C13" s="410" t="s">
        <v>627</v>
      </c>
      <c r="D13" s="410"/>
      <c r="E13" s="171">
        <v>365</v>
      </c>
      <c r="G13" s="233">
        <v>16</v>
      </c>
      <c r="J13" s="241">
        <v>16</v>
      </c>
      <c r="K13" s="214">
        <f t="shared" si="1"/>
        <v>100</v>
      </c>
      <c r="L13" s="214">
        <f t="shared" si="1"/>
        <v>0</v>
      </c>
      <c r="M13" s="214">
        <f t="shared" si="1"/>
        <v>0</v>
      </c>
      <c r="N13" s="235">
        <f t="shared" si="2"/>
        <v>100</v>
      </c>
      <c r="O13" s="213">
        <v>57.5</v>
      </c>
      <c r="P13" s="214"/>
      <c r="Q13" s="214"/>
      <c r="R13" s="215">
        <f t="shared" si="3"/>
        <v>57.5</v>
      </c>
      <c r="S13" s="171">
        <v>1</v>
      </c>
      <c r="T13" s="285"/>
      <c r="U13" s="283"/>
      <c r="V13" s="178" t="s">
        <v>452</v>
      </c>
      <c r="W13" s="171" t="s">
        <v>74</v>
      </c>
      <c r="X13" s="171" t="s">
        <v>11</v>
      </c>
      <c r="Y13" s="179">
        <v>57.5</v>
      </c>
      <c r="AD13" s="178"/>
      <c r="AG13" s="179"/>
      <c r="AL13" s="178"/>
      <c r="AO13" s="179"/>
      <c r="AP13" s="178"/>
      <c r="AS13" s="179"/>
      <c r="AW13" s="179"/>
      <c r="BA13" s="180"/>
    </row>
    <row r="14" spans="1:53" s="171" customFormat="1" x14ac:dyDescent="0.15">
      <c r="A14" s="216">
        <v>1962.6</v>
      </c>
      <c r="B14" s="283"/>
      <c r="C14" s="410" t="s">
        <v>627</v>
      </c>
      <c r="D14" s="410"/>
      <c r="E14" s="171">
        <v>353</v>
      </c>
      <c r="G14" s="233">
        <v>16</v>
      </c>
      <c r="J14" s="241">
        <v>16</v>
      </c>
      <c r="K14" s="214">
        <f t="shared" si="1"/>
        <v>100</v>
      </c>
      <c r="L14" s="214">
        <f t="shared" si="1"/>
        <v>0</v>
      </c>
      <c r="M14" s="214">
        <f t="shared" si="1"/>
        <v>0</v>
      </c>
      <c r="N14" s="235">
        <f t="shared" si="2"/>
        <v>100</v>
      </c>
      <c r="O14" s="213">
        <v>57.5</v>
      </c>
      <c r="P14" s="214"/>
      <c r="Q14" s="214"/>
      <c r="R14" s="215">
        <f t="shared" si="3"/>
        <v>57.5</v>
      </c>
      <c r="S14" s="171">
        <v>1</v>
      </c>
      <c r="T14" s="285"/>
      <c r="U14" s="283"/>
      <c r="V14" s="178" t="s">
        <v>452</v>
      </c>
      <c r="W14" s="171" t="s">
        <v>74</v>
      </c>
      <c r="X14" s="171" t="s">
        <v>11</v>
      </c>
      <c r="Y14" s="179">
        <v>57.5</v>
      </c>
      <c r="AD14" s="178"/>
      <c r="AG14" s="179"/>
      <c r="AL14" s="178"/>
      <c r="AO14" s="179"/>
      <c r="AP14" s="178"/>
      <c r="AS14" s="179"/>
      <c r="AW14" s="179"/>
      <c r="BA14" s="180"/>
    </row>
    <row r="15" spans="1:53" s="29" customFormat="1" x14ac:dyDescent="0.15">
      <c r="A15" s="52">
        <v>1963.05714285714</v>
      </c>
      <c r="B15" s="295">
        <v>23365</v>
      </c>
      <c r="C15" s="411" t="s">
        <v>628</v>
      </c>
      <c r="D15" s="411"/>
      <c r="E15" s="29">
        <f>365-E14</f>
        <v>12</v>
      </c>
      <c r="F15" s="29">
        <v>1</v>
      </c>
      <c r="G15" s="66">
        <v>16</v>
      </c>
      <c r="J15" s="73">
        <v>16</v>
      </c>
      <c r="K15" s="47">
        <f t="shared" si="1"/>
        <v>100</v>
      </c>
      <c r="L15" s="47">
        <f t="shared" si="1"/>
        <v>0</v>
      </c>
      <c r="M15" s="47">
        <f t="shared" si="1"/>
        <v>0</v>
      </c>
      <c r="N15" s="68">
        <f t="shared" si="2"/>
        <v>100</v>
      </c>
      <c r="O15" s="46">
        <v>56.3</v>
      </c>
      <c r="P15" s="47"/>
      <c r="Q15" s="47"/>
      <c r="R15" s="48">
        <f t="shared" si="3"/>
        <v>56.3</v>
      </c>
      <c r="S15" s="29">
        <v>1</v>
      </c>
      <c r="T15" s="286">
        <v>23345</v>
      </c>
      <c r="U15" s="295">
        <v>23365</v>
      </c>
      <c r="V15" s="38" t="s">
        <v>452</v>
      </c>
      <c r="W15" s="29" t="s">
        <v>74</v>
      </c>
      <c r="X15" s="29" t="s">
        <v>11</v>
      </c>
      <c r="Y15" s="39">
        <v>56.3</v>
      </c>
      <c r="AD15" s="38"/>
      <c r="AG15" s="39"/>
      <c r="AL15" s="38"/>
      <c r="AO15" s="39"/>
      <c r="AP15" s="38"/>
      <c r="AS15" s="39"/>
      <c r="AW15" s="39"/>
      <c r="BA15" s="40"/>
    </row>
    <row r="16" spans="1:53" s="29" customFormat="1" x14ac:dyDescent="0.15">
      <c r="A16" s="52">
        <v>1963.5142857142901</v>
      </c>
      <c r="B16" s="295"/>
      <c r="C16" s="411" t="s">
        <v>628</v>
      </c>
      <c r="D16" s="411"/>
      <c r="E16" s="29">
        <v>0</v>
      </c>
      <c r="G16" s="66">
        <v>16</v>
      </c>
      <c r="J16" s="73">
        <v>16</v>
      </c>
      <c r="K16" s="47">
        <f t="shared" si="1"/>
        <v>100</v>
      </c>
      <c r="L16" s="47">
        <f t="shared" si="1"/>
        <v>0</v>
      </c>
      <c r="M16" s="47">
        <f t="shared" si="1"/>
        <v>0</v>
      </c>
      <c r="N16" s="68">
        <f t="shared" si="2"/>
        <v>100</v>
      </c>
      <c r="O16" s="46">
        <v>56.3</v>
      </c>
      <c r="P16" s="47"/>
      <c r="Q16" s="47"/>
      <c r="R16" s="48">
        <f t="shared" si="3"/>
        <v>56.3</v>
      </c>
      <c r="S16" s="29">
        <v>1</v>
      </c>
      <c r="T16" s="286"/>
      <c r="U16" s="295"/>
      <c r="V16" s="38" t="s">
        <v>452</v>
      </c>
      <c r="W16" s="29" t="s">
        <v>74</v>
      </c>
      <c r="X16" s="29" t="s">
        <v>11</v>
      </c>
      <c r="Y16" s="39">
        <v>56.3</v>
      </c>
      <c r="AD16" s="38"/>
      <c r="AG16" s="39"/>
      <c r="AL16" s="38"/>
      <c r="AO16" s="39"/>
      <c r="AP16" s="38"/>
      <c r="AS16" s="39"/>
      <c r="AW16" s="39"/>
      <c r="BA16" s="40"/>
    </row>
    <row r="17" spans="1:53" s="29" customFormat="1" x14ac:dyDescent="0.15">
      <c r="A17" s="52">
        <v>1963.9714285714299</v>
      </c>
      <c r="B17" s="295"/>
      <c r="C17" s="411" t="s">
        <v>628</v>
      </c>
      <c r="D17" s="411"/>
      <c r="E17" s="29">
        <v>366</v>
      </c>
      <c r="G17" s="66">
        <v>16</v>
      </c>
      <c r="J17" s="73">
        <v>16</v>
      </c>
      <c r="K17" s="47">
        <f t="shared" si="1"/>
        <v>100</v>
      </c>
      <c r="L17" s="47">
        <f t="shared" si="1"/>
        <v>0</v>
      </c>
      <c r="M17" s="47">
        <f t="shared" si="1"/>
        <v>0</v>
      </c>
      <c r="N17" s="68">
        <f t="shared" si="2"/>
        <v>100</v>
      </c>
      <c r="O17" s="46">
        <v>56.3</v>
      </c>
      <c r="P17" s="47"/>
      <c r="Q17" s="47"/>
      <c r="R17" s="48">
        <f t="shared" si="3"/>
        <v>56.3</v>
      </c>
      <c r="S17" s="29">
        <v>1</v>
      </c>
      <c r="T17" s="286"/>
      <c r="U17" s="295"/>
      <c r="V17" s="38" t="s">
        <v>452</v>
      </c>
      <c r="W17" s="29" t="s">
        <v>74</v>
      </c>
      <c r="X17" s="29" t="s">
        <v>11</v>
      </c>
      <c r="Y17" s="39">
        <v>56.3</v>
      </c>
      <c r="AD17" s="38"/>
      <c r="AG17" s="39"/>
      <c r="AL17" s="38"/>
      <c r="AO17" s="39"/>
      <c r="AP17" s="38"/>
      <c r="AS17" s="39"/>
      <c r="AW17" s="39"/>
      <c r="BA17" s="40"/>
    </row>
    <row r="18" spans="1:53" s="29" customFormat="1" x14ac:dyDescent="0.15">
      <c r="A18" s="52">
        <v>1965</v>
      </c>
      <c r="B18" s="295"/>
      <c r="C18" s="411" t="s">
        <v>628</v>
      </c>
      <c r="D18" s="411"/>
      <c r="E18" s="29">
        <v>0</v>
      </c>
      <c r="G18" s="66">
        <v>16</v>
      </c>
      <c r="J18" s="73">
        <v>16</v>
      </c>
      <c r="K18" s="47">
        <f t="shared" si="1"/>
        <v>100</v>
      </c>
      <c r="L18" s="47">
        <f t="shared" si="1"/>
        <v>0</v>
      </c>
      <c r="M18" s="47">
        <f t="shared" si="1"/>
        <v>0</v>
      </c>
      <c r="N18" s="68">
        <f t="shared" si="2"/>
        <v>100</v>
      </c>
      <c r="O18" s="46">
        <v>56.3</v>
      </c>
      <c r="P18" s="47"/>
      <c r="Q18" s="47"/>
      <c r="R18" s="48">
        <f t="shared" si="3"/>
        <v>56.3</v>
      </c>
      <c r="S18" s="29">
        <v>1</v>
      </c>
      <c r="T18" s="286"/>
      <c r="U18" s="295"/>
      <c r="V18" s="38" t="s">
        <v>452</v>
      </c>
      <c r="W18" s="29" t="s">
        <v>74</v>
      </c>
      <c r="X18" s="29" t="s">
        <v>11</v>
      </c>
      <c r="Y18" s="39">
        <v>56.3</v>
      </c>
      <c r="AD18" s="38"/>
      <c r="AG18" s="39"/>
      <c r="AL18" s="38"/>
      <c r="AO18" s="39"/>
      <c r="AP18" s="38"/>
      <c r="AS18" s="39"/>
      <c r="AW18" s="39"/>
      <c r="BA18" s="40"/>
    </row>
    <row r="19" spans="1:53" s="29" customFormat="1" x14ac:dyDescent="0.15">
      <c r="A19" s="52">
        <v>1964.88571428572</v>
      </c>
      <c r="B19" s="295"/>
      <c r="C19" s="411" t="s">
        <v>628</v>
      </c>
      <c r="D19" s="411"/>
      <c r="E19" s="29">
        <v>365</v>
      </c>
      <c r="G19" s="66">
        <v>16</v>
      </c>
      <c r="J19" s="73">
        <v>16</v>
      </c>
      <c r="K19" s="47">
        <f t="shared" si="1"/>
        <v>100</v>
      </c>
      <c r="L19" s="47">
        <f t="shared" si="1"/>
        <v>0</v>
      </c>
      <c r="M19" s="47">
        <f t="shared" si="1"/>
        <v>0</v>
      </c>
      <c r="N19" s="68">
        <f t="shared" si="2"/>
        <v>100</v>
      </c>
      <c r="O19" s="46">
        <v>56.3</v>
      </c>
      <c r="P19" s="47"/>
      <c r="Q19" s="47"/>
      <c r="R19" s="48">
        <f t="shared" si="3"/>
        <v>56.3</v>
      </c>
      <c r="S19" s="29">
        <v>1</v>
      </c>
      <c r="T19" s="286"/>
      <c r="U19" s="295"/>
      <c r="V19" s="38" t="s">
        <v>452</v>
      </c>
      <c r="W19" s="29" t="s">
        <v>74</v>
      </c>
      <c r="X19" s="29" t="s">
        <v>11</v>
      </c>
      <c r="Y19" s="39">
        <v>56.3</v>
      </c>
      <c r="AD19" s="38"/>
      <c r="AG19" s="39"/>
      <c r="AL19" s="38"/>
      <c r="AO19" s="39"/>
      <c r="AP19" s="38"/>
      <c r="AS19" s="39"/>
      <c r="AW19" s="39"/>
      <c r="BA19" s="40"/>
    </row>
    <row r="20" spans="1:53" s="29" customFormat="1" x14ac:dyDescent="0.15">
      <c r="A20" s="52">
        <v>1966</v>
      </c>
      <c r="B20" s="295"/>
      <c r="C20" s="411" t="s">
        <v>628</v>
      </c>
      <c r="D20" s="411"/>
      <c r="E20" s="29">
        <v>345</v>
      </c>
      <c r="G20" s="66">
        <v>16</v>
      </c>
      <c r="J20" s="73">
        <v>16</v>
      </c>
      <c r="K20" s="47">
        <f t="shared" si="1"/>
        <v>100</v>
      </c>
      <c r="L20" s="47">
        <f t="shared" si="1"/>
        <v>0</v>
      </c>
      <c r="M20" s="47">
        <f t="shared" si="1"/>
        <v>0</v>
      </c>
      <c r="N20" s="68">
        <f t="shared" si="2"/>
        <v>100</v>
      </c>
      <c r="O20" s="46">
        <v>56.3</v>
      </c>
      <c r="P20" s="47"/>
      <c r="Q20" s="47"/>
      <c r="R20" s="48">
        <f t="shared" si="3"/>
        <v>56.3</v>
      </c>
      <c r="S20" s="29">
        <v>1</v>
      </c>
      <c r="T20" s="286"/>
      <c r="U20" s="295"/>
      <c r="V20" s="38" t="s">
        <v>452</v>
      </c>
      <c r="W20" s="29" t="s">
        <v>74</v>
      </c>
      <c r="X20" s="29" t="s">
        <v>11</v>
      </c>
      <c r="Y20" s="39">
        <v>56.3</v>
      </c>
      <c r="AD20" s="38"/>
      <c r="AG20" s="39"/>
      <c r="AL20" s="38"/>
      <c r="AO20" s="39"/>
      <c r="AP20" s="38"/>
      <c r="AS20" s="39"/>
      <c r="AW20" s="39"/>
      <c r="BA20" s="40"/>
    </row>
    <row r="21" spans="1:53" s="171" customFormat="1" x14ac:dyDescent="0.15">
      <c r="A21" s="216">
        <v>1965.8</v>
      </c>
      <c r="B21" s="283">
        <v>24453</v>
      </c>
      <c r="C21" s="410" t="s">
        <v>629</v>
      </c>
      <c r="D21" s="410"/>
      <c r="E21" s="171">
        <f>365-E20</f>
        <v>20</v>
      </c>
      <c r="F21" s="171">
        <v>1</v>
      </c>
      <c r="G21" s="233">
        <v>16</v>
      </c>
      <c r="J21" s="241">
        <v>16</v>
      </c>
      <c r="K21" s="214">
        <f t="shared" si="1"/>
        <v>100</v>
      </c>
      <c r="L21" s="214">
        <f t="shared" si="1"/>
        <v>0</v>
      </c>
      <c r="M21" s="214">
        <f t="shared" si="1"/>
        <v>0</v>
      </c>
      <c r="N21" s="235">
        <f t="shared" si="2"/>
        <v>100</v>
      </c>
      <c r="O21" s="213">
        <v>55</v>
      </c>
      <c r="P21" s="214"/>
      <c r="Q21" s="214"/>
      <c r="R21" s="215">
        <f t="shared" si="3"/>
        <v>55</v>
      </c>
      <c r="S21" s="171">
        <v>1</v>
      </c>
      <c r="T21" s="285">
        <v>24437</v>
      </c>
      <c r="U21" s="283">
        <v>24453</v>
      </c>
      <c r="V21" s="178" t="s">
        <v>452</v>
      </c>
      <c r="W21" s="171" t="s">
        <v>74</v>
      </c>
      <c r="X21" s="171" t="s">
        <v>11</v>
      </c>
      <c r="Y21" s="179">
        <v>55</v>
      </c>
      <c r="AD21" s="178"/>
      <c r="AG21" s="179"/>
      <c r="AL21" s="178"/>
      <c r="AO21" s="179"/>
      <c r="AP21" s="178"/>
      <c r="AS21" s="179"/>
      <c r="AW21" s="179"/>
      <c r="BA21" s="180"/>
    </row>
    <row r="22" spans="1:53" s="171" customFormat="1" x14ac:dyDescent="0.15">
      <c r="A22" s="216">
        <v>1967</v>
      </c>
      <c r="B22" s="283"/>
      <c r="C22" s="410" t="s">
        <v>629</v>
      </c>
      <c r="D22" s="410"/>
      <c r="E22" s="171">
        <v>0</v>
      </c>
      <c r="G22" s="233">
        <v>16</v>
      </c>
      <c r="J22" s="241">
        <v>16</v>
      </c>
      <c r="K22" s="214">
        <f t="shared" si="1"/>
        <v>100</v>
      </c>
      <c r="L22" s="214">
        <f t="shared" si="1"/>
        <v>0</v>
      </c>
      <c r="M22" s="214">
        <f t="shared" si="1"/>
        <v>0</v>
      </c>
      <c r="N22" s="235">
        <f t="shared" si="2"/>
        <v>100</v>
      </c>
      <c r="O22" s="213">
        <v>55</v>
      </c>
      <c r="P22" s="214"/>
      <c r="Q22" s="214"/>
      <c r="R22" s="215">
        <f t="shared" si="3"/>
        <v>55</v>
      </c>
      <c r="S22" s="171">
        <v>1</v>
      </c>
      <c r="T22" s="285"/>
      <c r="U22" s="283"/>
      <c r="V22" s="178" t="s">
        <v>452</v>
      </c>
      <c r="W22" s="171" t="s">
        <v>74</v>
      </c>
      <c r="X22" s="171" t="s">
        <v>11</v>
      </c>
      <c r="Y22" s="179">
        <v>55</v>
      </c>
      <c r="AD22" s="178"/>
      <c r="AG22" s="179"/>
      <c r="AL22" s="178"/>
      <c r="AO22" s="179"/>
      <c r="AP22" s="178"/>
      <c r="AS22" s="179"/>
      <c r="AW22" s="179"/>
      <c r="BA22" s="180"/>
    </row>
    <row r="23" spans="1:53" s="171" customFormat="1" x14ac:dyDescent="0.15">
      <c r="A23" s="216">
        <v>1966.7142857142901</v>
      </c>
      <c r="B23" s="283"/>
      <c r="C23" s="410" t="s">
        <v>629</v>
      </c>
      <c r="D23" s="410"/>
      <c r="E23" s="171">
        <v>365</v>
      </c>
      <c r="G23" s="233">
        <v>16</v>
      </c>
      <c r="J23" s="241">
        <v>16</v>
      </c>
      <c r="K23" s="214">
        <f t="shared" si="1"/>
        <v>100</v>
      </c>
      <c r="L23" s="214">
        <f t="shared" si="1"/>
        <v>0</v>
      </c>
      <c r="M23" s="214">
        <f t="shared" si="1"/>
        <v>0</v>
      </c>
      <c r="N23" s="235">
        <f t="shared" si="2"/>
        <v>100</v>
      </c>
      <c r="O23" s="213">
        <v>55</v>
      </c>
      <c r="P23" s="214"/>
      <c r="Q23" s="214"/>
      <c r="R23" s="215">
        <f t="shared" si="3"/>
        <v>55</v>
      </c>
      <c r="S23" s="171">
        <v>1</v>
      </c>
      <c r="T23" s="285"/>
      <c r="U23" s="283"/>
      <c r="V23" s="178" t="s">
        <v>452</v>
      </c>
      <c r="W23" s="171" t="s">
        <v>74</v>
      </c>
      <c r="X23" s="171" t="s">
        <v>11</v>
      </c>
      <c r="Y23" s="179">
        <v>55</v>
      </c>
      <c r="AD23" s="178"/>
      <c r="AG23" s="179"/>
      <c r="AL23" s="178"/>
      <c r="AO23" s="179"/>
      <c r="AP23" s="178"/>
      <c r="AS23" s="179"/>
      <c r="AW23" s="179"/>
      <c r="BA23" s="180"/>
    </row>
    <row r="24" spans="1:53" s="171" customFormat="1" x14ac:dyDescent="0.15">
      <c r="A24" s="216">
        <v>1968</v>
      </c>
      <c r="B24" s="283"/>
      <c r="C24" s="410" t="s">
        <v>629</v>
      </c>
      <c r="D24" s="410"/>
      <c r="E24" s="171">
        <v>0</v>
      </c>
      <c r="G24" s="233">
        <v>16</v>
      </c>
      <c r="J24" s="241">
        <v>16</v>
      </c>
      <c r="K24" s="214">
        <f t="shared" si="1"/>
        <v>100</v>
      </c>
      <c r="L24" s="214">
        <f t="shared" si="1"/>
        <v>0</v>
      </c>
      <c r="M24" s="214">
        <f t="shared" si="1"/>
        <v>0</v>
      </c>
      <c r="N24" s="235">
        <f t="shared" si="2"/>
        <v>100</v>
      </c>
      <c r="O24" s="213">
        <v>55</v>
      </c>
      <c r="P24" s="214"/>
      <c r="Q24" s="214"/>
      <c r="R24" s="215">
        <f t="shared" si="3"/>
        <v>55</v>
      </c>
      <c r="S24" s="171">
        <v>1</v>
      </c>
      <c r="T24" s="285"/>
      <c r="U24" s="283"/>
      <c r="V24" s="178" t="s">
        <v>452</v>
      </c>
      <c r="W24" s="171" t="s">
        <v>74</v>
      </c>
      <c r="X24" s="171" t="s">
        <v>11</v>
      </c>
      <c r="Y24" s="179">
        <v>55</v>
      </c>
      <c r="AD24" s="178"/>
      <c r="AG24" s="179"/>
      <c r="AL24" s="178"/>
      <c r="AO24" s="179"/>
      <c r="AP24" s="178"/>
      <c r="AS24" s="179"/>
      <c r="AW24" s="179"/>
      <c r="BA24" s="180"/>
    </row>
    <row r="25" spans="1:53" s="171" customFormat="1" x14ac:dyDescent="0.15">
      <c r="A25" s="216">
        <v>1967.62857142857</v>
      </c>
      <c r="B25" s="283"/>
      <c r="C25" s="410" t="s">
        <v>629</v>
      </c>
      <c r="D25" s="410"/>
      <c r="E25" s="171">
        <v>366</v>
      </c>
      <c r="G25" s="233">
        <v>16</v>
      </c>
      <c r="J25" s="241">
        <v>16</v>
      </c>
      <c r="K25" s="214">
        <f t="shared" si="1"/>
        <v>100</v>
      </c>
      <c r="L25" s="214">
        <f t="shared" si="1"/>
        <v>0</v>
      </c>
      <c r="M25" s="214">
        <f t="shared" si="1"/>
        <v>0</v>
      </c>
      <c r="N25" s="235">
        <f t="shared" si="2"/>
        <v>100</v>
      </c>
      <c r="O25" s="213">
        <v>55</v>
      </c>
      <c r="P25" s="214"/>
      <c r="Q25" s="214"/>
      <c r="R25" s="215">
        <f t="shared" si="3"/>
        <v>55</v>
      </c>
      <c r="S25" s="171">
        <v>1</v>
      </c>
      <c r="T25" s="285"/>
      <c r="U25" s="283"/>
      <c r="V25" s="178" t="s">
        <v>452</v>
      </c>
      <c r="W25" s="171" t="s">
        <v>74</v>
      </c>
      <c r="X25" s="171" t="s">
        <v>11</v>
      </c>
      <c r="Y25" s="179">
        <v>55</v>
      </c>
      <c r="AD25" s="178"/>
      <c r="AG25" s="179"/>
      <c r="AL25" s="178"/>
      <c r="AO25" s="179"/>
      <c r="AP25" s="178"/>
      <c r="AS25" s="179"/>
      <c r="AW25" s="179"/>
      <c r="BA25" s="180"/>
    </row>
    <row r="26" spans="1:53" s="171" customFormat="1" x14ac:dyDescent="0.15">
      <c r="A26" s="216">
        <v>1969</v>
      </c>
      <c r="B26" s="283"/>
      <c r="C26" s="410" t="s">
        <v>629</v>
      </c>
      <c r="D26" s="410"/>
      <c r="E26" s="171">
        <v>355</v>
      </c>
      <c r="G26" s="233">
        <v>16</v>
      </c>
      <c r="J26" s="241">
        <v>16</v>
      </c>
      <c r="K26" s="214">
        <f t="shared" si="1"/>
        <v>100</v>
      </c>
      <c r="L26" s="214">
        <f t="shared" si="1"/>
        <v>0</v>
      </c>
      <c r="M26" s="214">
        <f t="shared" si="1"/>
        <v>0</v>
      </c>
      <c r="N26" s="235">
        <f t="shared" si="2"/>
        <v>100</v>
      </c>
      <c r="O26" s="213">
        <v>55</v>
      </c>
      <c r="P26" s="214"/>
      <c r="Q26" s="214"/>
      <c r="R26" s="215">
        <f t="shared" si="3"/>
        <v>55</v>
      </c>
      <c r="S26" s="171">
        <v>1</v>
      </c>
      <c r="T26" s="285"/>
      <c r="U26" s="283"/>
      <c r="V26" s="178" t="s">
        <v>452</v>
      </c>
      <c r="W26" s="171" t="s">
        <v>74</v>
      </c>
      <c r="X26" s="171" t="s">
        <v>11</v>
      </c>
      <c r="Y26" s="179">
        <v>55</v>
      </c>
      <c r="AD26" s="178"/>
      <c r="AG26" s="179"/>
      <c r="AL26" s="178"/>
      <c r="AO26" s="179"/>
      <c r="AP26" s="178"/>
      <c r="AS26" s="179"/>
      <c r="AW26" s="179"/>
      <c r="BA26" s="180"/>
    </row>
    <row r="27" spans="1:53" s="29" customFormat="1" x14ac:dyDescent="0.15">
      <c r="A27" s="52">
        <v>1968.5428571428599</v>
      </c>
      <c r="B27" s="295">
        <v>25559</v>
      </c>
      <c r="C27" s="411" t="s">
        <v>630</v>
      </c>
      <c r="D27" s="411"/>
      <c r="E27" s="29">
        <f>365-E26</f>
        <v>10</v>
      </c>
      <c r="F27" s="29">
        <v>1</v>
      </c>
      <c r="G27" s="66">
        <v>18</v>
      </c>
      <c r="J27" s="73">
        <v>18</v>
      </c>
      <c r="K27" s="47">
        <f t="shared" si="1"/>
        <v>100</v>
      </c>
      <c r="L27" s="47">
        <f t="shared" si="1"/>
        <v>0</v>
      </c>
      <c r="M27" s="47">
        <f t="shared" si="1"/>
        <v>0</v>
      </c>
      <c r="N27" s="68">
        <f t="shared" si="2"/>
        <v>100</v>
      </c>
      <c r="O27" s="46">
        <v>53.6</v>
      </c>
      <c r="P27" s="47"/>
      <c r="Q27" s="47"/>
      <c r="R27" s="48">
        <f t="shared" si="3"/>
        <v>53.6</v>
      </c>
      <c r="S27" s="29">
        <v>1</v>
      </c>
      <c r="T27" s="286">
        <v>25536</v>
      </c>
      <c r="U27" s="295">
        <v>25559</v>
      </c>
      <c r="V27" s="38" t="s">
        <v>452</v>
      </c>
      <c r="W27" s="29" t="s">
        <v>74</v>
      </c>
      <c r="X27" s="29" t="s">
        <v>11</v>
      </c>
      <c r="Y27" s="39">
        <v>53.6</v>
      </c>
      <c r="AD27" s="38"/>
      <c r="AG27" s="39"/>
      <c r="AL27" s="38"/>
      <c r="AO27" s="39"/>
      <c r="AP27" s="38"/>
      <c r="AS27" s="39"/>
      <c r="AW27" s="39"/>
      <c r="BA27" s="40"/>
    </row>
    <row r="28" spans="1:53" s="29" customFormat="1" x14ac:dyDescent="0.15">
      <c r="A28" s="52">
        <v>1970</v>
      </c>
      <c r="B28" s="295"/>
      <c r="C28" s="411" t="s">
        <v>630</v>
      </c>
      <c r="D28" s="411"/>
      <c r="E28" s="29">
        <v>0</v>
      </c>
      <c r="G28" s="66">
        <v>18</v>
      </c>
      <c r="J28" s="73">
        <v>18</v>
      </c>
      <c r="K28" s="47">
        <f t="shared" si="1"/>
        <v>100</v>
      </c>
      <c r="L28" s="47">
        <f t="shared" si="1"/>
        <v>0</v>
      </c>
      <c r="M28" s="47">
        <f t="shared" si="1"/>
        <v>0</v>
      </c>
      <c r="N28" s="68">
        <f t="shared" si="2"/>
        <v>100</v>
      </c>
      <c r="O28" s="46">
        <v>53.6</v>
      </c>
      <c r="P28" s="47"/>
      <c r="Q28" s="47"/>
      <c r="R28" s="48">
        <f t="shared" si="3"/>
        <v>53.6</v>
      </c>
      <c r="S28" s="29">
        <v>1</v>
      </c>
      <c r="T28" s="286"/>
      <c r="U28" s="295"/>
      <c r="V28" s="38" t="s">
        <v>452</v>
      </c>
      <c r="W28" s="29" t="s">
        <v>74</v>
      </c>
      <c r="X28" s="29" t="s">
        <v>11</v>
      </c>
      <c r="Y28" s="39">
        <v>53.6</v>
      </c>
      <c r="AD28" s="38"/>
      <c r="AG28" s="39"/>
      <c r="AL28" s="38"/>
      <c r="AO28" s="39"/>
      <c r="AP28" s="38"/>
      <c r="AS28" s="39"/>
      <c r="AW28" s="39"/>
      <c r="BA28" s="40"/>
    </row>
    <row r="29" spans="1:53" s="29" customFormat="1" x14ac:dyDescent="0.15">
      <c r="A29" s="52">
        <v>1970</v>
      </c>
      <c r="B29" s="295"/>
      <c r="C29" s="411" t="s">
        <v>630</v>
      </c>
      <c r="D29" s="411"/>
      <c r="E29" s="29">
        <v>365</v>
      </c>
      <c r="G29" s="66">
        <v>18</v>
      </c>
      <c r="J29" s="73">
        <v>18</v>
      </c>
      <c r="K29" s="47">
        <f t="shared" si="1"/>
        <v>100</v>
      </c>
      <c r="L29" s="47">
        <f t="shared" si="1"/>
        <v>0</v>
      </c>
      <c r="M29" s="47">
        <f t="shared" si="1"/>
        <v>0</v>
      </c>
      <c r="N29" s="68">
        <f t="shared" si="2"/>
        <v>100</v>
      </c>
      <c r="O29" s="46">
        <v>53.6</v>
      </c>
      <c r="P29" s="47"/>
      <c r="Q29" s="47"/>
      <c r="R29" s="48">
        <f t="shared" si="3"/>
        <v>53.6</v>
      </c>
      <c r="S29" s="29">
        <v>1</v>
      </c>
      <c r="T29" s="286"/>
      <c r="U29" s="295"/>
      <c r="V29" s="38" t="s">
        <v>452</v>
      </c>
      <c r="W29" s="29" t="s">
        <v>74</v>
      </c>
      <c r="X29" s="29" t="s">
        <v>11</v>
      </c>
      <c r="Y29" s="39">
        <v>53.6</v>
      </c>
      <c r="AD29" s="38"/>
      <c r="AG29" s="39"/>
      <c r="AL29" s="38"/>
      <c r="AO29" s="39"/>
      <c r="AP29" s="38"/>
      <c r="AS29" s="39"/>
      <c r="AW29" s="39"/>
      <c r="BA29" s="40"/>
    </row>
    <row r="30" spans="1:53" s="29" customFormat="1" x14ac:dyDescent="0.15">
      <c r="A30" s="52">
        <v>1971</v>
      </c>
      <c r="B30" s="295"/>
      <c r="C30" s="411" t="s">
        <v>630</v>
      </c>
      <c r="D30" s="411"/>
      <c r="E30" s="29">
        <v>0</v>
      </c>
      <c r="G30" s="66">
        <v>18</v>
      </c>
      <c r="J30" s="73">
        <v>18</v>
      </c>
      <c r="K30" s="47">
        <f t="shared" si="1"/>
        <v>100</v>
      </c>
      <c r="L30" s="47">
        <f t="shared" si="1"/>
        <v>0</v>
      </c>
      <c r="M30" s="47">
        <f t="shared" si="1"/>
        <v>0</v>
      </c>
      <c r="N30" s="68">
        <f t="shared" si="2"/>
        <v>100</v>
      </c>
      <c r="O30" s="46">
        <v>53.6</v>
      </c>
      <c r="P30" s="47"/>
      <c r="Q30" s="47"/>
      <c r="R30" s="48">
        <f t="shared" si="3"/>
        <v>53.6</v>
      </c>
      <c r="S30" s="29">
        <v>1</v>
      </c>
      <c r="T30" s="286"/>
      <c r="U30" s="295"/>
      <c r="V30" s="38" t="s">
        <v>452</v>
      </c>
      <c r="W30" s="29" t="s">
        <v>74</v>
      </c>
      <c r="X30" s="29" t="s">
        <v>11</v>
      </c>
      <c r="Y30" s="39">
        <v>53.6</v>
      </c>
      <c r="AD30" s="38"/>
      <c r="AG30" s="39"/>
      <c r="AL30" s="38"/>
      <c r="AO30" s="39"/>
      <c r="AP30" s="38"/>
      <c r="AS30" s="39"/>
      <c r="AW30" s="39"/>
      <c r="BA30" s="40"/>
    </row>
    <row r="31" spans="1:53" s="29" customFormat="1" x14ac:dyDescent="0.15">
      <c r="A31" s="52">
        <v>1971</v>
      </c>
      <c r="B31" s="295"/>
      <c r="C31" s="411" t="s">
        <v>630</v>
      </c>
      <c r="D31" s="411"/>
      <c r="E31" s="29">
        <v>365</v>
      </c>
      <c r="G31" s="66">
        <v>18</v>
      </c>
      <c r="J31" s="73">
        <v>18</v>
      </c>
      <c r="K31" s="47">
        <f t="shared" si="1"/>
        <v>100</v>
      </c>
      <c r="L31" s="47">
        <f t="shared" si="1"/>
        <v>0</v>
      </c>
      <c r="M31" s="47">
        <f t="shared" si="1"/>
        <v>0</v>
      </c>
      <c r="N31" s="68">
        <f t="shared" si="2"/>
        <v>100</v>
      </c>
      <c r="O31" s="46">
        <v>53.6</v>
      </c>
      <c r="P31" s="47"/>
      <c r="Q31" s="47"/>
      <c r="R31" s="48">
        <f t="shared" si="3"/>
        <v>53.6</v>
      </c>
      <c r="S31" s="29">
        <v>1</v>
      </c>
      <c r="T31" s="286"/>
      <c r="U31" s="295"/>
      <c r="V31" s="38" t="s">
        <v>452</v>
      </c>
      <c r="W31" s="29" t="s">
        <v>74</v>
      </c>
      <c r="X31" s="29" t="s">
        <v>11</v>
      </c>
      <c r="Y31" s="39">
        <v>53.6</v>
      </c>
      <c r="AD31" s="38"/>
      <c r="AG31" s="39"/>
      <c r="AL31" s="38"/>
      <c r="AO31" s="39"/>
      <c r="AP31" s="38"/>
      <c r="AS31" s="39"/>
      <c r="AW31" s="39"/>
      <c r="BA31" s="40"/>
    </row>
    <row r="32" spans="1:53" s="29" customFormat="1" x14ac:dyDescent="0.15">
      <c r="A32" s="52">
        <v>1972</v>
      </c>
      <c r="B32" s="295"/>
      <c r="C32" s="411" t="s">
        <v>630</v>
      </c>
      <c r="D32" s="411"/>
      <c r="E32" s="29">
        <v>39</v>
      </c>
      <c r="G32" s="66">
        <v>18</v>
      </c>
      <c r="J32" s="73">
        <v>18</v>
      </c>
      <c r="K32" s="47">
        <f t="shared" si="1"/>
        <v>100</v>
      </c>
      <c r="L32" s="47">
        <f t="shared" si="1"/>
        <v>0</v>
      </c>
      <c r="M32" s="47">
        <f t="shared" si="1"/>
        <v>0</v>
      </c>
      <c r="N32" s="68">
        <f t="shared" si="2"/>
        <v>100</v>
      </c>
      <c r="O32" s="46">
        <v>53.6</v>
      </c>
      <c r="P32" s="47"/>
      <c r="Q32" s="47"/>
      <c r="R32" s="48">
        <f t="shared" si="3"/>
        <v>53.6</v>
      </c>
      <c r="S32" s="29">
        <v>1</v>
      </c>
      <c r="T32" s="286"/>
      <c r="U32" s="295"/>
      <c r="V32" s="38" t="s">
        <v>452</v>
      </c>
      <c r="W32" s="29" t="s">
        <v>74</v>
      </c>
      <c r="X32" s="29" t="s">
        <v>11</v>
      </c>
      <c r="Y32" s="39">
        <v>53.6</v>
      </c>
      <c r="AD32" s="38"/>
      <c r="AG32" s="39"/>
      <c r="AL32" s="38"/>
      <c r="AO32" s="39"/>
      <c r="AP32" s="38"/>
      <c r="AS32" s="39"/>
      <c r="AW32" s="39"/>
      <c r="BA32" s="40"/>
    </row>
    <row r="33" spans="1:53" s="171" customFormat="1" x14ac:dyDescent="0.15">
      <c r="A33" s="216">
        <v>1972</v>
      </c>
      <c r="B33" s="283">
        <v>26338</v>
      </c>
      <c r="C33" s="410" t="s">
        <v>631</v>
      </c>
      <c r="D33" s="410"/>
      <c r="E33" s="171">
        <v>303</v>
      </c>
      <c r="F33" s="171">
        <v>2</v>
      </c>
      <c r="G33" s="233">
        <v>18</v>
      </c>
      <c r="J33" s="241">
        <v>18</v>
      </c>
      <c r="K33" s="214">
        <f t="shared" si="1"/>
        <v>100</v>
      </c>
      <c r="L33" s="214">
        <f t="shared" si="1"/>
        <v>0</v>
      </c>
      <c r="M33" s="214">
        <f t="shared" si="1"/>
        <v>0</v>
      </c>
      <c r="N33" s="235">
        <f t="shared" si="2"/>
        <v>100</v>
      </c>
      <c r="O33" s="213">
        <v>53.6</v>
      </c>
      <c r="P33" s="214"/>
      <c r="Q33" s="214"/>
      <c r="R33" s="215">
        <f t="shared" si="3"/>
        <v>53.6</v>
      </c>
      <c r="S33" s="171">
        <v>1</v>
      </c>
      <c r="T33" s="285"/>
      <c r="U33" s="283">
        <v>26338</v>
      </c>
      <c r="V33" s="178" t="s">
        <v>452</v>
      </c>
      <c r="W33" s="171" t="s">
        <v>74</v>
      </c>
      <c r="X33" s="171" t="s">
        <v>11</v>
      </c>
      <c r="Y33" s="179">
        <v>53.6</v>
      </c>
      <c r="AD33" s="178"/>
      <c r="AG33" s="179"/>
      <c r="AL33" s="178"/>
      <c r="AO33" s="179"/>
      <c r="AP33" s="178"/>
      <c r="AS33" s="179"/>
      <c r="AW33" s="179"/>
      <c r="BA33" s="180"/>
    </row>
    <row r="34" spans="1:53" s="29" customFormat="1" x14ac:dyDescent="0.15">
      <c r="A34" s="52">
        <v>1972</v>
      </c>
      <c r="B34" s="295">
        <v>26641</v>
      </c>
      <c r="C34" s="411" t="s">
        <v>632</v>
      </c>
      <c r="D34" s="411"/>
      <c r="E34" s="29">
        <f>366-E33-E32</f>
        <v>24</v>
      </c>
      <c r="F34" s="29">
        <v>1</v>
      </c>
      <c r="G34" s="66"/>
      <c r="I34" s="29">
        <v>20</v>
      </c>
      <c r="J34" s="73">
        <v>20</v>
      </c>
      <c r="K34" s="47">
        <f t="shared" si="1"/>
        <v>0</v>
      </c>
      <c r="L34" s="47">
        <f t="shared" si="1"/>
        <v>0</v>
      </c>
      <c r="M34" s="47">
        <f t="shared" si="1"/>
        <v>100</v>
      </c>
      <c r="N34" s="68">
        <f t="shared" si="2"/>
        <v>100</v>
      </c>
      <c r="O34" s="46"/>
      <c r="P34" s="47"/>
      <c r="Q34" s="47">
        <v>63.2</v>
      </c>
      <c r="R34" s="48">
        <f t="shared" si="3"/>
        <v>63.2</v>
      </c>
      <c r="S34" s="29">
        <v>1</v>
      </c>
      <c r="T34" s="286">
        <v>26628</v>
      </c>
      <c r="U34" s="295">
        <v>26641</v>
      </c>
      <c r="V34" s="38" t="s">
        <v>451</v>
      </c>
      <c r="W34" s="29" t="s">
        <v>20</v>
      </c>
      <c r="X34" s="29" t="s">
        <v>12</v>
      </c>
      <c r="Y34" s="39">
        <v>63.2</v>
      </c>
      <c r="AD34" s="38"/>
      <c r="AG34" s="39"/>
      <c r="AL34" s="38"/>
      <c r="AO34" s="39"/>
      <c r="AP34" s="38"/>
      <c r="AS34" s="39"/>
      <c r="AW34" s="39"/>
      <c r="BA34" s="40"/>
    </row>
    <row r="35" spans="1:53" s="29" customFormat="1" x14ac:dyDescent="0.15">
      <c r="A35" s="52">
        <v>1973</v>
      </c>
      <c r="B35" s="295"/>
      <c r="C35" s="411" t="s">
        <v>632</v>
      </c>
      <c r="D35" s="411"/>
      <c r="E35" s="29">
        <v>0</v>
      </c>
      <c r="G35" s="66"/>
      <c r="I35" s="29">
        <v>20</v>
      </c>
      <c r="J35" s="73">
        <v>20</v>
      </c>
      <c r="K35" s="47">
        <f t="shared" si="1"/>
        <v>0</v>
      </c>
      <c r="L35" s="47">
        <f t="shared" si="1"/>
        <v>0</v>
      </c>
      <c r="M35" s="47">
        <f t="shared" si="1"/>
        <v>100</v>
      </c>
      <c r="N35" s="68">
        <f t="shared" si="2"/>
        <v>100</v>
      </c>
      <c r="O35" s="46"/>
      <c r="P35" s="47"/>
      <c r="Q35" s="47">
        <v>63.2</v>
      </c>
      <c r="R35" s="48">
        <f t="shared" si="3"/>
        <v>63.2</v>
      </c>
      <c r="S35" s="29">
        <v>1</v>
      </c>
      <c r="T35" s="286"/>
      <c r="U35" s="295"/>
      <c r="V35" s="38" t="s">
        <v>451</v>
      </c>
      <c r="W35" s="29" t="s">
        <v>20</v>
      </c>
      <c r="X35" s="29" t="s">
        <v>12</v>
      </c>
      <c r="Y35" s="39">
        <v>63.2</v>
      </c>
      <c r="AD35" s="38"/>
      <c r="AG35" s="39"/>
      <c r="AL35" s="38"/>
      <c r="AO35" s="39"/>
      <c r="AP35" s="38"/>
      <c r="AS35" s="39"/>
      <c r="AW35" s="39"/>
      <c r="BA35" s="40"/>
    </row>
    <row r="36" spans="1:53" s="29" customFormat="1" x14ac:dyDescent="0.15">
      <c r="A36" s="52">
        <v>1973</v>
      </c>
      <c r="B36" s="295"/>
      <c r="C36" s="411" t="s">
        <v>632</v>
      </c>
      <c r="D36" s="411"/>
      <c r="E36" s="29">
        <v>365</v>
      </c>
      <c r="G36" s="66"/>
      <c r="I36" s="29">
        <v>20</v>
      </c>
      <c r="J36" s="73">
        <v>20</v>
      </c>
      <c r="K36" s="47">
        <f t="shared" si="1"/>
        <v>0</v>
      </c>
      <c r="L36" s="47">
        <f t="shared" si="1"/>
        <v>0</v>
      </c>
      <c r="M36" s="47">
        <f t="shared" si="1"/>
        <v>100</v>
      </c>
      <c r="N36" s="68">
        <f t="shared" si="2"/>
        <v>100</v>
      </c>
      <c r="O36" s="46"/>
      <c r="P36" s="47"/>
      <c r="Q36" s="47">
        <v>63.2</v>
      </c>
      <c r="R36" s="48">
        <f t="shared" si="3"/>
        <v>63.2</v>
      </c>
      <c r="S36" s="29">
        <v>1</v>
      </c>
      <c r="T36" s="286"/>
      <c r="U36" s="295"/>
      <c r="V36" s="38" t="s">
        <v>451</v>
      </c>
      <c r="W36" s="29" t="s">
        <v>20</v>
      </c>
      <c r="X36" s="29" t="s">
        <v>12</v>
      </c>
      <c r="Y36" s="39">
        <v>63.2</v>
      </c>
      <c r="AD36" s="38"/>
      <c r="AG36" s="39"/>
      <c r="AL36" s="38"/>
      <c r="AO36" s="39"/>
      <c r="AP36" s="38"/>
      <c r="AS36" s="39"/>
      <c r="AW36" s="39"/>
      <c r="BA36" s="40"/>
    </row>
    <row r="37" spans="1:53" s="29" customFormat="1" x14ac:dyDescent="0.15">
      <c r="A37" s="52">
        <v>1974</v>
      </c>
      <c r="B37" s="295"/>
      <c r="C37" s="411" t="s">
        <v>632</v>
      </c>
      <c r="D37" s="411"/>
      <c r="E37" s="29">
        <v>252</v>
      </c>
      <c r="G37" s="66"/>
      <c r="I37" s="29">
        <v>20</v>
      </c>
      <c r="J37" s="73">
        <v>20</v>
      </c>
      <c r="K37" s="47">
        <f t="shared" si="1"/>
        <v>0</v>
      </c>
      <c r="L37" s="47">
        <f t="shared" si="1"/>
        <v>0</v>
      </c>
      <c r="M37" s="47">
        <f t="shared" si="1"/>
        <v>100</v>
      </c>
      <c r="N37" s="68">
        <f t="shared" si="2"/>
        <v>100</v>
      </c>
      <c r="O37" s="46"/>
      <c r="P37" s="47"/>
      <c r="Q37" s="47">
        <v>63.2</v>
      </c>
      <c r="R37" s="48">
        <f t="shared" si="3"/>
        <v>63.2</v>
      </c>
      <c r="S37" s="29">
        <v>1</v>
      </c>
      <c r="T37" s="286"/>
      <c r="U37" s="295"/>
      <c r="V37" s="38" t="s">
        <v>451</v>
      </c>
      <c r="W37" s="29" t="s">
        <v>20</v>
      </c>
      <c r="X37" s="29" t="s">
        <v>12</v>
      </c>
      <c r="Y37" s="39">
        <v>63.2</v>
      </c>
      <c r="AD37" s="38"/>
      <c r="AG37" s="39"/>
      <c r="AL37" s="38"/>
      <c r="AO37" s="39"/>
      <c r="AP37" s="38"/>
      <c r="AS37" s="39"/>
      <c r="AW37" s="39"/>
      <c r="BA37" s="40"/>
    </row>
    <row r="38" spans="1:53" s="171" customFormat="1" x14ac:dyDescent="0.15">
      <c r="A38" s="216">
        <v>1974</v>
      </c>
      <c r="B38" s="283">
        <v>27282</v>
      </c>
      <c r="C38" s="410" t="s">
        <v>633</v>
      </c>
      <c r="D38" s="410"/>
      <c r="E38" s="171">
        <f>365-E37</f>
        <v>113</v>
      </c>
      <c r="F38" s="171">
        <v>3</v>
      </c>
      <c r="G38" s="233"/>
      <c r="I38" s="171">
        <v>20</v>
      </c>
      <c r="J38" s="241">
        <v>20</v>
      </c>
      <c r="K38" s="214">
        <f t="shared" si="1"/>
        <v>0</v>
      </c>
      <c r="L38" s="214">
        <f t="shared" si="1"/>
        <v>0</v>
      </c>
      <c r="M38" s="214">
        <f t="shared" si="1"/>
        <v>100</v>
      </c>
      <c r="N38" s="235">
        <f t="shared" si="2"/>
        <v>100</v>
      </c>
      <c r="O38" s="213"/>
      <c r="P38" s="214"/>
      <c r="Q38" s="214">
        <v>63.2</v>
      </c>
      <c r="R38" s="215">
        <f t="shared" si="3"/>
        <v>63.2</v>
      </c>
      <c r="S38" s="171">
        <v>1</v>
      </c>
      <c r="T38" s="285"/>
      <c r="U38" s="283">
        <v>27282</v>
      </c>
      <c r="V38" s="178" t="s">
        <v>451</v>
      </c>
      <c r="W38" s="171" t="s">
        <v>20</v>
      </c>
      <c r="X38" s="171" t="s">
        <v>12</v>
      </c>
      <c r="Y38" s="179">
        <v>63.2</v>
      </c>
      <c r="AD38" s="178"/>
      <c r="AG38" s="179"/>
      <c r="AL38" s="178"/>
      <c r="AO38" s="179"/>
      <c r="AP38" s="178"/>
      <c r="AS38" s="179"/>
      <c r="AW38" s="179"/>
      <c r="BA38" s="180"/>
    </row>
    <row r="39" spans="1:53" s="171" customFormat="1" x14ac:dyDescent="0.15">
      <c r="A39" s="216">
        <v>1975</v>
      </c>
      <c r="B39" s="283"/>
      <c r="C39" s="410" t="s">
        <v>633</v>
      </c>
      <c r="D39" s="410"/>
      <c r="E39" s="171">
        <v>345</v>
      </c>
      <c r="G39" s="233"/>
      <c r="I39" s="171">
        <v>20</v>
      </c>
      <c r="J39" s="241">
        <v>20</v>
      </c>
      <c r="K39" s="214">
        <f t="shared" si="1"/>
        <v>0</v>
      </c>
      <c r="L39" s="214">
        <f t="shared" si="1"/>
        <v>0</v>
      </c>
      <c r="M39" s="214">
        <f t="shared" si="1"/>
        <v>100</v>
      </c>
      <c r="N39" s="235">
        <f t="shared" si="2"/>
        <v>100</v>
      </c>
      <c r="O39" s="213"/>
      <c r="P39" s="214"/>
      <c r="Q39" s="214">
        <v>63.2</v>
      </c>
      <c r="R39" s="215">
        <f t="shared" si="3"/>
        <v>63.2</v>
      </c>
      <c r="S39" s="171">
        <v>1</v>
      </c>
      <c r="T39" s="285"/>
      <c r="U39" s="283"/>
      <c r="V39" s="178" t="s">
        <v>451</v>
      </c>
      <c r="W39" s="171" t="s">
        <v>20</v>
      </c>
      <c r="X39" s="171" t="s">
        <v>12</v>
      </c>
      <c r="Y39" s="179">
        <v>63.2</v>
      </c>
      <c r="AD39" s="178"/>
      <c r="AG39" s="179"/>
      <c r="AL39" s="178"/>
      <c r="AO39" s="179"/>
      <c r="AP39" s="178"/>
      <c r="AS39" s="179"/>
      <c r="AW39" s="179"/>
      <c r="BA39" s="180"/>
    </row>
    <row r="40" spans="1:53" s="29" customFormat="1" x14ac:dyDescent="0.15">
      <c r="A40" s="52">
        <v>1975</v>
      </c>
      <c r="B40" s="295">
        <v>27740</v>
      </c>
      <c r="C40" s="411" t="s">
        <v>634</v>
      </c>
      <c r="D40" s="411"/>
      <c r="E40" s="29">
        <f>365-E39</f>
        <v>20</v>
      </c>
      <c r="F40" s="29">
        <v>1</v>
      </c>
      <c r="G40" s="66">
        <v>19</v>
      </c>
      <c r="J40" s="73">
        <v>19</v>
      </c>
      <c r="K40" s="47">
        <f t="shared" si="1"/>
        <v>100</v>
      </c>
      <c r="L40" s="47">
        <f t="shared" si="1"/>
        <v>0</v>
      </c>
      <c r="M40" s="47">
        <f t="shared" si="1"/>
        <v>0</v>
      </c>
      <c r="N40" s="68">
        <f t="shared" si="2"/>
        <v>100</v>
      </c>
      <c r="O40" s="46">
        <v>63.2</v>
      </c>
      <c r="P40" s="47"/>
      <c r="Q40" s="47"/>
      <c r="R40" s="48">
        <f t="shared" si="3"/>
        <v>63.2</v>
      </c>
      <c r="S40" s="29">
        <v>1</v>
      </c>
      <c r="T40" s="286">
        <v>27727</v>
      </c>
      <c r="U40" s="295">
        <v>27740</v>
      </c>
      <c r="V40" s="38" t="s">
        <v>452</v>
      </c>
      <c r="W40" s="29" t="s">
        <v>74</v>
      </c>
      <c r="X40" s="29" t="s">
        <v>11</v>
      </c>
      <c r="Y40" s="39">
        <v>63.2</v>
      </c>
      <c r="AD40" s="38"/>
      <c r="AG40" s="39"/>
      <c r="AL40" s="38"/>
      <c r="AO40" s="39"/>
      <c r="AP40" s="38"/>
      <c r="AS40" s="39"/>
      <c r="AW40" s="39"/>
      <c r="BA40" s="40"/>
    </row>
    <row r="41" spans="1:53" s="29" customFormat="1" x14ac:dyDescent="0.15">
      <c r="A41" s="52">
        <v>1976</v>
      </c>
      <c r="B41" s="295"/>
      <c r="C41" s="411" t="s">
        <v>634</v>
      </c>
      <c r="D41" s="411"/>
      <c r="E41" s="29">
        <v>0</v>
      </c>
      <c r="G41" s="66">
        <v>19</v>
      </c>
      <c r="J41" s="73">
        <v>19</v>
      </c>
      <c r="K41" s="47">
        <f t="shared" si="1"/>
        <v>100</v>
      </c>
      <c r="L41" s="47">
        <f t="shared" si="1"/>
        <v>0</v>
      </c>
      <c r="M41" s="47">
        <f t="shared" si="1"/>
        <v>0</v>
      </c>
      <c r="N41" s="68">
        <f t="shared" si="2"/>
        <v>100</v>
      </c>
      <c r="O41" s="46">
        <v>63.2</v>
      </c>
      <c r="P41" s="47"/>
      <c r="Q41" s="47"/>
      <c r="R41" s="48">
        <f t="shared" si="3"/>
        <v>63.2</v>
      </c>
      <c r="S41" s="29">
        <v>1</v>
      </c>
      <c r="T41" s="286"/>
      <c r="U41" s="295"/>
      <c r="V41" s="38" t="s">
        <v>452</v>
      </c>
      <c r="W41" s="29" t="s">
        <v>74</v>
      </c>
      <c r="X41" s="29" t="s">
        <v>11</v>
      </c>
      <c r="Y41" s="39">
        <v>63.2</v>
      </c>
      <c r="AD41" s="38"/>
      <c r="AG41" s="39"/>
      <c r="AL41" s="38"/>
      <c r="AO41" s="39"/>
      <c r="AP41" s="38"/>
      <c r="AS41" s="39"/>
      <c r="AW41" s="39"/>
      <c r="BA41" s="40"/>
    </row>
    <row r="42" spans="1:53" s="29" customFormat="1" x14ac:dyDescent="0.15">
      <c r="A42" s="52">
        <v>1976</v>
      </c>
      <c r="B42" s="295"/>
      <c r="C42" s="411" t="s">
        <v>634</v>
      </c>
      <c r="D42" s="411"/>
      <c r="E42" s="29">
        <v>366</v>
      </c>
      <c r="G42" s="66">
        <v>19</v>
      </c>
      <c r="J42" s="73">
        <v>19</v>
      </c>
      <c r="K42" s="47">
        <f t="shared" si="1"/>
        <v>100</v>
      </c>
      <c r="L42" s="47">
        <f t="shared" si="1"/>
        <v>0</v>
      </c>
      <c r="M42" s="47">
        <f t="shared" si="1"/>
        <v>0</v>
      </c>
      <c r="N42" s="68">
        <f t="shared" si="2"/>
        <v>100</v>
      </c>
      <c r="O42" s="46">
        <v>63.2</v>
      </c>
      <c r="P42" s="47"/>
      <c r="Q42" s="47"/>
      <c r="R42" s="48">
        <f t="shared" si="3"/>
        <v>63.2</v>
      </c>
      <c r="S42" s="29">
        <v>1</v>
      </c>
      <c r="T42" s="286"/>
      <c r="U42" s="295"/>
      <c r="V42" s="38" t="s">
        <v>452</v>
      </c>
      <c r="W42" s="29" t="s">
        <v>74</v>
      </c>
      <c r="X42" s="29" t="s">
        <v>11</v>
      </c>
      <c r="Y42" s="39">
        <v>63.2</v>
      </c>
      <c r="AD42" s="38"/>
      <c r="AG42" s="39"/>
      <c r="AL42" s="38"/>
      <c r="AO42" s="39"/>
      <c r="AP42" s="38"/>
      <c r="AS42" s="39"/>
      <c r="AW42" s="39"/>
      <c r="BA42" s="40"/>
    </row>
    <row r="43" spans="1:53" s="29" customFormat="1" x14ac:dyDescent="0.15">
      <c r="A43" s="52">
        <v>1977</v>
      </c>
      <c r="B43" s="295"/>
      <c r="C43" s="411" t="s">
        <v>634</v>
      </c>
      <c r="D43" s="411"/>
      <c r="E43" s="29">
        <v>0</v>
      </c>
      <c r="G43" s="66">
        <v>19</v>
      </c>
      <c r="J43" s="73">
        <v>19</v>
      </c>
      <c r="K43" s="47">
        <f t="shared" si="1"/>
        <v>100</v>
      </c>
      <c r="L43" s="47">
        <f t="shared" si="1"/>
        <v>0</v>
      </c>
      <c r="M43" s="47">
        <f t="shared" si="1"/>
        <v>0</v>
      </c>
      <c r="N43" s="68">
        <f t="shared" si="2"/>
        <v>100</v>
      </c>
      <c r="O43" s="46">
        <v>63.2</v>
      </c>
      <c r="P43" s="47"/>
      <c r="Q43" s="47"/>
      <c r="R43" s="48">
        <f t="shared" si="3"/>
        <v>63.2</v>
      </c>
      <c r="S43" s="29">
        <v>1</v>
      </c>
      <c r="T43" s="286"/>
      <c r="U43" s="295"/>
      <c r="V43" s="38" t="s">
        <v>452</v>
      </c>
      <c r="W43" s="29" t="s">
        <v>74</v>
      </c>
      <c r="X43" s="29" t="s">
        <v>11</v>
      </c>
      <c r="Y43" s="39">
        <v>63.2</v>
      </c>
      <c r="AD43" s="38"/>
      <c r="AG43" s="39"/>
      <c r="AL43" s="38"/>
      <c r="AO43" s="39"/>
      <c r="AP43" s="38"/>
      <c r="AS43" s="39"/>
      <c r="AW43" s="39"/>
      <c r="BA43" s="40"/>
    </row>
    <row r="44" spans="1:53" s="29" customFormat="1" x14ac:dyDescent="0.15">
      <c r="A44" s="52">
        <v>1977</v>
      </c>
      <c r="B44" s="295"/>
      <c r="C44" s="411" t="s">
        <v>634</v>
      </c>
      <c r="D44" s="411"/>
      <c r="E44" s="29">
        <v>365</v>
      </c>
      <c r="G44" s="66">
        <v>19</v>
      </c>
      <c r="J44" s="73">
        <v>19</v>
      </c>
      <c r="K44" s="47">
        <f t="shared" si="1"/>
        <v>100</v>
      </c>
      <c r="L44" s="47">
        <f t="shared" si="1"/>
        <v>0</v>
      </c>
      <c r="M44" s="47">
        <f t="shared" si="1"/>
        <v>0</v>
      </c>
      <c r="N44" s="68">
        <f t="shared" si="2"/>
        <v>100</v>
      </c>
      <c r="O44" s="46">
        <v>63.2</v>
      </c>
      <c r="P44" s="47"/>
      <c r="Q44" s="47"/>
      <c r="R44" s="48">
        <f t="shared" si="3"/>
        <v>63.2</v>
      </c>
      <c r="S44" s="29">
        <v>1</v>
      </c>
      <c r="T44" s="286"/>
      <c r="U44" s="295"/>
      <c r="V44" s="38" t="s">
        <v>452</v>
      </c>
      <c r="W44" s="29" t="s">
        <v>74</v>
      </c>
      <c r="X44" s="29" t="s">
        <v>11</v>
      </c>
      <c r="Y44" s="39">
        <v>63.2</v>
      </c>
      <c r="AD44" s="38"/>
      <c r="AG44" s="39"/>
      <c r="AL44" s="38"/>
      <c r="AO44" s="39"/>
      <c r="AP44" s="38"/>
      <c r="AS44" s="39"/>
      <c r="AW44" s="39"/>
      <c r="BA44" s="40"/>
    </row>
    <row r="45" spans="1:53" s="29" customFormat="1" x14ac:dyDescent="0.15">
      <c r="A45" s="52">
        <v>1978</v>
      </c>
      <c r="B45" s="295"/>
      <c r="C45" s="411" t="s">
        <v>634</v>
      </c>
      <c r="D45" s="411"/>
      <c r="E45" s="29">
        <v>346</v>
      </c>
      <c r="G45" s="66">
        <v>19</v>
      </c>
      <c r="J45" s="73">
        <v>19</v>
      </c>
      <c r="K45" s="47">
        <f t="shared" si="1"/>
        <v>100</v>
      </c>
      <c r="L45" s="47">
        <f t="shared" si="1"/>
        <v>0</v>
      </c>
      <c r="M45" s="47">
        <f t="shared" si="1"/>
        <v>0</v>
      </c>
      <c r="N45" s="68">
        <f t="shared" si="2"/>
        <v>100</v>
      </c>
      <c r="O45" s="46">
        <v>63.2</v>
      </c>
      <c r="P45" s="47"/>
      <c r="Q45" s="47"/>
      <c r="R45" s="48">
        <f t="shared" si="3"/>
        <v>63.2</v>
      </c>
      <c r="S45" s="29">
        <v>1</v>
      </c>
      <c r="T45" s="286"/>
      <c r="U45" s="295"/>
      <c r="V45" s="38" t="s">
        <v>452</v>
      </c>
      <c r="W45" s="29" t="s">
        <v>74</v>
      </c>
      <c r="X45" s="29" t="s">
        <v>11</v>
      </c>
      <c r="Y45" s="39">
        <v>63.2</v>
      </c>
      <c r="AD45" s="38"/>
      <c r="AG45" s="39"/>
      <c r="AL45" s="38"/>
      <c r="AO45" s="39"/>
      <c r="AP45" s="38"/>
      <c r="AS45" s="39"/>
      <c r="AW45" s="39"/>
      <c r="BA45" s="40"/>
    </row>
    <row r="46" spans="1:53" s="171" customFormat="1" x14ac:dyDescent="0.15">
      <c r="A46" s="216">
        <v>1978</v>
      </c>
      <c r="B46" s="283">
        <v>28837</v>
      </c>
      <c r="C46" s="410" t="s">
        <v>635</v>
      </c>
      <c r="D46" s="410"/>
      <c r="E46" s="171">
        <f>365-E45</f>
        <v>19</v>
      </c>
      <c r="F46" s="171">
        <v>1</v>
      </c>
      <c r="G46" s="233">
        <v>19</v>
      </c>
      <c r="J46" s="241">
        <v>19</v>
      </c>
      <c r="K46" s="214">
        <f t="shared" si="1"/>
        <v>100</v>
      </c>
      <c r="L46" s="214">
        <f t="shared" si="1"/>
        <v>0</v>
      </c>
      <c r="M46" s="214">
        <f t="shared" si="1"/>
        <v>0</v>
      </c>
      <c r="N46" s="235">
        <f t="shared" si="2"/>
        <v>100</v>
      </c>
      <c r="O46" s="213">
        <v>55.4</v>
      </c>
      <c r="P46" s="214"/>
      <c r="Q46" s="214"/>
      <c r="R46" s="215">
        <f t="shared" si="3"/>
        <v>55.4</v>
      </c>
      <c r="S46" s="171">
        <v>1</v>
      </c>
      <c r="T46" s="285">
        <v>28819</v>
      </c>
      <c r="U46" s="283">
        <v>28837</v>
      </c>
      <c r="V46" s="178" t="s">
        <v>452</v>
      </c>
      <c r="W46" s="171" t="s">
        <v>74</v>
      </c>
      <c r="X46" s="171" t="s">
        <v>11</v>
      </c>
      <c r="Y46" s="179">
        <v>55.4</v>
      </c>
      <c r="AD46" s="178"/>
      <c r="AG46" s="179"/>
      <c r="AL46" s="178"/>
      <c r="AO46" s="179"/>
      <c r="AP46" s="178"/>
      <c r="AS46" s="179"/>
      <c r="AW46" s="179"/>
      <c r="BA46" s="180"/>
    </row>
    <row r="47" spans="1:53" s="171" customFormat="1" x14ac:dyDescent="0.15">
      <c r="A47" s="216">
        <v>1979</v>
      </c>
      <c r="B47" s="283"/>
      <c r="C47" s="410" t="s">
        <v>635</v>
      </c>
      <c r="D47" s="410"/>
      <c r="E47" s="171">
        <v>0</v>
      </c>
      <c r="G47" s="233">
        <v>19</v>
      </c>
      <c r="J47" s="241">
        <v>19</v>
      </c>
      <c r="K47" s="214">
        <f t="shared" si="1"/>
        <v>100</v>
      </c>
      <c r="L47" s="214">
        <f t="shared" si="1"/>
        <v>0</v>
      </c>
      <c r="M47" s="214">
        <f t="shared" si="1"/>
        <v>0</v>
      </c>
      <c r="N47" s="235">
        <f t="shared" si="2"/>
        <v>100</v>
      </c>
      <c r="O47" s="213">
        <v>55.4</v>
      </c>
      <c r="P47" s="214"/>
      <c r="Q47" s="214"/>
      <c r="R47" s="215">
        <f t="shared" si="3"/>
        <v>55.4</v>
      </c>
      <c r="S47" s="171">
        <v>1</v>
      </c>
      <c r="T47" s="285"/>
      <c r="U47" s="283"/>
      <c r="V47" s="178" t="s">
        <v>452</v>
      </c>
      <c r="W47" s="171" t="s">
        <v>74</v>
      </c>
      <c r="X47" s="171" t="s">
        <v>11</v>
      </c>
      <c r="Y47" s="179">
        <v>55.4</v>
      </c>
      <c r="AD47" s="178"/>
      <c r="AG47" s="179"/>
      <c r="AL47" s="178"/>
      <c r="AO47" s="179"/>
      <c r="AP47" s="178"/>
      <c r="AS47" s="179"/>
      <c r="AW47" s="179"/>
      <c r="BA47" s="180"/>
    </row>
    <row r="48" spans="1:53" s="171" customFormat="1" x14ac:dyDescent="0.15">
      <c r="A48" s="216">
        <v>1979</v>
      </c>
      <c r="B48" s="283"/>
      <c r="C48" s="410" t="s">
        <v>635</v>
      </c>
      <c r="D48" s="410"/>
      <c r="E48" s="171">
        <v>365</v>
      </c>
      <c r="G48" s="233">
        <v>19</v>
      </c>
      <c r="J48" s="241">
        <v>19</v>
      </c>
      <c r="K48" s="214">
        <f t="shared" si="1"/>
        <v>100</v>
      </c>
      <c r="L48" s="214">
        <f t="shared" si="1"/>
        <v>0</v>
      </c>
      <c r="M48" s="214">
        <f t="shared" si="1"/>
        <v>0</v>
      </c>
      <c r="N48" s="235">
        <f t="shared" si="2"/>
        <v>100</v>
      </c>
      <c r="O48" s="213">
        <v>55.4</v>
      </c>
      <c r="P48" s="214"/>
      <c r="Q48" s="214"/>
      <c r="R48" s="215">
        <f t="shared" si="3"/>
        <v>55.4</v>
      </c>
      <c r="S48" s="171">
        <v>1</v>
      </c>
      <c r="T48" s="285"/>
      <c r="U48" s="283"/>
      <c r="V48" s="178" t="s">
        <v>452</v>
      </c>
      <c r="W48" s="171" t="s">
        <v>74</v>
      </c>
      <c r="X48" s="171" t="s">
        <v>11</v>
      </c>
      <c r="Y48" s="179">
        <v>55.4</v>
      </c>
      <c r="AD48" s="178"/>
      <c r="AG48" s="179"/>
      <c r="AL48" s="178"/>
      <c r="AO48" s="179"/>
      <c r="AP48" s="178"/>
      <c r="AS48" s="179"/>
      <c r="AW48" s="179"/>
      <c r="BA48" s="180"/>
    </row>
    <row r="49" spans="1:53" s="171" customFormat="1" x14ac:dyDescent="0.15">
      <c r="A49" s="216">
        <v>1980</v>
      </c>
      <c r="B49" s="283"/>
      <c r="C49" s="410" t="s">
        <v>635</v>
      </c>
      <c r="D49" s="410"/>
      <c r="E49" s="171">
        <v>0</v>
      </c>
      <c r="G49" s="233">
        <v>19</v>
      </c>
      <c r="J49" s="241">
        <v>19</v>
      </c>
      <c r="K49" s="214">
        <f t="shared" si="1"/>
        <v>100</v>
      </c>
      <c r="L49" s="214">
        <f t="shared" si="1"/>
        <v>0</v>
      </c>
      <c r="M49" s="214">
        <f t="shared" si="1"/>
        <v>0</v>
      </c>
      <c r="N49" s="235">
        <f t="shared" si="2"/>
        <v>100</v>
      </c>
      <c r="O49" s="213">
        <v>55.4</v>
      </c>
      <c r="P49" s="214"/>
      <c r="Q49" s="214"/>
      <c r="R49" s="215">
        <f t="shared" si="3"/>
        <v>55.4</v>
      </c>
      <c r="S49" s="171">
        <v>1</v>
      </c>
      <c r="T49" s="285"/>
      <c r="U49" s="283"/>
      <c r="V49" s="178" t="s">
        <v>452</v>
      </c>
      <c r="W49" s="171" t="s">
        <v>74</v>
      </c>
      <c r="X49" s="171" t="s">
        <v>11</v>
      </c>
      <c r="Y49" s="179">
        <v>55.4</v>
      </c>
      <c r="AD49" s="178"/>
      <c r="AG49" s="179"/>
      <c r="AL49" s="178"/>
      <c r="AO49" s="179"/>
      <c r="AP49" s="178"/>
      <c r="AS49" s="179"/>
      <c r="AW49" s="179"/>
      <c r="BA49" s="180"/>
    </row>
    <row r="50" spans="1:53" s="171" customFormat="1" x14ac:dyDescent="0.15">
      <c r="A50" s="216">
        <v>1980</v>
      </c>
      <c r="B50" s="283"/>
      <c r="C50" s="410" t="s">
        <v>635</v>
      </c>
      <c r="D50" s="410"/>
      <c r="E50" s="171">
        <v>366</v>
      </c>
      <c r="G50" s="233">
        <v>19</v>
      </c>
      <c r="J50" s="241">
        <v>19</v>
      </c>
      <c r="K50" s="214">
        <f t="shared" si="1"/>
        <v>100</v>
      </c>
      <c r="L50" s="214">
        <f t="shared" si="1"/>
        <v>0</v>
      </c>
      <c r="M50" s="214">
        <f t="shared" si="1"/>
        <v>0</v>
      </c>
      <c r="N50" s="235">
        <f t="shared" si="2"/>
        <v>100</v>
      </c>
      <c r="O50" s="213">
        <v>55.4</v>
      </c>
      <c r="P50" s="214"/>
      <c r="Q50" s="214"/>
      <c r="R50" s="215">
        <f t="shared" si="3"/>
        <v>55.4</v>
      </c>
      <c r="S50" s="171">
        <v>1</v>
      </c>
      <c r="T50" s="285"/>
      <c r="U50" s="283"/>
      <c r="V50" s="178" t="s">
        <v>452</v>
      </c>
      <c r="W50" s="171" t="s">
        <v>74</v>
      </c>
      <c r="X50" s="171" t="s">
        <v>11</v>
      </c>
      <c r="Y50" s="179">
        <v>55.4</v>
      </c>
      <c r="AD50" s="178"/>
      <c r="AG50" s="179"/>
      <c r="AL50" s="178"/>
      <c r="AO50" s="179"/>
      <c r="AP50" s="178"/>
      <c r="AS50" s="179"/>
      <c r="AW50" s="179"/>
      <c r="BA50" s="180"/>
    </row>
    <row r="51" spans="1:53" s="171" customFormat="1" x14ac:dyDescent="0.15">
      <c r="A51" s="216">
        <v>1981</v>
      </c>
      <c r="B51" s="283"/>
      <c r="C51" s="410" t="s">
        <v>635</v>
      </c>
      <c r="D51" s="410"/>
      <c r="E51" s="171">
        <v>344</v>
      </c>
      <c r="G51" s="233">
        <v>19</v>
      </c>
      <c r="J51" s="241">
        <v>19</v>
      </c>
      <c r="K51" s="214">
        <f t="shared" si="1"/>
        <v>100</v>
      </c>
      <c r="L51" s="214">
        <f t="shared" si="1"/>
        <v>0</v>
      </c>
      <c r="M51" s="214">
        <f t="shared" si="1"/>
        <v>0</v>
      </c>
      <c r="N51" s="235">
        <f t="shared" si="2"/>
        <v>100</v>
      </c>
      <c r="O51" s="213">
        <v>55.4</v>
      </c>
      <c r="P51" s="214"/>
      <c r="Q51" s="214"/>
      <c r="R51" s="215">
        <f t="shared" si="3"/>
        <v>55.4</v>
      </c>
      <c r="S51" s="171">
        <v>1</v>
      </c>
      <c r="T51" s="285"/>
      <c r="U51" s="283"/>
      <c r="V51" s="178" t="s">
        <v>452</v>
      </c>
      <c r="W51" s="171" t="s">
        <v>74</v>
      </c>
      <c r="X51" s="171" t="s">
        <v>11</v>
      </c>
      <c r="Y51" s="179">
        <v>55.4</v>
      </c>
      <c r="AD51" s="178"/>
      <c r="AG51" s="179"/>
      <c r="AL51" s="178"/>
      <c r="AO51" s="179"/>
      <c r="AP51" s="178"/>
      <c r="AS51" s="179"/>
      <c r="AW51" s="179"/>
      <c r="BA51" s="180"/>
    </row>
    <row r="52" spans="1:53" s="29" customFormat="1" x14ac:dyDescent="0.15">
      <c r="A52" s="52">
        <v>1981</v>
      </c>
      <c r="B52" s="295">
        <v>29931</v>
      </c>
      <c r="C52" s="411" t="s">
        <v>636</v>
      </c>
      <c r="D52" s="411"/>
      <c r="E52" s="29">
        <f>365-E51</f>
        <v>21</v>
      </c>
      <c r="F52" s="29">
        <v>1</v>
      </c>
      <c r="G52" s="66">
        <v>19</v>
      </c>
      <c r="J52" s="73">
        <v>19</v>
      </c>
      <c r="K52" s="47">
        <f t="shared" si="1"/>
        <v>100</v>
      </c>
      <c r="L52" s="47">
        <f t="shared" si="1"/>
        <v>0</v>
      </c>
      <c r="M52" s="47">
        <f t="shared" si="1"/>
        <v>0</v>
      </c>
      <c r="N52" s="68">
        <f t="shared" si="2"/>
        <v>100</v>
      </c>
      <c r="O52" s="46">
        <v>51.1</v>
      </c>
      <c r="P52" s="47"/>
      <c r="Q52" s="47"/>
      <c r="R52" s="48">
        <f t="shared" si="3"/>
        <v>51.1</v>
      </c>
      <c r="S52" s="29">
        <v>1</v>
      </c>
      <c r="T52" s="286">
        <v>29918</v>
      </c>
      <c r="U52" s="295">
        <v>29931</v>
      </c>
      <c r="V52" s="38" t="s">
        <v>452</v>
      </c>
      <c r="W52" s="29" t="s">
        <v>74</v>
      </c>
      <c r="X52" s="29" t="s">
        <v>11</v>
      </c>
      <c r="Y52" s="39">
        <v>51.1</v>
      </c>
      <c r="AD52" s="38"/>
      <c r="AG52" s="39"/>
      <c r="AL52" s="38"/>
      <c r="AO52" s="39"/>
      <c r="AP52" s="38"/>
      <c r="AS52" s="39"/>
      <c r="AW52" s="39"/>
      <c r="BA52" s="40"/>
    </row>
    <row r="53" spans="1:53" s="29" customFormat="1" x14ac:dyDescent="0.15">
      <c r="A53" s="52">
        <v>1982</v>
      </c>
      <c r="B53" s="295"/>
      <c r="C53" s="411" t="s">
        <v>636</v>
      </c>
      <c r="D53" s="411"/>
      <c r="E53" s="29">
        <v>0</v>
      </c>
      <c r="G53" s="66">
        <v>19</v>
      </c>
      <c r="J53" s="73">
        <v>19</v>
      </c>
      <c r="K53" s="47">
        <f t="shared" si="1"/>
        <v>100</v>
      </c>
      <c r="L53" s="47">
        <f t="shared" si="1"/>
        <v>0</v>
      </c>
      <c r="M53" s="47">
        <f t="shared" si="1"/>
        <v>0</v>
      </c>
      <c r="N53" s="68">
        <f t="shared" si="2"/>
        <v>100</v>
      </c>
      <c r="O53" s="46">
        <v>51.1</v>
      </c>
      <c r="P53" s="47"/>
      <c r="Q53" s="47"/>
      <c r="R53" s="48">
        <f t="shared" si="3"/>
        <v>51.1</v>
      </c>
      <c r="S53" s="29">
        <v>1</v>
      </c>
      <c r="T53" s="286"/>
      <c r="U53" s="295"/>
      <c r="V53" s="38" t="s">
        <v>452</v>
      </c>
      <c r="W53" s="29" t="s">
        <v>74</v>
      </c>
      <c r="X53" s="29" t="s">
        <v>11</v>
      </c>
      <c r="Y53" s="39">
        <v>51.1</v>
      </c>
      <c r="AD53" s="38"/>
      <c r="AG53" s="39"/>
      <c r="AL53" s="38"/>
      <c r="AO53" s="39"/>
      <c r="AP53" s="38"/>
      <c r="AS53" s="39"/>
      <c r="AW53" s="39"/>
      <c r="BA53" s="40"/>
    </row>
    <row r="54" spans="1:53" s="29" customFormat="1" x14ac:dyDescent="0.15">
      <c r="A54" s="52">
        <v>1982</v>
      </c>
      <c r="B54" s="295"/>
      <c r="C54" s="411" t="s">
        <v>636</v>
      </c>
      <c r="D54" s="411"/>
      <c r="E54" s="29">
        <v>365</v>
      </c>
      <c r="G54" s="66">
        <v>19</v>
      </c>
      <c r="J54" s="73">
        <v>19</v>
      </c>
      <c r="K54" s="47">
        <f t="shared" si="1"/>
        <v>100</v>
      </c>
      <c r="L54" s="47">
        <f t="shared" si="1"/>
        <v>0</v>
      </c>
      <c r="M54" s="47">
        <f t="shared" si="1"/>
        <v>0</v>
      </c>
      <c r="N54" s="68">
        <f t="shared" si="2"/>
        <v>100</v>
      </c>
      <c r="O54" s="46">
        <v>51.1</v>
      </c>
      <c r="P54" s="47"/>
      <c r="Q54" s="47"/>
      <c r="R54" s="48">
        <f t="shared" si="3"/>
        <v>51.1</v>
      </c>
      <c r="S54" s="29">
        <v>1</v>
      </c>
      <c r="T54" s="286"/>
      <c r="U54" s="295"/>
      <c r="V54" s="38" t="s">
        <v>452</v>
      </c>
      <c r="W54" s="29" t="s">
        <v>74</v>
      </c>
      <c r="X54" s="29" t="s">
        <v>11</v>
      </c>
      <c r="Y54" s="39">
        <v>51.1</v>
      </c>
      <c r="AD54" s="38"/>
      <c r="AG54" s="39"/>
      <c r="AL54" s="38"/>
      <c r="AO54" s="39"/>
      <c r="AP54" s="38"/>
      <c r="AS54" s="39"/>
      <c r="AW54" s="39"/>
      <c r="BA54" s="40"/>
    </row>
    <row r="55" spans="1:53" s="29" customFormat="1" x14ac:dyDescent="0.15">
      <c r="A55" s="52">
        <v>1983</v>
      </c>
      <c r="B55" s="295"/>
      <c r="C55" s="411" t="s">
        <v>636</v>
      </c>
      <c r="D55" s="411"/>
      <c r="E55" s="29">
        <v>0</v>
      </c>
      <c r="G55" s="66">
        <v>19</v>
      </c>
      <c r="J55" s="73">
        <v>19</v>
      </c>
      <c r="K55" s="47">
        <f t="shared" si="1"/>
        <v>100</v>
      </c>
      <c r="L55" s="47">
        <f t="shared" si="1"/>
        <v>0</v>
      </c>
      <c r="M55" s="47">
        <f t="shared" si="1"/>
        <v>0</v>
      </c>
      <c r="N55" s="68">
        <f t="shared" si="2"/>
        <v>100</v>
      </c>
      <c r="O55" s="46">
        <v>51.1</v>
      </c>
      <c r="P55" s="47"/>
      <c r="Q55" s="47"/>
      <c r="R55" s="48">
        <f t="shared" si="3"/>
        <v>51.1</v>
      </c>
      <c r="S55" s="29">
        <v>1</v>
      </c>
      <c r="T55" s="286"/>
      <c r="U55" s="295"/>
      <c r="V55" s="38" t="s">
        <v>452</v>
      </c>
      <c r="W55" s="29" t="s">
        <v>74</v>
      </c>
      <c r="X55" s="29" t="s">
        <v>11</v>
      </c>
      <c r="Y55" s="39">
        <v>51.1</v>
      </c>
      <c r="AD55" s="38"/>
      <c r="AG55" s="39"/>
      <c r="AL55" s="38"/>
      <c r="AO55" s="39"/>
      <c r="AP55" s="38"/>
      <c r="AS55" s="39"/>
      <c r="AW55" s="39"/>
      <c r="BA55" s="40"/>
    </row>
    <row r="56" spans="1:53" s="29" customFormat="1" x14ac:dyDescent="0.15">
      <c r="A56" s="52">
        <v>1983</v>
      </c>
      <c r="B56" s="295"/>
      <c r="C56" s="411" t="s">
        <v>636</v>
      </c>
      <c r="D56" s="411"/>
      <c r="E56" s="29">
        <v>365</v>
      </c>
      <c r="G56" s="66">
        <v>19</v>
      </c>
      <c r="J56" s="73">
        <v>19</v>
      </c>
      <c r="K56" s="47">
        <f t="shared" si="1"/>
        <v>100</v>
      </c>
      <c r="L56" s="47">
        <f t="shared" si="1"/>
        <v>0</v>
      </c>
      <c r="M56" s="47">
        <f t="shared" si="1"/>
        <v>0</v>
      </c>
      <c r="N56" s="68">
        <f t="shared" si="2"/>
        <v>100</v>
      </c>
      <c r="O56" s="46">
        <v>51.1</v>
      </c>
      <c r="P56" s="47"/>
      <c r="Q56" s="47"/>
      <c r="R56" s="48">
        <f t="shared" si="3"/>
        <v>51.1</v>
      </c>
      <c r="S56" s="29">
        <v>1</v>
      </c>
      <c r="T56" s="286"/>
      <c r="U56" s="295"/>
      <c r="V56" s="38" t="s">
        <v>452</v>
      </c>
      <c r="W56" s="29" t="s">
        <v>74</v>
      </c>
      <c r="X56" s="29" t="s">
        <v>11</v>
      </c>
      <c r="Y56" s="39">
        <v>51.1</v>
      </c>
      <c r="AD56" s="38"/>
      <c r="AG56" s="39"/>
      <c r="AL56" s="38"/>
      <c r="AO56" s="39"/>
      <c r="AP56" s="38"/>
      <c r="AS56" s="39"/>
      <c r="AW56" s="39"/>
      <c r="BA56" s="40"/>
    </row>
    <row r="57" spans="1:53" s="29" customFormat="1" x14ac:dyDescent="0.15">
      <c r="A57" s="52">
        <v>1984</v>
      </c>
      <c r="B57" s="295"/>
      <c r="C57" s="411" t="s">
        <v>636</v>
      </c>
      <c r="D57" s="411"/>
      <c r="E57" s="29">
        <v>207</v>
      </c>
      <c r="G57" s="66">
        <v>19</v>
      </c>
      <c r="J57" s="73">
        <v>19</v>
      </c>
      <c r="K57" s="47">
        <f t="shared" si="1"/>
        <v>100</v>
      </c>
      <c r="L57" s="47">
        <f>H57/$J57*100</f>
        <v>0</v>
      </c>
      <c r="M57" s="47">
        <f>I57/$J57*100</f>
        <v>0</v>
      </c>
      <c r="N57" s="68">
        <f t="shared" si="2"/>
        <v>100</v>
      </c>
      <c r="O57" s="46">
        <v>51.1</v>
      </c>
      <c r="P57" s="47"/>
      <c r="Q57" s="47"/>
      <c r="R57" s="48">
        <f t="shared" si="3"/>
        <v>51.1</v>
      </c>
      <c r="S57" s="29">
        <v>1</v>
      </c>
      <c r="T57" s="286"/>
      <c r="U57" s="295"/>
      <c r="V57" s="38" t="s">
        <v>452</v>
      </c>
      <c r="W57" s="29" t="s">
        <v>74</v>
      </c>
      <c r="X57" s="29" t="s">
        <v>11</v>
      </c>
      <c r="Y57" s="39">
        <v>51.1</v>
      </c>
      <c r="AD57" s="38"/>
      <c r="AG57" s="39"/>
      <c r="AL57" s="38"/>
      <c r="AO57" s="39"/>
      <c r="AP57" s="38"/>
      <c r="AS57" s="39"/>
      <c r="AW57" s="39"/>
      <c r="BA57" s="40"/>
    </row>
    <row r="58" spans="1:53" s="171" customFormat="1" x14ac:dyDescent="0.15">
      <c r="A58" s="216">
        <v>1984</v>
      </c>
      <c r="B58" s="283">
        <v>30889</v>
      </c>
      <c r="C58" s="410" t="s">
        <v>637</v>
      </c>
      <c r="D58" s="410"/>
      <c r="E58" s="171">
        <f>366-E57</f>
        <v>159</v>
      </c>
      <c r="F58" s="171">
        <v>1</v>
      </c>
      <c r="G58" s="233"/>
      <c r="I58" s="171">
        <v>20</v>
      </c>
      <c r="J58" s="241">
        <v>20</v>
      </c>
      <c r="K58" s="214">
        <f t="shared" ref="K58:M118" si="4">G58/$J58*100</f>
        <v>0</v>
      </c>
      <c r="L58" s="214">
        <f t="shared" si="4"/>
        <v>0</v>
      </c>
      <c r="M58" s="214">
        <f t="shared" si="4"/>
        <v>100</v>
      </c>
      <c r="N58" s="235">
        <f t="shared" si="2"/>
        <v>100</v>
      </c>
      <c r="O58" s="213"/>
      <c r="P58" s="214"/>
      <c r="Q58" s="214">
        <v>60</v>
      </c>
      <c r="R58" s="215">
        <f t="shared" si="3"/>
        <v>60</v>
      </c>
      <c r="S58" s="171">
        <v>1</v>
      </c>
      <c r="T58" s="285">
        <v>30877</v>
      </c>
      <c r="U58" s="283">
        <v>30889</v>
      </c>
      <c r="V58" s="178" t="s">
        <v>451</v>
      </c>
      <c r="W58" s="171" t="s">
        <v>20</v>
      </c>
      <c r="X58" s="171" t="s">
        <v>12</v>
      </c>
      <c r="Y58" s="179">
        <v>60</v>
      </c>
      <c r="AD58" s="178"/>
      <c r="AG58" s="179"/>
      <c r="AL58" s="178"/>
      <c r="AO58" s="179"/>
      <c r="AP58" s="178"/>
      <c r="AS58" s="179"/>
      <c r="AW58" s="179"/>
      <c r="BA58" s="180"/>
    </row>
    <row r="59" spans="1:53" s="171" customFormat="1" x14ac:dyDescent="0.15">
      <c r="A59" s="216">
        <v>1985</v>
      </c>
      <c r="B59" s="283"/>
      <c r="C59" s="410" t="s">
        <v>637</v>
      </c>
      <c r="D59" s="410"/>
      <c r="E59" s="171">
        <v>0</v>
      </c>
      <c r="G59" s="233"/>
      <c r="I59" s="171">
        <v>20</v>
      </c>
      <c r="J59" s="241">
        <v>20</v>
      </c>
      <c r="K59" s="214">
        <f t="shared" si="4"/>
        <v>0</v>
      </c>
      <c r="L59" s="214">
        <f t="shared" si="4"/>
        <v>0</v>
      </c>
      <c r="M59" s="214">
        <f t="shared" si="4"/>
        <v>100</v>
      </c>
      <c r="N59" s="235">
        <f t="shared" si="2"/>
        <v>100</v>
      </c>
      <c r="O59" s="213"/>
      <c r="P59" s="214"/>
      <c r="Q59" s="214">
        <v>60</v>
      </c>
      <c r="R59" s="215">
        <f t="shared" si="3"/>
        <v>60</v>
      </c>
      <c r="S59" s="171">
        <v>1</v>
      </c>
      <c r="T59" s="285"/>
      <c r="U59" s="283"/>
      <c r="V59" s="178" t="s">
        <v>451</v>
      </c>
      <c r="W59" s="171" t="s">
        <v>20</v>
      </c>
      <c r="X59" s="171" t="s">
        <v>12</v>
      </c>
      <c r="Y59" s="179">
        <v>60</v>
      </c>
      <c r="AD59" s="178"/>
      <c r="AG59" s="179"/>
      <c r="AL59" s="178"/>
      <c r="AO59" s="179"/>
      <c r="AP59" s="178"/>
      <c r="AS59" s="179"/>
      <c r="AW59" s="179"/>
      <c r="BA59" s="180"/>
    </row>
    <row r="60" spans="1:53" s="171" customFormat="1" x14ac:dyDescent="0.15">
      <c r="A60" s="216">
        <v>1985</v>
      </c>
      <c r="B60" s="283"/>
      <c r="C60" s="410" t="s">
        <v>637</v>
      </c>
      <c r="D60" s="410"/>
      <c r="E60" s="171">
        <v>365</v>
      </c>
      <c r="G60" s="233"/>
      <c r="I60" s="171">
        <v>20</v>
      </c>
      <c r="J60" s="241">
        <v>20</v>
      </c>
      <c r="K60" s="214">
        <f t="shared" si="4"/>
        <v>0</v>
      </c>
      <c r="L60" s="214">
        <f t="shared" si="4"/>
        <v>0</v>
      </c>
      <c r="M60" s="214">
        <f t="shared" si="4"/>
        <v>100</v>
      </c>
      <c r="N60" s="235">
        <f t="shared" si="2"/>
        <v>100</v>
      </c>
      <c r="O60" s="213"/>
      <c r="P60" s="214"/>
      <c r="Q60" s="214">
        <v>60</v>
      </c>
      <c r="R60" s="215">
        <f t="shared" si="3"/>
        <v>60</v>
      </c>
      <c r="S60" s="171">
        <v>1</v>
      </c>
      <c r="T60" s="285"/>
      <c r="U60" s="283"/>
      <c r="V60" s="178" t="s">
        <v>451</v>
      </c>
      <c r="W60" s="171" t="s">
        <v>20</v>
      </c>
      <c r="X60" s="171" t="s">
        <v>12</v>
      </c>
      <c r="Y60" s="179">
        <v>60</v>
      </c>
      <c r="AD60" s="178"/>
      <c r="AG60" s="179"/>
      <c r="AL60" s="178"/>
      <c r="AO60" s="179"/>
      <c r="AP60" s="178"/>
      <c r="AS60" s="179"/>
      <c r="AW60" s="179"/>
      <c r="BA60" s="180"/>
    </row>
    <row r="61" spans="1:53" s="171" customFormat="1" x14ac:dyDescent="0.15">
      <c r="A61" s="216">
        <v>1986</v>
      </c>
      <c r="B61" s="283"/>
      <c r="C61" s="410" t="s">
        <v>637</v>
      </c>
      <c r="D61" s="410"/>
      <c r="E61" s="171">
        <v>0</v>
      </c>
      <c r="G61" s="233"/>
      <c r="I61" s="171">
        <v>20</v>
      </c>
      <c r="J61" s="241">
        <v>20</v>
      </c>
      <c r="K61" s="214">
        <f t="shared" si="4"/>
        <v>0</v>
      </c>
      <c r="L61" s="214">
        <f t="shared" si="4"/>
        <v>0</v>
      </c>
      <c r="M61" s="214">
        <f t="shared" si="4"/>
        <v>100</v>
      </c>
      <c r="N61" s="235">
        <f t="shared" si="2"/>
        <v>100</v>
      </c>
      <c r="O61" s="213"/>
      <c r="P61" s="214"/>
      <c r="Q61" s="214">
        <v>60</v>
      </c>
      <c r="R61" s="215">
        <f t="shared" si="3"/>
        <v>60</v>
      </c>
      <c r="S61" s="171">
        <v>1</v>
      </c>
      <c r="T61" s="285"/>
      <c r="U61" s="283"/>
      <c r="V61" s="178" t="s">
        <v>451</v>
      </c>
      <c r="W61" s="171" t="s">
        <v>20</v>
      </c>
      <c r="X61" s="171" t="s">
        <v>12</v>
      </c>
      <c r="Y61" s="179">
        <v>60</v>
      </c>
      <c r="AD61" s="178"/>
      <c r="AG61" s="179"/>
      <c r="AL61" s="178"/>
      <c r="AO61" s="179"/>
      <c r="AP61" s="178"/>
      <c r="AS61" s="179"/>
      <c r="AW61" s="179"/>
      <c r="BA61" s="180"/>
    </row>
    <row r="62" spans="1:53" s="171" customFormat="1" x14ac:dyDescent="0.15">
      <c r="A62" s="216">
        <v>1986</v>
      </c>
      <c r="B62" s="283"/>
      <c r="C62" s="410" t="s">
        <v>637</v>
      </c>
      <c r="D62" s="410"/>
      <c r="E62" s="171">
        <v>365</v>
      </c>
      <c r="G62" s="233"/>
      <c r="I62" s="171">
        <v>20</v>
      </c>
      <c r="J62" s="241">
        <v>20</v>
      </c>
      <c r="K62" s="214">
        <f t="shared" si="4"/>
        <v>0</v>
      </c>
      <c r="L62" s="214">
        <f t="shared" si="4"/>
        <v>0</v>
      </c>
      <c r="M62" s="214">
        <f t="shared" si="4"/>
        <v>100</v>
      </c>
      <c r="N62" s="235">
        <f t="shared" si="2"/>
        <v>100</v>
      </c>
      <c r="O62" s="213"/>
      <c r="P62" s="214"/>
      <c r="Q62" s="214">
        <v>60</v>
      </c>
      <c r="R62" s="215">
        <f t="shared" si="3"/>
        <v>60</v>
      </c>
      <c r="S62" s="171">
        <v>1</v>
      </c>
      <c r="T62" s="285"/>
      <c r="U62" s="283"/>
      <c r="V62" s="178" t="s">
        <v>451</v>
      </c>
      <c r="W62" s="171" t="s">
        <v>20</v>
      </c>
      <c r="X62" s="171" t="s">
        <v>12</v>
      </c>
      <c r="Y62" s="179">
        <v>60</v>
      </c>
      <c r="AD62" s="178"/>
      <c r="AG62" s="179"/>
      <c r="AL62" s="178"/>
      <c r="AO62" s="179"/>
      <c r="AP62" s="178"/>
      <c r="AS62" s="179"/>
      <c r="AW62" s="179"/>
      <c r="BA62" s="180"/>
    </row>
    <row r="63" spans="1:53" s="171" customFormat="1" x14ac:dyDescent="0.15">
      <c r="A63" s="216">
        <v>1987</v>
      </c>
      <c r="B63" s="283"/>
      <c r="C63" s="410" t="s">
        <v>637</v>
      </c>
      <c r="D63" s="410"/>
      <c r="E63" s="171">
        <v>230</v>
      </c>
      <c r="G63" s="233"/>
      <c r="I63" s="171">
        <v>20</v>
      </c>
      <c r="J63" s="241">
        <v>20</v>
      </c>
      <c r="K63" s="214">
        <f t="shared" si="4"/>
        <v>0</v>
      </c>
      <c r="L63" s="214">
        <f t="shared" si="4"/>
        <v>0</v>
      </c>
      <c r="M63" s="214">
        <f t="shared" si="4"/>
        <v>100</v>
      </c>
      <c r="N63" s="235">
        <f t="shared" si="2"/>
        <v>100</v>
      </c>
      <c r="O63" s="213"/>
      <c r="P63" s="214"/>
      <c r="Q63" s="214">
        <v>60</v>
      </c>
      <c r="R63" s="215">
        <f t="shared" si="3"/>
        <v>60</v>
      </c>
      <c r="S63" s="171">
        <v>1</v>
      </c>
      <c r="T63" s="285"/>
      <c r="U63" s="283"/>
      <c r="V63" s="178" t="s">
        <v>451</v>
      </c>
      <c r="W63" s="171" t="s">
        <v>20</v>
      </c>
      <c r="X63" s="171" t="s">
        <v>12</v>
      </c>
      <c r="Y63" s="179">
        <v>60</v>
      </c>
      <c r="AD63" s="178"/>
      <c r="AG63" s="179"/>
      <c r="AL63" s="178"/>
      <c r="AO63" s="179"/>
      <c r="AP63" s="178"/>
      <c r="AS63" s="179"/>
      <c r="AW63" s="179"/>
      <c r="BA63" s="180"/>
    </row>
    <row r="64" spans="1:53" s="29" customFormat="1" x14ac:dyDescent="0.15">
      <c r="A64" s="52">
        <v>1987</v>
      </c>
      <c r="B64" s="295">
        <v>32008</v>
      </c>
      <c r="C64" s="411" t="s">
        <v>638</v>
      </c>
      <c r="D64" s="411"/>
      <c r="E64" s="29">
        <f>365-E63</f>
        <v>135</v>
      </c>
      <c r="F64" s="29">
        <v>1</v>
      </c>
      <c r="G64" s="66"/>
      <c r="I64" s="29">
        <v>19</v>
      </c>
      <c r="J64" s="73">
        <v>19</v>
      </c>
      <c r="K64" s="47">
        <f t="shared" si="4"/>
        <v>0</v>
      </c>
      <c r="L64" s="47">
        <f t="shared" si="4"/>
        <v>0</v>
      </c>
      <c r="M64" s="47">
        <f t="shared" si="4"/>
        <v>100</v>
      </c>
      <c r="N64" s="68">
        <f t="shared" si="2"/>
        <v>100</v>
      </c>
      <c r="O64" s="46"/>
      <c r="P64" s="47"/>
      <c r="Q64" s="47">
        <v>58.8</v>
      </c>
      <c r="R64" s="48">
        <f t="shared" si="3"/>
        <v>58.8</v>
      </c>
      <c r="S64" s="29">
        <v>1</v>
      </c>
      <c r="T64" s="286">
        <v>32004</v>
      </c>
      <c r="U64" s="295">
        <v>32008</v>
      </c>
      <c r="V64" s="38" t="s">
        <v>451</v>
      </c>
      <c r="W64" s="29" t="s">
        <v>20</v>
      </c>
      <c r="X64" s="29" t="s">
        <v>12</v>
      </c>
      <c r="Y64" s="39">
        <v>58.8</v>
      </c>
      <c r="AD64" s="38"/>
      <c r="AG64" s="39"/>
      <c r="AL64" s="38"/>
      <c r="AO64" s="39"/>
      <c r="AP64" s="38"/>
      <c r="AS64" s="39"/>
      <c r="AW64" s="39"/>
      <c r="BA64" s="40"/>
    </row>
    <row r="65" spans="1:53" s="29" customFormat="1" x14ac:dyDescent="0.15">
      <c r="A65" s="52">
        <v>1988</v>
      </c>
      <c r="B65" s="295"/>
      <c r="C65" s="411" t="s">
        <v>638</v>
      </c>
      <c r="D65" s="411"/>
      <c r="E65" s="29">
        <v>0</v>
      </c>
      <c r="G65" s="66"/>
      <c r="I65" s="29">
        <v>19</v>
      </c>
      <c r="J65" s="73">
        <v>19</v>
      </c>
      <c r="K65" s="47">
        <f t="shared" si="4"/>
        <v>0</v>
      </c>
      <c r="L65" s="47">
        <f t="shared" si="4"/>
        <v>0</v>
      </c>
      <c r="M65" s="47">
        <f t="shared" si="4"/>
        <v>100</v>
      </c>
      <c r="N65" s="68">
        <f t="shared" si="2"/>
        <v>100</v>
      </c>
      <c r="O65" s="46"/>
      <c r="P65" s="47"/>
      <c r="Q65" s="47">
        <v>58.8</v>
      </c>
      <c r="R65" s="48">
        <f t="shared" si="3"/>
        <v>58.8</v>
      </c>
      <c r="S65" s="29">
        <v>1</v>
      </c>
      <c r="T65" s="286"/>
      <c r="U65" s="295"/>
      <c r="V65" s="38" t="s">
        <v>451</v>
      </c>
      <c r="W65" s="29" t="s">
        <v>20</v>
      </c>
      <c r="X65" s="29" t="s">
        <v>12</v>
      </c>
      <c r="Y65" s="39">
        <v>58.8</v>
      </c>
      <c r="AD65" s="38"/>
      <c r="AG65" s="39"/>
      <c r="AL65" s="38"/>
      <c r="AO65" s="39"/>
      <c r="AP65" s="38"/>
      <c r="AS65" s="39"/>
      <c r="AW65" s="39"/>
      <c r="BA65" s="40"/>
    </row>
    <row r="66" spans="1:53" s="29" customFormat="1" x14ac:dyDescent="0.15">
      <c r="A66" s="52">
        <v>1988</v>
      </c>
      <c r="B66" s="295"/>
      <c r="C66" s="411" t="s">
        <v>638</v>
      </c>
      <c r="D66" s="411"/>
      <c r="E66" s="29">
        <v>366</v>
      </c>
      <c r="G66" s="66"/>
      <c r="I66" s="29">
        <v>19</v>
      </c>
      <c r="J66" s="73">
        <v>19</v>
      </c>
      <c r="K66" s="47">
        <f t="shared" si="4"/>
        <v>0</v>
      </c>
      <c r="L66" s="47">
        <f t="shared" si="4"/>
        <v>0</v>
      </c>
      <c r="M66" s="47">
        <f t="shared" si="4"/>
        <v>100</v>
      </c>
      <c r="N66" s="68">
        <f t="shared" si="2"/>
        <v>100</v>
      </c>
      <c r="O66" s="46"/>
      <c r="P66" s="47"/>
      <c r="Q66" s="47">
        <v>58.8</v>
      </c>
      <c r="R66" s="48">
        <f t="shared" si="3"/>
        <v>58.8</v>
      </c>
      <c r="S66" s="29">
        <v>1</v>
      </c>
      <c r="T66" s="286"/>
      <c r="U66" s="295"/>
      <c r="V66" s="38" t="s">
        <v>451</v>
      </c>
      <c r="W66" s="29" t="s">
        <v>20</v>
      </c>
      <c r="X66" s="29" t="s">
        <v>12</v>
      </c>
      <c r="Y66" s="39">
        <v>58.8</v>
      </c>
      <c r="AD66" s="38"/>
      <c r="AG66" s="39"/>
      <c r="AL66" s="38"/>
      <c r="AO66" s="39"/>
      <c r="AP66" s="38"/>
      <c r="AS66" s="39"/>
      <c r="AW66" s="39"/>
      <c r="BA66" s="40"/>
    </row>
    <row r="67" spans="1:53" s="29" customFormat="1" x14ac:dyDescent="0.15">
      <c r="A67" s="52">
        <v>1989</v>
      </c>
      <c r="B67" s="295"/>
      <c r="C67" s="411" t="s">
        <v>638</v>
      </c>
      <c r="D67" s="411"/>
      <c r="E67" s="29">
        <v>222</v>
      </c>
      <c r="G67" s="66"/>
      <c r="I67" s="29">
        <v>19</v>
      </c>
      <c r="J67" s="73">
        <v>19</v>
      </c>
      <c r="K67" s="47">
        <f t="shared" si="4"/>
        <v>0</v>
      </c>
      <c r="L67" s="47">
        <f t="shared" si="4"/>
        <v>0</v>
      </c>
      <c r="M67" s="47">
        <f t="shared" si="4"/>
        <v>100</v>
      </c>
      <c r="N67" s="68">
        <f t="shared" si="2"/>
        <v>100</v>
      </c>
      <c r="O67" s="46"/>
      <c r="P67" s="47"/>
      <c r="Q67" s="47">
        <v>58.8</v>
      </c>
      <c r="R67" s="48">
        <f t="shared" si="3"/>
        <v>58.8</v>
      </c>
      <c r="S67" s="29">
        <v>1</v>
      </c>
      <c r="T67" s="286"/>
      <c r="U67" s="295"/>
      <c r="V67" s="38" t="s">
        <v>451</v>
      </c>
      <c r="W67" s="29" t="s">
        <v>20</v>
      </c>
      <c r="X67" s="29" t="s">
        <v>12</v>
      </c>
      <c r="Y67" s="39">
        <v>58.8</v>
      </c>
      <c r="AD67" s="38"/>
      <c r="AG67" s="39"/>
      <c r="AL67" s="38"/>
      <c r="AO67" s="39"/>
      <c r="AP67" s="38"/>
      <c r="AS67" s="39"/>
      <c r="AW67" s="39"/>
      <c r="BA67" s="40"/>
    </row>
    <row r="68" spans="1:53" s="54" customFormat="1" x14ac:dyDescent="0.15">
      <c r="A68" s="118">
        <v>1989</v>
      </c>
      <c r="B68" s="293">
        <v>32731</v>
      </c>
      <c r="C68" s="414" t="s">
        <v>639</v>
      </c>
      <c r="D68" s="414"/>
      <c r="E68" s="54">
        <f>365-E67</f>
        <v>143</v>
      </c>
      <c r="F68" s="54">
        <v>2</v>
      </c>
      <c r="G68" s="249"/>
      <c r="I68" s="54">
        <v>19</v>
      </c>
      <c r="J68" s="241">
        <v>19</v>
      </c>
      <c r="K68" s="214">
        <f t="shared" si="4"/>
        <v>0</v>
      </c>
      <c r="L68" s="214">
        <f t="shared" si="4"/>
        <v>0</v>
      </c>
      <c r="M68" s="214">
        <f t="shared" si="4"/>
        <v>100</v>
      </c>
      <c r="N68" s="235">
        <f t="shared" si="2"/>
        <v>100</v>
      </c>
      <c r="O68" s="225"/>
      <c r="P68" s="226"/>
      <c r="Q68" s="214">
        <v>58.8</v>
      </c>
      <c r="R68" s="215">
        <f t="shared" si="3"/>
        <v>58.8</v>
      </c>
      <c r="S68" s="54">
        <v>1</v>
      </c>
      <c r="T68" s="287"/>
      <c r="U68" s="293">
        <v>32731</v>
      </c>
      <c r="V68" s="178" t="s">
        <v>451</v>
      </c>
      <c r="W68" s="171" t="s">
        <v>20</v>
      </c>
      <c r="X68" s="171" t="s">
        <v>12</v>
      </c>
      <c r="Y68" s="179">
        <v>58.8</v>
      </c>
      <c r="AD68" s="55"/>
      <c r="AG68" s="56"/>
      <c r="AL68" s="55"/>
      <c r="AO68" s="56"/>
      <c r="AP68" s="55"/>
      <c r="AS68" s="56"/>
      <c r="AW68" s="56"/>
      <c r="BA68" s="57"/>
    </row>
    <row r="69" spans="1:53" s="171" customFormat="1" x14ac:dyDescent="0.15">
      <c r="A69" s="171">
        <v>1990</v>
      </c>
      <c r="B69" s="283"/>
      <c r="C69" s="442" t="s">
        <v>639</v>
      </c>
      <c r="D69" s="442"/>
      <c r="E69" s="171">
        <v>305</v>
      </c>
      <c r="G69" s="233">
        <v>0</v>
      </c>
      <c r="H69" s="171">
        <v>0</v>
      </c>
      <c r="I69" s="171">
        <v>19</v>
      </c>
      <c r="J69" s="259">
        <v>19</v>
      </c>
      <c r="K69" s="260">
        <f t="shared" si="4"/>
        <v>0</v>
      </c>
      <c r="L69" s="261">
        <f t="shared" si="4"/>
        <v>0</v>
      </c>
      <c r="M69" s="261">
        <f t="shared" si="4"/>
        <v>100</v>
      </c>
      <c r="N69" s="262">
        <f t="shared" si="2"/>
        <v>100</v>
      </c>
      <c r="O69" s="213"/>
      <c r="P69" s="214"/>
      <c r="Q69" s="261">
        <v>58.8</v>
      </c>
      <c r="R69" s="262">
        <f t="shared" si="3"/>
        <v>58.8</v>
      </c>
      <c r="S69" s="171">
        <v>1</v>
      </c>
      <c r="T69" s="285"/>
      <c r="U69" s="283"/>
      <c r="V69" s="263" t="s">
        <v>451</v>
      </c>
      <c r="W69" s="53" t="s">
        <v>20</v>
      </c>
      <c r="X69" s="53" t="s">
        <v>12</v>
      </c>
      <c r="Y69" s="264">
        <v>58.8</v>
      </c>
      <c r="AD69" s="178"/>
      <c r="AG69" s="179"/>
      <c r="AL69" s="178"/>
      <c r="AO69" s="179"/>
      <c r="AP69" s="178"/>
      <c r="AS69" s="179"/>
      <c r="AW69" s="179"/>
      <c r="BA69" s="180"/>
    </row>
    <row r="70" spans="1:53" s="29" customFormat="1" x14ac:dyDescent="0.15">
      <c r="A70" s="29">
        <v>1990</v>
      </c>
      <c r="B70" s="295">
        <v>33179</v>
      </c>
      <c r="C70" s="411" t="s">
        <v>640</v>
      </c>
      <c r="D70" s="411"/>
      <c r="E70" s="29">
        <f>365-E69</f>
        <v>60</v>
      </c>
      <c r="F70" s="29">
        <v>1</v>
      </c>
      <c r="G70" s="66">
        <v>20</v>
      </c>
      <c r="H70" s="29">
        <v>0</v>
      </c>
      <c r="I70" s="29">
        <v>0</v>
      </c>
      <c r="J70" s="73">
        <v>20</v>
      </c>
      <c r="K70" s="47">
        <f t="shared" si="4"/>
        <v>100</v>
      </c>
      <c r="L70" s="47">
        <f t="shared" si="4"/>
        <v>0</v>
      </c>
      <c r="M70" s="47">
        <f t="shared" si="4"/>
        <v>0</v>
      </c>
      <c r="N70" s="68">
        <f t="shared" si="2"/>
        <v>100</v>
      </c>
      <c r="O70" s="46">
        <v>70.099999999999994</v>
      </c>
      <c r="P70" s="47"/>
      <c r="Q70" s="47"/>
      <c r="R70" s="48">
        <f t="shared" si="3"/>
        <v>70.099999999999994</v>
      </c>
      <c r="S70" s="29">
        <v>1</v>
      </c>
      <c r="T70" s="286">
        <v>33173</v>
      </c>
      <c r="U70" s="295">
        <v>33179</v>
      </c>
      <c r="V70" s="38" t="s">
        <v>452</v>
      </c>
      <c r="W70" s="29" t="s">
        <v>74</v>
      </c>
      <c r="X70" s="29" t="s">
        <v>11</v>
      </c>
      <c r="Y70" s="39">
        <v>70.099999999999994</v>
      </c>
      <c r="AD70" s="38"/>
      <c r="AG70" s="39"/>
      <c r="AL70" s="38"/>
      <c r="AO70" s="39"/>
      <c r="AP70" s="38"/>
      <c r="AS70" s="39"/>
      <c r="AW70" s="39"/>
      <c r="BA70" s="40"/>
    </row>
    <row r="71" spans="1:53" s="29" customFormat="1" x14ac:dyDescent="0.15">
      <c r="A71" s="29">
        <v>1991</v>
      </c>
      <c r="B71" s="295"/>
      <c r="C71" s="411" t="s">
        <v>640</v>
      </c>
      <c r="D71" s="411"/>
      <c r="E71" s="29">
        <v>0</v>
      </c>
      <c r="G71" s="66">
        <v>20</v>
      </c>
      <c r="H71" s="29">
        <v>0</v>
      </c>
      <c r="I71" s="29">
        <v>0</v>
      </c>
      <c r="J71" s="73">
        <v>20</v>
      </c>
      <c r="K71" s="47">
        <f t="shared" si="4"/>
        <v>100</v>
      </c>
      <c r="L71" s="47">
        <f t="shared" si="4"/>
        <v>0</v>
      </c>
      <c r="M71" s="47">
        <f t="shared" si="4"/>
        <v>0</v>
      </c>
      <c r="N71" s="68">
        <f t="shared" si="2"/>
        <v>100</v>
      </c>
      <c r="O71" s="46">
        <v>70.099999999999994</v>
      </c>
      <c r="P71" s="47"/>
      <c r="Q71" s="47"/>
      <c r="R71" s="48">
        <f t="shared" si="3"/>
        <v>70.099999999999994</v>
      </c>
      <c r="S71" s="29">
        <v>1</v>
      </c>
      <c r="T71" s="286"/>
      <c r="U71" s="295"/>
      <c r="V71" s="38" t="s">
        <v>452</v>
      </c>
      <c r="W71" s="29" t="s">
        <v>74</v>
      </c>
      <c r="X71" s="29" t="s">
        <v>11</v>
      </c>
      <c r="Y71" s="39">
        <v>70.099999999999994</v>
      </c>
      <c r="AD71" s="38"/>
      <c r="AG71" s="39"/>
      <c r="AL71" s="38"/>
      <c r="AO71" s="39"/>
      <c r="AP71" s="38"/>
      <c r="AS71" s="39"/>
      <c r="AW71" s="39"/>
      <c r="BA71" s="40"/>
    </row>
    <row r="72" spans="1:53" s="29" customFormat="1" x14ac:dyDescent="0.15">
      <c r="A72" s="29">
        <v>1991</v>
      </c>
      <c r="B72" s="295"/>
      <c r="C72" s="411" t="s">
        <v>640</v>
      </c>
      <c r="D72" s="411"/>
      <c r="E72" s="29">
        <f>365-E71</f>
        <v>365</v>
      </c>
      <c r="G72" s="66">
        <v>20</v>
      </c>
      <c r="H72" s="29">
        <v>0</v>
      </c>
      <c r="I72" s="29">
        <v>0</v>
      </c>
      <c r="J72" s="73">
        <v>20</v>
      </c>
      <c r="K72" s="47">
        <f t="shared" si="4"/>
        <v>100</v>
      </c>
      <c r="L72" s="47">
        <f t="shared" si="4"/>
        <v>0</v>
      </c>
      <c r="M72" s="47">
        <f t="shared" si="4"/>
        <v>0</v>
      </c>
      <c r="N72" s="68">
        <f t="shared" si="2"/>
        <v>100</v>
      </c>
      <c r="O72" s="46">
        <v>70.099999999999994</v>
      </c>
      <c r="P72" s="47"/>
      <c r="Q72" s="47"/>
      <c r="R72" s="48">
        <f t="shared" si="3"/>
        <v>70.099999999999994</v>
      </c>
      <c r="S72" s="29">
        <v>1</v>
      </c>
      <c r="T72" s="286"/>
      <c r="U72" s="295"/>
      <c r="V72" s="38" t="s">
        <v>452</v>
      </c>
      <c r="W72" s="29" t="s">
        <v>74</v>
      </c>
      <c r="X72" s="29" t="s">
        <v>11</v>
      </c>
      <c r="Y72" s="39">
        <v>70.099999999999994</v>
      </c>
      <c r="AD72" s="38"/>
      <c r="AG72" s="39"/>
      <c r="AL72" s="38"/>
      <c r="AO72" s="39"/>
      <c r="AP72" s="38"/>
      <c r="AS72" s="39"/>
      <c r="AW72" s="39"/>
      <c r="BA72" s="40"/>
    </row>
    <row r="73" spans="1:53" s="29" customFormat="1" x14ac:dyDescent="0.15">
      <c r="A73" s="29">
        <v>1992</v>
      </c>
      <c r="B73" s="295"/>
      <c r="C73" s="411" t="s">
        <v>640</v>
      </c>
      <c r="D73" s="411"/>
      <c r="E73" s="29">
        <v>0</v>
      </c>
      <c r="G73" s="66">
        <v>20</v>
      </c>
      <c r="H73" s="29">
        <v>0</v>
      </c>
      <c r="I73" s="29">
        <v>0</v>
      </c>
      <c r="J73" s="73">
        <v>20</v>
      </c>
      <c r="K73" s="47">
        <f t="shared" si="4"/>
        <v>100</v>
      </c>
      <c r="L73" s="47">
        <f t="shared" si="4"/>
        <v>0</v>
      </c>
      <c r="M73" s="47">
        <f t="shared" si="4"/>
        <v>0</v>
      </c>
      <c r="N73" s="68">
        <f t="shared" ref="N73:N118" si="5">K73+L73+M73</f>
        <v>100</v>
      </c>
      <c r="O73" s="46">
        <v>70.099999999999994</v>
      </c>
      <c r="P73" s="47"/>
      <c r="Q73" s="47"/>
      <c r="R73" s="48">
        <f t="shared" ref="R73:R116" si="6">O73+P73+Q73</f>
        <v>70.099999999999994</v>
      </c>
      <c r="S73" s="29">
        <v>1</v>
      </c>
      <c r="T73" s="286"/>
      <c r="U73" s="295"/>
      <c r="V73" s="38" t="s">
        <v>452</v>
      </c>
      <c r="W73" s="29" t="s">
        <v>74</v>
      </c>
      <c r="X73" s="29" t="s">
        <v>11</v>
      </c>
      <c r="Y73" s="39">
        <v>70.099999999999994</v>
      </c>
      <c r="AD73" s="38"/>
      <c r="AG73" s="39"/>
      <c r="AL73" s="38"/>
      <c r="AO73" s="39"/>
      <c r="AP73" s="38"/>
      <c r="AS73" s="39"/>
      <c r="AW73" s="39"/>
      <c r="BA73" s="40"/>
    </row>
    <row r="74" spans="1:53" s="29" customFormat="1" x14ac:dyDescent="0.15">
      <c r="A74" s="29">
        <v>1992</v>
      </c>
      <c r="B74" s="295"/>
      <c r="C74" s="411" t="s">
        <v>640</v>
      </c>
      <c r="D74" s="411"/>
      <c r="E74" s="29">
        <v>366</v>
      </c>
      <c r="G74" s="66">
        <v>20</v>
      </c>
      <c r="H74" s="29">
        <v>0</v>
      </c>
      <c r="I74" s="29">
        <v>0</v>
      </c>
      <c r="J74" s="73">
        <v>20</v>
      </c>
      <c r="K74" s="47">
        <f t="shared" si="4"/>
        <v>100</v>
      </c>
      <c r="L74" s="47">
        <f t="shared" si="4"/>
        <v>0</v>
      </c>
      <c r="M74" s="47">
        <f t="shared" si="4"/>
        <v>0</v>
      </c>
      <c r="N74" s="68">
        <f t="shared" si="5"/>
        <v>100</v>
      </c>
      <c r="O74" s="46">
        <v>70.099999999999994</v>
      </c>
      <c r="P74" s="47"/>
      <c r="Q74" s="47"/>
      <c r="R74" s="48">
        <f t="shared" si="6"/>
        <v>70.099999999999994</v>
      </c>
      <c r="S74" s="29">
        <v>1</v>
      </c>
      <c r="T74" s="286"/>
      <c r="U74" s="295"/>
      <c r="V74" s="38" t="s">
        <v>452</v>
      </c>
      <c r="W74" s="29" t="s">
        <v>74</v>
      </c>
      <c r="X74" s="29" t="s">
        <v>11</v>
      </c>
      <c r="Y74" s="39">
        <v>70.099999999999994</v>
      </c>
      <c r="AD74" s="38"/>
      <c r="AG74" s="39"/>
      <c r="AL74" s="38"/>
      <c r="AO74" s="39"/>
      <c r="AP74" s="38"/>
      <c r="AS74" s="39"/>
      <c r="AW74" s="39"/>
      <c r="BA74" s="40"/>
    </row>
    <row r="75" spans="1:53" s="29" customFormat="1" x14ac:dyDescent="0.15">
      <c r="A75" s="29">
        <v>1993</v>
      </c>
      <c r="B75" s="295"/>
      <c r="C75" s="411" t="s">
        <v>640</v>
      </c>
      <c r="D75" s="411"/>
      <c r="E75" s="29">
        <v>331</v>
      </c>
      <c r="G75" s="66">
        <v>20</v>
      </c>
      <c r="H75" s="29">
        <v>0</v>
      </c>
      <c r="I75" s="29">
        <v>0</v>
      </c>
      <c r="J75" s="73">
        <v>20</v>
      </c>
      <c r="K75" s="47">
        <f t="shared" si="4"/>
        <v>100</v>
      </c>
      <c r="L75" s="47">
        <f t="shared" si="4"/>
        <v>0</v>
      </c>
      <c r="M75" s="47">
        <f t="shared" si="4"/>
        <v>0</v>
      </c>
      <c r="N75" s="68">
        <f t="shared" si="5"/>
        <v>100</v>
      </c>
      <c r="O75" s="46">
        <v>70.099999999999994</v>
      </c>
      <c r="P75" s="47"/>
      <c r="Q75" s="47"/>
      <c r="R75" s="48">
        <f t="shared" si="6"/>
        <v>70.099999999999994</v>
      </c>
      <c r="S75" s="29">
        <v>1</v>
      </c>
      <c r="T75" s="286"/>
      <c r="U75" s="295"/>
      <c r="V75" s="38" t="s">
        <v>452</v>
      </c>
      <c r="W75" s="29" t="s">
        <v>74</v>
      </c>
      <c r="X75" s="29" t="s">
        <v>11</v>
      </c>
      <c r="Y75" s="39">
        <v>70.099999999999994</v>
      </c>
      <c r="AD75" s="38"/>
      <c r="AG75" s="39"/>
      <c r="AL75" s="38"/>
      <c r="AO75" s="39"/>
      <c r="AP75" s="38"/>
      <c r="AS75" s="39"/>
      <c r="AW75" s="39"/>
      <c r="BA75" s="40"/>
    </row>
    <row r="76" spans="1:53" s="171" customFormat="1" x14ac:dyDescent="0.15">
      <c r="A76" s="171">
        <v>1993</v>
      </c>
      <c r="B76" s="283">
        <v>34301</v>
      </c>
      <c r="C76" s="410" t="s">
        <v>641</v>
      </c>
      <c r="D76" s="410"/>
      <c r="E76" s="171">
        <f>365-E75</f>
        <v>34</v>
      </c>
      <c r="F76" s="171">
        <v>1</v>
      </c>
      <c r="G76" s="233">
        <v>20</v>
      </c>
      <c r="H76" s="171">
        <v>0</v>
      </c>
      <c r="I76" s="171">
        <v>0</v>
      </c>
      <c r="J76" s="241">
        <v>20</v>
      </c>
      <c r="K76" s="214">
        <f t="shared" si="4"/>
        <v>100</v>
      </c>
      <c r="L76" s="214">
        <f t="shared" si="4"/>
        <v>0</v>
      </c>
      <c r="M76" s="214">
        <f t="shared" si="4"/>
        <v>0</v>
      </c>
      <c r="N76" s="235">
        <f t="shared" si="5"/>
        <v>100</v>
      </c>
      <c r="O76" s="213">
        <v>50.5</v>
      </c>
      <c r="P76" s="214"/>
      <c r="Q76" s="214"/>
      <c r="R76" s="215">
        <f t="shared" si="6"/>
        <v>50.5</v>
      </c>
      <c r="S76" s="171">
        <v>1</v>
      </c>
      <c r="T76" s="285">
        <v>34279</v>
      </c>
      <c r="U76" s="283">
        <v>34301</v>
      </c>
      <c r="V76" s="178" t="s">
        <v>452</v>
      </c>
      <c r="W76" s="171" t="s">
        <v>74</v>
      </c>
      <c r="X76" s="171" t="s">
        <v>11</v>
      </c>
      <c r="Y76" s="179">
        <v>50.5</v>
      </c>
      <c r="AD76" s="178"/>
      <c r="AG76" s="179"/>
      <c r="AL76" s="178"/>
      <c r="AO76" s="179"/>
      <c r="AP76" s="178"/>
      <c r="AS76" s="179"/>
      <c r="AW76" s="179"/>
      <c r="BA76" s="180"/>
    </row>
    <row r="77" spans="1:53" s="171" customFormat="1" x14ac:dyDescent="0.15">
      <c r="A77" s="171">
        <v>1994</v>
      </c>
      <c r="B77" s="283"/>
      <c r="C77" s="410" t="s">
        <v>641</v>
      </c>
      <c r="D77" s="410"/>
      <c r="E77" s="171">
        <v>0</v>
      </c>
      <c r="G77" s="233">
        <v>20</v>
      </c>
      <c r="H77" s="171">
        <v>0</v>
      </c>
      <c r="I77" s="171">
        <v>0</v>
      </c>
      <c r="J77" s="241">
        <v>20</v>
      </c>
      <c r="K77" s="214">
        <f t="shared" si="4"/>
        <v>100</v>
      </c>
      <c r="L77" s="214">
        <f t="shared" si="4"/>
        <v>0</v>
      </c>
      <c r="M77" s="214">
        <f t="shared" si="4"/>
        <v>0</v>
      </c>
      <c r="N77" s="235">
        <f t="shared" si="5"/>
        <v>100</v>
      </c>
      <c r="O77" s="213">
        <v>50.5</v>
      </c>
      <c r="P77" s="214"/>
      <c r="Q77" s="214"/>
      <c r="R77" s="215">
        <f t="shared" si="6"/>
        <v>50.5</v>
      </c>
      <c r="S77" s="171">
        <v>1</v>
      </c>
      <c r="T77" s="285"/>
      <c r="U77" s="283"/>
      <c r="V77" s="178" t="s">
        <v>452</v>
      </c>
      <c r="W77" s="171" t="s">
        <v>74</v>
      </c>
      <c r="X77" s="171" t="s">
        <v>11</v>
      </c>
      <c r="Y77" s="179">
        <v>50.5</v>
      </c>
      <c r="AD77" s="178"/>
      <c r="AG77" s="179"/>
      <c r="AL77" s="178"/>
      <c r="AO77" s="179"/>
      <c r="AP77" s="178"/>
      <c r="AS77" s="179"/>
      <c r="AW77" s="179"/>
      <c r="BA77" s="180"/>
    </row>
    <row r="78" spans="1:53" s="171" customFormat="1" x14ac:dyDescent="0.15">
      <c r="A78" s="171">
        <v>1994</v>
      </c>
      <c r="B78" s="283"/>
      <c r="C78" s="410" t="s">
        <v>641</v>
      </c>
      <c r="D78" s="410"/>
      <c r="E78" s="171">
        <f>365-E77</f>
        <v>365</v>
      </c>
      <c r="G78" s="233">
        <v>20</v>
      </c>
      <c r="H78" s="171">
        <v>0</v>
      </c>
      <c r="I78" s="171">
        <v>0</v>
      </c>
      <c r="J78" s="241">
        <v>20</v>
      </c>
      <c r="K78" s="214">
        <f t="shared" si="4"/>
        <v>100</v>
      </c>
      <c r="L78" s="214">
        <f t="shared" si="4"/>
        <v>0</v>
      </c>
      <c r="M78" s="214">
        <f t="shared" si="4"/>
        <v>0</v>
      </c>
      <c r="N78" s="235">
        <f t="shared" si="5"/>
        <v>100</v>
      </c>
      <c r="O78" s="213">
        <v>50.5</v>
      </c>
      <c r="P78" s="214"/>
      <c r="Q78" s="214"/>
      <c r="R78" s="215">
        <f t="shared" si="6"/>
        <v>50.5</v>
      </c>
      <c r="S78" s="171">
        <v>1</v>
      </c>
      <c r="T78" s="285"/>
      <c r="U78" s="283"/>
      <c r="V78" s="178" t="s">
        <v>452</v>
      </c>
      <c r="W78" s="171" t="s">
        <v>74</v>
      </c>
      <c r="X78" s="171" t="s">
        <v>11</v>
      </c>
      <c r="Y78" s="179">
        <v>50.5</v>
      </c>
      <c r="AD78" s="178"/>
      <c r="AG78" s="179"/>
      <c r="AL78" s="178"/>
      <c r="AO78" s="179"/>
      <c r="AP78" s="178"/>
      <c r="AS78" s="179"/>
      <c r="AW78" s="179"/>
      <c r="BA78" s="180"/>
    </row>
    <row r="79" spans="1:53" s="171" customFormat="1" x14ac:dyDescent="0.15">
      <c r="A79" s="171">
        <v>1995</v>
      </c>
      <c r="B79" s="283"/>
      <c r="C79" s="410" t="s">
        <v>641</v>
      </c>
      <c r="D79" s="410"/>
      <c r="E79" s="171">
        <v>0</v>
      </c>
      <c r="G79" s="233">
        <v>20</v>
      </c>
      <c r="H79" s="171">
        <v>0</v>
      </c>
      <c r="I79" s="171">
        <v>0</v>
      </c>
      <c r="J79" s="241">
        <v>20</v>
      </c>
      <c r="K79" s="214">
        <f t="shared" si="4"/>
        <v>100</v>
      </c>
      <c r="L79" s="214">
        <f t="shared" si="4"/>
        <v>0</v>
      </c>
      <c r="M79" s="214">
        <f t="shared" si="4"/>
        <v>0</v>
      </c>
      <c r="N79" s="235">
        <f t="shared" si="5"/>
        <v>100</v>
      </c>
      <c r="O79" s="213">
        <v>50.5</v>
      </c>
      <c r="P79" s="214"/>
      <c r="Q79" s="214"/>
      <c r="R79" s="215">
        <f t="shared" si="6"/>
        <v>50.5</v>
      </c>
      <c r="S79" s="171">
        <v>1</v>
      </c>
      <c r="T79" s="285"/>
      <c r="U79" s="283"/>
      <c r="V79" s="178" t="s">
        <v>452</v>
      </c>
      <c r="W79" s="171" t="s">
        <v>74</v>
      </c>
      <c r="X79" s="171" t="s">
        <v>11</v>
      </c>
      <c r="Y79" s="179">
        <v>50.5</v>
      </c>
      <c r="AD79" s="178"/>
      <c r="AG79" s="179"/>
      <c r="AL79" s="178"/>
      <c r="AO79" s="179"/>
      <c r="AP79" s="178"/>
      <c r="AS79" s="179"/>
      <c r="AW79" s="179"/>
      <c r="BA79" s="180"/>
    </row>
    <row r="80" spans="1:53" s="171" customFormat="1" x14ac:dyDescent="0.15">
      <c r="A80" s="171">
        <v>1995</v>
      </c>
      <c r="B80" s="283"/>
      <c r="C80" s="410" t="s">
        <v>641</v>
      </c>
      <c r="D80" s="410"/>
      <c r="E80" s="171">
        <f>365-E79</f>
        <v>365</v>
      </c>
      <c r="G80" s="233">
        <v>20</v>
      </c>
      <c r="H80" s="171">
        <v>0</v>
      </c>
      <c r="I80" s="171">
        <v>0</v>
      </c>
      <c r="J80" s="241">
        <v>20</v>
      </c>
      <c r="K80" s="214">
        <f t="shared" si="4"/>
        <v>100</v>
      </c>
      <c r="L80" s="214">
        <f t="shared" si="4"/>
        <v>0</v>
      </c>
      <c r="M80" s="214">
        <f t="shared" si="4"/>
        <v>0</v>
      </c>
      <c r="N80" s="235">
        <f t="shared" si="5"/>
        <v>100</v>
      </c>
      <c r="O80" s="213">
        <v>50.5</v>
      </c>
      <c r="P80" s="214"/>
      <c r="Q80" s="214"/>
      <c r="R80" s="215">
        <f t="shared" si="6"/>
        <v>50.5</v>
      </c>
      <c r="S80" s="171">
        <v>1</v>
      </c>
      <c r="T80" s="285"/>
      <c r="U80" s="283"/>
      <c r="V80" s="178" t="s">
        <v>452</v>
      </c>
      <c r="W80" s="171" t="s">
        <v>74</v>
      </c>
      <c r="X80" s="171" t="s">
        <v>11</v>
      </c>
      <c r="Y80" s="179">
        <v>50.5</v>
      </c>
      <c r="AD80" s="178"/>
      <c r="AG80" s="179"/>
      <c r="AL80" s="178"/>
      <c r="AO80" s="179"/>
      <c r="AP80" s="178"/>
      <c r="AS80" s="179"/>
      <c r="AW80" s="179"/>
      <c r="BA80" s="180"/>
    </row>
    <row r="81" spans="1:53" s="171" customFormat="1" x14ac:dyDescent="0.15">
      <c r="A81" s="171">
        <v>1996</v>
      </c>
      <c r="B81" s="283"/>
      <c r="C81" s="410" t="s">
        <v>641</v>
      </c>
      <c r="D81" s="410"/>
      <c r="E81" s="171">
        <v>60</v>
      </c>
      <c r="G81" s="233">
        <v>20</v>
      </c>
      <c r="H81" s="171">
        <v>0</v>
      </c>
      <c r="I81" s="171">
        <v>0</v>
      </c>
      <c r="J81" s="241">
        <v>20</v>
      </c>
      <c r="K81" s="214">
        <f t="shared" si="4"/>
        <v>100</v>
      </c>
      <c r="L81" s="214">
        <f t="shared" si="4"/>
        <v>0</v>
      </c>
      <c r="M81" s="214">
        <f t="shared" si="4"/>
        <v>0</v>
      </c>
      <c r="N81" s="235">
        <f t="shared" si="5"/>
        <v>100</v>
      </c>
      <c r="O81" s="213">
        <v>50.5</v>
      </c>
      <c r="P81" s="214"/>
      <c r="Q81" s="214"/>
      <c r="R81" s="215">
        <f t="shared" si="6"/>
        <v>50.5</v>
      </c>
      <c r="S81" s="171">
        <v>1</v>
      </c>
      <c r="T81" s="285"/>
      <c r="U81" s="283"/>
      <c r="V81" s="178" t="s">
        <v>452</v>
      </c>
      <c r="W81" s="171" t="s">
        <v>74</v>
      </c>
      <c r="X81" s="171" t="s">
        <v>11</v>
      </c>
      <c r="Y81" s="179">
        <v>50.5</v>
      </c>
      <c r="AD81" s="178"/>
      <c r="AG81" s="179"/>
      <c r="AL81" s="178"/>
      <c r="AO81" s="179"/>
      <c r="AP81" s="178"/>
      <c r="AS81" s="179"/>
      <c r="AW81" s="179"/>
      <c r="BA81" s="180"/>
    </row>
    <row r="82" spans="1:53" s="29" customFormat="1" x14ac:dyDescent="0.15">
      <c r="A82" s="29">
        <v>1996</v>
      </c>
      <c r="B82" s="295">
        <v>35125</v>
      </c>
      <c r="C82" s="411" t="s">
        <v>642</v>
      </c>
      <c r="D82" s="411"/>
      <c r="E82" s="29">
        <v>290</v>
      </c>
      <c r="F82" s="29">
        <v>7</v>
      </c>
      <c r="G82" s="66">
        <v>20</v>
      </c>
      <c r="H82" s="29">
        <v>0</v>
      </c>
      <c r="I82" s="29">
        <v>0</v>
      </c>
      <c r="J82" s="73">
        <v>20</v>
      </c>
      <c r="K82" s="47">
        <f>G82/$J82*100</f>
        <v>100</v>
      </c>
      <c r="L82" s="47">
        <f>H82/$J82*100</f>
        <v>0</v>
      </c>
      <c r="M82" s="47">
        <f>I82/$J82*100</f>
        <v>0</v>
      </c>
      <c r="N82" s="68">
        <f t="shared" si="5"/>
        <v>100</v>
      </c>
      <c r="O82" s="46">
        <v>50.4</v>
      </c>
      <c r="P82" s="47"/>
      <c r="Q82" s="47"/>
      <c r="R82" s="48">
        <f t="shared" si="6"/>
        <v>50.4</v>
      </c>
      <c r="S82" s="29">
        <v>2</v>
      </c>
      <c r="T82" s="286"/>
      <c r="U82" s="295">
        <v>35125</v>
      </c>
      <c r="V82" s="38" t="s">
        <v>452</v>
      </c>
      <c r="W82" s="29" t="s">
        <v>74</v>
      </c>
      <c r="X82" s="29" t="s">
        <v>11</v>
      </c>
      <c r="Y82" s="39">
        <v>43.4</v>
      </c>
      <c r="Z82" s="29" t="s">
        <v>450</v>
      </c>
      <c r="AA82" s="29" t="s">
        <v>327</v>
      </c>
      <c r="AB82" s="29" t="s">
        <v>11</v>
      </c>
      <c r="AC82" s="29">
        <v>7</v>
      </c>
      <c r="AD82" s="38"/>
      <c r="AG82" s="39"/>
      <c r="AL82" s="38"/>
      <c r="AO82" s="39"/>
      <c r="AP82" s="38"/>
      <c r="AS82" s="39"/>
      <c r="AW82" s="39"/>
      <c r="BA82" s="40"/>
    </row>
    <row r="83" spans="1:53" s="171" customFormat="1" x14ac:dyDescent="0.15">
      <c r="A83" s="171">
        <v>1996</v>
      </c>
      <c r="B83" s="283">
        <v>35415</v>
      </c>
      <c r="C83" s="410" t="s">
        <v>643</v>
      </c>
      <c r="D83" s="410"/>
      <c r="E83" s="171">
        <f>366-E82-E81</f>
        <v>16</v>
      </c>
      <c r="F83" s="171">
        <v>1</v>
      </c>
      <c r="G83" s="233">
        <v>20</v>
      </c>
      <c r="H83" s="171">
        <v>0</v>
      </c>
      <c r="I83" s="171">
        <v>0</v>
      </c>
      <c r="J83" s="241">
        <v>20</v>
      </c>
      <c r="K83" s="214">
        <f t="shared" si="4"/>
        <v>100</v>
      </c>
      <c r="L83" s="214">
        <f t="shared" si="4"/>
        <v>0</v>
      </c>
      <c r="M83" s="214">
        <f t="shared" si="4"/>
        <v>0</v>
      </c>
      <c r="N83" s="235">
        <f t="shared" si="5"/>
        <v>100</v>
      </c>
      <c r="O83" s="213">
        <v>50.9</v>
      </c>
      <c r="P83" s="214"/>
      <c r="Q83" s="214"/>
      <c r="R83" s="215">
        <f t="shared" si="6"/>
        <v>50.9</v>
      </c>
      <c r="S83" s="171">
        <v>2</v>
      </c>
      <c r="T83" s="285">
        <v>35350</v>
      </c>
      <c r="U83" s="283">
        <v>35415</v>
      </c>
      <c r="V83" s="178" t="s">
        <v>452</v>
      </c>
      <c r="W83" s="171" t="s">
        <v>74</v>
      </c>
      <c r="X83" s="171" t="s">
        <v>11</v>
      </c>
      <c r="Y83" s="179">
        <v>36.700000000000003</v>
      </c>
      <c r="Z83" s="171" t="s">
        <v>453</v>
      </c>
      <c r="AA83" s="171" t="s">
        <v>76</v>
      </c>
      <c r="AB83" s="171" t="s">
        <v>11</v>
      </c>
      <c r="AC83" s="171">
        <v>14.2</v>
      </c>
      <c r="AD83" s="178"/>
      <c r="AG83" s="179"/>
      <c r="AL83" s="178"/>
      <c r="AO83" s="179"/>
      <c r="AP83" s="178"/>
      <c r="AS83" s="179"/>
      <c r="AW83" s="179"/>
      <c r="BA83" s="180"/>
    </row>
    <row r="84" spans="1:53" s="171" customFormat="1" x14ac:dyDescent="0.15">
      <c r="A84" s="171">
        <v>1997</v>
      </c>
      <c r="B84" s="283"/>
      <c r="C84" s="410" t="s">
        <v>643</v>
      </c>
      <c r="D84" s="410"/>
      <c r="E84" s="171">
        <v>341</v>
      </c>
      <c r="G84" s="233">
        <v>20</v>
      </c>
      <c r="H84" s="171">
        <v>0</v>
      </c>
      <c r="I84" s="171">
        <v>0</v>
      </c>
      <c r="J84" s="241">
        <v>20</v>
      </c>
      <c r="K84" s="214">
        <f t="shared" si="4"/>
        <v>100</v>
      </c>
      <c r="L84" s="214">
        <f t="shared" si="4"/>
        <v>0</v>
      </c>
      <c r="M84" s="214">
        <f t="shared" si="4"/>
        <v>0</v>
      </c>
      <c r="N84" s="235">
        <f t="shared" si="5"/>
        <v>100</v>
      </c>
      <c r="O84" s="213">
        <v>50.9</v>
      </c>
      <c r="P84" s="214"/>
      <c r="Q84" s="214"/>
      <c r="R84" s="215">
        <f t="shared" si="6"/>
        <v>50.9</v>
      </c>
      <c r="S84" s="171">
        <v>2</v>
      </c>
      <c r="T84" s="285"/>
      <c r="U84" s="283"/>
      <c r="V84" s="178" t="s">
        <v>452</v>
      </c>
      <c r="W84" s="171" t="s">
        <v>74</v>
      </c>
      <c r="X84" s="171" t="s">
        <v>11</v>
      </c>
      <c r="Y84" s="179">
        <v>36.700000000000003</v>
      </c>
      <c r="Z84" s="171" t="s">
        <v>453</v>
      </c>
      <c r="AA84" s="171" t="s">
        <v>76</v>
      </c>
      <c r="AB84" s="171" t="s">
        <v>11</v>
      </c>
      <c r="AC84" s="171">
        <v>14.2</v>
      </c>
      <c r="AD84" s="178"/>
      <c r="AG84" s="179"/>
      <c r="AL84" s="178"/>
      <c r="AO84" s="179"/>
      <c r="AP84" s="178"/>
      <c r="AS84" s="179"/>
      <c r="AW84" s="179"/>
      <c r="BA84" s="180"/>
    </row>
    <row r="85" spans="1:53" s="29" customFormat="1" x14ac:dyDescent="0.15">
      <c r="A85" s="29">
        <v>1997</v>
      </c>
      <c r="B85" s="295">
        <v>35772</v>
      </c>
      <c r="C85" s="411" t="s">
        <v>644</v>
      </c>
      <c r="D85" s="411"/>
      <c r="E85" s="29">
        <f>365-E84</f>
        <v>24</v>
      </c>
      <c r="F85" s="29">
        <v>2</v>
      </c>
      <c r="G85" s="66">
        <v>20</v>
      </c>
      <c r="H85" s="29">
        <v>0</v>
      </c>
      <c r="I85" s="29">
        <v>0</v>
      </c>
      <c r="J85" s="73">
        <v>20</v>
      </c>
      <c r="K85" s="47">
        <f t="shared" si="4"/>
        <v>100</v>
      </c>
      <c r="L85" s="47">
        <f t="shared" si="4"/>
        <v>0</v>
      </c>
      <c r="M85" s="47">
        <f t="shared" si="4"/>
        <v>0</v>
      </c>
      <c r="N85" s="68">
        <f t="shared" si="5"/>
        <v>100</v>
      </c>
      <c r="O85" s="46">
        <v>50.9</v>
      </c>
      <c r="P85" s="47"/>
      <c r="Q85" s="47"/>
      <c r="R85" s="48">
        <f t="shared" si="6"/>
        <v>50.9</v>
      </c>
      <c r="S85" s="29">
        <v>2</v>
      </c>
      <c r="T85" s="286"/>
      <c r="U85" s="295">
        <v>35772</v>
      </c>
      <c r="V85" s="38" t="s">
        <v>452</v>
      </c>
      <c r="W85" s="29" t="s">
        <v>74</v>
      </c>
      <c r="X85" s="29" t="s">
        <v>11</v>
      </c>
      <c r="Y85" s="39">
        <v>36.700000000000003</v>
      </c>
      <c r="Z85" s="29" t="s">
        <v>453</v>
      </c>
      <c r="AA85" s="29" t="s">
        <v>76</v>
      </c>
      <c r="AB85" s="29" t="s">
        <v>11</v>
      </c>
      <c r="AC85" s="29">
        <v>14.2</v>
      </c>
      <c r="AD85" s="38"/>
      <c r="AG85" s="39"/>
      <c r="AL85" s="38"/>
      <c r="AO85" s="39"/>
      <c r="AP85" s="38"/>
      <c r="AS85" s="39"/>
      <c r="AW85" s="39"/>
      <c r="BA85" s="40"/>
    </row>
    <row r="86" spans="1:53" s="29" customFormat="1" x14ac:dyDescent="0.15">
      <c r="A86" s="29">
        <v>1998</v>
      </c>
      <c r="B86" s="295"/>
      <c r="C86" s="411" t="s">
        <v>644</v>
      </c>
      <c r="D86" s="411"/>
      <c r="E86" s="29">
        <v>242</v>
      </c>
      <c r="G86" s="66">
        <v>20</v>
      </c>
      <c r="H86" s="29">
        <v>0</v>
      </c>
      <c r="I86" s="29">
        <v>0</v>
      </c>
      <c r="J86" s="73">
        <v>20</v>
      </c>
      <c r="K86" s="47">
        <f t="shared" si="4"/>
        <v>100</v>
      </c>
      <c r="L86" s="47">
        <f t="shared" si="4"/>
        <v>0</v>
      </c>
      <c r="M86" s="47">
        <f t="shared" si="4"/>
        <v>0</v>
      </c>
      <c r="N86" s="68">
        <f t="shared" si="5"/>
        <v>100</v>
      </c>
      <c r="O86" s="46">
        <v>50.9</v>
      </c>
      <c r="P86" s="47"/>
      <c r="Q86" s="47"/>
      <c r="R86" s="48">
        <f t="shared" si="6"/>
        <v>50.9</v>
      </c>
      <c r="S86" s="29">
        <v>2</v>
      </c>
      <c r="T86" s="286"/>
      <c r="U86" s="295"/>
      <c r="V86" s="38" t="s">
        <v>452</v>
      </c>
      <c r="W86" s="29" t="s">
        <v>74</v>
      </c>
      <c r="X86" s="29" t="s">
        <v>11</v>
      </c>
      <c r="Y86" s="39">
        <v>36.700000000000003</v>
      </c>
      <c r="Z86" s="29" t="s">
        <v>453</v>
      </c>
      <c r="AA86" s="29" t="s">
        <v>76</v>
      </c>
      <c r="AB86" s="29" t="s">
        <v>11</v>
      </c>
      <c r="AC86" s="29">
        <v>14.2</v>
      </c>
      <c r="AD86" s="38"/>
      <c r="AG86" s="39"/>
      <c r="AL86" s="38"/>
      <c r="AO86" s="39"/>
      <c r="AP86" s="38"/>
      <c r="AS86" s="39"/>
      <c r="AW86" s="39"/>
      <c r="BA86" s="40"/>
    </row>
    <row r="87" spans="1:53" s="171" customFormat="1" x14ac:dyDescent="0.15">
      <c r="A87" s="171">
        <v>1998</v>
      </c>
      <c r="B87" s="283">
        <v>36038</v>
      </c>
      <c r="C87" s="410" t="s">
        <v>645</v>
      </c>
      <c r="D87" s="410"/>
      <c r="E87" s="171">
        <f>365-E86</f>
        <v>123</v>
      </c>
      <c r="F87" s="171">
        <v>4</v>
      </c>
      <c r="G87" s="233">
        <v>17</v>
      </c>
      <c r="H87" s="171">
        <v>0</v>
      </c>
      <c r="I87" s="171">
        <v>0</v>
      </c>
      <c r="J87" s="241">
        <v>18</v>
      </c>
      <c r="K87" s="214">
        <f t="shared" si="4"/>
        <v>94.444444444444443</v>
      </c>
      <c r="L87" s="214">
        <f t="shared" si="4"/>
        <v>0</v>
      </c>
      <c r="M87" s="214">
        <f t="shared" si="4"/>
        <v>0</v>
      </c>
      <c r="N87" s="235">
        <f t="shared" si="5"/>
        <v>94.444444444444443</v>
      </c>
      <c r="O87" s="213">
        <v>36.700000000000003</v>
      </c>
      <c r="P87" s="214"/>
      <c r="Q87" s="214"/>
      <c r="R87" s="215">
        <f t="shared" si="6"/>
        <v>36.700000000000003</v>
      </c>
      <c r="S87" s="171">
        <v>4</v>
      </c>
      <c r="T87" s="285"/>
      <c r="U87" s="283">
        <v>36038</v>
      </c>
      <c r="V87" s="178" t="s">
        <v>452</v>
      </c>
      <c r="W87" s="171" t="s">
        <v>74</v>
      </c>
      <c r="X87" s="171" t="s">
        <v>11</v>
      </c>
      <c r="Y87" s="179">
        <v>36.700000000000003</v>
      </c>
      <c r="AD87" s="178"/>
      <c r="AG87" s="179"/>
      <c r="AL87" s="178"/>
      <c r="AO87" s="179"/>
      <c r="AP87" s="178"/>
      <c r="AS87" s="179"/>
      <c r="AW87" s="179"/>
      <c r="BA87" s="180"/>
    </row>
    <row r="88" spans="1:53" s="171" customFormat="1" x14ac:dyDescent="0.15">
      <c r="A88" s="171">
        <v>1999</v>
      </c>
      <c r="B88" s="283"/>
      <c r="C88" s="410" t="s">
        <v>645</v>
      </c>
      <c r="D88" s="410"/>
      <c r="E88" s="171">
        <v>342</v>
      </c>
      <c r="G88" s="233">
        <v>17</v>
      </c>
      <c r="H88" s="171">
        <v>0</v>
      </c>
      <c r="I88" s="171">
        <v>0</v>
      </c>
      <c r="J88" s="241">
        <v>18</v>
      </c>
      <c r="K88" s="214">
        <f t="shared" si="4"/>
        <v>94.444444444444443</v>
      </c>
      <c r="L88" s="214">
        <f t="shared" si="4"/>
        <v>0</v>
      </c>
      <c r="M88" s="214">
        <f t="shared" si="4"/>
        <v>0</v>
      </c>
      <c r="N88" s="235">
        <f t="shared" si="5"/>
        <v>94.444444444444443</v>
      </c>
      <c r="O88" s="213">
        <v>36.700000000000003</v>
      </c>
      <c r="P88" s="214"/>
      <c r="Q88" s="214"/>
      <c r="R88" s="215">
        <f t="shared" si="6"/>
        <v>36.700000000000003</v>
      </c>
      <c r="S88" s="171">
        <v>4</v>
      </c>
      <c r="T88" s="285"/>
      <c r="U88" s="283"/>
      <c r="V88" s="178" t="s">
        <v>452</v>
      </c>
      <c r="W88" s="171" t="s">
        <v>74</v>
      </c>
      <c r="X88" s="171" t="s">
        <v>11</v>
      </c>
      <c r="Y88" s="179">
        <v>36.700000000000003</v>
      </c>
      <c r="AD88" s="178"/>
      <c r="AG88" s="179"/>
      <c r="AL88" s="178"/>
      <c r="AO88" s="179"/>
      <c r="AP88" s="178"/>
      <c r="AS88" s="179"/>
      <c r="AW88" s="179"/>
      <c r="BA88" s="180"/>
    </row>
    <row r="89" spans="1:53" s="29" customFormat="1" x14ac:dyDescent="0.15">
      <c r="A89" s="29">
        <v>1999</v>
      </c>
      <c r="B89" s="295">
        <v>36503</v>
      </c>
      <c r="C89" s="411" t="s">
        <v>646</v>
      </c>
      <c r="D89" s="411"/>
      <c r="E89" s="29">
        <f>365-E88</f>
        <v>23</v>
      </c>
      <c r="F89" s="29">
        <v>1</v>
      </c>
      <c r="G89" s="66">
        <v>0</v>
      </c>
      <c r="H89" s="29">
        <v>0</v>
      </c>
      <c r="I89" s="29">
        <v>20</v>
      </c>
      <c r="J89" s="73">
        <v>20</v>
      </c>
      <c r="K89" s="47">
        <f t="shared" si="4"/>
        <v>0</v>
      </c>
      <c r="L89" s="47">
        <f t="shared" si="4"/>
        <v>0</v>
      </c>
      <c r="M89" s="47">
        <f t="shared" si="4"/>
        <v>100</v>
      </c>
      <c r="N89" s="68">
        <f t="shared" si="5"/>
        <v>100</v>
      </c>
      <c r="O89" s="46"/>
      <c r="P89" s="47"/>
      <c r="Q89" s="47">
        <v>49.1</v>
      </c>
      <c r="R89" s="48">
        <f t="shared" si="6"/>
        <v>49.1</v>
      </c>
      <c r="S89" s="29">
        <v>5</v>
      </c>
      <c r="T89" s="286">
        <v>36491</v>
      </c>
      <c r="U89" s="295">
        <v>36503</v>
      </c>
      <c r="V89" s="38" t="s">
        <v>451</v>
      </c>
      <c r="W89" s="29" t="s">
        <v>20</v>
      </c>
      <c r="X89" s="29" t="s">
        <v>12</v>
      </c>
      <c r="Y89" s="39">
        <v>40.799999999999997</v>
      </c>
      <c r="Z89" s="29" t="s">
        <v>563</v>
      </c>
      <c r="AA89" s="29" t="s">
        <v>96</v>
      </c>
      <c r="AB89" s="29" t="s">
        <v>12</v>
      </c>
      <c r="AC89" s="29">
        <v>8.3000000000000007</v>
      </c>
      <c r="AD89" s="38"/>
      <c r="AG89" s="39"/>
      <c r="AL89" s="38"/>
      <c r="AO89" s="39"/>
      <c r="AP89" s="38"/>
      <c r="AS89" s="39"/>
      <c r="AW89" s="39"/>
      <c r="BA89" s="40"/>
    </row>
    <row r="90" spans="1:53" s="29" customFormat="1" x14ac:dyDescent="0.15">
      <c r="A90" s="29">
        <v>2000</v>
      </c>
      <c r="B90" s="295"/>
      <c r="C90" s="411" t="s">
        <v>646</v>
      </c>
      <c r="D90" s="411"/>
      <c r="E90" s="29">
        <v>0</v>
      </c>
      <c r="G90" s="66">
        <v>0</v>
      </c>
      <c r="H90" s="29">
        <v>0</v>
      </c>
      <c r="I90" s="29">
        <v>20</v>
      </c>
      <c r="J90" s="73">
        <v>20</v>
      </c>
      <c r="K90" s="47">
        <f t="shared" si="4"/>
        <v>0</v>
      </c>
      <c r="L90" s="47">
        <f t="shared" si="4"/>
        <v>0</v>
      </c>
      <c r="M90" s="47">
        <f t="shared" si="4"/>
        <v>100</v>
      </c>
      <c r="N90" s="68">
        <f t="shared" si="5"/>
        <v>100</v>
      </c>
      <c r="O90" s="46"/>
      <c r="P90" s="47"/>
      <c r="Q90" s="47">
        <v>49.1</v>
      </c>
      <c r="R90" s="48">
        <f t="shared" si="6"/>
        <v>49.1</v>
      </c>
      <c r="S90" s="29">
        <v>5</v>
      </c>
      <c r="T90" s="286"/>
      <c r="U90" s="295"/>
      <c r="V90" s="38" t="s">
        <v>451</v>
      </c>
      <c r="W90" s="29" t="s">
        <v>20</v>
      </c>
      <c r="X90" s="29" t="s">
        <v>12</v>
      </c>
      <c r="Y90" s="39">
        <v>40.799999999999997</v>
      </c>
      <c r="Z90" s="29" t="s">
        <v>563</v>
      </c>
      <c r="AA90" s="29" t="s">
        <v>96</v>
      </c>
      <c r="AB90" s="29" t="s">
        <v>12</v>
      </c>
      <c r="AC90" s="29">
        <v>8.3000000000000007</v>
      </c>
      <c r="AD90" s="38"/>
      <c r="AG90" s="39"/>
      <c r="AL90" s="38"/>
      <c r="AO90" s="39"/>
      <c r="AP90" s="38"/>
      <c r="AS90" s="39"/>
      <c r="AW90" s="39"/>
      <c r="BA90" s="40"/>
    </row>
    <row r="91" spans="1:53" s="29" customFormat="1" x14ac:dyDescent="0.15">
      <c r="A91" s="29">
        <v>2000</v>
      </c>
      <c r="B91" s="295"/>
      <c r="C91" s="411" t="s">
        <v>646</v>
      </c>
      <c r="D91" s="411"/>
      <c r="E91" s="29">
        <v>366</v>
      </c>
      <c r="G91" s="66">
        <v>0</v>
      </c>
      <c r="H91" s="29">
        <v>0</v>
      </c>
      <c r="I91" s="29">
        <v>20</v>
      </c>
      <c r="J91" s="73">
        <v>20</v>
      </c>
      <c r="K91" s="47">
        <f t="shared" si="4"/>
        <v>0</v>
      </c>
      <c r="L91" s="47">
        <f t="shared" si="4"/>
        <v>0</v>
      </c>
      <c r="M91" s="47">
        <f t="shared" si="4"/>
        <v>100</v>
      </c>
      <c r="N91" s="68">
        <f t="shared" si="5"/>
        <v>100</v>
      </c>
      <c r="O91" s="46"/>
      <c r="P91" s="47"/>
      <c r="Q91" s="47">
        <v>49.1</v>
      </c>
      <c r="R91" s="48">
        <f t="shared" si="6"/>
        <v>49.1</v>
      </c>
      <c r="S91" s="29">
        <v>5</v>
      </c>
      <c r="T91" s="286"/>
      <c r="U91" s="295"/>
      <c r="V91" s="38" t="s">
        <v>451</v>
      </c>
      <c r="W91" s="29" t="s">
        <v>20</v>
      </c>
      <c r="X91" s="29" t="s">
        <v>12</v>
      </c>
      <c r="Y91" s="39">
        <v>40.799999999999997</v>
      </c>
      <c r="Z91" s="29" t="s">
        <v>563</v>
      </c>
      <c r="AA91" s="29" t="s">
        <v>96</v>
      </c>
      <c r="AB91" s="29" t="s">
        <v>12</v>
      </c>
      <c r="AC91" s="29">
        <v>8.3000000000000007</v>
      </c>
      <c r="AD91" s="38"/>
      <c r="AG91" s="39"/>
      <c r="AL91" s="38"/>
      <c r="AO91" s="39"/>
      <c r="AP91" s="38"/>
      <c r="AS91" s="39"/>
      <c r="AW91" s="39"/>
      <c r="BA91" s="40"/>
    </row>
    <row r="92" spans="1:53" s="29" customFormat="1" x14ac:dyDescent="0.15">
      <c r="A92" s="29">
        <v>2001</v>
      </c>
      <c r="B92" s="295"/>
      <c r="C92" s="411" t="s">
        <v>646</v>
      </c>
      <c r="D92" s="411"/>
      <c r="E92" s="29">
        <v>0</v>
      </c>
      <c r="G92" s="66">
        <v>0</v>
      </c>
      <c r="H92" s="29">
        <v>0</v>
      </c>
      <c r="I92" s="29">
        <v>20</v>
      </c>
      <c r="J92" s="73">
        <v>20</v>
      </c>
      <c r="K92" s="47">
        <f t="shared" si="4"/>
        <v>0</v>
      </c>
      <c r="L92" s="47">
        <f t="shared" si="4"/>
        <v>0</v>
      </c>
      <c r="M92" s="47">
        <f t="shared" si="4"/>
        <v>100</v>
      </c>
      <c r="N92" s="68">
        <f t="shared" si="5"/>
        <v>100</v>
      </c>
      <c r="O92" s="46"/>
      <c r="P92" s="47"/>
      <c r="Q92" s="47">
        <v>49.1</v>
      </c>
      <c r="R92" s="48">
        <f t="shared" si="6"/>
        <v>49.1</v>
      </c>
      <c r="S92" s="29">
        <v>5</v>
      </c>
      <c r="T92" s="286"/>
      <c r="U92" s="295"/>
      <c r="V92" s="38" t="s">
        <v>451</v>
      </c>
      <c r="W92" s="29" t="s">
        <v>20</v>
      </c>
      <c r="X92" s="29" t="s">
        <v>12</v>
      </c>
      <c r="Y92" s="39">
        <v>40.799999999999997</v>
      </c>
      <c r="Z92" s="29" t="s">
        <v>563</v>
      </c>
      <c r="AA92" s="29" t="s">
        <v>96</v>
      </c>
      <c r="AB92" s="29" t="s">
        <v>12</v>
      </c>
      <c r="AC92" s="29">
        <v>8.3000000000000007</v>
      </c>
      <c r="AD92" s="38"/>
      <c r="AG92" s="39"/>
      <c r="AL92" s="38"/>
      <c r="AO92" s="39"/>
      <c r="AP92" s="38"/>
      <c r="AS92" s="39"/>
      <c r="AW92" s="39"/>
      <c r="BA92" s="40"/>
    </row>
    <row r="93" spans="1:53" s="29" customFormat="1" x14ac:dyDescent="0.15">
      <c r="A93" s="29">
        <v>2001</v>
      </c>
      <c r="B93" s="295"/>
      <c r="C93" s="411" t="s">
        <v>646</v>
      </c>
      <c r="D93" s="411"/>
      <c r="E93" s="29">
        <f>365-E92</f>
        <v>365</v>
      </c>
      <c r="G93" s="66">
        <v>0</v>
      </c>
      <c r="H93" s="29">
        <v>0</v>
      </c>
      <c r="I93" s="29">
        <v>20</v>
      </c>
      <c r="J93" s="73">
        <v>20</v>
      </c>
      <c r="K93" s="47">
        <f t="shared" si="4"/>
        <v>0</v>
      </c>
      <c r="L93" s="47">
        <f t="shared" si="4"/>
        <v>0</v>
      </c>
      <c r="M93" s="47">
        <f t="shared" si="4"/>
        <v>100</v>
      </c>
      <c r="N93" s="68">
        <f t="shared" si="5"/>
        <v>100</v>
      </c>
      <c r="O93" s="46"/>
      <c r="P93" s="47"/>
      <c r="Q93" s="47">
        <v>49.1</v>
      </c>
      <c r="R93" s="48">
        <f t="shared" si="6"/>
        <v>49.1</v>
      </c>
      <c r="S93" s="29">
        <v>5</v>
      </c>
      <c r="T93" s="286"/>
      <c r="U93" s="295"/>
      <c r="V93" s="38" t="s">
        <v>451</v>
      </c>
      <c r="W93" s="29" t="s">
        <v>20</v>
      </c>
      <c r="X93" s="29" t="s">
        <v>12</v>
      </c>
      <c r="Y93" s="39">
        <v>40.799999999999997</v>
      </c>
      <c r="Z93" s="29" t="s">
        <v>563</v>
      </c>
      <c r="AA93" s="29" t="s">
        <v>96</v>
      </c>
      <c r="AB93" s="29" t="s">
        <v>12</v>
      </c>
      <c r="AC93" s="29">
        <v>8.3000000000000007</v>
      </c>
      <c r="AD93" s="38"/>
      <c r="AG93" s="39"/>
      <c r="AL93" s="38"/>
      <c r="AO93" s="39"/>
      <c r="AP93" s="38"/>
      <c r="AS93" s="39"/>
      <c r="AW93" s="39"/>
      <c r="BA93" s="40"/>
    </row>
    <row r="94" spans="1:53" s="29" customFormat="1" x14ac:dyDescent="0.15">
      <c r="A94" s="29">
        <v>2002</v>
      </c>
      <c r="B94" s="295"/>
      <c r="C94" s="411" t="s">
        <v>646</v>
      </c>
      <c r="D94" s="411"/>
      <c r="E94" s="29">
        <v>226</v>
      </c>
      <c r="G94" s="66">
        <v>0</v>
      </c>
      <c r="H94" s="29">
        <v>0</v>
      </c>
      <c r="I94" s="29">
        <v>20</v>
      </c>
      <c r="J94" s="73">
        <v>20</v>
      </c>
      <c r="K94" s="47">
        <f t="shared" si="4"/>
        <v>0</v>
      </c>
      <c r="L94" s="47">
        <f t="shared" si="4"/>
        <v>0</v>
      </c>
      <c r="M94" s="47">
        <f t="shared" si="4"/>
        <v>100</v>
      </c>
      <c r="N94" s="68">
        <f t="shared" si="5"/>
        <v>100</v>
      </c>
      <c r="O94" s="46"/>
      <c r="P94" s="47"/>
      <c r="Q94" s="47">
        <v>49.1</v>
      </c>
      <c r="R94" s="48">
        <f t="shared" si="6"/>
        <v>49.1</v>
      </c>
      <c r="S94" s="29">
        <v>5</v>
      </c>
      <c r="T94" s="286"/>
      <c r="U94" s="295"/>
      <c r="V94" s="38" t="s">
        <v>451</v>
      </c>
      <c r="W94" s="29" t="s">
        <v>20</v>
      </c>
      <c r="X94" s="29" t="s">
        <v>12</v>
      </c>
      <c r="Y94" s="39">
        <v>40.799999999999997</v>
      </c>
      <c r="Z94" s="29" t="s">
        <v>563</v>
      </c>
      <c r="AA94" s="29" t="s">
        <v>96</v>
      </c>
      <c r="AB94" s="29" t="s">
        <v>12</v>
      </c>
      <c r="AC94" s="29">
        <v>8.3000000000000007</v>
      </c>
      <c r="AD94" s="38"/>
      <c r="AG94" s="39"/>
      <c r="AL94" s="38"/>
      <c r="AO94" s="39"/>
      <c r="AP94" s="38"/>
      <c r="AS94" s="39"/>
      <c r="AW94" s="39"/>
      <c r="BA94" s="40"/>
    </row>
    <row r="95" spans="1:53" s="171" customFormat="1" x14ac:dyDescent="0.15">
      <c r="A95" s="171">
        <v>2002</v>
      </c>
      <c r="B95" s="283">
        <v>37483</v>
      </c>
      <c r="C95" s="410" t="s">
        <v>647</v>
      </c>
      <c r="D95" s="410"/>
      <c r="E95" s="171">
        <f>365-E94</f>
        <v>139</v>
      </c>
      <c r="F95" s="171">
        <v>1</v>
      </c>
      <c r="G95" s="233">
        <v>0</v>
      </c>
      <c r="H95" s="171">
        <v>0</v>
      </c>
      <c r="I95" s="171">
        <v>20</v>
      </c>
      <c r="J95" s="241">
        <v>20</v>
      </c>
      <c r="K95" s="214">
        <f t="shared" si="4"/>
        <v>0</v>
      </c>
      <c r="L95" s="214">
        <f t="shared" si="4"/>
        <v>0</v>
      </c>
      <c r="M95" s="214">
        <f t="shared" si="4"/>
        <v>100</v>
      </c>
      <c r="N95" s="235">
        <f t="shared" si="5"/>
        <v>100</v>
      </c>
      <c r="O95" s="213"/>
      <c r="P95" s="214"/>
      <c r="Q95" s="214">
        <v>45</v>
      </c>
      <c r="R95" s="215">
        <f t="shared" si="6"/>
        <v>45</v>
      </c>
      <c r="S95" s="171">
        <v>5</v>
      </c>
      <c r="T95" s="285">
        <v>37464</v>
      </c>
      <c r="U95" s="283">
        <v>37483</v>
      </c>
      <c r="V95" s="178" t="s">
        <v>451</v>
      </c>
      <c r="W95" s="171" t="s">
        <v>20</v>
      </c>
      <c r="X95" s="171" t="s">
        <v>12</v>
      </c>
      <c r="Y95" s="179">
        <v>43.3</v>
      </c>
      <c r="Z95" s="171" t="s">
        <v>100</v>
      </c>
      <c r="AA95" s="171" t="s">
        <v>327</v>
      </c>
      <c r="AB95" s="171" t="s">
        <v>12</v>
      </c>
      <c r="AC95" s="171">
        <v>1.7</v>
      </c>
      <c r="AD95" s="178"/>
      <c r="AG95" s="179"/>
      <c r="AL95" s="178"/>
      <c r="AO95" s="179"/>
      <c r="AP95" s="178"/>
      <c r="AS95" s="179"/>
      <c r="AW95" s="179"/>
      <c r="BA95" s="180"/>
    </row>
    <row r="96" spans="1:53" s="171" customFormat="1" x14ac:dyDescent="0.15">
      <c r="A96" s="171">
        <v>2003</v>
      </c>
      <c r="B96" s="283"/>
      <c r="C96" s="410" t="s">
        <v>647</v>
      </c>
      <c r="D96" s="410"/>
      <c r="E96" s="171">
        <v>0</v>
      </c>
      <c r="G96" s="233">
        <v>0</v>
      </c>
      <c r="H96" s="171">
        <v>0</v>
      </c>
      <c r="I96" s="171">
        <v>20</v>
      </c>
      <c r="J96" s="241">
        <v>20</v>
      </c>
      <c r="K96" s="214">
        <f t="shared" si="4"/>
        <v>0</v>
      </c>
      <c r="L96" s="214">
        <f t="shared" si="4"/>
        <v>0</v>
      </c>
      <c r="M96" s="214">
        <f t="shared" si="4"/>
        <v>100</v>
      </c>
      <c r="N96" s="235">
        <f t="shared" si="5"/>
        <v>100</v>
      </c>
      <c r="O96" s="213"/>
      <c r="P96" s="214"/>
      <c r="Q96" s="214">
        <v>45</v>
      </c>
      <c r="R96" s="215">
        <f t="shared" si="6"/>
        <v>45</v>
      </c>
      <c r="S96" s="171">
        <v>5</v>
      </c>
      <c r="T96" s="285"/>
      <c r="U96" s="283"/>
      <c r="V96" s="178" t="s">
        <v>451</v>
      </c>
      <c r="W96" s="171" t="s">
        <v>20</v>
      </c>
      <c r="X96" s="171" t="s">
        <v>12</v>
      </c>
      <c r="Y96" s="179">
        <v>43.3</v>
      </c>
      <c r="Z96" s="171" t="s">
        <v>100</v>
      </c>
      <c r="AA96" s="171" t="s">
        <v>327</v>
      </c>
      <c r="AB96" s="171" t="s">
        <v>12</v>
      </c>
      <c r="AC96" s="171">
        <v>1.7</v>
      </c>
      <c r="AD96" s="178"/>
      <c r="AG96" s="179"/>
      <c r="AL96" s="178"/>
      <c r="AO96" s="179"/>
      <c r="AP96" s="178"/>
      <c r="AS96" s="179"/>
      <c r="AW96" s="179"/>
      <c r="BA96" s="180"/>
    </row>
    <row r="97" spans="1:53" s="171" customFormat="1" x14ac:dyDescent="0.15">
      <c r="A97" s="171">
        <v>2003</v>
      </c>
      <c r="B97" s="283"/>
      <c r="C97" s="410" t="s">
        <v>647</v>
      </c>
      <c r="D97" s="410"/>
      <c r="E97" s="171">
        <f>365-E96</f>
        <v>365</v>
      </c>
      <c r="G97" s="233">
        <v>0</v>
      </c>
      <c r="H97" s="171">
        <v>0</v>
      </c>
      <c r="I97" s="171">
        <v>20</v>
      </c>
      <c r="J97" s="241">
        <v>20</v>
      </c>
      <c r="K97" s="214">
        <f t="shared" si="4"/>
        <v>0</v>
      </c>
      <c r="L97" s="214">
        <f t="shared" si="4"/>
        <v>0</v>
      </c>
      <c r="M97" s="214">
        <f t="shared" si="4"/>
        <v>100</v>
      </c>
      <c r="N97" s="235">
        <f t="shared" si="5"/>
        <v>100</v>
      </c>
      <c r="O97" s="213"/>
      <c r="P97" s="214"/>
      <c r="Q97" s="214">
        <v>45</v>
      </c>
      <c r="R97" s="215">
        <f t="shared" si="6"/>
        <v>45</v>
      </c>
      <c r="S97" s="171">
        <v>5</v>
      </c>
      <c r="T97" s="285"/>
      <c r="U97" s="283"/>
      <c r="V97" s="178" t="s">
        <v>451</v>
      </c>
      <c r="W97" s="171" t="s">
        <v>20</v>
      </c>
      <c r="X97" s="171" t="s">
        <v>12</v>
      </c>
      <c r="Y97" s="179">
        <v>43.3</v>
      </c>
      <c r="Z97" s="171" t="s">
        <v>100</v>
      </c>
      <c r="AA97" s="171" t="s">
        <v>327</v>
      </c>
      <c r="AB97" s="171" t="s">
        <v>12</v>
      </c>
      <c r="AC97" s="171">
        <v>1.7</v>
      </c>
      <c r="AD97" s="178"/>
      <c r="AG97" s="179"/>
      <c r="AL97" s="178"/>
      <c r="AO97" s="179"/>
      <c r="AP97" s="178"/>
      <c r="AS97" s="179"/>
      <c r="AW97" s="179"/>
      <c r="BA97" s="180"/>
    </row>
    <row r="98" spans="1:53" s="171" customFormat="1" x14ac:dyDescent="0.15">
      <c r="A98" s="171">
        <v>2004</v>
      </c>
      <c r="B98" s="283"/>
      <c r="C98" s="410" t="s">
        <v>647</v>
      </c>
      <c r="D98" s="410"/>
      <c r="E98" s="171">
        <v>355</v>
      </c>
      <c r="G98" s="233">
        <v>0</v>
      </c>
      <c r="H98" s="171">
        <v>0</v>
      </c>
      <c r="I98" s="171">
        <v>20</v>
      </c>
      <c r="J98" s="241">
        <v>20</v>
      </c>
      <c r="K98" s="214">
        <f t="shared" si="4"/>
        <v>0</v>
      </c>
      <c r="L98" s="214">
        <f t="shared" si="4"/>
        <v>0</v>
      </c>
      <c r="M98" s="214">
        <f t="shared" si="4"/>
        <v>100</v>
      </c>
      <c r="N98" s="235">
        <f t="shared" si="5"/>
        <v>100</v>
      </c>
      <c r="O98" s="213"/>
      <c r="P98" s="214"/>
      <c r="Q98" s="214">
        <v>45</v>
      </c>
      <c r="R98" s="215">
        <f t="shared" si="6"/>
        <v>45</v>
      </c>
      <c r="S98" s="171">
        <v>5</v>
      </c>
      <c r="T98" s="285"/>
      <c r="U98" s="283"/>
      <c r="V98" s="178" t="s">
        <v>451</v>
      </c>
      <c r="W98" s="171" t="s">
        <v>20</v>
      </c>
      <c r="X98" s="171" t="s">
        <v>12</v>
      </c>
      <c r="Y98" s="179">
        <v>43.3</v>
      </c>
      <c r="Z98" s="171" t="s">
        <v>100</v>
      </c>
      <c r="AA98" s="171" t="s">
        <v>327</v>
      </c>
      <c r="AB98" s="171" t="s">
        <v>12</v>
      </c>
      <c r="AC98" s="171">
        <v>1.7</v>
      </c>
      <c r="AD98" s="178"/>
      <c r="AG98" s="179"/>
      <c r="AL98" s="178"/>
      <c r="AO98" s="179"/>
      <c r="AP98" s="178"/>
      <c r="AS98" s="179"/>
      <c r="AW98" s="179"/>
      <c r="BA98" s="180"/>
    </row>
    <row r="99" spans="1:53" s="171" customFormat="1" x14ac:dyDescent="0.15">
      <c r="A99" s="171">
        <v>2004</v>
      </c>
      <c r="B99" s="305">
        <v>38342</v>
      </c>
      <c r="C99" s="410" t="s">
        <v>647</v>
      </c>
      <c r="D99" s="410"/>
      <c r="E99" s="171">
        <f>366-E98</f>
        <v>11</v>
      </c>
      <c r="F99" s="244">
        <v>0</v>
      </c>
      <c r="G99" s="233">
        <v>0</v>
      </c>
      <c r="H99" s="171">
        <v>0</v>
      </c>
      <c r="I99" s="171">
        <v>19</v>
      </c>
      <c r="J99" s="241">
        <v>19</v>
      </c>
      <c r="K99" s="214">
        <f t="shared" si="4"/>
        <v>0</v>
      </c>
      <c r="L99" s="214">
        <f t="shared" si="4"/>
        <v>0</v>
      </c>
      <c r="M99" s="214">
        <f t="shared" si="4"/>
        <v>100</v>
      </c>
      <c r="N99" s="235">
        <f t="shared" si="5"/>
        <v>100</v>
      </c>
      <c r="O99" s="213"/>
      <c r="P99" s="214"/>
      <c r="Q99" s="214">
        <v>45</v>
      </c>
      <c r="R99" s="215">
        <f t="shared" si="6"/>
        <v>45</v>
      </c>
      <c r="S99" s="171">
        <v>5</v>
      </c>
      <c r="T99" s="285"/>
      <c r="U99" s="283"/>
      <c r="V99" s="178" t="s">
        <v>451</v>
      </c>
      <c r="W99" s="171" t="s">
        <v>20</v>
      </c>
      <c r="X99" s="171" t="s">
        <v>12</v>
      </c>
      <c r="Y99" s="179">
        <v>43.3</v>
      </c>
      <c r="Z99" s="171" t="s">
        <v>100</v>
      </c>
      <c r="AA99" s="171" t="s">
        <v>327</v>
      </c>
      <c r="AB99" s="171" t="s">
        <v>12</v>
      </c>
      <c r="AC99" s="171">
        <v>1.7</v>
      </c>
      <c r="AD99" s="178"/>
      <c r="AG99" s="179"/>
      <c r="AL99" s="178"/>
      <c r="AO99" s="179"/>
      <c r="AP99" s="178"/>
      <c r="AS99" s="179"/>
      <c r="AW99" s="179"/>
      <c r="BA99" s="180"/>
    </row>
    <row r="100" spans="1:53" s="171" customFormat="1" x14ac:dyDescent="0.15">
      <c r="A100" s="171">
        <v>2005</v>
      </c>
      <c r="B100" s="283"/>
      <c r="C100" s="410" t="s">
        <v>647</v>
      </c>
      <c r="D100" s="410"/>
      <c r="E100" s="171">
        <v>58</v>
      </c>
      <c r="G100" s="233">
        <v>0</v>
      </c>
      <c r="H100" s="171">
        <v>0</v>
      </c>
      <c r="I100" s="171">
        <v>19</v>
      </c>
      <c r="J100" s="241">
        <v>19</v>
      </c>
      <c r="K100" s="214">
        <f t="shared" si="4"/>
        <v>0</v>
      </c>
      <c r="L100" s="214">
        <f t="shared" si="4"/>
        <v>0</v>
      </c>
      <c r="M100" s="214">
        <f t="shared" si="4"/>
        <v>100</v>
      </c>
      <c r="N100" s="235">
        <f t="shared" si="5"/>
        <v>100</v>
      </c>
      <c r="O100" s="213"/>
      <c r="P100" s="214"/>
      <c r="Q100" s="214">
        <v>45</v>
      </c>
      <c r="R100" s="215">
        <f t="shared" si="6"/>
        <v>45</v>
      </c>
      <c r="S100" s="171">
        <v>5</v>
      </c>
      <c r="T100" s="285"/>
      <c r="U100" s="283"/>
      <c r="V100" s="178" t="s">
        <v>451</v>
      </c>
      <c r="W100" s="171" t="s">
        <v>20</v>
      </c>
      <c r="X100" s="171" t="s">
        <v>12</v>
      </c>
      <c r="Y100" s="179">
        <v>43.3</v>
      </c>
      <c r="Z100" s="171" t="s">
        <v>100</v>
      </c>
      <c r="AA100" s="171" t="s">
        <v>327</v>
      </c>
      <c r="AB100" s="171" t="s">
        <v>12</v>
      </c>
      <c r="AC100" s="171">
        <v>1.7</v>
      </c>
      <c r="AD100" s="178"/>
      <c r="AG100" s="179"/>
      <c r="AL100" s="178"/>
      <c r="AO100" s="179"/>
      <c r="AP100" s="178"/>
      <c r="AS100" s="179"/>
      <c r="AW100" s="179"/>
      <c r="BA100" s="180"/>
    </row>
    <row r="101" spans="1:53" s="171" customFormat="1" x14ac:dyDescent="0.15">
      <c r="A101" s="171">
        <v>2005</v>
      </c>
      <c r="B101" s="305">
        <v>38411</v>
      </c>
      <c r="C101" s="410" t="s">
        <v>647</v>
      </c>
      <c r="D101" s="410"/>
      <c r="E101" s="171">
        <v>233</v>
      </c>
      <c r="F101" s="244">
        <v>0</v>
      </c>
      <c r="G101" s="233">
        <v>0</v>
      </c>
      <c r="H101" s="171">
        <v>0</v>
      </c>
      <c r="I101" s="171">
        <v>18</v>
      </c>
      <c r="J101" s="241">
        <v>18</v>
      </c>
      <c r="K101" s="214">
        <f t="shared" si="4"/>
        <v>0</v>
      </c>
      <c r="L101" s="214">
        <f t="shared" si="4"/>
        <v>0</v>
      </c>
      <c r="M101" s="214">
        <f t="shared" si="4"/>
        <v>100</v>
      </c>
      <c r="N101" s="235">
        <f t="shared" si="5"/>
        <v>100</v>
      </c>
      <c r="O101" s="213"/>
      <c r="P101" s="214"/>
      <c r="Q101" s="214">
        <v>42.1</v>
      </c>
      <c r="R101" s="215">
        <f t="shared" si="6"/>
        <v>42.1</v>
      </c>
      <c r="S101" s="171">
        <v>5</v>
      </c>
      <c r="T101" s="285"/>
      <c r="U101" s="283"/>
      <c r="V101" s="178" t="s">
        <v>451</v>
      </c>
      <c r="W101" s="171" t="s">
        <v>20</v>
      </c>
      <c r="X101" s="171" t="s">
        <v>12</v>
      </c>
      <c r="Y101" s="179">
        <v>43.3</v>
      </c>
      <c r="Z101" s="171" t="s">
        <v>100</v>
      </c>
      <c r="AA101" s="171" t="s">
        <v>327</v>
      </c>
      <c r="AB101" s="171" t="s">
        <v>12</v>
      </c>
      <c r="AC101" s="171">
        <v>1.7</v>
      </c>
      <c r="AD101" s="178"/>
      <c r="AG101" s="179"/>
      <c r="AL101" s="178"/>
      <c r="AO101" s="179"/>
      <c r="AP101" s="178"/>
      <c r="AS101" s="179"/>
      <c r="AW101" s="179"/>
      <c r="BA101" s="180"/>
    </row>
    <row r="102" spans="1:53" s="29" customFormat="1" x14ac:dyDescent="0.15">
      <c r="A102" s="29">
        <v>2005</v>
      </c>
      <c r="B102" s="295">
        <v>38644</v>
      </c>
      <c r="C102" s="411" t="s">
        <v>648</v>
      </c>
      <c r="D102" s="411"/>
      <c r="E102" s="29">
        <f>365-E101-E100</f>
        <v>74</v>
      </c>
      <c r="F102" s="29">
        <v>1</v>
      </c>
      <c r="G102" s="66">
        <v>0</v>
      </c>
      <c r="H102" s="29">
        <v>0</v>
      </c>
      <c r="I102" s="29">
        <v>21</v>
      </c>
      <c r="J102" s="73">
        <v>21</v>
      </c>
      <c r="K102" s="47">
        <f t="shared" si="4"/>
        <v>0</v>
      </c>
      <c r="L102" s="47">
        <f t="shared" si="4"/>
        <v>0</v>
      </c>
      <c r="M102" s="47">
        <f t="shared" si="4"/>
        <v>100</v>
      </c>
      <c r="N102" s="68">
        <f t="shared" si="5"/>
        <v>100</v>
      </c>
      <c r="O102" s="46"/>
      <c r="P102" s="47"/>
      <c r="Q102" s="47">
        <v>42.1</v>
      </c>
      <c r="R102" s="48">
        <f t="shared" si="6"/>
        <v>42.1</v>
      </c>
      <c r="S102" s="29">
        <v>5</v>
      </c>
      <c r="T102" s="286">
        <v>38612</v>
      </c>
      <c r="U102" s="295">
        <v>38644</v>
      </c>
      <c r="V102" s="38" t="s">
        <v>451</v>
      </c>
      <c r="W102" s="29" t="s">
        <v>20</v>
      </c>
      <c r="X102" s="29" t="s">
        <v>12</v>
      </c>
      <c r="Y102" s="39">
        <v>41.3</v>
      </c>
      <c r="Z102" s="29" t="s">
        <v>100</v>
      </c>
      <c r="AA102" s="29" t="s">
        <v>327</v>
      </c>
      <c r="AB102" s="29" t="s">
        <v>12</v>
      </c>
      <c r="AC102" s="29">
        <v>0.8</v>
      </c>
      <c r="AD102" s="38"/>
      <c r="AG102" s="39"/>
      <c r="AL102" s="38"/>
      <c r="AO102" s="39"/>
      <c r="AP102" s="38"/>
      <c r="AS102" s="39"/>
      <c r="AW102" s="39"/>
      <c r="BA102" s="40"/>
    </row>
    <row r="103" spans="1:53" s="29" customFormat="1" x14ac:dyDescent="0.15">
      <c r="A103" s="29">
        <v>2006</v>
      </c>
      <c r="B103" s="295"/>
      <c r="C103" s="411" t="s">
        <v>648</v>
      </c>
      <c r="D103" s="411"/>
      <c r="E103" s="29">
        <v>0</v>
      </c>
      <c r="G103" s="66">
        <v>0</v>
      </c>
      <c r="H103" s="29">
        <v>0</v>
      </c>
      <c r="I103" s="29">
        <v>21</v>
      </c>
      <c r="J103" s="73">
        <v>21</v>
      </c>
      <c r="K103" s="47">
        <f t="shared" si="4"/>
        <v>0</v>
      </c>
      <c r="L103" s="47">
        <f t="shared" si="4"/>
        <v>0</v>
      </c>
      <c r="M103" s="47">
        <f t="shared" si="4"/>
        <v>100</v>
      </c>
      <c r="N103" s="68">
        <f t="shared" si="5"/>
        <v>100</v>
      </c>
      <c r="O103" s="46"/>
      <c r="P103" s="47"/>
      <c r="Q103" s="47">
        <v>42.1</v>
      </c>
      <c r="R103" s="48">
        <f t="shared" si="6"/>
        <v>42.1</v>
      </c>
      <c r="S103" s="29">
        <v>5</v>
      </c>
      <c r="T103" s="286"/>
      <c r="U103" s="295"/>
      <c r="V103" s="38" t="s">
        <v>451</v>
      </c>
      <c r="W103" s="29" t="s">
        <v>20</v>
      </c>
      <c r="X103" s="29" t="s">
        <v>12</v>
      </c>
      <c r="Y103" s="39">
        <v>41.3</v>
      </c>
      <c r="Z103" s="29" t="s">
        <v>100</v>
      </c>
      <c r="AA103" s="29" t="s">
        <v>327</v>
      </c>
      <c r="AB103" s="29" t="s">
        <v>12</v>
      </c>
      <c r="AC103" s="29">
        <v>0.8</v>
      </c>
      <c r="AD103" s="38"/>
      <c r="AG103" s="39"/>
      <c r="AL103" s="38"/>
      <c r="AO103" s="39"/>
      <c r="AP103" s="38"/>
      <c r="AS103" s="39"/>
      <c r="AW103" s="39"/>
      <c r="BA103" s="40"/>
    </row>
    <row r="104" spans="1:53" s="29" customFormat="1" x14ac:dyDescent="0.15">
      <c r="A104" s="29">
        <v>2006</v>
      </c>
      <c r="B104" s="295"/>
      <c r="C104" s="411" t="s">
        <v>648</v>
      </c>
      <c r="D104" s="411"/>
      <c r="E104" s="29">
        <v>365</v>
      </c>
      <c r="G104" s="66">
        <v>0</v>
      </c>
      <c r="H104" s="29">
        <v>0</v>
      </c>
      <c r="I104" s="29">
        <v>21</v>
      </c>
      <c r="J104" s="73">
        <v>21</v>
      </c>
      <c r="K104" s="47">
        <f t="shared" si="4"/>
        <v>0</v>
      </c>
      <c r="L104" s="47">
        <f t="shared" si="4"/>
        <v>0</v>
      </c>
      <c r="M104" s="47">
        <f t="shared" si="4"/>
        <v>100</v>
      </c>
      <c r="N104" s="68">
        <f t="shared" si="5"/>
        <v>100</v>
      </c>
      <c r="O104" s="46"/>
      <c r="P104" s="47"/>
      <c r="Q104" s="47">
        <v>42.1</v>
      </c>
      <c r="R104" s="48">
        <f t="shared" si="6"/>
        <v>42.1</v>
      </c>
      <c r="S104" s="29">
        <v>5</v>
      </c>
      <c r="T104" s="286"/>
      <c r="U104" s="295"/>
      <c r="V104" s="38" t="s">
        <v>451</v>
      </c>
      <c r="W104" s="29" t="s">
        <v>20</v>
      </c>
      <c r="X104" s="29" t="s">
        <v>12</v>
      </c>
      <c r="Y104" s="39">
        <v>41.3</v>
      </c>
      <c r="Z104" s="29" t="s">
        <v>100</v>
      </c>
      <c r="AA104" s="29" t="s">
        <v>327</v>
      </c>
      <c r="AB104" s="29" t="s">
        <v>12</v>
      </c>
      <c r="AC104" s="29">
        <v>0.8</v>
      </c>
      <c r="AD104" s="38"/>
      <c r="AG104" s="39"/>
      <c r="AL104" s="38"/>
      <c r="AO104" s="39"/>
      <c r="AP104" s="38"/>
      <c r="AS104" s="39"/>
      <c r="AW104" s="39"/>
      <c r="BA104" s="40"/>
    </row>
    <row r="105" spans="1:53" s="29" customFormat="1" x14ac:dyDescent="0.15">
      <c r="A105" s="29">
        <v>2007</v>
      </c>
      <c r="B105" s="295"/>
      <c r="C105" s="411" t="s">
        <v>648</v>
      </c>
      <c r="D105" s="411"/>
      <c r="E105" s="29">
        <v>0</v>
      </c>
      <c r="G105" s="66">
        <v>0</v>
      </c>
      <c r="H105" s="29">
        <v>0</v>
      </c>
      <c r="I105" s="29">
        <v>21</v>
      </c>
      <c r="J105" s="73">
        <v>21</v>
      </c>
      <c r="K105" s="47">
        <f t="shared" si="4"/>
        <v>0</v>
      </c>
      <c r="L105" s="47">
        <f t="shared" si="4"/>
        <v>0</v>
      </c>
      <c r="M105" s="47">
        <f t="shared" si="4"/>
        <v>100</v>
      </c>
      <c r="N105" s="68">
        <f t="shared" si="5"/>
        <v>100</v>
      </c>
      <c r="O105" s="46"/>
      <c r="P105" s="47"/>
      <c r="Q105" s="47">
        <v>42.1</v>
      </c>
      <c r="R105" s="48">
        <f t="shared" si="6"/>
        <v>42.1</v>
      </c>
      <c r="S105" s="29">
        <v>5</v>
      </c>
      <c r="T105" s="286"/>
      <c r="U105" s="295"/>
      <c r="V105" s="38" t="s">
        <v>451</v>
      </c>
      <c r="W105" s="29" t="s">
        <v>20</v>
      </c>
      <c r="X105" s="29" t="s">
        <v>12</v>
      </c>
      <c r="Y105" s="39">
        <v>41.3</v>
      </c>
      <c r="Z105" s="29" t="s">
        <v>100</v>
      </c>
      <c r="AA105" s="29" t="s">
        <v>327</v>
      </c>
      <c r="AB105" s="29" t="s">
        <v>12</v>
      </c>
      <c r="AC105" s="29">
        <v>0.8</v>
      </c>
      <c r="AD105" s="38"/>
      <c r="AG105" s="39"/>
      <c r="AL105" s="38"/>
      <c r="AO105" s="39"/>
      <c r="AP105" s="38"/>
      <c r="AS105" s="39"/>
      <c r="AW105" s="39"/>
      <c r="BA105" s="40"/>
    </row>
    <row r="106" spans="1:53" s="29" customFormat="1" x14ac:dyDescent="0.15">
      <c r="A106" s="29">
        <v>2007</v>
      </c>
      <c r="B106" s="295"/>
      <c r="C106" s="411" t="s">
        <v>648</v>
      </c>
      <c r="D106" s="411"/>
      <c r="E106" s="29">
        <v>365</v>
      </c>
      <c r="G106" s="66">
        <v>0</v>
      </c>
      <c r="H106" s="29">
        <v>0</v>
      </c>
      <c r="I106" s="29">
        <v>21</v>
      </c>
      <c r="J106" s="73">
        <v>21</v>
      </c>
      <c r="K106" s="47">
        <f t="shared" si="4"/>
        <v>0</v>
      </c>
      <c r="L106" s="47">
        <f t="shared" si="4"/>
        <v>0</v>
      </c>
      <c r="M106" s="47">
        <f t="shared" si="4"/>
        <v>100</v>
      </c>
      <c r="N106" s="68">
        <f t="shared" si="5"/>
        <v>100</v>
      </c>
      <c r="O106" s="46"/>
      <c r="P106" s="47"/>
      <c r="Q106" s="47">
        <v>42.1</v>
      </c>
      <c r="R106" s="48">
        <f t="shared" si="6"/>
        <v>42.1</v>
      </c>
      <c r="S106" s="29">
        <v>5</v>
      </c>
      <c r="T106" s="286"/>
      <c r="U106" s="295"/>
      <c r="V106" s="38" t="s">
        <v>451</v>
      </c>
      <c r="W106" s="29" t="s">
        <v>20</v>
      </c>
      <c r="X106" s="29" t="s">
        <v>12</v>
      </c>
      <c r="Y106" s="39">
        <v>41.3</v>
      </c>
      <c r="Z106" s="29" t="s">
        <v>100</v>
      </c>
      <c r="AA106" s="29" t="s">
        <v>327</v>
      </c>
      <c r="AB106" s="29" t="s">
        <v>12</v>
      </c>
      <c r="AC106" s="29">
        <v>0.8</v>
      </c>
      <c r="AD106" s="38"/>
      <c r="AG106" s="39"/>
      <c r="AL106" s="38"/>
      <c r="AO106" s="39"/>
      <c r="AP106" s="38"/>
      <c r="AS106" s="39"/>
      <c r="AW106" s="39"/>
      <c r="BA106" s="40"/>
    </row>
    <row r="107" spans="1:53" s="29" customFormat="1" x14ac:dyDescent="0.15">
      <c r="A107" s="29">
        <v>2008</v>
      </c>
      <c r="B107" s="295"/>
      <c r="C107" s="411" t="s">
        <v>648</v>
      </c>
      <c r="D107" s="411"/>
      <c r="E107" s="29">
        <v>323</v>
      </c>
      <c r="G107" s="66">
        <v>0</v>
      </c>
      <c r="H107" s="29">
        <v>0</v>
      </c>
      <c r="I107" s="29">
        <v>21</v>
      </c>
      <c r="J107" s="73">
        <v>21</v>
      </c>
      <c r="K107" s="47">
        <f t="shared" si="4"/>
        <v>0</v>
      </c>
      <c r="L107" s="47">
        <f t="shared" si="4"/>
        <v>0</v>
      </c>
      <c r="M107" s="47">
        <f t="shared" si="4"/>
        <v>100</v>
      </c>
      <c r="N107" s="68">
        <f t="shared" si="5"/>
        <v>100</v>
      </c>
      <c r="O107" s="46"/>
      <c r="P107" s="47"/>
      <c r="Q107" s="47">
        <v>42.1</v>
      </c>
      <c r="R107" s="48">
        <f t="shared" si="6"/>
        <v>42.1</v>
      </c>
      <c r="S107" s="29">
        <v>5</v>
      </c>
      <c r="T107" s="286"/>
      <c r="U107" s="295"/>
      <c r="V107" s="38" t="s">
        <v>451</v>
      </c>
      <c r="W107" s="29" t="s">
        <v>20</v>
      </c>
      <c r="X107" s="29" t="s">
        <v>12</v>
      </c>
      <c r="Y107" s="39">
        <v>41.3</v>
      </c>
      <c r="Z107" s="29" t="s">
        <v>100</v>
      </c>
      <c r="AA107" s="29" t="s">
        <v>327</v>
      </c>
      <c r="AB107" s="29" t="s">
        <v>12</v>
      </c>
      <c r="AC107" s="29">
        <v>0.8</v>
      </c>
      <c r="AD107" s="38"/>
      <c r="AG107" s="39"/>
      <c r="AL107" s="38"/>
      <c r="AO107" s="39"/>
      <c r="AP107" s="38"/>
      <c r="AS107" s="39"/>
      <c r="AW107" s="39"/>
      <c r="BA107" s="40"/>
    </row>
    <row r="108" spans="1:53" s="171" customFormat="1" x14ac:dyDescent="0.15">
      <c r="A108" s="171">
        <v>2008</v>
      </c>
      <c r="B108" s="283">
        <v>39771</v>
      </c>
      <c r="C108" s="410" t="s">
        <v>649</v>
      </c>
      <c r="D108" s="410"/>
      <c r="E108" s="171">
        <f>366-E107</f>
        <v>43</v>
      </c>
      <c r="F108" s="171">
        <v>1</v>
      </c>
      <c r="G108" s="233">
        <v>20</v>
      </c>
      <c r="H108" s="171">
        <v>0</v>
      </c>
      <c r="I108" s="171">
        <v>0</v>
      </c>
      <c r="J108" s="241">
        <v>20</v>
      </c>
      <c r="K108" s="214">
        <f t="shared" si="4"/>
        <v>100</v>
      </c>
      <c r="L108" s="214">
        <f t="shared" si="4"/>
        <v>0</v>
      </c>
      <c r="M108" s="214">
        <f t="shared" si="4"/>
        <v>0</v>
      </c>
      <c r="N108" s="235">
        <f t="shared" si="5"/>
        <v>100</v>
      </c>
      <c r="O108" s="213">
        <v>47.5</v>
      </c>
      <c r="P108" s="214"/>
      <c r="Q108" s="214"/>
      <c r="R108" s="215">
        <f t="shared" si="6"/>
        <v>47.5</v>
      </c>
      <c r="S108" s="171">
        <v>4</v>
      </c>
      <c r="T108" s="285">
        <v>39760</v>
      </c>
      <c r="U108" s="283">
        <v>39771</v>
      </c>
      <c r="V108" s="178" t="s">
        <v>452</v>
      </c>
      <c r="W108" s="171" t="s">
        <v>74</v>
      </c>
      <c r="X108" s="171" t="s">
        <v>11</v>
      </c>
      <c r="Y108" s="179">
        <v>47.5</v>
      </c>
      <c r="AD108" s="178"/>
      <c r="AG108" s="179"/>
      <c r="AL108" s="178"/>
      <c r="AO108" s="179"/>
      <c r="AP108" s="178"/>
      <c r="AS108" s="179"/>
      <c r="AW108" s="179"/>
      <c r="BA108" s="180"/>
    </row>
    <row r="109" spans="1:53" s="171" customFormat="1" x14ac:dyDescent="0.15">
      <c r="A109" s="171">
        <v>2009</v>
      </c>
      <c r="B109" s="283"/>
      <c r="C109" s="410" t="s">
        <v>649</v>
      </c>
      <c r="D109" s="410"/>
      <c r="E109" s="171">
        <v>0</v>
      </c>
      <c r="G109" s="233">
        <v>20</v>
      </c>
      <c r="H109" s="171">
        <v>0</v>
      </c>
      <c r="I109" s="171">
        <v>0</v>
      </c>
      <c r="J109" s="241">
        <v>20</v>
      </c>
      <c r="K109" s="214">
        <f t="shared" si="4"/>
        <v>100</v>
      </c>
      <c r="L109" s="214">
        <f t="shared" si="4"/>
        <v>0</v>
      </c>
      <c r="M109" s="214">
        <f t="shared" si="4"/>
        <v>0</v>
      </c>
      <c r="N109" s="235">
        <f t="shared" si="5"/>
        <v>100</v>
      </c>
      <c r="O109" s="213">
        <v>47.5</v>
      </c>
      <c r="P109" s="214"/>
      <c r="Q109" s="214"/>
      <c r="R109" s="215">
        <f t="shared" si="6"/>
        <v>47.5</v>
      </c>
      <c r="S109" s="171">
        <v>4</v>
      </c>
      <c r="T109" s="285"/>
      <c r="U109" s="283"/>
      <c r="V109" s="178" t="s">
        <v>452</v>
      </c>
      <c r="W109" s="171" t="s">
        <v>74</v>
      </c>
      <c r="X109" s="171" t="s">
        <v>11</v>
      </c>
      <c r="Y109" s="179">
        <v>47.5</v>
      </c>
      <c r="AD109" s="178"/>
      <c r="AG109" s="179"/>
      <c r="AL109" s="178"/>
      <c r="AO109" s="179"/>
      <c r="AP109" s="178"/>
      <c r="AS109" s="179"/>
      <c r="AW109" s="179"/>
      <c r="BA109" s="180"/>
    </row>
    <row r="110" spans="1:53" s="171" customFormat="1" x14ac:dyDescent="0.15">
      <c r="A110" s="171">
        <v>2009</v>
      </c>
      <c r="B110" s="283"/>
      <c r="C110" s="410" t="s">
        <v>649</v>
      </c>
      <c r="D110" s="410"/>
      <c r="E110" s="171">
        <v>365</v>
      </c>
      <c r="G110" s="233">
        <v>20</v>
      </c>
      <c r="H110" s="171">
        <v>0</v>
      </c>
      <c r="I110" s="171">
        <v>0</v>
      </c>
      <c r="J110" s="241">
        <v>20</v>
      </c>
      <c r="K110" s="214">
        <f t="shared" si="4"/>
        <v>100</v>
      </c>
      <c r="L110" s="214">
        <f t="shared" si="4"/>
        <v>0</v>
      </c>
      <c r="M110" s="214">
        <f t="shared" si="4"/>
        <v>0</v>
      </c>
      <c r="N110" s="235">
        <f t="shared" si="5"/>
        <v>100</v>
      </c>
      <c r="O110" s="213">
        <v>47.5</v>
      </c>
      <c r="P110" s="214"/>
      <c r="Q110" s="214"/>
      <c r="R110" s="215">
        <f t="shared" si="6"/>
        <v>47.5</v>
      </c>
      <c r="S110" s="171">
        <v>4</v>
      </c>
      <c r="T110" s="285"/>
      <c r="U110" s="283"/>
      <c r="V110" s="178" t="s">
        <v>452</v>
      </c>
      <c r="W110" s="171" t="s">
        <v>74</v>
      </c>
      <c r="X110" s="171" t="s">
        <v>11</v>
      </c>
      <c r="Y110" s="179">
        <v>47.5</v>
      </c>
      <c r="AD110" s="178"/>
      <c r="AG110" s="179"/>
      <c r="AL110" s="178"/>
      <c r="AO110" s="179"/>
      <c r="AP110" s="178"/>
      <c r="AS110" s="179"/>
      <c r="AW110" s="179"/>
      <c r="BA110" s="180"/>
    </row>
    <row r="111" spans="1:53" s="171" customFormat="1" x14ac:dyDescent="0.15">
      <c r="A111" s="171">
        <v>2010</v>
      </c>
      <c r="B111" s="283"/>
      <c r="C111" s="410" t="s">
        <v>649</v>
      </c>
      <c r="D111" s="410"/>
      <c r="E111" s="171">
        <v>0</v>
      </c>
      <c r="G111" s="233">
        <v>20</v>
      </c>
      <c r="H111" s="171">
        <v>0</v>
      </c>
      <c r="I111" s="171">
        <v>0</v>
      </c>
      <c r="J111" s="241">
        <v>20</v>
      </c>
      <c r="K111" s="214">
        <f t="shared" si="4"/>
        <v>100</v>
      </c>
      <c r="L111" s="214">
        <f t="shared" si="4"/>
        <v>0</v>
      </c>
      <c r="M111" s="214">
        <f t="shared" si="4"/>
        <v>0</v>
      </c>
      <c r="N111" s="235">
        <f t="shared" si="5"/>
        <v>100</v>
      </c>
      <c r="O111" s="213">
        <v>47.5</v>
      </c>
      <c r="P111" s="214"/>
      <c r="Q111" s="214"/>
      <c r="R111" s="215">
        <f t="shared" si="6"/>
        <v>47.5</v>
      </c>
      <c r="S111" s="171">
        <v>4</v>
      </c>
      <c r="T111" s="285"/>
      <c r="U111" s="283"/>
      <c r="V111" s="178" t="s">
        <v>452</v>
      </c>
      <c r="W111" s="171" t="s">
        <v>74</v>
      </c>
      <c r="X111" s="171" t="s">
        <v>11</v>
      </c>
      <c r="Y111" s="179">
        <v>47.5</v>
      </c>
      <c r="AD111" s="178"/>
      <c r="AG111" s="179"/>
      <c r="AL111" s="178"/>
      <c r="AO111" s="179"/>
      <c r="AP111" s="178"/>
      <c r="AS111" s="179"/>
      <c r="AW111" s="179"/>
      <c r="BA111" s="180"/>
    </row>
    <row r="112" spans="1:53" s="171" customFormat="1" x14ac:dyDescent="0.15">
      <c r="A112" s="171">
        <v>2010</v>
      </c>
      <c r="B112" s="283"/>
      <c r="C112" s="410" t="s">
        <v>649</v>
      </c>
      <c r="D112" s="410"/>
      <c r="E112" s="171">
        <v>365</v>
      </c>
      <c r="G112" s="233">
        <v>20</v>
      </c>
      <c r="H112" s="171">
        <v>0</v>
      </c>
      <c r="I112" s="171">
        <v>0</v>
      </c>
      <c r="J112" s="241">
        <v>20</v>
      </c>
      <c r="K112" s="214">
        <f t="shared" si="4"/>
        <v>100</v>
      </c>
      <c r="L112" s="214">
        <f t="shared" si="4"/>
        <v>0</v>
      </c>
      <c r="M112" s="214">
        <f t="shared" si="4"/>
        <v>0</v>
      </c>
      <c r="N112" s="235">
        <f t="shared" si="5"/>
        <v>100</v>
      </c>
      <c r="O112" s="213">
        <v>47.5</v>
      </c>
      <c r="P112" s="214"/>
      <c r="Q112" s="214"/>
      <c r="R112" s="215">
        <f t="shared" si="6"/>
        <v>47.5</v>
      </c>
      <c r="S112" s="171">
        <v>4</v>
      </c>
      <c r="T112" s="285"/>
      <c r="U112" s="283"/>
      <c r="V112" s="178" t="s">
        <v>452</v>
      </c>
      <c r="W112" s="171" t="s">
        <v>74</v>
      </c>
      <c r="X112" s="171" t="s">
        <v>11</v>
      </c>
      <c r="Y112" s="179">
        <v>47.5</v>
      </c>
      <c r="AD112" s="178"/>
      <c r="AG112" s="179"/>
      <c r="AL112" s="178"/>
      <c r="AO112" s="179"/>
      <c r="AP112" s="178"/>
      <c r="AS112" s="179"/>
      <c r="AW112" s="179"/>
      <c r="BA112" s="180"/>
    </row>
    <row r="113" spans="1:53" s="171" customFormat="1" x14ac:dyDescent="0.15">
      <c r="A113" s="171">
        <v>2011</v>
      </c>
      <c r="B113" s="283"/>
      <c r="C113" s="410" t="s">
        <v>649</v>
      </c>
      <c r="D113" s="410"/>
      <c r="E113" s="171">
        <v>347</v>
      </c>
      <c r="G113" s="233">
        <v>20</v>
      </c>
      <c r="H113" s="171">
        <v>0</v>
      </c>
      <c r="I113" s="171">
        <v>0</v>
      </c>
      <c r="J113" s="241">
        <v>20</v>
      </c>
      <c r="K113" s="214">
        <f t="shared" si="4"/>
        <v>100</v>
      </c>
      <c r="L113" s="214">
        <f t="shared" si="4"/>
        <v>0</v>
      </c>
      <c r="M113" s="214">
        <f t="shared" si="4"/>
        <v>0</v>
      </c>
      <c r="N113" s="235">
        <f t="shared" si="5"/>
        <v>100</v>
      </c>
      <c r="O113" s="213">
        <v>47.5</v>
      </c>
      <c r="P113" s="214"/>
      <c r="Q113" s="214"/>
      <c r="R113" s="215">
        <f t="shared" si="6"/>
        <v>47.5</v>
      </c>
      <c r="S113" s="171">
        <v>4</v>
      </c>
      <c r="T113" s="285"/>
      <c r="U113" s="283"/>
      <c r="V113" s="178" t="s">
        <v>452</v>
      </c>
      <c r="W113" s="171" t="s">
        <v>74</v>
      </c>
      <c r="X113" s="171" t="s">
        <v>11</v>
      </c>
      <c r="Y113" s="179">
        <v>47.5</v>
      </c>
      <c r="AD113" s="178"/>
      <c r="AG113" s="179"/>
      <c r="AL113" s="178"/>
      <c r="AO113" s="179"/>
      <c r="AP113" s="178"/>
      <c r="AS113" s="179"/>
      <c r="AW113" s="179"/>
      <c r="BA113" s="180"/>
    </row>
    <row r="114" spans="1:53" s="29" customFormat="1" x14ac:dyDescent="0.15">
      <c r="A114" s="29">
        <v>2011</v>
      </c>
      <c r="B114" s="295">
        <v>40891</v>
      </c>
      <c r="C114" s="411" t="s">
        <v>650</v>
      </c>
      <c r="D114" s="411"/>
      <c r="E114" s="29">
        <v>18</v>
      </c>
      <c r="F114" s="29">
        <v>1</v>
      </c>
      <c r="G114" s="66">
        <v>20</v>
      </c>
      <c r="H114" s="29">
        <v>0</v>
      </c>
      <c r="I114" s="29">
        <v>0</v>
      </c>
      <c r="J114" s="73">
        <v>20</v>
      </c>
      <c r="K114" s="47">
        <f t="shared" si="4"/>
        <v>100</v>
      </c>
      <c r="L114" s="47">
        <f t="shared" si="4"/>
        <v>0</v>
      </c>
      <c r="M114" s="47">
        <f t="shared" si="4"/>
        <v>0</v>
      </c>
      <c r="N114" s="68">
        <f t="shared" si="5"/>
        <v>100</v>
      </c>
      <c r="O114" s="46">
        <v>48.76</v>
      </c>
      <c r="P114" s="47"/>
      <c r="Q114" s="47"/>
      <c r="R114" s="48">
        <f t="shared" si="6"/>
        <v>48.76</v>
      </c>
      <c r="S114" s="29">
        <v>4</v>
      </c>
      <c r="T114" s="286">
        <v>40873</v>
      </c>
      <c r="U114" s="295">
        <v>40891</v>
      </c>
      <c r="V114" s="38" t="s">
        <v>452</v>
      </c>
      <c r="W114" s="29" t="s">
        <v>74</v>
      </c>
      <c r="X114" s="29" t="s">
        <v>11</v>
      </c>
      <c r="Y114" s="39">
        <v>48.8</v>
      </c>
      <c r="AD114" s="38"/>
      <c r="AG114" s="39"/>
      <c r="AL114" s="38"/>
      <c r="AO114" s="39"/>
      <c r="AP114" s="38"/>
      <c r="AS114" s="39"/>
      <c r="AW114" s="39"/>
      <c r="BA114" s="40"/>
    </row>
    <row r="115" spans="1:53" s="29" customFormat="1" x14ac:dyDescent="0.15">
      <c r="A115" s="29">
        <v>2012</v>
      </c>
      <c r="B115" s="295"/>
      <c r="C115" s="411" t="s">
        <v>650</v>
      </c>
      <c r="D115" s="411"/>
      <c r="E115" s="29">
        <v>0</v>
      </c>
      <c r="G115" s="66">
        <v>20</v>
      </c>
      <c r="H115" s="29">
        <v>0</v>
      </c>
      <c r="I115" s="29">
        <v>0</v>
      </c>
      <c r="J115" s="73">
        <v>20</v>
      </c>
      <c r="K115" s="47">
        <f t="shared" si="4"/>
        <v>100</v>
      </c>
      <c r="L115" s="47">
        <f t="shared" si="4"/>
        <v>0</v>
      </c>
      <c r="M115" s="47">
        <f t="shared" si="4"/>
        <v>0</v>
      </c>
      <c r="N115" s="68">
        <f t="shared" si="5"/>
        <v>100</v>
      </c>
      <c r="O115" s="46">
        <v>48.76</v>
      </c>
      <c r="P115" s="47"/>
      <c r="Q115" s="47"/>
      <c r="R115" s="48">
        <f t="shared" si="6"/>
        <v>48.76</v>
      </c>
      <c r="S115" s="29">
        <v>4</v>
      </c>
      <c r="T115" s="286"/>
      <c r="U115" s="295"/>
      <c r="V115" s="38" t="s">
        <v>452</v>
      </c>
      <c r="W115" s="29" t="s">
        <v>74</v>
      </c>
      <c r="X115" s="29" t="s">
        <v>11</v>
      </c>
      <c r="Y115" s="39">
        <v>48.8</v>
      </c>
      <c r="AD115" s="38"/>
      <c r="AG115" s="39"/>
      <c r="AL115" s="38"/>
      <c r="AO115" s="39"/>
      <c r="AP115" s="38"/>
      <c r="AS115" s="39"/>
      <c r="AW115" s="39"/>
      <c r="BA115" s="40"/>
    </row>
    <row r="116" spans="1:53" s="29" customFormat="1" x14ac:dyDescent="0.15">
      <c r="A116" s="29">
        <v>2012</v>
      </c>
      <c r="B116" s="295"/>
      <c r="C116" s="411" t="s">
        <v>650</v>
      </c>
      <c r="D116" s="411"/>
      <c r="E116" s="29">
        <v>366</v>
      </c>
      <c r="G116" s="66">
        <v>20</v>
      </c>
      <c r="H116" s="29">
        <v>0</v>
      </c>
      <c r="I116" s="29">
        <v>0</v>
      </c>
      <c r="J116" s="73">
        <v>20</v>
      </c>
      <c r="K116" s="47">
        <f t="shared" si="4"/>
        <v>100</v>
      </c>
      <c r="L116" s="47">
        <f t="shared" si="4"/>
        <v>0</v>
      </c>
      <c r="M116" s="47">
        <f t="shared" si="4"/>
        <v>0</v>
      </c>
      <c r="N116" s="68">
        <f t="shared" si="5"/>
        <v>100</v>
      </c>
      <c r="O116" s="46">
        <v>48.76</v>
      </c>
      <c r="P116" s="47"/>
      <c r="Q116" s="47"/>
      <c r="R116" s="48">
        <f t="shared" si="6"/>
        <v>48.76</v>
      </c>
      <c r="S116" s="29">
        <v>4</v>
      </c>
      <c r="T116" s="286"/>
      <c r="U116" s="295"/>
      <c r="V116" s="38" t="s">
        <v>452</v>
      </c>
      <c r="W116" s="29" t="s">
        <v>74</v>
      </c>
      <c r="X116" s="29" t="s">
        <v>11</v>
      </c>
      <c r="Y116" s="39">
        <v>48.8</v>
      </c>
      <c r="AD116" s="38"/>
      <c r="AG116" s="39"/>
      <c r="AL116" s="38"/>
      <c r="AO116" s="39"/>
      <c r="AP116" s="38"/>
      <c r="AS116" s="39"/>
      <c r="AW116" s="39"/>
      <c r="BA116" s="40"/>
    </row>
    <row r="117" spans="1:53" s="29" customFormat="1" x14ac:dyDescent="0.15">
      <c r="A117" s="29">
        <v>2013</v>
      </c>
      <c r="B117" s="295"/>
      <c r="C117" s="411" t="s">
        <v>650</v>
      </c>
      <c r="D117" s="411"/>
      <c r="E117" s="29">
        <v>0</v>
      </c>
      <c r="G117" s="66">
        <v>20</v>
      </c>
      <c r="H117" s="29">
        <v>0</v>
      </c>
      <c r="I117" s="29">
        <v>0</v>
      </c>
      <c r="J117" s="73">
        <v>20</v>
      </c>
      <c r="K117" s="47">
        <f t="shared" si="4"/>
        <v>100</v>
      </c>
      <c r="L117" s="47">
        <f t="shared" si="4"/>
        <v>0</v>
      </c>
      <c r="M117" s="47">
        <f t="shared" si="4"/>
        <v>0</v>
      </c>
      <c r="N117" s="68">
        <f t="shared" si="5"/>
        <v>100</v>
      </c>
      <c r="O117" s="46">
        <v>48.76</v>
      </c>
      <c r="P117" s="47"/>
      <c r="Q117" s="47"/>
      <c r="R117" s="48">
        <f>O117+P117+Q117</f>
        <v>48.76</v>
      </c>
      <c r="S117" s="29">
        <v>4</v>
      </c>
      <c r="T117" s="286"/>
      <c r="U117" s="295"/>
      <c r="V117" s="38" t="s">
        <v>452</v>
      </c>
      <c r="W117" s="29" t="s">
        <v>74</v>
      </c>
      <c r="X117" s="29" t="s">
        <v>11</v>
      </c>
      <c r="Y117" s="39">
        <v>48.8</v>
      </c>
      <c r="AD117" s="38"/>
      <c r="AG117" s="39"/>
      <c r="AL117" s="38"/>
      <c r="AO117" s="39"/>
      <c r="AP117" s="38"/>
      <c r="AS117" s="39"/>
      <c r="AW117" s="39"/>
      <c r="BA117" s="40"/>
    </row>
    <row r="118" spans="1:53" s="29" customFormat="1" x14ac:dyDescent="0.15">
      <c r="A118" s="29">
        <v>2013</v>
      </c>
      <c r="B118" s="295"/>
      <c r="C118" s="411" t="s">
        <v>650</v>
      </c>
      <c r="D118" s="411"/>
      <c r="E118" s="29">
        <v>365</v>
      </c>
      <c r="G118" s="66">
        <v>20</v>
      </c>
      <c r="H118" s="29">
        <v>0</v>
      </c>
      <c r="I118" s="29">
        <v>0</v>
      </c>
      <c r="J118" s="73">
        <v>20</v>
      </c>
      <c r="K118" s="47">
        <f t="shared" si="4"/>
        <v>100</v>
      </c>
      <c r="L118" s="47">
        <f t="shared" si="4"/>
        <v>0</v>
      </c>
      <c r="M118" s="47">
        <f t="shared" si="4"/>
        <v>0</v>
      </c>
      <c r="N118" s="68">
        <f t="shared" si="5"/>
        <v>100</v>
      </c>
      <c r="O118" s="46">
        <v>48.76</v>
      </c>
      <c r="P118" s="47"/>
      <c r="Q118" s="47"/>
      <c r="R118" s="48">
        <f>O118+P118+Q118</f>
        <v>48.76</v>
      </c>
      <c r="S118" s="29">
        <v>4</v>
      </c>
      <c r="T118" s="286"/>
      <c r="U118" s="295"/>
      <c r="V118" s="38" t="s">
        <v>452</v>
      </c>
      <c r="W118" s="29" t="s">
        <v>74</v>
      </c>
      <c r="X118" s="29" t="s">
        <v>11</v>
      </c>
      <c r="Y118" s="39">
        <v>48.8</v>
      </c>
      <c r="AD118" s="38"/>
      <c r="AG118" s="39"/>
      <c r="AL118" s="38"/>
      <c r="AO118" s="39"/>
      <c r="AP118" s="38"/>
      <c r="AS118" s="39"/>
      <c r="AW118" s="39"/>
      <c r="BA118" s="40"/>
    </row>
    <row r="119" spans="1:53" s="29" customFormat="1" x14ac:dyDescent="0.15">
      <c r="A119" s="29">
        <v>2014</v>
      </c>
      <c r="B119" s="295"/>
      <c r="C119" s="411" t="s">
        <v>650</v>
      </c>
      <c r="D119" s="411"/>
      <c r="E119" s="29">
        <v>241</v>
      </c>
      <c r="G119" s="66">
        <v>20</v>
      </c>
      <c r="H119" s="29">
        <v>0</v>
      </c>
      <c r="I119" s="29">
        <v>0</v>
      </c>
      <c r="J119" s="73">
        <v>20</v>
      </c>
      <c r="K119" s="47">
        <f t="shared" ref="K119:M121" si="7">G119/$J119*100</f>
        <v>100</v>
      </c>
      <c r="L119" s="47">
        <f t="shared" si="7"/>
        <v>0</v>
      </c>
      <c r="M119" s="47">
        <f t="shared" si="7"/>
        <v>0</v>
      </c>
      <c r="N119" s="68">
        <f>K119+L119+M119</f>
        <v>100</v>
      </c>
      <c r="O119" s="46">
        <v>48.76</v>
      </c>
      <c r="P119" s="47"/>
      <c r="Q119" s="47"/>
      <c r="R119" s="48">
        <f>O119+P119+Q119</f>
        <v>48.76</v>
      </c>
      <c r="S119" s="29">
        <v>4</v>
      </c>
      <c r="T119" s="286"/>
      <c r="U119" s="295"/>
      <c r="V119" s="38" t="s">
        <v>452</v>
      </c>
      <c r="W119" s="29" t="s">
        <v>74</v>
      </c>
      <c r="X119" s="29" t="s">
        <v>11</v>
      </c>
      <c r="Y119" s="39">
        <v>48.8</v>
      </c>
      <c r="AD119" s="38"/>
      <c r="AG119" s="39"/>
      <c r="AL119" s="38"/>
      <c r="AO119" s="39"/>
      <c r="AP119" s="38"/>
      <c r="AS119" s="39"/>
      <c r="AW119" s="39"/>
      <c r="BA119" s="40"/>
    </row>
    <row r="120" spans="1:53" s="29" customFormat="1" x14ac:dyDescent="0.15">
      <c r="A120" s="29">
        <v>2014</v>
      </c>
      <c r="B120" s="303">
        <v>41881</v>
      </c>
      <c r="C120" s="411" t="s">
        <v>650</v>
      </c>
      <c r="D120" s="411"/>
      <c r="E120" s="29">
        <v>39</v>
      </c>
      <c r="F120" s="84">
        <v>0</v>
      </c>
      <c r="G120" s="66">
        <v>19</v>
      </c>
      <c r="H120" s="29">
        <v>0</v>
      </c>
      <c r="I120" s="29">
        <v>0</v>
      </c>
      <c r="J120" s="73">
        <v>19</v>
      </c>
      <c r="K120" s="47">
        <f t="shared" si="7"/>
        <v>100</v>
      </c>
      <c r="L120" s="47">
        <f t="shared" si="7"/>
        <v>0</v>
      </c>
      <c r="M120" s="47">
        <f t="shared" si="7"/>
        <v>0</v>
      </c>
      <c r="N120" s="68">
        <f>K120+L120+M120</f>
        <v>100</v>
      </c>
      <c r="O120" s="46">
        <v>48.76</v>
      </c>
      <c r="P120" s="47"/>
      <c r="Q120" s="47"/>
      <c r="R120" s="48">
        <f>O120+P120+Q120</f>
        <v>48.76</v>
      </c>
      <c r="S120" s="29">
        <v>4</v>
      </c>
      <c r="T120" s="286"/>
      <c r="U120" s="295"/>
      <c r="V120" s="38" t="s">
        <v>452</v>
      </c>
      <c r="W120" s="29" t="s">
        <v>74</v>
      </c>
      <c r="X120" s="29" t="s">
        <v>11</v>
      </c>
      <c r="Y120" s="39">
        <v>48.8</v>
      </c>
      <c r="AD120" s="38"/>
      <c r="AG120" s="39"/>
      <c r="AL120" s="38"/>
      <c r="AO120" s="39"/>
      <c r="AP120" s="38"/>
      <c r="AS120" s="39"/>
      <c r="AW120" s="39"/>
      <c r="BA120" s="40"/>
    </row>
    <row r="121" spans="1:53" s="171" customFormat="1" x14ac:dyDescent="0.15">
      <c r="A121" s="171">
        <v>2014</v>
      </c>
      <c r="B121" s="283">
        <v>41920</v>
      </c>
      <c r="C121" s="410" t="s">
        <v>1299</v>
      </c>
      <c r="D121" s="410"/>
      <c r="E121" s="171">
        <v>85</v>
      </c>
      <c r="F121" s="171">
        <v>1</v>
      </c>
      <c r="G121" s="233">
        <v>20</v>
      </c>
      <c r="H121" s="171">
        <v>0</v>
      </c>
      <c r="I121" s="171">
        <v>0</v>
      </c>
      <c r="J121" s="241">
        <v>20</v>
      </c>
      <c r="K121" s="214">
        <f t="shared" si="7"/>
        <v>100</v>
      </c>
      <c r="L121" s="214">
        <f t="shared" si="7"/>
        <v>0</v>
      </c>
      <c r="M121" s="214">
        <f t="shared" si="7"/>
        <v>0</v>
      </c>
      <c r="N121" s="235">
        <f>K121+L121+M121</f>
        <v>100</v>
      </c>
      <c r="O121" s="213">
        <v>49.6</v>
      </c>
      <c r="P121" s="214"/>
      <c r="Q121" s="214"/>
      <c r="R121" s="215">
        <f>O121+P121+Q121</f>
        <v>49.6</v>
      </c>
      <c r="S121" s="171">
        <v>4</v>
      </c>
      <c r="T121" s="285">
        <v>41902</v>
      </c>
      <c r="U121" s="283">
        <v>41920</v>
      </c>
      <c r="V121" s="178" t="s">
        <v>452</v>
      </c>
      <c r="W121" s="171" t="s">
        <v>74</v>
      </c>
      <c r="X121" s="171" t="s">
        <v>11</v>
      </c>
      <c r="Y121" s="179">
        <v>49.6</v>
      </c>
      <c r="AD121" s="178"/>
      <c r="AG121" s="179"/>
      <c r="AL121" s="178"/>
      <c r="AO121" s="179"/>
      <c r="AP121" s="178"/>
      <c r="AS121" s="179"/>
      <c r="AW121" s="179"/>
      <c r="BA121" s="180"/>
    </row>
    <row r="122" spans="1:53" s="171" customFormat="1" x14ac:dyDescent="0.15">
      <c r="A122" s="171">
        <v>2015</v>
      </c>
      <c r="B122" s="283"/>
      <c r="C122" s="410" t="s">
        <v>1299</v>
      </c>
      <c r="D122" s="410"/>
      <c r="E122" s="171">
        <v>0</v>
      </c>
      <c r="G122" s="233">
        <v>20</v>
      </c>
      <c r="H122" s="171">
        <v>0</v>
      </c>
      <c r="I122" s="171">
        <v>0</v>
      </c>
      <c r="J122" s="241">
        <v>20</v>
      </c>
      <c r="K122" s="214">
        <f t="shared" ref="K122:K123" si="8">G122/$J122*100</f>
        <v>100</v>
      </c>
      <c r="L122" s="214">
        <f t="shared" ref="L122:L123" si="9">H122/$J122*100</f>
        <v>0</v>
      </c>
      <c r="M122" s="214">
        <f t="shared" ref="M122:M123" si="10">I122/$J122*100</f>
        <v>0</v>
      </c>
      <c r="N122" s="235">
        <f t="shared" ref="N122:N123" si="11">K122+L122+M122</f>
        <v>100</v>
      </c>
      <c r="O122" s="213">
        <v>49.6</v>
      </c>
      <c r="P122" s="214"/>
      <c r="Q122" s="214"/>
      <c r="R122" s="215">
        <f t="shared" ref="R122:R123" si="12">O122+P122+Q122</f>
        <v>49.6</v>
      </c>
      <c r="S122" s="171">
        <v>4</v>
      </c>
      <c r="T122" s="285"/>
      <c r="U122" s="283"/>
      <c r="V122" s="178" t="s">
        <v>452</v>
      </c>
      <c r="W122" s="171" t="s">
        <v>74</v>
      </c>
      <c r="X122" s="171" t="s">
        <v>11</v>
      </c>
      <c r="Y122" s="179">
        <v>49.6</v>
      </c>
      <c r="AD122" s="178"/>
      <c r="AG122" s="179"/>
      <c r="AL122" s="178"/>
      <c r="AO122" s="179"/>
      <c r="AP122" s="178"/>
      <c r="AS122" s="179"/>
      <c r="AW122" s="179"/>
      <c r="BA122" s="180"/>
    </row>
    <row r="123" spans="1:53" s="171" customFormat="1" x14ac:dyDescent="0.15">
      <c r="A123" s="171">
        <v>2015</v>
      </c>
      <c r="B123" s="283"/>
      <c r="C123" s="410" t="s">
        <v>1299</v>
      </c>
      <c r="D123" s="410"/>
      <c r="E123" s="171">
        <v>365</v>
      </c>
      <c r="G123" s="233">
        <v>20</v>
      </c>
      <c r="H123" s="171">
        <v>0</v>
      </c>
      <c r="I123" s="171">
        <v>0</v>
      </c>
      <c r="J123" s="241">
        <v>20</v>
      </c>
      <c r="K123" s="214">
        <f t="shared" si="8"/>
        <v>100</v>
      </c>
      <c r="L123" s="214">
        <f t="shared" si="9"/>
        <v>0</v>
      </c>
      <c r="M123" s="214">
        <f t="shared" si="10"/>
        <v>0</v>
      </c>
      <c r="N123" s="235">
        <f t="shared" si="11"/>
        <v>100</v>
      </c>
      <c r="O123" s="213">
        <v>49.6</v>
      </c>
      <c r="P123" s="214"/>
      <c r="Q123" s="214"/>
      <c r="R123" s="215">
        <f t="shared" si="12"/>
        <v>49.6</v>
      </c>
      <c r="S123" s="171">
        <v>4</v>
      </c>
      <c r="T123" s="285"/>
      <c r="U123" s="283"/>
      <c r="V123" s="178" t="s">
        <v>452</v>
      </c>
      <c r="W123" s="171" t="s">
        <v>74</v>
      </c>
      <c r="X123" s="171" t="s">
        <v>11</v>
      </c>
      <c r="Y123" s="179">
        <v>49.6</v>
      </c>
      <c r="AD123" s="178"/>
      <c r="AG123" s="179"/>
      <c r="AL123" s="178"/>
      <c r="AO123" s="179"/>
      <c r="AP123" s="178"/>
      <c r="AS123" s="179"/>
      <c r="AW123" s="179"/>
      <c r="BA123" s="180"/>
    </row>
    <row r="124" spans="1:53" s="171" customFormat="1" x14ac:dyDescent="0.15">
      <c r="A124" s="171">
        <v>2016</v>
      </c>
      <c r="B124" s="283"/>
      <c r="C124" s="410" t="s">
        <v>1299</v>
      </c>
      <c r="D124" s="410"/>
      <c r="E124" s="171">
        <v>352</v>
      </c>
      <c r="G124" s="233">
        <v>20</v>
      </c>
      <c r="H124" s="171">
        <v>0</v>
      </c>
      <c r="I124" s="171">
        <v>0</v>
      </c>
      <c r="J124" s="241">
        <v>20</v>
      </c>
      <c r="K124" s="214">
        <f t="shared" ref="K124:K125" si="13">G124/$J124*100</f>
        <v>100</v>
      </c>
      <c r="L124" s="214">
        <f t="shared" ref="L124:L125" si="14">H124/$J124*100</f>
        <v>0</v>
      </c>
      <c r="M124" s="214">
        <f t="shared" ref="M124:M125" si="15">I124/$J124*100</f>
        <v>0</v>
      </c>
      <c r="N124" s="235">
        <f t="shared" ref="N124:N125" si="16">K124+L124+M124</f>
        <v>100</v>
      </c>
      <c r="O124" s="213">
        <v>49.6</v>
      </c>
      <c r="P124" s="214"/>
      <c r="Q124" s="214"/>
      <c r="R124" s="215">
        <f t="shared" ref="R124:R125" si="17">O124+P124+Q124</f>
        <v>49.6</v>
      </c>
      <c r="S124" s="171">
        <v>4</v>
      </c>
      <c r="T124" s="285"/>
      <c r="U124" s="283"/>
      <c r="V124" s="178" t="s">
        <v>452</v>
      </c>
      <c r="W124" s="171" t="s">
        <v>74</v>
      </c>
      <c r="X124" s="171" t="s">
        <v>11</v>
      </c>
      <c r="Y124" s="179">
        <v>49.6</v>
      </c>
      <c r="AD124" s="178"/>
      <c r="AG124" s="179"/>
      <c r="AL124" s="178"/>
      <c r="AO124" s="179"/>
      <c r="AP124" s="178"/>
      <c r="AS124" s="179"/>
      <c r="AW124" s="179"/>
      <c r="BA124" s="180"/>
    </row>
    <row r="125" spans="1:53" s="29" customFormat="1" x14ac:dyDescent="0.15">
      <c r="A125" s="29">
        <v>2016</v>
      </c>
      <c r="B125" s="295">
        <v>42722</v>
      </c>
      <c r="C125" s="411" t="s">
        <v>1348</v>
      </c>
      <c r="D125" s="411"/>
      <c r="E125" s="29">
        <v>14</v>
      </c>
      <c r="F125" s="29">
        <v>2</v>
      </c>
      <c r="G125" s="66">
        <v>20</v>
      </c>
      <c r="H125" s="29">
        <v>0</v>
      </c>
      <c r="I125" s="29">
        <v>0</v>
      </c>
      <c r="J125" s="73">
        <v>20</v>
      </c>
      <c r="K125" s="47">
        <f t="shared" si="13"/>
        <v>100</v>
      </c>
      <c r="L125" s="47">
        <f t="shared" si="14"/>
        <v>0</v>
      </c>
      <c r="M125" s="47">
        <f t="shared" si="15"/>
        <v>0</v>
      </c>
      <c r="N125" s="68">
        <f t="shared" si="16"/>
        <v>100</v>
      </c>
      <c r="O125" s="46">
        <v>48.8</v>
      </c>
      <c r="P125" s="47"/>
      <c r="Q125" s="47"/>
      <c r="R125" s="48">
        <f t="shared" si="17"/>
        <v>48.8</v>
      </c>
      <c r="S125" s="29">
        <v>4</v>
      </c>
      <c r="T125" s="286"/>
      <c r="U125" s="295">
        <v>42722</v>
      </c>
      <c r="V125" s="38" t="s">
        <v>452</v>
      </c>
      <c r="W125" s="29" t="s">
        <v>74</v>
      </c>
      <c r="X125" s="29" t="s">
        <v>11</v>
      </c>
      <c r="Y125" s="39">
        <v>48.8</v>
      </c>
      <c r="AD125" s="38"/>
      <c r="AG125" s="39"/>
      <c r="AL125" s="38"/>
      <c r="AO125" s="39"/>
      <c r="AP125" s="38"/>
      <c r="AS125" s="39"/>
      <c r="AW125" s="39"/>
      <c r="BA125" s="40"/>
    </row>
    <row r="126" spans="1:53" s="29" customFormat="1" x14ac:dyDescent="0.15">
      <c r="A126" s="29">
        <v>2017</v>
      </c>
      <c r="B126" s="295"/>
      <c r="C126" s="411" t="s">
        <v>1348</v>
      </c>
      <c r="D126" s="411"/>
      <c r="E126" s="29">
        <v>298</v>
      </c>
      <c r="G126" s="66">
        <v>20</v>
      </c>
      <c r="H126" s="29">
        <v>0</v>
      </c>
      <c r="I126" s="29">
        <v>0</v>
      </c>
      <c r="J126" s="73">
        <v>20</v>
      </c>
      <c r="K126" s="47">
        <f t="shared" ref="K126:K127" si="18">G126/$J126*100</f>
        <v>100</v>
      </c>
      <c r="L126" s="47">
        <f t="shared" ref="L126:L127" si="19">H126/$J126*100</f>
        <v>0</v>
      </c>
      <c r="M126" s="47">
        <f t="shared" ref="M126:M127" si="20">I126/$J126*100</f>
        <v>0</v>
      </c>
      <c r="N126" s="68">
        <f t="shared" ref="N126:N127" si="21">K126+L126+M126</f>
        <v>100</v>
      </c>
      <c r="O126" s="46">
        <v>48.8</v>
      </c>
      <c r="P126" s="47"/>
      <c r="Q126" s="47"/>
      <c r="R126" s="48">
        <f t="shared" ref="R126:R127" si="22">O126+P126+Q126</f>
        <v>48.8</v>
      </c>
      <c r="S126" s="29">
        <v>4</v>
      </c>
      <c r="T126" s="286"/>
      <c r="U126" s="295"/>
      <c r="V126" s="38" t="s">
        <v>452</v>
      </c>
      <c r="W126" s="29" t="s">
        <v>74</v>
      </c>
      <c r="X126" s="29" t="s">
        <v>11</v>
      </c>
      <c r="Y126" s="39">
        <v>48.8</v>
      </c>
      <c r="AD126" s="38"/>
      <c r="AG126" s="39"/>
      <c r="AL126" s="38"/>
      <c r="AO126" s="39"/>
      <c r="AP126" s="38"/>
      <c r="AS126" s="39"/>
      <c r="AW126" s="39"/>
      <c r="BA126" s="40"/>
    </row>
    <row r="127" spans="1:53" s="171" customFormat="1" x14ac:dyDescent="0.15">
      <c r="A127" s="171">
        <v>2017</v>
      </c>
      <c r="B127" s="283">
        <v>43034</v>
      </c>
      <c r="C127" s="410" t="s">
        <v>1379</v>
      </c>
      <c r="D127" s="410"/>
      <c r="E127" s="171">
        <v>67</v>
      </c>
      <c r="F127" s="171">
        <v>1</v>
      </c>
      <c r="G127" s="233">
        <v>4</v>
      </c>
      <c r="H127" s="171">
        <v>0</v>
      </c>
      <c r="I127" s="171">
        <v>16</v>
      </c>
      <c r="J127" s="241">
        <v>20</v>
      </c>
      <c r="K127" s="214">
        <f t="shared" si="18"/>
        <v>20</v>
      </c>
      <c r="L127" s="214">
        <f t="shared" si="19"/>
        <v>0</v>
      </c>
      <c r="M127" s="214">
        <f t="shared" si="20"/>
        <v>80</v>
      </c>
      <c r="N127" s="235">
        <f t="shared" si="21"/>
        <v>100</v>
      </c>
      <c r="O127" s="213">
        <v>7.5</v>
      </c>
      <c r="P127" s="214"/>
      <c r="Q127" s="214">
        <v>38.299999999999997</v>
      </c>
      <c r="R127" s="215">
        <f t="shared" si="22"/>
        <v>45.8</v>
      </c>
      <c r="S127" s="171">
        <v>5</v>
      </c>
      <c r="T127" s="285">
        <v>43001</v>
      </c>
      <c r="U127" s="283">
        <v>43034</v>
      </c>
      <c r="V127" s="178" t="s">
        <v>451</v>
      </c>
      <c r="W127" s="171" t="s">
        <v>20</v>
      </c>
      <c r="X127" s="171" t="s">
        <v>12</v>
      </c>
      <c r="Y127" s="179">
        <v>38.299999999999997</v>
      </c>
      <c r="Z127" s="171" t="s">
        <v>453</v>
      </c>
      <c r="AA127" s="171" t="s">
        <v>76</v>
      </c>
      <c r="AB127" s="171" t="s">
        <v>11</v>
      </c>
      <c r="AC127" s="171">
        <v>7.5</v>
      </c>
      <c r="AD127" s="178"/>
      <c r="AG127" s="179"/>
      <c r="AL127" s="178"/>
      <c r="AO127" s="179"/>
      <c r="AP127" s="178"/>
      <c r="AS127" s="179"/>
      <c r="AW127" s="179"/>
      <c r="BA127" s="180"/>
    </row>
    <row r="128" spans="1:53" s="171" customFormat="1" x14ac:dyDescent="0.15">
      <c r="A128" s="171">
        <v>2018</v>
      </c>
      <c r="B128" s="283"/>
      <c r="C128" s="410" t="s">
        <v>1379</v>
      </c>
      <c r="D128" s="410"/>
      <c r="E128" s="171">
        <v>235</v>
      </c>
      <c r="G128" s="233">
        <v>4</v>
      </c>
      <c r="H128" s="171">
        <v>0</v>
      </c>
      <c r="I128" s="171">
        <v>16</v>
      </c>
      <c r="J128" s="241">
        <v>20</v>
      </c>
      <c r="K128" s="214">
        <f t="shared" ref="K128:K129" si="23">G128/$J128*100</f>
        <v>20</v>
      </c>
      <c r="L128" s="214">
        <f t="shared" ref="L128:L129" si="24">H128/$J128*100</f>
        <v>0</v>
      </c>
      <c r="M128" s="214">
        <f t="shared" ref="M128:M129" si="25">I128/$J128*100</f>
        <v>80</v>
      </c>
      <c r="N128" s="235">
        <f t="shared" ref="N128:N129" si="26">K128+L128+M128</f>
        <v>100</v>
      </c>
      <c r="O128" s="213">
        <v>7.5</v>
      </c>
      <c r="P128" s="214"/>
      <c r="Q128" s="214">
        <v>38.299999999999997</v>
      </c>
      <c r="R128" s="215">
        <f t="shared" ref="R128:R129" si="27">O128+P128+Q128</f>
        <v>45.8</v>
      </c>
      <c r="S128" s="171">
        <v>5</v>
      </c>
      <c r="T128" s="285"/>
      <c r="U128" s="283"/>
      <c r="V128" s="178" t="s">
        <v>451</v>
      </c>
      <c r="W128" s="171" t="s">
        <v>20</v>
      </c>
      <c r="X128" s="171" t="s">
        <v>12</v>
      </c>
      <c r="Y128" s="179">
        <v>38.299999999999997</v>
      </c>
      <c r="Z128" s="171" t="s">
        <v>453</v>
      </c>
      <c r="AA128" s="171" t="s">
        <v>76</v>
      </c>
      <c r="AB128" s="171" t="s">
        <v>11</v>
      </c>
      <c r="AC128" s="171">
        <v>7.5</v>
      </c>
      <c r="AD128" s="178"/>
      <c r="AG128" s="179"/>
      <c r="AL128" s="178"/>
      <c r="AO128" s="179"/>
      <c r="AP128" s="178"/>
      <c r="AS128" s="179"/>
      <c r="AW128" s="179"/>
      <c r="BA128" s="180"/>
    </row>
    <row r="129" spans="1:53" s="171" customFormat="1" x14ac:dyDescent="0.15">
      <c r="A129" s="171">
        <v>2018</v>
      </c>
      <c r="B129" s="305">
        <v>43336</v>
      </c>
      <c r="C129" s="410" t="s">
        <v>1379</v>
      </c>
      <c r="D129" s="410"/>
      <c r="E129" s="171">
        <v>130</v>
      </c>
      <c r="F129" s="244">
        <v>0</v>
      </c>
      <c r="G129" s="233">
        <v>4</v>
      </c>
      <c r="H129" s="171">
        <v>0</v>
      </c>
      <c r="I129" s="171">
        <v>15</v>
      </c>
      <c r="J129" s="241">
        <v>19</v>
      </c>
      <c r="K129" s="214">
        <f t="shared" si="23"/>
        <v>21.052631578947366</v>
      </c>
      <c r="L129" s="214">
        <f t="shared" si="24"/>
        <v>0</v>
      </c>
      <c r="M129" s="214">
        <f t="shared" si="25"/>
        <v>78.94736842105263</v>
      </c>
      <c r="N129" s="235">
        <f t="shared" si="26"/>
        <v>100</v>
      </c>
      <c r="O129" s="213">
        <v>7.5</v>
      </c>
      <c r="P129" s="214"/>
      <c r="Q129" s="214">
        <v>38.299999999999997</v>
      </c>
      <c r="R129" s="215">
        <f t="shared" si="27"/>
        <v>45.8</v>
      </c>
      <c r="S129" s="171">
        <v>5</v>
      </c>
      <c r="T129" s="285"/>
      <c r="U129" s="283"/>
      <c r="V129" s="178" t="s">
        <v>451</v>
      </c>
      <c r="W129" s="171" t="s">
        <v>20</v>
      </c>
      <c r="X129" s="171" t="s">
        <v>12</v>
      </c>
      <c r="Y129" s="179">
        <v>38.299999999999997</v>
      </c>
      <c r="Z129" s="171" t="s">
        <v>453</v>
      </c>
      <c r="AA129" s="171" t="s">
        <v>76</v>
      </c>
      <c r="AB129" s="171" t="s">
        <v>11</v>
      </c>
      <c r="AC129" s="171">
        <v>7.5</v>
      </c>
      <c r="AD129" s="178"/>
      <c r="AG129" s="179"/>
      <c r="AL129" s="178"/>
      <c r="AO129" s="179"/>
      <c r="AP129" s="178"/>
      <c r="AS129" s="179"/>
      <c r="AW129" s="179"/>
      <c r="BA129" s="180"/>
    </row>
    <row r="130" spans="1:53" s="171" customFormat="1" x14ac:dyDescent="0.15">
      <c r="A130" s="171">
        <v>2019</v>
      </c>
      <c r="B130" s="305"/>
      <c r="C130" s="410" t="s">
        <v>1379</v>
      </c>
      <c r="D130" s="410"/>
      <c r="E130" s="171">
        <v>177</v>
      </c>
      <c r="F130" s="244"/>
      <c r="G130" s="233">
        <v>4</v>
      </c>
      <c r="H130" s="171">
        <v>0</v>
      </c>
      <c r="I130" s="171">
        <v>15</v>
      </c>
      <c r="J130" s="241">
        <v>19</v>
      </c>
      <c r="K130" s="214">
        <f t="shared" ref="K130:K135" si="28">G130/$J130*100</f>
        <v>21.052631578947366</v>
      </c>
      <c r="L130" s="214">
        <f t="shared" ref="L130:L135" si="29">H130/$J130*100</f>
        <v>0</v>
      </c>
      <c r="M130" s="214">
        <f t="shared" ref="M130:M135" si="30">I130/$J130*100</f>
        <v>78.94736842105263</v>
      </c>
      <c r="N130" s="235">
        <f t="shared" ref="N130:N135" si="31">K130+L130+M130</f>
        <v>100</v>
      </c>
      <c r="O130" s="213">
        <v>7.5</v>
      </c>
      <c r="P130" s="214"/>
      <c r="Q130" s="214">
        <v>38.299999999999997</v>
      </c>
      <c r="R130" s="215">
        <f t="shared" ref="R130:R134" si="32">O130+P130+Q130</f>
        <v>45.8</v>
      </c>
      <c r="S130" s="171">
        <v>5</v>
      </c>
      <c r="T130" s="285"/>
      <c r="U130" s="283"/>
      <c r="V130" s="178" t="s">
        <v>451</v>
      </c>
      <c r="W130" s="171" t="s">
        <v>20</v>
      </c>
      <c r="X130" s="171" t="s">
        <v>12</v>
      </c>
      <c r="Y130" s="179">
        <v>38.299999999999997</v>
      </c>
      <c r="Z130" s="171" t="s">
        <v>453</v>
      </c>
      <c r="AA130" s="171" t="s">
        <v>76</v>
      </c>
      <c r="AB130" s="171" t="s">
        <v>11</v>
      </c>
      <c r="AC130" s="171">
        <v>7.5</v>
      </c>
      <c r="AD130" s="178"/>
      <c r="AG130" s="179"/>
      <c r="AL130" s="178"/>
      <c r="AO130" s="179"/>
      <c r="AP130" s="178"/>
      <c r="AS130" s="179"/>
      <c r="AW130" s="179"/>
      <c r="BA130" s="180"/>
    </row>
    <row r="131" spans="1:53" s="171" customFormat="1" x14ac:dyDescent="0.15">
      <c r="A131" s="171">
        <v>2019</v>
      </c>
      <c r="B131" s="305">
        <v>43643</v>
      </c>
      <c r="C131" s="410" t="s">
        <v>1379</v>
      </c>
      <c r="D131" s="410"/>
      <c r="E131" s="171">
        <v>188</v>
      </c>
      <c r="F131" s="247">
        <v>0</v>
      </c>
      <c r="G131" s="171">
        <v>4</v>
      </c>
      <c r="H131" s="171">
        <v>0</v>
      </c>
      <c r="I131" s="171">
        <v>16</v>
      </c>
      <c r="J131" s="241">
        <v>20</v>
      </c>
      <c r="K131" s="214">
        <f t="shared" si="28"/>
        <v>20</v>
      </c>
      <c r="L131" s="214">
        <f t="shared" si="29"/>
        <v>0</v>
      </c>
      <c r="M131" s="214">
        <f t="shared" si="30"/>
        <v>80</v>
      </c>
      <c r="N131" s="235">
        <f t="shared" si="31"/>
        <v>100</v>
      </c>
      <c r="O131" s="213">
        <v>7.5</v>
      </c>
      <c r="P131" s="214"/>
      <c r="Q131" s="214">
        <v>38.299999999999997</v>
      </c>
      <c r="R131" s="215">
        <f t="shared" si="32"/>
        <v>45.8</v>
      </c>
      <c r="S131" s="171">
        <v>5</v>
      </c>
      <c r="T131" s="285"/>
      <c r="U131" s="283"/>
      <c r="V131" s="178" t="s">
        <v>451</v>
      </c>
      <c r="W131" s="171" t="s">
        <v>20</v>
      </c>
      <c r="X131" s="171" t="s">
        <v>12</v>
      </c>
      <c r="Y131" s="179">
        <v>38.299999999999997</v>
      </c>
      <c r="Z131" s="171" t="s">
        <v>453</v>
      </c>
      <c r="AA131" s="171" t="s">
        <v>76</v>
      </c>
      <c r="AB131" s="171" t="s">
        <v>11</v>
      </c>
      <c r="AC131" s="171">
        <v>7.5</v>
      </c>
      <c r="AD131" s="178"/>
      <c r="AG131" s="179"/>
      <c r="AK131" s="179"/>
      <c r="AO131" s="179"/>
      <c r="AS131" s="179"/>
      <c r="AW131" s="179"/>
      <c r="BA131" s="180"/>
    </row>
    <row r="132" spans="1:53" s="171" customFormat="1" x14ac:dyDescent="0.15">
      <c r="A132" s="171">
        <v>2020</v>
      </c>
      <c r="B132" s="305"/>
      <c r="C132" s="410" t="s">
        <v>1379</v>
      </c>
      <c r="D132" s="410"/>
      <c r="E132" s="171">
        <v>183</v>
      </c>
      <c r="F132" s="247"/>
      <c r="G132" s="171">
        <v>4</v>
      </c>
      <c r="H132" s="171">
        <v>0</v>
      </c>
      <c r="I132" s="171">
        <v>16</v>
      </c>
      <c r="J132" s="241">
        <v>20</v>
      </c>
      <c r="K132" s="214">
        <f t="shared" si="28"/>
        <v>20</v>
      </c>
      <c r="L132" s="214">
        <f t="shared" si="29"/>
        <v>0</v>
      </c>
      <c r="M132" s="214">
        <f t="shared" si="30"/>
        <v>80</v>
      </c>
      <c r="N132" s="215">
        <f t="shared" si="31"/>
        <v>100</v>
      </c>
      <c r="O132" s="214">
        <v>7.5</v>
      </c>
      <c r="P132" s="214"/>
      <c r="Q132" s="214">
        <v>38.299999999999997</v>
      </c>
      <c r="R132" s="215">
        <f t="shared" si="32"/>
        <v>45.8</v>
      </c>
      <c r="S132" s="190">
        <v>5</v>
      </c>
      <c r="T132" s="285"/>
      <c r="U132" s="298"/>
      <c r="V132" s="171" t="s">
        <v>451</v>
      </c>
      <c r="W132" s="171" t="s">
        <v>20</v>
      </c>
      <c r="X132" s="171" t="s">
        <v>12</v>
      </c>
      <c r="Y132" s="179">
        <v>38.299999999999997</v>
      </c>
      <c r="Z132" s="171" t="s">
        <v>453</v>
      </c>
      <c r="AA132" s="171" t="s">
        <v>76</v>
      </c>
      <c r="AB132" s="171" t="s">
        <v>11</v>
      </c>
      <c r="AC132" s="179">
        <v>7.5</v>
      </c>
      <c r="AG132" s="179"/>
      <c r="AK132" s="179"/>
      <c r="AO132" s="179"/>
      <c r="AS132" s="179"/>
      <c r="AW132" s="179"/>
      <c r="BA132" s="180"/>
    </row>
    <row r="133" spans="1:53" s="171" customFormat="1" x14ac:dyDescent="0.15">
      <c r="A133" s="171">
        <v>2020</v>
      </c>
      <c r="B133" s="305">
        <v>44014</v>
      </c>
      <c r="C133" s="410" t="s">
        <v>1379</v>
      </c>
      <c r="D133" s="410"/>
      <c r="E133" s="171">
        <v>20</v>
      </c>
      <c r="F133" s="247">
        <v>0</v>
      </c>
      <c r="G133" s="171">
        <v>4</v>
      </c>
      <c r="H133" s="171">
        <v>0</v>
      </c>
      <c r="I133" s="171">
        <v>15</v>
      </c>
      <c r="J133" s="241">
        <v>19</v>
      </c>
      <c r="K133" s="214">
        <f t="shared" si="28"/>
        <v>21.052631578947366</v>
      </c>
      <c r="L133" s="214">
        <f t="shared" si="29"/>
        <v>0</v>
      </c>
      <c r="M133" s="214">
        <f t="shared" si="30"/>
        <v>78.94736842105263</v>
      </c>
      <c r="N133" s="215">
        <f t="shared" si="31"/>
        <v>100</v>
      </c>
      <c r="O133" s="214">
        <v>7.5</v>
      </c>
      <c r="P133" s="214"/>
      <c r="Q133" s="214">
        <v>38.299999999999997</v>
      </c>
      <c r="R133" s="215">
        <f t="shared" si="32"/>
        <v>45.8</v>
      </c>
      <c r="S133" s="190">
        <v>5</v>
      </c>
      <c r="T133" s="285"/>
      <c r="U133" s="298"/>
      <c r="V133" s="171" t="s">
        <v>451</v>
      </c>
      <c r="W133" s="171" t="s">
        <v>20</v>
      </c>
      <c r="X133" s="171" t="s">
        <v>12</v>
      </c>
      <c r="Y133" s="179">
        <v>38.299999999999997</v>
      </c>
      <c r="Z133" s="171" t="s">
        <v>453</v>
      </c>
      <c r="AA133" s="171" t="s">
        <v>76</v>
      </c>
      <c r="AB133" s="171" t="s">
        <v>11</v>
      </c>
      <c r="AC133" s="179">
        <v>7.5</v>
      </c>
      <c r="AG133" s="179"/>
      <c r="AK133" s="179"/>
      <c r="AO133" s="179"/>
      <c r="AS133" s="179"/>
      <c r="AW133" s="179"/>
      <c r="BA133" s="180"/>
    </row>
    <row r="134" spans="1:53" s="171" customFormat="1" x14ac:dyDescent="0.15">
      <c r="A134" s="171">
        <v>2020</v>
      </c>
      <c r="B134" s="305">
        <v>44034</v>
      </c>
      <c r="C134" s="410" t="s">
        <v>1379</v>
      </c>
      <c r="D134" s="410"/>
      <c r="E134" s="171">
        <v>107</v>
      </c>
      <c r="F134" s="247">
        <v>0</v>
      </c>
      <c r="G134" s="171">
        <v>4</v>
      </c>
      <c r="H134" s="171">
        <v>0</v>
      </c>
      <c r="I134" s="171">
        <v>14</v>
      </c>
      <c r="J134" s="241">
        <v>18</v>
      </c>
      <c r="K134" s="214">
        <f>G134/$J134*100</f>
        <v>22.222222222222221</v>
      </c>
      <c r="L134" s="214">
        <f t="shared" si="29"/>
        <v>0</v>
      </c>
      <c r="M134" s="214">
        <f t="shared" si="30"/>
        <v>77.777777777777786</v>
      </c>
      <c r="N134" s="215">
        <f t="shared" si="31"/>
        <v>100</v>
      </c>
      <c r="O134" s="214">
        <v>7.5</v>
      </c>
      <c r="P134" s="214"/>
      <c r="Q134" s="214">
        <v>38.299999999999997</v>
      </c>
      <c r="R134" s="215">
        <f t="shared" si="32"/>
        <v>45.8</v>
      </c>
      <c r="S134" s="190">
        <v>5</v>
      </c>
      <c r="T134" s="285"/>
      <c r="U134" s="298"/>
      <c r="V134" s="171" t="s">
        <v>451</v>
      </c>
      <c r="W134" s="171" t="s">
        <v>20</v>
      </c>
      <c r="X134" s="171" t="s">
        <v>12</v>
      </c>
      <c r="Y134" s="179">
        <v>38.299999999999997</v>
      </c>
      <c r="Z134" s="171" t="s">
        <v>453</v>
      </c>
      <c r="AA134" s="171" t="s">
        <v>76</v>
      </c>
      <c r="AB134" s="171" t="s">
        <v>11</v>
      </c>
      <c r="AC134" s="179">
        <v>7.5</v>
      </c>
      <c r="AG134" s="179"/>
      <c r="AK134" s="179"/>
      <c r="AO134" s="179"/>
      <c r="AS134" s="179"/>
      <c r="AW134" s="179"/>
      <c r="BA134" s="180"/>
    </row>
    <row r="135" spans="1:53" s="29" customFormat="1" x14ac:dyDescent="0.15">
      <c r="A135" s="29">
        <v>2020</v>
      </c>
      <c r="B135" s="295">
        <v>44141</v>
      </c>
      <c r="C135" s="411" t="s">
        <v>1474</v>
      </c>
      <c r="D135" s="411"/>
      <c r="E135" s="29">
        <v>56</v>
      </c>
      <c r="F135" s="40">
        <v>1</v>
      </c>
      <c r="G135" s="29">
        <v>0</v>
      </c>
      <c r="H135" s="29">
        <v>0</v>
      </c>
      <c r="I135" s="29">
        <v>20</v>
      </c>
      <c r="J135" s="73">
        <v>20</v>
      </c>
      <c r="K135" s="47">
        <f t="shared" si="28"/>
        <v>0</v>
      </c>
      <c r="L135" s="47">
        <f t="shared" si="29"/>
        <v>0</v>
      </c>
      <c r="M135" s="47">
        <f t="shared" si="30"/>
        <v>100</v>
      </c>
      <c r="N135" s="48">
        <f t="shared" si="31"/>
        <v>100</v>
      </c>
      <c r="O135" s="47"/>
      <c r="P135" s="47"/>
      <c r="Q135" s="47">
        <v>54.2</v>
      </c>
      <c r="R135" s="48">
        <v>54.2</v>
      </c>
      <c r="S135" s="37">
        <v>1</v>
      </c>
      <c r="T135" s="286">
        <v>44121</v>
      </c>
      <c r="U135" s="292">
        <v>44141</v>
      </c>
      <c r="V135" s="29" t="s">
        <v>451</v>
      </c>
      <c r="W135" s="29" t="s">
        <v>20</v>
      </c>
      <c r="X135" s="29" t="s">
        <v>12</v>
      </c>
      <c r="Y135" s="39">
        <v>54.2</v>
      </c>
      <c r="AC135" s="39"/>
      <c r="AG135" s="39"/>
      <c r="AK135" s="39"/>
      <c r="AO135" s="39"/>
      <c r="AS135" s="39"/>
      <c r="AW135" s="39"/>
      <c r="BA135" s="40"/>
    </row>
    <row r="136" spans="1:53" x14ac:dyDescent="0.15">
      <c r="B136" s="340"/>
      <c r="J136" s="26"/>
      <c r="K136" s="12"/>
      <c r="L136" s="12"/>
      <c r="M136" s="12"/>
      <c r="N136" s="20"/>
      <c r="O136" s="12"/>
      <c r="P136" s="12"/>
      <c r="Q136" s="12"/>
      <c r="R136" s="20"/>
      <c r="T136" s="340"/>
      <c r="U136" s="340"/>
    </row>
    <row r="138" spans="1:53" ht="18" customHeight="1" x14ac:dyDescent="0.15">
      <c r="B138" s="16" t="s">
        <v>1264</v>
      </c>
      <c r="H138" s="4"/>
      <c r="O138" s="17"/>
    </row>
    <row r="139" spans="1:53" ht="9" customHeight="1" x14ac:dyDescent="0.15">
      <c r="H139" s="4"/>
    </row>
    <row r="140" spans="1:53" s="195" customFormat="1" ht="9" customHeight="1" x14ac:dyDescent="0.15">
      <c r="A140" s="193"/>
      <c r="B140" s="194" t="s">
        <v>1215</v>
      </c>
      <c r="C140" s="194"/>
      <c r="D140" s="194"/>
      <c r="E140" s="194"/>
      <c r="F140" s="194"/>
      <c r="G140" s="194" t="s">
        <v>1216</v>
      </c>
      <c r="H140" s="194"/>
      <c r="I140" s="194"/>
      <c r="J140" s="194"/>
      <c r="K140" s="194"/>
      <c r="L140" s="194"/>
      <c r="M140" s="194"/>
      <c r="N140" s="194"/>
      <c r="R140" s="388" t="s">
        <v>1217</v>
      </c>
      <c r="S140" s="388"/>
      <c r="T140" s="388"/>
      <c r="U140" s="388"/>
      <c r="V140" s="388"/>
      <c r="W140" s="388"/>
      <c r="X140" s="196"/>
      <c r="Y140" s="196"/>
      <c r="AA140" s="196"/>
      <c r="AB140" s="196"/>
      <c r="AC140" s="196"/>
      <c r="AD140" s="196"/>
    </row>
    <row r="141" spans="1:53" s="200" customFormat="1" ht="9" customHeight="1" x14ac:dyDescent="0.15">
      <c r="A141" s="197"/>
      <c r="B141" s="198" t="s">
        <v>1219</v>
      </c>
      <c r="C141" s="199"/>
      <c r="D141" s="199"/>
      <c r="E141" s="199"/>
      <c r="F141" s="199"/>
      <c r="G141" s="198" t="s">
        <v>1218</v>
      </c>
      <c r="H141" s="199"/>
      <c r="I141" s="199"/>
      <c r="J141" s="199"/>
      <c r="K141" s="199"/>
      <c r="L141" s="199"/>
      <c r="M141" s="199"/>
      <c r="N141" s="199"/>
      <c r="R141" s="201" t="s">
        <v>1220</v>
      </c>
      <c r="S141" s="202"/>
      <c r="T141" s="203"/>
      <c r="U141" s="203"/>
      <c r="V141" s="203"/>
      <c r="W141" s="201" t="s">
        <v>1221</v>
      </c>
      <c r="X141" s="203"/>
      <c r="Y141" s="203"/>
      <c r="AA141" s="203"/>
      <c r="AB141" s="203"/>
      <c r="AC141" s="203"/>
      <c r="AD141" s="203"/>
    </row>
    <row r="142" spans="1:53" s="186" customFormat="1" ht="12" customHeight="1" x14ac:dyDescent="0.15">
      <c r="A142" s="204" t="s">
        <v>3</v>
      </c>
      <c r="B142" s="205" t="s">
        <v>8</v>
      </c>
      <c r="C142" s="205" t="s">
        <v>9</v>
      </c>
      <c r="D142" s="205" t="s">
        <v>10</v>
      </c>
      <c r="E142" s="206" t="s">
        <v>1195</v>
      </c>
      <c r="F142" s="205"/>
      <c r="G142" s="186" t="s">
        <v>3</v>
      </c>
      <c r="H142" s="389" t="s">
        <v>0</v>
      </c>
      <c r="I142" s="389"/>
      <c r="J142" s="389" t="s">
        <v>1</v>
      </c>
      <c r="K142" s="389"/>
      <c r="L142" s="389" t="s">
        <v>2</v>
      </c>
      <c r="M142" s="389"/>
      <c r="N142" s="390" t="s">
        <v>1195</v>
      </c>
      <c r="O142" s="390"/>
      <c r="P142" s="207"/>
      <c r="Q142" s="207"/>
      <c r="R142" s="208" t="s">
        <v>3</v>
      </c>
      <c r="S142" s="209" t="s">
        <v>135</v>
      </c>
      <c r="T142" s="207" t="s">
        <v>133</v>
      </c>
      <c r="U142" s="205" t="s">
        <v>134</v>
      </c>
      <c r="V142" s="207"/>
      <c r="W142" s="210" t="s">
        <v>26</v>
      </c>
    </row>
    <row r="143" spans="1:53" s="140" customFormat="1" x14ac:dyDescent="0.15">
      <c r="A143" s="140">
        <v>1959</v>
      </c>
      <c r="B143" s="143">
        <f>(K6*($E6/365)) + (K7*($E7/365))</f>
        <v>0</v>
      </c>
      <c r="C143" s="143">
        <f>(L6*($E6/365)) + (L7*($E7/365))</f>
        <v>0</v>
      </c>
      <c r="D143" s="143">
        <f>(M6*($E6/365)) + (M7*($E7/365))</f>
        <v>100</v>
      </c>
      <c r="E143" s="144">
        <f>B143+C143+D143</f>
        <v>100</v>
      </c>
      <c r="G143" s="140">
        <v>1959</v>
      </c>
      <c r="H143" s="417">
        <f>(O6/$R6*100*($E6/365))+(O7/$R7*100*($E7/365))</f>
        <v>0</v>
      </c>
      <c r="I143" s="417"/>
      <c r="J143" s="417">
        <f>(P6/$R6*100*($E6/365))+(P7/$R7*100*($E7/365))</f>
        <v>0</v>
      </c>
      <c r="K143" s="417"/>
      <c r="L143" s="417">
        <f>(Q6/$R6*100*($E6/365))+(Q7/$R7*100*($E7/365))</f>
        <v>100</v>
      </c>
      <c r="M143" s="417"/>
      <c r="N143" s="412">
        <f>H143+J143+L143</f>
        <v>100</v>
      </c>
      <c r="O143" s="412"/>
      <c r="R143" s="140">
        <v>1959</v>
      </c>
      <c r="S143" s="143">
        <f>(O6*($E6/365)) + (O7*($E7/365))</f>
        <v>0</v>
      </c>
      <c r="T143" s="143">
        <f>(P6*($E6/365)) + (P7*($E7/365))</f>
        <v>0</v>
      </c>
      <c r="U143" s="143">
        <f>(Q6*($E6/365)) + (Q7*($E7/365))</f>
        <v>51.3</v>
      </c>
      <c r="V143" s="143"/>
      <c r="W143" s="143">
        <f>S143+T143+U143</f>
        <v>51.3</v>
      </c>
    </row>
    <row r="144" spans="1:53" x14ac:dyDescent="0.15">
      <c r="A144" s="1">
        <v>1960</v>
      </c>
      <c r="B144" s="5">
        <f>(K8*($E8/366))+(K9*($E9/366))</f>
        <v>5.4644808743169397</v>
      </c>
      <c r="C144" s="5">
        <f>(L8*($E8/366))+(L9*($E9/366))</f>
        <v>0</v>
      </c>
      <c r="D144" s="5">
        <f>(M8*($E8/366))+(M9*($E9/366))</f>
        <v>94.535519125683066</v>
      </c>
      <c r="E144" s="18">
        <f>B144+C144+D144</f>
        <v>100</v>
      </c>
      <c r="G144" s="1">
        <v>1960</v>
      </c>
      <c r="H144" s="409">
        <f>(O8/$R8*100*($E8/366))+(O9/$R9*100*($E9/366))</f>
        <v>5.4644808743169397</v>
      </c>
      <c r="I144" s="409"/>
      <c r="J144" s="409">
        <f>(P8/$R8*100*($E8/366))+(P9/$R9*100*($E9/366))</f>
        <v>0</v>
      </c>
      <c r="K144" s="409"/>
      <c r="L144" s="409">
        <f>(Q8/$R8*100*($E8/366))+(Q9/$R9*100*($E9/366))</f>
        <v>94.535519125683066</v>
      </c>
      <c r="M144" s="409"/>
      <c r="N144" s="379">
        <f>H144+J144+L144</f>
        <v>100</v>
      </c>
      <c r="O144" s="379"/>
      <c r="R144" s="1">
        <v>1960</v>
      </c>
      <c r="S144" s="5">
        <f>(O8*($E8/366))+(O9*($E9/366))</f>
        <v>3.1420765027322402</v>
      </c>
      <c r="T144" s="5">
        <f>(P8*($E8/366))+(P9*($E9/366))</f>
        <v>0</v>
      </c>
      <c r="U144" s="5">
        <f>(Q8*($E8/366))+(Q9*($E9/366))</f>
        <v>48.496721311475412</v>
      </c>
      <c r="V144" s="5"/>
      <c r="W144" s="5">
        <f>S144+T144+U144</f>
        <v>51.638797814207649</v>
      </c>
    </row>
    <row r="145" spans="1:23" x14ac:dyDescent="0.15">
      <c r="A145" s="1">
        <v>1961</v>
      </c>
      <c r="B145" s="5">
        <f>(K10*($E10/365))+(K11*($E11/365))</f>
        <v>100</v>
      </c>
      <c r="C145" s="5">
        <f>(L10*($E10/365))+(L11*($E11/365))</f>
        <v>0</v>
      </c>
      <c r="D145" s="5">
        <f>(M10*($E10/365))+(M11*($E11/365))</f>
        <v>0</v>
      </c>
      <c r="E145" s="18">
        <f t="shared" ref="E145:E197" si="33">B145+C145+D145</f>
        <v>100</v>
      </c>
      <c r="G145" s="1">
        <v>1961</v>
      </c>
      <c r="H145" s="409">
        <f>(O10/$R10*100*($E10/365))+(O11/$R11*100*($E11/365))</f>
        <v>100</v>
      </c>
      <c r="I145" s="409"/>
      <c r="J145" s="409">
        <f>(P10/$R10*100*($E10/365))+(P11/$R11*100*($E11/365))</f>
        <v>0</v>
      </c>
      <c r="K145" s="409"/>
      <c r="L145" s="409">
        <f>(Q10/$R10*100*($E10/365))+(Q11/$R11*100*($E11/365))</f>
        <v>0</v>
      </c>
      <c r="M145" s="409"/>
      <c r="N145" s="379">
        <f t="shared" ref="N145:N195" si="34">H145+J145+L145</f>
        <v>100</v>
      </c>
      <c r="O145" s="379"/>
      <c r="R145" s="1">
        <v>1961</v>
      </c>
      <c r="S145" s="5">
        <f>(O10*($E10/365))+(O11*($E11/365))</f>
        <v>57.5</v>
      </c>
      <c r="T145" s="5">
        <f>(P10*($E10/365))+(P11*($E11/365))</f>
        <v>0</v>
      </c>
      <c r="U145" s="5">
        <f>(Q10*($E10/365))+(Q11*($E11/365))</f>
        <v>0</v>
      </c>
      <c r="V145" s="5"/>
      <c r="W145" s="5">
        <f t="shared" ref="W145:W197" si="35">S145+T145+U145</f>
        <v>57.5</v>
      </c>
    </row>
    <row r="146" spans="1:23" x14ac:dyDescent="0.15">
      <c r="A146" s="1">
        <v>1962</v>
      </c>
      <c r="B146" s="5">
        <f>(K12*($E12/365))+(K13*($E13/365))</f>
        <v>100</v>
      </c>
      <c r="C146" s="5">
        <f>(L12*($E12/365))+(L13*($E13/365))</f>
        <v>0</v>
      </c>
      <c r="D146" s="5">
        <f>(M12*($E12/365))+(M13*($E13/365))</f>
        <v>0</v>
      </c>
      <c r="E146" s="18">
        <f t="shared" si="33"/>
        <v>100</v>
      </c>
      <c r="G146" s="1">
        <v>1962</v>
      </c>
      <c r="H146" s="409">
        <f>(O12/$R12*100*($E12/365))+(O13/$R13*100*($E13/365))</f>
        <v>100</v>
      </c>
      <c r="I146" s="409"/>
      <c r="J146" s="409">
        <f>(P12/$R12*100*($E12/365))+(P13/$R13*100*($E13/365))</f>
        <v>0</v>
      </c>
      <c r="K146" s="409"/>
      <c r="L146" s="409">
        <f>(Q12/$R12*100*($E12/365))+(Q13/$R13*100*($E13/365))</f>
        <v>0</v>
      </c>
      <c r="M146" s="409"/>
      <c r="N146" s="379">
        <f t="shared" si="34"/>
        <v>100</v>
      </c>
      <c r="O146" s="379"/>
      <c r="R146" s="1">
        <v>1962</v>
      </c>
      <c r="S146" s="5">
        <f>(O12*($E12/365))+(O13*($E13/365))</f>
        <v>57.5</v>
      </c>
      <c r="T146" s="5">
        <f>(P12*($E12/365))+(P13*($E13/365))</f>
        <v>0</v>
      </c>
      <c r="U146" s="5">
        <f>(Q12*($E12/365))+(Q13*($E13/365))</f>
        <v>0</v>
      </c>
      <c r="V146" s="5"/>
      <c r="W146" s="5">
        <f t="shared" si="35"/>
        <v>57.5</v>
      </c>
    </row>
    <row r="147" spans="1:23" x14ac:dyDescent="0.15">
      <c r="A147" s="1">
        <v>1963</v>
      </c>
      <c r="B147" s="5">
        <f>(K14*($E14/365))+(K15*($E15/365))</f>
        <v>100.00000000000001</v>
      </c>
      <c r="C147" s="5">
        <f>(L14*($E14/365))+(L15*($E15/365))</f>
        <v>0</v>
      </c>
      <c r="D147" s="5">
        <f>(M14*($E14/365))+(M15*($E15/365))</f>
        <v>0</v>
      </c>
      <c r="E147" s="18">
        <f t="shared" si="33"/>
        <v>100.00000000000001</v>
      </c>
      <c r="G147" s="1">
        <v>1963</v>
      </c>
      <c r="H147" s="409">
        <f>(O14/$R14*100*($E14/365))+(O15/$R15*100*($E15/365))</f>
        <v>100.00000000000001</v>
      </c>
      <c r="I147" s="409"/>
      <c r="J147" s="409">
        <f>(P14/$R14*100*($E14/365))+(P15/$R15*100*($E15/365))</f>
        <v>0</v>
      </c>
      <c r="K147" s="409"/>
      <c r="L147" s="409">
        <f>(Q14/$R14*100*($E14/365))+(Q15/$R15*100*($E15/365))</f>
        <v>0</v>
      </c>
      <c r="M147" s="409"/>
      <c r="N147" s="379">
        <f t="shared" si="34"/>
        <v>100.00000000000001</v>
      </c>
      <c r="O147" s="379"/>
      <c r="R147" s="1">
        <v>1963</v>
      </c>
      <c r="S147" s="5">
        <f>(O14*($E14/365))+(O15*($E15/365))</f>
        <v>57.460547945205484</v>
      </c>
      <c r="T147" s="5">
        <f>(P14*($E14/365))+(P15*($E15/365))</f>
        <v>0</v>
      </c>
      <c r="U147" s="5">
        <f>(Q14*($E14/365))+(Q15*($E15/365))</f>
        <v>0</v>
      </c>
      <c r="V147" s="5"/>
      <c r="W147" s="5">
        <f t="shared" si="35"/>
        <v>57.460547945205484</v>
      </c>
    </row>
    <row r="148" spans="1:23" x14ac:dyDescent="0.15">
      <c r="A148" s="1">
        <v>1964</v>
      </c>
      <c r="B148" s="5">
        <f>(K16*($E16/366))+(K17*($E17/366))</f>
        <v>100</v>
      </c>
      <c r="C148" s="5">
        <f>(L16*($E16/366))+(L17*($E17/366))</f>
        <v>0</v>
      </c>
      <c r="D148" s="5">
        <f>(M16*($E16/366))+(M17*($E17/366))</f>
        <v>0</v>
      </c>
      <c r="E148" s="18">
        <f t="shared" si="33"/>
        <v>100</v>
      </c>
      <c r="G148" s="1">
        <v>1964</v>
      </c>
      <c r="H148" s="409">
        <f>(O16/$R16*100*($E16/366))+(O17/$R17*100*($E17/366))</f>
        <v>100</v>
      </c>
      <c r="I148" s="409"/>
      <c r="J148" s="409">
        <f>(P16/$R16*100*($E16/366))+(P17/$R17*100*($E17/366))</f>
        <v>0</v>
      </c>
      <c r="K148" s="409"/>
      <c r="L148" s="409">
        <f>(Q16/$R16*100*($E16/366))+(Q17/$R17*100*($E17/366))</f>
        <v>0</v>
      </c>
      <c r="M148" s="409"/>
      <c r="N148" s="379">
        <f t="shared" si="34"/>
        <v>100</v>
      </c>
      <c r="O148" s="379"/>
      <c r="R148" s="1">
        <v>1964</v>
      </c>
      <c r="S148" s="5">
        <f>(O16*($E16/366))+(O17*($E17/366))</f>
        <v>56.3</v>
      </c>
      <c r="T148" s="5">
        <f>(P16*($E16/366))+(P17*($E17/366))</f>
        <v>0</v>
      </c>
      <c r="U148" s="5">
        <f>(Q16*($E16/366))+(Q17*($E17/366))</f>
        <v>0</v>
      </c>
      <c r="V148" s="5"/>
      <c r="W148" s="5">
        <f t="shared" si="35"/>
        <v>56.3</v>
      </c>
    </row>
    <row r="149" spans="1:23" x14ac:dyDescent="0.15">
      <c r="A149" s="1">
        <v>1965</v>
      </c>
      <c r="B149" s="5">
        <f>(K18*($E18/365))+(K19*($E19/365))</f>
        <v>100</v>
      </c>
      <c r="C149" s="5">
        <f>(L18*($E18/365))+(L19*($E19/365))</f>
        <v>0</v>
      </c>
      <c r="D149" s="5">
        <f>(M18*($E18/365))+(M19*($E19/365))</f>
        <v>0</v>
      </c>
      <c r="E149" s="18">
        <f t="shared" si="33"/>
        <v>100</v>
      </c>
      <c r="G149" s="1">
        <v>1965</v>
      </c>
      <c r="H149" s="409">
        <f>(O18/$R18*100*($E18/365))+(O19/$R19*100*($E19/365))</f>
        <v>100</v>
      </c>
      <c r="I149" s="409"/>
      <c r="J149" s="409">
        <f>(P18/$R18*100*($E18/365))+(P19/$R19*100*($E19/365))</f>
        <v>0</v>
      </c>
      <c r="K149" s="409"/>
      <c r="L149" s="409">
        <f>(Q18/$R18*100*($E18/365))+(Q19/$R19*100*($E19/365))</f>
        <v>0</v>
      </c>
      <c r="M149" s="409"/>
      <c r="N149" s="379">
        <f t="shared" si="34"/>
        <v>100</v>
      </c>
      <c r="O149" s="379"/>
      <c r="R149" s="1">
        <v>1965</v>
      </c>
      <c r="S149" s="5">
        <f>(O18*($E18/365))+(O19*($E19/365))</f>
        <v>56.3</v>
      </c>
      <c r="T149" s="5">
        <f>(P18*($E18/365))+(P19*($E19/365))</f>
        <v>0</v>
      </c>
      <c r="U149" s="5">
        <f>(Q18*($E18/365))+(Q19*($E19/365))</f>
        <v>0</v>
      </c>
      <c r="V149" s="5"/>
      <c r="W149" s="5">
        <f t="shared" si="35"/>
        <v>56.3</v>
      </c>
    </row>
    <row r="150" spans="1:23" x14ac:dyDescent="0.15">
      <c r="A150" s="1">
        <v>1966</v>
      </c>
      <c r="B150" s="5">
        <f>(K20*($E20/365))+(K21*($E21/365))</f>
        <v>100</v>
      </c>
      <c r="C150" s="5">
        <f>(L20*($E20/365))+(L21*($E21/365))</f>
        <v>0</v>
      </c>
      <c r="D150" s="5">
        <f>(M20*($E20/365))+(M21*($E21/365))</f>
        <v>0</v>
      </c>
      <c r="E150" s="18">
        <f t="shared" si="33"/>
        <v>100</v>
      </c>
      <c r="G150" s="1">
        <v>1966</v>
      </c>
      <c r="H150" s="409">
        <f>(O20/$R20*100*($E20/365))+(O21/$R21*100*($E21/365))</f>
        <v>100</v>
      </c>
      <c r="I150" s="409"/>
      <c r="J150" s="409">
        <f>(P20/$R20*100*($E20/365))+(P21/$R21*100*($E21/365))</f>
        <v>0</v>
      </c>
      <c r="K150" s="409"/>
      <c r="L150" s="409">
        <f>(Q20/$R20*100*($E20/365))+(Q21/$R21*100*($E21/365))</f>
        <v>0</v>
      </c>
      <c r="M150" s="409"/>
      <c r="N150" s="379">
        <f t="shared" si="34"/>
        <v>100</v>
      </c>
      <c r="O150" s="379"/>
      <c r="R150" s="1">
        <v>1966</v>
      </c>
      <c r="S150" s="5">
        <f>(O20*($E20/365))+(O21*($E21/365))</f>
        <v>56.228767123287668</v>
      </c>
      <c r="T150" s="5">
        <f>(P20*($E20/365))+(P21*($E21/365))</f>
        <v>0</v>
      </c>
      <c r="U150" s="5">
        <f>(Q20*($E20/365))+(Q21*($E21/365))</f>
        <v>0</v>
      </c>
      <c r="V150" s="5"/>
      <c r="W150" s="5">
        <f t="shared" si="35"/>
        <v>56.228767123287668</v>
      </c>
    </row>
    <row r="151" spans="1:23" x14ac:dyDescent="0.15">
      <c r="A151" s="1">
        <v>1967</v>
      </c>
      <c r="B151" s="5">
        <f>(K22*($E22/365))+(K23*($E23/365))</f>
        <v>100</v>
      </c>
      <c r="C151" s="5">
        <f>(L22*($E22/365))+(L23*($E23/365))</f>
        <v>0</v>
      </c>
      <c r="D151" s="5">
        <f>(M22*($E22/365))+(M23*($E23/365))</f>
        <v>0</v>
      </c>
      <c r="E151" s="18">
        <f t="shared" si="33"/>
        <v>100</v>
      </c>
      <c r="G151" s="1">
        <v>1967</v>
      </c>
      <c r="H151" s="409">
        <f>(O22/$R22*100*($E22/365))+(O23/$R23*100*($E23/365))</f>
        <v>100</v>
      </c>
      <c r="I151" s="409"/>
      <c r="J151" s="409">
        <f>(P22/$R22*100*($E22/365))+(P23/$R23*100*($E23/365))</f>
        <v>0</v>
      </c>
      <c r="K151" s="409"/>
      <c r="L151" s="409">
        <f>(Q22/$R22*100*($E22/365))+(Q23/$R23*100*($E23/365))</f>
        <v>0</v>
      </c>
      <c r="M151" s="409"/>
      <c r="N151" s="379">
        <f t="shared" si="34"/>
        <v>100</v>
      </c>
      <c r="O151" s="379"/>
      <c r="R151" s="1">
        <v>1967</v>
      </c>
      <c r="S151" s="5">
        <f>(O22*($E22/365))+(O23*($E23/365))</f>
        <v>55</v>
      </c>
      <c r="T151" s="5">
        <f>(P22*($E22/365))+(P23*($E23/365))</f>
        <v>0</v>
      </c>
      <c r="U151" s="5">
        <f>(Q22*($E22/365))+(Q23*($E23/365))</f>
        <v>0</v>
      </c>
      <c r="V151" s="5"/>
      <c r="W151" s="5">
        <f t="shared" si="35"/>
        <v>55</v>
      </c>
    </row>
    <row r="152" spans="1:23" x14ac:dyDescent="0.15">
      <c r="A152" s="1">
        <v>1968</v>
      </c>
      <c r="B152" s="5">
        <f>(K24*($E24/366))+(K25*($E25/366))</f>
        <v>100</v>
      </c>
      <c r="C152" s="5">
        <f>(L24*($E24/366))+(L25*($E25/366))</f>
        <v>0</v>
      </c>
      <c r="D152" s="5">
        <f>(M24*($E24/366))+(M25*($E25/366))</f>
        <v>0</v>
      </c>
      <c r="E152" s="18">
        <f t="shared" si="33"/>
        <v>100</v>
      </c>
      <c r="G152" s="1">
        <v>1968</v>
      </c>
      <c r="H152" s="409">
        <f>(O24/$R24*100*($E24/366))+(O25/$R25*100*($E25/366))</f>
        <v>100</v>
      </c>
      <c r="I152" s="409"/>
      <c r="J152" s="409">
        <f>(P24/$R24*100*($E24/366))+(P25/$R25*100*($E25/366))</f>
        <v>0</v>
      </c>
      <c r="K152" s="409"/>
      <c r="L152" s="409">
        <f>(Q24/$R24*100*($E24/366))+(Q25/$R25*100*($E25/366))</f>
        <v>0</v>
      </c>
      <c r="M152" s="409"/>
      <c r="N152" s="379">
        <f t="shared" si="34"/>
        <v>100</v>
      </c>
      <c r="O152" s="379"/>
      <c r="R152" s="1">
        <v>1968</v>
      </c>
      <c r="S152" s="5">
        <f>(O24*($E24/366))+(O25*($E25/366))</f>
        <v>55</v>
      </c>
      <c r="T152" s="5">
        <f>(P24*($E24/366))+(P25*($E25/366))</f>
        <v>0</v>
      </c>
      <c r="U152" s="5">
        <f>(Q24*($E24/366))+(Q25*($E25/366))</f>
        <v>0</v>
      </c>
      <c r="V152" s="5"/>
      <c r="W152" s="5">
        <f t="shared" si="35"/>
        <v>55</v>
      </c>
    </row>
    <row r="153" spans="1:23" x14ac:dyDescent="0.15">
      <c r="A153" s="1">
        <v>1969</v>
      </c>
      <c r="B153" s="5">
        <f>(K26*($E26/365))+(K27*($E27/365))</f>
        <v>100</v>
      </c>
      <c r="C153" s="5">
        <f>(L26*($E26/365))+(L27*($E27/365))</f>
        <v>0</v>
      </c>
      <c r="D153" s="5">
        <f>(M26*($E26/365))+(M27*($E27/365))</f>
        <v>0</v>
      </c>
      <c r="E153" s="18">
        <f t="shared" si="33"/>
        <v>100</v>
      </c>
      <c r="G153" s="1">
        <v>1969</v>
      </c>
      <c r="H153" s="409">
        <f>(O26/$R26*100*($E26/365))+(O27/$R27*100*($E27/365))</f>
        <v>100</v>
      </c>
      <c r="I153" s="409"/>
      <c r="J153" s="409">
        <f>(P26/$R26*100*($E26/365))+(P27/$R27*100*($E27/365))</f>
        <v>0</v>
      </c>
      <c r="K153" s="409"/>
      <c r="L153" s="409">
        <f>(Q26/$R26*100*($E26/365))+(Q27/$R27*100*($E27/365))</f>
        <v>0</v>
      </c>
      <c r="M153" s="409"/>
      <c r="N153" s="379">
        <f t="shared" si="34"/>
        <v>100</v>
      </c>
      <c r="O153" s="379"/>
      <c r="R153" s="1">
        <v>1969</v>
      </c>
      <c r="S153" s="5">
        <f>(O26*($E26/365))+(O27*($E27/365))</f>
        <v>54.961643835616435</v>
      </c>
      <c r="T153" s="5">
        <f>(P26*($E26/365))+(P27*($E27/365))</f>
        <v>0</v>
      </c>
      <c r="U153" s="5">
        <f>(Q26*($E26/365))+(Q27*($E27/365))</f>
        <v>0</v>
      </c>
      <c r="V153" s="5"/>
      <c r="W153" s="5">
        <f t="shared" si="35"/>
        <v>54.961643835616435</v>
      </c>
    </row>
    <row r="154" spans="1:23" x14ac:dyDescent="0.15">
      <c r="A154" s="1">
        <v>1970</v>
      </c>
      <c r="B154" s="5">
        <f>(K28*($E28/365))+(K29*($E29/365))</f>
        <v>100</v>
      </c>
      <c r="C154" s="5">
        <f>(L28*($E28/365))+(L29*($E29/365))</f>
        <v>0</v>
      </c>
      <c r="D154" s="5">
        <f>(M28*($E28/365))+(M29*($E29/365))</f>
        <v>0</v>
      </c>
      <c r="E154" s="18">
        <f t="shared" si="33"/>
        <v>100</v>
      </c>
      <c r="G154" s="1">
        <v>1970</v>
      </c>
      <c r="H154" s="409">
        <f>(O28/$R28*100*($E28/365))+(O29/$R29*100*($E29/365))</f>
        <v>100</v>
      </c>
      <c r="I154" s="409"/>
      <c r="J154" s="409">
        <f>(P28/$R28*100*($E28/365))+(P29/$R29*100*($E29/365))</f>
        <v>0</v>
      </c>
      <c r="K154" s="409"/>
      <c r="L154" s="409">
        <f>(Q28/$R28*100*($E28/365))+(Q29/$R29*100*($E29/365))</f>
        <v>0</v>
      </c>
      <c r="M154" s="409"/>
      <c r="N154" s="379">
        <f t="shared" si="34"/>
        <v>100</v>
      </c>
      <c r="O154" s="379"/>
      <c r="R154" s="1">
        <v>1970</v>
      </c>
      <c r="S154" s="5">
        <f>(O28*($E28/365))+(O29*($E29/365))</f>
        <v>53.6</v>
      </c>
      <c r="T154" s="5">
        <f>(P28*($E28/365))+(P29*($E29/365))</f>
        <v>0</v>
      </c>
      <c r="U154" s="5">
        <f>(Q28*($E28/365))+(Q29*($E29/365))</f>
        <v>0</v>
      </c>
      <c r="V154" s="5"/>
      <c r="W154" s="5">
        <f t="shared" si="35"/>
        <v>53.6</v>
      </c>
    </row>
    <row r="155" spans="1:23" x14ac:dyDescent="0.15">
      <c r="A155" s="1">
        <v>1971</v>
      </c>
      <c r="B155" s="5">
        <f>(K30*($E30/365))+(K31*($E31/365))</f>
        <v>100</v>
      </c>
      <c r="C155" s="5">
        <f>(L30*($E30/365))+(L31*($E31/365))</f>
        <v>0</v>
      </c>
      <c r="D155" s="5">
        <f>(M30*($E30/365))+(M31*($E31/365))</f>
        <v>0</v>
      </c>
      <c r="E155" s="18">
        <f t="shared" si="33"/>
        <v>100</v>
      </c>
      <c r="G155" s="1">
        <v>1971</v>
      </c>
      <c r="H155" s="409">
        <f>(O30/$R30*100*($E30/365))+(O31/$R31*100*($E31/365))</f>
        <v>100</v>
      </c>
      <c r="I155" s="409"/>
      <c r="J155" s="409">
        <f>(P30/$R30*100*($E30/365))+(P31/$R31*100*($E31/365))</f>
        <v>0</v>
      </c>
      <c r="K155" s="409"/>
      <c r="L155" s="409">
        <f>(Q30/$R30*100*($E30/365))+(Q31/$R31*100*($E31/365))</f>
        <v>0</v>
      </c>
      <c r="M155" s="409"/>
      <c r="N155" s="379">
        <f t="shared" si="34"/>
        <v>100</v>
      </c>
      <c r="O155" s="379"/>
      <c r="R155" s="1">
        <v>1971</v>
      </c>
      <c r="S155" s="5">
        <f>(O30*($E30/365))+(O31*($E31/365))</f>
        <v>53.6</v>
      </c>
      <c r="T155" s="5">
        <f>(P30*($E30/365))+(P31*($E31/365))</f>
        <v>0</v>
      </c>
      <c r="U155" s="5">
        <f>(Q30*($E30/365))+(Q31*($E31/365))</f>
        <v>0</v>
      </c>
      <c r="V155" s="5"/>
      <c r="W155" s="5">
        <f t="shared" si="35"/>
        <v>53.6</v>
      </c>
    </row>
    <row r="156" spans="1:23" x14ac:dyDescent="0.15">
      <c r="A156" s="1">
        <v>1972</v>
      </c>
      <c r="B156" s="5">
        <f>(K32*($E32/366))+(K33*($E33/366))+(K34*($E34/366))</f>
        <v>93.442622950819668</v>
      </c>
      <c r="C156" s="5">
        <f>(L32*($E32/366))+(L33*($E33/366))+(L34*($E34/366))</f>
        <v>0</v>
      </c>
      <c r="D156" s="5">
        <f>(M32*($E32/366))+(M33*($E33/366))+(M34*($E34/366))</f>
        <v>6.557377049180328</v>
      </c>
      <c r="E156" s="18">
        <f t="shared" si="33"/>
        <v>100</v>
      </c>
      <c r="G156" s="1">
        <v>1972</v>
      </c>
      <c r="H156" s="409">
        <f>(O32/$R32*100*($E32/366))+(O33/$R33*100*($E33/366))+(O34/$R34*100*($E34/366))</f>
        <v>93.442622950819668</v>
      </c>
      <c r="I156" s="409"/>
      <c r="J156" s="409">
        <f>(P32/$R32*100*($E32/366))+(P33/$R33*100*($E33/366))+(P34/$R34*100*($E34/366))</f>
        <v>0</v>
      </c>
      <c r="K156" s="409"/>
      <c r="L156" s="409">
        <f>(Q32/$R32*100*($E32/366))+(Q33/$R33*100*($E33/366))+(Q34/$R34*100*($E34/366))</f>
        <v>6.557377049180328</v>
      </c>
      <c r="M156" s="409"/>
      <c r="N156" s="379">
        <f t="shared" si="34"/>
        <v>100</v>
      </c>
      <c r="O156" s="379"/>
      <c r="R156" s="1">
        <v>1972</v>
      </c>
      <c r="S156" s="5">
        <f>(O32*($E32/366))+(O33*($E33/366))+(O34*($E34/366))</f>
        <v>50.085245901639354</v>
      </c>
      <c r="T156" s="5">
        <f>(P32*($E32/366))+(P33*($E33/366))+(P34*($E34/366))</f>
        <v>0</v>
      </c>
      <c r="U156" s="5">
        <f>(Q32*($E32/366))+(Q33*($E33/366))+(Q34*($E34/366))</f>
        <v>4.1442622950819672</v>
      </c>
      <c r="V156" s="5"/>
      <c r="W156" s="5">
        <f t="shared" si="35"/>
        <v>54.229508196721319</v>
      </c>
    </row>
    <row r="157" spans="1:23" x14ac:dyDescent="0.15">
      <c r="A157" s="1">
        <v>1973</v>
      </c>
      <c r="B157" s="5">
        <f>(K35*($E35/365))+(K36*($E36/365))</f>
        <v>0</v>
      </c>
      <c r="C157" s="5">
        <f>(L35*($E35/365))+(L36*($E36/365))</f>
        <v>0</v>
      </c>
      <c r="D157" s="5">
        <f>(M35*($E35/365))+(M36*($E36/365))</f>
        <v>100</v>
      </c>
      <c r="E157" s="18">
        <f t="shared" si="33"/>
        <v>100</v>
      </c>
      <c r="G157" s="1">
        <v>1973</v>
      </c>
      <c r="H157" s="409">
        <f>(O35/$R35*100*($E35/365))+(O36/$R36*100*($E36/365))</f>
        <v>0</v>
      </c>
      <c r="I157" s="409"/>
      <c r="J157" s="409">
        <f>(P35/$R35*100*($E35/365))+(P36/$R36*100*($E36/365))</f>
        <v>0</v>
      </c>
      <c r="K157" s="409"/>
      <c r="L157" s="409">
        <f>(Q35/$R35*100*($E35/365))+(Q36/$R36*100*($E36/365))</f>
        <v>100</v>
      </c>
      <c r="M157" s="409"/>
      <c r="N157" s="379">
        <f t="shared" si="34"/>
        <v>100</v>
      </c>
      <c r="O157" s="379"/>
      <c r="R157" s="1">
        <v>1973</v>
      </c>
      <c r="S157" s="5">
        <f>(O35*($E35/365))+(O36*($E36/365))</f>
        <v>0</v>
      </c>
      <c r="T157" s="5">
        <f>(P35*($E35/365))+(P36*($E36/365))</f>
        <v>0</v>
      </c>
      <c r="U157" s="5">
        <f>(Q35*($E35/365))+(Q36*($E36/365))</f>
        <v>63.2</v>
      </c>
      <c r="V157" s="5"/>
      <c r="W157" s="5">
        <f t="shared" si="35"/>
        <v>63.2</v>
      </c>
    </row>
    <row r="158" spans="1:23" x14ac:dyDescent="0.15">
      <c r="A158" s="1">
        <v>1974</v>
      </c>
      <c r="B158" s="5">
        <f>(K37*($E37/365))+(K38*($E38/365))</f>
        <v>0</v>
      </c>
      <c r="C158" s="5">
        <f>(L37*($E37/365))+(L38*($E38/365))</f>
        <v>0</v>
      </c>
      <c r="D158" s="5">
        <f>(M37*($E37/365))+(M38*($E38/365))</f>
        <v>100</v>
      </c>
      <c r="E158" s="18">
        <f t="shared" si="33"/>
        <v>100</v>
      </c>
      <c r="G158" s="1">
        <v>1974</v>
      </c>
      <c r="H158" s="409">
        <f>(O37/$R37*100*($E37/365))+(O38/$R38*100*($E38/365))</f>
        <v>0</v>
      </c>
      <c r="I158" s="409"/>
      <c r="J158" s="409">
        <f>(P37/$R37*100*($E37/365))+(P38/$R38*100*($E38/365))</f>
        <v>0</v>
      </c>
      <c r="K158" s="409"/>
      <c r="L158" s="409">
        <f>(Q37/$R37*100*($E37/365))+(Q38/$R38*100*($E38/365))</f>
        <v>100</v>
      </c>
      <c r="M158" s="409"/>
      <c r="N158" s="379">
        <f t="shared" si="34"/>
        <v>100</v>
      </c>
      <c r="O158" s="379"/>
      <c r="R158" s="1">
        <v>1974</v>
      </c>
      <c r="S158" s="5">
        <f>(O37*($E37/365))+(O38*($E38/365))</f>
        <v>0</v>
      </c>
      <c r="T158" s="5">
        <f>(P37*($E37/365))+(P38*($E38/365))</f>
        <v>0</v>
      </c>
      <c r="U158" s="5">
        <f>(Q37*($E37/365))+(Q38*($E38/365))</f>
        <v>63.2</v>
      </c>
      <c r="V158" s="5"/>
      <c r="W158" s="5">
        <f t="shared" si="35"/>
        <v>63.2</v>
      </c>
    </row>
    <row r="159" spans="1:23" x14ac:dyDescent="0.15">
      <c r="A159" s="1">
        <v>1975</v>
      </c>
      <c r="B159" s="5">
        <f>(K39*($E39/365))+(K40*($E40/365))</f>
        <v>5.4794520547945202</v>
      </c>
      <c r="C159" s="5">
        <f>(L39*($E39/365))+(L40*($E40/365))</f>
        <v>0</v>
      </c>
      <c r="D159" s="5">
        <f>(M39*($E39/365))+(M40*($E40/365))</f>
        <v>94.520547945205479</v>
      </c>
      <c r="E159" s="18">
        <f t="shared" si="33"/>
        <v>100</v>
      </c>
      <c r="G159" s="1">
        <v>1975</v>
      </c>
      <c r="H159" s="409">
        <f>(O39/$R39*100*($E39/365))+(O40/$R40*100*($E40/365))</f>
        <v>5.4794520547945202</v>
      </c>
      <c r="I159" s="409"/>
      <c r="J159" s="409">
        <f>(P39/$R39*100*($E39/365))+(P40/$R40*100*($E40/365))</f>
        <v>0</v>
      </c>
      <c r="K159" s="409"/>
      <c r="L159" s="409">
        <f>(Q39/$R39*100*($E39/365))+(Q40/$R40*100*($E40/365))</f>
        <v>94.520547945205479</v>
      </c>
      <c r="M159" s="409"/>
      <c r="N159" s="379">
        <f t="shared" si="34"/>
        <v>100</v>
      </c>
      <c r="O159" s="379"/>
      <c r="R159" s="1">
        <v>1975</v>
      </c>
      <c r="S159" s="5">
        <f>(O39*($E39/365))+(O40*($E40/365))</f>
        <v>3.463013698630137</v>
      </c>
      <c r="T159" s="5">
        <f>(P39*($E39/365))+(P40*($E40/365))</f>
        <v>0</v>
      </c>
      <c r="U159" s="5">
        <f>(Q39*($E39/365))+(Q40*($E40/365))</f>
        <v>59.736986301369868</v>
      </c>
      <c r="V159" s="5"/>
      <c r="W159" s="5">
        <f t="shared" si="35"/>
        <v>63.2</v>
      </c>
    </row>
    <row r="160" spans="1:23" x14ac:dyDescent="0.15">
      <c r="A160" s="1">
        <v>1976</v>
      </c>
      <c r="B160" s="5">
        <f>(K41*($E41/366))+(K42*($E42/366))</f>
        <v>100</v>
      </c>
      <c r="C160" s="5">
        <f>(L41*($E41/366))+(L42*($E42/366))</f>
        <v>0</v>
      </c>
      <c r="D160" s="5">
        <f>(M41*($E41/366))+(M42*($E42/366))</f>
        <v>0</v>
      </c>
      <c r="E160" s="18">
        <f t="shared" si="33"/>
        <v>100</v>
      </c>
      <c r="G160" s="1">
        <v>1976</v>
      </c>
      <c r="H160" s="409">
        <f>(O41/$R41*100*($E41/366))+(O42/$R42*100*($E42/366))</f>
        <v>100</v>
      </c>
      <c r="I160" s="409"/>
      <c r="J160" s="409">
        <f>(P41/$R41*100*($E41/366))+(P42/$R42*100*($E42/366))</f>
        <v>0</v>
      </c>
      <c r="K160" s="409"/>
      <c r="L160" s="409">
        <f>(Q41/$R41*100*($E41/366))+(Q42/$R42*100*($E42/366))</f>
        <v>0</v>
      </c>
      <c r="M160" s="409"/>
      <c r="N160" s="379">
        <f t="shared" si="34"/>
        <v>100</v>
      </c>
      <c r="O160" s="379"/>
      <c r="R160" s="1">
        <v>1976</v>
      </c>
      <c r="S160" s="5">
        <f>(O41*($E41/366))+(O42*($E42/366))</f>
        <v>63.2</v>
      </c>
      <c r="T160" s="5">
        <f>(P41*($E41/366))+(P42*($E42/366))</f>
        <v>0</v>
      </c>
      <c r="U160" s="5">
        <f>(Q41*($E41/366))+(Q42*($E42/366))</f>
        <v>0</v>
      </c>
      <c r="V160" s="5"/>
      <c r="W160" s="5">
        <f t="shared" si="35"/>
        <v>63.2</v>
      </c>
    </row>
    <row r="161" spans="1:23" x14ac:dyDescent="0.15">
      <c r="A161" s="1">
        <v>1977</v>
      </c>
      <c r="B161" s="5">
        <f>(K43*($E43/365))+(K44*($E44/365))</f>
        <v>100</v>
      </c>
      <c r="C161" s="5">
        <f>(L43*($E43/365))+(L44*($E44/365))</f>
        <v>0</v>
      </c>
      <c r="D161" s="5">
        <f>(M43*($E43/365))+(M44*($E44/365))</f>
        <v>0</v>
      </c>
      <c r="E161" s="18">
        <f t="shared" si="33"/>
        <v>100</v>
      </c>
      <c r="G161" s="1">
        <v>1977</v>
      </c>
      <c r="H161" s="409">
        <f>(O43/$R43*100*($E43/365))+(O44/$R44*100*($E44/365))</f>
        <v>100</v>
      </c>
      <c r="I161" s="409"/>
      <c r="J161" s="409">
        <f>(P43/$R43*100*($E43/365))+(P44/$R44*100*($E44/365))</f>
        <v>0</v>
      </c>
      <c r="K161" s="409"/>
      <c r="L161" s="409">
        <f>(Q43/$R43*100*($E43/365))+(Q44/$R44*100*($E44/365))</f>
        <v>0</v>
      </c>
      <c r="M161" s="409"/>
      <c r="N161" s="379">
        <f t="shared" si="34"/>
        <v>100</v>
      </c>
      <c r="O161" s="379"/>
      <c r="R161" s="1">
        <v>1977</v>
      </c>
      <c r="S161" s="5">
        <f>(O43*($E43/365))+(O44*($E44/365))</f>
        <v>63.2</v>
      </c>
      <c r="T161" s="5">
        <f>(P43*($E43/365))+(P44*($E44/365))</f>
        <v>0</v>
      </c>
      <c r="U161" s="5">
        <f>(Q43*($E43/365))+(Q44*($E44/365))</f>
        <v>0</v>
      </c>
      <c r="V161" s="5"/>
      <c r="W161" s="5">
        <f t="shared" si="35"/>
        <v>63.2</v>
      </c>
    </row>
    <row r="162" spans="1:23" x14ac:dyDescent="0.15">
      <c r="A162" s="1">
        <v>1978</v>
      </c>
      <c r="B162" s="5">
        <f>(K45*($E45/365))+(K46*($E46/365))</f>
        <v>100</v>
      </c>
      <c r="C162" s="5">
        <f>(L45*($E45/365))+(L46*($E46/365))</f>
        <v>0</v>
      </c>
      <c r="D162" s="5">
        <f>(M45*($E45/365))+(M46*($E46/365))</f>
        <v>0</v>
      </c>
      <c r="E162" s="18">
        <f t="shared" si="33"/>
        <v>100</v>
      </c>
      <c r="G162" s="1">
        <v>1978</v>
      </c>
      <c r="H162" s="409">
        <f>(O45/$R45*100*($E45/365))+(O46/$R46*100*($E46/365))</f>
        <v>100</v>
      </c>
      <c r="I162" s="409"/>
      <c r="J162" s="409">
        <f>(P45/$R45*100*($E45/365))+(P46/$R46*100*($E46/365))</f>
        <v>0</v>
      </c>
      <c r="K162" s="409"/>
      <c r="L162" s="409">
        <f>(Q45/$R45*100*($E45/365))+(Q46/$R46*100*($E46/365))</f>
        <v>0</v>
      </c>
      <c r="M162" s="409"/>
      <c r="N162" s="379">
        <f t="shared" si="34"/>
        <v>100</v>
      </c>
      <c r="O162" s="379"/>
      <c r="R162" s="1">
        <v>1978</v>
      </c>
      <c r="S162" s="5">
        <f>(O45*($E45/365))+(O46*($E46/365))</f>
        <v>62.793972602739728</v>
      </c>
      <c r="T162" s="5">
        <f>(P45*($E45/365))+(P46*($E46/365))</f>
        <v>0</v>
      </c>
      <c r="U162" s="5">
        <f>(Q45*($E45/365))+(Q46*($E46/365))</f>
        <v>0</v>
      </c>
      <c r="V162" s="5"/>
      <c r="W162" s="5">
        <f t="shared" si="35"/>
        <v>62.793972602739728</v>
      </c>
    </row>
    <row r="163" spans="1:23" x14ac:dyDescent="0.15">
      <c r="A163" s="1">
        <v>1979</v>
      </c>
      <c r="B163" s="5">
        <f>(K47*($E47/365))+(K48*($E48/365))</f>
        <v>100</v>
      </c>
      <c r="C163" s="5">
        <f>(L47*($E47/365))+(L48*($E48/365))</f>
        <v>0</v>
      </c>
      <c r="D163" s="5">
        <f>(M47*($E47/365))+(M48*($E48/365))</f>
        <v>0</v>
      </c>
      <c r="E163" s="18">
        <f t="shared" si="33"/>
        <v>100</v>
      </c>
      <c r="G163" s="1">
        <v>1979</v>
      </c>
      <c r="H163" s="409">
        <f>(O47/$R47*100*($E47/365))+(O48/$R48*100*($E48/365))</f>
        <v>100</v>
      </c>
      <c r="I163" s="409"/>
      <c r="J163" s="409">
        <f>(P47/$R47*100*($E47/365))+(P48/$R48*100*($E48/365))</f>
        <v>0</v>
      </c>
      <c r="K163" s="409"/>
      <c r="L163" s="409">
        <f>(Q47/$R47*100*($E47/365))+(Q48/$R48*100*($E48/365))</f>
        <v>0</v>
      </c>
      <c r="M163" s="409"/>
      <c r="N163" s="379">
        <f t="shared" si="34"/>
        <v>100</v>
      </c>
      <c r="O163" s="379"/>
      <c r="R163" s="1">
        <v>1979</v>
      </c>
      <c r="S163" s="5">
        <f>(O47*($E47/365))+(O48*($E48/365))</f>
        <v>55.4</v>
      </c>
      <c r="T163" s="5">
        <f>(P47*($E47/365))+(P48*($E48/365))</f>
        <v>0</v>
      </c>
      <c r="U163" s="5">
        <f>(Q47*($E47/365))+(Q48*($E48/365))</f>
        <v>0</v>
      </c>
      <c r="V163" s="5"/>
      <c r="W163" s="5">
        <f t="shared" si="35"/>
        <v>55.4</v>
      </c>
    </row>
    <row r="164" spans="1:23" x14ac:dyDescent="0.15">
      <c r="A164" s="1">
        <v>1980</v>
      </c>
      <c r="B164" s="5">
        <f>(K49*($E49/366))+(K50*($E50/366))</f>
        <v>100</v>
      </c>
      <c r="C164" s="5">
        <f>(L49*($E49/366))+(L50*($E50/366))</f>
        <v>0</v>
      </c>
      <c r="D164" s="5">
        <f>(M49*($E49/366))+(M50*($E50/366))</f>
        <v>0</v>
      </c>
      <c r="E164" s="18">
        <f t="shared" si="33"/>
        <v>100</v>
      </c>
      <c r="G164" s="1">
        <v>1980</v>
      </c>
      <c r="H164" s="409">
        <f>(O49/$R49*100*($E49/366))+(O50/$R50*100*($E50/366))</f>
        <v>100</v>
      </c>
      <c r="I164" s="409"/>
      <c r="J164" s="409">
        <f>(P49/$R49*100*($E49/366))+(P50/$R50*100*($E50/366))</f>
        <v>0</v>
      </c>
      <c r="K164" s="409"/>
      <c r="L164" s="409">
        <f>(Q49/$R49*100*($E49/366))+(Q50/$R50*100*($E50/366))</f>
        <v>0</v>
      </c>
      <c r="M164" s="409"/>
      <c r="N164" s="379">
        <f t="shared" si="34"/>
        <v>100</v>
      </c>
      <c r="O164" s="379"/>
      <c r="R164" s="1">
        <v>1980</v>
      </c>
      <c r="S164" s="5">
        <f>(O49*($E49/366))+(O50*($E50/366))</f>
        <v>55.4</v>
      </c>
      <c r="T164" s="5">
        <f>(P49*($E49/366))+(P50*($E50/366))</f>
        <v>0</v>
      </c>
      <c r="U164" s="5">
        <f>(Q49*($E49/366))+(Q50*($E50/366))</f>
        <v>0</v>
      </c>
      <c r="V164" s="5"/>
      <c r="W164" s="5">
        <f t="shared" si="35"/>
        <v>55.4</v>
      </c>
    </row>
    <row r="165" spans="1:23" x14ac:dyDescent="0.15">
      <c r="A165" s="1">
        <v>1981</v>
      </c>
      <c r="B165" s="5">
        <f>(K51*($E51/365))+(K52*($E52/365))</f>
        <v>100</v>
      </c>
      <c r="C165" s="5">
        <f>(L51*($E51/365))+(L52*($E52/365))</f>
        <v>0</v>
      </c>
      <c r="D165" s="5">
        <f>(M51*($E51/365))+(M52*($E52/365))</f>
        <v>0</v>
      </c>
      <c r="E165" s="18">
        <f t="shared" si="33"/>
        <v>100</v>
      </c>
      <c r="G165" s="1">
        <v>1981</v>
      </c>
      <c r="H165" s="409">
        <f>(O51/$R51*100*($E51/365))+(O52/$R52*100*($E52/365))</f>
        <v>100</v>
      </c>
      <c r="I165" s="409"/>
      <c r="J165" s="409">
        <f>(P51/$R51*100*($E51/365))+(P52/$R52*100*($E52/365))</f>
        <v>0</v>
      </c>
      <c r="K165" s="409"/>
      <c r="L165" s="409">
        <f>(Q51/$R51*100*($E51/365))+(Q52/$R52*100*($E52/365))</f>
        <v>0</v>
      </c>
      <c r="M165" s="409"/>
      <c r="N165" s="379">
        <f t="shared" si="34"/>
        <v>100</v>
      </c>
      <c r="O165" s="379"/>
      <c r="R165" s="1">
        <v>1981</v>
      </c>
      <c r="S165" s="5">
        <f>(O51*($E51/365))+(O52*($E52/365))</f>
        <v>55.152602739726028</v>
      </c>
      <c r="T165" s="5">
        <f>(P51*($E51/365))+(P52*($E52/365))</f>
        <v>0</v>
      </c>
      <c r="U165" s="5">
        <f>(Q51*($E51/365))+(Q52*($E52/365))</f>
        <v>0</v>
      </c>
      <c r="V165" s="5"/>
      <c r="W165" s="5">
        <f t="shared" si="35"/>
        <v>55.152602739726028</v>
      </c>
    </row>
    <row r="166" spans="1:23" x14ac:dyDescent="0.15">
      <c r="A166" s="1">
        <v>1982</v>
      </c>
      <c r="B166" s="5">
        <f>(K53*($E53/365))+(K54*($E54/365))</f>
        <v>100</v>
      </c>
      <c r="C166" s="5">
        <f>(L53*($E53/365))+(L54*($E54/365))</f>
        <v>0</v>
      </c>
      <c r="D166" s="5">
        <f>(M53*($E53/365))+(M54*($E54/365))</f>
        <v>0</v>
      </c>
      <c r="E166" s="18">
        <f t="shared" si="33"/>
        <v>100</v>
      </c>
      <c r="G166" s="1">
        <v>1982</v>
      </c>
      <c r="H166" s="409">
        <f>(O53/$R53*100*($E53/365))+(O54/$R54*100*($E54/365))</f>
        <v>100</v>
      </c>
      <c r="I166" s="409"/>
      <c r="J166" s="409">
        <f>(P53/$R53*100*($E53/365))+(P54/$R54*100*($E54/365))</f>
        <v>0</v>
      </c>
      <c r="K166" s="409"/>
      <c r="L166" s="409">
        <f>(Q53/$R53*100*($E53/365))+(Q54/$R54*100*($E54/365))</f>
        <v>0</v>
      </c>
      <c r="M166" s="409"/>
      <c r="N166" s="379">
        <f t="shared" si="34"/>
        <v>100</v>
      </c>
      <c r="O166" s="379"/>
      <c r="R166" s="1">
        <v>1982</v>
      </c>
      <c r="S166" s="5">
        <f>(O53*($E53/365))+(O54*($E54/365))</f>
        <v>51.1</v>
      </c>
      <c r="T166" s="5">
        <f>(P53*($E53/365))+(P54*($E54/365))</f>
        <v>0</v>
      </c>
      <c r="U166" s="5">
        <f>(Q53*($E53/365))+(Q54*($E54/365))</f>
        <v>0</v>
      </c>
      <c r="V166" s="5"/>
      <c r="W166" s="5">
        <f t="shared" si="35"/>
        <v>51.1</v>
      </c>
    </row>
    <row r="167" spans="1:23" x14ac:dyDescent="0.15">
      <c r="A167" s="1">
        <v>1983</v>
      </c>
      <c r="B167" s="5">
        <f>(K55*($E55/365))+(K56*($E56/365))</f>
        <v>100</v>
      </c>
      <c r="C167" s="5">
        <f>(L55*($E55/365))+(L56*($E56/365))</f>
        <v>0</v>
      </c>
      <c r="D167" s="5">
        <f>(M55*($E55/365))+(M56*($E56/365))</f>
        <v>0</v>
      </c>
      <c r="E167" s="18">
        <f t="shared" si="33"/>
        <v>100</v>
      </c>
      <c r="G167" s="1">
        <v>1983</v>
      </c>
      <c r="H167" s="409">
        <f>(O55/$R55*100*($E55/365))+(O56/$R56*100*($E56/365))</f>
        <v>100</v>
      </c>
      <c r="I167" s="409"/>
      <c r="J167" s="409">
        <f>(P55/$R55*100*($E55/365))+(P56/$R56*100*($E56/365))</f>
        <v>0</v>
      </c>
      <c r="K167" s="409"/>
      <c r="L167" s="409">
        <f>(Q55/$R55*100*($E55/365))+(Q56/$R56*100*($E56/365))</f>
        <v>0</v>
      </c>
      <c r="M167" s="409"/>
      <c r="N167" s="379">
        <f t="shared" si="34"/>
        <v>100</v>
      </c>
      <c r="O167" s="379"/>
      <c r="R167" s="1">
        <v>1983</v>
      </c>
      <c r="S167" s="5">
        <f>(O55*($E55/365))+(O56*($E56/365))</f>
        <v>51.1</v>
      </c>
      <c r="T167" s="5">
        <f>(P55*($E55/365))+(P56*($E56/365))</f>
        <v>0</v>
      </c>
      <c r="U167" s="5">
        <f>(Q55*($E55/365))+(Q56*($E56/365))</f>
        <v>0</v>
      </c>
      <c r="V167" s="5"/>
      <c r="W167" s="5">
        <f t="shared" si="35"/>
        <v>51.1</v>
      </c>
    </row>
    <row r="168" spans="1:23" x14ac:dyDescent="0.15">
      <c r="A168" s="1">
        <v>1984</v>
      </c>
      <c r="B168" s="5">
        <f>(K57*($E57/366))+(K58*($E58/366))</f>
        <v>56.557377049180324</v>
      </c>
      <c r="C168" s="5">
        <f>(L57*($E57/366))+(L58*($E58/366))</f>
        <v>0</v>
      </c>
      <c r="D168" s="5">
        <f>(M57*($E57/366))+(M58*($E58/366))</f>
        <v>43.442622950819668</v>
      </c>
      <c r="E168" s="18">
        <f t="shared" si="33"/>
        <v>100</v>
      </c>
      <c r="G168" s="1">
        <v>1984</v>
      </c>
      <c r="H168" s="409">
        <f>(O57/$R57*100*($E57/366))+(O58/$R58*100*($E58/366))</f>
        <v>56.557377049180324</v>
      </c>
      <c r="I168" s="409"/>
      <c r="J168" s="409">
        <f>(P57/$R57*100*($E57/366))+(P58/$R58*100*($E58/366))</f>
        <v>0</v>
      </c>
      <c r="K168" s="409"/>
      <c r="L168" s="409">
        <f>(Q57/$R57*100*($E57/366))+(Q58/$R58*100*($E58/366))</f>
        <v>43.442622950819668</v>
      </c>
      <c r="M168" s="409"/>
      <c r="N168" s="379">
        <f t="shared" si="34"/>
        <v>100</v>
      </c>
      <c r="O168" s="379"/>
      <c r="R168" s="1">
        <v>1984</v>
      </c>
      <c r="S168" s="5">
        <f>(O57*($E57/366))+(O58*($E58/366))</f>
        <v>28.900819672131146</v>
      </c>
      <c r="T168" s="5">
        <f>(P57*($E57/366))+(P58*($E58/366))</f>
        <v>0</v>
      </c>
      <c r="U168" s="5">
        <f>(Q57*($E57/366))+(Q58*($E58/366))</f>
        <v>26.065573770491802</v>
      </c>
      <c r="V168" s="5"/>
      <c r="W168" s="5">
        <f t="shared" si="35"/>
        <v>54.966393442622945</v>
      </c>
    </row>
    <row r="169" spans="1:23" x14ac:dyDescent="0.15">
      <c r="A169" s="1">
        <v>1985</v>
      </c>
      <c r="B169" s="5">
        <f>(K59*($E59/365))+(K60*($E60/365))</f>
        <v>0</v>
      </c>
      <c r="C169" s="5">
        <f>(L59*($E59/365))+(L60*($E60/365))</f>
        <v>0</v>
      </c>
      <c r="D169" s="5">
        <f>(M59*($E59/365))+(M60*($E60/365))</f>
        <v>100</v>
      </c>
      <c r="E169" s="18">
        <f t="shared" si="33"/>
        <v>100</v>
      </c>
      <c r="G169" s="1">
        <v>1985</v>
      </c>
      <c r="H169" s="409">
        <f>(O59/$R59*100*($E59/365))+(O60/$R60*100*($E60/365))</f>
        <v>0</v>
      </c>
      <c r="I169" s="409"/>
      <c r="J169" s="409">
        <f>(P59/$R59*100*($E59/365))+(P60/$R60*100*($E60/365))</f>
        <v>0</v>
      </c>
      <c r="K169" s="409"/>
      <c r="L169" s="409">
        <f>(Q59/$R59*100*($E59/365))+(Q60/$R60*100*($E60/365))</f>
        <v>100</v>
      </c>
      <c r="M169" s="409"/>
      <c r="N169" s="379">
        <f t="shared" si="34"/>
        <v>100</v>
      </c>
      <c r="O169" s="379"/>
      <c r="R169" s="1">
        <v>1985</v>
      </c>
      <c r="S169" s="5">
        <f>(O59*($E59/365))+(O60*($E60/365))</f>
        <v>0</v>
      </c>
      <c r="T169" s="5">
        <f>(P59*($E59/365))+(P60*($E60/365))</f>
        <v>0</v>
      </c>
      <c r="U169" s="5">
        <f>(Q59*($E59/365))+(Q60*($E60/365))</f>
        <v>60</v>
      </c>
      <c r="V169" s="5"/>
      <c r="W169" s="5">
        <f t="shared" si="35"/>
        <v>60</v>
      </c>
    </row>
    <row r="170" spans="1:23" x14ac:dyDescent="0.15">
      <c r="A170" s="1">
        <v>1986</v>
      </c>
      <c r="B170" s="5">
        <f>(K61*($E61/365))+(K62*($E62/365))</f>
        <v>0</v>
      </c>
      <c r="C170" s="5">
        <f>(L61*($E61/365))+(L62*($E62/365))</f>
        <v>0</v>
      </c>
      <c r="D170" s="5">
        <f>(M61*($E61/365))+(M62*($E62/365))</f>
        <v>100</v>
      </c>
      <c r="E170" s="18">
        <f t="shared" si="33"/>
        <v>100</v>
      </c>
      <c r="G170" s="1">
        <v>1986</v>
      </c>
      <c r="H170" s="409">
        <f>(O61/$R61*100*($E61/365))+(O62/$R62*100*($E62/365))</f>
        <v>0</v>
      </c>
      <c r="I170" s="409"/>
      <c r="J170" s="409">
        <f>(P61/$R61*100*($E61/365))+(P62/$R62*100*($E62/365))</f>
        <v>0</v>
      </c>
      <c r="K170" s="409"/>
      <c r="L170" s="409">
        <f>(Q61/$R61*100*($E61/365))+(Q62/$R62*100*($E62/365))</f>
        <v>100</v>
      </c>
      <c r="M170" s="409"/>
      <c r="N170" s="379">
        <f t="shared" si="34"/>
        <v>100</v>
      </c>
      <c r="O170" s="379"/>
      <c r="R170" s="1">
        <v>1986</v>
      </c>
      <c r="S170" s="5">
        <f>(O61*($E61/365))+(O62*($E62/365))</f>
        <v>0</v>
      </c>
      <c r="T170" s="5">
        <f>(P61*($E61/365))+(P62*($E62/365))</f>
        <v>0</v>
      </c>
      <c r="U170" s="5">
        <f>(Q61*($E61/365))+(Q62*($E62/365))</f>
        <v>60</v>
      </c>
      <c r="V170" s="5"/>
      <c r="W170" s="5">
        <f t="shared" si="35"/>
        <v>60</v>
      </c>
    </row>
    <row r="171" spans="1:23" x14ac:dyDescent="0.15">
      <c r="A171" s="1">
        <v>1987</v>
      </c>
      <c r="B171" s="5">
        <f>(K63*($E63/365))+(K64*($E64/365))</f>
        <v>0</v>
      </c>
      <c r="C171" s="5">
        <f>(L63*($E63/365))+(L64*($E64/365))</f>
        <v>0</v>
      </c>
      <c r="D171" s="5">
        <f>(M63*($E63/365))+(M64*($E64/365))</f>
        <v>100</v>
      </c>
      <c r="E171" s="18">
        <f t="shared" si="33"/>
        <v>100</v>
      </c>
      <c r="G171" s="1">
        <v>1987</v>
      </c>
      <c r="H171" s="409">
        <f>(O63/$R63*100*($E63/365))+(O64/$R64*100*($E64/365))</f>
        <v>0</v>
      </c>
      <c r="I171" s="409"/>
      <c r="J171" s="409">
        <f>(P63/$R63*100*($E63/365))+(P64/$R64*100*($E64/365))</f>
        <v>0</v>
      </c>
      <c r="K171" s="409"/>
      <c r="L171" s="409">
        <f>(Q63/$R63*100*($E63/365))+(Q64/$R64*100*($E64/365))</f>
        <v>100</v>
      </c>
      <c r="M171" s="409"/>
      <c r="N171" s="379">
        <f t="shared" si="34"/>
        <v>100</v>
      </c>
      <c r="O171" s="379"/>
      <c r="R171" s="1">
        <v>1987</v>
      </c>
      <c r="S171" s="5">
        <f>(O63*($E63/365))+(O64*($E64/365))</f>
        <v>0</v>
      </c>
      <c r="T171" s="5">
        <f>(P63*($E63/365))+(P64*($E64/365))</f>
        <v>0</v>
      </c>
      <c r="U171" s="5">
        <f>(Q63*($E63/365))+(Q64*($E64/365))</f>
        <v>59.556164383561637</v>
      </c>
      <c r="V171" s="5"/>
      <c r="W171" s="5">
        <f t="shared" si="35"/>
        <v>59.556164383561637</v>
      </c>
    </row>
    <row r="172" spans="1:23" x14ac:dyDescent="0.15">
      <c r="A172" s="1">
        <v>1988</v>
      </c>
      <c r="B172" s="5">
        <f>(K65*($E65/366))+(K66*($E66/366))</f>
        <v>0</v>
      </c>
      <c r="C172" s="5">
        <f>(L65*($E65/366))+(L66*($E66/366))</f>
        <v>0</v>
      </c>
      <c r="D172" s="5">
        <f>(M65*($E65/366))+(M66*($E66/366))</f>
        <v>100</v>
      </c>
      <c r="E172" s="18">
        <f t="shared" si="33"/>
        <v>100</v>
      </c>
      <c r="G172" s="1">
        <v>1988</v>
      </c>
      <c r="H172" s="409">
        <f>(O65/$R65*100*($E65/366))+(O66/$R66*100*($E66/366))</f>
        <v>0</v>
      </c>
      <c r="I172" s="409"/>
      <c r="J172" s="409">
        <f>(P65/$R65*100*($E65/366))+(P66/$R66*100*($E66/366))</f>
        <v>0</v>
      </c>
      <c r="K172" s="409"/>
      <c r="L172" s="409">
        <f>(Q65/$R65*100*($E65/366))+(Q66/$R66*100*($E66/366))</f>
        <v>100</v>
      </c>
      <c r="M172" s="409"/>
      <c r="N172" s="379">
        <f t="shared" si="34"/>
        <v>100</v>
      </c>
      <c r="O172" s="379"/>
      <c r="R172" s="1">
        <v>1988</v>
      </c>
      <c r="S172" s="5">
        <f>(O65*($E65/366))+(O66*($E66/366))</f>
        <v>0</v>
      </c>
      <c r="T172" s="5">
        <f>(P65*($E65/366))+(P66*($E66/366))</f>
        <v>0</v>
      </c>
      <c r="U172" s="5">
        <f>(Q65*($E65/366))+(Q66*($E66/366))</f>
        <v>58.8</v>
      </c>
      <c r="V172" s="5"/>
      <c r="W172" s="5">
        <f t="shared" si="35"/>
        <v>58.8</v>
      </c>
    </row>
    <row r="173" spans="1:23" x14ac:dyDescent="0.15">
      <c r="A173" s="1">
        <v>1989</v>
      </c>
      <c r="B173" s="5">
        <f>(K67*($E67/365))+(K68*($E68/365))</f>
        <v>0</v>
      </c>
      <c r="C173" s="5">
        <f>(L67*($E67/365))+(L68*($E68/365))</f>
        <v>0</v>
      </c>
      <c r="D173" s="5">
        <f>(M67*($E67/365))+(M68*($E68/365))</f>
        <v>100</v>
      </c>
      <c r="E173" s="18">
        <f t="shared" si="33"/>
        <v>100</v>
      </c>
      <c r="G173" s="1">
        <v>1989</v>
      </c>
      <c r="H173" s="409">
        <f>(O67/$R67*100*($E67/365))+(O68/$R68*100*($E68/365))</f>
        <v>0</v>
      </c>
      <c r="I173" s="409"/>
      <c r="J173" s="409">
        <f>(P67/$R67*100*($E67/365))+(P68/$R68*100*($E68/365))</f>
        <v>0</v>
      </c>
      <c r="K173" s="409"/>
      <c r="L173" s="409">
        <f>(Q67/$R67*100*($E67/365))+(Q68/$R68*100*($E68/365))</f>
        <v>100</v>
      </c>
      <c r="M173" s="409"/>
      <c r="N173" s="379">
        <f t="shared" si="34"/>
        <v>100</v>
      </c>
      <c r="O173" s="379"/>
      <c r="R173" s="1">
        <v>1989</v>
      </c>
      <c r="S173" s="5">
        <f>(O67*($E67/365))+(O68*($E68/365))</f>
        <v>0</v>
      </c>
      <c r="T173" s="5">
        <f>(P67*($E67/365))+(P68*($E68/365))</f>
        <v>0</v>
      </c>
      <c r="U173" s="5">
        <f>(Q67*($E67/365))+(Q68*($E68/365))</f>
        <v>58.800000000000004</v>
      </c>
      <c r="V173" s="5"/>
      <c r="W173" s="5">
        <f t="shared" si="35"/>
        <v>58.800000000000004</v>
      </c>
    </row>
    <row r="174" spans="1:23" x14ac:dyDescent="0.15">
      <c r="A174" s="1">
        <v>1990</v>
      </c>
      <c r="B174" s="5">
        <f>(K69*($E69/365))+(K70*($E70/365))</f>
        <v>16.43835616438356</v>
      </c>
      <c r="C174" s="5">
        <f>(L69*($E69/365))+(L70*($E70/365))</f>
        <v>0</v>
      </c>
      <c r="D174" s="5">
        <f>(M69*($E69/365))+(M70*($E70/365))</f>
        <v>83.561643835616437</v>
      </c>
      <c r="E174" s="18">
        <f t="shared" si="33"/>
        <v>100</v>
      </c>
      <c r="G174" s="1">
        <v>1990</v>
      </c>
      <c r="H174" s="409">
        <f>(O69/$R69*100*($E69/365))+(O70/$R70*100*($E70/365))</f>
        <v>16.43835616438356</v>
      </c>
      <c r="I174" s="409"/>
      <c r="J174" s="409">
        <f>(P69/$R69*100*($E69/365))+(P70/$R70*100*($E70/365))</f>
        <v>0</v>
      </c>
      <c r="K174" s="409"/>
      <c r="L174" s="409">
        <f>(Q69/$R69*100*($E69/365))+(Q70/$R70*100*($E70/365))</f>
        <v>83.561643835616437</v>
      </c>
      <c r="M174" s="409"/>
      <c r="N174" s="379">
        <f t="shared" si="34"/>
        <v>100</v>
      </c>
      <c r="O174" s="379"/>
      <c r="R174" s="1">
        <v>1990</v>
      </c>
      <c r="S174" s="5">
        <f>(O69*($E69/365))+(O70*($E70/365))</f>
        <v>11.523287671232875</v>
      </c>
      <c r="T174" s="5">
        <f>(P69*($E69/365))+(P70*($E70/365))</f>
        <v>0</v>
      </c>
      <c r="U174" s="5">
        <f>(Q69*($E69/365))+(Q70*($E70/365))</f>
        <v>49.134246575342466</v>
      </c>
      <c r="V174" s="5"/>
      <c r="W174" s="5">
        <f t="shared" si="35"/>
        <v>60.657534246575338</v>
      </c>
    </row>
    <row r="175" spans="1:23" x14ac:dyDescent="0.15">
      <c r="A175" s="1">
        <v>1991</v>
      </c>
      <c r="B175" s="5">
        <f>(K71*($E71/365))+(K72*($E72/365))</f>
        <v>100</v>
      </c>
      <c r="C175" s="5">
        <f>(L71*($E71/365))+(L72*($E72/365))</f>
        <v>0</v>
      </c>
      <c r="D175" s="5">
        <f>(M71*($E71/365))+(M72*($E72/365))</f>
        <v>0</v>
      </c>
      <c r="E175" s="18">
        <f t="shared" si="33"/>
        <v>100</v>
      </c>
      <c r="G175" s="1">
        <v>1991</v>
      </c>
      <c r="H175" s="409">
        <f>(O71/$R71*100*($E71/365))+(O72/$R72*100*($E72/365))</f>
        <v>100</v>
      </c>
      <c r="I175" s="409"/>
      <c r="J175" s="409">
        <f>(P71/$R71*100*($E71/365))+(P72/$R72*100*($E72/365))</f>
        <v>0</v>
      </c>
      <c r="K175" s="409"/>
      <c r="L175" s="409">
        <f>(Q71/$R71*100*($E71/365))+(Q72/$R72*100*($E72/365))</f>
        <v>0</v>
      </c>
      <c r="M175" s="409"/>
      <c r="N175" s="379">
        <f t="shared" si="34"/>
        <v>100</v>
      </c>
      <c r="O175" s="379"/>
      <c r="R175" s="1">
        <v>1991</v>
      </c>
      <c r="S175" s="5">
        <f>(O71*($E71/365))+(O72*($E72/365))</f>
        <v>70.099999999999994</v>
      </c>
      <c r="T175" s="5">
        <f>(P71*($E71/365))+(P72*($E72/365))</f>
        <v>0</v>
      </c>
      <c r="U175" s="5">
        <f>(Q71*($E71/365))+(Q72*($E72/365))</f>
        <v>0</v>
      </c>
      <c r="V175" s="5"/>
      <c r="W175" s="5">
        <f t="shared" si="35"/>
        <v>70.099999999999994</v>
      </c>
    </row>
    <row r="176" spans="1:23" x14ac:dyDescent="0.15">
      <c r="A176" s="1">
        <v>1992</v>
      </c>
      <c r="B176" s="5">
        <f>(K73*($E73/366))+(K74*($E74/366))</f>
        <v>100</v>
      </c>
      <c r="C176" s="5">
        <f>(L73*($E73/366))+(L74*($E74/366))</f>
        <v>0</v>
      </c>
      <c r="D176" s="5">
        <f>(M73*($E73/366))+(M74*($E74/366))</f>
        <v>0</v>
      </c>
      <c r="E176" s="18">
        <f t="shared" si="33"/>
        <v>100</v>
      </c>
      <c r="G176" s="1">
        <v>1992</v>
      </c>
      <c r="H176" s="409">
        <f>(O73/$R73*100*($E73/366))+(O74/$R74*100*($E74/366))</f>
        <v>100</v>
      </c>
      <c r="I176" s="409"/>
      <c r="J176" s="409">
        <f>(P73/$R73*100*($E73/366))+(P74/$R74*100*($E74/366))</f>
        <v>0</v>
      </c>
      <c r="K176" s="409"/>
      <c r="L176" s="409">
        <f>(Q73/$R73*100*($E73/366))+(Q74/$R74*100*($E74/366))</f>
        <v>0</v>
      </c>
      <c r="M176" s="409"/>
      <c r="N176" s="379">
        <f t="shared" si="34"/>
        <v>100</v>
      </c>
      <c r="O176" s="379"/>
      <c r="R176" s="1">
        <v>1992</v>
      </c>
      <c r="S176" s="5">
        <f>(O73*($E73/366))+(O74*($E74/366))</f>
        <v>70.099999999999994</v>
      </c>
      <c r="T176" s="5">
        <f>(P73*($E73/366))+(P74*($E74/366))</f>
        <v>0</v>
      </c>
      <c r="U176" s="5">
        <f>(Q73*($E73/366))+(Q74*($E74/366))</f>
        <v>0</v>
      </c>
      <c r="V176" s="5"/>
      <c r="W176" s="5">
        <f t="shared" si="35"/>
        <v>70.099999999999994</v>
      </c>
    </row>
    <row r="177" spans="1:23" x14ac:dyDescent="0.15">
      <c r="A177" s="1">
        <v>1993</v>
      </c>
      <c r="B177" s="5">
        <f>(K75*($E75/365))+(K76*($E76/365))</f>
        <v>100.00000000000001</v>
      </c>
      <c r="C177" s="5">
        <f>(L75*($E75/365))+(L76*($E76/365))</f>
        <v>0</v>
      </c>
      <c r="D177" s="5">
        <f>(M75*($E75/365))+(M76*($E76/365))</f>
        <v>0</v>
      </c>
      <c r="E177" s="18">
        <f t="shared" si="33"/>
        <v>100.00000000000001</v>
      </c>
      <c r="G177" s="1">
        <v>1993</v>
      </c>
      <c r="H177" s="409">
        <f>(O75/$R75*100*($E75/365))+(O76/$R76*100*($E76/365))</f>
        <v>100.00000000000001</v>
      </c>
      <c r="I177" s="409"/>
      <c r="J177" s="409">
        <f>(P75/$R75*100*($E75/365))+(P76/$R76*100*($E76/365))</f>
        <v>0</v>
      </c>
      <c r="K177" s="409"/>
      <c r="L177" s="409">
        <f>(Q75/$R75*100*($E75/365))+(Q76/$R76*100*($E76/365))</f>
        <v>0</v>
      </c>
      <c r="M177" s="409"/>
      <c r="N177" s="379">
        <f t="shared" si="34"/>
        <v>100.00000000000001</v>
      </c>
      <c r="O177" s="379"/>
      <c r="R177" s="1">
        <v>1993</v>
      </c>
      <c r="S177" s="5">
        <f>(O75*($E75/365))+(O76*($E76/365))</f>
        <v>68.27424657534246</v>
      </c>
      <c r="T177" s="5">
        <f>(P75*($E75/365))+(P76*($E76/365))</f>
        <v>0</v>
      </c>
      <c r="U177" s="5">
        <f>(Q75*($E75/365))+(Q76*($E76/365))</f>
        <v>0</v>
      </c>
      <c r="V177" s="5"/>
      <c r="W177" s="5">
        <f t="shared" si="35"/>
        <v>68.27424657534246</v>
      </c>
    </row>
    <row r="178" spans="1:23" x14ac:dyDescent="0.15">
      <c r="A178" s="1">
        <v>1994</v>
      </c>
      <c r="B178" s="5">
        <f>(K77*($E77/365))+(K78*($E78/365))</f>
        <v>100</v>
      </c>
      <c r="C178" s="5">
        <f>(L77*($E77/365))+(L78*($E78/365))</f>
        <v>0</v>
      </c>
      <c r="D178" s="5">
        <f>(M77*($E77/365))+(M78*($E78/365))</f>
        <v>0</v>
      </c>
      <c r="E178" s="18">
        <f t="shared" si="33"/>
        <v>100</v>
      </c>
      <c r="G178" s="1">
        <v>1994</v>
      </c>
      <c r="H178" s="409">
        <f>(O77/$R77*100*($E77/365))+(O78/$R78*100*($E78/365))</f>
        <v>100</v>
      </c>
      <c r="I178" s="409"/>
      <c r="J178" s="409">
        <f>(P77/$R77*100*($E77/365))+(P78/$R78*100*($E78/365))</f>
        <v>0</v>
      </c>
      <c r="K178" s="409"/>
      <c r="L178" s="409">
        <f>(Q77/$R77*100*($E77/365))+(Q78/$R78*100*($E78/365))</f>
        <v>0</v>
      </c>
      <c r="M178" s="409"/>
      <c r="N178" s="379">
        <f t="shared" si="34"/>
        <v>100</v>
      </c>
      <c r="O178" s="379"/>
      <c r="R178" s="1">
        <v>1994</v>
      </c>
      <c r="S178" s="5">
        <f>(O77*($E77/365))+(O78*($E78/365))</f>
        <v>50.5</v>
      </c>
      <c r="T178" s="5">
        <f>(P77*($E77/365))+(P78*($E78/365))</f>
        <v>0</v>
      </c>
      <c r="U178" s="5">
        <f>(Q77*($E77/365))+(Q78*($E78/365))</f>
        <v>0</v>
      </c>
      <c r="V178" s="5"/>
      <c r="W178" s="5">
        <f t="shared" si="35"/>
        <v>50.5</v>
      </c>
    </row>
    <row r="179" spans="1:23" x14ac:dyDescent="0.15">
      <c r="A179" s="1">
        <v>1995</v>
      </c>
      <c r="B179" s="5">
        <f>(K79*($E79/365))+(K80*($E80/365))</f>
        <v>100</v>
      </c>
      <c r="C179" s="5">
        <f>(L79*($E79/365))+(L80*($E80/365))</f>
        <v>0</v>
      </c>
      <c r="D179" s="5">
        <f>(M79*($E79/365))+(M80*($E80/365))</f>
        <v>0</v>
      </c>
      <c r="E179" s="18">
        <f t="shared" si="33"/>
        <v>100</v>
      </c>
      <c r="G179" s="1">
        <v>1995</v>
      </c>
      <c r="H179" s="409">
        <f>(O79/$R79*100*($E79/365))+(O80/$R80*100*($E80/365))</f>
        <v>100</v>
      </c>
      <c r="I179" s="409"/>
      <c r="J179" s="409">
        <f>(P79/$R79*100*($E79/365))+(P80/$R80*100*($E80/365))</f>
        <v>0</v>
      </c>
      <c r="K179" s="409"/>
      <c r="L179" s="409">
        <f>(Q79/$R79*100*($E79/365))+(Q80/$R80*100*($E80/365))</f>
        <v>0</v>
      </c>
      <c r="M179" s="409"/>
      <c r="N179" s="379">
        <f t="shared" si="34"/>
        <v>100</v>
      </c>
      <c r="O179" s="379"/>
      <c r="R179" s="1">
        <v>1995</v>
      </c>
      <c r="S179" s="5">
        <f>(O79*($E79/365))+(O80*($E80/365))</f>
        <v>50.5</v>
      </c>
      <c r="T179" s="5">
        <f>(P79*($E79/365))+(P80*($E80/365))</f>
        <v>0</v>
      </c>
      <c r="U179" s="5">
        <f>(Q79*($E79/365))+(Q80*($E80/365))</f>
        <v>0</v>
      </c>
      <c r="V179" s="5"/>
      <c r="W179" s="5">
        <f t="shared" si="35"/>
        <v>50.5</v>
      </c>
    </row>
    <row r="180" spans="1:23" x14ac:dyDescent="0.15">
      <c r="A180" s="1">
        <v>1996</v>
      </c>
      <c r="B180" s="5">
        <f>(K81*($E81/366))+(K83*($E83/366))+(K82*(E82/366))</f>
        <v>100</v>
      </c>
      <c r="C180" s="5">
        <f>(L81*($E81/366))+(L83*($E83/366))+(L82*(F82/366))</f>
        <v>0</v>
      </c>
      <c r="D180" s="5">
        <f>(M81*($E81/366))+(M83*($E83/366))+(M82*(G82/366))</f>
        <v>0</v>
      </c>
      <c r="E180" s="18">
        <f t="shared" si="33"/>
        <v>100</v>
      </c>
      <c r="G180" s="1">
        <v>1996</v>
      </c>
      <c r="H180" s="409">
        <f>(O81/$R81*100*($E81/366))+(O83/$R83*100*($E83/366))+(O82/$R82*100*(E82/366))</f>
        <v>100</v>
      </c>
      <c r="I180" s="409"/>
      <c r="J180" s="409">
        <f>(P81/$R81*100*($E81/366))+(P83/$R83*100*($E83/366))</f>
        <v>0</v>
      </c>
      <c r="K180" s="409"/>
      <c r="L180" s="409">
        <f>(Q81/$R81*100*($E81/366))+(Q83/$R83*100*($E83/366))</f>
        <v>0</v>
      </c>
      <c r="M180" s="409"/>
      <c r="N180" s="379">
        <f t="shared" si="34"/>
        <v>100</v>
      </c>
      <c r="O180" s="379"/>
      <c r="R180" s="1">
        <v>1996</v>
      </c>
      <c r="S180" s="5">
        <f>(O81*($E81/366))+(O83*($E83/366))+(O82*(E82/366))</f>
        <v>50.43825136612022</v>
      </c>
      <c r="T180" s="5">
        <f>(P81*($E81/366))+(P83*($E83/366))</f>
        <v>0</v>
      </c>
      <c r="U180" s="5">
        <f>(Q81*($E81/366))+(Q83*($E83/366))</f>
        <v>0</v>
      </c>
      <c r="V180" s="5"/>
      <c r="W180" s="5">
        <f t="shared" si="35"/>
        <v>50.43825136612022</v>
      </c>
    </row>
    <row r="181" spans="1:23" x14ac:dyDescent="0.15">
      <c r="A181" s="1">
        <v>1997</v>
      </c>
      <c r="B181" s="5">
        <f>(K84*($E84/365))+(K85*($E85/365))</f>
        <v>100</v>
      </c>
      <c r="C181" s="5">
        <f>(L84*($E84/365))+(L85*($E85/365))</f>
        <v>0</v>
      </c>
      <c r="D181" s="5">
        <f>(M84*($E84/365))+(M85*($E85/365))</f>
        <v>0</v>
      </c>
      <c r="E181" s="18">
        <f t="shared" si="33"/>
        <v>100</v>
      </c>
      <c r="G181" s="1">
        <v>1997</v>
      </c>
      <c r="H181" s="409">
        <f>(O84/$R84*100*($E84/365))+(O85/$R85*100*($E85/365))</f>
        <v>100</v>
      </c>
      <c r="I181" s="409"/>
      <c r="J181" s="409">
        <f>(P84/$R84*100*($E84/365))+(P85/$R85*100*($E85/365))</f>
        <v>0</v>
      </c>
      <c r="K181" s="409"/>
      <c r="L181" s="409">
        <f>(Q84/$R84*100*($E84/365))+(Q85/$R85*100*($E85/365))</f>
        <v>0</v>
      </c>
      <c r="M181" s="409"/>
      <c r="N181" s="379">
        <f t="shared" si="34"/>
        <v>100</v>
      </c>
      <c r="O181" s="379"/>
      <c r="R181" s="1">
        <v>1997</v>
      </c>
      <c r="S181" s="5">
        <f>(O84*($E84/365))+(O85*($E85/365))</f>
        <v>50.900000000000006</v>
      </c>
      <c r="T181" s="5">
        <f>(P84*($E84/365))+(P85*($E85/365))</f>
        <v>0</v>
      </c>
      <c r="U181" s="5">
        <f>(Q84*($E84/365))+(Q85*($E85/365))</f>
        <v>0</v>
      </c>
      <c r="V181" s="5"/>
      <c r="W181" s="5">
        <f t="shared" si="35"/>
        <v>50.900000000000006</v>
      </c>
    </row>
    <row r="182" spans="1:23" x14ac:dyDescent="0.15">
      <c r="A182" s="1">
        <v>1998</v>
      </c>
      <c r="B182" s="5">
        <f>(K86*($E86/365))+(K87*($E87/365))</f>
        <v>98.12785388127854</v>
      </c>
      <c r="C182" s="5">
        <f>(L86*($E86/365))+(L87*($E87/365))</f>
        <v>0</v>
      </c>
      <c r="D182" s="5">
        <f>(M86*($E86/365))+(M87*($E87/365))</f>
        <v>0</v>
      </c>
      <c r="E182" s="18">
        <f t="shared" si="33"/>
        <v>98.12785388127854</v>
      </c>
      <c r="G182" s="1">
        <v>1998</v>
      </c>
      <c r="H182" s="409">
        <f>(O86/$R86*100*($E86/365))+(O87/$R87*100*($E87/365))</f>
        <v>100</v>
      </c>
      <c r="I182" s="409"/>
      <c r="J182" s="409">
        <f>(P86/$R86*100*($E86/365))+(P87/$R87*100*($E87/365))</f>
        <v>0</v>
      </c>
      <c r="K182" s="409"/>
      <c r="L182" s="409">
        <f>(Q86/$R86*100*($E86/365))+(Q87/$R87*100*($E87/365))</f>
        <v>0</v>
      </c>
      <c r="M182" s="409"/>
      <c r="N182" s="379">
        <f t="shared" si="34"/>
        <v>100</v>
      </c>
      <c r="O182" s="379"/>
      <c r="R182" s="1">
        <v>1998</v>
      </c>
      <c r="S182" s="5">
        <f>(O86*($E86/365))+(O87*($E87/365))</f>
        <v>46.114794520547953</v>
      </c>
      <c r="T182" s="5">
        <f>(P86*($E86/365))+(P87*($E87/365))</f>
        <v>0</v>
      </c>
      <c r="U182" s="5">
        <f>(Q86*($E86/365))+(Q87*($E87/365))</f>
        <v>0</v>
      </c>
      <c r="V182" s="5"/>
      <c r="W182" s="5">
        <f t="shared" si="35"/>
        <v>46.114794520547953</v>
      </c>
    </row>
    <row r="183" spans="1:23" x14ac:dyDescent="0.15">
      <c r="A183" s="1">
        <v>1999</v>
      </c>
      <c r="B183" s="5">
        <f>(K88*($E88/365))+(K89*($E89/365))</f>
        <v>88.493150684931507</v>
      </c>
      <c r="C183" s="5">
        <f>(L88*($E88/365))+(L89*($E89/365))</f>
        <v>0</v>
      </c>
      <c r="D183" s="5">
        <f>(M88*($E88/365))+(M89*($E89/365))</f>
        <v>6.3013698630136989</v>
      </c>
      <c r="E183" s="18">
        <f t="shared" si="33"/>
        <v>94.794520547945211</v>
      </c>
      <c r="G183" s="1">
        <v>1999</v>
      </c>
      <c r="H183" s="409">
        <f>(O88/$R88*100*($E88/365))+(O89/$R89*100*($E89/365))</f>
        <v>93.69863013698631</v>
      </c>
      <c r="I183" s="409"/>
      <c r="J183" s="409">
        <f>(P88/$R88*100*($E88/365))+(P89/$R89*100*($E89/365))</f>
        <v>0</v>
      </c>
      <c r="K183" s="409"/>
      <c r="L183" s="409">
        <f>(Q88/$R88*100*($E88/365))+(Q89/$R89*100*($E89/365))</f>
        <v>6.3013698630136989</v>
      </c>
      <c r="M183" s="409"/>
      <c r="N183" s="379">
        <f t="shared" si="34"/>
        <v>100.00000000000001</v>
      </c>
      <c r="O183" s="379"/>
      <c r="R183" s="1">
        <v>1999</v>
      </c>
      <c r="S183" s="5">
        <f>(O88*($E88/365))+(O89*($E89/365))</f>
        <v>34.387397260273978</v>
      </c>
      <c r="T183" s="5">
        <f>(P88*($E88/365))+(P89*($E89/365))</f>
        <v>0</v>
      </c>
      <c r="U183" s="5">
        <f>(Q88*($E88/365))+(Q89*($E89/365))</f>
        <v>3.0939726027397265</v>
      </c>
      <c r="V183" s="5"/>
      <c r="W183" s="5">
        <f t="shared" si="35"/>
        <v>37.481369863013704</v>
      </c>
    </row>
    <row r="184" spans="1:23" x14ac:dyDescent="0.15">
      <c r="A184" s="1">
        <v>2000</v>
      </c>
      <c r="B184" s="5">
        <f>(K90*($E90/366))+(K91*($E91/366))</f>
        <v>0</v>
      </c>
      <c r="C184" s="5">
        <f>(L90*($E90/366))+(L91*($E91/366))</f>
        <v>0</v>
      </c>
      <c r="D184" s="5">
        <f>(M90*($E90/366))+(M91*($E91/366))</f>
        <v>100</v>
      </c>
      <c r="E184" s="18">
        <f t="shared" si="33"/>
        <v>100</v>
      </c>
      <c r="G184" s="1">
        <v>2000</v>
      </c>
      <c r="H184" s="409">
        <f>(O90/$R90*100*($E90/366))+(O91/$R91*100*($E91/366))</f>
        <v>0</v>
      </c>
      <c r="I184" s="409"/>
      <c r="J184" s="409">
        <f>(P90/$R90*100*($E90/366))+(P91/$R91*100*($E91/366))</f>
        <v>0</v>
      </c>
      <c r="K184" s="409"/>
      <c r="L184" s="409">
        <f>(Q90/$R90*100*($E90/366))+(Q91/$R91*100*($E91/366))</f>
        <v>100</v>
      </c>
      <c r="M184" s="409"/>
      <c r="N184" s="379">
        <f t="shared" si="34"/>
        <v>100</v>
      </c>
      <c r="O184" s="379"/>
      <c r="R184" s="1">
        <v>2000</v>
      </c>
      <c r="S184" s="5">
        <f>(O90*($E90/366))+(O91*($E91/366))</f>
        <v>0</v>
      </c>
      <c r="T184" s="5">
        <f>(P90*($E90/366))+(P91*($E91/366))</f>
        <v>0</v>
      </c>
      <c r="U184" s="5">
        <f>(Q90*($E90/366))+(Q91*($E91/366))</f>
        <v>49.1</v>
      </c>
      <c r="V184" s="5"/>
      <c r="W184" s="5">
        <f t="shared" si="35"/>
        <v>49.1</v>
      </c>
    </row>
    <row r="185" spans="1:23" x14ac:dyDescent="0.15">
      <c r="A185" s="1">
        <v>2001</v>
      </c>
      <c r="B185" s="5">
        <f>(K92*($E92/365))+(K93*($E93/365))</f>
        <v>0</v>
      </c>
      <c r="C185" s="5">
        <f>(L92*($E92/365))+(L93*($E93/365))</f>
        <v>0</v>
      </c>
      <c r="D185" s="5">
        <f>(M92*($E92/365))+(M93*($E93/365))</f>
        <v>100</v>
      </c>
      <c r="E185" s="18">
        <f t="shared" si="33"/>
        <v>100</v>
      </c>
      <c r="G185" s="1">
        <v>2001</v>
      </c>
      <c r="H185" s="409">
        <f>(O92/$R92*100*($E92/365))+(O93/$R93*100*($E93/365))</f>
        <v>0</v>
      </c>
      <c r="I185" s="409"/>
      <c r="J185" s="409">
        <f>(P92/$R92*100*($E92/365))+(P93/$R93*100*($E93/365))</f>
        <v>0</v>
      </c>
      <c r="K185" s="409"/>
      <c r="L185" s="409">
        <f>(Q92/$R92*100*($E92/365))+(Q93/$R93*100*($E93/365))</f>
        <v>100</v>
      </c>
      <c r="M185" s="409"/>
      <c r="N185" s="379">
        <f t="shared" si="34"/>
        <v>100</v>
      </c>
      <c r="O185" s="379"/>
      <c r="R185" s="1">
        <v>2001</v>
      </c>
      <c r="S185" s="5">
        <f>(O92*($E92/365))+(O93*($E93/365))</f>
        <v>0</v>
      </c>
      <c r="T185" s="5">
        <f>(P92*($E92/365))+(P93*($E93/365))</f>
        <v>0</v>
      </c>
      <c r="U185" s="5">
        <f>(Q92*($E92/365))+(Q93*($E93/365))</f>
        <v>49.1</v>
      </c>
      <c r="V185" s="5"/>
      <c r="W185" s="5">
        <f t="shared" si="35"/>
        <v>49.1</v>
      </c>
    </row>
    <row r="186" spans="1:23" x14ac:dyDescent="0.15">
      <c r="A186" s="1">
        <v>2002</v>
      </c>
      <c r="B186" s="5">
        <f>(K94*($E94/365))+(K95*($E95/365))</f>
        <v>0</v>
      </c>
      <c r="C186" s="5">
        <f>(L94*($E94/365))+(L95*($E95/365))</f>
        <v>0</v>
      </c>
      <c r="D186" s="5">
        <f>(M94*($E94/365))+(M95*($E95/365))</f>
        <v>100</v>
      </c>
      <c r="E186" s="18">
        <f t="shared" si="33"/>
        <v>100</v>
      </c>
      <c r="G186" s="1">
        <v>2002</v>
      </c>
      <c r="H186" s="409">
        <f>(O94/$R94*100*($E94/365))+(O95/$R95*100*($E95/365))</f>
        <v>0</v>
      </c>
      <c r="I186" s="409"/>
      <c r="J186" s="409">
        <f>(P94/$R94*100*($E94/365))+(P95/$R95*100*($E95/365))</f>
        <v>0</v>
      </c>
      <c r="K186" s="409"/>
      <c r="L186" s="409">
        <f>(Q94/$R94*100*($E94/365))+(Q95/$R95*100*($E95/365))</f>
        <v>100</v>
      </c>
      <c r="M186" s="409"/>
      <c r="N186" s="379">
        <f t="shared" si="34"/>
        <v>100</v>
      </c>
      <c r="O186" s="379"/>
      <c r="R186" s="1">
        <v>2002</v>
      </c>
      <c r="S186" s="5">
        <f>(O94*($E94/365))+(O95*($E95/365))</f>
        <v>0</v>
      </c>
      <c r="T186" s="5">
        <f>(P94*($E94/365))+(P95*($E95/365))</f>
        <v>0</v>
      </c>
      <c r="U186" s="5">
        <f>(Q94*($E94/365))+(Q95*($E95/365))</f>
        <v>47.538630136986299</v>
      </c>
      <c r="V186" s="5"/>
      <c r="W186" s="5">
        <f t="shared" si="35"/>
        <v>47.538630136986299</v>
      </c>
    </row>
    <row r="187" spans="1:23" x14ac:dyDescent="0.15">
      <c r="A187" s="1">
        <v>2003</v>
      </c>
      <c r="B187" s="5">
        <f>(K96*($E96/365))+(K97*($E97/365))</f>
        <v>0</v>
      </c>
      <c r="C187" s="5">
        <f>(L96*($E96/365))+(L97*($E97/365))</f>
        <v>0</v>
      </c>
      <c r="D187" s="5">
        <f>(M96*($E96/365))+(M97*($E97/365))</f>
        <v>100</v>
      </c>
      <c r="E187" s="18">
        <f t="shared" si="33"/>
        <v>100</v>
      </c>
      <c r="G187" s="1">
        <v>2003</v>
      </c>
      <c r="H187" s="409">
        <f>(O96/$R96*100*($E96/365))+(O97/$R97*100*($E97/365))</f>
        <v>0</v>
      </c>
      <c r="I187" s="409"/>
      <c r="J187" s="409">
        <f>(P96/$R96*100*($E96/365))+(P97/$R97*100*($E97/365))</f>
        <v>0</v>
      </c>
      <c r="K187" s="409"/>
      <c r="L187" s="409">
        <f>(Q96/$R96*100*($E96/365))+(Q97/$R97*100*($E97/365))</f>
        <v>100</v>
      </c>
      <c r="M187" s="409"/>
      <c r="N187" s="379">
        <f t="shared" si="34"/>
        <v>100</v>
      </c>
      <c r="O187" s="379"/>
      <c r="R187" s="1">
        <v>2003</v>
      </c>
      <c r="S187" s="5">
        <f>(O96*($E96/365))+(O97*($E97/365))</f>
        <v>0</v>
      </c>
      <c r="T187" s="5">
        <f>(P96*($E96/365))+(P97*($E97/365))</f>
        <v>0</v>
      </c>
      <c r="U187" s="5">
        <f>(Q96*($E96/365))+(Q97*($E97/365))</f>
        <v>45</v>
      </c>
      <c r="V187" s="5"/>
      <c r="W187" s="5">
        <f t="shared" si="35"/>
        <v>45</v>
      </c>
    </row>
    <row r="188" spans="1:23" x14ac:dyDescent="0.15">
      <c r="A188" s="1">
        <v>2004</v>
      </c>
      <c r="B188" s="5">
        <f>(K98*($E98/366))+(K99*($E99/366))</f>
        <v>0</v>
      </c>
      <c r="C188" s="5">
        <f>(L98*($E98/366))+(L99*($E99/366))</f>
        <v>0</v>
      </c>
      <c r="D188" s="5">
        <f>(M98*($E98/366))+(M99*($E99/366))</f>
        <v>100</v>
      </c>
      <c r="E188" s="18">
        <f t="shared" si="33"/>
        <v>100</v>
      </c>
      <c r="G188" s="1">
        <v>2004</v>
      </c>
      <c r="H188" s="409">
        <f>(O98/$R98*100*($E98/366))+(O99/$R99*100*($E99/366))</f>
        <v>0</v>
      </c>
      <c r="I188" s="409"/>
      <c r="J188" s="409">
        <f>(P98/$R98*100*($E98/366))+(P99/$R99*100*($E99/366))</f>
        <v>0</v>
      </c>
      <c r="K188" s="409"/>
      <c r="L188" s="409">
        <f>(Q98/$R98*100*($E98/366))+(Q99/$R99*100*($E99/366))</f>
        <v>100</v>
      </c>
      <c r="M188" s="409"/>
      <c r="N188" s="379">
        <f t="shared" si="34"/>
        <v>100</v>
      </c>
      <c r="O188" s="379"/>
      <c r="R188" s="1">
        <v>2004</v>
      </c>
      <c r="S188" s="5">
        <f>(O98*($E98/366))+(O99*($E99/366))</f>
        <v>0</v>
      </c>
      <c r="T188" s="5">
        <f>(P98*($E98/366))+(P99*($E99/366))</f>
        <v>0</v>
      </c>
      <c r="U188" s="5">
        <f>(Q98*($E98/366))+(Q99*($E99/366))</f>
        <v>44.999999999999993</v>
      </c>
      <c r="V188" s="5"/>
      <c r="W188" s="5">
        <f t="shared" si="35"/>
        <v>44.999999999999993</v>
      </c>
    </row>
    <row r="189" spans="1:23" x14ac:dyDescent="0.15">
      <c r="A189" s="1">
        <v>2005</v>
      </c>
      <c r="B189" s="5">
        <f>(K100*($E100/365))+(K101*($E101/365))+(K102*($E102/365))</f>
        <v>0</v>
      </c>
      <c r="C189" s="5">
        <f>(L100*($E100/365))+(L101*($E101/365))+(L102*($E102/365))</f>
        <v>0</v>
      </c>
      <c r="D189" s="5">
        <f>(M100*($E100/365))+(M101*($E101/365))+(M102*($E102/365))</f>
        <v>100</v>
      </c>
      <c r="E189" s="18">
        <f t="shared" si="33"/>
        <v>100</v>
      </c>
      <c r="G189" s="1">
        <v>2005</v>
      </c>
      <c r="H189" s="409">
        <f>(O100/$R100*100*($E100/365))+(O101/$R101*100*($E101/365))+(O102/$R102*100*($E102/365))</f>
        <v>0</v>
      </c>
      <c r="I189" s="409"/>
      <c r="J189" s="409">
        <f>(P100/$R100*100*($E100/365))+(P101/$R101*100*($E101/365))+(P102/$R102*100*($E102/365))</f>
        <v>0</v>
      </c>
      <c r="K189" s="409"/>
      <c r="L189" s="409">
        <f>(Q100/$R100*100*($E100/365))+(Q101/$R101*100*($E101/365))+(Q102/$R102*100*($E102/365))</f>
        <v>100</v>
      </c>
      <c r="M189" s="409"/>
      <c r="N189" s="379">
        <f t="shared" si="34"/>
        <v>100</v>
      </c>
      <c r="O189" s="379"/>
      <c r="R189" s="1">
        <v>2005</v>
      </c>
      <c r="S189" s="5">
        <f>(O100*($E100/365))+(O101*($E101/365))+(O102*($E102/365))</f>
        <v>0</v>
      </c>
      <c r="T189" s="5">
        <f>(P100*($E100/365))+(P101*($E101/365))+(P102*($E102/365))</f>
        <v>0</v>
      </c>
      <c r="U189" s="5">
        <f>(Q100*($E100/365))+(Q101*($E101/365))+(Q102*($E102/365))</f>
        <v>42.560821917808219</v>
      </c>
      <c r="V189" s="5"/>
      <c r="W189" s="5">
        <f t="shared" si="35"/>
        <v>42.560821917808219</v>
      </c>
    </row>
    <row r="190" spans="1:23" x14ac:dyDescent="0.15">
      <c r="A190" s="1">
        <v>2006</v>
      </c>
      <c r="B190" s="5">
        <f>(K103*($E103/365))+(K104*($E104/365))</f>
        <v>0</v>
      </c>
      <c r="C190" s="5">
        <f>(L103*($E103/365))+(L104*($E104/365))</f>
        <v>0</v>
      </c>
      <c r="D190" s="5">
        <f>(M103*($E103/365))+(M104*($E104/365))</f>
        <v>100</v>
      </c>
      <c r="E190" s="18">
        <f t="shared" si="33"/>
        <v>100</v>
      </c>
      <c r="G190" s="1">
        <v>2006</v>
      </c>
      <c r="H190" s="409">
        <f>(O103/$R103*100*($E103/365))+(O104/$R104*100*($E104/365))</f>
        <v>0</v>
      </c>
      <c r="I190" s="409"/>
      <c r="J190" s="409">
        <f>(P103/$R103*100*($E103/365))+(P104/$R104*100*($E104/365))</f>
        <v>0</v>
      </c>
      <c r="K190" s="409"/>
      <c r="L190" s="409">
        <f>(Q103/$R103*100*($E103/365))+(Q104/$R104*100*($E104/365))</f>
        <v>100</v>
      </c>
      <c r="M190" s="409"/>
      <c r="N190" s="379">
        <f t="shared" si="34"/>
        <v>100</v>
      </c>
      <c r="O190" s="379"/>
      <c r="R190" s="1">
        <v>2006</v>
      </c>
      <c r="S190" s="5">
        <f>(O103*($E103/365))+(O104*($E104/365))</f>
        <v>0</v>
      </c>
      <c r="T190" s="5">
        <f>(P103*($E103/365))+(P104*($E104/365))</f>
        <v>0</v>
      </c>
      <c r="U190" s="5">
        <f>(Q103*($E103/365))+(Q104*($E104/365))</f>
        <v>42.1</v>
      </c>
      <c r="V190" s="5"/>
      <c r="W190" s="5">
        <f t="shared" si="35"/>
        <v>42.1</v>
      </c>
    </row>
    <row r="191" spans="1:23" x14ac:dyDescent="0.15">
      <c r="A191" s="1">
        <v>2007</v>
      </c>
      <c r="B191" s="5">
        <f>(K105*($E105/365))+(K106*($E106/365))</f>
        <v>0</v>
      </c>
      <c r="C191" s="5">
        <f>(L105*($E105/365))+(L106*($E106/365))</f>
        <v>0</v>
      </c>
      <c r="D191" s="5">
        <f>(M105*($E105/365))+(M106*($E106/365))</f>
        <v>100</v>
      </c>
      <c r="E191" s="18">
        <f t="shared" si="33"/>
        <v>100</v>
      </c>
      <c r="G191" s="1">
        <v>2007</v>
      </c>
      <c r="H191" s="409">
        <f>(O105/$R105*100*($E105/365))+(O106/$R106*100*($E106/365))</f>
        <v>0</v>
      </c>
      <c r="I191" s="409"/>
      <c r="J191" s="409">
        <f>(P105/$R105*100*($E105/365))+(P106/$R106*100*($E106/365))</f>
        <v>0</v>
      </c>
      <c r="K191" s="409"/>
      <c r="L191" s="409">
        <f>(Q105/$R105*100*($E105/365))+(Q106/$R106*100*($E106/365))</f>
        <v>100</v>
      </c>
      <c r="M191" s="409"/>
      <c r="N191" s="379">
        <f t="shared" si="34"/>
        <v>100</v>
      </c>
      <c r="O191" s="379"/>
      <c r="R191" s="1">
        <v>2007</v>
      </c>
      <c r="S191" s="5">
        <f>(O105*($E105/365))+(O106*($E106/365))</f>
        <v>0</v>
      </c>
      <c r="T191" s="5">
        <f>(P105*($E105/365))+(P106*($E106/365))</f>
        <v>0</v>
      </c>
      <c r="U191" s="5">
        <f>(Q105*($E105/365))+(Q106*($E106/365))</f>
        <v>42.1</v>
      </c>
      <c r="V191" s="5"/>
      <c r="W191" s="5">
        <f t="shared" si="35"/>
        <v>42.1</v>
      </c>
    </row>
    <row r="192" spans="1:23" x14ac:dyDescent="0.15">
      <c r="A192" s="1">
        <v>2008</v>
      </c>
      <c r="B192" s="5">
        <f>(K107*($E107/366))+(K108*($E108/366))</f>
        <v>11.748633879781421</v>
      </c>
      <c r="C192" s="5">
        <f>(L107*($E107/366))+(L108*($E108/366))</f>
        <v>0</v>
      </c>
      <c r="D192" s="5">
        <f>(M107*($E107/366))+(M108*($E108/366))</f>
        <v>88.251366120218577</v>
      </c>
      <c r="E192" s="18">
        <f t="shared" si="33"/>
        <v>100</v>
      </c>
      <c r="G192" s="1">
        <v>2008</v>
      </c>
      <c r="H192" s="409">
        <f>(O107/$R107*100*($E107/366))+(O108/$R108*100*($E108/366))</f>
        <v>11.748633879781421</v>
      </c>
      <c r="I192" s="409"/>
      <c r="J192" s="409">
        <f>(P107/$R107*100*($E107/366))+(P108/$R108*100*($E108/366))</f>
        <v>0</v>
      </c>
      <c r="K192" s="409"/>
      <c r="L192" s="409">
        <f>(Q107/$R107*100*($E107/366))+(Q108/$R108*100*($E108/366))</f>
        <v>88.251366120218577</v>
      </c>
      <c r="M192" s="409"/>
      <c r="N192" s="379">
        <f t="shared" si="34"/>
        <v>100</v>
      </c>
      <c r="O192" s="379"/>
      <c r="R192" s="1">
        <v>2008</v>
      </c>
      <c r="S192" s="5">
        <f>(O107*($E107/366))+(O108*($E108/366))</f>
        <v>5.5806010928961749</v>
      </c>
      <c r="T192" s="5">
        <f>(P107*($E107/366))+(P108*($E108/366))</f>
        <v>0</v>
      </c>
      <c r="U192" s="5">
        <f>(Q107*($E107/366))+(Q108*($E108/366))</f>
        <v>37.153825136612021</v>
      </c>
      <c r="V192" s="5"/>
      <c r="W192" s="5">
        <f t="shared" si="35"/>
        <v>42.734426229508195</v>
      </c>
    </row>
    <row r="193" spans="1:23" x14ac:dyDescent="0.15">
      <c r="A193" s="1">
        <v>2009</v>
      </c>
      <c r="B193" s="5">
        <f>(K109*($E109/365))+(K110*($E110/365))</f>
        <v>100</v>
      </c>
      <c r="C193" s="5">
        <f>(L109*($E109/365))+(L110*($E110/365))</f>
        <v>0</v>
      </c>
      <c r="D193" s="5">
        <f>(M109*($E109/365))+(M110*($E110/365))</f>
        <v>0</v>
      </c>
      <c r="E193" s="18">
        <f t="shared" si="33"/>
        <v>100</v>
      </c>
      <c r="G193" s="1">
        <v>2009</v>
      </c>
      <c r="H193" s="409">
        <f>(O109/$R109*100*($E109/365))+(O110/$R110*100*($E110/365))</f>
        <v>100</v>
      </c>
      <c r="I193" s="409"/>
      <c r="J193" s="409">
        <f>(P109/$R109*100*($E109/365))+(P110/$R110*100*($E110/365))</f>
        <v>0</v>
      </c>
      <c r="K193" s="409"/>
      <c r="L193" s="409">
        <f>(Q109/$R109*100*($E109/365))+(Q110/$R110*100*($E110/365))</f>
        <v>0</v>
      </c>
      <c r="M193" s="409"/>
      <c r="N193" s="379">
        <f t="shared" si="34"/>
        <v>100</v>
      </c>
      <c r="O193" s="379"/>
      <c r="R193" s="1">
        <v>2009</v>
      </c>
      <c r="S193" s="5">
        <f>(O109*($E109/365))+(O110*($E110/365))</f>
        <v>47.5</v>
      </c>
      <c r="T193" s="5">
        <f>(P109*($E109/365))+(P110*($E110/365))</f>
        <v>0</v>
      </c>
      <c r="U193" s="5">
        <f>(Q109*($E109/365))+(Q110*($E110/365))</f>
        <v>0</v>
      </c>
      <c r="V193" s="5"/>
      <c r="W193" s="5">
        <f t="shared" si="35"/>
        <v>47.5</v>
      </c>
    </row>
    <row r="194" spans="1:23" x14ac:dyDescent="0.15">
      <c r="A194" s="1">
        <v>2010</v>
      </c>
      <c r="B194" s="5">
        <f>(K111*($E111/365))+(K112*($E112/365))</f>
        <v>100</v>
      </c>
      <c r="C194" s="5">
        <f>(L111*($E111/365))+(L112*($E112/365))</f>
        <v>0</v>
      </c>
      <c r="D194" s="5">
        <f>(M111*($E111/365))+(M112*($E112/365))</f>
        <v>0</v>
      </c>
      <c r="E194" s="18">
        <f t="shared" si="33"/>
        <v>100</v>
      </c>
      <c r="G194" s="1">
        <v>2010</v>
      </c>
      <c r="H194" s="409">
        <f>(O111/$R111*100*($E111/365))+(O112/$R112*100*($E112/365))</f>
        <v>100</v>
      </c>
      <c r="I194" s="409"/>
      <c r="J194" s="409">
        <f>(P111/$R111*100*($E111/365))+(P112/$R112*100*($E112/365))</f>
        <v>0</v>
      </c>
      <c r="K194" s="409"/>
      <c r="L194" s="409">
        <f>(Q111/$R111*100*($E111/365))+(Q112/$R112*100*($E112/365))</f>
        <v>0</v>
      </c>
      <c r="M194" s="409"/>
      <c r="N194" s="379">
        <f t="shared" si="34"/>
        <v>100</v>
      </c>
      <c r="O194" s="379"/>
      <c r="R194" s="1">
        <v>2010</v>
      </c>
      <c r="S194" s="5">
        <f>(O111*($E111/365))+(O112*($E112/365))</f>
        <v>47.5</v>
      </c>
      <c r="T194" s="5">
        <f>(P111*($E111/365))+(P112*($E112/365))</f>
        <v>0</v>
      </c>
      <c r="U194" s="5">
        <f>(Q111*($E111/365))+(Q112*($E112/365))</f>
        <v>0</v>
      </c>
      <c r="V194" s="5"/>
      <c r="W194" s="5">
        <f t="shared" si="35"/>
        <v>47.5</v>
      </c>
    </row>
    <row r="195" spans="1:23" x14ac:dyDescent="0.15">
      <c r="A195" s="1">
        <v>2011</v>
      </c>
      <c r="B195" s="5">
        <f>(K113*($E113/365))+(K114*($E114/365))</f>
        <v>100</v>
      </c>
      <c r="C195" s="5">
        <f>(L113*($E113/365))+(L114*($E114/365))</f>
        <v>0</v>
      </c>
      <c r="D195" s="5">
        <f>(M113*($E113/365))+(M114*($E114/365))</f>
        <v>0</v>
      </c>
      <c r="E195" s="18">
        <f t="shared" si="33"/>
        <v>100</v>
      </c>
      <c r="G195" s="1">
        <v>2011</v>
      </c>
      <c r="H195" s="409">
        <f>(O113/$R113*100*($E113/365))+(O114/$R114*100*($E114/365))</f>
        <v>100</v>
      </c>
      <c r="I195" s="409"/>
      <c r="J195" s="409">
        <f>(P113/$R113*100*($E113/365))+(P114/$R114*100*($E114/365))</f>
        <v>0</v>
      </c>
      <c r="K195" s="409"/>
      <c r="L195" s="409">
        <f>(Q113/$R113*100*($E113/365))+(Q114/$R114*100*($E114/365))</f>
        <v>0</v>
      </c>
      <c r="M195" s="409"/>
      <c r="N195" s="379">
        <f t="shared" si="34"/>
        <v>100</v>
      </c>
      <c r="O195" s="379"/>
      <c r="R195" s="1">
        <v>2011</v>
      </c>
      <c r="S195" s="5">
        <f>(O113*($E113/365))+(O114*($E114/365))</f>
        <v>47.562136986301368</v>
      </c>
      <c r="T195" s="5">
        <f>(P113*($E113/365))+(P114*($E114/365))</f>
        <v>0</v>
      </c>
      <c r="U195" s="5">
        <f>(Q113*($E113/365))+(Q114*($E114/365))</f>
        <v>0</v>
      </c>
      <c r="V195" s="5"/>
      <c r="W195" s="5">
        <f t="shared" si="35"/>
        <v>47.562136986301368</v>
      </c>
    </row>
    <row r="196" spans="1:23" x14ac:dyDescent="0.15">
      <c r="A196" s="1">
        <v>2012</v>
      </c>
      <c r="B196" s="5">
        <f>(K115*($E115/366))+(K116*($E116/366))</f>
        <v>100</v>
      </c>
      <c r="C196" s="5">
        <f>(L115*($E115/366))+(L116*($E116/366))</f>
        <v>0</v>
      </c>
      <c r="D196" s="5">
        <f>(M115*($E115/366))+(M116*($E116/366))</f>
        <v>0</v>
      </c>
      <c r="E196" s="18">
        <f t="shared" si="33"/>
        <v>100</v>
      </c>
      <c r="G196" s="1">
        <v>2012</v>
      </c>
      <c r="H196" s="409">
        <f>(O115/$R115*100*($E115/366))+(O116/$R116*100*($E116/366))</f>
        <v>100</v>
      </c>
      <c r="I196" s="409"/>
      <c r="J196" s="409">
        <f>(P115/$R115*100*($E115/366))+(P116/$R116*100*($E116/366))</f>
        <v>0</v>
      </c>
      <c r="K196" s="409"/>
      <c r="L196" s="409">
        <f>(Q115/$R115*100*($E115/366))+(Q116/$R116*100*($E116/366))</f>
        <v>0</v>
      </c>
      <c r="M196" s="409"/>
      <c r="N196" s="379">
        <f>H196+J196+L196</f>
        <v>100</v>
      </c>
      <c r="O196" s="379"/>
      <c r="R196" s="1">
        <v>2012</v>
      </c>
      <c r="S196" s="5">
        <f>(O115*($E115/366))+(O116*($E116/366))</f>
        <v>48.76</v>
      </c>
      <c r="T196" s="5">
        <f>(P115*($E115/366))+(P116*($E116/366))</f>
        <v>0</v>
      </c>
      <c r="U196" s="5">
        <f>(Q115*($E115/366))+(Q116*($E116/366))</f>
        <v>0</v>
      </c>
      <c r="V196" s="5"/>
      <c r="W196" s="5">
        <f t="shared" si="35"/>
        <v>48.76</v>
      </c>
    </row>
    <row r="197" spans="1:23" x14ac:dyDescent="0.15">
      <c r="A197" s="1">
        <v>2013</v>
      </c>
      <c r="B197" s="5">
        <f>(K117*($E117/365))+(K118*($E118/365))</f>
        <v>100</v>
      </c>
      <c r="C197" s="5">
        <f>(L117*($E117/365))+(L118*($E118/365))</f>
        <v>0</v>
      </c>
      <c r="D197" s="5">
        <f>(M117*($E117/365))+(M118*($E118/365))</f>
        <v>0</v>
      </c>
      <c r="E197" s="18">
        <f t="shared" si="33"/>
        <v>100</v>
      </c>
      <c r="G197" s="1">
        <v>2013</v>
      </c>
      <c r="H197" s="409">
        <f>(O117/$R117*100*($E117/365))+(O118/$R118*100*($E118/365))</f>
        <v>100</v>
      </c>
      <c r="I197" s="409"/>
      <c r="J197" s="409">
        <f>(P117/$R117*100*($E117/365))+(P118/$R118*100*($E118/365))</f>
        <v>0</v>
      </c>
      <c r="K197" s="409"/>
      <c r="L197" s="409">
        <f>(Q117/$R117*100*($E117/365))+(Q118/$R118*100*($E118/365))</f>
        <v>0</v>
      </c>
      <c r="M197" s="409"/>
      <c r="N197" s="379">
        <f>H197+J197+L197</f>
        <v>100</v>
      </c>
      <c r="O197" s="379"/>
      <c r="R197" s="1">
        <v>2013</v>
      </c>
      <c r="S197" s="5">
        <f>(O117*($E117/365))+(O118*($E118/365))</f>
        <v>48.76</v>
      </c>
      <c r="T197" s="5">
        <f>(P117*($E117/365))+(P118*($E118/365))</f>
        <v>0</v>
      </c>
      <c r="U197" s="5">
        <f>(Q117*($E117/365))+(Q118*($E118/365))</f>
        <v>0</v>
      </c>
      <c r="W197" s="5">
        <f t="shared" si="35"/>
        <v>48.76</v>
      </c>
    </row>
    <row r="198" spans="1:23" x14ac:dyDescent="0.15">
      <c r="A198" s="1">
        <v>2014</v>
      </c>
      <c r="B198" s="5">
        <f>(K119*($E119/365))+(K120*($E120/365))+(K121*($E121/365))</f>
        <v>100</v>
      </c>
      <c r="C198" s="5">
        <f>(L119*($E119/365))+(L120*($E120/365))+(L121*($E121/365))</f>
        <v>0</v>
      </c>
      <c r="D198" s="5">
        <f>(M119*($E119/365))+(M120*($E120/365))+(M121*($E121/365))</f>
        <v>0</v>
      </c>
      <c r="E198" s="18">
        <f>B198+C198+D198</f>
        <v>100</v>
      </c>
      <c r="G198" s="1">
        <v>2014</v>
      </c>
      <c r="H198" s="409">
        <f>(O119/$R119*100*($E119/365))+(O120/$R120*100*($E120/365))+(O121/$R121*100*($E121/365))</f>
        <v>100</v>
      </c>
      <c r="I198" s="409"/>
      <c r="J198" s="409">
        <f>(P119/$R119*100*($E119/365))+(P120/$R120*100*($E120/365))+(P121/$R121*100*($E121/365))</f>
        <v>0</v>
      </c>
      <c r="K198" s="409"/>
      <c r="L198" s="409">
        <f>(Q119/$R119*100*($E119/365))+(Q120/$R120*100*($E120/365))+(Q121/$R121*100*($E121/365))</f>
        <v>0</v>
      </c>
      <c r="M198" s="409"/>
      <c r="N198" s="379">
        <f>H198+J198+L198</f>
        <v>100</v>
      </c>
      <c r="O198" s="379"/>
      <c r="R198" s="1">
        <v>2014</v>
      </c>
      <c r="S198" s="5">
        <f>(O119*($E119/365))+(O120*($E120/365))+(O121*($E121/365))</f>
        <v>48.955616438356159</v>
      </c>
      <c r="T198" s="5">
        <f>(P119*($E119/365))+(P120*($E120/365))+(P121*($E121/365))</f>
        <v>0</v>
      </c>
      <c r="U198" s="5">
        <f>(Q119*($E119/365))+(Q120*($E120/365))+(Q121*($E121/365))</f>
        <v>0</v>
      </c>
      <c r="W198" s="5">
        <f>S198+T198+U198</f>
        <v>48.955616438356159</v>
      </c>
    </row>
    <row r="199" spans="1:23" x14ac:dyDescent="0.15">
      <c r="A199" s="1">
        <v>2015</v>
      </c>
      <c r="B199" s="5">
        <f>(K122*($E122/365))+(K123*($E123/365))</f>
        <v>100</v>
      </c>
      <c r="C199" s="5">
        <f>(L122*($E122/365))+(L123*($E123/365))</f>
        <v>0</v>
      </c>
      <c r="D199" s="5">
        <f>(M122*($E122/365))+(M123*($E123/365))</f>
        <v>0</v>
      </c>
      <c r="E199" s="18">
        <f>B199+C199+D199</f>
        <v>100</v>
      </c>
      <c r="G199" s="1">
        <v>2015</v>
      </c>
      <c r="H199" s="409">
        <f>(O122/$R122*100*($E122/365))+(O123/$R123*100*($E123/365))</f>
        <v>100</v>
      </c>
      <c r="I199" s="409"/>
      <c r="J199" s="409">
        <f>(P122/$R122*100*($E122/365))+(P123/$R123*100*($E123/365))</f>
        <v>0</v>
      </c>
      <c r="K199" s="409"/>
      <c r="L199" s="409">
        <f>(Q122/$R122*100*($E122/365))+(Q123/$R123*100*($E123/365))</f>
        <v>0</v>
      </c>
      <c r="M199" s="409"/>
      <c r="N199" s="379">
        <f>H199+J199+L199</f>
        <v>100</v>
      </c>
      <c r="O199" s="379"/>
      <c r="R199" s="1">
        <v>2015</v>
      </c>
      <c r="S199" s="5">
        <f>(O122*($E122/365))+(O123*($E123/365))</f>
        <v>49.6</v>
      </c>
      <c r="T199" s="5">
        <f>(P122*($E122/365))+(P123*($E123/365))</f>
        <v>0</v>
      </c>
      <c r="U199" s="5">
        <f>(Q122*($E122/365))+(Q123*($E123/365))</f>
        <v>0</v>
      </c>
      <c r="W199" s="5">
        <f>S199+T199+U199</f>
        <v>49.6</v>
      </c>
    </row>
    <row r="200" spans="1:23" x14ac:dyDescent="0.15">
      <c r="A200" s="1">
        <v>2016</v>
      </c>
      <c r="B200" s="5">
        <f>(K124*($E124/366))+(K125*($E125/366))</f>
        <v>100</v>
      </c>
      <c r="C200" s="5">
        <f>(L124*($E124/366))+(L125*($E125/366))</f>
        <v>0</v>
      </c>
      <c r="D200" s="5">
        <f>(M124*($E124/366))+(M125*($E125/366))</f>
        <v>0</v>
      </c>
      <c r="E200" s="18">
        <f t="shared" ref="E200" si="36">B200+C200+D200</f>
        <v>100</v>
      </c>
      <c r="G200" s="1">
        <v>2016</v>
      </c>
      <c r="H200" s="409">
        <f>(O124/$R124*100*($E124/366))+(O125/$R125*100*($E125/366))</f>
        <v>100</v>
      </c>
      <c r="I200" s="409"/>
      <c r="J200" s="409">
        <f>(P124/$R124*100*($E124/366))+(P125/$R125*100*($E125/366))</f>
        <v>0</v>
      </c>
      <c r="K200" s="409"/>
      <c r="L200" s="409">
        <f>(Q124/$R124*100*($E124/366))+(Q125/$R125*100*($E125/366))</f>
        <v>0</v>
      </c>
      <c r="M200" s="409"/>
      <c r="N200" s="379">
        <f t="shared" ref="N200" si="37">H200+J200+L200</f>
        <v>100</v>
      </c>
      <c r="O200" s="379"/>
      <c r="R200" s="1">
        <v>2016</v>
      </c>
      <c r="S200" s="5">
        <f>(O124*($E124/366))+(O125*($E125/366))</f>
        <v>49.569398907103825</v>
      </c>
      <c r="T200" s="5">
        <f>(P124*($E124/366))+(P125*($E125/366))</f>
        <v>0</v>
      </c>
      <c r="U200" s="5">
        <f>(Q124*($E124/366))+(Q125*($E125/366))</f>
        <v>0</v>
      </c>
      <c r="W200" s="5">
        <f t="shared" ref="W200" si="38">S200+T200+U200</f>
        <v>49.569398907103825</v>
      </c>
    </row>
    <row r="201" spans="1:23" x14ac:dyDescent="0.15">
      <c r="A201" s="1">
        <v>2017</v>
      </c>
      <c r="B201" s="5">
        <f>(K126*($E126/365))+(K127*($E127/365))</f>
        <v>85.315068493150676</v>
      </c>
      <c r="C201" s="5">
        <f t="shared" ref="C201:D201" si="39">(L126*($E126/365))+(L127*($E127/365))</f>
        <v>0</v>
      </c>
      <c r="D201" s="5">
        <f t="shared" si="39"/>
        <v>14.684931506849315</v>
      </c>
      <c r="E201" s="18">
        <f t="shared" ref="E201" si="40">B201+C201+D201</f>
        <v>99.999999999999986</v>
      </c>
      <c r="G201" s="1">
        <v>2017</v>
      </c>
      <c r="H201" s="409">
        <f>(O126/$R126*100*($E126/365))+(O127/$R127*100*($E127/365))</f>
        <v>84.649757731650411</v>
      </c>
      <c r="I201" s="409"/>
      <c r="J201" s="409">
        <f>(P126/$R126*100*($E126/365))+(P127/$R127*100*($E127/365))</f>
        <v>0</v>
      </c>
      <c r="K201" s="409"/>
      <c r="L201" s="409">
        <f>(Q126/$R126*100*($E126/365))+(Q127/$R127*100*($E127/365))</f>
        <v>15.350242268349584</v>
      </c>
      <c r="M201" s="409"/>
      <c r="N201" s="379">
        <f t="shared" ref="N201" si="41">H201+J201+L201</f>
        <v>100</v>
      </c>
      <c r="O201" s="379"/>
      <c r="R201" s="1">
        <v>2017</v>
      </c>
      <c r="S201" s="5">
        <f>(O126*($E126/365))+(O127*($E127/365))</f>
        <v>41.218904109589033</v>
      </c>
      <c r="T201" s="5">
        <f t="shared" ref="T201:U201" si="42">(P126*($E126/365))+(P127*($E127/365))</f>
        <v>0</v>
      </c>
      <c r="U201" s="5">
        <f t="shared" si="42"/>
        <v>7.0304109589041088</v>
      </c>
      <c r="W201" s="5">
        <f t="shared" ref="W201" si="43">S201+T201+U201</f>
        <v>48.249315068493139</v>
      </c>
    </row>
    <row r="202" spans="1:23" x14ac:dyDescent="0.15">
      <c r="A202" s="1">
        <v>2018</v>
      </c>
      <c r="B202" s="5">
        <f>(K128*($E128/365))+(K129*($E129/365))</f>
        <v>20.374909877433307</v>
      </c>
      <c r="C202" s="5">
        <f>(L128*($E128/365))+(L129*($E129/365))</f>
        <v>0</v>
      </c>
      <c r="D202" s="5">
        <f>(M128*($E128/365))+(M129*($E129/365))</f>
        <v>79.625090122566689</v>
      </c>
      <c r="E202" s="18">
        <f t="shared" ref="E202" si="44">B202+C202+D202</f>
        <v>100</v>
      </c>
      <c r="G202" s="1">
        <v>2018</v>
      </c>
      <c r="H202" s="409">
        <f>(O128/$R128*100*($E128/365))+(O129/$R129*100*($E129/365))</f>
        <v>16.375545851528386</v>
      </c>
      <c r="I202" s="409"/>
      <c r="J202" s="409">
        <f>(P128/$R128*100*($E128/365))+(P129/$R129*100*($E129/365))</f>
        <v>0</v>
      </c>
      <c r="K202" s="409"/>
      <c r="L202" s="409">
        <f>(Q128/$R128*100*($E128/365))+(Q129/$R129*100*($E129/365))</f>
        <v>83.624454148471614</v>
      </c>
      <c r="M202" s="409"/>
      <c r="N202" s="379">
        <f t="shared" ref="N202" si="45">H202+J202+L202</f>
        <v>100</v>
      </c>
      <c r="O202" s="379"/>
      <c r="R202" s="1">
        <v>2018</v>
      </c>
      <c r="S202" s="5">
        <f>(O128*($E128/365))+(O129*($E129/365))</f>
        <v>7.5</v>
      </c>
      <c r="T202" s="5">
        <f>(P128*($E128/365))+(P129*($E129/365))</f>
        <v>0</v>
      </c>
      <c r="U202" s="5">
        <f>(Q128*($E128/365))+(Q129*($E129/365))</f>
        <v>38.299999999999997</v>
      </c>
      <c r="W202" s="5">
        <f t="shared" ref="W202" si="46">S202+T202+U202</f>
        <v>45.8</v>
      </c>
    </row>
    <row r="203" spans="1:23" x14ac:dyDescent="0.15">
      <c r="A203" s="1">
        <v>2019</v>
      </c>
      <c r="B203" s="5">
        <f>(K130*($E130/365))+(K131*($E131/365))</f>
        <v>20.510454217736118</v>
      </c>
      <c r="C203" s="5">
        <f>(L130*($E130/365))+(L131*($E131/365))</f>
        <v>0</v>
      </c>
      <c r="D203" s="5">
        <f>(M130*($E130/365))+(M131*($E131/365))</f>
        <v>79.489545782263889</v>
      </c>
      <c r="E203" s="18">
        <f t="shared" ref="E203:E204" si="47">B203+C203+D203</f>
        <v>100</v>
      </c>
      <c r="G203" s="1">
        <v>2019</v>
      </c>
      <c r="H203" s="409">
        <f>(O130/$R130*100*($E130/365))+(O131/$R131*100*($E131/365))</f>
        <v>16.375545851528386</v>
      </c>
      <c r="I203" s="409"/>
      <c r="J203" s="409">
        <f>(P130/$R130*100*($E130/365))+(P131/$R131*100*($E131/365))</f>
        <v>0</v>
      </c>
      <c r="K203" s="409"/>
      <c r="L203" s="409">
        <f>(Q130/$R130*100*($E130/365))+(Q131/$R131*100*($E131/365))</f>
        <v>83.624454148471614</v>
      </c>
      <c r="M203" s="409"/>
      <c r="N203" s="379">
        <f t="shared" ref="N203" si="48">H203+J203+L203</f>
        <v>100</v>
      </c>
      <c r="O203" s="379"/>
      <c r="R203" s="1">
        <v>2019</v>
      </c>
      <c r="S203" s="5">
        <f>(O130*($E130/365))+(O131*($E131/365))</f>
        <v>7.5</v>
      </c>
      <c r="T203" s="5">
        <f>(P130*($E130/365))+(P131*($E131/365))</f>
        <v>0</v>
      </c>
      <c r="U203" s="5">
        <f>(Q130*($E130/365))+(Q131*($E131/365))</f>
        <v>38.299999999999997</v>
      </c>
      <c r="W203" s="5">
        <f t="shared" ref="W203:W204" si="49">S203+T203+U203</f>
        <v>45.8</v>
      </c>
    </row>
    <row r="204" spans="1:23" x14ac:dyDescent="0.15">
      <c r="A204" s="1">
        <v>2020</v>
      </c>
      <c r="B204" s="5">
        <f>(K132*($E132/366))+(K133*($E133/366))+ (K134*($E134/366)) + (K135*($E135/366))</f>
        <v>17.647077621193237</v>
      </c>
      <c r="C204" s="5">
        <f>(L132*($E132/366))+(L133*($E133/366))+ (L134*($E134/366)) + (L135*($E135/366))</f>
        <v>0</v>
      </c>
      <c r="D204" s="5">
        <f>(M132*($E132/366))+(M133*($E133/366))+ (M134*($E134/366)) + (M135*($E135/366))</f>
        <v>82.352922378806767</v>
      </c>
      <c r="E204" s="18">
        <f t="shared" si="47"/>
        <v>100</v>
      </c>
      <c r="G204" s="1">
        <v>2020</v>
      </c>
      <c r="H204" s="409">
        <f>(O132/$R132*100*($E132/366))+(O133/$R133*100*($E133/366)) + (O134/$R134*100*($E134/366)) + (O135/$R135*100*($E135/366))</f>
        <v>13.869997852387431</v>
      </c>
      <c r="I204" s="409"/>
      <c r="J204" s="409">
        <f>(P132/$R132*100*($E132/366))+(P133/$R133*100*($E133/366)) + (P134/$R134*100*($E134/366)) + (P135/$R135*100*($E135/366))</f>
        <v>0</v>
      </c>
      <c r="K204" s="409"/>
      <c r="L204" s="409">
        <f>(Q132/$R132*100*($E132/366))+(Q133/$R133*100*($E133/366)) + (Q134/$R134*100*($E134/366)) + (Q135/$R135*100*($E135/366))</f>
        <v>86.130002147612572</v>
      </c>
      <c r="M204" s="409"/>
      <c r="N204" s="379">
        <f t="shared" ref="N204" si="50">H204+J204+L204</f>
        <v>100</v>
      </c>
      <c r="O204" s="379"/>
      <c r="R204" s="1">
        <v>2020</v>
      </c>
      <c r="S204" s="5">
        <f>(O132*($E132/366))+(O133*($E133/366)) + (O134*($E134/366)) + (O135*($E135/366))</f>
        <v>6.3524590163934427</v>
      </c>
      <c r="T204" s="5">
        <f>(P132*($E132/366))+(P133*($E133/366)) + (P134*($E134/366)) + (P135*($E135/366))</f>
        <v>0</v>
      </c>
      <c r="U204" s="5">
        <f>(Q132*($E132/366))+(Q133*($E133/366)) + (Q134*($E134/366)) + (Q135*($E135/366))</f>
        <v>40.732786885245901</v>
      </c>
      <c r="W204" s="5">
        <f t="shared" si="49"/>
        <v>47.08524590163934</v>
      </c>
    </row>
  </sheetData>
  <mergeCells count="404">
    <mergeCell ref="C133:D133"/>
    <mergeCell ref="H204:I204"/>
    <mergeCell ref="J204:K204"/>
    <mergeCell ref="L204:M204"/>
    <mergeCell ref="N204:O204"/>
    <mergeCell ref="H201:I201"/>
    <mergeCell ref="J201:K201"/>
    <mergeCell ref="L201:M201"/>
    <mergeCell ref="N201:O201"/>
    <mergeCell ref="H145:I145"/>
    <mergeCell ref="J145:K145"/>
    <mergeCell ref="L145:M145"/>
    <mergeCell ref="H146:I146"/>
    <mergeCell ref="J146:K146"/>
    <mergeCell ref="L146:M146"/>
    <mergeCell ref="H151:I151"/>
    <mergeCell ref="J151:K151"/>
    <mergeCell ref="L151:M151"/>
    <mergeCell ref="H200:I200"/>
    <mergeCell ref="J200:K200"/>
    <mergeCell ref="L200:M200"/>
    <mergeCell ref="H147:I147"/>
    <mergeCell ref="J147:K147"/>
    <mergeCell ref="L147:M147"/>
    <mergeCell ref="L150:M150"/>
    <mergeCell ref="H155:I155"/>
    <mergeCell ref="J155:K155"/>
    <mergeCell ref="L155:M155"/>
    <mergeCell ref="H153:I153"/>
    <mergeCell ref="J153:K153"/>
    <mergeCell ref="L153:M153"/>
    <mergeCell ref="H154:I154"/>
    <mergeCell ref="J154:K154"/>
    <mergeCell ref="L154:M154"/>
    <mergeCell ref="N200:O200"/>
    <mergeCell ref="N190:O190"/>
    <mergeCell ref="N191:O191"/>
    <mergeCell ref="N192:O192"/>
    <mergeCell ref="N178:O178"/>
    <mergeCell ref="N179:O179"/>
    <mergeCell ref="N180:O180"/>
    <mergeCell ref="N197:O197"/>
    <mergeCell ref="N173:O173"/>
    <mergeCell ref="N174:O174"/>
    <mergeCell ref="N175:O175"/>
    <mergeCell ref="N176:O176"/>
    <mergeCell ref="N177:O177"/>
    <mergeCell ref="N188:O188"/>
    <mergeCell ref="N189:O189"/>
    <mergeCell ref="C117:D117"/>
    <mergeCell ref="C118:D118"/>
    <mergeCell ref="H197:I197"/>
    <mergeCell ref="J197:K197"/>
    <mergeCell ref="L197:M197"/>
    <mergeCell ref="L143:M143"/>
    <mergeCell ref="N143:O143"/>
    <mergeCell ref="N193:O193"/>
    <mergeCell ref="N194:O194"/>
    <mergeCell ref="N181:O181"/>
    <mergeCell ref="N182:O182"/>
    <mergeCell ref="N183:O183"/>
    <mergeCell ref="N184:O184"/>
    <mergeCell ref="N185:O185"/>
    <mergeCell ref="N186:O186"/>
    <mergeCell ref="N195:O195"/>
    <mergeCell ref="N196:O196"/>
    <mergeCell ref="N187:O187"/>
    <mergeCell ref="C126:D126"/>
    <mergeCell ref="N158:O158"/>
    <mergeCell ref="N159:O159"/>
    <mergeCell ref="N160:O160"/>
    <mergeCell ref="N161:O161"/>
    <mergeCell ref="N162:O162"/>
    <mergeCell ref="H158:I158"/>
    <mergeCell ref="J158:K158"/>
    <mergeCell ref="L158:M158"/>
    <mergeCell ref="N154:O154"/>
    <mergeCell ref="C132:D132"/>
    <mergeCell ref="C134:D134"/>
    <mergeCell ref="C135:D135"/>
    <mergeCell ref="C125:D125"/>
    <mergeCell ref="H156:I156"/>
    <mergeCell ref="J156:K156"/>
    <mergeCell ref="L156:M156"/>
    <mergeCell ref="C127:D127"/>
    <mergeCell ref="C130:D130"/>
    <mergeCell ref="C131:D131"/>
    <mergeCell ref="H148:I148"/>
    <mergeCell ref="J148:K148"/>
    <mergeCell ref="L148:M148"/>
    <mergeCell ref="H152:I152"/>
    <mergeCell ref="J152:K152"/>
    <mergeCell ref="L152:M152"/>
    <mergeCell ref="H149:I149"/>
    <mergeCell ref="J149:K149"/>
    <mergeCell ref="L149:M149"/>
    <mergeCell ref="H150:I150"/>
    <mergeCell ref="C113:D113"/>
    <mergeCell ref="C104:D104"/>
    <mergeCell ref="C105:D105"/>
    <mergeCell ref="C114:D114"/>
    <mergeCell ref="C115:D115"/>
    <mergeCell ref="C106:D106"/>
    <mergeCell ref="C107:D107"/>
    <mergeCell ref="C108:D108"/>
    <mergeCell ref="C109:D109"/>
    <mergeCell ref="C110:D110"/>
    <mergeCell ref="C111:D111"/>
    <mergeCell ref="C96:D96"/>
    <mergeCell ref="C97:D97"/>
    <mergeCell ref="C100:D100"/>
    <mergeCell ref="C101:D101"/>
    <mergeCell ref="C98:D98"/>
    <mergeCell ref="C99:D99"/>
    <mergeCell ref="C102:D102"/>
    <mergeCell ref="C103:D103"/>
    <mergeCell ref="C112:D112"/>
    <mergeCell ref="C89:D89"/>
    <mergeCell ref="C86:D86"/>
    <mergeCell ref="C87:D87"/>
    <mergeCell ref="C90:D90"/>
    <mergeCell ref="C91:D91"/>
    <mergeCell ref="C94:D94"/>
    <mergeCell ref="C95:D95"/>
    <mergeCell ref="C92:D92"/>
    <mergeCell ref="C93:D93"/>
    <mergeCell ref="C77:D77"/>
    <mergeCell ref="C78:D78"/>
    <mergeCell ref="C81:D81"/>
    <mergeCell ref="C83:D83"/>
    <mergeCell ref="C79:D79"/>
    <mergeCell ref="C80:D80"/>
    <mergeCell ref="C84:D84"/>
    <mergeCell ref="C85:D85"/>
    <mergeCell ref="C88:D88"/>
    <mergeCell ref="C70:D70"/>
    <mergeCell ref="C67:D67"/>
    <mergeCell ref="C68:D68"/>
    <mergeCell ref="C71:D71"/>
    <mergeCell ref="C72:D72"/>
    <mergeCell ref="C75:D75"/>
    <mergeCell ref="C76:D76"/>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4:D34"/>
    <mergeCell ref="C31:D31"/>
    <mergeCell ref="C32:D32"/>
    <mergeCell ref="C35:D35"/>
    <mergeCell ref="C36:D36"/>
    <mergeCell ref="C39:D39"/>
    <mergeCell ref="C40:D40"/>
    <mergeCell ref="C37:D37"/>
    <mergeCell ref="C38:D38"/>
    <mergeCell ref="C23:D23"/>
    <mergeCell ref="C24:D24"/>
    <mergeCell ref="C27:D27"/>
    <mergeCell ref="C28:D28"/>
    <mergeCell ref="C25:D25"/>
    <mergeCell ref="C26:D26"/>
    <mergeCell ref="C29:D29"/>
    <mergeCell ref="C30:D30"/>
    <mergeCell ref="C33:D33"/>
    <mergeCell ref="C8:D8"/>
    <mergeCell ref="K4:N4"/>
    <mergeCell ref="O4:R4"/>
    <mergeCell ref="S4:S5"/>
    <mergeCell ref="T4:T5"/>
    <mergeCell ref="Z4:AC4"/>
    <mergeCell ref="AD4:AG4"/>
    <mergeCell ref="C7:D7"/>
    <mergeCell ref="C6:D6"/>
    <mergeCell ref="U4:U5"/>
    <mergeCell ref="V4:Y4"/>
    <mergeCell ref="A4:A5"/>
    <mergeCell ref="B4:B5"/>
    <mergeCell ref="C4:D5"/>
    <mergeCell ref="E4:E5"/>
    <mergeCell ref="H142:I142"/>
    <mergeCell ref="J142:K142"/>
    <mergeCell ref="C116:D116"/>
    <mergeCell ref="C82:D82"/>
    <mergeCell ref="F4:F5"/>
    <mergeCell ref="G4:J4"/>
    <mergeCell ref="C19:D19"/>
    <mergeCell ref="C20:D20"/>
    <mergeCell ref="C11:D11"/>
    <mergeCell ref="C12:D12"/>
    <mergeCell ref="C9:D9"/>
    <mergeCell ref="C10:D10"/>
    <mergeCell ref="C13:D13"/>
    <mergeCell ref="C14:D14"/>
    <mergeCell ref="C15:D15"/>
    <mergeCell ref="C16:D16"/>
    <mergeCell ref="C17:D17"/>
    <mergeCell ref="C18:D18"/>
    <mergeCell ref="C21:D21"/>
    <mergeCell ref="C22:D22"/>
    <mergeCell ref="G3:M3"/>
    <mergeCell ref="O3:Q3"/>
    <mergeCell ref="H144:I144"/>
    <mergeCell ref="J144:K144"/>
    <mergeCell ref="L144:M144"/>
    <mergeCell ref="N144:O144"/>
    <mergeCell ref="H143:I143"/>
    <mergeCell ref="J143:K143"/>
    <mergeCell ref="N169:O169"/>
    <mergeCell ref="N166:O166"/>
    <mergeCell ref="N157:O157"/>
    <mergeCell ref="J165:K165"/>
    <mergeCell ref="H166:I166"/>
    <mergeCell ref="J166:K166"/>
    <mergeCell ref="N156:O156"/>
    <mergeCell ref="H159:I159"/>
    <mergeCell ref="J159:K159"/>
    <mergeCell ref="L159:M159"/>
    <mergeCell ref="H160:I160"/>
    <mergeCell ref="J160:K160"/>
    <mergeCell ref="L160:M160"/>
    <mergeCell ref="H157:I157"/>
    <mergeCell ref="J157:K157"/>
    <mergeCell ref="L157:M157"/>
    <mergeCell ref="L183:M183"/>
    <mergeCell ref="L170:M170"/>
    <mergeCell ref="J194:K194"/>
    <mergeCell ref="N168:O168"/>
    <mergeCell ref="N151:O151"/>
    <mergeCell ref="N152:O152"/>
    <mergeCell ref="N153:O153"/>
    <mergeCell ref="J182:K182"/>
    <mergeCell ref="J183:K183"/>
    <mergeCell ref="L191:M191"/>
    <mergeCell ref="L192:M192"/>
    <mergeCell ref="L193:M193"/>
    <mergeCell ref="J163:K163"/>
    <mergeCell ref="L163:M163"/>
    <mergeCell ref="J184:K184"/>
    <mergeCell ref="J185:K185"/>
    <mergeCell ref="J186:K186"/>
    <mergeCell ref="J187:K187"/>
    <mergeCell ref="N170:O170"/>
    <mergeCell ref="N171:O171"/>
    <mergeCell ref="N172:O172"/>
    <mergeCell ref="N167:O167"/>
    <mergeCell ref="N165:O165"/>
    <mergeCell ref="AX4:BA4"/>
    <mergeCell ref="R140:W140"/>
    <mergeCell ref="L171:M171"/>
    <mergeCell ref="L172:M172"/>
    <mergeCell ref="L173:M173"/>
    <mergeCell ref="J176:K176"/>
    <mergeCell ref="J177:K177"/>
    <mergeCell ref="J178:K178"/>
    <mergeCell ref="L142:M142"/>
    <mergeCell ref="N142:O142"/>
    <mergeCell ref="N145:O145"/>
    <mergeCell ref="N146:O146"/>
    <mergeCell ref="N147:O147"/>
    <mergeCell ref="N148:O148"/>
    <mergeCell ref="N149:O149"/>
    <mergeCell ref="N150:O150"/>
    <mergeCell ref="J170:K170"/>
    <mergeCell ref="J171:K171"/>
    <mergeCell ref="J172:K172"/>
    <mergeCell ref="J169:K169"/>
    <mergeCell ref="AP4:AS4"/>
    <mergeCell ref="AH4:AK4"/>
    <mergeCell ref="AL4:AO4"/>
    <mergeCell ref="J150:K150"/>
    <mergeCell ref="H194:I194"/>
    <mergeCell ref="H185:I185"/>
    <mergeCell ref="H186:I186"/>
    <mergeCell ref="H187:I187"/>
    <mergeCell ref="H188:I188"/>
    <mergeCell ref="H189:I189"/>
    <mergeCell ref="H190:I190"/>
    <mergeCell ref="H179:I179"/>
    <mergeCell ref="H180:I180"/>
    <mergeCell ref="H181:I181"/>
    <mergeCell ref="H182:I182"/>
    <mergeCell ref="H183:I183"/>
    <mergeCell ref="H184:I184"/>
    <mergeCell ref="AT4:AW4"/>
    <mergeCell ref="J179:K179"/>
    <mergeCell ref="H192:I192"/>
    <mergeCell ref="H193:I193"/>
    <mergeCell ref="J164:K164"/>
    <mergeCell ref="L164:M164"/>
    <mergeCell ref="H161:I161"/>
    <mergeCell ref="J173:K173"/>
    <mergeCell ref="J174:K174"/>
    <mergeCell ref="J175:K175"/>
    <mergeCell ref="N163:O163"/>
    <mergeCell ref="N164:O164"/>
    <mergeCell ref="J188:K188"/>
    <mergeCell ref="J189:K189"/>
    <mergeCell ref="J161:K161"/>
    <mergeCell ref="L161:M161"/>
    <mergeCell ref="H162:I162"/>
    <mergeCell ref="J162:K162"/>
    <mergeCell ref="L162:M162"/>
    <mergeCell ref="J193:K193"/>
    <mergeCell ref="L179:M179"/>
    <mergeCell ref="L180:M180"/>
    <mergeCell ref="L181:M181"/>
    <mergeCell ref="L182:M182"/>
    <mergeCell ref="C121:D121"/>
    <mergeCell ref="J190:K190"/>
    <mergeCell ref="J191:K191"/>
    <mergeCell ref="H191:I191"/>
    <mergeCell ref="H173:I173"/>
    <mergeCell ref="H174:I174"/>
    <mergeCell ref="H175:I175"/>
    <mergeCell ref="H176:I176"/>
    <mergeCell ref="H177:I177"/>
    <mergeCell ref="H178:I178"/>
    <mergeCell ref="H170:I170"/>
    <mergeCell ref="H171:I171"/>
    <mergeCell ref="H172:I172"/>
    <mergeCell ref="J180:K180"/>
    <mergeCell ref="J181:K181"/>
    <mergeCell ref="H168:I168"/>
    <mergeCell ref="J168:K168"/>
    <mergeCell ref="H169:I169"/>
    <mergeCell ref="H165:I165"/>
    <mergeCell ref="C122:D122"/>
    <mergeCell ref="C123:D123"/>
    <mergeCell ref="H163:I163"/>
    <mergeCell ref="H164:I164"/>
    <mergeCell ref="C124:D124"/>
    <mergeCell ref="J195:K195"/>
    <mergeCell ref="H195:I195"/>
    <mergeCell ref="C119:D119"/>
    <mergeCell ref="H198:I198"/>
    <mergeCell ref="J198:K198"/>
    <mergeCell ref="L198:M198"/>
    <mergeCell ref="L194:M194"/>
    <mergeCell ref="L195:M195"/>
    <mergeCell ref="L185:M185"/>
    <mergeCell ref="L190:M190"/>
    <mergeCell ref="L174:M174"/>
    <mergeCell ref="L175:M175"/>
    <mergeCell ref="L176:M176"/>
    <mergeCell ref="L177:M177"/>
    <mergeCell ref="L186:M186"/>
    <mergeCell ref="L178:M178"/>
    <mergeCell ref="J192:K192"/>
    <mergeCell ref="L184:M184"/>
    <mergeCell ref="L187:M187"/>
    <mergeCell ref="L188:M188"/>
    <mergeCell ref="L189:M189"/>
    <mergeCell ref="C128:D128"/>
    <mergeCell ref="C129:D129"/>
    <mergeCell ref="C120:D120"/>
    <mergeCell ref="H203:I203"/>
    <mergeCell ref="J203:K203"/>
    <mergeCell ref="L203:M203"/>
    <mergeCell ref="N203:O203"/>
    <mergeCell ref="H202:I202"/>
    <mergeCell ref="J202:K202"/>
    <mergeCell ref="L202:M202"/>
    <mergeCell ref="N202:O202"/>
    <mergeCell ref="N155:O155"/>
    <mergeCell ref="L168:M168"/>
    <mergeCell ref="L165:M165"/>
    <mergeCell ref="L169:M169"/>
    <mergeCell ref="L166:M166"/>
    <mergeCell ref="H167:I167"/>
    <mergeCell ref="J167:K167"/>
    <mergeCell ref="L167:M167"/>
    <mergeCell ref="H199:I199"/>
    <mergeCell ref="J199:K199"/>
    <mergeCell ref="L199:M199"/>
    <mergeCell ref="N199:O199"/>
    <mergeCell ref="N198:O198"/>
    <mergeCell ref="H196:I196"/>
    <mergeCell ref="J196:K196"/>
    <mergeCell ref="L196:M196"/>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A200"/>
  <sheetViews>
    <sheetView zoomScale="200" zoomScaleNormal="120" workbookViewId="0">
      <pane xSplit="1" ySplit="5" topLeftCell="E6" activePane="bottomRight" state="frozen"/>
      <selection pane="topRight" activeCell="B1" sqref="B1"/>
      <selection pane="bottomLeft" activeCell="A6" sqref="A6"/>
      <selection pane="bottomRight" activeCell="AA69" sqref="AA69:AA70"/>
    </sheetView>
  </sheetViews>
  <sheetFormatPr baseColWidth="10" defaultColWidth="10.6640625" defaultRowHeight="11" x14ac:dyDescent="0.15"/>
  <cols>
    <col min="1" max="1" width="5.83203125" style="1" customWidth="1"/>
    <col min="2" max="3" width="7.83203125" style="1" customWidth="1"/>
    <col min="4" max="4" width="8.33203125" style="1" customWidth="1"/>
    <col min="5" max="6" width="7.83203125" style="1" customWidth="1"/>
    <col min="7" max="18" width="4.5" style="1" customWidth="1"/>
    <col min="19" max="21" width="7.83203125" style="1" customWidth="1"/>
    <col min="22" max="33" width="5.6640625" style="1" customWidth="1"/>
    <col min="34" max="34" width="5.6640625" style="23" customWidth="1"/>
    <col min="35" max="45" width="5.6640625" style="1" customWidth="1"/>
    <col min="46" max="53" width="5.5" style="1" customWidth="1"/>
    <col min="54" max="16384" width="10.6640625" style="1"/>
  </cols>
  <sheetData>
    <row r="1" spans="1:53" ht="15" customHeight="1" x14ac:dyDescent="0.15">
      <c r="B1" s="16" t="s">
        <v>14</v>
      </c>
    </row>
    <row r="2" spans="1:53" ht="15" customHeight="1" x14ac:dyDescent="0.15">
      <c r="B2" s="16" t="s">
        <v>65</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610</v>
      </c>
      <c r="D6" s="416"/>
      <c r="E6" s="140">
        <v>0</v>
      </c>
      <c r="G6" s="148"/>
      <c r="I6" s="140">
        <v>15</v>
      </c>
      <c r="J6" s="154">
        <v>15</v>
      </c>
      <c r="K6" s="134">
        <f t="shared" ref="K6:M8" si="0">G6/$J6*100</f>
        <v>0</v>
      </c>
      <c r="L6" s="134">
        <f t="shared" si="0"/>
        <v>0</v>
      </c>
      <c r="M6" s="134">
        <f t="shared" si="0"/>
        <v>100</v>
      </c>
      <c r="N6" s="150">
        <f>K6+L6+M6</f>
        <v>100</v>
      </c>
      <c r="O6" s="133"/>
      <c r="P6" s="134"/>
      <c r="Q6" s="134">
        <v>52</v>
      </c>
      <c r="R6" s="135">
        <f>O6+P6+Q6</f>
        <v>52</v>
      </c>
      <c r="S6" s="140">
        <v>1</v>
      </c>
      <c r="T6" s="308"/>
      <c r="U6" s="296"/>
      <c r="V6" s="139" t="s">
        <v>480</v>
      </c>
      <c r="W6" s="140" t="s">
        <v>20</v>
      </c>
      <c r="X6" s="140" t="s">
        <v>12</v>
      </c>
      <c r="Y6" s="141">
        <v>52</v>
      </c>
      <c r="AD6" s="139"/>
      <c r="AG6" s="141"/>
      <c r="AH6" s="158"/>
      <c r="AL6" s="139"/>
      <c r="AO6" s="141"/>
      <c r="AP6" s="139"/>
      <c r="AS6" s="141"/>
      <c r="AW6" s="141"/>
      <c r="BA6" s="142"/>
    </row>
    <row r="7" spans="1:53" s="140" customFormat="1" x14ac:dyDescent="0.15">
      <c r="A7" s="146">
        <v>1959</v>
      </c>
      <c r="B7" s="296"/>
      <c r="C7" s="416" t="s">
        <v>610</v>
      </c>
      <c r="D7" s="416"/>
      <c r="E7" s="140">
        <v>365</v>
      </c>
      <c r="G7" s="148"/>
      <c r="I7" s="140">
        <v>15</v>
      </c>
      <c r="J7" s="154">
        <v>15</v>
      </c>
      <c r="K7" s="134">
        <f t="shared" si="0"/>
        <v>0</v>
      </c>
      <c r="L7" s="134">
        <f t="shared" si="0"/>
        <v>0</v>
      </c>
      <c r="M7" s="134">
        <f t="shared" si="0"/>
        <v>100</v>
      </c>
      <c r="N7" s="150">
        <f>K7+L7+M7</f>
        <v>100</v>
      </c>
      <c r="O7" s="133"/>
      <c r="P7" s="134"/>
      <c r="Q7" s="134">
        <v>52</v>
      </c>
      <c r="R7" s="135">
        <f>O7+P7+Q7</f>
        <v>52</v>
      </c>
      <c r="S7" s="140">
        <v>1</v>
      </c>
      <c r="T7" s="308"/>
      <c r="U7" s="296"/>
      <c r="V7" s="139" t="s">
        <v>480</v>
      </c>
      <c r="W7" s="140" t="s">
        <v>20</v>
      </c>
      <c r="X7" s="140" t="s">
        <v>12</v>
      </c>
      <c r="Y7" s="141">
        <v>52</v>
      </c>
      <c r="AD7" s="139"/>
      <c r="AG7" s="141"/>
      <c r="AH7" s="158"/>
      <c r="AL7" s="139"/>
      <c r="AO7" s="141"/>
      <c r="AP7" s="139"/>
      <c r="AS7" s="141"/>
      <c r="AW7" s="141"/>
      <c r="BA7" s="142"/>
    </row>
    <row r="8" spans="1:53" s="29" customFormat="1" x14ac:dyDescent="0.15">
      <c r="A8" s="52">
        <v>1960</v>
      </c>
      <c r="B8" s="295"/>
      <c r="C8" s="411" t="s">
        <v>610</v>
      </c>
      <c r="D8" s="411"/>
      <c r="E8" s="29">
        <v>0</v>
      </c>
      <c r="G8" s="66"/>
      <c r="I8" s="29">
        <v>15</v>
      </c>
      <c r="J8" s="73">
        <v>15</v>
      </c>
      <c r="K8" s="47">
        <f t="shared" si="0"/>
        <v>0</v>
      </c>
      <c r="L8" s="47">
        <f t="shared" si="0"/>
        <v>0</v>
      </c>
      <c r="M8" s="47">
        <f t="shared" si="0"/>
        <v>100</v>
      </c>
      <c r="N8" s="68">
        <f>K8+L8+M8</f>
        <v>100</v>
      </c>
      <c r="O8" s="46"/>
      <c r="P8" s="47"/>
      <c r="Q8" s="47">
        <v>52</v>
      </c>
      <c r="R8" s="48">
        <f>O8+P8+Q8</f>
        <v>52</v>
      </c>
      <c r="S8" s="29">
        <v>1</v>
      </c>
      <c r="T8" s="286"/>
      <c r="U8" s="295"/>
      <c r="V8" s="38" t="s">
        <v>480</v>
      </c>
      <c r="W8" s="29" t="s">
        <v>20</v>
      </c>
      <c r="X8" s="29" t="s">
        <v>12</v>
      </c>
      <c r="Y8" s="39">
        <v>52</v>
      </c>
      <c r="AD8" s="38"/>
      <c r="AG8" s="39"/>
      <c r="AH8" s="94"/>
      <c r="AL8" s="38"/>
      <c r="AO8" s="39"/>
      <c r="AP8" s="38"/>
      <c r="AS8" s="39"/>
      <c r="AW8" s="39"/>
      <c r="BA8" s="40"/>
    </row>
    <row r="9" spans="1:53" s="29" customFormat="1" x14ac:dyDescent="0.15">
      <c r="A9" s="52">
        <v>1960</v>
      </c>
      <c r="B9" s="295"/>
      <c r="C9" s="411" t="s">
        <v>610</v>
      </c>
      <c r="D9" s="411"/>
      <c r="E9" s="29">
        <v>366</v>
      </c>
      <c r="G9" s="66"/>
      <c r="I9" s="29">
        <v>15</v>
      </c>
      <c r="J9" s="73">
        <v>15</v>
      </c>
      <c r="K9" s="47">
        <f t="shared" ref="K9:M24" si="1">G9/$J9*100</f>
        <v>0</v>
      </c>
      <c r="L9" s="47">
        <f t="shared" si="1"/>
        <v>0</v>
      </c>
      <c r="M9" s="47">
        <f t="shared" si="1"/>
        <v>100</v>
      </c>
      <c r="N9" s="68">
        <f t="shared" ref="N9:N62" si="2">K9+L9+M9</f>
        <v>100</v>
      </c>
      <c r="O9" s="46"/>
      <c r="P9" s="47"/>
      <c r="Q9" s="47">
        <v>52</v>
      </c>
      <c r="R9" s="48">
        <f t="shared" ref="R9:R72" si="3">O9+P9+Q9</f>
        <v>52</v>
      </c>
      <c r="S9" s="29">
        <v>1</v>
      </c>
      <c r="T9" s="286"/>
      <c r="U9" s="295"/>
      <c r="V9" s="38" t="s">
        <v>480</v>
      </c>
      <c r="W9" s="29" t="s">
        <v>20</v>
      </c>
      <c r="X9" s="29" t="s">
        <v>12</v>
      </c>
      <c r="Y9" s="39">
        <v>52</v>
      </c>
      <c r="AD9" s="38"/>
      <c r="AG9" s="39"/>
      <c r="AH9" s="94"/>
      <c r="AL9" s="38"/>
      <c r="AO9" s="39"/>
      <c r="AP9" s="38"/>
      <c r="AS9" s="39"/>
      <c r="AW9" s="39"/>
      <c r="BA9" s="40"/>
    </row>
    <row r="10" spans="1:53" s="29" customFormat="1" x14ac:dyDescent="0.15">
      <c r="A10" s="52">
        <v>1961</v>
      </c>
      <c r="B10" s="295"/>
      <c r="C10" s="411" t="s">
        <v>610</v>
      </c>
      <c r="D10" s="411"/>
      <c r="E10" s="29">
        <v>253</v>
      </c>
      <c r="G10" s="66"/>
      <c r="I10" s="29">
        <v>15</v>
      </c>
      <c r="J10" s="73">
        <v>15</v>
      </c>
      <c r="K10" s="47">
        <f t="shared" si="1"/>
        <v>0</v>
      </c>
      <c r="L10" s="47">
        <f t="shared" si="1"/>
        <v>0</v>
      </c>
      <c r="M10" s="47">
        <f t="shared" si="1"/>
        <v>100</v>
      </c>
      <c r="N10" s="68">
        <f t="shared" si="2"/>
        <v>100</v>
      </c>
      <c r="O10" s="46"/>
      <c r="P10" s="47"/>
      <c r="Q10" s="47">
        <v>52</v>
      </c>
      <c r="R10" s="48">
        <f t="shared" si="3"/>
        <v>52</v>
      </c>
      <c r="S10" s="29">
        <v>1</v>
      </c>
      <c r="T10" s="286"/>
      <c r="U10" s="295"/>
      <c r="V10" s="38" t="s">
        <v>480</v>
      </c>
      <c r="W10" s="29" t="s">
        <v>20</v>
      </c>
      <c r="X10" s="29" t="s">
        <v>12</v>
      </c>
      <c r="Y10" s="39">
        <v>52</v>
      </c>
      <c r="AD10" s="38"/>
      <c r="AG10" s="39"/>
      <c r="AH10" s="94"/>
      <c r="AL10" s="38"/>
      <c r="AO10" s="39"/>
      <c r="AP10" s="38"/>
      <c r="AS10" s="39"/>
      <c r="AW10" s="39"/>
      <c r="BA10" s="40"/>
    </row>
    <row r="11" spans="1:53" s="171" customFormat="1" x14ac:dyDescent="0.15">
      <c r="A11" s="216">
        <v>1961</v>
      </c>
      <c r="B11" s="283">
        <v>22535</v>
      </c>
      <c r="C11" s="410" t="s">
        <v>611</v>
      </c>
      <c r="D11" s="410"/>
      <c r="E11" s="171">
        <f>365-E10</f>
        <v>112</v>
      </c>
      <c r="F11" s="171">
        <v>1</v>
      </c>
      <c r="G11" s="233"/>
      <c r="I11" s="171">
        <v>15</v>
      </c>
      <c r="J11" s="241">
        <v>15</v>
      </c>
      <c r="K11" s="214">
        <f t="shared" si="1"/>
        <v>0</v>
      </c>
      <c r="L11" s="214">
        <f t="shared" si="1"/>
        <v>0</v>
      </c>
      <c r="M11" s="214">
        <f t="shared" si="1"/>
        <v>100</v>
      </c>
      <c r="N11" s="235">
        <f t="shared" si="2"/>
        <v>100</v>
      </c>
      <c r="O11" s="213"/>
      <c r="P11" s="214"/>
      <c r="Q11" s="214">
        <v>49.3</v>
      </c>
      <c r="R11" s="215">
        <f t="shared" si="3"/>
        <v>49.3</v>
      </c>
      <c r="S11" s="171">
        <v>4</v>
      </c>
      <c r="T11" s="285">
        <v>22535</v>
      </c>
      <c r="U11" s="283">
        <v>22535</v>
      </c>
      <c r="V11" s="178" t="s">
        <v>480</v>
      </c>
      <c r="W11" s="171" t="s">
        <v>20</v>
      </c>
      <c r="X11" s="171" t="s">
        <v>12</v>
      </c>
      <c r="Y11" s="179">
        <v>49.3</v>
      </c>
      <c r="AD11" s="178"/>
      <c r="AG11" s="179"/>
      <c r="AH11" s="253"/>
      <c r="AL11" s="178"/>
      <c r="AO11" s="179"/>
      <c r="AP11" s="178"/>
      <c r="AS11" s="179"/>
      <c r="AW11" s="179"/>
      <c r="BA11" s="180"/>
    </row>
    <row r="12" spans="1:53" s="171" customFormat="1" x14ac:dyDescent="0.15">
      <c r="A12" s="216">
        <v>1962</v>
      </c>
      <c r="B12" s="283"/>
      <c r="C12" s="410" t="s">
        <v>611</v>
      </c>
      <c r="D12" s="410"/>
      <c r="E12" s="171">
        <v>0</v>
      </c>
      <c r="G12" s="233"/>
      <c r="I12" s="171">
        <v>15</v>
      </c>
      <c r="J12" s="241">
        <v>15</v>
      </c>
      <c r="K12" s="214">
        <f t="shared" si="1"/>
        <v>0</v>
      </c>
      <c r="L12" s="214">
        <f t="shared" si="1"/>
        <v>0</v>
      </c>
      <c r="M12" s="214">
        <f t="shared" si="1"/>
        <v>100</v>
      </c>
      <c r="N12" s="235">
        <f t="shared" si="2"/>
        <v>100</v>
      </c>
      <c r="O12" s="213"/>
      <c r="P12" s="214"/>
      <c r="Q12" s="214">
        <v>49.3</v>
      </c>
      <c r="R12" s="215">
        <f t="shared" si="3"/>
        <v>49.3</v>
      </c>
      <c r="S12" s="171">
        <v>4</v>
      </c>
      <c r="T12" s="285"/>
      <c r="U12" s="283"/>
      <c r="V12" s="178" t="s">
        <v>480</v>
      </c>
      <c r="W12" s="171" t="s">
        <v>20</v>
      </c>
      <c r="X12" s="171" t="s">
        <v>12</v>
      </c>
      <c r="Y12" s="179">
        <v>49.3</v>
      </c>
      <c r="AD12" s="178"/>
      <c r="AG12" s="179"/>
      <c r="AH12" s="253"/>
      <c r="AL12" s="178"/>
      <c r="AO12" s="179"/>
      <c r="AP12" s="178"/>
      <c r="AS12" s="179"/>
      <c r="AW12" s="179"/>
      <c r="BA12" s="180"/>
    </row>
    <row r="13" spans="1:53" s="171" customFormat="1" x14ac:dyDescent="0.15">
      <c r="A13" s="216">
        <v>1962</v>
      </c>
      <c r="B13" s="283"/>
      <c r="C13" s="410" t="s">
        <v>611</v>
      </c>
      <c r="D13" s="410"/>
      <c r="E13" s="171">
        <v>365</v>
      </c>
      <c r="G13" s="233"/>
      <c r="I13" s="171">
        <v>15</v>
      </c>
      <c r="J13" s="241">
        <v>15</v>
      </c>
      <c r="K13" s="214">
        <f t="shared" si="1"/>
        <v>0</v>
      </c>
      <c r="L13" s="214">
        <f t="shared" si="1"/>
        <v>0</v>
      </c>
      <c r="M13" s="214">
        <f t="shared" si="1"/>
        <v>100</v>
      </c>
      <c r="N13" s="235">
        <f t="shared" si="2"/>
        <v>100</v>
      </c>
      <c r="O13" s="213"/>
      <c r="P13" s="214"/>
      <c r="Q13" s="214">
        <v>49.3</v>
      </c>
      <c r="R13" s="215">
        <f t="shared" si="3"/>
        <v>49.3</v>
      </c>
      <c r="S13" s="171">
        <v>4</v>
      </c>
      <c r="T13" s="285"/>
      <c r="U13" s="283"/>
      <c r="V13" s="178" t="s">
        <v>480</v>
      </c>
      <c r="W13" s="171" t="s">
        <v>20</v>
      </c>
      <c r="X13" s="171" t="s">
        <v>12</v>
      </c>
      <c r="Y13" s="179">
        <v>49.3</v>
      </c>
      <c r="AD13" s="178"/>
      <c r="AG13" s="179"/>
      <c r="AH13" s="253"/>
      <c r="AL13" s="178"/>
      <c r="AO13" s="179"/>
      <c r="AP13" s="178"/>
      <c r="AS13" s="179"/>
      <c r="AW13" s="179"/>
      <c r="BA13" s="180"/>
    </row>
    <row r="14" spans="1:53" s="171" customFormat="1" x14ac:dyDescent="0.15">
      <c r="A14" s="216">
        <v>1962.6</v>
      </c>
      <c r="B14" s="283"/>
      <c r="C14" s="410" t="s">
        <v>611</v>
      </c>
      <c r="D14" s="410"/>
      <c r="E14" s="171">
        <v>238</v>
      </c>
      <c r="G14" s="233"/>
      <c r="I14" s="171">
        <v>15</v>
      </c>
      <c r="J14" s="241">
        <v>15</v>
      </c>
      <c r="K14" s="214">
        <f t="shared" si="1"/>
        <v>0</v>
      </c>
      <c r="L14" s="214">
        <f t="shared" si="1"/>
        <v>0</v>
      </c>
      <c r="M14" s="214">
        <f t="shared" si="1"/>
        <v>100</v>
      </c>
      <c r="N14" s="235">
        <f t="shared" si="2"/>
        <v>100</v>
      </c>
      <c r="O14" s="213"/>
      <c r="P14" s="214"/>
      <c r="Q14" s="214">
        <v>49.3</v>
      </c>
      <c r="R14" s="215">
        <f t="shared" si="3"/>
        <v>49.3</v>
      </c>
      <c r="S14" s="171">
        <v>4</v>
      </c>
      <c r="T14" s="285"/>
      <c r="U14" s="283"/>
      <c r="V14" s="178" t="s">
        <v>480</v>
      </c>
      <c r="W14" s="171" t="s">
        <v>20</v>
      </c>
      <c r="X14" s="171" t="s">
        <v>12</v>
      </c>
      <c r="Y14" s="179">
        <v>49.3</v>
      </c>
      <c r="AD14" s="178"/>
      <c r="AG14" s="179"/>
      <c r="AH14" s="253"/>
      <c r="AL14" s="178"/>
      <c r="AO14" s="179"/>
      <c r="AP14" s="178"/>
      <c r="AS14" s="179"/>
      <c r="AW14" s="179"/>
      <c r="BA14" s="180"/>
    </row>
    <row r="15" spans="1:53" s="29" customFormat="1" x14ac:dyDescent="0.15">
      <c r="A15" s="52">
        <v>1963.05714285714</v>
      </c>
      <c r="B15" s="295">
        <v>23250</v>
      </c>
      <c r="C15" s="411" t="s">
        <v>612</v>
      </c>
      <c r="D15" s="411"/>
      <c r="E15" s="29">
        <v>28</v>
      </c>
      <c r="F15" s="29">
        <v>5</v>
      </c>
      <c r="G15" s="66">
        <v>8</v>
      </c>
      <c r="H15" s="29">
        <v>7</v>
      </c>
      <c r="J15" s="73">
        <v>15</v>
      </c>
      <c r="K15" s="47">
        <f t="shared" si="1"/>
        <v>53.333333333333336</v>
      </c>
      <c r="L15" s="47">
        <f t="shared" si="1"/>
        <v>46.666666666666664</v>
      </c>
      <c r="M15" s="47">
        <f t="shared" si="1"/>
        <v>0</v>
      </c>
      <c r="N15" s="68">
        <f t="shared" si="2"/>
        <v>100</v>
      </c>
      <c r="O15" s="46">
        <v>28.6</v>
      </c>
      <c r="P15" s="47">
        <v>20.7</v>
      </c>
      <c r="Q15" s="47"/>
      <c r="R15" s="48">
        <f t="shared" si="3"/>
        <v>49.3</v>
      </c>
      <c r="S15" s="29">
        <v>5</v>
      </c>
      <c r="T15" s="286"/>
      <c r="U15" s="295">
        <v>23250</v>
      </c>
      <c r="V15" s="38" t="s">
        <v>481</v>
      </c>
      <c r="W15" s="29" t="s">
        <v>74</v>
      </c>
      <c r="X15" s="29" t="s">
        <v>11</v>
      </c>
      <c r="Y15" s="39">
        <v>19.3</v>
      </c>
      <c r="Z15" s="38" t="s">
        <v>83</v>
      </c>
      <c r="AA15" s="29" t="s">
        <v>869</v>
      </c>
      <c r="AB15" s="29" t="s">
        <v>18</v>
      </c>
      <c r="AC15" s="29">
        <v>10.7</v>
      </c>
      <c r="AD15" s="38" t="s">
        <v>264</v>
      </c>
      <c r="AE15" s="29" t="s">
        <v>17</v>
      </c>
      <c r="AF15" s="29" t="s">
        <v>18</v>
      </c>
      <c r="AG15" s="39">
        <v>10</v>
      </c>
      <c r="AH15" s="29" t="s">
        <v>404</v>
      </c>
      <c r="AI15" s="29" t="s">
        <v>22</v>
      </c>
      <c r="AJ15" s="29" t="s">
        <v>11</v>
      </c>
      <c r="AK15" s="29">
        <v>9.3000000000000007</v>
      </c>
      <c r="AL15" s="38"/>
      <c r="AO15" s="39"/>
      <c r="AP15" s="38"/>
      <c r="AS15" s="39"/>
      <c r="AW15" s="39"/>
      <c r="BA15" s="40"/>
    </row>
    <row r="16" spans="1:53" s="171" customFormat="1" x14ac:dyDescent="0.15">
      <c r="A16" s="216">
        <v>1963</v>
      </c>
      <c r="B16" s="283">
        <v>23278</v>
      </c>
      <c r="C16" s="410" t="s">
        <v>613</v>
      </c>
      <c r="D16" s="410"/>
      <c r="E16" s="171">
        <f>365-E15-E14</f>
        <v>99</v>
      </c>
      <c r="F16" s="171">
        <v>5</v>
      </c>
      <c r="G16" s="233"/>
      <c r="I16" s="171">
        <v>15</v>
      </c>
      <c r="J16" s="241">
        <v>15</v>
      </c>
      <c r="K16" s="214">
        <f t="shared" si="1"/>
        <v>0</v>
      </c>
      <c r="L16" s="214">
        <f t="shared" si="1"/>
        <v>0</v>
      </c>
      <c r="M16" s="214">
        <f t="shared" si="1"/>
        <v>100</v>
      </c>
      <c r="N16" s="235">
        <f t="shared" si="2"/>
        <v>100</v>
      </c>
      <c r="O16" s="213"/>
      <c r="P16" s="214"/>
      <c r="Q16" s="214">
        <v>49.3</v>
      </c>
      <c r="R16" s="215">
        <f t="shared" si="3"/>
        <v>49.3</v>
      </c>
      <c r="S16" s="171">
        <v>4</v>
      </c>
      <c r="T16" s="285"/>
      <c r="U16" s="283">
        <v>23278</v>
      </c>
      <c r="V16" s="178" t="s">
        <v>480</v>
      </c>
      <c r="W16" s="171" t="s">
        <v>20</v>
      </c>
      <c r="X16" s="171" t="s">
        <v>12</v>
      </c>
      <c r="Y16" s="179">
        <v>49.3</v>
      </c>
      <c r="AD16" s="178"/>
      <c r="AG16" s="179"/>
      <c r="AL16" s="178"/>
      <c r="AO16" s="179"/>
      <c r="AP16" s="178"/>
      <c r="AS16" s="179"/>
      <c r="AW16" s="179"/>
      <c r="BA16" s="180"/>
    </row>
    <row r="17" spans="1:53" s="171" customFormat="1" x14ac:dyDescent="0.15">
      <c r="A17" s="216">
        <v>1963.5142857142901</v>
      </c>
      <c r="B17" s="283"/>
      <c r="C17" s="410" t="s">
        <v>613</v>
      </c>
      <c r="D17" s="410"/>
      <c r="E17" s="171">
        <v>0</v>
      </c>
      <c r="G17" s="233"/>
      <c r="I17" s="171">
        <v>15</v>
      </c>
      <c r="J17" s="241">
        <v>15</v>
      </c>
      <c r="K17" s="214">
        <f t="shared" si="1"/>
        <v>0</v>
      </c>
      <c r="L17" s="214">
        <f t="shared" si="1"/>
        <v>0</v>
      </c>
      <c r="M17" s="214">
        <f t="shared" si="1"/>
        <v>100</v>
      </c>
      <c r="N17" s="235">
        <f t="shared" si="2"/>
        <v>100</v>
      </c>
      <c r="O17" s="213"/>
      <c r="P17" s="214"/>
      <c r="Q17" s="214">
        <v>49.3</v>
      </c>
      <c r="R17" s="215">
        <f t="shared" si="3"/>
        <v>49.3</v>
      </c>
      <c r="S17" s="171">
        <v>4</v>
      </c>
      <c r="T17" s="285"/>
      <c r="U17" s="283"/>
      <c r="V17" s="178" t="s">
        <v>480</v>
      </c>
      <c r="W17" s="171" t="s">
        <v>20</v>
      </c>
      <c r="X17" s="171" t="s">
        <v>12</v>
      </c>
      <c r="Y17" s="179">
        <v>49.3</v>
      </c>
      <c r="AD17" s="178"/>
      <c r="AG17" s="179"/>
      <c r="AL17" s="178"/>
      <c r="AO17" s="179"/>
      <c r="AP17" s="178"/>
      <c r="AS17" s="179"/>
      <c r="AW17" s="179"/>
      <c r="BA17" s="180"/>
    </row>
    <row r="18" spans="1:53" s="171" customFormat="1" x14ac:dyDescent="0.15">
      <c r="A18" s="216">
        <v>1963.9714285714299</v>
      </c>
      <c r="B18" s="283"/>
      <c r="C18" s="410" t="s">
        <v>613</v>
      </c>
      <c r="D18" s="410"/>
      <c r="E18" s="171">
        <v>366</v>
      </c>
      <c r="G18" s="233"/>
      <c r="I18" s="171">
        <v>15</v>
      </c>
      <c r="J18" s="241">
        <v>15</v>
      </c>
      <c r="K18" s="214">
        <f t="shared" si="1"/>
        <v>0</v>
      </c>
      <c r="L18" s="214">
        <f t="shared" si="1"/>
        <v>0</v>
      </c>
      <c r="M18" s="214">
        <f t="shared" si="1"/>
        <v>100</v>
      </c>
      <c r="N18" s="235">
        <f t="shared" si="2"/>
        <v>100</v>
      </c>
      <c r="O18" s="213"/>
      <c r="P18" s="214"/>
      <c r="Q18" s="214">
        <v>49.3</v>
      </c>
      <c r="R18" s="215">
        <f t="shared" si="3"/>
        <v>49.3</v>
      </c>
      <c r="S18" s="171">
        <v>4</v>
      </c>
      <c r="T18" s="285"/>
      <c r="U18" s="283"/>
      <c r="V18" s="178" t="s">
        <v>480</v>
      </c>
      <c r="W18" s="171" t="s">
        <v>20</v>
      </c>
      <c r="X18" s="171" t="s">
        <v>12</v>
      </c>
      <c r="Y18" s="179">
        <v>49.3</v>
      </c>
      <c r="AD18" s="178"/>
      <c r="AG18" s="179"/>
      <c r="AL18" s="178"/>
      <c r="AO18" s="179"/>
      <c r="AP18" s="178"/>
      <c r="AS18" s="179"/>
      <c r="AW18" s="179"/>
      <c r="BA18" s="180"/>
    </row>
    <row r="19" spans="1:53" s="171" customFormat="1" x14ac:dyDescent="0.15">
      <c r="A19" s="216">
        <v>1965</v>
      </c>
      <c r="B19" s="283"/>
      <c r="C19" s="410" t="s">
        <v>613</v>
      </c>
      <c r="D19" s="410"/>
      <c r="E19" s="171">
        <v>283</v>
      </c>
      <c r="G19" s="233"/>
      <c r="I19" s="171">
        <v>15</v>
      </c>
      <c r="J19" s="241">
        <v>15</v>
      </c>
      <c r="K19" s="214">
        <f t="shared" si="1"/>
        <v>0</v>
      </c>
      <c r="L19" s="214">
        <f t="shared" si="1"/>
        <v>0</v>
      </c>
      <c r="M19" s="214">
        <f t="shared" si="1"/>
        <v>100</v>
      </c>
      <c r="N19" s="235">
        <f t="shared" si="2"/>
        <v>100</v>
      </c>
      <c r="O19" s="213"/>
      <c r="P19" s="214"/>
      <c r="Q19" s="214">
        <v>49.3</v>
      </c>
      <c r="R19" s="215">
        <f t="shared" si="3"/>
        <v>49.3</v>
      </c>
      <c r="S19" s="171">
        <v>4</v>
      </c>
      <c r="T19" s="285"/>
      <c r="U19" s="283"/>
      <c r="V19" s="178" t="s">
        <v>480</v>
      </c>
      <c r="W19" s="171" t="s">
        <v>20</v>
      </c>
      <c r="X19" s="171" t="s">
        <v>12</v>
      </c>
      <c r="Y19" s="179">
        <v>49.3</v>
      </c>
      <c r="AD19" s="178"/>
      <c r="AG19" s="179"/>
      <c r="AL19" s="178"/>
      <c r="AO19" s="179"/>
      <c r="AP19" s="178"/>
      <c r="AS19" s="179"/>
      <c r="AW19" s="179"/>
      <c r="BA19" s="180"/>
    </row>
    <row r="20" spans="1:53" s="29" customFormat="1" x14ac:dyDescent="0.15">
      <c r="A20" s="52">
        <v>1964.88571428572</v>
      </c>
      <c r="B20" s="295">
        <v>24026</v>
      </c>
      <c r="C20" s="411" t="s">
        <v>614</v>
      </c>
      <c r="D20" s="411"/>
      <c r="E20" s="29">
        <f>365-E19</f>
        <v>82</v>
      </c>
      <c r="F20" s="29">
        <v>1</v>
      </c>
      <c r="G20" s="66">
        <v>9</v>
      </c>
      <c r="H20" s="29">
        <v>6</v>
      </c>
      <c r="J20" s="73">
        <v>15</v>
      </c>
      <c r="K20" s="47">
        <f t="shared" si="1"/>
        <v>60</v>
      </c>
      <c r="L20" s="47">
        <f t="shared" si="1"/>
        <v>40</v>
      </c>
      <c r="M20" s="47">
        <f t="shared" si="1"/>
        <v>0</v>
      </c>
      <c r="N20" s="68">
        <f t="shared" si="2"/>
        <v>100</v>
      </c>
      <c r="O20" s="46">
        <v>32.700000000000003</v>
      </c>
      <c r="P20" s="47">
        <v>20.7</v>
      </c>
      <c r="Q20" s="47"/>
      <c r="R20" s="48">
        <f t="shared" si="3"/>
        <v>53.400000000000006</v>
      </c>
      <c r="S20" s="29">
        <v>2</v>
      </c>
      <c r="T20" s="286">
        <v>23997</v>
      </c>
      <c r="U20" s="295">
        <v>24026</v>
      </c>
      <c r="V20" s="29" t="s">
        <v>481</v>
      </c>
      <c r="W20" s="29" t="s">
        <v>74</v>
      </c>
      <c r="X20" s="29" t="s">
        <v>11</v>
      </c>
      <c r="Y20" s="29">
        <v>20.7</v>
      </c>
      <c r="Z20" s="38" t="s">
        <v>83</v>
      </c>
      <c r="AA20" s="29" t="s">
        <v>869</v>
      </c>
      <c r="AB20" s="29" t="s">
        <v>18</v>
      </c>
      <c r="AC20" s="29">
        <v>12</v>
      </c>
      <c r="AD20" s="38" t="s">
        <v>264</v>
      </c>
      <c r="AE20" s="29" t="s">
        <v>17</v>
      </c>
      <c r="AF20" s="29" t="s">
        <v>18</v>
      </c>
      <c r="AG20" s="39">
        <v>8.6999999999999993</v>
      </c>
      <c r="AH20" s="29" t="s">
        <v>404</v>
      </c>
      <c r="AI20" s="29" t="s">
        <v>22</v>
      </c>
      <c r="AJ20" s="29" t="s">
        <v>11</v>
      </c>
      <c r="AK20" s="29">
        <v>12</v>
      </c>
      <c r="AL20" s="38"/>
      <c r="AO20" s="39"/>
      <c r="AP20" s="38"/>
      <c r="AS20" s="39"/>
      <c r="AW20" s="39"/>
      <c r="BA20" s="40"/>
    </row>
    <row r="21" spans="1:53" s="29" customFormat="1" x14ac:dyDescent="0.15">
      <c r="A21" s="52">
        <v>1966</v>
      </c>
      <c r="B21" s="295"/>
      <c r="C21" s="411" t="s">
        <v>614</v>
      </c>
      <c r="D21" s="411"/>
      <c r="E21" s="29">
        <v>0</v>
      </c>
      <c r="G21" s="66">
        <v>9</v>
      </c>
      <c r="H21" s="29">
        <v>6</v>
      </c>
      <c r="J21" s="73">
        <v>15</v>
      </c>
      <c r="K21" s="47">
        <f t="shared" si="1"/>
        <v>60</v>
      </c>
      <c r="L21" s="47">
        <f t="shared" si="1"/>
        <v>40</v>
      </c>
      <c r="M21" s="47">
        <f t="shared" si="1"/>
        <v>0</v>
      </c>
      <c r="N21" s="68">
        <f t="shared" si="2"/>
        <v>100</v>
      </c>
      <c r="O21" s="46">
        <v>32.700000000000003</v>
      </c>
      <c r="P21" s="47">
        <v>20.7</v>
      </c>
      <c r="Q21" s="47"/>
      <c r="R21" s="48">
        <f t="shared" si="3"/>
        <v>53.400000000000006</v>
      </c>
      <c r="S21" s="29">
        <v>2</v>
      </c>
      <c r="T21" s="286"/>
      <c r="U21" s="295"/>
      <c r="V21" s="29" t="s">
        <v>481</v>
      </c>
      <c r="W21" s="29" t="s">
        <v>74</v>
      </c>
      <c r="X21" s="29" t="s">
        <v>11</v>
      </c>
      <c r="Y21" s="29">
        <v>20.7</v>
      </c>
      <c r="Z21" s="38" t="s">
        <v>83</v>
      </c>
      <c r="AA21" s="29" t="s">
        <v>869</v>
      </c>
      <c r="AB21" s="29" t="s">
        <v>18</v>
      </c>
      <c r="AC21" s="29">
        <v>12</v>
      </c>
      <c r="AD21" s="38" t="s">
        <v>264</v>
      </c>
      <c r="AE21" s="29" t="s">
        <v>17</v>
      </c>
      <c r="AF21" s="29" t="s">
        <v>18</v>
      </c>
      <c r="AG21" s="39">
        <v>8.6999999999999993</v>
      </c>
      <c r="AH21" s="29" t="s">
        <v>404</v>
      </c>
      <c r="AI21" s="29" t="s">
        <v>22</v>
      </c>
      <c r="AJ21" s="29" t="s">
        <v>11</v>
      </c>
      <c r="AK21" s="29">
        <v>12</v>
      </c>
      <c r="AL21" s="38"/>
      <c r="AO21" s="39"/>
      <c r="AP21" s="38"/>
      <c r="AS21" s="39"/>
      <c r="AW21" s="39"/>
      <c r="BA21" s="40"/>
    </row>
    <row r="22" spans="1:53" s="29" customFormat="1" x14ac:dyDescent="0.15">
      <c r="A22" s="52">
        <v>1965.8</v>
      </c>
      <c r="B22" s="295"/>
      <c r="C22" s="411" t="s">
        <v>614</v>
      </c>
      <c r="D22" s="411"/>
      <c r="E22" s="29">
        <v>365</v>
      </c>
      <c r="G22" s="66">
        <v>9</v>
      </c>
      <c r="H22" s="29">
        <v>6</v>
      </c>
      <c r="J22" s="73">
        <v>15</v>
      </c>
      <c r="K22" s="47">
        <f t="shared" si="1"/>
        <v>60</v>
      </c>
      <c r="L22" s="47">
        <f t="shared" si="1"/>
        <v>40</v>
      </c>
      <c r="M22" s="47">
        <f t="shared" si="1"/>
        <v>0</v>
      </c>
      <c r="N22" s="68">
        <f t="shared" si="2"/>
        <v>100</v>
      </c>
      <c r="O22" s="46">
        <v>32.700000000000003</v>
      </c>
      <c r="P22" s="47">
        <v>20.7</v>
      </c>
      <c r="Q22" s="47"/>
      <c r="R22" s="48">
        <f t="shared" si="3"/>
        <v>53.400000000000006</v>
      </c>
      <c r="S22" s="29">
        <v>2</v>
      </c>
      <c r="T22" s="286"/>
      <c r="U22" s="295"/>
      <c r="V22" s="29" t="s">
        <v>481</v>
      </c>
      <c r="W22" s="29" t="s">
        <v>74</v>
      </c>
      <c r="X22" s="29" t="s">
        <v>11</v>
      </c>
      <c r="Y22" s="29">
        <v>20.7</v>
      </c>
      <c r="Z22" s="38" t="s">
        <v>83</v>
      </c>
      <c r="AA22" s="29" t="s">
        <v>869</v>
      </c>
      <c r="AB22" s="29" t="s">
        <v>18</v>
      </c>
      <c r="AC22" s="29">
        <v>12</v>
      </c>
      <c r="AD22" s="38" t="s">
        <v>264</v>
      </c>
      <c r="AE22" s="29" t="s">
        <v>17</v>
      </c>
      <c r="AF22" s="29" t="s">
        <v>18</v>
      </c>
      <c r="AG22" s="39">
        <v>8.6999999999999993</v>
      </c>
      <c r="AH22" s="29" t="s">
        <v>404</v>
      </c>
      <c r="AI22" s="29" t="s">
        <v>22</v>
      </c>
      <c r="AJ22" s="29" t="s">
        <v>11</v>
      </c>
      <c r="AK22" s="29">
        <v>12</v>
      </c>
      <c r="AL22" s="38"/>
      <c r="AO22" s="39"/>
      <c r="AP22" s="38"/>
      <c r="AS22" s="39"/>
      <c r="AW22" s="39"/>
      <c r="BA22" s="40"/>
    </row>
    <row r="23" spans="1:53" s="29" customFormat="1" x14ac:dyDescent="0.15">
      <c r="A23" s="52">
        <v>1967</v>
      </c>
      <c r="B23" s="295"/>
      <c r="C23" s="411" t="s">
        <v>614</v>
      </c>
      <c r="D23" s="411"/>
      <c r="E23" s="29">
        <v>0</v>
      </c>
      <c r="G23" s="66">
        <v>9</v>
      </c>
      <c r="H23" s="29">
        <v>6</v>
      </c>
      <c r="J23" s="73">
        <v>15</v>
      </c>
      <c r="K23" s="47">
        <f t="shared" si="1"/>
        <v>60</v>
      </c>
      <c r="L23" s="47">
        <f t="shared" si="1"/>
        <v>40</v>
      </c>
      <c r="M23" s="47">
        <f t="shared" si="1"/>
        <v>0</v>
      </c>
      <c r="N23" s="68">
        <f t="shared" si="2"/>
        <v>100</v>
      </c>
      <c r="O23" s="46">
        <v>32.700000000000003</v>
      </c>
      <c r="P23" s="47">
        <v>20.7</v>
      </c>
      <c r="Q23" s="47"/>
      <c r="R23" s="48">
        <f t="shared" si="3"/>
        <v>53.400000000000006</v>
      </c>
      <c r="S23" s="29">
        <v>2</v>
      </c>
      <c r="T23" s="286"/>
      <c r="U23" s="295"/>
      <c r="V23" s="29" t="s">
        <v>481</v>
      </c>
      <c r="W23" s="29" t="s">
        <v>74</v>
      </c>
      <c r="X23" s="29" t="s">
        <v>11</v>
      </c>
      <c r="Y23" s="29">
        <v>20.7</v>
      </c>
      <c r="Z23" s="38" t="s">
        <v>83</v>
      </c>
      <c r="AA23" s="29" t="s">
        <v>869</v>
      </c>
      <c r="AB23" s="29" t="s">
        <v>18</v>
      </c>
      <c r="AC23" s="29">
        <v>12</v>
      </c>
      <c r="AD23" s="38" t="s">
        <v>264</v>
      </c>
      <c r="AE23" s="29" t="s">
        <v>17</v>
      </c>
      <c r="AF23" s="29" t="s">
        <v>18</v>
      </c>
      <c r="AG23" s="39">
        <v>8.6999999999999993</v>
      </c>
      <c r="AH23" s="29" t="s">
        <v>404</v>
      </c>
      <c r="AI23" s="29" t="s">
        <v>22</v>
      </c>
      <c r="AJ23" s="29" t="s">
        <v>11</v>
      </c>
      <c r="AK23" s="29">
        <v>12</v>
      </c>
      <c r="AL23" s="38"/>
      <c r="AO23" s="39"/>
      <c r="AP23" s="38"/>
      <c r="AS23" s="39"/>
      <c r="AW23" s="39"/>
      <c r="BA23" s="40"/>
    </row>
    <row r="24" spans="1:53" s="29" customFormat="1" x14ac:dyDescent="0.15">
      <c r="A24" s="52">
        <v>1966.7142857142901</v>
      </c>
      <c r="B24" s="295"/>
      <c r="C24" s="411" t="s">
        <v>614</v>
      </c>
      <c r="D24" s="411"/>
      <c r="E24" s="29">
        <v>365</v>
      </c>
      <c r="G24" s="66">
        <v>9</v>
      </c>
      <c r="H24" s="29">
        <v>6</v>
      </c>
      <c r="J24" s="73">
        <v>15</v>
      </c>
      <c r="K24" s="47">
        <f t="shared" si="1"/>
        <v>60</v>
      </c>
      <c r="L24" s="47">
        <f t="shared" si="1"/>
        <v>40</v>
      </c>
      <c r="M24" s="47">
        <f t="shared" si="1"/>
        <v>0</v>
      </c>
      <c r="N24" s="68">
        <f t="shared" si="2"/>
        <v>100</v>
      </c>
      <c r="O24" s="46">
        <v>32.700000000000003</v>
      </c>
      <c r="P24" s="47">
        <v>20.7</v>
      </c>
      <c r="Q24" s="47"/>
      <c r="R24" s="48">
        <f t="shared" si="3"/>
        <v>53.400000000000006</v>
      </c>
      <c r="S24" s="29">
        <v>2</v>
      </c>
      <c r="T24" s="286"/>
      <c r="U24" s="295"/>
      <c r="V24" s="29" t="s">
        <v>481</v>
      </c>
      <c r="W24" s="29" t="s">
        <v>74</v>
      </c>
      <c r="X24" s="29" t="s">
        <v>11</v>
      </c>
      <c r="Y24" s="29">
        <v>20.7</v>
      </c>
      <c r="Z24" s="38" t="s">
        <v>83</v>
      </c>
      <c r="AA24" s="29" t="s">
        <v>869</v>
      </c>
      <c r="AB24" s="29" t="s">
        <v>18</v>
      </c>
      <c r="AC24" s="29">
        <v>12</v>
      </c>
      <c r="AD24" s="38" t="s">
        <v>264</v>
      </c>
      <c r="AE24" s="29" t="s">
        <v>17</v>
      </c>
      <c r="AF24" s="29" t="s">
        <v>18</v>
      </c>
      <c r="AG24" s="39">
        <v>8.6999999999999993</v>
      </c>
      <c r="AH24" s="29" t="s">
        <v>404</v>
      </c>
      <c r="AI24" s="29" t="s">
        <v>22</v>
      </c>
      <c r="AJ24" s="29" t="s">
        <v>11</v>
      </c>
      <c r="AK24" s="29">
        <v>12</v>
      </c>
      <c r="AL24" s="38"/>
      <c r="AO24" s="39"/>
      <c r="AP24" s="38"/>
      <c r="AS24" s="39"/>
      <c r="AW24" s="39"/>
      <c r="BA24" s="40"/>
    </row>
    <row r="25" spans="1:53" s="29" customFormat="1" x14ac:dyDescent="0.15">
      <c r="A25" s="52">
        <v>1968</v>
      </c>
      <c r="B25" s="295"/>
      <c r="C25" s="411" t="s">
        <v>614</v>
      </c>
      <c r="D25" s="411"/>
      <c r="E25" s="29">
        <v>0</v>
      </c>
      <c r="G25" s="66">
        <v>9</v>
      </c>
      <c r="H25" s="29">
        <v>6</v>
      </c>
      <c r="J25" s="73">
        <v>15</v>
      </c>
      <c r="K25" s="47">
        <f t="shared" ref="K25:M89" si="4">G25/$J25*100</f>
        <v>60</v>
      </c>
      <c r="L25" s="47">
        <f t="shared" si="4"/>
        <v>40</v>
      </c>
      <c r="M25" s="47">
        <f t="shared" si="4"/>
        <v>0</v>
      </c>
      <c r="N25" s="68">
        <f t="shared" si="2"/>
        <v>100</v>
      </c>
      <c r="O25" s="46">
        <v>32.700000000000003</v>
      </c>
      <c r="P25" s="47">
        <v>20.7</v>
      </c>
      <c r="Q25" s="47"/>
      <c r="R25" s="48">
        <f t="shared" si="3"/>
        <v>53.400000000000006</v>
      </c>
      <c r="S25" s="29">
        <v>2</v>
      </c>
      <c r="T25" s="286"/>
      <c r="U25" s="295"/>
      <c r="V25" s="29" t="s">
        <v>481</v>
      </c>
      <c r="W25" s="29" t="s">
        <v>74</v>
      </c>
      <c r="X25" s="29" t="s">
        <v>11</v>
      </c>
      <c r="Y25" s="29">
        <v>20.7</v>
      </c>
      <c r="Z25" s="38" t="s">
        <v>83</v>
      </c>
      <c r="AA25" s="29" t="s">
        <v>869</v>
      </c>
      <c r="AB25" s="29" t="s">
        <v>18</v>
      </c>
      <c r="AC25" s="29">
        <v>12</v>
      </c>
      <c r="AD25" s="38" t="s">
        <v>264</v>
      </c>
      <c r="AE25" s="29" t="s">
        <v>17</v>
      </c>
      <c r="AF25" s="29" t="s">
        <v>18</v>
      </c>
      <c r="AG25" s="39">
        <v>8.6999999999999993</v>
      </c>
      <c r="AH25" s="29" t="s">
        <v>404</v>
      </c>
      <c r="AI25" s="29" t="s">
        <v>22</v>
      </c>
      <c r="AJ25" s="29" t="s">
        <v>11</v>
      </c>
      <c r="AK25" s="29">
        <v>12</v>
      </c>
      <c r="AL25" s="38"/>
      <c r="AO25" s="39"/>
      <c r="AP25" s="38"/>
      <c r="AS25" s="39"/>
      <c r="AW25" s="39"/>
      <c r="BA25" s="40"/>
    </row>
    <row r="26" spans="1:53" s="29" customFormat="1" x14ac:dyDescent="0.15">
      <c r="A26" s="52">
        <v>1967.62857142857</v>
      </c>
      <c r="B26" s="295"/>
      <c r="C26" s="411" t="s">
        <v>614</v>
      </c>
      <c r="D26" s="411"/>
      <c r="E26" s="29">
        <v>366</v>
      </c>
      <c r="G26" s="66">
        <v>9</v>
      </c>
      <c r="H26" s="29">
        <v>6</v>
      </c>
      <c r="J26" s="73">
        <v>15</v>
      </c>
      <c r="K26" s="47">
        <f t="shared" si="4"/>
        <v>60</v>
      </c>
      <c r="L26" s="47">
        <f t="shared" si="4"/>
        <v>40</v>
      </c>
      <c r="M26" s="47">
        <f t="shared" si="4"/>
        <v>0</v>
      </c>
      <c r="N26" s="68">
        <f t="shared" si="2"/>
        <v>100</v>
      </c>
      <c r="O26" s="46">
        <v>32.700000000000003</v>
      </c>
      <c r="P26" s="47">
        <v>20.7</v>
      </c>
      <c r="Q26" s="47"/>
      <c r="R26" s="48">
        <f t="shared" si="3"/>
        <v>53.400000000000006</v>
      </c>
      <c r="S26" s="29">
        <v>2</v>
      </c>
      <c r="T26" s="286"/>
      <c r="U26" s="295"/>
      <c r="V26" s="29" t="s">
        <v>481</v>
      </c>
      <c r="W26" s="29" t="s">
        <v>74</v>
      </c>
      <c r="X26" s="29" t="s">
        <v>11</v>
      </c>
      <c r="Y26" s="29">
        <v>20.7</v>
      </c>
      <c r="Z26" s="38" t="s">
        <v>83</v>
      </c>
      <c r="AA26" s="29" t="s">
        <v>869</v>
      </c>
      <c r="AB26" s="29" t="s">
        <v>18</v>
      </c>
      <c r="AC26" s="29">
        <v>12</v>
      </c>
      <c r="AD26" s="38" t="s">
        <v>264</v>
      </c>
      <c r="AE26" s="29" t="s">
        <v>17</v>
      </c>
      <c r="AF26" s="29" t="s">
        <v>18</v>
      </c>
      <c r="AG26" s="39">
        <v>8.6999999999999993</v>
      </c>
      <c r="AH26" s="29" t="s">
        <v>404</v>
      </c>
      <c r="AI26" s="29" t="s">
        <v>22</v>
      </c>
      <c r="AJ26" s="29" t="s">
        <v>11</v>
      </c>
      <c r="AK26" s="29">
        <v>12</v>
      </c>
      <c r="AL26" s="38"/>
      <c r="AO26" s="39"/>
      <c r="AP26" s="38"/>
      <c r="AS26" s="39"/>
      <c r="AW26" s="39"/>
      <c r="BA26" s="40"/>
    </row>
    <row r="27" spans="1:53" s="29" customFormat="1" x14ac:dyDescent="0.15">
      <c r="A27" s="52">
        <v>1969</v>
      </c>
      <c r="B27" s="295"/>
      <c r="C27" s="411" t="s">
        <v>614</v>
      </c>
      <c r="D27" s="411"/>
      <c r="E27" s="29">
        <v>249</v>
      </c>
      <c r="G27" s="66">
        <v>9</v>
      </c>
      <c r="H27" s="29">
        <v>6</v>
      </c>
      <c r="J27" s="73">
        <v>15</v>
      </c>
      <c r="K27" s="47">
        <f t="shared" si="4"/>
        <v>60</v>
      </c>
      <c r="L27" s="47">
        <f t="shared" si="4"/>
        <v>40</v>
      </c>
      <c r="M27" s="47">
        <f t="shared" si="4"/>
        <v>0</v>
      </c>
      <c r="N27" s="68">
        <f t="shared" si="2"/>
        <v>100</v>
      </c>
      <c r="O27" s="46">
        <v>32.700000000000003</v>
      </c>
      <c r="P27" s="47">
        <v>20.7</v>
      </c>
      <c r="Q27" s="47"/>
      <c r="R27" s="48">
        <f t="shared" si="3"/>
        <v>53.400000000000006</v>
      </c>
      <c r="S27" s="29">
        <v>2</v>
      </c>
      <c r="T27" s="286"/>
      <c r="U27" s="295"/>
      <c r="V27" s="29" t="s">
        <v>481</v>
      </c>
      <c r="W27" s="29" t="s">
        <v>74</v>
      </c>
      <c r="X27" s="29" t="s">
        <v>11</v>
      </c>
      <c r="Y27" s="29">
        <v>20.7</v>
      </c>
      <c r="Z27" s="38" t="s">
        <v>83</v>
      </c>
      <c r="AA27" s="29" t="s">
        <v>869</v>
      </c>
      <c r="AB27" s="29" t="s">
        <v>18</v>
      </c>
      <c r="AC27" s="29">
        <v>12</v>
      </c>
      <c r="AD27" s="38" t="s">
        <v>264</v>
      </c>
      <c r="AE27" s="29" t="s">
        <v>17</v>
      </c>
      <c r="AF27" s="29" t="s">
        <v>18</v>
      </c>
      <c r="AG27" s="39">
        <v>8.6999999999999993</v>
      </c>
      <c r="AH27" s="29" t="s">
        <v>404</v>
      </c>
      <c r="AI27" s="29" t="s">
        <v>22</v>
      </c>
      <c r="AJ27" s="29" t="s">
        <v>11</v>
      </c>
      <c r="AK27" s="29">
        <v>12</v>
      </c>
      <c r="AL27" s="38"/>
      <c r="AO27" s="39"/>
      <c r="AP27" s="38"/>
      <c r="AS27" s="39"/>
      <c r="AW27" s="39"/>
      <c r="BA27" s="40"/>
    </row>
    <row r="28" spans="1:53" s="171" customFormat="1" x14ac:dyDescent="0.15">
      <c r="A28" s="216">
        <v>1968.5428571428599</v>
      </c>
      <c r="B28" s="283">
        <v>25453</v>
      </c>
      <c r="C28" s="410" t="s">
        <v>615</v>
      </c>
      <c r="D28" s="410"/>
      <c r="E28" s="171">
        <f>365-E27</f>
        <v>116</v>
      </c>
      <c r="F28" s="171">
        <v>1</v>
      </c>
      <c r="G28" s="233">
        <v>9</v>
      </c>
      <c r="H28" s="171">
        <v>6</v>
      </c>
      <c r="J28" s="241">
        <v>15</v>
      </c>
      <c r="K28" s="214">
        <f t="shared" si="4"/>
        <v>60</v>
      </c>
      <c r="L28" s="214">
        <f t="shared" si="4"/>
        <v>40</v>
      </c>
      <c r="M28" s="214">
        <f t="shared" si="4"/>
        <v>0</v>
      </c>
      <c r="N28" s="235">
        <f t="shared" si="2"/>
        <v>100</v>
      </c>
      <c r="O28" s="213">
        <v>28</v>
      </c>
      <c r="P28" s="214">
        <v>22.6</v>
      </c>
      <c r="Q28" s="214"/>
      <c r="R28" s="215">
        <f t="shared" si="3"/>
        <v>50.6</v>
      </c>
      <c r="S28" s="171">
        <v>2</v>
      </c>
      <c r="T28" s="285">
        <v>25453</v>
      </c>
      <c r="U28" s="283">
        <v>25453</v>
      </c>
      <c r="V28" s="171" t="s">
        <v>481</v>
      </c>
      <c r="W28" s="171" t="s">
        <v>74</v>
      </c>
      <c r="X28" s="171" t="s">
        <v>11</v>
      </c>
      <c r="Y28" s="171">
        <v>19.3</v>
      </c>
      <c r="Z28" s="178" t="s">
        <v>83</v>
      </c>
      <c r="AA28" s="171" t="s">
        <v>869</v>
      </c>
      <c r="AB28" s="171" t="s">
        <v>18</v>
      </c>
      <c r="AC28" s="171">
        <v>13.3</v>
      </c>
      <c r="AD28" s="178" t="s">
        <v>264</v>
      </c>
      <c r="AE28" s="171" t="s">
        <v>17</v>
      </c>
      <c r="AF28" s="171" t="s">
        <v>18</v>
      </c>
      <c r="AG28" s="179">
        <v>9.3000000000000007</v>
      </c>
      <c r="AH28" s="171" t="s">
        <v>404</v>
      </c>
      <c r="AI28" s="171" t="s">
        <v>22</v>
      </c>
      <c r="AJ28" s="171" t="s">
        <v>11</v>
      </c>
      <c r="AK28" s="171">
        <v>8.6999999999999993</v>
      </c>
      <c r="AL28" s="178"/>
      <c r="AO28" s="179"/>
      <c r="AP28" s="178"/>
      <c r="AS28" s="179"/>
      <c r="AW28" s="179"/>
      <c r="BA28" s="180"/>
    </row>
    <row r="29" spans="1:53" s="171" customFormat="1" x14ac:dyDescent="0.15">
      <c r="A29" s="216">
        <v>1970</v>
      </c>
      <c r="B29" s="283"/>
      <c r="C29" s="410" t="s">
        <v>615</v>
      </c>
      <c r="D29" s="410"/>
      <c r="E29" s="171">
        <v>0</v>
      </c>
      <c r="G29" s="233">
        <v>9</v>
      </c>
      <c r="H29" s="171">
        <v>6</v>
      </c>
      <c r="J29" s="241">
        <v>15</v>
      </c>
      <c r="K29" s="214">
        <f t="shared" si="4"/>
        <v>60</v>
      </c>
      <c r="L29" s="214">
        <f t="shared" si="4"/>
        <v>40</v>
      </c>
      <c r="M29" s="214">
        <f t="shared" si="4"/>
        <v>0</v>
      </c>
      <c r="N29" s="235">
        <f t="shared" si="2"/>
        <v>100</v>
      </c>
      <c r="O29" s="213">
        <v>28</v>
      </c>
      <c r="P29" s="214">
        <v>22.6</v>
      </c>
      <c r="Q29" s="214"/>
      <c r="R29" s="215">
        <f t="shared" si="3"/>
        <v>50.6</v>
      </c>
      <c r="S29" s="171">
        <v>2</v>
      </c>
      <c r="T29" s="285"/>
      <c r="U29" s="283"/>
      <c r="V29" s="171" t="s">
        <v>481</v>
      </c>
      <c r="W29" s="171" t="s">
        <v>74</v>
      </c>
      <c r="X29" s="171" t="s">
        <v>11</v>
      </c>
      <c r="Y29" s="171">
        <v>19.3</v>
      </c>
      <c r="Z29" s="178" t="s">
        <v>83</v>
      </c>
      <c r="AA29" s="171" t="s">
        <v>869</v>
      </c>
      <c r="AB29" s="171" t="s">
        <v>18</v>
      </c>
      <c r="AC29" s="171">
        <v>13.3</v>
      </c>
      <c r="AD29" s="178" t="s">
        <v>264</v>
      </c>
      <c r="AE29" s="171" t="s">
        <v>17</v>
      </c>
      <c r="AF29" s="171" t="s">
        <v>18</v>
      </c>
      <c r="AG29" s="179">
        <v>9.3000000000000007</v>
      </c>
      <c r="AH29" s="171" t="s">
        <v>404</v>
      </c>
      <c r="AI29" s="171" t="s">
        <v>22</v>
      </c>
      <c r="AJ29" s="171" t="s">
        <v>11</v>
      </c>
      <c r="AK29" s="171">
        <v>8.6999999999999993</v>
      </c>
      <c r="AL29" s="178"/>
      <c r="AO29" s="179"/>
      <c r="AP29" s="178"/>
      <c r="AS29" s="179"/>
      <c r="AW29" s="179"/>
      <c r="BA29" s="180"/>
    </row>
    <row r="30" spans="1:53" s="171" customFormat="1" x14ac:dyDescent="0.15">
      <c r="A30" s="216">
        <v>1970</v>
      </c>
      <c r="B30" s="283"/>
      <c r="C30" s="410" t="s">
        <v>615</v>
      </c>
      <c r="D30" s="410"/>
      <c r="E30" s="171">
        <v>365</v>
      </c>
      <c r="G30" s="233">
        <v>9</v>
      </c>
      <c r="H30" s="171">
        <v>6</v>
      </c>
      <c r="J30" s="241">
        <v>15</v>
      </c>
      <c r="K30" s="214">
        <f t="shared" si="4"/>
        <v>60</v>
      </c>
      <c r="L30" s="214">
        <f t="shared" si="4"/>
        <v>40</v>
      </c>
      <c r="M30" s="214">
        <f t="shared" si="4"/>
        <v>0</v>
      </c>
      <c r="N30" s="235">
        <f t="shared" si="2"/>
        <v>100</v>
      </c>
      <c r="O30" s="213">
        <v>28</v>
      </c>
      <c r="P30" s="214">
        <v>22.6</v>
      </c>
      <c r="Q30" s="214"/>
      <c r="R30" s="215">
        <f t="shared" si="3"/>
        <v>50.6</v>
      </c>
      <c r="S30" s="171">
        <v>2</v>
      </c>
      <c r="T30" s="285"/>
      <c r="U30" s="283"/>
      <c r="V30" s="171" t="s">
        <v>481</v>
      </c>
      <c r="W30" s="171" t="s">
        <v>74</v>
      </c>
      <c r="X30" s="171" t="s">
        <v>11</v>
      </c>
      <c r="Y30" s="171">
        <v>19.3</v>
      </c>
      <c r="Z30" s="178" t="s">
        <v>83</v>
      </c>
      <c r="AA30" s="171" t="s">
        <v>869</v>
      </c>
      <c r="AB30" s="171" t="s">
        <v>18</v>
      </c>
      <c r="AC30" s="171">
        <v>13.3</v>
      </c>
      <c r="AD30" s="178" t="s">
        <v>264</v>
      </c>
      <c r="AE30" s="171" t="s">
        <v>17</v>
      </c>
      <c r="AF30" s="171" t="s">
        <v>18</v>
      </c>
      <c r="AG30" s="179">
        <v>9.3000000000000007</v>
      </c>
      <c r="AH30" s="171" t="s">
        <v>404</v>
      </c>
      <c r="AI30" s="171" t="s">
        <v>22</v>
      </c>
      <c r="AJ30" s="171" t="s">
        <v>11</v>
      </c>
      <c r="AK30" s="171">
        <v>8.6999999999999993</v>
      </c>
      <c r="AL30" s="178"/>
      <c r="AO30" s="179"/>
      <c r="AP30" s="178"/>
      <c r="AS30" s="179"/>
      <c r="AW30" s="179"/>
      <c r="BA30" s="180"/>
    </row>
    <row r="31" spans="1:53" s="171" customFormat="1" x14ac:dyDescent="0.15">
      <c r="A31" s="216">
        <v>1971</v>
      </c>
      <c r="B31" s="283"/>
      <c r="C31" s="410" t="s">
        <v>615</v>
      </c>
      <c r="D31" s="410"/>
      <c r="E31" s="171">
        <v>71</v>
      </c>
      <c r="G31" s="233">
        <v>9</v>
      </c>
      <c r="H31" s="171">
        <v>6</v>
      </c>
      <c r="J31" s="241">
        <v>15</v>
      </c>
      <c r="K31" s="214">
        <f t="shared" si="4"/>
        <v>60</v>
      </c>
      <c r="L31" s="214">
        <f t="shared" si="4"/>
        <v>40</v>
      </c>
      <c r="M31" s="214">
        <f t="shared" si="4"/>
        <v>0</v>
      </c>
      <c r="N31" s="235">
        <f t="shared" si="2"/>
        <v>100</v>
      </c>
      <c r="O31" s="213">
        <v>28</v>
      </c>
      <c r="P31" s="214">
        <v>22.6</v>
      </c>
      <c r="Q31" s="214"/>
      <c r="R31" s="215">
        <f t="shared" si="3"/>
        <v>50.6</v>
      </c>
      <c r="S31" s="171">
        <v>2</v>
      </c>
      <c r="T31" s="285"/>
      <c r="U31" s="283"/>
      <c r="V31" s="171" t="s">
        <v>481</v>
      </c>
      <c r="W31" s="171" t="s">
        <v>74</v>
      </c>
      <c r="X31" s="171" t="s">
        <v>11</v>
      </c>
      <c r="Y31" s="171">
        <v>19.3</v>
      </c>
      <c r="Z31" s="178" t="s">
        <v>83</v>
      </c>
      <c r="AA31" s="171" t="s">
        <v>869</v>
      </c>
      <c r="AB31" s="171" t="s">
        <v>18</v>
      </c>
      <c r="AC31" s="171">
        <v>13.3</v>
      </c>
      <c r="AD31" s="178" t="s">
        <v>264</v>
      </c>
      <c r="AE31" s="171" t="s">
        <v>17</v>
      </c>
      <c r="AF31" s="171" t="s">
        <v>18</v>
      </c>
      <c r="AG31" s="179">
        <v>9.3000000000000007</v>
      </c>
      <c r="AH31" s="171" t="s">
        <v>404</v>
      </c>
      <c r="AI31" s="171" t="s">
        <v>22</v>
      </c>
      <c r="AJ31" s="171" t="s">
        <v>11</v>
      </c>
      <c r="AK31" s="171">
        <v>8.6999999999999993</v>
      </c>
      <c r="AL31" s="178"/>
      <c r="AO31" s="179"/>
      <c r="AP31" s="178"/>
      <c r="AS31" s="179"/>
      <c r="AW31" s="179"/>
      <c r="BA31" s="180"/>
    </row>
    <row r="32" spans="1:53" s="29" customFormat="1" x14ac:dyDescent="0.15">
      <c r="A32" s="52">
        <v>1971</v>
      </c>
      <c r="B32" s="295">
        <v>26005</v>
      </c>
      <c r="C32" s="411" t="s">
        <v>616</v>
      </c>
      <c r="D32" s="411"/>
      <c r="E32" s="29">
        <f>365-E31</f>
        <v>294</v>
      </c>
      <c r="F32" s="29">
        <v>4</v>
      </c>
      <c r="G32" s="66"/>
      <c r="I32" s="29">
        <v>15</v>
      </c>
      <c r="J32" s="73">
        <v>15</v>
      </c>
      <c r="K32" s="47">
        <f t="shared" si="4"/>
        <v>0</v>
      </c>
      <c r="L32" s="47">
        <f t="shared" si="4"/>
        <v>0</v>
      </c>
      <c r="M32" s="47">
        <f t="shared" si="4"/>
        <v>100</v>
      </c>
      <c r="N32" s="68">
        <f t="shared" si="2"/>
        <v>100</v>
      </c>
      <c r="O32" s="46"/>
      <c r="P32" s="47"/>
      <c r="Q32" s="47">
        <v>49.3</v>
      </c>
      <c r="R32" s="48">
        <f t="shared" si="3"/>
        <v>49.3</v>
      </c>
      <c r="S32" s="29">
        <v>4</v>
      </c>
      <c r="T32" s="286"/>
      <c r="U32" s="295">
        <v>26005</v>
      </c>
      <c r="V32" s="38" t="s">
        <v>480</v>
      </c>
      <c r="W32" s="29" t="s">
        <v>20</v>
      </c>
      <c r="X32" s="29" t="s">
        <v>12</v>
      </c>
      <c r="Y32" s="39">
        <v>49.3</v>
      </c>
      <c r="AD32" s="38"/>
      <c r="AG32" s="39"/>
      <c r="AH32" s="94"/>
      <c r="AL32" s="38"/>
      <c r="AO32" s="39"/>
      <c r="AP32" s="38"/>
      <c r="AS32" s="39"/>
      <c r="AW32" s="39"/>
      <c r="BA32" s="40"/>
    </row>
    <row r="33" spans="1:53" s="29" customFormat="1" x14ac:dyDescent="0.15">
      <c r="A33" s="52">
        <v>1972</v>
      </c>
      <c r="B33" s="295"/>
      <c r="C33" s="411" t="s">
        <v>616</v>
      </c>
      <c r="D33" s="411"/>
      <c r="E33" s="29">
        <v>291</v>
      </c>
      <c r="G33" s="66"/>
      <c r="I33" s="29">
        <v>15</v>
      </c>
      <c r="J33" s="73">
        <v>15</v>
      </c>
      <c r="K33" s="47">
        <f t="shared" si="4"/>
        <v>0</v>
      </c>
      <c r="L33" s="47">
        <f t="shared" si="4"/>
        <v>0</v>
      </c>
      <c r="M33" s="47">
        <f t="shared" si="4"/>
        <v>100</v>
      </c>
      <c r="N33" s="68">
        <f t="shared" si="2"/>
        <v>100</v>
      </c>
      <c r="O33" s="46"/>
      <c r="P33" s="47"/>
      <c r="Q33" s="47">
        <v>49.3</v>
      </c>
      <c r="R33" s="48">
        <f t="shared" si="3"/>
        <v>49.3</v>
      </c>
      <c r="S33" s="29">
        <v>4</v>
      </c>
      <c r="T33" s="286"/>
      <c r="U33" s="295"/>
      <c r="V33" s="38" t="s">
        <v>480</v>
      </c>
      <c r="W33" s="29" t="s">
        <v>20</v>
      </c>
      <c r="X33" s="29" t="s">
        <v>12</v>
      </c>
      <c r="Y33" s="39">
        <v>49.3</v>
      </c>
      <c r="AD33" s="38"/>
      <c r="AG33" s="39"/>
      <c r="AH33" s="94"/>
      <c r="AL33" s="38"/>
      <c r="AO33" s="39"/>
      <c r="AP33" s="38"/>
      <c r="AS33" s="39"/>
      <c r="AW33" s="39"/>
      <c r="BA33" s="40"/>
    </row>
    <row r="34" spans="1:53" s="171" customFormat="1" x14ac:dyDescent="0.15">
      <c r="A34" s="216">
        <v>1972</v>
      </c>
      <c r="B34" s="283">
        <v>26590</v>
      </c>
      <c r="C34" s="410" t="s">
        <v>617</v>
      </c>
      <c r="D34" s="410"/>
      <c r="E34" s="171">
        <f>366-E33</f>
        <v>75</v>
      </c>
      <c r="F34" s="171">
        <v>2</v>
      </c>
      <c r="G34" s="233">
        <v>5</v>
      </c>
      <c r="H34" s="171">
        <v>10</v>
      </c>
      <c r="J34" s="241">
        <v>15</v>
      </c>
      <c r="K34" s="214">
        <f t="shared" si="4"/>
        <v>33.333333333333329</v>
      </c>
      <c r="L34" s="214">
        <f t="shared" si="4"/>
        <v>66.666666666666657</v>
      </c>
      <c r="M34" s="214">
        <f t="shared" si="4"/>
        <v>0</v>
      </c>
      <c r="N34" s="235">
        <f t="shared" si="2"/>
        <v>99.999999999999986</v>
      </c>
      <c r="O34" s="213">
        <v>8.6999999999999993</v>
      </c>
      <c r="P34" s="214">
        <v>22.6</v>
      </c>
      <c r="Q34" s="214"/>
      <c r="R34" s="215">
        <f t="shared" si="3"/>
        <v>31.3</v>
      </c>
      <c r="S34" s="171">
        <v>5</v>
      </c>
      <c r="T34" s="285"/>
      <c r="U34" s="283">
        <v>26590</v>
      </c>
      <c r="V34" s="178" t="s">
        <v>83</v>
      </c>
      <c r="W34" s="171" t="s">
        <v>869</v>
      </c>
      <c r="X34" s="171" t="s">
        <v>18</v>
      </c>
      <c r="Y34" s="179">
        <v>13.3</v>
      </c>
      <c r="Z34" s="178" t="s">
        <v>264</v>
      </c>
      <c r="AA34" s="171" t="s">
        <v>17</v>
      </c>
      <c r="AB34" s="171" t="s">
        <v>18</v>
      </c>
      <c r="AC34" s="171">
        <v>9.3000000000000007</v>
      </c>
      <c r="AD34" s="178" t="s">
        <v>404</v>
      </c>
      <c r="AE34" s="171" t="s">
        <v>22</v>
      </c>
      <c r="AF34" s="171" t="s">
        <v>11</v>
      </c>
      <c r="AG34" s="179">
        <v>8.6999999999999993</v>
      </c>
      <c r="AH34" s="253"/>
      <c r="AL34" s="178"/>
      <c r="AO34" s="179"/>
      <c r="AP34" s="178"/>
      <c r="AS34" s="179"/>
      <c r="AW34" s="179"/>
      <c r="BA34" s="180"/>
    </row>
    <row r="35" spans="1:53" s="171" customFormat="1" x14ac:dyDescent="0.15">
      <c r="A35" s="216">
        <v>1973</v>
      </c>
      <c r="B35" s="283"/>
      <c r="C35" s="410" t="s">
        <v>617</v>
      </c>
      <c r="D35" s="410"/>
      <c r="E35" s="171">
        <v>288</v>
      </c>
      <c r="G35" s="233">
        <v>5</v>
      </c>
      <c r="H35" s="171">
        <v>10</v>
      </c>
      <c r="J35" s="241">
        <v>15</v>
      </c>
      <c r="K35" s="214">
        <f t="shared" si="4"/>
        <v>33.333333333333329</v>
      </c>
      <c r="L35" s="214">
        <f t="shared" si="4"/>
        <v>66.666666666666657</v>
      </c>
      <c r="M35" s="214">
        <f t="shared" si="4"/>
        <v>0</v>
      </c>
      <c r="N35" s="235">
        <f t="shared" si="2"/>
        <v>99.999999999999986</v>
      </c>
      <c r="O35" s="213">
        <v>8.6999999999999993</v>
      </c>
      <c r="P35" s="214">
        <v>22.6</v>
      </c>
      <c r="Q35" s="214"/>
      <c r="R35" s="215">
        <f t="shared" si="3"/>
        <v>31.3</v>
      </c>
      <c r="S35" s="171">
        <v>5</v>
      </c>
      <c r="T35" s="285"/>
      <c r="U35" s="283"/>
      <c r="V35" s="178" t="s">
        <v>83</v>
      </c>
      <c r="W35" s="171" t="s">
        <v>869</v>
      </c>
      <c r="X35" s="171" t="s">
        <v>18</v>
      </c>
      <c r="Y35" s="179">
        <v>13.3</v>
      </c>
      <c r="Z35" s="178" t="s">
        <v>264</v>
      </c>
      <c r="AA35" s="171" t="s">
        <v>17</v>
      </c>
      <c r="AB35" s="171" t="s">
        <v>18</v>
      </c>
      <c r="AC35" s="171">
        <v>9.3000000000000007</v>
      </c>
      <c r="AD35" s="178" t="s">
        <v>404</v>
      </c>
      <c r="AE35" s="171" t="s">
        <v>22</v>
      </c>
      <c r="AF35" s="171" t="s">
        <v>11</v>
      </c>
      <c r="AG35" s="179">
        <v>8.6999999999999993</v>
      </c>
      <c r="AH35" s="253"/>
      <c r="AL35" s="178"/>
      <c r="AO35" s="179"/>
      <c r="AP35" s="178"/>
      <c r="AS35" s="179"/>
      <c r="AW35" s="179"/>
      <c r="BA35" s="180"/>
    </row>
    <row r="36" spans="1:53" s="29" customFormat="1" x14ac:dyDescent="0.15">
      <c r="A36" s="52">
        <v>1973</v>
      </c>
      <c r="B36" s="295">
        <v>26953</v>
      </c>
      <c r="C36" s="411" t="s">
        <v>618</v>
      </c>
      <c r="D36" s="411"/>
      <c r="E36" s="29">
        <f>365-E35</f>
        <v>77</v>
      </c>
      <c r="F36" s="29">
        <v>1</v>
      </c>
      <c r="G36" s="66"/>
      <c r="I36" s="29">
        <v>15</v>
      </c>
      <c r="J36" s="73">
        <v>15</v>
      </c>
      <c r="K36" s="47">
        <f t="shared" si="4"/>
        <v>0</v>
      </c>
      <c r="L36" s="47">
        <f t="shared" si="4"/>
        <v>0</v>
      </c>
      <c r="M36" s="47">
        <f t="shared" si="4"/>
        <v>100</v>
      </c>
      <c r="N36" s="68">
        <f t="shared" si="2"/>
        <v>100</v>
      </c>
      <c r="O36" s="46"/>
      <c r="P36" s="47"/>
      <c r="Q36" s="47">
        <v>40</v>
      </c>
      <c r="R36" s="48">
        <f t="shared" si="3"/>
        <v>40</v>
      </c>
      <c r="S36" s="29">
        <v>4</v>
      </c>
      <c r="T36" s="286">
        <v>26916</v>
      </c>
      <c r="U36" s="295">
        <v>26953</v>
      </c>
      <c r="V36" s="38" t="s">
        <v>480</v>
      </c>
      <c r="W36" s="29" t="s">
        <v>20</v>
      </c>
      <c r="X36" s="29" t="s">
        <v>12</v>
      </c>
      <c r="Y36" s="39">
        <v>40</v>
      </c>
      <c r="AD36" s="38"/>
      <c r="AG36" s="39"/>
      <c r="AH36" s="94"/>
      <c r="AL36" s="38"/>
      <c r="AO36" s="39"/>
      <c r="AP36" s="38"/>
      <c r="AS36" s="39"/>
      <c r="AW36" s="39"/>
      <c r="BA36" s="40"/>
    </row>
    <row r="37" spans="1:53" s="29" customFormat="1" x14ac:dyDescent="0.15">
      <c r="A37" s="52">
        <v>1974</v>
      </c>
      <c r="B37" s="295"/>
      <c r="C37" s="411" t="s">
        <v>618</v>
      </c>
      <c r="D37" s="411"/>
      <c r="E37" s="29">
        <v>0</v>
      </c>
      <c r="G37" s="66"/>
      <c r="I37" s="29">
        <v>15</v>
      </c>
      <c r="J37" s="73">
        <v>15</v>
      </c>
      <c r="K37" s="47">
        <f t="shared" si="4"/>
        <v>0</v>
      </c>
      <c r="L37" s="47">
        <f t="shared" si="4"/>
        <v>0</v>
      </c>
      <c r="M37" s="47">
        <f t="shared" si="4"/>
        <v>100</v>
      </c>
      <c r="N37" s="68">
        <f t="shared" si="2"/>
        <v>100</v>
      </c>
      <c r="O37" s="46"/>
      <c r="P37" s="47"/>
      <c r="Q37" s="47">
        <v>40</v>
      </c>
      <c r="R37" s="48">
        <f t="shared" si="3"/>
        <v>40</v>
      </c>
      <c r="S37" s="29">
        <v>4</v>
      </c>
      <c r="T37" s="286"/>
      <c r="U37" s="295"/>
      <c r="V37" s="38" t="s">
        <v>480</v>
      </c>
      <c r="W37" s="29" t="s">
        <v>20</v>
      </c>
      <c r="X37" s="29" t="s">
        <v>12</v>
      </c>
      <c r="Y37" s="39">
        <v>40</v>
      </c>
      <c r="AD37" s="38"/>
      <c r="AG37" s="39"/>
      <c r="AH37" s="94"/>
      <c r="AL37" s="38"/>
      <c r="AO37" s="39"/>
      <c r="AP37" s="38"/>
      <c r="AS37" s="39"/>
      <c r="AW37" s="39"/>
      <c r="BA37" s="40"/>
    </row>
    <row r="38" spans="1:53" s="29" customFormat="1" x14ac:dyDescent="0.15">
      <c r="A38" s="52">
        <v>1974</v>
      </c>
      <c r="B38" s="295"/>
      <c r="C38" s="411" t="s">
        <v>618</v>
      </c>
      <c r="D38" s="411"/>
      <c r="E38" s="29">
        <v>365</v>
      </c>
      <c r="G38" s="66"/>
      <c r="I38" s="29">
        <v>15</v>
      </c>
      <c r="J38" s="73">
        <v>15</v>
      </c>
      <c r="K38" s="47">
        <f t="shared" si="4"/>
        <v>0</v>
      </c>
      <c r="L38" s="47">
        <f t="shared" si="4"/>
        <v>0</v>
      </c>
      <c r="M38" s="47">
        <f t="shared" si="4"/>
        <v>100</v>
      </c>
      <c r="N38" s="68">
        <f t="shared" si="2"/>
        <v>100</v>
      </c>
      <c r="O38" s="46"/>
      <c r="P38" s="47"/>
      <c r="Q38" s="47">
        <v>40</v>
      </c>
      <c r="R38" s="48">
        <f t="shared" si="3"/>
        <v>40</v>
      </c>
      <c r="S38" s="29">
        <v>4</v>
      </c>
      <c r="T38" s="286"/>
      <c r="U38" s="295"/>
      <c r="V38" s="38" t="s">
        <v>480</v>
      </c>
      <c r="W38" s="29" t="s">
        <v>20</v>
      </c>
      <c r="X38" s="29" t="s">
        <v>12</v>
      </c>
      <c r="Y38" s="39">
        <v>40</v>
      </c>
      <c r="AD38" s="38"/>
      <c r="AG38" s="39"/>
      <c r="AH38" s="94"/>
      <c r="AL38" s="38"/>
      <c r="AO38" s="39"/>
      <c r="AP38" s="38"/>
      <c r="AS38" s="39"/>
      <c r="AW38" s="39"/>
      <c r="BA38" s="40"/>
    </row>
    <row r="39" spans="1:53" s="29" customFormat="1" x14ac:dyDescent="0.15">
      <c r="A39" s="52">
        <v>1975</v>
      </c>
      <c r="B39" s="295"/>
      <c r="C39" s="411" t="s">
        <v>618</v>
      </c>
      <c r="D39" s="411"/>
      <c r="E39" s="29">
        <v>0</v>
      </c>
      <c r="G39" s="66"/>
      <c r="I39" s="29">
        <v>15</v>
      </c>
      <c r="J39" s="73">
        <v>15</v>
      </c>
      <c r="K39" s="47">
        <f t="shared" si="4"/>
        <v>0</v>
      </c>
      <c r="L39" s="47">
        <f t="shared" si="4"/>
        <v>0</v>
      </c>
      <c r="M39" s="47">
        <f t="shared" si="4"/>
        <v>100</v>
      </c>
      <c r="N39" s="68">
        <f t="shared" si="2"/>
        <v>100</v>
      </c>
      <c r="O39" s="46"/>
      <c r="P39" s="47"/>
      <c r="Q39" s="47">
        <v>40</v>
      </c>
      <c r="R39" s="48">
        <f t="shared" si="3"/>
        <v>40</v>
      </c>
      <c r="S39" s="29">
        <v>4</v>
      </c>
      <c r="T39" s="286"/>
      <c r="U39" s="295"/>
      <c r="V39" s="38" t="s">
        <v>480</v>
      </c>
      <c r="W39" s="29" t="s">
        <v>20</v>
      </c>
      <c r="X39" s="29" t="s">
        <v>12</v>
      </c>
      <c r="Y39" s="39">
        <v>40</v>
      </c>
      <c r="AD39" s="38"/>
      <c r="AG39" s="39"/>
      <c r="AH39" s="94"/>
      <c r="AL39" s="38"/>
      <c r="AO39" s="39"/>
      <c r="AP39" s="38"/>
      <c r="AS39" s="39"/>
      <c r="AW39" s="39"/>
      <c r="BA39" s="40"/>
    </row>
    <row r="40" spans="1:53" s="29" customFormat="1" x14ac:dyDescent="0.15">
      <c r="A40" s="52">
        <v>1975</v>
      </c>
      <c r="B40" s="295"/>
      <c r="C40" s="411" t="s">
        <v>618</v>
      </c>
      <c r="D40" s="411"/>
      <c r="E40" s="29">
        <v>365</v>
      </c>
      <c r="G40" s="66"/>
      <c r="I40" s="29">
        <v>15</v>
      </c>
      <c r="J40" s="73">
        <v>15</v>
      </c>
      <c r="K40" s="47">
        <f t="shared" si="4"/>
        <v>0</v>
      </c>
      <c r="L40" s="47">
        <f t="shared" si="4"/>
        <v>0</v>
      </c>
      <c r="M40" s="47">
        <f t="shared" si="4"/>
        <v>100</v>
      </c>
      <c r="N40" s="68">
        <f t="shared" si="2"/>
        <v>100</v>
      </c>
      <c r="O40" s="46"/>
      <c r="P40" s="47"/>
      <c r="Q40" s="47">
        <v>40</v>
      </c>
      <c r="R40" s="48">
        <f t="shared" si="3"/>
        <v>40</v>
      </c>
      <c r="S40" s="29">
        <v>4</v>
      </c>
      <c r="T40" s="286"/>
      <c r="U40" s="295"/>
      <c r="V40" s="38" t="s">
        <v>480</v>
      </c>
      <c r="W40" s="29" t="s">
        <v>20</v>
      </c>
      <c r="X40" s="29" t="s">
        <v>12</v>
      </c>
      <c r="Y40" s="39">
        <v>40</v>
      </c>
      <c r="AD40" s="38"/>
      <c r="AG40" s="39"/>
      <c r="AH40" s="94"/>
      <c r="AL40" s="38"/>
      <c r="AO40" s="39"/>
      <c r="AP40" s="38"/>
      <c r="AS40" s="39"/>
      <c r="AW40" s="39"/>
      <c r="BA40" s="40"/>
    </row>
    <row r="41" spans="1:53" s="29" customFormat="1" x14ac:dyDescent="0.15">
      <c r="A41" s="52">
        <v>1976</v>
      </c>
      <c r="B41" s="295"/>
      <c r="C41" s="411" t="s">
        <v>618</v>
      </c>
      <c r="D41" s="411"/>
      <c r="E41" s="29">
        <v>11</v>
      </c>
      <c r="G41" s="66"/>
      <c r="I41" s="29">
        <v>15</v>
      </c>
      <c r="J41" s="73">
        <v>15</v>
      </c>
      <c r="K41" s="47">
        <f t="shared" si="4"/>
        <v>0</v>
      </c>
      <c r="L41" s="47">
        <f t="shared" si="4"/>
        <v>0</v>
      </c>
      <c r="M41" s="47">
        <f t="shared" si="4"/>
        <v>100</v>
      </c>
      <c r="N41" s="68">
        <f t="shared" si="2"/>
        <v>100</v>
      </c>
      <c r="O41" s="46"/>
      <c r="P41" s="47"/>
      <c r="Q41" s="47">
        <v>40</v>
      </c>
      <c r="R41" s="48">
        <f t="shared" si="3"/>
        <v>40</v>
      </c>
      <c r="S41" s="29">
        <v>4</v>
      </c>
      <c r="T41" s="286"/>
      <c r="U41" s="295"/>
      <c r="V41" s="38" t="s">
        <v>480</v>
      </c>
      <c r="W41" s="29" t="s">
        <v>20</v>
      </c>
      <c r="X41" s="29" t="s">
        <v>12</v>
      </c>
      <c r="Y41" s="39">
        <v>40</v>
      </c>
      <c r="AD41" s="38"/>
      <c r="AG41" s="39"/>
      <c r="AH41" s="94"/>
      <c r="AL41" s="38"/>
      <c r="AO41" s="39"/>
      <c r="AP41" s="38"/>
      <c r="AS41" s="39"/>
      <c r="AW41" s="39"/>
      <c r="BA41" s="40"/>
    </row>
    <row r="42" spans="1:53" s="171" customFormat="1" x14ac:dyDescent="0.15">
      <c r="A42" s="216">
        <v>1976</v>
      </c>
      <c r="B42" s="283">
        <v>27771</v>
      </c>
      <c r="C42" s="410" t="s">
        <v>619</v>
      </c>
      <c r="D42" s="410"/>
      <c r="E42" s="171">
        <f>366-E41</f>
        <v>355</v>
      </c>
      <c r="F42" s="171">
        <v>2</v>
      </c>
      <c r="G42" s="233"/>
      <c r="I42" s="171">
        <v>16</v>
      </c>
      <c r="J42" s="241">
        <v>16</v>
      </c>
      <c r="K42" s="214">
        <f t="shared" si="4"/>
        <v>0</v>
      </c>
      <c r="L42" s="214">
        <f t="shared" si="4"/>
        <v>0</v>
      </c>
      <c r="M42" s="214">
        <f t="shared" si="4"/>
        <v>100</v>
      </c>
      <c r="N42" s="235">
        <f t="shared" si="2"/>
        <v>100</v>
      </c>
      <c r="O42" s="213"/>
      <c r="P42" s="214"/>
      <c r="Q42" s="214">
        <v>40</v>
      </c>
      <c r="R42" s="215">
        <f t="shared" si="3"/>
        <v>40</v>
      </c>
      <c r="S42" s="171">
        <v>4</v>
      </c>
      <c r="T42" s="285"/>
      <c r="U42" s="283">
        <v>27771</v>
      </c>
      <c r="V42" s="178" t="s">
        <v>480</v>
      </c>
      <c r="W42" s="171" t="s">
        <v>20</v>
      </c>
      <c r="X42" s="171" t="s">
        <v>12</v>
      </c>
      <c r="Y42" s="179">
        <v>40</v>
      </c>
      <c r="AD42" s="178"/>
      <c r="AG42" s="179"/>
      <c r="AH42" s="253"/>
      <c r="AL42" s="178"/>
      <c r="AO42" s="179"/>
      <c r="AP42" s="178"/>
      <c r="AS42" s="179"/>
      <c r="AW42" s="179"/>
      <c r="BA42" s="180"/>
    </row>
    <row r="43" spans="1:53" s="171" customFormat="1" x14ac:dyDescent="0.15">
      <c r="A43" s="216">
        <v>1977</v>
      </c>
      <c r="B43" s="283"/>
      <c r="C43" s="410" t="s">
        <v>619</v>
      </c>
      <c r="D43" s="410"/>
      <c r="E43" s="171">
        <v>254</v>
      </c>
      <c r="G43" s="233"/>
      <c r="I43" s="171">
        <v>16</v>
      </c>
      <c r="J43" s="241">
        <v>16</v>
      </c>
      <c r="K43" s="214">
        <f t="shared" si="4"/>
        <v>0</v>
      </c>
      <c r="L43" s="214">
        <f t="shared" si="4"/>
        <v>0</v>
      </c>
      <c r="M43" s="214">
        <f t="shared" si="4"/>
        <v>100</v>
      </c>
      <c r="N43" s="235">
        <f t="shared" si="2"/>
        <v>100</v>
      </c>
      <c r="O43" s="213"/>
      <c r="P43" s="214"/>
      <c r="Q43" s="214">
        <v>40</v>
      </c>
      <c r="R43" s="215">
        <f t="shared" si="3"/>
        <v>40</v>
      </c>
      <c r="S43" s="171">
        <v>4</v>
      </c>
      <c r="T43" s="285"/>
      <c r="U43" s="283"/>
      <c r="V43" s="178" t="s">
        <v>480</v>
      </c>
      <c r="W43" s="171" t="s">
        <v>20</v>
      </c>
      <c r="X43" s="171" t="s">
        <v>12</v>
      </c>
      <c r="Y43" s="179">
        <v>40</v>
      </c>
      <c r="AD43" s="178"/>
      <c r="AG43" s="179"/>
      <c r="AH43" s="253"/>
      <c r="AL43" s="178"/>
      <c r="AO43" s="179"/>
      <c r="AP43" s="178"/>
      <c r="AS43" s="179"/>
      <c r="AW43" s="179"/>
      <c r="BA43" s="180"/>
    </row>
    <row r="44" spans="1:53" s="29" customFormat="1" x14ac:dyDescent="0.15">
      <c r="A44" s="52">
        <v>1977</v>
      </c>
      <c r="B44" s="295">
        <v>28380</v>
      </c>
      <c r="C44" s="411" t="s">
        <v>620</v>
      </c>
      <c r="D44" s="411"/>
      <c r="E44" s="29">
        <f>365-E43</f>
        <v>111</v>
      </c>
      <c r="F44" s="29">
        <v>1</v>
      </c>
      <c r="G44" s="66"/>
      <c r="I44" s="29">
        <v>16</v>
      </c>
      <c r="J44" s="73">
        <v>16</v>
      </c>
      <c r="K44" s="47">
        <f t="shared" si="4"/>
        <v>0</v>
      </c>
      <c r="L44" s="47">
        <f t="shared" si="4"/>
        <v>0</v>
      </c>
      <c r="M44" s="47">
        <f t="shared" si="4"/>
        <v>100</v>
      </c>
      <c r="N44" s="68">
        <f t="shared" si="2"/>
        <v>100</v>
      </c>
      <c r="O44" s="46"/>
      <c r="P44" s="47"/>
      <c r="Q44" s="47">
        <v>49</v>
      </c>
      <c r="R44" s="48">
        <f t="shared" si="3"/>
        <v>49</v>
      </c>
      <c r="S44" s="29">
        <v>4</v>
      </c>
      <c r="T44" s="286">
        <v>28379</v>
      </c>
      <c r="U44" s="295">
        <v>28380</v>
      </c>
      <c r="V44" s="38" t="s">
        <v>480</v>
      </c>
      <c r="W44" s="29" t="s">
        <v>20</v>
      </c>
      <c r="X44" s="29" t="s">
        <v>12</v>
      </c>
      <c r="Y44" s="39">
        <v>49</v>
      </c>
      <c r="AD44" s="38"/>
      <c r="AG44" s="39"/>
      <c r="AH44" s="94"/>
      <c r="AL44" s="38"/>
      <c r="AO44" s="39"/>
      <c r="AP44" s="38"/>
      <c r="AS44" s="39"/>
      <c r="AW44" s="39"/>
      <c r="BA44" s="40"/>
    </row>
    <row r="45" spans="1:53" s="29" customFormat="1" x14ac:dyDescent="0.15">
      <c r="A45" s="52">
        <v>1978</v>
      </c>
      <c r="B45" s="295"/>
      <c r="C45" s="411" t="s">
        <v>620</v>
      </c>
      <c r="D45" s="411"/>
      <c r="E45" s="29">
        <v>0</v>
      </c>
      <c r="G45" s="66"/>
      <c r="I45" s="29">
        <v>16</v>
      </c>
      <c r="J45" s="73">
        <v>16</v>
      </c>
      <c r="K45" s="47">
        <f t="shared" si="4"/>
        <v>0</v>
      </c>
      <c r="L45" s="47">
        <f t="shared" si="4"/>
        <v>0</v>
      </c>
      <c r="M45" s="47">
        <f t="shared" si="4"/>
        <v>100</v>
      </c>
      <c r="N45" s="68">
        <f t="shared" si="2"/>
        <v>100</v>
      </c>
      <c r="O45" s="46"/>
      <c r="P45" s="47"/>
      <c r="Q45" s="47">
        <v>49</v>
      </c>
      <c r="R45" s="48">
        <f t="shared" si="3"/>
        <v>49</v>
      </c>
      <c r="S45" s="29">
        <v>4</v>
      </c>
      <c r="T45" s="286"/>
      <c r="U45" s="295"/>
      <c r="V45" s="38" t="s">
        <v>480</v>
      </c>
      <c r="W45" s="29" t="s">
        <v>20</v>
      </c>
      <c r="X45" s="29" t="s">
        <v>12</v>
      </c>
      <c r="Y45" s="39">
        <v>49</v>
      </c>
      <c r="AD45" s="38"/>
      <c r="AG45" s="39"/>
      <c r="AH45" s="94"/>
      <c r="AL45" s="38"/>
      <c r="AO45" s="39"/>
      <c r="AP45" s="38"/>
      <c r="AS45" s="39"/>
      <c r="AW45" s="39"/>
      <c r="BA45" s="40"/>
    </row>
    <row r="46" spans="1:53" s="29" customFormat="1" x14ac:dyDescent="0.15">
      <c r="A46" s="52">
        <v>1978</v>
      </c>
      <c r="B46" s="295"/>
      <c r="C46" s="411" t="s">
        <v>620</v>
      </c>
      <c r="D46" s="411"/>
      <c r="E46" s="29">
        <v>365</v>
      </c>
      <c r="G46" s="66"/>
      <c r="I46" s="29">
        <v>16</v>
      </c>
      <c r="J46" s="73">
        <v>16</v>
      </c>
      <c r="K46" s="47">
        <f t="shared" si="4"/>
        <v>0</v>
      </c>
      <c r="L46" s="47">
        <f t="shared" si="4"/>
        <v>0</v>
      </c>
      <c r="M46" s="47">
        <f t="shared" si="4"/>
        <v>100</v>
      </c>
      <c r="N46" s="68">
        <f t="shared" si="2"/>
        <v>100</v>
      </c>
      <c r="O46" s="46"/>
      <c r="P46" s="47"/>
      <c r="Q46" s="47">
        <v>49</v>
      </c>
      <c r="R46" s="48">
        <f t="shared" si="3"/>
        <v>49</v>
      </c>
      <c r="S46" s="29">
        <v>4</v>
      </c>
      <c r="T46" s="286"/>
      <c r="U46" s="295"/>
      <c r="V46" s="38" t="s">
        <v>480</v>
      </c>
      <c r="W46" s="29" t="s">
        <v>20</v>
      </c>
      <c r="X46" s="29" t="s">
        <v>12</v>
      </c>
      <c r="Y46" s="39">
        <v>49</v>
      </c>
      <c r="AD46" s="38"/>
      <c r="AG46" s="39"/>
      <c r="AH46" s="94"/>
      <c r="AL46" s="38"/>
      <c r="AO46" s="39"/>
      <c r="AP46" s="38"/>
      <c r="AS46" s="39"/>
      <c r="AW46" s="39"/>
      <c r="BA46" s="40"/>
    </row>
    <row r="47" spans="1:53" s="29" customFormat="1" x14ac:dyDescent="0.15">
      <c r="A47" s="52">
        <v>1979</v>
      </c>
      <c r="B47" s="295"/>
      <c r="C47" s="411" t="s">
        <v>620</v>
      </c>
      <c r="D47" s="411"/>
      <c r="E47" s="29">
        <v>0</v>
      </c>
      <c r="G47" s="66"/>
      <c r="I47" s="29">
        <v>16</v>
      </c>
      <c r="J47" s="73">
        <v>16</v>
      </c>
      <c r="K47" s="47">
        <f t="shared" si="4"/>
        <v>0</v>
      </c>
      <c r="L47" s="47">
        <f t="shared" si="4"/>
        <v>0</v>
      </c>
      <c r="M47" s="47">
        <f t="shared" si="4"/>
        <v>100</v>
      </c>
      <c r="N47" s="68">
        <f t="shared" si="2"/>
        <v>100</v>
      </c>
      <c r="O47" s="46"/>
      <c r="P47" s="47"/>
      <c r="Q47" s="47">
        <v>49</v>
      </c>
      <c r="R47" s="48">
        <f t="shared" si="3"/>
        <v>49</v>
      </c>
      <c r="S47" s="29">
        <v>4</v>
      </c>
      <c r="T47" s="286"/>
      <c r="U47" s="295"/>
      <c r="V47" s="38" t="s">
        <v>480</v>
      </c>
      <c r="W47" s="29" t="s">
        <v>20</v>
      </c>
      <c r="X47" s="29" t="s">
        <v>12</v>
      </c>
      <c r="Y47" s="39">
        <v>49</v>
      </c>
      <c r="AD47" s="38"/>
      <c r="AG47" s="39"/>
      <c r="AH47" s="94"/>
      <c r="AL47" s="38"/>
      <c r="AO47" s="39"/>
      <c r="AP47" s="38"/>
      <c r="AS47" s="39"/>
      <c r="AW47" s="39"/>
      <c r="BA47" s="40"/>
    </row>
    <row r="48" spans="1:53" s="29" customFormat="1" x14ac:dyDescent="0.15">
      <c r="A48" s="52">
        <v>1979</v>
      </c>
      <c r="B48" s="295"/>
      <c r="C48" s="411" t="s">
        <v>620</v>
      </c>
      <c r="D48" s="411"/>
      <c r="E48" s="29">
        <v>365</v>
      </c>
      <c r="G48" s="66"/>
      <c r="I48" s="29">
        <v>16</v>
      </c>
      <c r="J48" s="73">
        <v>16</v>
      </c>
      <c r="K48" s="47">
        <f t="shared" si="4"/>
        <v>0</v>
      </c>
      <c r="L48" s="47">
        <f t="shared" si="4"/>
        <v>0</v>
      </c>
      <c r="M48" s="47">
        <f t="shared" si="4"/>
        <v>100</v>
      </c>
      <c r="N48" s="68">
        <f t="shared" si="2"/>
        <v>100</v>
      </c>
      <c r="O48" s="46"/>
      <c r="P48" s="47"/>
      <c r="Q48" s="47">
        <v>49</v>
      </c>
      <c r="R48" s="48">
        <f t="shared" si="3"/>
        <v>49</v>
      </c>
      <c r="S48" s="29">
        <v>4</v>
      </c>
      <c r="T48" s="286"/>
      <c r="U48" s="295"/>
      <c r="V48" s="38" t="s">
        <v>480</v>
      </c>
      <c r="W48" s="29" t="s">
        <v>20</v>
      </c>
      <c r="X48" s="29" t="s">
        <v>12</v>
      </c>
      <c r="Y48" s="39">
        <v>49</v>
      </c>
      <c r="AD48" s="38"/>
      <c r="AG48" s="39"/>
      <c r="AH48" s="94"/>
      <c r="AL48" s="38"/>
      <c r="AO48" s="39"/>
      <c r="AP48" s="38"/>
      <c r="AS48" s="39"/>
      <c r="AW48" s="39"/>
      <c r="BA48" s="40"/>
    </row>
    <row r="49" spans="1:53" s="29" customFormat="1" x14ac:dyDescent="0.15">
      <c r="A49" s="52">
        <v>1980</v>
      </c>
      <c r="B49" s="295"/>
      <c r="C49" s="411" t="s">
        <v>620</v>
      </c>
      <c r="D49" s="411"/>
      <c r="E49" s="29">
        <v>0</v>
      </c>
      <c r="G49" s="66"/>
      <c r="I49" s="29">
        <v>16</v>
      </c>
      <c r="J49" s="73">
        <v>16</v>
      </c>
      <c r="K49" s="47">
        <f t="shared" si="4"/>
        <v>0</v>
      </c>
      <c r="L49" s="47">
        <f t="shared" si="4"/>
        <v>0</v>
      </c>
      <c r="M49" s="47">
        <f t="shared" si="4"/>
        <v>100</v>
      </c>
      <c r="N49" s="68">
        <f t="shared" si="2"/>
        <v>100</v>
      </c>
      <c r="O49" s="46"/>
      <c r="P49" s="47"/>
      <c r="Q49" s="47">
        <v>49</v>
      </c>
      <c r="R49" s="48">
        <f t="shared" si="3"/>
        <v>49</v>
      </c>
      <c r="S49" s="29">
        <v>4</v>
      </c>
      <c r="T49" s="286"/>
      <c r="U49" s="295"/>
      <c r="V49" s="38" t="s">
        <v>480</v>
      </c>
      <c r="W49" s="29" t="s">
        <v>20</v>
      </c>
      <c r="X49" s="29" t="s">
        <v>12</v>
      </c>
      <c r="Y49" s="39">
        <v>49</v>
      </c>
      <c r="AD49" s="38"/>
      <c r="AG49" s="39"/>
      <c r="AH49" s="94"/>
      <c r="AL49" s="38"/>
      <c r="AO49" s="39"/>
      <c r="AP49" s="38"/>
      <c r="AS49" s="39"/>
      <c r="AW49" s="39"/>
      <c r="BA49" s="40"/>
    </row>
    <row r="50" spans="1:53" s="29" customFormat="1" x14ac:dyDescent="0.15">
      <c r="A50" s="52">
        <v>1980</v>
      </c>
      <c r="B50" s="295"/>
      <c r="C50" s="411" t="s">
        <v>620</v>
      </c>
      <c r="D50" s="411"/>
      <c r="E50" s="29">
        <v>366</v>
      </c>
      <c r="G50" s="66"/>
      <c r="I50" s="29">
        <v>16</v>
      </c>
      <c r="J50" s="73">
        <v>16</v>
      </c>
      <c r="K50" s="47">
        <f t="shared" si="4"/>
        <v>0</v>
      </c>
      <c r="L50" s="47">
        <f t="shared" si="4"/>
        <v>0</v>
      </c>
      <c r="M50" s="47">
        <f t="shared" si="4"/>
        <v>100</v>
      </c>
      <c r="N50" s="68">
        <f t="shared" si="2"/>
        <v>100</v>
      </c>
      <c r="O50" s="46"/>
      <c r="P50" s="47"/>
      <c r="Q50" s="47">
        <v>49</v>
      </c>
      <c r="R50" s="48">
        <f t="shared" si="3"/>
        <v>49</v>
      </c>
      <c r="S50" s="29">
        <v>4</v>
      </c>
      <c r="T50" s="286"/>
      <c r="U50" s="295"/>
      <c r="V50" s="38" t="s">
        <v>480</v>
      </c>
      <c r="W50" s="29" t="s">
        <v>20</v>
      </c>
      <c r="X50" s="29" t="s">
        <v>12</v>
      </c>
      <c r="Y50" s="39">
        <v>49</v>
      </c>
      <c r="AD50" s="38"/>
      <c r="AG50" s="39"/>
      <c r="AH50" s="94"/>
      <c r="AL50" s="38"/>
      <c r="AO50" s="39"/>
      <c r="AP50" s="38"/>
      <c r="AS50" s="39"/>
      <c r="AW50" s="39"/>
      <c r="BA50" s="40"/>
    </row>
    <row r="51" spans="1:53" s="29" customFormat="1" x14ac:dyDescent="0.15">
      <c r="A51" s="52">
        <v>1981</v>
      </c>
      <c r="B51" s="295"/>
      <c r="C51" s="411" t="s">
        <v>620</v>
      </c>
      <c r="D51" s="411"/>
      <c r="E51" s="29">
        <v>34</v>
      </c>
      <c r="G51" s="66"/>
      <c r="I51" s="29">
        <v>16</v>
      </c>
      <c r="J51" s="73">
        <v>16</v>
      </c>
      <c r="K51" s="47">
        <f t="shared" si="4"/>
        <v>0</v>
      </c>
      <c r="L51" s="47">
        <f t="shared" si="4"/>
        <v>0</v>
      </c>
      <c r="M51" s="47">
        <f t="shared" si="4"/>
        <v>100</v>
      </c>
      <c r="N51" s="68">
        <f t="shared" si="2"/>
        <v>100</v>
      </c>
      <c r="O51" s="46"/>
      <c r="P51" s="47"/>
      <c r="Q51" s="47">
        <v>49</v>
      </c>
      <c r="R51" s="48">
        <f t="shared" si="3"/>
        <v>49</v>
      </c>
      <c r="S51" s="29">
        <v>4</v>
      </c>
      <c r="T51" s="286"/>
      <c r="U51" s="295"/>
      <c r="V51" s="38" t="s">
        <v>480</v>
      </c>
      <c r="W51" s="29" t="s">
        <v>20</v>
      </c>
      <c r="X51" s="29" t="s">
        <v>12</v>
      </c>
      <c r="Y51" s="39">
        <v>49</v>
      </c>
      <c r="AD51" s="38"/>
      <c r="AG51" s="39"/>
      <c r="AH51" s="94"/>
      <c r="AL51" s="38"/>
      <c r="AO51" s="39"/>
      <c r="AP51" s="38"/>
      <c r="AS51" s="39"/>
      <c r="AW51" s="39"/>
      <c r="BA51" s="40"/>
    </row>
    <row r="52" spans="1:53" s="171" customFormat="1" x14ac:dyDescent="0.15">
      <c r="A52" s="216">
        <v>1981</v>
      </c>
      <c r="B52" s="283">
        <v>29621</v>
      </c>
      <c r="C52" s="410" t="s">
        <v>621</v>
      </c>
      <c r="D52" s="410"/>
      <c r="E52" s="171">
        <v>252</v>
      </c>
      <c r="F52" s="171">
        <v>3</v>
      </c>
      <c r="G52" s="233"/>
      <c r="I52" s="171">
        <v>17</v>
      </c>
      <c r="J52" s="241">
        <v>17</v>
      </c>
      <c r="K52" s="214">
        <f t="shared" si="4"/>
        <v>0</v>
      </c>
      <c r="L52" s="214">
        <f t="shared" si="4"/>
        <v>0</v>
      </c>
      <c r="M52" s="214">
        <f t="shared" si="4"/>
        <v>100</v>
      </c>
      <c r="N52" s="235">
        <f t="shared" si="2"/>
        <v>100</v>
      </c>
      <c r="O52" s="213"/>
      <c r="P52" s="214"/>
      <c r="Q52" s="214">
        <v>49</v>
      </c>
      <c r="R52" s="215">
        <f t="shared" si="3"/>
        <v>49</v>
      </c>
      <c r="S52" s="171">
        <v>4</v>
      </c>
      <c r="T52" s="285"/>
      <c r="U52" s="283">
        <v>29621</v>
      </c>
      <c r="V52" s="178" t="s">
        <v>480</v>
      </c>
      <c r="W52" s="171" t="s">
        <v>20</v>
      </c>
      <c r="X52" s="171" t="s">
        <v>12</v>
      </c>
      <c r="Y52" s="179">
        <v>49</v>
      </c>
      <c r="AD52" s="178"/>
      <c r="AG52" s="179"/>
      <c r="AH52" s="253"/>
      <c r="AL52" s="178"/>
      <c r="AO52" s="179"/>
      <c r="AP52" s="178"/>
      <c r="AS52" s="179"/>
      <c r="AW52" s="179"/>
      <c r="BA52" s="180"/>
    </row>
    <row r="53" spans="1:53" s="29" customFormat="1" x14ac:dyDescent="0.15">
      <c r="A53" s="52">
        <v>1981</v>
      </c>
      <c r="B53" s="295">
        <v>29873</v>
      </c>
      <c r="C53" s="411" t="s">
        <v>622</v>
      </c>
      <c r="D53" s="411"/>
      <c r="E53" s="29">
        <f>365-E52-E51</f>
        <v>79</v>
      </c>
      <c r="F53" s="29">
        <v>1</v>
      </c>
      <c r="G53" s="66">
        <v>17</v>
      </c>
      <c r="J53" s="73">
        <v>17</v>
      </c>
      <c r="K53" s="47">
        <f t="shared" si="4"/>
        <v>100</v>
      </c>
      <c r="L53" s="47">
        <f t="shared" si="4"/>
        <v>0</v>
      </c>
      <c r="M53" s="47">
        <f t="shared" si="4"/>
        <v>0</v>
      </c>
      <c r="N53" s="68">
        <f t="shared" si="2"/>
        <v>100</v>
      </c>
      <c r="O53" s="46">
        <v>34.799999999999997</v>
      </c>
      <c r="P53" s="47"/>
      <c r="Q53" s="47"/>
      <c r="R53" s="48">
        <f t="shared" si="3"/>
        <v>34.799999999999997</v>
      </c>
      <c r="S53" s="29">
        <v>4</v>
      </c>
      <c r="T53" s="286">
        <v>29843</v>
      </c>
      <c r="U53" s="295">
        <v>29873</v>
      </c>
      <c r="V53" s="38" t="s">
        <v>481</v>
      </c>
      <c r="W53" s="29" t="s">
        <v>74</v>
      </c>
      <c r="X53" s="29" t="s">
        <v>11</v>
      </c>
      <c r="Y53" s="39">
        <v>34.799999999999997</v>
      </c>
      <c r="AD53" s="38"/>
      <c r="AG53" s="39"/>
      <c r="AH53" s="94"/>
      <c r="AL53" s="38"/>
      <c r="AO53" s="39"/>
      <c r="AP53" s="38"/>
      <c r="AS53" s="39"/>
      <c r="AW53" s="39"/>
      <c r="BA53" s="40"/>
    </row>
    <row r="54" spans="1:53" s="29" customFormat="1" x14ac:dyDescent="0.15">
      <c r="A54" s="52">
        <v>1982</v>
      </c>
      <c r="B54" s="295"/>
      <c r="C54" s="411" t="s">
        <v>622</v>
      </c>
      <c r="D54" s="411"/>
      <c r="E54" s="29">
        <v>0</v>
      </c>
      <c r="G54" s="66">
        <v>17</v>
      </c>
      <c r="J54" s="73">
        <v>17</v>
      </c>
      <c r="K54" s="47">
        <f t="shared" si="4"/>
        <v>100</v>
      </c>
      <c r="L54" s="47">
        <f t="shared" si="4"/>
        <v>0</v>
      </c>
      <c r="M54" s="47">
        <f t="shared" si="4"/>
        <v>0</v>
      </c>
      <c r="N54" s="68">
        <f t="shared" si="2"/>
        <v>100</v>
      </c>
      <c r="O54" s="46">
        <v>34.799999999999997</v>
      </c>
      <c r="P54" s="47"/>
      <c r="Q54" s="47"/>
      <c r="R54" s="48">
        <f t="shared" si="3"/>
        <v>34.799999999999997</v>
      </c>
      <c r="S54" s="29">
        <v>4</v>
      </c>
      <c r="T54" s="286"/>
      <c r="U54" s="295"/>
      <c r="V54" s="38" t="s">
        <v>481</v>
      </c>
      <c r="W54" s="29" t="s">
        <v>74</v>
      </c>
      <c r="X54" s="29" t="s">
        <v>11</v>
      </c>
      <c r="Y54" s="39">
        <v>34.799999999999997</v>
      </c>
      <c r="AD54" s="38"/>
      <c r="AG54" s="39"/>
      <c r="AH54" s="94"/>
      <c r="AL54" s="38"/>
      <c r="AO54" s="39"/>
      <c r="AP54" s="38"/>
      <c r="AS54" s="39"/>
      <c r="AW54" s="39"/>
      <c r="BA54" s="40"/>
    </row>
    <row r="55" spans="1:53" s="29" customFormat="1" x14ac:dyDescent="0.15">
      <c r="A55" s="52">
        <v>1982</v>
      </c>
      <c r="B55" s="295"/>
      <c r="C55" s="411" t="s">
        <v>622</v>
      </c>
      <c r="D55" s="411"/>
      <c r="E55" s="29">
        <v>365</v>
      </c>
      <c r="G55" s="66">
        <v>17</v>
      </c>
      <c r="J55" s="73">
        <v>17</v>
      </c>
      <c r="K55" s="47">
        <f t="shared" si="4"/>
        <v>100</v>
      </c>
      <c r="L55" s="47">
        <f t="shared" si="4"/>
        <v>0</v>
      </c>
      <c r="M55" s="47">
        <f t="shared" si="4"/>
        <v>0</v>
      </c>
      <c r="N55" s="68">
        <f t="shared" si="2"/>
        <v>100</v>
      </c>
      <c r="O55" s="46">
        <v>34.799999999999997</v>
      </c>
      <c r="P55" s="47"/>
      <c r="Q55" s="47"/>
      <c r="R55" s="48">
        <f t="shared" si="3"/>
        <v>34.799999999999997</v>
      </c>
      <c r="S55" s="29">
        <v>4</v>
      </c>
      <c r="T55" s="286"/>
      <c r="U55" s="295"/>
      <c r="V55" s="38" t="s">
        <v>481</v>
      </c>
      <c r="W55" s="29" t="s">
        <v>74</v>
      </c>
      <c r="X55" s="29" t="s">
        <v>11</v>
      </c>
      <c r="Y55" s="39">
        <v>34.799999999999997</v>
      </c>
      <c r="AD55" s="38"/>
      <c r="AG55" s="39"/>
      <c r="AH55" s="94"/>
      <c r="AL55" s="38"/>
      <c r="AO55" s="39"/>
      <c r="AP55" s="38"/>
      <c r="AS55" s="39"/>
      <c r="AW55" s="39"/>
      <c r="BA55" s="40"/>
    </row>
    <row r="56" spans="1:53" s="29" customFormat="1" x14ac:dyDescent="0.15">
      <c r="A56" s="52">
        <v>1983</v>
      </c>
      <c r="B56" s="295"/>
      <c r="C56" s="411" t="s">
        <v>622</v>
      </c>
      <c r="D56" s="411"/>
      <c r="E56" s="29">
        <v>158</v>
      </c>
      <c r="G56" s="66">
        <v>17</v>
      </c>
      <c r="J56" s="73">
        <v>17</v>
      </c>
      <c r="K56" s="47">
        <f t="shared" si="4"/>
        <v>100</v>
      </c>
      <c r="L56" s="47">
        <f t="shared" si="4"/>
        <v>0</v>
      </c>
      <c r="M56" s="47">
        <f t="shared" si="4"/>
        <v>0</v>
      </c>
      <c r="N56" s="68">
        <f t="shared" si="2"/>
        <v>100</v>
      </c>
      <c r="O56" s="46">
        <v>34.799999999999997</v>
      </c>
      <c r="P56" s="47"/>
      <c r="Q56" s="47"/>
      <c r="R56" s="48">
        <f t="shared" si="3"/>
        <v>34.799999999999997</v>
      </c>
      <c r="S56" s="29">
        <v>4</v>
      </c>
      <c r="T56" s="286"/>
      <c r="U56" s="295"/>
      <c r="V56" s="38" t="s">
        <v>481</v>
      </c>
      <c r="W56" s="29" t="s">
        <v>74</v>
      </c>
      <c r="X56" s="29" t="s">
        <v>11</v>
      </c>
      <c r="Y56" s="39">
        <v>34.799999999999997</v>
      </c>
      <c r="AD56" s="38"/>
      <c r="AG56" s="39"/>
      <c r="AH56" s="94"/>
      <c r="AL56" s="38"/>
      <c r="AO56" s="39"/>
      <c r="AP56" s="38"/>
      <c r="AS56" s="39"/>
      <c r="AW56" s="39"/>
      <c r="BA56" s="40"/>
    </row>
    <row r="57" spans="1:53" s="171" customFormat="1" x14ac:dyDescent="0.15">
      <c r="A57" s="216">
        <v>1983</v>
      </c>
      <c r="B57" s="283">
        <v>30475</v>
      </c>
      <c r="C57" s="410" t="s">
        <v>623</v>
      </c>
      <c r="D57" s="410"/>
      <c r="E57" s="171">
        <f>365-E56</f>
        <v>207</v>
      </c>
      <c r="F57" s="171">
        <v>2</v>
      </c>
      <c r="G57" s="233">
        <v>12</v>
      </c>
      <c r="H57" s="171">
        <v>6</v>
      </c>
      <c r="J57" s="241">
        <v>18</v>
      </c>
      <c r="K57" s="214">
        <f t="shared" si="4"/>
        <v>66.666666666666657</v>
      </c>
      <c r="L57" s="214">
        <f t="shared" si="4"/>
        <v>33.333333333333329</v>
      </c>
      <c r="M57" s="214">
        <f t="shared" si="4"/>
        <v>0</v>
      </c>
      <c r="N57" s="235">
        <f t="shared" si="2"/>
        <v>99.999999999999986</v>
      </c>
      <c r="O57" s="213">
        <v>34.799999999999997</v>
      </c>
      <c r="P57" s="214">
        <v>16.799999999999997</v>
      </c>
      <c r="Q57" s="214"/>
      <c r="R57" s="215">
        <f t="shared" si="3"/>
        <v>51.599999999999994</v>
      </c>
      <c r="S57" s="171">
        <v>2</v>
      </c>
      <c r="T57" s="285"/>
      <c r="U57" s="283">
        <v>30475</v>
      </c>
      <c r="V57" s="178" t="s">
        <v>481</v>
      </c>
      <c r="W57" s="171" t="s">
        <v>74</v>
      </c>
      <c r="X57" s="171" t="s">
        <v>11</v>
      </c>
      <c r="Y57" s="179">
        <v>34.799999999999997</v>
      </c>
      <c r="Z57" s="178" t="s">
        <v>83</v>
      </c>
      <c r="AA57" s="171" t="s">
        <v>869</v>
      </c>
      <c r="AB57" s="171" t="s">
        <v>18</v>
      </c>
      <c r="AC57" s="171">
        <v>7.1</v>
      </c>
      <c r="AD57" s="178" t="s">
        <v>264</v>
      </c>
      <c r="AE57" s="171" t="s">
        <v>17</v>
      </c>
      <c r="AF57" s="171" t="s">
        <v>18</v>
      </c>
      <c r="AG57" s="179">
        <v>9.6999999999999993</v>
      </c>
      <c r="AH57" s="253"/>
      <c r="AL57" s="178"/>
      <c r="AO57" s="179"/>
      <c r="AP57" s="178"/>
      <c r="AS57" s="179"/>
      <c r="AW57" s="179"/>
      <c r="BA57" s="180"/>
    </row>
    <row r="58" spans="1:53" s="171" customFormat="1" x14ac:dyDescent="0.15">
      <c r="A58" s="216">
        <v>1984</v>
      </c>
      <c r="B58" s="283"/>
      <c r="C58" s="410" t="s">
        <v>623</v>
      </c>
      <c r="D58" s="410"/>
      <c r="E58" s="171">
        <v>0</v>
      </c>
      <c r="G58" s="233">
        <v>12</v>
      </c>
      <c r="H58" s="171">
        <v>6</v>
      </c>
      <c r="J58" s="241">
        <v>18</v>
      </c>
      <c r="K58" s="214">
        <f t="shared" si="4"/>
        <v>66.666666666666657</v>
      </c>
      <c r="L58" s="214">
        <f t="shared" si="4"/>
        <v>33.333333333333329</v>
      </c>
      <c r="M58" s="214">
        <f t="shared" si="4"/>
        <v>0</v>
      </c>
      <c r="N58" s="235">
        <f t="shared" si="2"/>
        <v>99.999999999999986</v>
      </c>
      <c r="O58" s="213">
        <v>34.799999999999997</v>
      </c>
      <c r="P58" s="214">
        <v>16.799999999999997</v>
      </c>
      <c r="Q58" s="214"/>
      <c r="R58" s="215">
        <f t="shared" si="3"/>
        <v>51.599999999999994</v>
      </c>
      <c r="S58" s="171">
        <v>2</v>
      </c>
      <c r="T58" s="285"/>
      <c r="U58" s="283"/>
      <c r="V58" s="178" t="s">
        <v>481</v>
      </c>
      <c r="W58" s="171" t="s">
        <v>74</v>
      </c>
      <c r="X58" s="171" t="s">
        <v>11</v>
      </c>
      <c r="Y58" s="179">
        <v>34.799999999999997</v>
      </c>
      <c r="Z58" s="178" t="s">
        <v>83</v>
      </c>
      <c r="AA58" s="171" t="s">
        <v>869</v>
      </c>
      <c r="AB58" s="171" t="s">
        <v>18</v>
      </c>
      <c r="AC58" s="171">
        <v>7.1</v>
      </c>
      <c r="AD58" s="178" t="s">
        <v>264</v>
      </c>
      <c r="AE58" s="171" t="s">
        <v>17</v>
      </c>
      <c r="AF58" s="171" t="s">
        <v>18</v>
      </c>
      <c r="AG58" s="179">
        <v>9.6999999999999993</v>
      </c>
      <c r="AH58" s="253"/>
      <c r="AL58" s="178"/>
      <c r="AO58" s="179"/>
      <c r="AP58" s="178"/>
      <c r="AS58" s="179"/>
      <c r="AW58" s="179"/>
      <c r="BA58" s="180"/>
    </row>
    <row r="59" spans="1:53" s="171" customFormat="1" x14ac:dyDescent="0.15">
      <c r="A59" s="216">
        <v>1984</v>
      </c>
      <c r="B59" s="283"/>
      <c r="C59" s="410" t="s">
        <v>623</v>
      </c>
      <c r="D59" s="410"/>
      <c r="E59" s="171">
        <v>366</v>
      </c>
      <c r="G59" s="233">
        <v>12</v>
      </c>
      <c r="H59" s="171">
        <v>6</v>
      </c>
      <c r="J59" s="241">
        <v>18</v>
      </c>
      <c r="K59" s="214">
        <f t="shared" si="4"/>
        <v>66.666666666666657</v>
      </c>
      <c r="L59" s="214">
        <f t="shared" si="4"/>
        <v>33.333333333333329</v>
      </c>
      <c r="M59" s="214">
        <f t="shared" si="4"/>
        <v>0</v>
      </c>
      <c r="N59" s="235">
        <f t="shared" si="2"/>
        <v>99.999999999999986</v>
      </c>
      <c r="O59" s="213">
        <v>34.799999999999997</v>
      </c>
      <c r="P59" s="214">
        <v>16.799999999999997</v>
      </c>
      <c r="Q59" s="214"/>
      <c r="R59" s="215">
        <f t="shared" si="3"/>
        <v>51.599999999999994</v>
      </c>
      <c r="S59" s="171">
        <v>2</v>
      </c>
      <c r="T59" s="285"/>
      <c r="U59" s="283"/>
      <c r="V59" s="178" t="s">
        <v>481</v>
      </c>
      <c r="W59" s="171" t="s">
        <v>74</v>
      </c>
      <c r="X59" s="171" t="s">
        <v>11</v>
      </c>
      <c r="Y59" s="179">
        <v>34.799999999999997</v>
      </c>
      <c r="Z59" s="178" t="s">
        <v>83</v>
      </c>
      <c r="AA59" s="171" t="s">
        <v>869</v>
      </c>
      <c r="AB59" s="171" t="s">
        <v>18</v>
      </c>
      <c r="AC59" s="171">
        <v>7.1</v>
      </c>
      <c r="AD59" s="178" t="s">
        <v>264</v>
      </c>
      <c r="AE59" s="171" t="s">
        <v>17</v>
      </c>
      <c r="AF59" s="171" t="s">
        <v>18</v>
      </c>
      <c r="AG59" s="179">
        <v>9.6999999999999993</v>
      </c>
      <c r="AH59" s="253"/>
      <c r="AL59" s="178"/>
      <c r="AO59" s="179"/>
      <c r="AP59" s="178"/>
      <c r="AS59" s="179"/>
      <c r="AW59" s="179"/>
      <c r="BA59" s="180"/>
    </row>
    <row r="60" spans="1:53" s="171" customFormat="1" ht="8.25" customHeight="1" x14ac:dyDescent="0.15">
      <c r="A60" s="216">
        <v>1985</v>
      </c>
      <c r="B60" s="283"/>
      <c r="C60" s="410" t="s">
        <v>623</v>
      </c>
      <c r="D60" s="410"/>
      <c r="E60" s="171">
        <v>329</v>
      </c>
      <c r="G60" s="233">
        <v>12</v>
      </c>
      <c r="H60" s="171">
        <v>6</v>
      </c>
      <c r="J60" s="241">
        <v>18</v>
      </c>
      <c r="K60" s="214">
        <f t="shared" si="4"/>
        <v>66.666666666666657</v>
      </c>
      <c r="L60" s="214">
        <f t="shared" si="4"/>
        <v>33.333333333333329</v>
      </c>
      <c r="M60" s="214">
        <f t="shared" si="4"/>
        <v>0</v>
      </c>
      <c r="N60" s="235">
        <f t="shared" si="2"/>
        <v>99.999999999999986</v>
      </c>
      <c r="O60" s="213">
        <v>34.799999999999997</v>
      </c>
      <c r="P60" s="214">
        <v>16.799999999999997</v>
      </c>
      <c r="Q60" s="214"/>
      <c r="R60" s="215">
        <f t="shared" si="3"/>
        <v>51.599999999999994</v>
      </c>
      <c r="S60" s="171">
        <v>2</v>
      </c>
      <c r="T60" s="285"/>
      <c r="U60" s="283"/>
      <c r="V60" s="178" t="s">
        <v>481</v>
      </c>
      <c r="W60" s="171" t="s">
        <v>74</v>
      </c>
      <c r="X60" s="171" t="s">
        <v>11</v>
      </c>
      <c r="Y60" s="179">
        <v>34.799999999999997</v>
      </c>
      <c r="Z60" s="178" t="s">
        <v>83</v>
      </c>
      <c r="AA60" s="171" t="s">
        <v>869</v>
      </c>
      <c r="AB60" s="171" t="s">
        <v>18</v>
      </c>
      <c r="AC60" s="171">
        <v>7.1</v>
      </c>
      <c r="AD60" s="178" t="s">
        <v>264</v>
      </c>
      <c r="AE60" s="171" t="s">
        <v>17</v>
      </c>
      <c r="AF60" s="171" t="s">
        <v>18</v>
      </c>
      <c r="AG60" s="179">
        <v>9.6999999999999993</v>
      </c>
      <c r="AH60" s="253"/>
      <c r="AL60" s="178"/>
      <c r="AO60" s="179"/>
      <c r="AP60" s="178"/>
      <c r="AS60" s="179"/>
      <c r="AW60" s="179"/>
      <c r="BA60" s="180"/>
    </row>
    <row r="61" spans="1:53" s="29" customFormat="1" x14ac:dyDescent="0.15">
      <c r="A61" s="52">
        <v>1985</v>
      </c>
      <c r="B61" s="295">
        <v>31377</v>
      </c>
      <c r="C61" s="411" t="s">
        <v>624</v>
      </c>
      <c r="D61" s="411"/>
      <c r="E61" s="29">
        <f>365-E60</f>
        <v>36</v>
      </c>
      <c r="F61" s="29">
        <v>1</v>
      </c>
      <c r="G61" s="66">
        <v>11</v>
      </c>
      <c r="H61" s="29">
        <v>7</v>
      </c>
      <c r="J61" s="73">
        <v>18</v>
      </c>
      <c r="K61" s="47">
        <f t="shared" si="4"/>
        <v>61.111111111111114</v>
      </c>
      <c r="L61" s="47">
        <f t="shared" si="4"/>
        <v>38.888888888888893</v>
      </c>
      <c r="M61" s="47">
        <f t="shared" si="4"/>
        <v>0</v>
      </c>
      <c r="N61" s="68">
        <f t="shared" si="2"/>
        <v>100</v>
      </c>
      <c r="O61" s="46">
        <v>31.8</v>
      </c>
      <c r="P61" s="47">
        <v>17.799999999999997</v>
      </c>
      <c r="Q61" s="47"/>
      <c r="R61" s="48">
        <f t="shared" si="3"/>
        <v>49.599999999999994</v>
      </c>
      <c r="S61" s="29">
        <v>5</v>
      </c>
      <c r="T61" s="286">
        <v>31298</v>
      </c>
      <c r="U61" s="295">
        <v>31377</v>
      </c>
      <c r="V61" s="38" t="s">
        <v>481</v>
      </c>
      <c r="W61" s="29" t="s">
        <v>74</v>
      </c>
      <c r="X61" s="29" t="s">
        <v>11</v>
      </c>
      <c r="Y61" s="39">
        <v>31.8</v>
      </c>
      <c r="Z61" s="38" t="s">
        <v>83</v>
      </c>
      <c r="AA61" s="29" t="s">
        <v>869</v>
      </c>
      <c r="AB61" s="29" t="s">
        <v>18</v>
      </c>
      <c r="AC61" s="29">
        <v>7.6</v>
      </c>
      <c r="AD61" s="38" t="s">
        <v>264</v>
      </c>
      <c r="AE61" s="29" t="s">
        <v>17</v>
      </c>
      <c r="AF61" s="29" t="s">
        <v>18</v>
      </c>
      <c r="AG61" s="39">
        <v>10.199999999999999</v>
      </c>
      <c r="AH61" s="94"/>
      <c r="AL61" s="38"/>
      <c r="AO61" s="39"/>
      <c r="AP61" s="38"/>
      <c r="AS61" s="39"/>
      <c r="AW61" s="39"/>
      <c r="BA61" s="40"/>
    </row>
    <row r="62" spans="1:53" s="29" customFormat="1" x14ac:dyDescent="0.15">
      <c r="A62" s="52">
        <v>1986</v>
      </c>
      <c r="B62" s="295"/>
      <c r="C62" s="411" t="s">
        <v>624</v>
      </c>
      <c r="D62" s="411"/>
      <c r="E62" s="29">
        <v>128</v>
      </c>
      <c r="G62" s="66">
        <v>11</v>
      </c>
      <c r="H62" s="29">
        <v>7</v>
      </c>
      <c r="J62" s="73">
        <v>18</v>
      </c>
      <c r="K62" s="47">
        <f t="shared" si="4"/>
        <v>61.111111111111114</v>
      </c>
      <c r="L62" s="47">
        <f t="shared" si="4"/>
        <v>38.888888888888893</v>
      </c>
      <c r="M62" s="47">
        <f t="shared" si="4"/>
        <v>0</v>
      </c>
      <c r="N62" s="68">
        <f t="shared" si="2"/>
        <v>100</v>
      </c>
      <c r="O62" s="46">
        <v>31.8</v>
      </c>
      <c r="P62" s="47">
        <v>17.799999999999997</v>
      </c>
      <c r="Q62" s="47"/>
      <c r="R62" s="48">
        <f t="shared" si="3"/>
        <v>49.599999999999994</v>
      </c>
      <c r="S62" s="29">
        <v>5</v>
      </c>
      <c r="T62" s="286"/>
      <c r="U62" s="295"/>
      <c r="V62" s="38" t="s">
        <v>481</v>
      </c>
      <c r="W62" s="29" t="s">
        <v>74</v>
      </c>
      <c r="X62" s="29" t="s">
        <v>11</v>
      </c>
      <c r="Y62" s="39">
        <v>31.8</v>
      </c>
      <c r="Z62" s="38" t="s">
        <v>83</v>
      </c>
      <c r="AA62" s="29" t="s">
        <v>869</v>
      </c>
      <c r="AB62" s="29" t="s">
        <v>18</v>
      </c>
      <c r="AC62" s="29">
        <v>7.6</v>
      </c>
      <c r="AD62" s="38" t="s">
        <v>264</v>
      </c>
      <c r="AE62" s="29" t="s">
        <v>17</v>
      </c>
      <c r="AF62" s="29" t="s">
        <v>18</v>
      </c>
      <c r="AG62" s="39">
        <v>10.199999999999999</v>
      </c>
      <c r="AH62" s="94"/>
      <c r="AL62" s="38"/>
      <c r="AO62" s="39"/>
      <c r="AP62" s="38"/>
      <c r="AS62" s="39"/>
      <c r="AW62" s="39"/>
      <c r="BA62" s="40"/>
    </row>
    <row r="63" spans="1:53" s="171" customFormat="1" x14ac:dyDescent="0.15">
      <c r="A63" s="216">
        <v>1986</v>
      </c>
      <c r="B63" s="283">
        <v>31541</v>
      </c>
      <c r="C63" s="410" t="s">
        <v>625</v>
      </c>
      <c r="D63" s="410"/>
      <c r="E63" s="171">
        <f>365-E62</f>
        <v>237</v>
      </c>
      <c r="F63" s="171">
        <v>1</v>
      </c>
      <c r="G63" s="233"/>
      <c r="I63" s="171">
        <v>18</v>
      </c>
      <c r="J63" s="241">
        <v>18</v>
      </c>
      <c r="K63" s="214">
        <f t="shared" si="4"/>
        <v>0</v>
      </c>
      <c r="L63" s="214">
        <f t="shared" si="4"/>
        <v>0</v>
      </c>
      <c r="M63" s="214">
        <f t="shared" si="4"/>
        <v>100</v>
      </c>
      <c r="N63" s="235">
        <f>K63+L63+M63</f>
        <v>100</v>
      </c>
      <c r="O63" s="213"/>
      <c r="P63" s="214"/>
      <c r="Q63" s="214">
        <v>45.2</v>
      </c>
      <c r="R63" s="215">
        <f t="shared" si="3"/>
        <v>45.2</v>
      </c>
      <c r="S63" s="171">
        <v>4</v>
      </c>
      <c r="T63" s="285"/>
      <c r="U63" s="283">
        <v>31541</v>
      </c>
      <c r="V63" s="178" t="s">
        <v>480</v>
      </c>
      <c r="W63" s="171" t="s">
        <v>20</v>
      </c>
      <c r="X63" s="171" t="s">
        <v>12</v>
      </c>
      <c r="Y63" s="179">
        <v>45.2</v>
      </c>
      <c r="AD63" s="178"/>
      <c r="AG63" s="179"/>
      <c r="AH63" s="253"/>
      <c r="AL63" s="178"/>
      <c r="AO63" s="179"/>
      <c r="AP63" s="178"/>
      <c r="AS63" s="179"/>
      <c r="AW63" s="179"/>
      <c r="BA63" s="180"/>
    </row>
    <row r="64" spans="1:53" s="171" customFormat="1" x14ac:dyDescent="0.15">
      <c r="A64" s="216">
        <v>1987</v>
      </c>
      <c r="B64" s="283"/>
      <c r="C64" s="410" t="s">
        <v>625</v>
      </c>
      <c r="D64" s="410"/>
      <c r="E64" s="171">
        <v>0</v>
      </c>
      <c r="G64" s="233"/>
      <c r="I64" s="171">
        <v>18</v>
      </c>
      <c r="J64" s="241">
        <v>18</v>
      </c>
      <c r="K64" s="214">
        <f t="shared" si="4"/>
        <v>0</v>
      </c>
      <c r="L64" s="214">
        <f t="shared" si="4"/>
        <v>0</v>
      </c>
      <c r="M64" s="214">
        <f t="shared" si="4"/>
        <v>100</v>
      </c>
      <c r="N64" s="235">
        <f t="shared" ref="N64:N115" si="5">K64+L64+M64</f>
        <v>100</v>
      </c>
      <c r="O64" s="213"/>
      <c r="P64" s="214"/>
      <c r="Q64" s="214">
        <v>45.2</v>
      </c>
      <c r="R64" s="215">
        <f t="shared" si="3"/>
        <v>45.2</v>
      </c>
      <c r="S64" s="171">
        <v>4</v>
      </c>
      <c r="T64" s="285"/>
      <c r="U64" s="283"/>
      <c r="V64" s="178" t="s">
        <v>480</v>
      </c>
      <c r="W64" s="171" t="s">
        <v>20</v>
      </c>
      <c r="X64" s="171" t="s">
        <v>12</v>
      </c>
      <c r="Y64" s="179">
        <v>45.2</v>
      </c>
      <c r="AD64" s="178"/>
      <c r="AG64" s="179"/>
      <c r="AH64" s="253"/>
      <c r="AL64" s="178"/>
      <c r="AO64" s="179"/>
      <c r="AP64" s="178"/>
      <c r="AS64" s="179"/>
      <c r="AW64" s="179"/>
      <c r="BA64" s="180"/>
    </row>
    <row r="65" spans="1:53" s="171" customFormat="1" x14ac:dyDescent="0.15">
      <c r="A65" s="216">
        <v>1987</v>
      </c>
      <c r="B65" s="283"/>
      <c r="C65" s="410" t="s">
        <v>625</v>
      </c>
      <c r="D65" s="410"/>
      <c r="E65" s="171">
        <v>365</v>
      </c>
      <c r="G65" s="233"/>
      <c r="I65" s="171">
        <v>18</v>
      </c>
      <c r="J65" s="241">
        <v>18</v>
      </c>
      <c r="K65" s="214">
        <f t="shared" si="4"/>
        <v>0</v>
      </c>
      <c r="L65" s="214">
        <f t="shared" si="4"/>
        <v>0</v>
      </c>
      <c r="M65" s="214">
        <f t="shared" si="4"/>
        <v>100</v>
      </c>
      <c r="N65" s="235">
        <f t="shared" si="5"/>
        <v>100</v>
      </c>
      <c r="O65" s="213"/>
      <c r="P65" s="214"/>
      <c r="Q65" s="214">
        <v>45.2</v>
      </c>
      <c r="R65" s="215">
        <f t="shared" si="3"/>
        <v>45.2</v>
      </c>
      <c r="S65" s="171">
        <v>4</v>
      </c>
      <c r="T65" s="285"/>
      <c r="U65" s="283"/>
      <c r="V65" s="178" t="s">
        <v>480</v>
      </c>
      <c r="W65" s="171" t="s">
        <v>20</v>
      </c>
      <c r="X65" s="171" t="s">
        <v>12</v>
      </c>
      <c r="Y65" s="179">
        <v>45.2</v>
      </c>
      <c r="AD65" s="178"/>
      <c r="AG65" s="179"/>
      <c r="AH65" s="253"/>
      <c r="AL65" s="178"/>
      <c r="AO65" s="179"/>
      <c r="AP65" s="178"/>
      <c r="AS65" s="179"/>
      <c r="AW65" s="179"/>
      <c r="BA65" s="180"/>
    </row>
    <row r="66" spans="1:53" s="171" customFormat="1" x14ac:dyDescent="0.15">
      <c r="A66" s="216">
        <v>1988</v>
      </c>
      <c r="B66" s="283"/>
      <c r="C66" s="410" t="s">
        <v>625</v>
      </c>
      <c r="D66" s="410"/>
      <c r="E66" s="171">
        <v>0</v>
      </c>
      <c r="G66" s="233"/>
      <c r="I66" s="171">
        <v>18</v>
      </c>
      <c r="J66" s="241">
        <v>18</v>
      </c>
      <c r="K66" s="214">
        <f t="shared" si="4"/>
        <v>0</v>
      </c>
      <c r="L66" s="214">
        <f t="shared" si="4"/>
        <v>0</v>
      </c>
      <c r="M66" s="214">
        <f t="shared" si="4"/>
        <v>100</v>
      </c>
      <c r="N66" s="235">
        <f t="shared" si="5"/>
        <v>100</v>
      </c>
      <c r="O66" s="213"/>
      <c r="P66" s="214"/>
      <c r="Q66" s="214">
        <v>45.2</v>
      </c>
      <c r="R66" s="215">
        <f t="shared" si="3"/>
        <v>45.2</v>
      </c>
      <c r="S66" s="171">
        <v>4</v>
      </c>
      <c r="T66" s="285"/>
      <c r="U66" s="283"/>
      <c r="V66" s="178" t="s">
        <v>480</v>
      </c>
      <c r="W66" s="171" t="s">
        <v>20</v>
      </c>
      <c r="X66" s="171" t="s">
        <v>12</v>
      </c>
      <c r="Y66" s="179">
        <v>45.2</v>
      </c>
      <c r="AD66" s="178"/>
      <c r="AG66" s="179"/>
      <c r="AH66" s="253"/>
      <c r="AL66" s="178"/>
      <c r="AO66" s="179"/>
      <c r="AP66" s="178"/>
      <c r="AS66" s="179"/>
      <c r="AW66" s="179"/>
      <c r="BA66" s="180"/>
    </row>
    <row r="67" spans="1:53" s="171" customFormat="1" x14ac:dyDescent="0.15">
      <c r="A67" s="216">
        <v>1988</v>
      </c>
      <c r="B67" s="283"/>
      <c r="C67" s="410" t="s">
        <v>625</v>
      </c>
      <c r="D67" s="410"/>
      <c r="E67" s="171">
        <v>366</v>
      </c>
      <c r="G67" s="233"/>
      <c r="I67" s="171">
        <v>18</v>
      </c>
      <c r="J67" s="241">
        <v>18</v>
      </c>
      <c r="K67" s="214">
        <f t="shared" si="4"/>
        <v>0</v>
      </c>
      <c r="L67" s="214">
        <f t="shared" si="4"/>
        <v>0</v>
      </c>
      <c r="M67" s="214">
        <f t="shared" si="4"/>
        <v>100</v>
      </c>
      <c r="N67" s="235">
        <f t="shared" si="5"/>
        <v>100</v>
      </c>
      <c r="O67" s="213"/>
      <c r="P67" s="214"/>
      <c r="Q67" s="214">
        <v>45.2</v>
      </c>
      <c r="R67" s="215">
        <f t="shared" si="3"/>
        <v>45.2</v>
      </c>
      <c r="S67" s="171">
        <v>4</v>
      </c>
      <c r="T67" s="285"/>
      <c r="U67" s="283"/>
      <c r="V67" s="178" t="s">
        <v>480</v>
      </c>
      <c r="W67" s="171" t="s">
        <v>20</v>
      </c>
      <c r="X67" s="171" t="s">
        <v>12</v>
      </c>
      <c r="Y67" s="179">
        <v>45.2</v>
      </c>
      <c r="AD67" s="178"/>
      <c r="AG67" s="179"/>
      <c r="AH67" s="253"/>
      <c r="AL67" s="178"/>
      <c r="AO67" s="179"/>
      <c r="AP67" s="178"/>
      <c r="AS67" s="179"/>
      <c r="AW67" s="179"/>
      <c r="BA67" s="180"/>
    </row>
    <row r="68" spans="1:53" s="171" customFormat="1" x14ac:dyDescent="0.15">
      <c r="A68" s="216">
        <v>1989</v>
      </c>
      <c r="B68" s="283"/>
      <c r="C68" s="410" t="s">
        <v>625</v>
      </c>
      <c r="D68" s="410"/>
      <c r="E68" s="171">
        <v>288</v>
      </c>
      <c r="G68" s="233"/>
      <c r="I68" s="171">
        <v>18</v>
      </c>
      <c r="J68" s="241">
        <v>18</v>
      </c>
      <c r="K68" s="214">
        <f t="shared" si="4"/>
        <v>0</v>
      </c>
      <c r="L68" s="214">
        <f t="shared" si="4"/>
        <v>0</v>
      </c>
      <c r="M68" s="214">
        <f t="shared" si="4"/>
        <v>100</v>
      </c>
      <c r="N68" s="235">
        <f t="shared" si="5"/>
        <v>100</v>
      </c>
      <c r="O68" s="213"/>
      <c r="P68" s="214"/>
      <c r="Q68" s="214">
        <v>45.2</v>
      </c>
      <c r="R68" s="215">
        <f t="shared" si="3"/>
        <v>45.2</v>
      </c>
      <c r="S68" s="171">
        <v>4</v>
      </c>
      <c r="T68" s="285"/>
      <c r="U68" s="283"/>
      <c r="V68" s="178" t="s">
        <v>480</v>
      </c>
      <c r="W68" s="171" t="s">
        <v>20</v>
      </c>
      <c r="X68" s="171" t="s">
        <v>12</v>
      </c>
      <c r="Y68" s="179">
        <v>45.2</v>
      </c>
      <c r="AD68" s="178"/>
      <c r="AG68" s="179"/>
      <c r="AH68" s="253"/>
      <c r="AL68" s="178"/>
      <c r="AO68" s="179"/>
      <c r="AP68" s="178"/>
      <c r="AS68" s="179"/>
      <c r="AW68" s="179"/>
      <c r="BA68" s="180"/>
    </row>
    <row r="69" spans="1:53" s="74" customFormat="1" x14ac:dyDescent="0.15">
      <c r="A69" s="92">
        <v>1989</v>
      </c>
      <c r="B69" s="302">
        <v>32797</v>
      </c>
      <c r="C69" s="437" t="s">
        <v>814</v>
      </c>
      <c r="D69" s="437"/>
      <c r="E69" s="74">
        <f>365-E68</f>
        <v>77</v>
      </c>
      <c r="F69" s="74">
        <v>1</v>
      </c>
      <c r="G69" s="75">
        <v>8</v>
      </c>
      <c r="H69" s="74">
        <v>10</v>
      </c>
      <c r="J69" s="76">
        <v>18</v>
      </c>
      <c r="K69" s="77">
        <f t="shared" si="4"/>
        <v>44.444444444444443</v>
      </c>
      <c r="L69" s="77">
        <f t="shared" si="4"/>
        <v>55.555555555555557</v>
      </c>
      <c r="M69" s="77">
        <f t="shared" si="4"/>
        <v>0</v>
      </c>
      <c r="N69" s="78">
        <f t="shared" si="5"/>
        <v>100</v>
      </c>
      <c r="O69" s="79">
        <v>22.4</v>
      </c>
      <c r="P69" s="77">
        <v>15.2</v>
      </c>
      <c r="Q69" s="77"/>
      <c r="R69" s="80">
        <f t="shared" si="3"/>
        <v>37.599999999999994</v>
      </c>
      <c r="S69" s="74">
        <v>5</v>
      </c>
      <c r="T69" s="304">
        <v>32761</v>
      </c>
      <c r="U69" s="302">
        <v>32797</v>
      </c>
      <c r="V69" s="81" t="s">
        <v>481</v>
      </c>
      <c r="W69" s="74" t="s">
        <v>74</v>
      </c>
      <c r="X69" s="74" t="s">
        <v>11</v>
      </c>
      <c r="Y69" s="82">
        <v>22.4</v>
      </c>
      <c r="Z69" s="81" t="s">
        <v>83</v>
      </c>
      <c r="AA69" s="74" t="s">
        <v>869</v>
      </c>
      <c r="AB69" s="74" t="s">
        <v>18</v>
      </c>
      <c r="AC69" s="74">
        <v>6.7</v>
      </c>
      <c r="AD69" s="81" t="s">
        <v>264</v>
      </c>
      <c r="AE69" s="74" t="s">
        <v>17</v>
      </c>
      <c r="AF69" s="74" t="s">
        <v>18</v>
      </c>
      <c r="AG69" s="82">
        <v>8.5</v>
      </c>
      <c r="AH69" s="113"/>
      <c r="AL69" s="81"/>
      <c r="AO69" s="82"/>
      <c r="AP69" s="81"/>
      <c r="AS69" s="82"/>
      <c r="AW69" s="82"/>
      <c r="BA69" s="83"/>
    </row>
    <row r="70" spans="1:53" s="29" customFormat="1" x14ac:dyDescent="0.15">
      <c r="A70" s="29">
        <v>1990</v>
      </c>
      <c r="B70" s="295"/>
      <c r="C70" s="411" t="s">
        <v>814</v>
      </c>
      <c r="D70" s="411"/>
      <c r="E70" s="29">
        <v>306</v>
      </c>
      <c r="G70" s="66">
        <v>8</v>
      </c>
      <c r="H70" s="29">
        <v>10</v>
      </c>
      <c r="J70" s="73">
        <v>18</v>
      </c>
      <c r="K70" s="46">
        <f t="shared" si="4"/>
        <v>44.444444444444443</v>
      </c>
      <c r="L70" s="47">
        <f t="shared" si="4"/>
        <v>55.555555555555557</v>
      </c>
      <c r="M70" s="29">
        <f t="shared" si="4"/>
        <v>0</v>
      </c>
      <c r="N70" s="48">
        <f t="shared" si="5"/>
        <v>100</v>
      </c>
      <c r="O70" s="46">
        <v>22.4</v>
      </c>
      <c r="P70" s="47">
        <v>15.2</v>
      </c>
      <c r="Q70" s="47"/>
      <c r="R70" s="48">
        <f t="shared" si="3"/>
        <v>37.599999999999994</v>
      </c>
      <c r="S70" s="29">
        <v>5</v>
      </c>
      <c r="T70" s="286"/>
      <c r="U70" s="295"/>
      <c r="V70" s="38" t="s">
        <v>481</v>
      </c>
      <c r="W70" s="29" t="s">
        <v>74</v>
      </c>
      <c r="X70" s="29" t="s">
        <v>11</v>
      </c>
      <c r="Y70" s="39">
        <v>22.4</v>
      </c>
      <c r="Z70" s="38" t="s">
        <v>83</v>
      </c>
      <c r="AA70" s="29" t="s">
        <v>869</v>
      </c>
      <c r="AB70" s="29" t="s">
        <v>18</v>
      </c>
      <c r="AC70" s="29">
        <v>6.7</v>
      </c>
      <c r="AD70" s="38" t="s">
        <v>264</v>
      </c>
      <c r="AE70" s="29" t="s">
        <v>17</v>
      </c>
      <c r="AF70" s="29" t="s">
        <v>18</v>
      </c>
      <c r="AG70" s="39">
        <v>8.5</v>
      </c>
      <c r="AH70" s="94"/>
      <c r="AL70" s="38"/>
      <c r="AO70" s="39"/>
      <c r="AP70" s="38"/>
      <c r="AS70" s="39"/>
      <c r="AW70" s="39"/>
      <c r="BA70" s="40"/>
    </row>
    <row r="71" spans="1:53" s="171" customFormat="1" x14ac:dyDescent="0.15">
      <c r="A71" s="171">
        <v>1990</v>
      </c>
      <c r="B71" s="283">
        <v>33180</v>
      </c>
      <c r="C71" s="410" t="s">
        <v>815</v>
      </c>
      <c r="D71" s="410"/>
      <c r="E71" s="171">
        <f>365-E70</f>
        <v>59</v>
      </c>
      <c r="F71" s="171">
        <v>5</v>
      </c>
      <c r="G71" s="233"/>
      <c r="I71" s="171">
        <v>19</v>
      </c>
      <c r="J71" s="241">
        <v>19</v>
      </c>
      <c r="K71" s="214">
        <f t="shared" si="4"/>
        <v>0</v>
      </c>
      <c r="L71" s="214">
        <f t="shared" si="4"/>
        <v>0</v>
      </c>
      <c r="M71" s="214">
        <f t="shared" si="4"/>
        <v>100</v>
      </c>
      <c r="N71" s="235">
        <f t="shared" si="5"/>
        <v>100</v>
      </c>
      <c r="O71" s="213"/>
      <c r="P71" s="214"/>
      <c r="Q71" s="214">
        <v>38.200000000000003</v>
      </c>
      <c r="R71" s="215">
        <f t="shared" si="3"/>
        <v>38.200000000000003</v>
      </c>
      <c r="S71" s="171">
        <v>4</v>
      </c>
      <c r="T71" s="285"/>
      <c r="U71" s="283">
        <v>33180</v>
      </c>
      <c r="V71" s="178" t="s">
        <v>480</v>
      </c>
      <c r="W71" s="171" t="s">
        <v>20</v>
      </c>
      <c r="X71" s="171" t="s">
        <v>12</v>
      </c>
      <c r="Y71" s="179">
        <v>38.200000000000003</v>
      </c>
      <c r="AD71" s="178"/>
      <c r="AG71" s="179"/>
      <c r="AH71" s="253"/>
      <c r="AL71" s="178"/>
      <c r="AO71" s="179"/>
      <c r="AP71" s="178"/>
      <c r="AS71" s="179"/>
      <c r="AW71" s="179"/>
      <c r="BA71" s="180"/>
    </row>
    <row r="72" spans="1:53" s="171" customFormat="1" x14ac:dyDescent="0.15">
      <c r="A72" s="171">
        <v>1991</v>
      </c>
      <c r="B72" s="283"/>
      <c r="C72" s="410" t="s">
        <v>815</v>
      </c>
      <c r="D72" s="410"/>
      <c r="E72" s="171">
        <v>0</v>
      </c>
      <c r="G72" s="233"/>
      <c r="I72" s="171">
        <v>19</v>
      </c>
      <c r="J72" s="241">
        <v>19</v>
      </c>
      <c r="K72" s="214">
        <f t="shared" si="4"/>
        <v>0</v>
      </c>
      <c r="L72" s="214">
        <f t="shared" si="4"/>
        <v>0</v>
      </c>
      <c r="M72" s="214">
        <f t="shared" si="4"/>
        <v>100</v>
      </c>
      <c r="N72" s="235">
        <f t="shared" si="5"/>
        <v>100</v>
      </c>
      <c r="O72" s="213"/>
      <c r="P72" s="214"/>
      <c r="Q72" s="214">
        <v>38.200000000000003</v>
      </c>
      <c r="R72" s="215">
        <f t="shared" si="3"/>
        <v>38.200000000000003</v>
      </c>
      <c r="S72" s="171">
        <v>4</v>
      </c>
      <c r="T72" s="285"/>
      <c r="U72" s="283"/>
      <c r="V72" s="178" t="s">
        <v>480</v>
      </c>
      <c r="W72" s="171" t="s">
        <v>20</v>
      </c>
      <c r="X72" s="171" t="s">
        <v>12</v>
      </c>
      <c r="Y72" s="179">
        <v>38.200000000000003</v>
      </c>
      <c r="AD72" s="178"/>
      <c r="AG72" s="179"/>
      <c r="AH72" s="253"/>
      <c r="AL72" s="178"/>
      <c r="AO72" s="179"/>
      <c r="AP72" s="178"/>
      <c r="AS72" s="179"/>
      <c r="AW72" s="179"/>
      <c r="BA72" s="180"/>
    </row>
    <row r="73" spans="1:53" s="171" customFormat="1" x14ac:dyDescent="0.15">
      <c r="A73" s="171">
        <v>1991</v>
      </c>
      <c r="B73" s="283"/>
      <c r="C73" s="410" t="s">
        <v>815</v>
      </c>
      <c r="D73" s="410"/>
      <c r="E73" s="171">
        <f>365-E72</f>
        <v>365</v>
      </c>
      <c r="G73" s="233"/>
      <c r="I73" s="171">
        <v>19</v>
      </c>
      <c r="J73" s="241">
        <v>19</v>
      </c>
      <c r="K73" s="214">
        <f t="shared" si="4"/>
        <v>0</v>
      </c>
      <c r="L73" s="214">
        <f t="shared" si="4"/>
        <v>0</v>
      </c>
      <c r="M73" s="214">
        <f t="shared" si="4"/>
        <v>100</v>
      </c>
      <c r="N73" s="235">
        <f t="shared" si="5"/>
        <v>100</v>
      </c>
      <c r="O73" s="213"/>
      <c r="P73" s="214"/>
      <c r="Q73" s="214">
        <v>38.200000000000003</v>
      </c>
      <c r="R73" s="215">
        <f t="shared" ref="R73:R117" si="6">O73+P73+Q73</f>
        <v>38.200000000000003</v>
      </c>
      <c r="S73" s="171">
        <v>4</v>
      </c>
      <c r="T73" s="285"/>
      <c r="U73" s="283"/>
      <c r="V73" s="178" t="s">
        <v>480</v>
      </c>
      <c r="W73" s="171" t="s">
        <v>20</v>
      </c>
      <c r="X73" s="171" t="s">
        <v>12</v>
      </c>
      <c r="Y73" s="179">
        <v>38.200000000000003</v>
      </c>
      <c r="AD73" s="178"/>
      <c r="AG73" s="179"/>
      <c r="AH73" s="253"/>
      <c r="AL73" s="178"/>
      <c r="AO73" s="179"/>
      <c r="AP73" s="178"/>
      <c r="AS73" s="179"/>
      <c r="AW73" s="179"/>
      <c r="BA73" s="180"/>
    </row>
    <row r="74" spans="1:53" s="171" customFormat="1" x14ac:dyDescent="0.15">
      <c r="A74" s="171">
        <v>1992</v>
      </c>
      <c r="B74" s="283"/>
      <c r="C74" s="410" t="s">
        <v>815</v>
      </c>
      <c r="D74" s="410"/>
      <c r="E74" s="171">
        <v>0</v>
      </c>
      <c r="G74" s="233"/>
      <c r="I74" s="171">
        <v>19</v>
      </c>
      <c r="J74" s="241">
        <v>19</v>
      </c>
      <c r="K74" s="214">
        <f t="shared" si="4"/>
        <v>0</v>
      </c>
      <c r="L74" s="214">
        <f t="shared" si="4"/>
        <v>0</v>
      </c>
      <c r="M74" s="214">
        <f t="shared" si="4"/>
        <v>100</v>
      </c>
      <c r="N74" s="235">
        <f t="shared" si="5"/>
        <v>100</v>
      </c>
      <c r="O74" s="213"/>
      <c r="P74" s="214"/>
      <c r="Q74" s="214">
        <v>38.200000000000003</v>
      </c>
      <c r="R74" s="215">
        <f t="shared" si="6"/>
        <v>38.200000000000003</v>
      </c>
      <c r="S74" s="171">
        <v>4</v>
      </c>
      <c r="T74" s="285"/>
      <c r="U74" s="283"/>
      <c r="V74" s="178" t="s">
        <v>480</v>
      </c>
      <c r="W74" s="171" t="s">
        <v>20</v>
      </c>
      <c r="X74" s="171" t="s">
        <v>12</v>
      </c>
      <c r="Y74" s="179">
        <v>38.200000000000003</v>
      </c>
      <c r="AD74" s="178"/>
      <c r="AG74" s="179"/>
      <c r="AH74" s="253"/>
      <c r="AL74" s="178"/>
      <c r="AO74" s="179"/>
      <c r="AP74" s="178"/>
      <c r="AS74" s="179"/>
      <c r="AW74" s="179"/>
      <c r="BA74" s="180"/>
    </row>
    <row r="75" spans="1:53" s="171" customFormat="1" x14ac:dyDescent="0.15">
      <c r="A75" s="171">
        <v>1992</v>
      </c>
      <c r="B75" s="283"/>
      <c r="C75" s="410" t="s">
        <v>815</v>
      </c>
      <c r="D75" s="410"/>
      <c r="E75" s="171">
        <v>366</v>
      </c>
      <c r="G75" s="233"/>
      <c r="I75" s="171">
        <v>19</v>
      </c>
      <c r="J75" s="241">
        <v>19</v>
      </c>
      <c r="K75" s="214">
        <f t="shared" si="4"/>
        <v>0</v>
      </c>
      <c r="L75" s="214">
        <f t="shared" si="4"/>
        <v>0</v>
      </c>
      <c r="M75" s="214">
        <f t="shared" si="4"/>
        <v>100</v>
      </c>
      <c r="N75" s="235">
        <f t="shared" si="5"/>
        <v>100</v>
      </c>
      <c r="O75" s="213"/>
      <c r="P75" s="214"/>
      <c r="Q75" s="214">
        <v>38.200000000000003</v>
      </c>
      <c r="R75" s="215">
        <f t="shared" si="6"/>
        <v>38.200000000000003</v>
      </c>
      <c r="S75" s="171">
        <v>4</v>
      </c>
      <c r="T75" s="285"/>
      <c r="U75" s="283"/>
      <c r="V75" s="178" t="s">
        <v>480</v>
      </c>
      <c r="W75" s="171" t="s">
        <v>20</v>
      </c>
      <c r="X75" s="171" t="s">
        <v>12</v>
      </c>
      <c r="Y75" s="179">
        <v>38.200000000000003</v>
      </c>
      <c r="AD75" s="178"/>
      <c r="AG75" s="179"/>
      <c r="AH75" s="253"/>
      <c r="AL75" s="178"/>
      <c r="AO75" s="179"/>
      <c r="AP75" s="178"/>
      <c r="AS75" s="179"/>
      <c r="AW75" s="179"/>
      <c r="BA75" s="180"/>
    </row>
    <row r="76" spans="1:53" s="171" customFormat="1" x14ac:dyDescent="0.15">
      <c r="A76" s="171">
        <v>1993</v>
      </c>
      <c r="B76" s="283"/>
      <c r="C76" s="410" t="s">
        <v>815</v>
      </c>
      <c r="D76" s="410"/>
      <c r="E76" s="171">
        <v>256</v>
      </c>
      <c r="G76" s="233"/>
      <c r="I76" s="171">
        <v>19</v>
      </c>
      <c r="J76" s="241">
        <v>19</v>
      </c>
      <c r="K76" s="214">
        <f t="shared" si="4"/>
        <v>0</v>
      </c>
      <c r="L76" s="214">
        <f t="shared" si="4"/>
        <v>0</v>
      </c>
      <c r="M76" s="214">
        <f t="shared" si="4"/>
        <v>100</v>
      </c>
      <c r="N76" s="235">
        <f t="shared" si="5"/>
        <v>100</v>
      </c>
      <c r="O76" s="213"/>
      <c r="P76" s="214"/>
      <c r="Q76" s="214">
        <v>38.200000000000003</v>
      </c>
      <c r="R76" s="215">
        <f t="shared" si="6"/>
        <v>38.200000000000003</v>
      </c>
      <c r="S76" s="171">
        <v>4</v>
      </c>
      <c r="T76" s="285"/>
      <c r="U76" s="283"/>
      <c r="V76" s="178" t="s">
        <v>480</v>
      </c>
      <c r="W76" s="171" t="s">
        <v>20</v>
      </c>
      <c r="X76" s="171" t="s">
        <v>12</v>
      </c>
      <c r="Y76" s="179">
        <v>38.200000000000003</v>
      </c>
      <c r="AD76" s="178"/>
      <c r="AG76" s="179"/>
      <c r="AH76" s="253"/>
      <c r="AL76" s="178"/>
      <c r="AO76" s="179"/>
      <c r="AP76" s="178"/>
      <c r="AS76" s="179"/>
      <c r="AW76" s="179"/>
      <c r="BA76" s="180"/>
    </row>
    <row r="77" spans="1:53" s="29" customFormat="1" x14ac:dyDescent="0.15">
      <c r="A77" s="29">
        <v>1993</v>
      </c>
      <c r="B77" s="295">
        <v>34226</v>
      </c>
      <c r="C77" s="411" t="s">
        <v>1355</v>
      </c>
      <c r="D77" s="411"/>
      <c r="E77" s="29">
        <f>365-E76</f>
        <v>109</v>
      </c>
      <c r="F77" s="29">
        <v>1</v>
      </c>
      <c r="G77" s="66"/>
      <c r="I77" s="29">
        <v>19</v>
      </c>
      <c r="J77" s="73">
        <v>19</v>
      </c>
      <c r="K77" s="47">
        <f t="shared" si="4"/>
        <v>0</v>
      </c>
      <c r="L77" s="47">
        <f t="shared" si="4"/>
        <v>0</v>
      </c>
      <c r="M77" s="47">
        <f t="shared" si="4"/>
        <v>100</v>
      </c>
      <c r="N77" s="68">
        <f t="shared" si="5"/>
        <v>100</v>
      </c>
      <c r="O77" s="46"/>
      <c r="P77" s="47"/>
      <c r="Q77" s="47">
        <v>40.6</v>
      </c>
      <c r="R77" s="48">
        <f t="shared" si="6"/>
        <v>40.6</v>
      </c>
      <c r="S77" s="29">
        <v>4</v>
      </c>
      <c r="T77" s="286">
        <v>34224</v>
      </c>
      <c r="U77" s="295">
        <v>34226</v>
      </c>
      <c r="V77" s="38" t="s">
        <v>480</v>
      </c>
      <c r="W77" s="29" t="s">
        <v>20</v>
      </c>
      <c r="X77" s="29" t="s">
        <v>12</v>
      </c>
      <c r="Y77" s="39">
        <v>40.6</v>
      </c>
      <c r="AD77" s="38"/>
      <c r="AG77" s="39"/>
      <c r="AH77" s="94"/>
      <c r="AL77" s="38"/>
      <c r="AO77" s="39"/>
      <c r="AP77" s="38"/>
      <c r="AS77" s="39"/>
      <c r="AW77" s="39"/>
      <c r="BA77" s="40"/>
    </row>
    <row r="78" spans="1:53" s="29" customFormat="1" x14ac:dyDescent="0.15">
      <c r="A78" s="29">
        <v>1994</v>
      </c>
      <c r="B78" s="295"/>
      <c r="C78" s="411" t="s">
        <v>1355</v>
      </c>
      <c r="D78" s="411"/>
      <c r="E78" s="29">
        <v>0</v>
      </c>
      <c r="G78" s="66"/>
      <c r="I78" s="29">
        <v>18</v>
      </c>
      <c r="J78" s="73">
        <v>18</v>
      </c>
      <c r="K78" s="47">
        <f t="shared" si="4"/>
        <v>0</v>
      </c>
      <c r="L78" s="47">
        <f t="shared" si="4"/>
        <v>0</v>
      </c>
      <c r="M78" s="47">
        <f t="shared" si="4"/>
        <v>100</v>
      </c>
      <c r="N78" s="68">
        <f t="shared" si="5"/>
        <v>100</v>
      </c>
      <c r="O78" s="46"/>
      <c r="P78" s="47"/>
      <c r="Q78" s="47">
        <v>40.6</v>
      </c>
      <c r="R78" s="48">
        <f t="shared" si="6"/>
        <v>40.6</v>
      </c>
      <c r="S78" s="29">
        <v>4</v>
      </c>
      <c r="T78" s="286"/>
      <c r="U78" s="295"/>
      <c r="V78" s="38" t="s">
        <v>480</v>
      </c>
      <c r="W78" s="29" t="s">
        <v>20</v>
      </c>
      <c r="X78" s="29" t="s">
        <v>12</v>
      </c>
      <c r="Y78" s="39">
        <v>40.6</v>
      </c>
      <c r="AD78" s="38"/>
      <c r="AG78" s="39"/>
      <c r="AH78" s="94"/>
      <c r="AL78" s="38"/>
      <c r="AO78" s="39"/>
      <c r="AP78" s="38"/>
      <c r="AS78" s="39"/>
      <c r="AW78" s="39"/>
      <c r="BA78" s="40"/>
    </row>
    <row r="79" spans="1:53" s="29" customFormat="1" x14ac:dyDescent="0.15">
      <c r="A79" s="29">
        <v>1994</v>
      </c>
      <c r="B79" s="295"/>
      <c r="C79" s="411" t="s">
        <v>1355</v>
      </c>
      <c r="D79" s="411"/>
      <c r="E79" s="29">
        <f>365-E78</f>
        <v>365</v>
      </c>
      <c r="G79" s="66"/>
      <c r="I79" s="29">
        <v>18</v>
      </c>
      <c r="J79" s="73">
        <v>18</v>
      </c>
      <c r="K79" s="47">
        <f t="shared" si="4"/>
        <v>0</v>
      </c>
      <c r="L79" s="47">
        <f t="shared" si="4"/>
        <v>0</v>
      </c>
      <c r="M79" s="47">
        <f t="shared" si="4"/>
        <v>100</v>
      </c>
      <c r="N79" s="68">
        <f t="shared" si="5"/>
        <v>100</v>
      </c>
      <c r="O79" s="46"/>
      <c r="P79" s="47"/>
      <c r="Q79" s="47">
        <v>40.6</v>
      </c>
      <c r="R79" s="48">
        <f t="shared" si="6"/>
        <v>40.6</v>
      </c>
      <c r="S79" s="29">
        <v>4</v>
      </c>
      <c r="T79" s="286"/>
      <c r="U79" s="295"/>
      <c r="V79" s="38" t="s">
        <v>480</v>
      </c>
      <c r="W79" s="29" t="s">
        <v>20</v>
      </c>
      <c r="X79" s="29" t="s">
        <v>12</v>
      </c>
      <c r="Y79" s="39">
        <v>40.6</v>
      </c>
      <c r="AD79" s="38"/>
      <c r="AG79" s="39"/>
      <c r="AH79" s="94"/>
      <c r="AL79" s="38"/>
      <c r="AO79" s="39"/>
      <c r="AP79" s="38"/>
      <c r="AS79" s="39"/>
      <c r="AW79" s="39"/>
      <c r="BA79" s="40"/>
    </row>
    <row r="80" spans="1:53" s="29" customFormat="1" x14ac:dyDescent="0.15">
      <c r="A80" s="29">
        <v>1995</v>
      </c>
      <c r="B80" s="295"/>
      <c r="C80" s="411" t="s">
        <v>1355</v>
      </c>
      <c r="D80" s="411"/>
      <c r="E80" s="29">
        <v>0</v>
      </c>
      <c r="G80" s="66"/>
      <c r="I80" s="29">
        <v>18</v>
      </c>
      <c r="J80" s="73">
        <v>18</v>
      </c>
      <c r="K80" s="47">
        <f t="shared" si="4"/>
        <v>0</v>
      </c>
      <c r="L80" s="47">
        <f t="shared" si="4"/>
        <v>0</v>
      </c>
      <c r="M80" s="47">
        <f t="shared" si="4"/>
        <v>100</v>
      </c>
      <c r="N80" s="68">
        <f t="shared" si="5"/>
        <v>100</v>
      </c>
      <c r="O80" s="46"/>
      <c r="P80" s="47"/>
      <c r="Q80" s="47">
        <v>40.6</v>
      </c>
      <c r="R80" s="48">
        <f t="shared" si="6"/>
        <v>40.6</v>
      </c>
      <c r="S80" s="29">
        <v>4</v>
      </c>
      <c r="T80" s="286"/>
      <c r="U80" s="295"/>
      <c r="V80" s="38" t="s">
        <v>480</v>
      </c>
      <c r="W80" s="29" t="s">
        <v>20</v>
      </c>
      <c r="X80" s="29" t="s">
        <v>12</v>
      </c>
      <c r="Y80" s="39">
        <v>40.6</v>
      </c>
      <c r="AD80" s="38"/>
      <c r="AG80" s="39"/>
      <c r="AH80" s="94"/>
      <c r="AL80" s="38"/>
      <c r="AO80" s="39"/>
      <c r="AP80" s="38"/>
      <c r="AS80" s="39"/>
      <c r="AW80" s="39"/>
      <c r="BA80" s="40"/>
    </row>
    <row r="81" spans="1:53" s="29" customFormat="1" x14ac:dyDescent="0.15">
      <c r="A81" s="29">
        <v>1995</v>
      </c>
      <c r="B81" s="295"/>
      <c r="C81" s="411" t="s">
        <v>1355</v>
      </c>
      <c r="D81" s="411"/>
      <c r="E81" s="29">
        <f>365-E80</f>
        <v>365</v>
      </c>
      <c r="G81" s="66"/>
      <c r="I81" s="29">
        <v>18</v>
      </c>
      <c r="J81" s="73">
        <v>18</v>
      </c>
      <c r="K81" s="47">
        <f t="shared" si="4"/>
        <v>0</v>
      </c>
      <c r="L81" s="47">
        <f t="shared" si="4"/>
        <v>0</v>
      </c>
      <c r="M81" s="47">
        <f t="shared" si="4"/>
        <v>100</v>
      </c>
      <c r="N81" s="68">
        <f t="shared" si="5"/>
        <v>100</v>
      </c>
      <c r="O81" s="46"/>
      <c r="P81" s="47"/>
      <c r="Q81" s="47">
        <v>40.6</v>
      </c>
      <c r="R81" s="48">
        <f t="shared" si="6"/>
        <v>40.6</v>
      </c>
      <c r="S81" s="29">
        <v>4</v>
      </c>
      <c r="T81" s="286"/>
      <c r="U81" s="295"/>
      <c r="V81" s="38" t="s">
        <v>480</v>
      </c>
      <c r="W81" s="29" t="s">
        <v>20</v>
      </c>
      <c r="X81" s="29" t="s">
        <v>12</v>
      </c>
      <c r="Y81" s="39">
        <v>40.6</v>
      </c>
      <c r="AD81" s="38"/>
      <c r="AG81" s="39"/>
      <c r="AH81" s="94"/>
      <c r="AL81" s="38"/>
      <c r="AO81" s="39"/>
      <c r="AP81" s="38"/>
      <c r="AS81" s="39"/>
      <c r="AW81" s="39"/>
      <c r="BA81" s="40"/>
    </row>
    <row r="82" spans="1:53" s="29" customFormat="1" x14ac:dyDescent="0.15">
      <c r="A82" s="29">
        <v>1996</v>
      </c>
      <c r="B82" s="295"/>
      <c r="C82" s="411" t="s">
        <v>1355</v>
      </c>
      <c r="D82" s="411"/>
      <c r="E82" s="29">
        <v>298</v>
      </c>
      <c r="F82" s="84"/>
      <c r="G82" s="66"/>
      <c r="I82" s="29">
        <v>18</v>
      </c>
      <c r="J82" s="73">
        <v>18</v>
      </c>
      <c r="K82" s="47">
        <f t="shared" si="4"/>
        <v>0</v>
      </c>
      <c r="L82" s="47">
        <f t="shared" si="4"/>
        <v>0</v>
      </c>
      <c r="M82" s="47">
        <f t="shared" si="4"/>
        <v>100</v>
      </c>
      <c r="N82" s="68">
        <f t="shared" si="5"/>
        <v>100</v>
      </c>
      <c r="O82" s="46"/>
      <c r="P82" s="47"/>
      <c r="Q82" s="47">
        <v>40.6</v>
      </c>
      <c r="R82" s="48">
        <f t="shared" si="6"/>
        <v>40.6</v>
      </c>
      <c r="S82" s="29">
        <v>4</v>
      </c>
      <c r="T82" s="286"/>
      <c r="U82" s="295"/>
      <c r="V82" s="38" t="s">
        <v>480</v>
      </c>
      <c r="W82" s="29" t="s">
        <v>20</v>
      </c>
      <c r="X82" s="29" t="s">
        <v>12</v>
      </c>
      <c r="Y82" s="39">
        <v>40.6</v>
      </c>
      <c r="AD82" s="38"/>
      <c r="AG82" s="39"/>
      <c r="AH82" s="94"/>
      <c r="AL82" s="38"/>
      <c r="AO82" s="39"/>
      <c r="AP82" s="38"/>
      <c r="AS82" s="39"/>
      <c r="AW82" s="39"/>
      <c r="BA82" s="40"/>
    </row>
    <row r="83" spans="1:53" s="171" customFormat="1" x14ac:dyDescent="0.15">
      <c r="A83" s="171">
        <v>1996</v>
      </c>
      <c r="B83" s="283">
        <v>35363</v>
      </c>
      <c r="C83" s="410" t="s">
        <v>817</v>
      </c>
      <c r="D83" s="410"/>
      <c r="E83" s="171">
        <f>366-E82</f>
        <v>68</v>
      </c>
      <c r="F83" s="171">
        <v>2</v>
      </c>
      <c r="G83" s="233"/>
      <c r="I83" s="171">
        <v>19</v>
      </c>
      <c r="J83" s="241">
        <v>19</v>
      </c>
      <c r="K83" s="214">
        <f t="shared" si="4"/>
        <v>0</v>
      </c>
      <c r="L83" s="214">
        <f t="shared" si="4"/>
        <v>0</v>
      </c>
      <c r="M83" s="214">
        <f t="shared" si="4"/>
        <v>100</v>
      </c>
      <c r="N83" s="235">
        <f t="shared" si="5"/>
        <v>100</v>
      </c>
      <c r="O83" s="213"/>
      <c r="P83" s="214"/>
      <c r="Q83" s="214">
        <v>40.6</v>
      </c>
      <c r="R83" s="215">
        <f t="shared" si="6"/>
        <v>40.6</v>
      </c>
      <c r="S83" s="171">
        <v>4</v>
      </c>
      <c r="T83" s="285"/>
      <c r="U83" s="283">
        <v>35363</v>
      </c>
      <c r="V83" s="178" t="s">
        <v>480</v>
      </c>
      <c r="W83" s="171" t="s">
        <v>20</v>
      </c>
      <c r="X83" s="171" t="s">
        <v>12</v>
      </c>
      <c r="Y83" s="179">
        <v>40.6</v>
      </c>
      <c r="AD83" s="178"/>
      <c r="AG83" s="179"/>
      <c r="AH83" s="253"/>
      <c r="AL83" s="178"/>
      <c r="AO83" s="179"/>
      <c r="AP83" s="178"/>
      <c r="AS83" s="179"/>
      <c r="AW83" s="179"/>
      <c r="BA83" s="180"/>
    </row>
    <row r="84" spans="1:53" s="171" customFormat="1" x14ac:dyDescent="0.15">
      <c r="A84" s="171">
        <v>1997</v>
      </c>
      <c r="B84" s="283"/>
      <c r="C84" s="410" t="s">
        <v>817</v>
      </c>
      <c r="D84" s="410"/>
      <c r="E84" s="171">
        <v>289</v>
      </c>
      <c r="G84" s="233"/>
      <c r="I84" s="171">
        <v>19</v>
      </c>
      <c r="J84" s="241">
        <v>19</v>
      </c>
      <c r="K84" s="214">
        <f t="shared" si="4"/>
        <v>0</v>
      </c>
      <c r="L84" s="214">
        <f t="shared" si="4"/>
        <v>0</v>
      </c>
      <c r="M84" s="214">
        <f t="shared" si="4"/>
        <v>100</v>
      </c>
      <c r="N84" s="235">
        <f t="shared" si="5"/>
        <v>100</v>
      </c>
      <c r="O84" s="213"/>
      <c r="P84" s="214"/>
      <c r="Q84" s="214">
        <v>40.6</v>
      </c>
      <c r="R84" s="215">
        <f t="shared" si="6"/>
        <v>40.6</v>
      </c>
      <c r="S84" s="171">
        <v>4</v>
      </c>
      <c r="T84" s="285"/>
      <c r="U84" s="283"/>
      <c r="V84" s="178" t="s">
        <v>480</v>
      </c>
      <c r="W84" s="171" t="s">
        <v>20</v>
      </c>
      <c r="X84" s="171" t="s">
        <v>12</v>
      </c>
      <c r="Y84" s="179">
        <v>40.6</v>
      </c>
      <c r="AD84" s="178"/>
      <c r="AG84" s="179"/>
      <c r="AH84" s="253"/>
      <c r="AL84" s="178"/>
      <c r="AO84" s="179"/>
      <c r="AP84" s="178"/>
      <c r="AS84" s="179"/>
      <c r="AW84" s="179"/>
      <c r="BA84" s="180"/>
    </row>
    <row r="85" spans="1:53" s="29" customFormat="1" x14ac:dyDescent="0.15">
      <c r="A85" s="29">
        <v>1997</v>
      </c>
      <c r="B85" s="295">
        <v>35720</v>
      </c>
      <c r="C85" s="411" t="s">
        <v>816</v>
      </c>
      <c r="D85" s="411"/>
      <c r="E85" s="29">
        <f>365-E84</f>
        <v>76</v>
      </c>
      <c r="F85" s="29">
        <v>1</v>
      </c>
      <c r="G85" s="66">
        <v>4</v>
      </c>
      <c r="H85" s="29">
        <v>15</v>
      </c>
      <c r="J85" s="73">
        <v>19</v>
      </c>
      <c r="K85" s="47">
        <f t="shared" si="4"/>
        <v>21.052631578947366</v>
      </c>
      <c r="L85" s="47">
        <f t="shared" si="4"/>
        <v>78.94736842105263</v>
      </c>
      <c r="M85" s="47">
        <f t="shared" si="4"/>
        <v>0</v>
      </c>
      <c r="N85" s="68">
        <f t="shared" si="5"/>
        <v>100</v>
      </c>
      <c r="O85" s="46">
        <v>3.6</v>
      </c>
      <c r="P85" s="47">
        <v>21.9</v>
      </c>
      <c r="Q85" s="47"/>
      <c r="R85" s="48">
        <f t="shared" si="6"/>
        <v>25.5</v>
      </c>
      <c r="S85" s="29">
        <v>5</v>
      </c>
      <c r="T85" s="286">
        <v>35688</v>
      </c>
      <c r="U85" s="295">
        <v>35720</v>
      </c>
      <c r="V85" s="38" t="s">
        <v>264</v>
      </c>
      <c r="W85" s="29" t="s">
        <v>17</v>
      </c>
      <c r="X85" s="29" t="s">
        <v>18</v>
      </c>
      <c r="Y85" s="39">
        <v>15.2</v>
      </c>
      <c r="Z85" s="38" t="s">
        <v>83</v>
      </c>
      <c r="AA85" s="29" t="s">
        <v>869</v>
      </c>
      <c r="AB85" s="29" t="s">
        <v>18</v>
      </c>
      <c r="AC85" s="29">
        <v>6.7</v>
      </c>
      <c r="AD85" s="38" t="s">
        <v>404</v>
      </c>
      <c r="AE85" s="29" t="s">
        <v>22</v>
      </c>
      <c r="AF85" s="29" t="s">
        <v>11</v>
      </c>
      <c r="AG85" s="39">
        <v>3.6</v>
      </c>
      <c r="AH85" s="94"/>
      <c r="AL85" s="38"/>
      <c r="AO85" s="39"/>
      <c r="AP85" s="38"/>
      <c r="AS85" s="39"/>
      <c r="AW85" s="39"/>
      <c r="BA85" s="40"/>
    </row>
    <row r="86" spans="1:53" s="29" customFormat="1" x14ac:dyDescent="0.15">
      <c r="A86" s="29">
        <v>1998</v>
      </c>
      <c r="B86" s="295"/>
      <c r="C86" s="411" t="s">
        <v>816</v>
      </c>
      <c r="D86" s="411"/>
      <c r="E86" s="29">
        <v>0</v>
      </c>
      <c r="G86" s="66">
        <v>4</v>
      </c>
      <c r="H86" s="29">
        <v>15</v>
      </c>
      <c r="J86" s="73">
        <v>19</v>
      </c>
      <c r="K86" s="47">
        <f t="shared" si="4"/>
        <v>21.052631578947366</v>
      </c>
      <c r="L86" s="47">
        <f t="shared" si="4"/>
        <v>78.94736842105263</v>
      </c>
      <c r="M86" s="47">
        <f t="shared" si="4"/>
        <v>0</v>
      </c>
      <c r="N86" s="68">
        <f t="shared" si="5"/>
        <v>100</v>
      </c>
      <c r="O86" s="46">
        <v>3.6</v>
      </c>
      <c r="P86" s="47">
        <v>21.9</v>
      </c>
      <c r="Q86" s="47"/>
      <c r="R86" s="48">
        <f t="shared" si="6"/>
        <v>25.5</v>
      </c>
      <c r="S86" s="29">
        <v>5</v>
      </c>
      <c r="T86" s="286"/>
      <c r="U86" s="295"/>
      <c r="V86" s="38" t="s">
        <v>264</v>
      </c>
      <c r="W86" s="29" t="s">
        <v>17</v>
      </c>
      <c r="X86" s="29" t="s">
        <v>18</v>
      </c>
      <c r="Y86" s="39">
        <v>15.2</v>
      </c>
      <c r="Z86" s="38" t="s">
        <v>83</v>
      </c>
      <c r="AA86" s="29" t="s">
        <v>869</v>
      </c>
      <c r="AB86" s="29" t="s">
        <v>18</v>
      </c>
      <c r="AC86" s="29">
        <v>6.7</v>
      </c>
      <c r="AD86" s="38" t="s">
        <v>404</v>
      </c>
      <c r="AE86" s="29" t="s">
        <v>22</v>
      </c>
      <c r="AF86" s="29" t="s">
        <v>11</v>
      </c>
      <c r="AG86" s="39">
        <v>3.6</v>
      </c>
      <c r="AH86" s="94"/>
      <c r="AL86" s="38"/>
      <c r="AO86" s="39"/>
      <c r="AP86" s="38"/>
      <c r="AS86" s="39"/>
      <c r="AW86" s="39"/>
      <c r="BA86" s="40"/>
    </row>
    <row r="87" spans="1:53" s="29" customFormat="1" x14ac:dyDescent="0.15">
      <c r="A87" s="29">
        <v>1998</v>
      </c>
      <c r="B87" s="295"/>
      <c r="C87" s="411" t="s">
        <v>816</v>
      </c>
      <c r="D87" s="411"/>
      <c r="E87" s="29">
        <f>365-E86</f>
        <v>365</v>
      </c>
      <c r="G87" s="66">
        <v>4</v>
      </c>
      <c r="H87" s="29">
        <v>15</v>
      </c>
      <c r="J87" s="73">
        <v>19</v>
      </c>
      <c r="K87" s="47">
        <f t="shared" si="4"/>
        <v>21.052631578947366</v>
      </c>
      <c r="L87" s="47">
        <f t="shared" si="4"/>
        <v>78.94736842105263</v>
      </c>
      <c r="M87" s="47">
        <f t="shared" si="4"/>
        <v>0</v>
      </c>
      <c r="N87" s="68">
        <f t="shared" si="5"/>
        <v>100</v>
      </c>
      <c r="O87" s="46">
        <v>3.6</v>
      </c>
      <c r="P87" s="47">
        <v>21.9</v>
      </c>
      <c r="Q87" s="47"/>
      <c r="R87" s="48">
        <f t="shared" si="6"/>
        <v>25.5</v>
      </c>
      <c r="S87" s="29">
        <v>5</v>
      </c>
      <c r="T87" s="286"/>
      <c r="U87" s="295"/>
      <c r="V87" s="38" t="s">
        <v>264</v>
      </c>
      <c r="W87" s="29" t="s">
        <v>17</v>
      </c>
      <c r="X87" s="29" t="s">
        <v>18</v>
      </c>
      <c r="Y87" s="39">
        <v>15.2</v>
      </c>
      <c r="Z87" s="38" t="s">
        <v>83</v>
      </c>
      <c r="AA87" s="29" t="s">
        <v>869</v>
      </c>
      <c r="AB87" s="29" t="s">
        <v>18</v>
      </c>
      <c r="AC87" s="29">
        <v>6.7</v>
      </c>
      <c r="AD87" s="38" t="s">
        <v>404</v>
      </c>
      <c r="AE87" s="29" t="s">
        <v>22</v>
      </c>
      <c r="AF87" s="29" t="s">
        <v>11</v>
      </c>
      <c r="AG87" s="39">
        <v>3.6</v>
      </c>
      <c r="AH87" s="94"/>
      <c r="AL87" s="38"/>
      <c r="AO87" s="39"/>
      <c r="AP87" s="38"/>
      <c r="AS87" s="39"/>
      <c r="AW87" s="39"/>
      <c r="BA87" s="40"/>
    </row>
    <row r="88" spans="1:53" s="29" customFormat="1" x14ac:dyDescent="0.15">
      <c r="A88" s="29">
        <v>1999</v>
      </c>
      <c r="B88" s="295"/>
      <c r="C88" s="411" t="s">
        <v>816</v>
      </c>
      <c r="D88" s="411"/>
      <c r="E88" s="29">
        <v>0</v>
      </c>
      <c r="G88" s="66">
        <v>4</v>
      </c>
      <c r="H88" s="29">
        <v>15</v>
      </c>
      <c r="J88" s="73">
        <v>19</v>
      </c>
      <c r="K88" s="47">
        <f t="shared" si="4"/>
        <v>21.052631578947366</v>
      </c>
      <c r="L88" s="47">
        <f t="shared" si="4"/>
        <v>78.94736842105263</v>
      </c>
      <c r="M88" s="47">
        <f t="shared" si="4"/>
        <v>0</v>
      </c>
      <c r="N88" s="68">
        <f t="shared" si="5"/>
        <v>100</v>
      </c>
      <c r="O88" s="46">
        <v>3.6</v>
      </c>
      <c r="P88" s="47">
        <v>21.9</v>
      </c>
      <c r="Q88" s="47"/>
      <c r="R88" s="48">
        <f t="shared" si="6"/>
        <v>25.5</v>
      </c>
      <c r="S88" s="29">
        <v>5</v>
      </c>
      <c r="T88" s="286"/>
      <c r="U88" s="295"/>
      <c r="V88" s="38" t="s">
        <v>264</v>
      </c>
      <c r="W88" s="29" t="s">
        <v>17</v>
      </c>
      <c r="X88" s="29" t="s">
        <v>18</v>
      </c>
      <c r="Y88" s="39">
        <v>15.2</v>
      </c>
      <c r="Z88" s="38" t="s">
        <v>83</v>
      </c>
      <c r="AA88" s="29" t="s">
        <v>869</v>
      </c>
      <c r="AB88" s="29" t="s">
        <v>18</v>
      </c>
      <c r="AC88" s="29">
        <v>6.7</v>
      </c>
      <c r="AD88" s="38" t="s">
        <v>404</v>
      </c>
      <c r="AE88" s="29" t="s">
        <v>22</v>
      </c>
      <c r="AF88" s="29" t="s">
        <v>11</v>
      </c>
      <c r="AG88" s="39">
        <v>3.6</v>
      </c>
      <c r="AH88" s="94"/>
      <c r="AL88" s="38"/>
      <c r="AO88" s="39"/>
      <c r="AP88" s="38"/>
      <c r="AS88" s="39"/>
      <c r="AW88" s="39"/>
      <c r="BA88" s="40"/>
    </row>
    <row r="89" spans="1:53" s="29" customFormat="1" x14ac:dyDescent="0.15">
      <c r="A89" s="29">
        <v>1999</v>
      </c>
      <c r="B89" s="295"/>
      <c r="C89" s="411" t="s">
        <v>816</v>
      </c>
      <c r="D89" s="411"/>
      <c r="E89" s="29">
        <f>365-E88</f>
        <v>365</v>
      </c>
      <c r="G89" s="66">
        <v>4</v>
      </c>
      <c r="H89" s="29">
        <v>15</v>
      </c>
      <c r="J89" s="73">
        <v>19</v>
      </c>
      <c r="K89" s="47">
        <f t="shared" si="4"/>
        <v>21.052631578947366</v>
      </c>
      <c r="L89" s="47">
        <f t="shared" si="4"/>
        <v>78.94736842105263</v>
      </c>
      <c r="M89" s="47">
        <f t="shared" si="4"/>
        <v>0</v>
      </c>
      <c r="N89" s="68">
        <f t="shared" si="5"/>
        <v>100</v>
      </c>
      <c r="O89" s="46">
        <v>3.6</v>
      </c>
      <c r="P89" s="47">
        <v>21.9</v>
      </c>
      <c r="Q89" s="47"/>
      <c r="R89" s="48">
        <f t="shared" si="6"/>
        <v>25.5</v>
      </c>
      <c r="S89" s="29">
        <v>5</v>
      </c>
      <c r="T89" s="286"/>
      <c r="U89" s="295"/>
      <c r="V89" s="38" t="s">
        <v>264</v>
      </c>
      <c r="W89" s="29" t="s">
        <v>17</v>
      </c>
      <c r="X89" s="29" t="s">
        <v>18</v>
      </c>
      <c r="Y89" s="39">
        <v>15.2</v>
      </c>
      <c r="Z89" s="38" t="s">
        <v>83</v>
      </c>
      <c r="AA89" s="29" t="s">
        <v>869</v>
      </c>
      <c r="AB89" s="29" t="s">
        <v>18</v>
      </c>
      <c r="AC89" s="29">
        <v>6.7</v>
      </c>
      <c r="AD89" s="38" t="s">
        <v>404</v>
      </c>
      <c r="AE89" s="29" t="s">
        <v>22</v>
      </c>
      <c r="AF89" s="29" t="s">
        <v>11</v>
      </c>
      <c r="AG89" s="39">
        <v>3.6</v>
      </c>
      <c r="AH89" s="94"/>
      <c r="AL89" s="38"/>
      <c r="AO89" s="39"/>
      <c r="AP89" s="38"/>
      <c r="AS89" s="39"/>
      <c r="AW89" s="39"/>
      <c r="BA89" s="40"/>
    </row>
    <row r="90" spans="1:53" s="29" customFormat="1" x14ac:dyDescent="0.15">
      <c r="A90" s="29">
        <v>2000</v>
      </c>
      <c r="B90" s="295"/>
      <c r="C90" s="411" t="s">
        <v>816</v>
      </c>
      <c r="D90" s="411"/>
      <c r="E90" s="29">
        <v>76</v>
      </c>
      <c r="G90" s="66">
        <v>4</v>
      </c>
      <c r="H90" s="29">
        <v>15</v>
      </c>
      <c r="J90" s="73">
        <v>19</v>
      </c>
      <c r="K90" s="47">
        <f t="shared" ref="K90:M115" si="7">G90/$J90*100</f>
        <v>21.052631578947366</v>
      </c>
      <c r="L90" s="47">
        <f t="shared" si="7"/>
        <v>78.94736842105263</v>
      </c>
      <c r="M90" s="47">
        <f t="shared" si="7"/>
        <v>0</v>
      </c>
      <c r="N90" s="68">
        <f t="shared" si="5"/>
        <v>100</v>
      </c>
      <c r="O90" s="46">
        <v>3.6</v>
      </c>
      <c r="P90" s="47">
        <v>21.9</v>
      </c>
      <c r="Q90" s="47"/>
      <c r="R90" s="48">
        <f t="shared" si="6"/>
        <v>25.5</v>
      </c>
      <c r="S90" s="29">
        <v>5</v>
      </c>
      <c r="T90" s="286"/>
      <c r="U90" s="295"/>
      <c r="V90" s="38" t="s">
        <v>264</v>
      </c>
      <c r="W90" s="29" t="s">
        <v>17</v>
      </c>
      <c r="X90" s="29" t="s">
        <v>18</v>
      </c>
      <c r="Y90" s="39">
        <v>15.2</v>
      </c>
      <c r="Z90" s="38" t="s">
        <v>83</v>
      </c>
      <c r="AA90" s="29" t="s">
        <v>869</v>
      </c>
      <c r="AB90" s="29" t="s">
        <v>18</v>
      </c>
      <c r="AC90" s="29">
        <v>6.7</v>
      </c>
      <c r="AD90" s="38" t="s">
        <v>404</v>
      </c>
      <c r="AE90" s="29" t="s">
        <v>22</v>
      </c>
      <c r="AF90" s="29" t="s">
        <v>11</v>
      </c>
      <c r="AG90" s="39">
        <v>3.6</v>
      </c>
      <c r="AH90" s="94"/>
      <c r="AL90" s="38"/>
      <c r="AO90" s="39"/>
      <c r="AP90" s="38"/>
      <c r="AS90" s="39"/>
      <c r="AW90" s="39"/>
      <c r="BA90" s="40"/>
    </row>
    <row r="91" spans="1:53" s="171" customFormat="1" x14ac:dyDescent="0.15">
      <c r="A91" s="171">
        <v>2000</v>
      </c>
      <c r="B91" s="283">
        <v>36602</v>
      </c>
      <c r="C91" s="410" t="s">
        <v>818</v>
      </c>
      <c r="D91" s="410"/>
      <c r="E91" s="171">
        <f>366-E90</f>
        <v>290</v>
      </c>
      <c r="F91" s="171">
        <v>5</v>
      </c>
      <c r="G91" s="233"/>
      <c r="I91" s="171">
        <v>19</v>
      </c>
      <c r="J91" s="241">
        <v>19</v>
      </c>
      <c r="K91" s="214">
        <f t="shared" si="7"/>
        <v>0</v>
      </c>
      <c r="L91" s="214">
        <f t="shared" si="7"/>
        <v>0</v>
      </c>
      <c r="M91" s="214">
        <f t="shared" si="7"/>
        <v>100</v>
      </c>
      <c r="N91" s="235">
        <f t="shared" si="5"/>
        <v>100</v>
      </c>
      <c r="O91" s="213"/>
      <c r="P91" s="214"/>
      <c r="Q91" s="214">
        <v>39.4</v>
      </c>
      <c r="R91" s="215">
        <f t="shared" si="6"/>
        <v>39.4</v>
      </c>
      <c r="S91" s="171">
        <v>4</v>
      </c>
      <c r="T91" s="285"/>
      <c r="U91" s="283">
        <v>36602</v>
      </c>
      <c r="V91" s="178" t="s">
        <v>480</v>
      </c>
      <c r="W91" s="171" t="s">
        <v>20</v>
      </c>
      <c r="X91" s="171" t="s">
        <v>12</v>
      </c>
      <c r="Y91" s="179">
        <v>39.4</v>
      </c>
      <c r="Z91" s="178"/>
      <c r="AD91" s="178"/>
      <c r="AG91" s="179"/>
      <c r="AH91" s="253"/>
      <c r="AL91" s="178"/>
      <c r="AO91" s="179"/>
      <c r="AP91" s="178"/>
      <c r="AS91" s="179"/>
      <c r="AW91" s="179"/>
      <c r="BA91" s="180"/>
    </row>
    <row r="92" spans="1:53" s="171" customFormat="1" x14ac:dyDescent="0.15">
      <c r="A92" s="171">
        <v>2001</v>
      </c>
      <c r="B92" s="283"/>
      <c r="C92" s="410" t="s">
        <v>818</v>
      </c>
      <c r="D92" s="410"/>
      <c r="E92" s="171">
        <v>291</v>
      </c>
      <c r="G92" s="233"/>
      <c r="I92" s="171">
        <v>19</v>
      </c>
      <c r="J92" s="241">
        <v>19</v>
      </c>
      <c r="K92" s="214">
        <f t="shared" si="7"/>
        <v>0</v>
      </c>
      <c r="L92" s="214">
        <f t="shared" si="7"/>
        <v>0</v>
      </c>
      <c r="M92" s="214">
        <f t="shared" si="7"/>
        <v>100</v>
      </c>
      <c r="N92" s="235">
        <f t="shared" si="5"/>
        <v>100</v>
      </c>
      <c r="O92" s="213"/>
      <c r="P92" s="214"/>
      <c r="Q92" s="214">
        <v>39.4</v>
      </c>
      <c r="R92" s="215">
        <f t="shared" si="6"/>
        <v>39.4</v>
      </c>
      <c r="S92" s="171">
        <v>4</v>
      </c>
      <c r="T92" s="285"/>
      <c r="U92" s="283"/>
      <c r="V92" s="178" t="s">
        <v>480</v>
      </c>
      <c r="W92" s="171" t="s">
        <v>20</v>
      </c>
      <c r="X92" s="171" t="s">
        <v>12</v>
      </c>
      <c r="Y92" s="179">
        <v>39.4</v>
      </c>
      <c r="Z92" s="178"/>
      <c r="AD92" s="178"/>
      <c r="AG92" s="179"/>
      <c r="AH92" s="253"/>
      <c r="AL92" s="178"/>
      <c r="AO92" s="179"/>
      <c r="AP92" s="178"/>
      <c r="AS92" s="179"/>
      <c r="AW92" s="179"/>
      <c r="BA92" s="180"/>
    </row>
    <row r="93" spans="1:53" s="29" customFormat="1" x14ac:dyDescent="0.15">
      <c r="A93" s="29">
        <v>2001</v>
      </c>
      <c r="B93" s="295">
        <v>37183</v>
      </c>
      <c r="C93" s="411" t="s">
        <v>821</v>
      </c>
      <c r="D93" s="411"/>
      <c r="E93" s="29">
        <f>365-E92</f>
        <v>74</v>
      </c>
      <c r="F93" s="29">
        <v>1</v>
      </c>
      <c r="G93" s="66">
        <v>13</v>
      </c>
      <c r="H93" s="29">
        <v>6</v>
      </c>
      <c r="J93" s="73">
        <v>19</v>
      </c>
      <c r="K93" s="47">
        <f t="shared" si="7"/>
        <v>68.421052631578945</v>
      </c>
      <c r="L93" s="47">
        <f t="shared" si="7"/>
        <v>31.578947368421051</v>
      </c>
      <c r="M93" s="47">
        <f t="shared" si="7"/>
        <v>0</v>
      </c>
      <c r="N93" s="68">
        <f t="shared" si="5"/>
        <v>100</v>
      </c>
      <c r="O93" s="46">
        <v>24.2</v>
      </c>
      <c r="P93" s="47">
        <v>13.3</v>
      </c>
      <c r="Q93" s="47"/>
      <c r="R93" s="48">
        <f t="shared" si="6"/>
        <v>37.5</v>
      </c>
      <c r="S93" s="29">
        <v>5</v>
      </c>
      <c r="T93" s="286">
        <v>37144</v>
      </c>
      <c r="U93" s="295">
        <v>37183</v>
      </c>
      <c r="V93" s="38" t="s">
        <v>264</v>
      </c>
      <c r="W93" s="29" t="s">
        <v>17</v>
      </c>
      <c r="X93" s="29" t="s">
        <v>18</v>
      </c>
      <c r="Y93" s="39">
        <v>13.3</v>
      </c>
      <c r="Z93" s="38" t="s">
        <v>481</v>
      </c>
      <c r="AA93" s="29" t="s">
        <v>74</v>
      </c>
      <c r="AB93" s="29" t="s">
        <v>11</v>
      </c>
      <c r="AC93" s="29">
        <v>23</v>
      </c>
      <c r="AD93" s="38" t="s">
        <v>404</v>
      </c>
      <c r="AE93" s="29" t="s">
        <v>22</v>
      </c>
      <c r="AF93" s="29" t="s">
        <v>11</v>
      </c>
      <c r="AG93" s="39">
        <v>1.2</v>
      </c>
      <c r="AH93" s="94"/>
      <c r="AL93" s="38"/>
      <c r="AO93" s="39"/>
      <c r="AP93" s="38"/>
      <c r="AS93" s="39"/>
      <c r="AW93" s="39"/>
      <c r="BA93" s="40"/>
    </row>
    <row r="94" spans="1:53" s="29" customFormat="1" x14ac:dyDescent="0.15">
      <c r="A94" s="29">
        <v>2002</v>
      </c>
      <c r="B94" s="295"/>
      <c r="C94" s="411" t="s">
        <v>821</v>
      </c>
      <c r="D94" s="411"/>
      <c r="E94" s="29">
        <v>0</v>
      </c>
      <c r="G94" s="66">
        <v>13</v>
      </c>
      <c r="H94" s="29">
        <v>6</v>
      </c>
      <c r="J94" s="73">
        <v>19</v>
      </c>
      <c r="K94" s="47">
        <f t="shared" si="7"/>
        <v>68.421052631578945</v>
      </c>
      <c r="L94" s="47">
        <f t="shared" si="7"/>
        <v>31.578947368421051</v>
      </c>
      <c r="M94" s="47">
        <f t="shared" si="7"/>
        <v>0</v>
      </c>
      <c r="N94" s="68">
        <f t="shared" si="5"/>
        <v>100</v>
      </c>
      <c r="O94" s="46">
        <v>24.2</v>
      </c>
      <c r="P94" s="47">
        <v>13.3</v>
      </c>
      <c r="Q94" s="47"/>
      <c r="R94" s="48">
        <f t="shared" si="6"/>
        <v>37.5</v>
      </c>
      <c r="S94" s="29">
        <v>5</v>
      </c>
      <c r="T94" s="286"/>
      <c r="U94" s="295"/>
      <c r="V94" s="38" t="s">
        <v>264</v>
      </c>
      <c r="W94" s="29" t="s">
        <v>17</v>
      </c>
      <c r="X94" s="29" t="s">
        <v>18</v>
      </c>
      <c r="Y94" s="39">
        <v>13.3</v>
      </c>
      <c r="Z94" s="38" t="s">
        <v>481</v>
      </c>
      <c r="AA94" s="29" t="s">
        <v>74</v>
      </c>
      <c r="AB94" s="29" t="s">
        <v>11</v>
      </c>
      <c r="AC94" s="29">
        <v>23</v>
      </c>
      <c r="AD94" s="38" t="s">
        <v>404</v>
      </c>
      <c r="AE94" s="29" t="s">
        <v>22</v>
      </c>
      <c r="AF94" s="29" t="s">
        <v>11</v>
      </c>
      <c r="AG94" s="39">
        <v>1.2</v>
      </c>
      <c r="AH94" s="94"/>
      <c r="AL94" s="38"/>
      <c r="AO94" s="39"/>
      <c r="AP94" s="38"/>
      <c r="AS94" s="39"/>
      <c r="AW94" s="39"/>
      <c r="BA94" s="40"/>
    </row>
    <row r="95" spans="1:53" s="29" customFormat="1" x14ac:dyDescent="0.15">
      <c r="A95" s="29">
        <v>2002</v>
      </c>
      <c r="B95" s="295"/>
      <c r="C95" s="411" t="s">
        <v>821</v>
      </c>
      <c r="D95" s="411"/>
      <c r="E95" s="29">
        <f>365-E94</f>
        <v>365</v>
      </c>
      <c r="G95" s="66">
        <v>13</v>
      </c>
      <c r="H95" s="29">
        <v>6</v>
      </c>
      <c r="J95" s="73">
        <v>19</v>
      </c>
      <c r="K95" s="47">
        <f t="shared" si="7"/>
        <v>68.421052631578945</v>
      </c>
      <c r="L95" s="47">
        <f t="shared" si="7"/>
        <v>31.578947368421051</v>
      </c>
      <c r="M95" s="47">
        <f t="shared" si="7"/>
        <v>0</v>
      </c>
      <c r="N95" s="68">
        <f t="shared" si="5"/>
        <v>100</v>
      </c>
      <c r="O95" s="46">
        <v>24.2</v>
      </c>
      <c r="P95" s="47">
        <v>13.3</v>
      </c>
      <c r="Q95" s="47"/>
      <c r="R95" s="48">
        <f t="shared" si="6"/>
        <v>37.5</v>
      </c>
      <c r="S95" s="29">
        <v>5</v>
      </c>
      <c r="T95" s="286"/>
      <c r="U95" s="295"/>
      <c r="V95" s="38" t="s">
        <v>264</v>
      </c>
      <c r="W95" s="29" t="s">
        <v>17</v>
      </c>
      <c r="X95" s="29" t="s">
        <v>18</v>
      </c>
      <c r="Y95" s="39">
        <v>13.3</v>
      </c>
      <c r="Z95" s="38" t="s">
        <v>481</v>
      </c>
      <c r="AA95" s="29" t="s">
        <v>74</v>
      </c>
      <c r="AB95" s="29" t="s">
        <v>11</v>
      </c>
      <c r="AC95" s="29">
        <v>23</v>
      </c>
      <c r="AD95" s="38" t="s">
        <v>404</v>
      </c>
      <c r="AE95" s="29" t="s">
        <v>22</v>
      </c>
      <c r="AF95" s="29" t="s">
        <v>11</v>
      </c>
      <c r="AG95" s="39">
        <v>1.2</v>
      </c>
      <c r="AH95" s="94"/>
      <c r="AL95" s="38"/>
      <c r="AO95" s="39"/>
      <c r="AP95" s="38"/>
      <c r="AS95" s="39"/>
      <c r="AW95" s="39"/>
      <c r="BA95" s="40"/>
    </row>
    <row r="96" spans="1:53" s="29" customFormat="1" x14ac:dyDescent="0.15">
      <c r="A96" s="29">
        <v>2003</v>
      </c>
      <c r="B96" s="295"/>
      <c r="C96" s="411" t="s">
        <v>821</v>
      </c>
      <c r="D96" s="411"/>
      <c r="E96" s="29">
        <v>0</v>
      </c>
      <c r="G96" s="66">
        <v>13</v>
      </c>
      <c r="H96" s="29">
        <v>6</v>
      </c>
      <c r="J96" s="73">
        <v>19</v>
      </c>
      <c r="K96" s="47">
        <f t="shared" si="7"/>
        <v>68.421052631578945</v>
      </c>
      <c r="L96" s="47">
        <f t="shared" si="7"/>
        <v>31.578947368421051</v>
      </c>
      <c r="M96" s="47">
        <f t="shared" si="7"/>
        <v>0</v>
      </c>
      <c r="N96" s="68">
        <f t="shared" si="5"/>
        <v>100</v>
      </c>
      <c r="O96" s="46">
        <v>24.2</v>
      </c>
      <c r="P96" s="47">
        <v>13.3</v>
      </c>
      <c r="Q96" s="47"/>
      <c r="R96" s="48">
        <f t="shared" si="6"/>
        <v>37.5</v>
      </c>
      <c r="S96" s="29">
        <v>5</v>
      </c>
      <c r="T96" s="286"/>
      <c r="U96" s="295"/>
      <c r="V96" s="38" t="s">
        <v>264</v>
      </c>
      <c r="W96" s="29" t="s">
        <v>17</v>
      </c>
      <c r="X96" s="29" t="s">
        <v>18</v>
      </c>
      <c r="Y96" s="39">
        <v>13.3</v>
      </c>
      <c r="Z96" s="38" t="s">
        <v>481</v>
      </c>
      <c r="AA96" s="29" t="s">
        <v>74</v>
      </c>
      <c r="AB96" s="29" t="s">
        <v>11</v>
      </c>
      <c r="AC96" s="29">
        <v>23</v>
      </c>
      <c r="AD96" s="38" t="s">
        <v>404</v>
      </c>
      <c r="AE96" s="29" t="s">
        <v>22</v>
      </c>
      <c r="AF96" s="29" t="s">
        <v>11</v>
      </c>
      <c r="AG96" s="39">
        <v>1.2</v>
      </c>
      <c r="AH96" s="94"/>
      <c r="AL96" s="38"/>
      <c r="AO96" s="39"/>
      <c r="AP96" s="38"/>
      <c r="AS96" s="39"/>
      <c r="AW96" s="39"/>
      <c r="BA96" s="40"/>
    </row>
    <row r="97" spans="1:53" s="29" customFormat="1" x14ac:dyDescent="0.15">
      <c r="A97" s="29">
        <v>2003</v>
      </c>
      <c r="B97" s="295"/>
      <c r="C97" s="411" t="s">
        <v>821</v>
      </c>
      <c r="D97" s="411"/>
      <c r="E97" s="29">
        <f>365-E96</f>
        <v>365</v>
      </c>
      <c r="G97" s="66">
        <v>13</v>
      </c>
      <c r="H97" s="29">
        <v>6</v>
      </c>
      <c r="J97" s="73">
        <v>19</v>
      </c>
      <c r="K97" s="47">
        <f t="shared" si="7"/>
        <v>68.421052631578945</v>
      </c>
      <c r="L97" s="47">
        <f t="shared" si="7"/>
        <v>31.578947368421051</v>
      </c>
      <c r="M97" s="47">
        <f t="shared" si="7"/>
        <v>0</v>
      </c>
      <c r="N97" s="68">
        <f t="shared" si="5"/>
        <v>100</v>
      </c>
      <c r="O97" s="46">
        <v>24.2</v>
      </c>
      <c r="P97" s="47">
        <v>13.3</v>
      </c>
      <c r="Q97" s="47"/>
      <c r="R97" s="48">
        <f t="shared" si="6"/>
        <v>37.5</v>
      </c>
      <c r="S97" s="29">
        <v>5</v>
      </c>
      <c r="T97" s="286"/>
      <c r="U97" s="295"/>
      <c r="V97" s="38" t="s">
        <v>264</v>
      </c>
      <c r="W97" s="29" t="s">
        <v>17</v>
      </c>
      <c r="X97" s="29" t="s">
        <v>18</v>
      </c>
      <c r="Y97" s="39">
        <v>13.3</v>
      </c>
      <c r="Z97" s="38" t="s">
        <v>481</v>
      </c>
      <c r="AA97" s="29" t="s">
        <v>74</v>
      </c>
      <c r="AB97" s="29" t="s">
        <v>11</v>
      </c>
      <c r="AC97" s="29">
        <v>23</v>
      </c>
      <c r="AD97" s="38" t="s">
        <v>404</v>
      </c>
      <c r="AE97" s="29" t="s">
        <v>22</v>
      </c>
      <c r="AF97" s="29" t="s">
        <v>11</v>
      </c>
      <c r="AG97" s="39">
        <v>1.2</v>
      </c>
      <c r="AH97" s="94"/>
      <c r="AL97" s="38"/>
      <c r="AO97" s="39"/>
      <c r="AP97" s="38"/>
      <c r="AS97" s="39"/>
      <c r="AW97" s="39"/>
      <c r="BA97" s="40"/>
    </row>
    <row r="98" spans="1:53" s="29" customFormat="1" x14ac:dyDescent="0.15">
      <c r="A98" s="29">
        <v>2004</v>
      </c>
      <c r="B98" s="295"/>
      <c r="C98" s="411" t="s">
        <v>821</v>
      </c>
      <c r="D98" s="411"/>
      <c r="E98" s="29">
        <v>0</v>
      </c>
      <c r="G98" s="66">
        <v>13</v>
      </c>
      <c r="H98" s="29">
        <v>6</v>
      </c>
      <c r="J98" s="73">
        <v>19</v>
      </c>
      <c r="K98" s="47">
        <f t="shared" si="7"/>
        <v>68.421052631578945</v>
      </c>
      <c r="L98" s="47">
        <f t="shared" si="7"/>
        <v>31.578947368421051</v>
      </c>
      <c r="M98" s="47">
        <f t="shared" si="7"/>
        <v>0</v>
      </c>
      <c r="N98" s="68">
        <f t="shared" si="5"/>
        <v>100</v>
      </c>
      <c r="O98" s="46">
        <v>24.2</v>
      </c>
      <c r="P98" s="47">
        <v>13.3</v>
      </c>
      <c r="Q98" s="47"/>
      <c r="R98" s="48">
        <f t="shared" si="6"/>
        <v>37.5</v>
      </c>
      <c r="S98" s="29">
        <v>5</v>
      </c>
      <c r="T98" s="286"/>
      <c r="U98" s="295"/>
      <c r="V98" s="38" t="s">
        <v>264</v>
      </c>
      <c r="W98" s="29" t="s">
        <v>17</v>
      </c>
      <c r="X98" s="29" t="s">
        <v>18</v>
      </c>
      <c r="Y98" s="39">
        <v>13.3</v>
      </c>
      <c r="Z98" s="38" t="s">
        <v>481</v>
      </c>
      <c r="AA98" s="29" t="s">
        <v>74</v>
      </c>
      <c r="AB98" s="29" t="s">
        <v>11</v>
      </c>
      <c r="AC98" s="29">
        <v>23</v>
      </c>
      <c r="AD98" s="38" t="s">
        <v>404</v>
      </c>
      <c r="AE98" s="29" t="s">
        <v>22</v>
      </c>
      <c r="AF98" s="29" t="s">
        <v>11</v>
      </c>
      <c r="AG98" s="39">
        <v>1.2</v>
      </c>
      <c r="AH98" s="94"/>
      <c r="AL98" s="38"/>
      <c r="AO98" s="39"/>
      <c r="AP98" s="38"/>
      <c r="AS98" s="39"/>
      <c r="AW98" s="39"/>
      <c r="BA98" s="40"/>
    </row>
    <row r="99" spans="1:53" s="29" customFormat="1" x14ac:dyDescent="0.15">
      <c r="A99" s="29">
        <v>2004</v>
      </c>
      <c r="B99" s="295"/>
      <c r="C99" s="411" t="s">
        <v>821</v>
      </c>
      <c r="D99" s="411"/>
      <c r="E99" s="29">
        <v>366</v>
      </c>
      <c r="G99" s="66">
        <v>13</v>
      </c>
      <c r="H99" s="29">
        <v>6</v>
      </c>
      <c r="J99" s="73">
        <v>19</v>
      </c>
      <c r="K99" s="47">
        <f t="shared" si="7"/>
        <v>68.421052631578945</v>
      </c>
      <c r="L99" s="47">
        <f t="shared" si="7"/>
        <v>31.578947368421051</v>
      </c>
      <c r="M99" s="47">
        <f t="shared" si="7"/>
        <v>0</v>
      </c>
      <c r="N99" s="68">
        <f t="shared" si="5"/>
        <v>100</v>
      </c>
      <c r="O99" s="46">
        <v>24.2</v>
      </c>
      <c r="P99" s="47">
        <v>13.3</v>
      </c>
      <c r="Q99" s="47"/>
      <c r="R99" s="48">
        <f t="shared" si="6"/>
        <v>37.5</v>
      </c>
      <c r="S99" s="29">
        <v>5</v>
      </c>
      <c r="T99" s="286"/>
      <c r="U99" s="295"/>
      <c r="V99" s="38" t="s">
        <v>264</v>
      </c>
      <c r="W99" s="29" t="s">
        <v>17</v>
      </c>
      <c r="X99" s="29" t="s">
        <v>18</v>
      </c>
      <c r="Y99" s="39">
        <v>13.3</v>
      </c>
      <c r="Z99" s="38" t="s">
        <v>481</v>
      </c>
      <c r="AA99" s="29" t="s">
        <v>74</v>
      </c>
      <c r="AB99" s="29" t="s">
        <v>11</v>
      </c>
      <c r="AC99" s="29">
        <v>23</v>
      </c>
      <c r="AD99" s="38" t="s">
        <v>404</v>
      </c>
      <c r="AE99" s="29" t="s">
        <v>22</v>
      </c>
      <c r="AF99" s="29" t="s">
        <v>11</v>
      </c>
      <c r="AG99" s="39">
        <v>1.2</v>
      </c>
      <c r="AH99" s="94"/>
      <c r="AL99" s="38"/>
      <c r="AO99" s="39"/>
      <c r="AP99" s="38"/>
      <c r="AS99" s="39"/>
      <c r="AW99" s="39"/>
      <c r="BA99" s="40"/>
    </row>
    <row r="100" spans="1:53" s="29" customFormat="1" x14ac:dyDescent="0.15">
      <c r="A100" s="29">
        <v>2005</v>
      </c>
      <c r="B100" s="295"/>
      <c r="C100" s="411" t="s">
        <v>821</v>
      </c>
      <c r="D100" s="411"/>
      <c r="E100" s="29">
        <f>365-E101</f>
        <v>289</v>
      </c>
      <c r="G100" s="66">
        <v>13</v>
      </c>
      <c r="H100" s="29">
        <v>6</v>
      </c>
      <c r="J100" s="73">
        <v>19</v>
      </c>
      <c r="K100" s="47">
        <f t="shared" si="7"/>
        <v>68.421052631578945</v>
      </c>
      <c r="L100" s="47">
        <f t="shared" si="7"/>
        <v>31.578947368421051</v>
      </c>
      <c r="M100" s="47">
        <f t="shared" si="7"/>
        <v>0</v>
      </c>
      <c r="N100" s="68">
        <f t="shared" si="5"/>
        <v>100</v>
      </c>
      <c r="O100" s="46">
        <v>24.2</v>
      </c>
      <c r="P100" s="47">
        <v>13.3</v>
      </c>
      <c r="Q100" s="47"/>
      <c r="R100" s="48">
        <f t="shared" si="6"/>
        <v>37.5</v>
      </c>
      <c r="S100" s="29">
        <v>5</v>
      </c>
      <c r="T100" s="286"/>
      <c r="U100" s="295"/>
      <c r="V100" s="38" t="s">
        <v>264</v>
      </c>
      <c r="W100" s="29" t="s">
        <v>17</v>
      </c>
      <c r="X100" s="29" t="s">
        <v>18</v>
      </c>
      <c r="Y100" s="39">
        <v>13.3</v>
      </c>
      <c r="Z100" s="38" t="s">
        <v>481</v>
      </c>
      <c r="AA100" s="29" t="s">
        <v>74</v>
      </c>
      <c r="AB100" s="29" t="s">
        <v>11</v>
      </c>
      <c r="AC100" s="29">
        <v>23</v>
      </c>
      <c r="AD100" s="38" t="s">
        <v>404</v>
      </c>
      <c r="AE100" s="29" t="s">
        <v>22</v>
      </c>
      <c r="AF100" s="29" t="s">
        <v>11</v>
      </c>
      <c r="AG100" s="39">
        <v>1.2</v>
      </c>
      <c r="AH100" s="94"/>
      <c r="AL100" s="38"/>
      <c r="AO100" s="39"/>
      <c r="AP100" s="38"/>
      <c r="AS100" s="39"/>
      <c r="AW100" s="39"/>
      <c r="BA100" s="40"/>
    </row>
    <row r="101" spans="1:53" s="171" customFormat="1" x14ac:dyDescent="0.15">
      <c r="A101" s="171">
        <v>2005</v>
      </c>
      <c r="B101" s="283">
        <v>38642</v>
      </c>
      <c r="C101" s="410" t="s">
        <v>819</v>
      </c>
      <c r="D101" s="410"/>
      <c r="E101" s="171">
        <v>76</v>
      </c>
      <c r="F101" s="171">
        <v>1</v>
      </c>
      <c r="G101" s="233"/>
      <c r="H101" s="171">
        <v>4</v>
      </c>
      <c r="I101" s="171">
        <v>15</v>
      </c>
      <c r="J101" s="241">
        <v>19</v>
      </c>
      <c r="K101" s="214">
        <f t="shared" si="7"/>
        <v>0</v>
      </c>
      <c r="L101" s="214">
        <f t="shared" si="7"/>
        <v>21.052631578947366</v>
      </c>
      <c r="M101" s="214">
        <f t="shared" si="7"/>
        <v>78.94736842105263</v>
      </c>
      <c r="N101" s="235">
        <f t="shared" si="5"/>
        <v>100</v>
      </c>
      <c r="O101" s="213"/>
      <c r="P101" s="214">
        <v>6.5</v>
      </c>
      <c r="Q101" s="214">
        <v>45</v>
      </c>
      <c r="R101" s="215">
        <f t="shared" si="6"/>
        <v>51.5</v>
      </c>
      <c r="S101" s="171">
        <v>2</v>
      </c>
      <c r="T101" s="285">
        <v>38607</v>
      </c>
      <c r="U101" s="283">
        <v>38642</v>
      </c>
      <c r="V101" s="178" t="s">
        <v>480</v>
      </c>
      <c r="W101" s="171" t="s">
        <v>20</v>
      </c>
      <c r="X101" s="171" t="s">
        <v>12</v>
      </c>
      <c r="Y101" s="179">
        <v>36.1</v>
      </c>
      <c r="Z101" s="178" t="s">
        <v>83</v>
      </c>
      <c r="AA101" s="171" t="s">
        <v>869</v>
      </c>
      <c r="AB101" s="171" t="s">
        <v>18</v>
      </c>
      <c r="AC101" s="171">
        <v>6.5</v>
      </c>
      <c r="AD101" s="178" t="s">
        <v>482</v>
      </c>
      <c r="AE101" s="171" t="s">
        <v>115</v>
      </c>
      <c r="AF101" s="171" t="s">
        <v>12</v>
      </c>
      <c r="AG101" s="179">
        <v>8.9</v>
      </c>
      <c r="AH101" s="253"/>
      <c r="AL101" s="178"/>
      <c r="AO101" s="179"/>
      <c r="AP101" s="178"/>
      <c r="AS101" s="179"/>
      <c r="AW101" s="179"/>
      <c r="BA101" s="180"/>
    </row>
    <row r="102" spans="1:53" s="171" customFormat="1" x14ac:dyDescent="0.15">
      <c r="A102" s="171">
        <v>2006</v>
      </c>
      <c r="B102" s="283"/>
      <c r="C102" s="410" t="s">
        <v>819</v>
      </c>
      <c r="D102" s="410"/>
      <c r="E102" s="171">
        <v>0</v>
      </c>
      <c r="G102" s="233"/>
      <c r="H102" s="171">
        <v>4</v>
      </c>
      <c r="I102" s="171">
        <v>15</v>
      </c>
      <c r="J102" s="241">
        <v>19</v>
      </c>
      <c r="K102" s="214">
        <f t="shared" si="7"/>
        <v>0</v>
      </c>
      <c r="L102" s="214">
        <f t="shared" si="7"/>
        <v>21.052631578947366</v>
      </c>
      <c r="M102" s="214">
        <f t="shared" si="7"/>
        <v>78.94736842105263</v>
      </c>
      <c r="N102" s="235">
        <f t="shared" si="5"/>
        <v>100</v>
      </c>
      <c r="O102" s="213"/>
      <c r="P102" s="214">
        <v>6.5</v>
      </c>
      <c r="Q102" s="214">
        <v>45</v>
      </c>
      <c r="R102" s="215">
        <f t="shared" si="6"/>
        <v>51.5</v>
      </c>
      <c r="S102" s="171">
        <v>2</v>
      </c>
      <c r="T102" s="285"/>
      <c r="U102" s="283"/>
      <c r="V102" s="178" t="s">
        <v>480</v>
      </c>
      <c r="W102" s="171" t="s">
        <v>20</v>
      </c>
      <c r="X102" s="171" t="s">
        <v>12</v>
      </c>
      <c r="Y102" s="179">
        <v>36.1</v>
      </c>
      <c r="Z102" s="178" t="s">
        <v>83</v>
      </c>
      <c r="AA102" s="171" t="s">
        <v>869</v>
      </c>
      <c r="AB102" s="171" t="s">
        <v>18</v>
      </c>
      <c r="AC102" s="171">
        <v>6.5</v>
      </c>
      <c r="AD102" s="178" t="s">
        <v>482</v>
      </c>
      <c r="AE102" s="171" t="s">
        <v>115</v>
      </c>
      <c r="AF102" s="171" t="s">
        <v>12</v>
      </c>
      <c r="AG102" s="179">
        <v>8.9</v>
      </c>
      <c r="AH102" s="253"/>
      <c r="AL102" s="178"/>
      <c r="AO102" s="179"/>
      <c r="AP102" s="178"/>
      <c r="AS102" s="179"/>
      <c r="AW102" s="179"/>
      <c r="BA102" s="180"/>
    </row>
    <row r="103" spans="1:53" s="171" customFormat="1" x14ac:dyDescent="0.15">
      <c r="A103" s="171">
        <v>2006</v>
      </c>
      <c r="B103" s="283"/>
      <c r="C103" s="410" t="s">
        <v>819</v>
      </c>
      <c r="D103" s="410"/>
      <c r="E103" s="171">
        <v>365</v>
      </c>
      <c r="G103" s="233"/>
      <c r="H103" s="171">
        <v>4</v>
      </c>
      <c r="I103" s="171">
        <v>15</v>
      </c>
      <c r="J103" s="241">
        <v>19</v>
      </c>
      <c r="K103" s="214">
        <f t="shared" si="7"/>
        <v>0</v>
      </c>
      <c r="L103" s="214">
        <f t="shared" si="7"/>
        <v>21.052631578947366</v>
      </c>
      <c r="M103" s="214">
        <f t="shared" si="7"/>
        <v>78.94736842105263</v>
      </c>
      <c r="N103" s="235">
        <f t="shared" si="5"/>
        <v>100</v>
      </c>
      <c r="O103" s="213"/>
      <c r="P103" s="214">
        <v>6.5</v>
      </c>
      <c r="Q103" s="214">
        <v>45</v>
      </c>
      <c r="R103" s="215">
        <f t="shared" si="6"/>
        <v>51.5</v>
      </c>
      <c r="S103" s="171">
        <v>2</v>
      </c>
      <c r="T103" s="285"/>
      <c r="U103" s="283"/>
      <c r="V103" s="178" t="s">
        <v>480</v>
      </c>
      <c r="W103" s="171" t="s">
        <v>20</v>
      </c>
      <c r="X103" s="171" t="s">
        <v>12</v>
      </c>
      <c r="Y103" s="179">
        <v>36.1</v>
      </c>
      <c r="Z103" s="178" t="s">
        <v>83</v>
      </c>
      <c r="AA103" s="171" t="s">
        <v>869</v>
      </c>
      <c r="AB103" s="171" t="s">
        <v>18</v>
      </c>
      <c r="AC103" s="171">
        <v>6.5</v>
      </c>
      <c r="AD103" s="178" t="s">
        <v>482</v>
      </c>
      <c r="AE103" s="171" t="s">
        <v>115</v>
      </c>
      <c r="AF103" s="171" t="s">
        <v>12</v>
      </c>
      <c r="AG103" s="179">
        <v>8.9</v>
      </c>
      <c r="AH103" s="253"/>
      <c r="AL103" s="178"/>
      <c r="AO103" s="179"/>
      <c r="AP103" s="178"/>
      <c r="AS103" s="179"/>
      <c r="AW103" s="179"/>
      <c r="BA103" s="180"/>
    </row>
    <row r="104" spans="1:53" s="171" customFormat="1" x14ac:dyDescent="0.15">
      <c r="A104" s="171">
        <v>2007</v>
      </c>
      <c r="B104" s="283"/>
      <c r="C104" s="410" t="s">
        <v>819</v>
      </c>
      <c r="D104" s="410"/>
      <c r="E104" s="171">
        <v>0</v>
      </c>
      <c r="G104" s="233"/>
      <c r="H104" s="171">
        <v>4</v>
      </c>
      <c r="I104" s="171">
        <v>15</v>
      </c>
      <c r="J104" s="241">
        <v>19</v>
      </c>
      <c r="K104" s="214">
        <f t="shared" si="7"/>
        <v>0</v>
      </c>
      <c r="L104" s="214">
        <f t="shared" si="7"/>
        <v>21.052631578947366</v>
      </c>
      <c r="M104" s="214">
        <f t="shared" si="7"/>
        <v>78.94736842105263</v>
      </c>
      <c r="N104" s="235">
        <f t="shared" si="5"/>
        <v>100</v>
      </c>
      <c r="O104" s="213"/>
      <c r="P104" s="214">
        <v>6.5</v>
      </c>
      <c r="Q104" s="214">
        <v>45</v>
      </c>
      <c r="R104" s="215">
        <f t="shared" si="6"/>
        <v>51.5</v>
      </c>
      <c r="S104" s="171">
        <v>2</v>
      </c>
      <c r="T104" s="285"/>
      <c r="U104" s="283"/>
      <c r="V104" s="178" t="s">
        <v>480</v>
      </c>
      <c r="W104" s="171" t="s">
        <v>20</v>
      </c>
      <c r="X104" s="171" t="s">
        <v>12</v>
      </c>
      <c r="Y104" s="179">
        <v>36.1</v>
      </c>
      <c r="Z104" s="178" t="s">
        <v>83</v>
      </c>
      <c r="AA104" s="171" t="s">
        <v>869</v>
      </c>
      <c r="AB104" s="171" t="s">
        <v>18</v>
      </c>
      <c r="AC104" s="171">
        <v>6.5</v>
      </c>
      <c r="AD104" s="178" t="s">
        <v>482</v>
      </c>
      <c r="AE104" s="171" t="s">
        <v>115</v>
      </c>
      <c r="AF104" s="171" t="s">
        <v>12</v>
      </c>
      <c r="AG104" s="179">
        <v>8.9</v>
      </c>
      <c r="AH104" s="253"/>
      <c r="AL104" s="178"/>
      <c r="AO104" s="179"/>
      <c r="AP104" s="178"/>
      <c r="AS104" s="179"/>
      <c r="AW104" s="179"/>
      <c r="BA104" s="180"/>
    </row>
    <row r="105" spans="1:53" s="171" customFormat="1" x14ac:dyDescent="0.15">
      <c r="A105" s="171">
        <v>2007</v>
      </c>
      <c r="B105" s="283"/>
      <c r="C105" s="410" t="s">
        <v>819</v>
      </c>
      <c r="D105" s="410"/>
      <c r="E105" s="171">
        <v>365</v>
      </c>
      <c r="G105" s="233"/>
      <c r="H105" s="171">
        <v>4</v>
      </c>
      <c r="I105" s="171">
        <v>15</v>
      </c>
      <c r="J105" s="241">
        <v>19</v>
      </c>
      <c r="K105" s="214">
        <f t="shared" si="7"/>
        <v>0</v>
      </c>
      <c r="L105" s="214">
        <f t="shared" si="7"/>
        <v>21.052631578947366</v>
      </c>
      <c r="M105" s="214">
        <f t="shared" si="7"/>
        <v>78.94736842105263</v>
      </c>
      <c r="N105" s="235">
        <f t="shared" si="5"/>
        <v>100</v>
      </c>
      <c r="O105" s="213"/>
      <c r="P105" s="214">
        <v>6.5</v>
      </c>
      <c r="Q105" s="214">
        <v>45</v>
      </c>
      <c r="R105" s="215">
        <f t="shared" si="6"/>
        <v>51.5</v>
      </c>
      <c r="S105" s="171">
        <v>2</v>
      </c>
      <c r="T105" s="285"/>
      <c r="U105" s="283"/>
      <c r="V105" s="178" t="s">
        <v>480</v>
      </c>
      <c r="W105" s="171" t="s">
        <v>20</v>
      </c>
      <c r="X105" s="171" t="s">
        <v>12</v>
      </c>
      <c r="Y105" s="179">
        <v>36.1</v>
      </c>
      <c r="Z105" s="178" t="s">
        <v>83</v>
      </c>
      <c r="AA105" s="171" t="s">
        <v>869</v>
      </c>
      <c r="AB105" s="171" t="s">
        <v>18</v>
      </c>
      <c r="AC105" s="171">
        <v>6.5</v>
      </c>
      <c r="AD105" s="178" t="s">
        <v>482</v>
      </c>
      <c r="AE105" s="171" t="s">
        <v>115</v>
      </c>
      <c r="AF105" s="171" t="s">
        <v>12</v>
      </c>
      <c r="AG105" s="179">
        <v>8.9</v>
      </c>
      <c r="AH105" s="253"/>
      <c r="AL105" s="178"/>
      <c r="AO105" s="179"/>
      <c r="AP105" s="178"/>
      <c r="AS105" s="179"/>
      <c r="AW105" s="179"/>
      <c r="BA105" s="180"/>
    </row>
    <row r="106" spans="1:53" s="171" customFormat="1" x14ac:dyDescent="0.15">
      <c r="A106" s="171">
        <v>2008</v>
      </c>
      <c r="B106" s="283"/>
      <c r="C106" s="410" t="s">
        <v>819</v>
      </c>
      <c r="D106" s="410"/>
      <c r="E106" s="171">
        <v>0</v>
      </c>
      <c r="G106" s="233"/>
      <c r="H106" s="171">
        <v>4</v>
      </c>
      <c r="I106" s="171">
        <v>15</v>
      </c>
      <c r="J106" s="241">
        <v>19</v>
      </c>
      <c r="K106" s="214">
        <f t="shared" si="7"/>
        <v>0</v>
      </c>
      <c r="L106" s="214">
        <f t="shared" si="7"/>
        <v>21.052631578947366</v>
      </c>
      <c r="M106" s="214">
        <f t="shared" si="7"/>
        <v>78.94736842105263</v>
      </c>
      <c r="N106" s="235">
        <f t="shared" si="5"/>
        <v>100</v>
      </c>
      <c r="O106" s="213"/>
      <c r="P106" s="214">
        <v>6.5</v>
      </c>
      <c r="Q106" s="214">
        <v>45</v>
      </c>
      <c r="R106" s="215">
        <f t="shared" si="6"/>
        <v>51.5</v>
      </c>
      <c r="S106" s="171">
        <v>2</v>
      </c>
      <c r="T106" s="285"/>
      <c r="U106" s="283"/>
      <c r="V106" s="178" t="s">
        <v>480</v>
      </c>
      <c r="W106" s="171" t="s">
        <v>20</v>
      </c>
      <c r="X106" s="171" t="s">
        <v>12</v>
      </c>
      <c r="Y106" s="179">
        <v>36.1</v>
      </c>
      <c r="Z106" s="178" t="s">
        <v>83</v>
      </c>
      <c r="AA106" s="171" t="s">
        <v>869</v>
      </c>
      <c r="AB106" s="171" t="s">
        <v>18</v>
      </c>
      <c r="AC106" s="171">
        <v>6.5</v>
      </c>
      <c r="AD106" s="178" t="s">
        <v>482</v>
      </c>
      <c r="AE106" s="171" t="s">
        <v>115</v>
      </c>
      <c r="AF106" s="171" t="s">
        <v>12</v>
      </c>
      <c r="AG106" s="179">
        <v>8.9</v>
      </c>
      <c r="AH106" s="253"/>
      <c r="AL106" s="178"/>
      <c r="AO106" s="179"/>
      <c r="AP106" s="178"/>
      <c r="AS106" s="179"/>
      <c r="AW106" s="179"/>
      <c r="BA106" s="180"/>
    </row>
    <row r="107" spans="1:53" s="171" customFormat="1" x14ac:dyDescent="0.15">
      <c r="A107" s="171">
        <v>2008</v>
      </c>
      <c r="B107" s="283"/>
      <c r="C107" s="410" t="s">
        <v>819</v>
      </c>
      <c r="D107" s="410"/>
      <c r="E107" s="171">
        <v>366</v>
      </c>
      <c r="G107" s="233"/>
      <c r="H107" s="171">
        <v>4</v>
      </c>
      <c r="I107" s="171">
        <v>15</v>
      </c>
      <c r="J107" s="241">
        <v>19</v>
      </c>
      <c r="K107" s="214">
        <f t="shared" si="7"/>
        <v>0</v>
      </c>
      <c r="L107" s="214">
        <f t="shared" si="7"/>
        <v>21.052631578947366</v>
      </c>
      <c r="M107" s="214">
        <f t="shared" si="7"/>
        <v>78.94736842105263</v>
      </c>
      <c r="N107" s="235">
        <f t="shared" si="5"/>
        <v>100</v>
      </c>
      <c r="O107" s="213"/>
      <c r="P107" s="214">
        <v>6.5</v>
      </c>
      <c r="Q107" s="214">
        <v>45</v>
      </c>
      <c r="R107" s="215">
        <f t="shared" si="6"/>
        <v>51.5</v>
      </c>
      <c r="S107" s="171">
        <v>2</v>
      </c>
      <c r="T107" s="285"/>
      <c r="U107" s="283"/>
      <c r="V107" s="178" t="s">
        <v>480</v>
      </c>
      <c r="W107" s="171" t="s">
        <v>20</v>
      </c>
      <c r="X107" s="171" t="s">
        <v>12</v>
      </c>
      <c r="Y107" s="179">
        <v>36.1</v>
      </c>
      <c r="Z107" s="178" t="s">
        <v>83</v>
      </c>
      <c r="AA107" s="171" t="s">
        <v>869</v>
      </c>
      <c r="AB107" s="171" t="s">
        <v>18</v>
      </c>
      <c r="AC107" s="171">
        <v>6.5</v>
      </c>
      <c r="AD107" s="178" t="s">
        <v>482</v>
      </c>
      <c r="AE107" s="171" t="s">
        <v>115</v>
      </c>
      <c r="AF107" s="171" t="s">
        <v>12</v>
      </c>
      <c r="AG107" s="179">
        <v>8.9</v>
      </c>
      <c r="AH107" s="253"/>
      <c r="AL107" s="178"/>
      <c r="AO107" s="179"/>
      <c r="AP107" s="178"/>
      <c r="AS107" s="179"/>
      <c r="AW107" s="179"/>
      <c r="BA107" s="180"/>
    </row>
    <row r="108" spans="1:53" s="171" customFormat="1" x14ac:dyDescent="0.15">
      <c r="A108" s="171">
        <v>2009</v>
      </c>
      <c r="B108" s="283"/>
      <c r="C108" s="410" t="s">
        <v>819</v>
      </c>
      <c r="D108" s="410"/>
      <c r="E108" s="171">
        <v>292</v>
      </c>
      <c r="G108" s="233"/>
      <c r="H108" s="171">
        <v>4</v>
      </c>
      <c r="I108" s="171">
        <v>15</v>
      </c>
      <c r="J108" s="241">
        <v>19</v>
      </c>
      <c r="K108" s="214">
        <f t="shared" si="7"/>
        <v>0</v>
      </c>
      <c r="L108" s="214">
        <f t="shared" si="7"/>
        <v>21.052631578947366</v>
      </c>
      <c r="M108" s="214">
        <f t="shared" si="7"/>
        <v>78.94736842105263</v>
      </c>
      <c r="N108" s="235">
        <f t="shared" si="5"/>
        <v>100</v>
      </c>
      <c r="O108" s="213"/>
      <c r="P108" s="214">
        <v>6.5</v>
      </c>
      <c r="Q108" s="214">
        <v>45</v>
      </c>
      <c r="R108" s="215">
        <f t="shared" si="6"/>
        <v>51.5</v>
      </c>
      <c r="S108" s="171">
        <v>2</v>
      </c>
      <c r="T108" s="285"/>
      <c r="U108" s="283"/>
      <c r="V108" s="178" t="s">
        <v>480</v>
      </c>
      <c r="W108" s="171" t="s">
        <v>20</v>
      </c>
      <c r="X108" s="171" t="s">
        <v>12</v>
      </c>
      <c r="Y108" s="179">
        <v>36.1</v>
      </c>
      <c r="Z108" s="178" t="s">
        <v>83</v>
      </c>
      <c r="AA108" s="171" t="s">
        <v>869</v>
      </c>
      <c r="AB108" s="171" t="s">
        <v>18</v>
      </c>
      <c r="AC108" s="171">
        <v>6.5</v>
      </c>
      <c r="AD108" s="178" t="s">
        <v>482</v>
      </c>
      <c r="AE108" s="171" t="s">
        <v>115</v>
      </c>
      <c r="AF108" s="171" t="s">
        <v>12</v>
      </c>
      <c r="AG108" s="179">
        <v>8.9</v>
      </c>
      <c r="AH108" s="253"/>
      <c r="AL108" s="178"/>
      <c r="AO108" s="179"/>
      <c r="AP108" s="178"/>
      <c r="AS108" s="179"/>
      <c r="AW108" s="179"/>
      <c r="BA108" s="180"/>
    </row>
    <row r="109" spans="1:53" s="29" customFormat="1" x14ac:dyDescent="0.15">
      <c r="A109" s="29">
        <v>2009</v>
      </c>
      <c r="B109" s="295">
        <v>40106</v>
      </c>
      <c r="C109" s="411" t="s">
        <v>820</v>
      </c>
      <c r="D109" s="411"/>
      <c r="E109" s="29">
        <v>73</v>
      </c>
      <c r="F109" s="29">
        <v>1</v>
      </c>
      <c r="G109" s="66"/>
      <c r="H109" s="29">
        <v>4</v>
      </c>
      <c r="I109" s="29">
        <v>16</v>
      </c>
      <c r="J109" s="73">
        <v>20</v>
      </c>
      <c r="K109" s="47">
        <f t="shared" si="7"/>
        <v>0</v>
      </c>
      <c r="L109" s="47">
        <f t="shared" si="7"/>
        <v>20</v>
      </c>
      <c r="M109" s="47">
        <f t="shared" si="7"/>
        <v>80</v>
      </c>
      <c r="N109" s="68">
        <f t="shared" si="5"/>
        <v>100</v>
      </c>
      <c r="O109" s="46"/>
      <c r="P109" s="47">
        <v>6.5</v>
      </c>
      <c r="Q109" s="47">
        <v>44.4</v>
      </c>
      <c r="R109" s="48">
        <f t="shared" si="6"/>
        <v>50.9</v>
      </c>
      <c r="S109" s="29">
        <v>2</v>
      </c>
      <c r="T109" s="286">
        <v>40070</v>
      </c>
      <c r="U109" s="295">
        <v>40106</v>
      </c>
      <c r="V109" s="38" t="s">
        <v>480</v>
      </c>
      <c r="W109" s="29" t="s">
        <v>20</v>
      </c>
      <c r="X109" s="29" t="s">
        <v>12</v>
      </c>
      <c r="Y109" s="39">
        <v>37.9</v>
      </c>
      <c r="Z109" s="38" t="s">
        <v>83</v>
      </c>
      <c r="AA109" s="29" t="s">
        <v>869</v>
      </c>
      <c r="AB109" s="29" t="s">
        <v>18</v>
      </c>
      <c r="AC109" s="29">
        <v>6.5</v>
      </c>
      <c r="AD109" s="38" t="s">
        <v>482</v>
      </c>
      <c r="AE109" s="29" t="s">
        <v>115</v>
      </c>
      <c r="AF109" s="29" t="s">
        <v>12</v>
      </c>
      <c r="AG109" s="39">
        <v>6.5</v>
      </c>
      <c r="AH109" s="94"/>
      <c r="AL109" s="38"/>
      <c r="AO109" s="39"/>
      <c r="AP109" s="38"/>
      <c r="AS109" s="39"/>
      <c r="AW109" s="39"/>
      <c r="BA109" s="40"/>
    </row>
    <row r="110" spans="1:53" s="29" customFormat="1" x14ac:dyDescent="0.15">
      <c r="A110" s="29">
        <v>2010</v>
      </c>
      <c r="B110" s="295"/>
      <c r="C110" s="411" t="s">
        <v>820</v>
      </c>
      <c r="D110" s="411"/>
      <c r="E110" s="29">
        <v>0</v>
      </c>
      <c r="G110" s="66"/>
      <c r="H110" s="29">
        <v>4</v>
      </c>
      <c r="I110" s="29">
        <v>16</v>
      </c>
      <c r="J110" s="73">
        <v>20</v>
      </c>
      <c r="K110" s="47">
        <f t="shared" si="7"/>
        <v>0</v>
      </c>
      <c r="L110" s="47">
        <f t="shared" si="7"/>
        <v>20</v>
      </c>
      <c r="M110" s="47">
        <f t="shared" si="7"/>
        <v>80</v>
      </c>
      <c r="N110" s="68">
        <f t="shared" si="5"/>
        <v>100</v>
      </c>
      <c r="O110" s="46"/>
      <c r="P110" s="47">
        <v>6.5</v>
      </c>
      <c r="Q110" s="47">
        <v>44.4</v>
      </c>
      <c r="R110" s="48">
        <f t="shared" si="6"/>
        <v>50.9</v>
      </c>
      <c r="S110" s="29">
        <v>2</v>
      </c>
      <c r="T110" s="286"/>
      <c r="U110" s="295"/>
      <c r="V110" s="38" t="s">
        <v>480</v>
      </c>
      <c r="W110" s="29" t="s">
        <v>20</v>
      </c>
      <c r="X110" s="29" t="s">
        <v>12</v>
      </c>
      <c r="Y110" s="39">
        <v>37.9</v>
      </c>
      <c r="Z110" s="38" t="s">
        <v>83</v>
      </c>
      <c r="AA110" s="29" t="s">
        <v>869</v>
      </c>
      <c r="AB110" s="29" t="s">
        <v>18</v>
      </c>
      <c r="AC110" s="29">
        <v>6.5</v>
      </c>
      <c r="AD110" s="38" t="s">
        <v>482</v>
      </c>
      <c r="AE110" s="29" t="s">
        <v>115</v>
      </c>
      <c r="AF110" s="29" t="s">
        <v>12</v>
      </c>
      <c r="AG110" s="39">
        <v>6.5</v>
      </c>
      <c r="AH110" s="94"/>
      <c r="AL110" s="38"/>
      <c r="AO110" s="39"/>
      <c r="AP110" s="38"/>
      <c r="AS110" s="39"/>
      <c r="AW110" s="39"/>
      <c r="BA110" s="40"/>
    </row>
    <row r="111" spans="1:53" s="29" customFormat="1" x14ac:dyDescent="0.15">
      <c r="A111" s="29">
        <v>2010</v>
      </c>
      <c r="B111" s="295"/>
      <c r="C111" s="411" t="s">
        <v>820</v>
      </c>
      <c r="D111" s="411"/>
      <c r="E111" s="29">
        <v>365</v>
      </c>
      <c r="G111" s="66"/>
      <c r="H111" s="29">
        <v>4</v>
      </c>
      <c r="I111" s="29">
        <v>16</v>
      </c>
      <c r="J111" s="73">
        <v>20</v>
      </c>
      <c r="K111" s="47">
        <f t="shared" si="7"/>
        <v>0</v>
      </c>
      <c r="L111" s="47">
        <f t="shared" si="7"/>
        <v>20</v>
      </c>
      <c r="M111" s="47">
        <f t="shared" si="7"/>
        <v>80</v>
      </c>
      <c r="N111" s="68">
        <f t="shared" si="5"/>
        <v>100</v>
      </c>
      <c r="O111" s="46"/>
      <c r="P111" s="47">
        <v>6.5</v>
      </c>
      <c r="Q111" s="47">
        <v>44.4</v>
      </c>
      <c r="R111" s="48">
        <f t="shared" si="6"/>
        <v>50.9</v>
      </c>
      <c r="S111" s="29">
        <v>2</v>
      </c>
      <c r="T111" s="286"/>
      <c r="U111" s="295"/>
      <c r="V111" s="38" t="s">
        <v>480</v>
      </c>
      <c r="W111" s="29" t="s">
        <v>20</v>
      </c>
      <c r="X111" s="29" t="s">
        <v>12</v>
      </c>
      <c r="Y111" s="39">
        <v>37.9</v>
      </c>
      <c r="Z111" s="38" t="s">
        <v>83</v>
      </c>
      <c r="AA111" s="29" t="s">
        <v>869</v>
      </c>
      <c r="AB111" s="29" t="s">
        <v>18</v>
      </c>
      <c r="AC111" s="29">
        <v>6.5</v>
      </c>
      <c r="AD111" s="38" t="s">
        <v>482</v>
      </c>
      <c r="AE111" s="29" t="s">
        <v>115</v>
      </c>
      <c r="AF111" s="29" t="s">
        <v>12</v>
      </c>
      <c r="AG111" s="39">
        <v>6.5</v>
      </c>
      <c r="AH111" s="94"/>
      <c r="AL111" s="38"/>
      <c r="AO111" s="39"/>
      <c r="AP111" s="38"/>
      <c r="AS111" s="39"/>
      <c r="AW111" s="39"/>
      <c r="BA111" s="40"/>
    </row>
    <row r="112" spans="1:53" s="29" customFormat="1" x14ac:dyDescent="0.15">
      <c r="A112" s="29">
        <v>2011</v>
      </c>
      <c r="B112" s="295"/>
      <c r="C112" s="411" t="s">
        <v>820</v>
      </c>
      <c r="D112" s="411"/>
      <c r="E112" s="29">
        <v>0</v>
      </c>
      <c r="G112" s="66"/>
      <c r="H112" s="29">
        <v>4</v>
      </c>
      <c r="I112" s="29">
        <v>16</v>
      </c>
      <c r="J112" s="73">
        <v>20</v>
      </c>
      <c r="K112" s="47">
        <f t="shared" si="7"/>
        <v>0</v>
      </c>
      <c r="L112" s="47">
        <f t="shared" si="7"/>
        <v>20</v>
      </c>
      <c r="M112" s="47">
        <f t="shared" si="7"/>
        <v>80</v>
      </c>
      <c r="N112" s="68">
        <f t="shared" si="5"/>
        <v>100</v>
      </c>
      <c r="O112" s="46"/>
      <c r="P112" s="47">
        <v>6.5</v>
      </c>
      <c r="Q112" s="47">
        <v>44.4</v>
      </c>
      <c r="R112" s="48">
        <f t="shared" si="6"/>
        <v>50.9</v>
      </c>
      <c r="S112" s="29">
        <v>2</v>
      </c>
      <c r="T112" s="286"/>
      <c r="U112" s="295"/>
      <c r="V112" s="38" t="s">
        <v>480</v>
      </c>
      <c r="W112" s="29" t="s">
        <v>20</v>
      </c>
      <c r="X112" s="29" t="s">
        <v>12</v>
      </c>
      <c r="Y112" s="39">
        <v>37.9</v>
      </c>
      <c r="Z112" s="38" t="s">
        <v>83</v>
      </c>
      <c r="AA112" s="29" t="s">
        <v>869</v>
      </c>
      <c r="AB112" s="29" t="s">
        <v>18</v>
      </c>
      <c r="AC112" s="29">
        <v>6.5</v>
      </c>
      <c r="AD112" s="38" t="s">
        <v>482</v>
      </c>
      <c r="AE112" s="29" t="s">
        <v>115</v>
      </c>
      <c r="AF112" s="29" t="s">
        <v>12</v>
      </c>
      <c r="AG112" s="39">
        <v>6.5</v>
      </c>
      <c r="AH112" s="94"/>
      <c r="AL112" s="38"/>
      <c r="AO112" s="39"/>
      <c r="AP112" s="38"/>
      <c r="AS112" s="39"/>
      <c r="AW112" s="39"/>
      <c r="BA112" s="40"/>
    </row>
    <row r="113" spans="1:53" s="29" customFormat="1" x14ac:dyDescent="0.15">
      <c r="A113" s="29">
        <v>2011</v>
      </c>
      <c r="B113" s="295"/>
      <c r="C113" s="411" t="s">
        <v>820</v>
      </c>
      <c r="D113" s="411"/>
      <c r="E113" s="29">
        <v>365</v>
      </c>
      <c r="G113" s="66"/>
      <c r="H113" s="29">
        <v>4</v>
      </c>
      <c r="I113" s="29">
        <v>16</v>
      </c>
      <c r="J113" s="73">
        <v>20</v>
      </c>
      <c r="K113" s="47">
        <f t="shared" si="7"/>
        <v>0</v>
      </c>
      <c r="L113" s="47">
        <f t="shared" si="7"/>
        <v>20</v>
      </c>
      <c r="M113" s="47">
        <f t="shared" si="7"/>
        <v>80</v>
      </c>
      <c r="N113" s="68">
        <f t="shared" si="5"/>
        <v>100</v>
      </c>
      <c r="O113" s="46"/>
      <c r="P113" s="47">
        <v>6.5</v>
      </c>
      <c r="Q113" s="47">
        <v>44.4</v>
      </c>
      <c r="R113" s="48">
        <f t="shared" si="6"/>
        <v>50.9</v>
      </c>
      <c r="S113" s="29">
        <v>2</v>
      </c>
      <c r="T113" s="286"/>
      <c r="U113" s="295"/>
      <c r="V113" s="38" t="s">
        <v>480</v>
      </c>
      <c r="W113" s="29" t="s">
        <v>20</v>
      </c>
      <c r="X113" s="29" t="s">
        <v>12</v>
      </c>
      <c r="Y113" s="39">
        <v>37.9</v>
      </c>
      <c r="Z113" s="38" t="s">
        <v>83</v>
      </c>
      <c r="AA113" s="29" t="s">
        <v>869</v>
      </c>
      <c r="AB113" s="29" t="s">
        <v>18</v>
      </c>
      <c r="AC113" s="29">
        <v>6.5</v>
      </c>
      <c r="AD113" s="38" t="s">
        <v>482</v>
      </c>
      <c r="AE113" s="29" t="s">
        <v>115</v>
      </c>
      <c r="AF113" s="29" t="s">
        <v>12</v>
      </c>
      <c r="AG113" s="39">
        <v>6.5</v>
      </c>
      <c r="AH113" s="94"/>
      <c r="AL113" s="38"/>
      <c r="AO113" s="39"/>
      <c r="AP113" s="38"/>
      <c r="AS113" s="39"/>
      <c r="AW113" s="39"/>
      <c r="BA113" s="40"/>
    </row>
    <row r="114" spans="1:53" s="29" customFormat="1" x14ac:dyDescent="0.15">
      <c r="A114" s="29">
        <v>2012</v>
      </c>
      <c r="B114" s="295"/>
      <c r="C114" s="411" t="s">
        <v>820</v>
      </c>
      <c r="D114" s="411"/>
      <c r="E114" s="29">
        <v>0</v>
      </c>
      <c r="G114" s="66"/>
      <c r="H114" s="29">
        <v>4</v>
      </c>
      <c r="I114" s="29">
        <v>16</v>
      </c>
      <c r="J114" s="73">
        <v>20</v>
      </c>
      <c r="K114" s="47">
        <f t="shared" si="7"/>
        <v>0</v>
      </c>
      <c r="L114" s="47">
        <f t="shared" si="7"/>
        <v>20</v>
      </c>
      <c r="M114" s="47">
        <f t="shared" si="7"/>
        <v>80</v>
      </c>
      <c r="N114" s="68">
        <f t="shared" si="5"/>
        <v>100</v>
      </c>
      <c r="O114" s="46"/>
      <c r="P114" s="47">
        <v>6.5</v>
      </c>
      <c r="Q114" s="47">
        <v>44.4</v>
      </c>
      <c r="R114" s="48">
        <f t="shared" si="6"/>
        <v>50.9</v>
      </c>
      <c r="S114" s="29">
        <v>2</v>
      </c>
      <c r="T114" s="286"/>
      <c r="U114" s="295"/>
      <c r="V114" s="38" t="s">
        <v>480</v>
      </c>
      <c r="W114" s="29" t="s">
        <v>20</v>
      </c>
      <c r="X114" s="29" t="s">
        <v>12</v>
      </c>
      <c r="Y114" s="39">
        <v>37.9</v>
      </c>
      <c r="Z114" s="38" t="s">
        <v>83</v>
      </c>
      <c r="AA114" s="29" t="s">
        <v>869</v>
      </c>
      <c r="AB114" s="29" t="s">
        <v>18</v>
      </c>
      <c r="AC114" s="29">
        <v>6.5</v>
      </c>
      <c r="AD114" s="38" t="s">
        <v>482</v>
      </c>
      <c r="AE114" s="29" t="s">
        <v>115</v>
      </c>
      <c r="AF114" s="29" t="s">
        <v>12</v>
      </c>
      <c r="AG114" s="39">
        <v>6.5</v>
      </c>
      <c r="AH114" s="94"/>
      <c r="AL114" s="38"/>
      <c r="AO114" s="39"/>
      <c r="AP114" s="38"/>
      <c r="AS114" s="39"/>
      <c r="AW114" s="39"/>
      <c r="BA114" s="40"/>
    </row>
    <row r="115" spans="1:53" s="29" customFormat="1" x14ac:dyDescent="0.15">
      <c r="A115" s="29">
        <v>2012</v>
      </c>
      <c r="B115" s="303"/>
      <c r="C115" s="411" t="s">
        <v>820</v>
      </c>
      <c r="D115" s="411"/>
      <c r="E115" s="29">
        <v>366</v>
      </c>
      <c r="F115" s="84"/>
      <c r="G115" s="66"/>
      <c r="H115" s="29">
        <v>4</v>
      </c>
      <c r="I115" s="29">
        <v>16</v>
      </c>
      <c r="J115" s="73">
        <v>20</v>
      </c>
      <c r="K115" s="47">
        <f>G115/$J115*100</f>
        <v>0</v>
      </c>
      <c r="L115" s="47">
        <f t="shared" si="7"/>
        <v>20</v>
      </c>
      <c r="M115" s="47">
        <f t="shared" si="7"/>
        <v>80</v>
      </c>
      <c r="N115" s="68">
        <f t="shared" si="5"/>
        <v>100</v>
      </c>
      <c r="O115" s="46"/>
      <c r="P115" s="47">
        <v>6.5</v>
      </c>
      <c r="Q115" s="47">
        <v>44.4</v>
      </c>
      <c r="R115" s="48">
        <f t="shared" si="6"/>
        <v>50.9</v>
      </c>
      <c r="S115" s="29">
        <v>2</v>
      </c>
      <c r="T115" s="286"/>
      <c r="U115" s="295"/>
      <c r="V115" s="38" t="s">
        <v>480</v>
      </c>
      <c r="W115" s="29" t="s">
        <v>20</v>
      </c>
      <c r="X115" s="29" t="s">
        <v>12</v>
      </c>
      <c r="Y115" s="39">
        <v>37.9</v>
      </c>
      <c r="Z115" s="38" t="s">
        <v>83</v>
      </c>
      <c r="AA115" s="29" t="s">
        <v>869</v>
      </c>
      <c r="AB115" s="29" t="s">
        <v>18</v>
      </c>
      <c r="AC115" s="29">
        <v>6.5</v>
      </c>
      <c r="AD115" s="38" t="s">
        <v>482</v>
      </c>
      <c r="AE115" s="29" t="s">
        <v>115</v>
      </c>
      <c r="AF115" s="29" t="s">
        <v>12</v>
      </c>
      <c r="AG115" s="39">
        <v>6.5</v>
      </c>
      <c r="AH115" s="94"/>
      <c r="AL115" s="38"/>
      <c r="AO115" s="39"/>
      <c r="AP115" s="38"/>
      <c r="AS115" s="39"/>
      <c r="AW115" s="39"/>
      <c r="BA115" s="40"/>
    </row>
    <row r="116" spans="1:53" s="29" customFormat="1" x14ac:dyDescent="0.15">
      <c r="A116" s="29">
        <v>2013</v>
      </c>
      <c r="B116" s="303"/>
      <c r="C116" s="411" t="s">
        <v>820</v>
      </c>
      <c r="D116" s="411"/>
      <c r="E116" s="29">
        <v>288</v>
      </c>
      <c r="F116" s="84"/>
      <c r="G116" s="66"/>
      <c r="H116" s="29">
        <v>4</v>
      </c>
      <c r="I116" s="29">
        <v>16</v>
      </c>
      <c r="J116" s="73">
        <v>20</v>
      </c>
      <c r="K116" s="47">
        <f t="shared" ref="K116:K127" si="8">G116/$J116*100</f>
        <v>0</v>
      </c>
      <c r="L116" s="47">
        <f t="shared" ref="L116:L127" si="9">H116/$J116*100</f>
        <v>20</v>
      </c>
      <c r="M116" s="47">
        <f t="shared" ref="M116:M127" si="10">I116/$J116*100</f>
        <v>80</v>
      </c>
      <c r="N116" s="68">
        <f t="shared" ref="N116:N127" si="11">K116+L116+M116</f>
        <v>100</v>
      </c>
      <c r="O116" s="46"/>
      <c r="P116" s="47">
        <v>6.5</v>
      </c>
      <c r="Q116" s="47">
        <v>44.4</v>
      </c>
      <c r="R116" s="48">
        <f t="shared" si="6"/>
        <v>50.9</v>
      </c>
      <c r="S116" s="29">
        <v>2</v>
      </c>
      <c r="T116" s="286"/>
      <c r="U116" s="295"/>
      <c r="V116" s="38" t="s">
        <v>480</v>
      </c>
      <c r="W116" s="29" t="s">
        <v>20</v>
      </c>
      <c r="X116" s="29" t="s">
        <v>12</v>
      </c>
      <c r="Y116" s="39">
        <v>37.9</v>
      </c>
      <c r="Z116" s="38" t="s">
        <v>83</v>
      </c>
      <c r="AA116" s="29" t="s">
        <v>869</v>
      </c>
      <c r="AB116" s="29" t="s">
        <v>18</v>
      </c>
      <c r="AC116" s="29">
        <v>6.5</v>
      </c>
      <c r="AD116" s="38" t="s">
        <v>482</v>
      </c>
      <c r="AE116" s="29" t="s">
        <v>115</v>
      </c>
      <c r="AF116" s="29" t="s">
        <v>12</v>
      </c>
      <c r="AG116" s="39">
        <v>6.5</v>
      </c>
      <c r="AH116" s="94"/>
      <c r="AL116" s="38"/>
      <c r="AO116" s="39"/>
      <c r="AP116" s="38"/>
      <c r="AS116" s="39"/>
      <c r="AW116" s="39"/>
      <c r="BA116" s="40"/>
    </row>
    <row r="117" spans="1:53" s="171" customFormat="1" x14ac:dyDescent="0.15">
      <c r="A117" s="171">
        <v>2013</v>
      </c>
      <c r="B117" s="283">
        <v>41563</v>
      </c>
      <c r="C117" s="410" t="s">
        <v>1245</v>
      </c>
      <c r="D117" s="410"/>
      <c r="E117" s="171">
        <f>365-E116</f>
        <v>77</v>
      </c>
      <c r="F117" s="171">
        <v>1</v>
      </c>
      <c r="G117" s="233">
        <v>18</v>
      </c>
      <c r="J117" s="241">
        <v>18</v>
      </c>
      <c r="K117" s="214">
        <f t="shared" si="8"/>
        <v>100</v>
      </c>
      <c r="L117" s="214">
        <f t="shared" si="9"/>
        <v>0</v>
      </c>
      <c r="M117" s="214">
        <f t="shared" si="10"/>
        <v>0</v>
      </c>
      <c r="N117" s="235">
        <f t="shared" si="11"/>
        <v>100</v>
      </c>
      <c r="O117" s="213">
        <v>45.6</v>
      </c>
      <c r="P117" s="214"/>
      <c r="Q117" s="214"/>
      <c r="R117" s="215">
        <f t="shared" si="6"/>
        <v>45.6</v>
      </c>
      <c r="S117" s="171">
        <v>5</v>
      </c>
      <c r="T117" s="285">
        <v>41526</v>
      </c>
      <c r="U117" s="283">
        <v>41563</v>
      </c>
      <c r="V117" s="178" t="s">
        <v>481</v>
      </c>
      <c r="W117" s="171" t="s">
        <v>74</v>
      </c>
      <c r="X117" s="171" t="s">
        <v>11</v>
      </c>
      <c r="Y117" s="179">
        <v>28.4</v>
      </c>
      <c r="Z117" s="178" t="s">
        <v>1246</v>
      </c>
      <c r="AA117" s="171" t="s">
        <v>27</v>
      </c>
      <c r="AB117" s="171" t="s">
        <v>11</v>
      </c>
      <c r="AC117" s="171">
        <v>17.2</v>
      </c>
      <c r="AD117" s="178"/>
      <c r="AG117" s="179"/>
      <c r="AH117" s="253"/>
      <c r="AL117" s="178"/>
      <c r="AO117" s="179"/>
      <c r="AP117" s="178"/>
      <c r="AS117" s="179"/>
      <c r="AW117" s="179"/>
      <c r="BA117" s="180"/>
    </row>
    <row r="118" spans="1:53" s="171" customFormat="1" x14ac:dyDescent="0.15">
      <c r="A118" s="171">
        <v>2014</v>
      </c>
      <c r="B118" s="283"/>
      <c r="C118" s="410" t="s">
        <v>1245</v>
      </c>
      <c r="D118" s="410"/>
      <c r="E118" s="171">
        <v>0</v>
      </c>
      <c r="G118" s="233">
        <v>18</v>
      </c>
      <c r="J118" s="241">
        <v>18</v>
      </c>
      <c r="K118" s="214">
        <f t="shared" si="8"/>
        <v>100</v>
      </c>
      <c r="L118" s="214">
        <f t="shared" si="9"/>
        <v>0</v>
      </c>
      <c r="M118" s="214">
        <f t="shared" si="10"/>
        <v>0</v>
      </c>
      <c r="N118" s="235">
        <f t="shared" si="11"/>
        <v>100</v>
      </c>
      <c r="O118" s="213">
        <v>45.6</v>
      </c>
      <c r="P118" s="214"/>
      <c r="Q118" s="214"/>
      <c r="R118" s="215">
        <f>O118+P118+Q118</f>
        <v>45.6</v>
      </c>
      <c r="S118" s="171">
        <v>5</v>
      </c>
      <c r="T118" s="285"/>
      <c r="U118" s="283"/>
      <c r="V118" s="178" t="s">
        <v>481</v>
      </c>
      <c r="W118" s="171" t="s">
        <v>74</v>
      </c>
      <c r="X118" s="171" t="s">
        <v>11</v>
      </c>
      <c r="Y118" s="179">
        <v>28.4</v>
      </c>
      <c r="Z118" s="178" t="s">
        <v>1246</v>
      </c>
      <c r="AA118" s="171" t="s">
        <v>27</v>
      </c>
      <c r="AB118" s="171" t="s">
        <v>11</v>
      </c>
      <c r="AC118" s="171">
        <v>17.2</v>
      </c>
      <c r="AD118" s="178"/>
      <c r="AG118" s="179"/>
      <c r="AH118" s="253"/>
      <c r="AL118" s="178"/>
      <c r="AO118" s="179"/>
      <c r="AP118" s="178"/>
      <c r="AS118" s="179"/>
      <c r="AW118" s="179"/>
      <c r="BA118" s="180"/>
    </row>
    <row r="119" spans="1:53" s="171" customFormat="1" x14ac:dyDescent="0.15">
      <c r="A119" s="171">
        <v>2014</v>
      </c>
      <c r="B119" s="283"/>
      <c r="C119" s="410" t="s">
        <v>1245</v>
      </c>
      <c r="D119" s="410"/>
      <c r="E119" s="171">
        <v>365</v>
      </c>
      <c r="G119" s="233">
        <v>18</v>
      </c>
      <c r="J119" s="241">
        <v>18</v>
      </c>
      <c r="K119" s="214">
        <f t="shared" si="8"/>
        <v>100</v>
      </c>
      <c r="L119" s="214">
        <f t="shared" si="9"/>
        <v>0</v>
      </c>
      <c r="M119" s="214">
        <f t="shared" si="10"/>
        <v>0</v>
      </c>
      <c r="N119" s="235">
        <f t="shared" si="11"/>
        <v>100</v>
      </c>
      <c r="O119" s="213">
        <v>45.6</v>
      </c>
      <c r="P119" s="214"/>
      <c r="Q119" s="214"/>
      <c r="R119" s="215">
        <f>O119+P119+Q119</f>
        <v>45.6</v>
      </c>
      <c r="S119" s="171">
        <v>5</v>
      </c>
      <c r="T119" s="285"/>
      <c r="U119" s="283"/>
      <c r="V119" s="178" t="s">
        <v>481</v>
      </c>
      <c r="W119" s="171" t="s">
        <v>74</v>
      </c>
      <c r="X119" s="171" t="s">
        <v>11</v>
      </c>
      <c r="Y119" s="179">
        <v>28.4</v>
      </c>
      <c r="Z119" s="178" t="s">
        <v>1246</v>
      </c>
      <c r="AA119" s="171" t="s">
        <v>27</v>
      </c>
      <c r="AB119" s="171" t="s">
        <v>11</v>
      </c>
      <c r="AC119" s="171">
        <v>17.2</v>
      </c>
      <c r="AD119" s="178"/>
      <c r="AG119" s="179"/>
      <c r="AH119" s="253"/>
      <c r="AL119" s="178"/>
      <c r="AO119" s="179"/>
      <c r="AP119" s="178"/>
      <c r="AS119" s="179"/>
      <c r="AW119" s="179"/>
      <c r="BA119" s="180"/>
    </row>
    <row r="120" spans="1:53" s="171" customFormat="1" x14ac:dyDescent="0.15">
      <c r="A120" s="171">
        <v>2015</v>
      </c>
      <c r="B120" s="283"/>
      <c r="C120" s="410" t="s">
        <v>1245</v>
      </c>
      <c r="D120" s="410"/>
      <c r="E120" s="171">
        <v>349</v>
      </c>
      <c r="G120" s="233">
        <v>18</v>
      </c>
      <c r="J120" s="241">
        <v>18</v>
      </c>
      <c r="K120" s="214">
        <f t="shared" si="8"/>
        <v>100</v>
      </c>
      <c r="L120" s="214">
        <f t="shared" si="9"/>
        <v>0</v>
      </c>
      <c r="M120" s="214">
        <f t="shared" si="10"/>
        <v>0</v>
      </c>
      <c r="N120" s="235">
        <f t="shared" si="11"/>
        <v>100</v>
      </c>
      <c r="O120" s="213">
        <v>45.6</v>
      </c>
      <c r="P120" s="214"/>
      <c r="Q120" s="214"/>
      <c r="R120" s="215">
        <f t="shared" ref="R120:R121" si="12">O120+P120+Q120</f>
        <v>45.6</v>
      </c>
      <c r="S120" s="171">
        <v>5</v>
      </c>
      <c r="T120" s="285"/>
      <c r="U120" s="283"/>
      <c r="V120" s="178" t="s">
        <v>481</v>
      </c>
      <c r="W120" s="171" t="s">
        <v>74</v>
      </c>
      <c r="X120" s="171" t="s">
        <v>11</v>
      </c>
      <c r="Y120" s="179">
        <v>28.4</v>
      </c>
      <c r="Z120" s="178" t="s">
        <v>1246</v>
      </c>
      <c r="AA120" s="171" t="s">
        <v>27</v>
      </c>
      <c r="AB120" s="171" t="s">
        <v>11</v>
      </c>
      <c r="AC120" s="171">
        <v>17.2</v>
      </c>
      <c r="AD120" s="178"/>
      <c r="AG120" s="179"/>
      <c r="AH120" s="253"/>
      <c r="AL120" s="178"/>
      <c r="AO120" s="179"/>
      <c r="AP120" s="178"/>
      <c r="AS120" s="179"/>
      <c r="AW120" s="179"/>
      <c r="BA120" s="180"/>
    </row>
    <row r="121" spans="1:53" s="171" customFormat="1" x14ac:dyDescent="0.15">
      <c r="A121" s="171">
        <v>2015</v>
      </c>
      <c r="B121" s="301">
        <v>42354</v>
      </c>
      <c r="C121" s="410" t="s">
        <v>1245</v>
      </c>
      <c r="D121" s="410"/>
      <c r="E121" s="171">
        <v>16</v>
      </c>
      <c r="F121" s="192">
        <v>0</v>
      </c>
      <c r="G121" s="233">
        <v>19</v>
      </c>
      <c r="J121" s="241">
        <v>19</v>
      </c>
      <c r="K121" s="214">
        <f t="shared" si="8"/>
        <v>100</v>
      </c>
      <c r="L121" s="214">
        <f t="shared" si="9"/>
        <v>0</v>
      </c>
      <c r="M121" s="214">
        <f t="shared" si="10"/>
        <v>0</v>
      </c>
      <c r="N121" s="235">
        <f t="shared" si="11"/>
        <v>100</v>
      </c>
      <c r="O121" s="213">
        <v>45.6</v>
      </c>
      <c r="P121" s="214"/>
      <c r="Q121" s="214"/>
      <c r="R121" s="215">
        <f t="shared" si="12"/>
        <v>45.6</v>
      </c>
      <c r="S121" s="171">
        <v>5</v>
      </c>
      <c r="T121" s="285"/>
      <c r="U121" s="283"/>
      <c r="V121" s="178" t="s">
        <v>481</v>
      </c>
      <c r="W121" s="171" t="s">
        <v>74</v>
      </c>
      <c r="X121" s="171" t="s">
        <v>11</v>
      </c>
      <c r="Y121" s="179">
        <v>28.4</v>
      </c>
      <c r="Z121" s="178" t="s">
        <v>1246</v>
      </c>
      <c r="AA121" s="171" t="s">
        <v>27</v>
      </c>
      <c r="AB121" s="171" t="s">
        <v>11</v>
      </c>
      <c r="AC121" s="171">
        <v>17.2</v>
      </c>
      <c r="AD121" s="178"/>
      <c r="AG121" s="179"/>
      <c r="AH121" s="253"/>
      <c r="AL121" s="178"/>
      <c r="AO121" s="179"/>
      <c r="AP121" s="178"/>
      <c r="AS121" s="179"/>
      <c r="AW121" s="179"/>
      <c r="BA121" s="180"/>
    </row>
    <row r="122" spans="1:53" s="171" customFormat="1" x14ac:dyDescent="0.15">
      <c r="A122" s="171">
        <v>2016</v>
      </c>
      <c r="B122" s="301"/>
      <c r="C122" s="410" t="s">
        <v>1245</v>
      </c>
      <c r="D122" s="410"/>
      <c r="E122" s="171">
        <v>0</v>
      </c>
      <c r="F122" s="192"/>
      <c r="G122" s="233">
        <v>19</v>
      </c>
      <c r="J122" s="241">
        <v>19</v>
      </c>
      <c r="K122" s="214">
        <f t="shared" si="8"/>
        <v>100</v>
      </c>
      <c r="L122" s="214">
        <f t="shared" si="9"/>
        <v>0</v>
      </c>
      <c r="M122" s="214">
        <f t="shared" si="10"/>
        <v>0</v>
      </c>
      <c r="N122" s="235">
        <f t="shared" si="11"/>
        <v>100</v>
      </c>
      <c r="O122" s="213">
        <v>45.6</v>
      </c>
      <c r="P122" s="214"/>
      <c r="Q122" s="214"/>
      <c r="R122" s="215">
        <f t="shared" ref="R122" si="13">O122+P122+Q122</f>
        <v>45.6</v>
      </c>
      <c r="S122" s="171">
        <v>5</v>
      </c>
      <c r="T122" s="285"/>
      <c r="U122" s="283"/>
      <c r="V122" s="178" t="s">
        <v>481</v>
      </c>
      <c r="W122" s="171" t="s">
        <v>74</v>
      </c>
      <c r="X122" s="171" t="s">
        <v>11</v>
      </c>
      <c r="Y122" s="179">
        <v>28.4</v>
      </c>
      <c r="Z122" s="178" t="s">
        <v>1246</v>
      </c>
      <c r="AA122" s="171" t="s">
        <v>27</v>
      </c>
      <c r="AB122" s="171" t="s">
        <v>11</v>
      </c>
      <c r="AC122" s="171">
        <v>17.2</v>
      </c>
      <c r="AD122" s="178"/>
      <c r="AG122" s="179"/>
      <c r="AH122" s="253"/>
      <c r="AL122" s="178"/>
      <c r="AO122" s="179"/>
      <c r="AP122" s="178"/>
      <c r="AS122" s="179"/>
      <c r="AW122" s="179"/>
      <c r="BA122" s="180"/>
    </row>
    <row r="123" spans="1:53" s="171" customFormat="1" x14ac:dyDescent="0.15">
      <c r="A123" s="171">
        <v>2016</v>
      </c>
      <c r="B123" s="301"/>
      <c r="C123" s="410" t="s">
        <v>1245</v>
      </c>
      <c r="D123" s="410"/>
      <c r="E123" s="171">
        <v>366</v>
      </c>
      <c r="F123" s="192"/>
      <c r="G123" s="233">
        <v>19</v>
      </c>
      <c r="J123" s="241">
        <v>19</v>
      </c>
      <c r="K123" s="214">
        <f t="shared" si="8"/>
        <v>100</v>
      </c>
      <c r="L123" s="214">
        <f t="shared" si="9"/>
        <v>0</v>
      </c>
      <c r="M123" s="214">
        <f t="shared" si="10"/>
        <v>0</v>
      </c>
      <c r="N123" s="235">
        <f t="shared" si="11"/>
        <v>100</v>
      </c>
      <c r="O123" s="213">
        <v>45.6</v>
      </c>
      <c r="P123" s="214"/>
      <c r="Q123" s="214"/>
      <c r="R123" s="215">
        <f t="shared" ref="R123:R131" si="14">O123+P123+Q123</f>
        <v>45.6</v>
      </c>
      <c r="S123" s="171">
        <v>5</v>
      </c>
      <c r="T123" s="285"/>
      <c r="U123" s="283"/>
      <c r="V123" s="178" t="s">
        <v>481</v>
      </c>
      <c r="W123" s="171" t="s">
        <v>74</v>
      </c>
      <c r="X123" s="171" t="s">
        <v>11</v>
      </c>
      <c r="Y123" s="179">
        <v>28.4</v>
      </c>
      <c r="Z123" s="178" t="s">
        <v>1246</v>
      </c>
      <c r="AA123" s="171" t="s">
        <v>27</v>
      </c>
      <c r="AB123" s="171" t="s">
        <v>11</v>
      </c>
      <c r="AC123" s="171">
        <v>17.2</v>
      </c>
      <c r="AD123" s="178"/>
      <c r="AG123" s="179"/>
      <c r="AH123" s="253"/>
      <c r="AL123" s="178"/>
      <c r="AO123" s="179"/>
      <c r="AP123" s="178"/>
      <c r="AS123" s="179"/>
      <c r="AW123" s="179"/>
      <c r="BA123" s="180"/>
    </row>
    <row r="124" spans="1:53" s="171" customFormat="1" x14ac:dyDescent="0.15">
      <c r="A124" s="171">
        <v>2017</v>
      </c>
      <c r="B124" s="301"/>
      <c r="C124" s="410" t="s">
        <v>1245</v>
      </c>
      <c r="D124" s="410"/>
      <c r="E124" s="171">
        <v>253</v>
      </c>
      <c r="F124" s="192"/>
      <c r="G124" s="233">
        <v>19</v>
      </c>
      <c r="J124" s="241">
        <v>19</v>
      </c>
      <c r="K124" s="214">
        <f t="shared" si="8"/>
        <v>100</v>
      </c>
      <c r="L124" s="214">
        <f t="shared" si="9"/>
        <v>0</v>
      </c>
      <c r="M124" s="214">
        <f t="shared" si="10"/>
        <v>0</v>
      </c>
      <c r="N124" s="235">
        <f t="shared" si="11"/>
        <v>100</v>
      </c>
      <c r="O124" s="213">
        <v>45.6</v>
      </c>
      <c r="P124" s="214"/>
      <c r="Q124" s="214"/>
      <c r="R124" s="215">
        <f t="shared" si="14"/>
        <v>45.6</v>
      </c>
      <c r="S124" s="171">
        <v>5</v>
      </c>
      <c r="T124" s="285"/>
      <c r="U124" s="283"/>
      <c r="V124" s="178" t="s">
        <v>481</v>
      </c>
      <c r="W124" s="171" t="s">
        <v>74</v>
      </c>
      <c r="X124" s="171" t="s">
        <v>11</v>
      </c>
      <c r="Y124" s="179">
        <v>28.4</v>
      </c>
      <c r="Z124" s="178" t="s">
        <v>1246</v>
      </c>
      <c r="AA124" s="171" t="s">
        <v>27</v>
      </c>
      <c r="AB124" s="171" t="s">
        <v>11</v>
      </c>
      <c r="AC124" s="171">
        <v>17.2</v>
      </c>
      <c r="AD124" s="178"/>
      <c r="AG124" s="179"/>
      <c r="AH124" s="253"/>
      <c r="AL124" s="178"/>
      <c r="AO124" s="179"/>
      <c r="AP124" s="178"/>
      <c r="AS124" s="179"/>
      <c r="AW124" s="179"/>
      <c r="BA124" s="180"/>
    </row>
    <row r="125" spans="1:53" s="29" customFormat="1" x14ac:dyDescent="0.15">
      <c r="A125" s="29">
        <v>2017</v>
      </c>
      <c r="B125" s="295">
        <v>42989</v>
      </c>
      <c r="C125" s="411" t="s">
        <v>1380</v>
      </c>
      <c r="D125" s="411"/>
      <c r="E125" s="29">
        <v>112</v>
      </c>
      <c r="F125" s="29">
        <v>1</v>
      </c>
      <c r="G125" s="66">
        <v>19</v>
      </c>
      <c r="J125" s="73">
        <v>19</v>
      </c>
      <c r="K125" s="47">
        <f t="shared" si="8"/>
        <v>100</v>
      </c>
      <c r="L125" s="47">
        <f t="shared" si="9"/>
        <v>0</v>
      </c>
      <c r="M125" s="47">
        <f t="shared" si="10"/>
        <v>0</v>
      </c>
      <c r="N125" s="68">
        <f t="shared" si="11"/>
        <v>100</v>
      </c>
      <c r="O125" s="46">
        <v>42.6</v>
      </c>
      <c r="P125" s="47"/>
      <c r="Q125" s="47"/>
      <c r="R125" s="48">
        <f t="shared" si="14"/>
        <v>42.6</v>
      </c>
      <c r="S125" s="29">
        <v>5</v>
      </c>
      <c r="T125" s="286">
        <v>42989</v>
      </c>
      <c r="U125" s="295">
        <v>42989</v>
      </c>
      <c r="V125" s="38" t="s">
        <v>481</v>
      </c>
      <c r="W125" s="29" t="s">
        <v>74</v>
      </c>
      <c r="X125" s="29" t="s">
        <v>11</v>
      </c>
      <c r="Y125" s="39">
        <v>26.6</v>
      </c>
      <c r="Z125" s="38" t="s">
        <v>1246</v>
      </c>
      <c r="AA125" s="29" t="s">
        <v>27</v>
      </c>
      <c r="AB125" s="29" t="s">
        <v>11</v>
      </c>
      <c r="AC125" s="29">
        <v>16</v>
      </c>
      <c r="AD125" s="38"/>
      <c r="AG125" s="39"/>
      <c r="AH125" s="94"/>
      <c r="AL125" s="38"/>
      <c r="AO125" s="39"/>
      <c r="AP125" s="38"/>
      <c r="AS125" s="39"/>
      <c r="AW125" s="39"/>
      <c r="BA125" s="40"/>
    </row>
    <row r="126" spans="1:53" s="29" customFormat="1" x14ac:dyDescent="0.15">
      <c r="A126" s="29">
        <v>2018</v>
      </c>
      <c r="B126" s="295"/>
      <c r="C126" s="411" t="s">
        <v>1380</v>
      </c>
      <c r="D126" s="411"/>
      <c r="E126" s="29">
        <v>16</v>
      </c>
      <c r="G126" s="66">
        <v>19</v>
      </c>
      <c r="J126" s="73">
        <v>19</v>
      </c>
      <c r="K126" s="47">
        <f t="shared" si="8"/>
        <v>100</v>
      </c>
      <c r="L126" s="47">
        <f t="shared" si="9"/>
        <v>0</v>
      </c>
      <c r="M126" s="47">
        <f t="shared" si="10"/>
        <v>0</v>
      </c>
      <c r="N126" s="68">
        <f t="shared" si="11"/>
        <v>100</v>
      </c>
      <c r="O126" s="46">
        <v>42.6</v>
      </c>
      <c r="P126" s="47"/>
      <c r="Q126" s="47"/>
      <c r="R126" s="48">
        <f t="shared" si="14"/>
        <v>42.6</v>
      </c>
      <c r="S126" s="29">
        <v>5</v>
      </c>
      <c r="T126" s="286"/>
      <c r="U126" s="295"/>
      <c r="V126" s="38" t="s">
        <v>481</v>
      </c>
      <c r="W126" s="29" t="s">
        <v>74</v>
      </c>
      <c r="X126" s="29" t="s">
        <v>11</v>
      </c>
      <c r="Y126" s="39">
        <v>26.6</v>
      </c>
      <c r="Z126" s="38" t="s">
        <v>1246</v>
      </c>
      <c r="AA126" s="29" t="s">
        <v>27</v>
      </c>
      <c r="AB126" s="29" t="s">
        <v>11</v>
      </c>
      <c r="AC126" s="29">
        <v>16</v>
      </c>
      <c r="AD126" s="38"/>
      <c r="AG126" s="39"/>
      <c r="AH126" s="94"/>
      <c r="AL126" s="38"/>
      <c r="AO126" s="39"/>
      <c r="AP126" s="38"/>
      <c r="AS126" s="39"/>
      <c r="AW126" s="39"/>
      <c r="BA126" s="40"/>
    </row>
    <row r="127" spans="1:53" s="171" customFormat="1" x14ac:dyDescent="0.15">
      <c r="A127" s="171">
        <v>2018</v>
      </c>
      <c r="B127" s="283">
        <v>43117</v>
      </c>
      <c r="C127" s="410" t="s">
        <v>1400</v>
      </c>
      <c r="D127" s="410"/>
      <c r="E127" s="171">
        <v>349</v>
      </c>
      <c r="F127" s="171">
        <v>7</v>
      </c>
      <c r="G127" s="233">
        <v>20</v>
      </c>
      <c r="J127" s="241">
        <v>20</v>
      </c>
      <c r="K127" s="214">
        <f t="shared" si="8"/>
        <v>100</v>
      </c>
      <c r="L127" s="214">
        <f t="shared" si="9"/>
        <v>0</v>
      </c>
      <c r="M127" s="214">
        <f t="shared" si="10"/>
        <v>0</v>
      </c>
      <c r="N127" s="235">
        <f t="shared" si="11"/>
        <v>100</v>
      </c>
      <c r="O127" s="213">
        <v>52.1</v>
      </c>
      <c r="P127" s="214"/>
      <c r="Q127" s="214"/>
      <c r="R127" s="215">
        <f t="shared" si="14"/>
        <v>52.1</v>
      </c>
      <c r="S127" s="171">
        <v>3</v>
      </c>
      <c r="T127" s="285"/>
      <c r="U127" s="283">
        <v>43117</v>
      </c>
      <c r="V127" s="178" t="s">
        <v>481</v>
      </c>
      <c r="W127" s="171" t="s">
        <v>74</v>
      </c>
      <c r="X127" s="171" t="s">
        <v>11</v>
      </c>
      <c r="Y127" s="179">
        <v>26.6</v>
      </c>
      <c r="Z127" s="178" t="s">
        <v>1246</v>
      </c>
      <c r="AA127" s="171" t="s">
        <v>27</v>
      </c>
      <c r="AB127" s="171" t="s">
        <v>11</v>
      </c>
      <c r="AC127" s="171">
        <v>16</v>
      </c>
      <c r="AD127" s="178" t="s">
        <v>404</v>
      </c>
      <c r="AE127" s="171" t="s">
        <v>22</v>
      </c>
      <c r="AF127" s="171" t="s">
        <v>11</v>
      </c>
      <c r="AG127" s="179">
        <v>4.7</v>
      </c>
      <c r="AH127" s="253"/>
      <c r="AL127" s="178"/>
      <c r="AO127" s="179"/>
      <c r="AP127" s="178"/>
      <c r="AS127" s="179"/>
      <c r="AW127" s="179"/>
      <c r="BA127" s="180"/>
    </row>
    <row r="128" spans="1:53" s="171" customFormat="1" x14ac:dyDescent="0.15">
      <c r="A128" s="171">
        <v>2019</v>
      </c>
      <c r="B128" s="283"/>
      <c r="C128" s="410" t="s">
        <v>1400</v>
      </c>
      <c r="D128" s="410"/>
      <c r="E128" s="171">
        <v>22</v>
      </c>
      <c r="G128" s="233">
        <v>20</v>
      </c>
      <c r="J128" s="241">
        <v>20</v>
      </c>
      <c r="K128" s="214">
        <f t="shared" ref="K128" si="15">G128/$J128*100</f>
        <v>100</v>
      </c>
      <c r="L128" s="214">
        <f t="shared" ref="L128" si="16">H128/$J128*100</f>
        <v>0</v>
      </c>
      <c r="M128" s="214">
        <f t="shared" ref="M128" si="17">I128/$J128*100</f>
        <v>0</v>
      </c>
      <c r="N128" s="235">
        <f t="shared" ref="N128" si="18">K128+L128+M128</f>
        <v>100</v>
      </c>
      <c r="O128" s="213">
        <v>52.1</v>
      </c>
      <c r="P128" s="214"/>
      <c r="Q128" s="214"/>
      <c r="R128" s="215">
        <f t="shared" si="14"/>
        <v>52.1</v>
      </c>
      <c r="S128" s="171">
        <v>3</v>
      </c>
      <c r="T128" s="285"/>
      <c r="U128" s="283"/>
      <c r="V128" s="178" t="s">
        <v>481</v>
      </c>
      <c r="W128" s="171" t="s">
        <v>74</v>
      </c>
      <c r="X128" s="171" t="s">
        <v>11</v>
      </c>
      <c r="Y128" s="179">
        <v>26.6</v>
      </c>
      <c r="Z128" s="178" t="s">
        <v>1246</v>
      </c>
      <c r="AA128" s="171" t="s">
        <v>27</v>
      </c>
      <c r="AB128" s="171" t="s">
        <v>11</v>
      </c>
      <c r="AC128" s="171">
        <v>16</v>
      </c>
      <c r="AD128" s="178" t="s">
        <v>404</v>
      </c>
      <c r="AE128" s="171" t="s">
        <v>22</v>
      </c>
      <c r="AF128" s="171" t="s">
        <v>11</v>
      </c>
      <c r="AG128" s="179">
        <v>4.7</v>
      </c>
      <c r="AH128" s="253"/>
      <c r="AL128" s="178"/>
      <c r="AO128" s="179"/>
      <c r="AP128" s="178"/>
      <c r="AS128" s="179"/>
      <c r="AW128" s="179"/>
      <c r="BA128" s="180"/>
    </row>
    <row r="129" spans="1:53" s="171" customFormat="1" x14ac:dyDescent="0.15">
      <c r="A129" s="171">
        <v>2019</v>
      </c>
      <c r="B129" s="283">
        <v>43487</v>
      </c>
      <c r="C129" s="410" t="s">
        <v>1400</v>
      </c>
      <c r="D129" s="410"/>
      <c r="E129" s="171">
        <v>343</v>
      </c>
      <c r="F129" s="171">
        <v>7</v>
      </c>
      <c r="G129" s="233">
        <v>19</v>
      </c>
      <c r="H129" s="171">
        <v>3</v>
      </c>
      <c r="J129" s="241">
        <v>22</v>
      </c>
      <c r="K129" s="214">
        <f t="shared" ref="K129:K131" si="19">G129/$J129*100</f>
        <v>86.36363636363636</v>
      </c>
      <c r="L129" s="214">
        <f t="shared" ref="L129:L131" si="20">H129/$J129*100</f>
        <v>13.636363636363635</v>
      </c>
      <c r="M129" s="214">
        <f t="shared" ref="M129:M131" si="21">I129/$J129*100</f>
        <v>0</v>
      </c>
      <c r="N129" s="235">
        <f t="shared" ref="N129:N131" si="22">K129+L129+M129</f>
        <v>100</v>
      </c>
      <c r="O129" s="213">
        <v>52.1</v>
      </c>
      <c r="P129" s="214">
        <v>4.7</v>
      </c>
      <c r="Q129" s="214"/>
      <c r="R129" s="215">
        <f t="shared" si="14"/>
        <v>56.800000000000004</v>
      </c>
      <c r="S129" s="171">
        <v>3</v>
      </c>
      <c r="T129" s="285"/>
      <c r="U129" s="283"/>
      <c r="V129" s="178" t="s">
        <v>481</v>
      </c>
      <c r="W129" s="171" t="s">
        <v>74</v>
      </c>
      <c r="X129" s="171" t="s">
        <v>11</v>
      </c>
      <c r="Y129" s="179">
        <v>26.6</v>
      </c>
      <c r="Z129" s="178" t="s">
        <v>1246</v>
      </c>
      <c r="AA129" s="171" t="s">
        <v>27</v>
      </c>
      <c r="AB129" s="171" t="s">
        <v>11</v>
      </c>
      <c r="AC129" s="171">
        <v>16</v>
      </c>
      <c r="AD129" s="178" t="s">
        <v>404</v>
      </c>
      <c r="AE129" s="171" t="s">
        <v>22</v>
      </c>
      <c r="AF129" s="171" t="s">
        <v>11</v>
      </c>
      <c r="AG129" s="179">
        <v>4.7</v>
      </c>
      <c r="AH129" s="253" t="s">
        <v>264</v>
      </c>
      <c r="AI129" s="171" t="s">
        <v>17</v>
      </c>
      <c r="AJ129" s="171" t="s">
        <v>1413</v>
      </c>
      <c r="AK129" s="171">
        <v>4.7</v>
      </c>
      <c r="AL129" s="178"/>
      <c r="AO129" s="179"/>
      <c r="AP129" s="178"/>
      <c r="AS129" s="179"/>
      <c r="AW129" s="179"/>
      <c r="BA129" s="180"/>
    </row>
    <row r="130" spans="1:53" s="171" customFormat="1" x14ac:dyDescent="0.15">
      <c r="A130" s="171">
        <v>2020</v>
      </c>
      <c r="B130" s="283"/>
      <c r="C130" s="410" t="s">
        <v>1400</v>
      </c>
      <c r="D130" s="410"/>
      <c r="E130" s="171">
        <v>23</v>
      </c>
      <c r="G130" s="233">
        <v>19</v>
      </c>
      <c r="H130" s="171">
        <v>3</v>
      </c>
      <c r="J130" s="241">
        <v>22</v>
      </c>
      <c r="K130" s="214">
        <f t="shared" si="19"/>
        <v>86.36363636363636</v>
      </c>
      <c r="L130" s="214">
        <f t="shared" si="20"/>
        <v>13.636363636363635</v>
      </c>
      <c r="M130" s="214">
        <f t="shared" si="21"/>
        <v>0</v>
      </c>
      <c r="N130" s="235">
        <f t="shared" si="22"/>
        <v>100</v>
      </c>
      <c r="O130" s="213">
        <v>52.1</v>
      </c>
      <c r="P130" s="214">
        <v>4.7</v>
      </c>
      <c r="Q130" s="214"/>
      <c r="R130" s="215">
        <f t="shared" si="14"/>
        <v>56.800000000000004</v>
      </c>
      <c r="S130" s="171">
        <v>3</v>
      </c>
      <c r="T130" s="285"/>
      <c r="U130" s="283"/>
      <c r="V130" s="178" t="s">
        <v>481</v>
      </c>
      <c r="W130" s="171" t="s">
        <v>74</v>
      </c>
      <c r="X130" s="171" t="s">
        <v>11</v>
      </c>
      <c r="Y130" s="179">
        <v>26.6</v>
      </c>
      <c r="Z130" s="178" t="s">
        <v>1246</v>
      </c>
      <c r="AA130" s="171" t="s">
        <v>27</v>
      </c>
      <c r="AB130" s="171" t="s">
        <v>11</v>
      </c>
      <c r="AC130" s="171">
        <v>16</v>
      </c>
      <c r="AD130" s="178" t="s">
        <v>404</v>
      </c>
      <c r="AE130" s="171" t="s">
        <v>22</v>
      </c>
      <c r="AF130" s="171" t="s">
        <v>11</v>
      </c>
      <c r="AG130" s="179">
        <v>4.7</v>
      </c>
      <c r="AH130" s="253" t="s">
        <v>264</v>
      </c>
      <c r="AI130" s="171" t="s">
        <v>17</v>
      </c>
      <c r="AJ130" s="171" t="s">
        <v>1413</v>
      </c>
      <c r="AK130" s="171">
        <v>4.7</v>
      </c>
      <c r="AL130" s="178"/>
      <c r="AO130" s="179"/>
      <c r="AP130" s="178"/>
      <c r="AS130" s="179"/>
      <c r="AW130" s="179"/>
      <c r="BA130" s="180"/>
    </row>
    <row r="131" spans="1:53" x14ac:dyDescent="0.15">
      <c r="A131" s="1">
        <v>2020</v>
      </c>
      <c r="B131" s="340">
        <v>43854</v>
      </c>
      <c r="C131" s="415" t="s">
        <v>1486</v>
      </c>
      <c r="D131" s="415"/>
      <c r="E131" s="1">
        <v>343</v>
      </c>
      <c r="F131" s="1">
        <v>4</v>
      </c>
      <c r="G131" s="356">
        <v>16</v>
      </c>
      <c r="H131" s="1">
        <v>4</v>
      </c>
      <c r="J131" s="357">
        <v>20</v>
      </c>
      <c r="K131" s="12">
        <f t="shared" si="19"/>
        <v>80</v>
      </c>
      <c r="L131" s="12">
        <f t="shared" si="20"/>
        <v>20</v>
      </c>
      <c r="M131" s="12">
        <f t="shared" si="21"/>
        <v>0</v>
      </c>
      <c r="N131" s="20">
        <f t="shared" si="22"/>
        <v>100</v>
      </c>
      <c r="O131" s="358">
        <v>31.3</v>
      </c>
      <c r="P131" s="12">
        <v>4.7</v>
      </c>
      <c r="Q131" s="12"/>
      <c r="R131" s="359">
        <f t="shared" si="14"/>
        <v>36</v>
      </c>
      <c r="S131" s="1">
        <v>5</v>
      </c>
      <c r="T131" s="360"/>
      <c r="U131" s="340">
        <v>43854</v>
      </c>
      <c r="V131" s="361" t="s">
        <v>481</v>
      </c>
      <c r="W131" s="1" t="s">
        <v>74</v>
      </c>
      <c r="X131" s="1" t="s">
        <v>11</v>
      </c>
      <c r="Y131" s="17">
        <v>26.6</v>
      </c>
      <c r="Z131" s="361" t="s">
        <v>404</v>
      </c>
      <c r="AA131" s="1" t="s">
        <v>22</v>
      </c>
      <c r="AB131" s="1" t="s">
        <v>11</v>
      </c>
      <c r="AC131" s="1">
        <v>4.7</v>
      </c>
      <c r="AD131" s="1" t="s">
        <v>264</v>
      </c>
      <c r="AE131" s="1" t="s">
        <v>17</v>
      </c>
      <c r="AF131" s="1" t="s">
        <v>1413</v>
      </c>
      <c r="AG131" s="17">
        <v>4.7</v>
      </c>
      <c r="AH131" s="362"/>
      <c r="AW131" s="17"/>
      <c r="BA131" s="2"/>
    </row>
    <row r="132" spans="1:53" x14ac:dyDescent="0.15">
      <c r="B132" s="340"/>
      <c r="J132" s="26"/>
      <c r="K132" s="12"/>
      <c r="L132" s="12"/>
      <c r="M132" s="12"/>
      <c r="N132" s="20"/>
      <c r="O132" s="12"/>
      <c r="P132" s="12"/>
      <c r="Q132" s="12"/>
      <c r="R132" s="20"/>
      <c r="T132" s="340"/>
      <c r="U132" s="340"/>
      <c r="V132" s="361"/>
    </row>
    <row r="133" spans="1:53" x14ac:dyDescent="0.15">
      <c r="B133" s="363"/>
      <c r="C133" s="415"/>
      <c r="D133" s="415"/>
      <c r="F133" s="364"/>
      <c r="J133" s="26"/>
      <c r="K133" s="12"/>
      <c r="L133" s="12"/>
      <c r="M133" s="12"/>
      <c r="N133" s="20"/>
      <c r="O133" s="12"/>
      <c r="P133" s="12"/>
      <c r="Q133" s="12"/>
      <c r="R133" s="20"/>
      <c r="T133" s="340"/>
      <c r="U133" s="340"/>
      <c r="V133" s="361"/>
    </row>
    <row r="134" spans="1:53" ht="18" customHeight="1" x14ac:dyDescent="0.15">
      <c r="B134" s="16" t="s">
        <v>1264</v>
      </c>
      <c r="H134" s="4"/>
      <c r="AH134" s="1"/>
    </row>
    <row r="135" spans="1:53" ht="9" customHeight="1" x14ac:dyDescent="0.15">
      <c r="H135" s="4"/>
      <c r="AH135" s="1"/>
    </row>
    <row r="136" spans="1:53" s="195" customFormat="1" ht="9" customHeight="1" x14ac:dyDescent="0.15">
      <c r="A136" s="193"/>
      <c r="B136" s="194" t="s">
        <v>1215</v>
      </c>
      <c r="C136" s="194"/>
      <c r="D136" s="194"/>
      <c r="E136" s="194"/>
      <c r="F136" s="194"/>
      <c r="G136" s="194" t="s">
        <v>1216</v>
      </c>
      <c r="H136" s="194"/>
      <c r="I136" s="194"/>
      <c r="J136" s="194"/>
      <c r="K136" s="194"/>
      <c r="L136" s="194"/>
      <c r="M136" s="194"/>
      <c r="N136" s="194"/>
      <c r="R136" s="388" t="s">
        <v>1217</v>
      </c>
      <c r="S136" s="388"/>
      <c r="T136" s="388"/>
      <c r="U136" s="388"/>
      <c r="V136" s="388"/>
      <c r="W136" s="388"/>
      <c r="X136" s="196"/>
      <c r="Y136" s="196"/>
      <c r="AA136" s="196"/>
      <c r="AB136" s="196"/>
      <c r="AC136" s="196"/>
      <c r="AD136" s="196"/>
    </row>
    <row r="137" spans="1:53" s="200" customFormat="1" ht="9" customHeight="1" x14ac:dyDescent="0.15">
      <c r="A137" s="197"/>
      <c r="B137" s="198" t="s">
        <v>1219</v>
      </c>
      <c r="C137" s="199"/>
      <c r="D137" s="199"/>
      <c r="E137" s="199"/>
      <c r="F137" s="199"/>
      <c r="G137" s="198" t="s">
        <v>1218</v>
      </c>
      <c r="H137" s="199"/>
      <c r="I137" s="199"/>
      <c r="J137" s="199"/>
      <c r="K137" s="199"/>
      <c r="L137" s="199"/>
      <c r="M137" s="199"/>
      <c r="N137" s="199"/>
      <c r="R137" s="201" t="s">
        <v>1220</v>
      </c>
      <c r="S137" s="202"/>
      <c r="T137" s="203"/>
      <c r="U137" s="203"/>
      <c r="V137" s="203"/>
      <c r="W137" s="201" t="s">
        <v>1221</v>
      </c>
      <c r="X137" s="203"/>
      <c r="Y137" s="203"/>
      <c r="AA137" s="203"/>
      <c r="AB137" s="203"/>
      <c r="AC137" s="203"/>
      <c r="AD137" s="203"/>
    </row>
    <row r="138" spans="1:53" s="186" customFormat="1" ht="12" customHeight="1" x14ac:dyDescent="0.15">
      <c r="A138" s="204" t="s">
        <v>3</v>
      </c>
      <c r="B138" s="205" t="s">
        <v>8</v>
      </c>
      <c r="C138" s="205" t="s">
        <v>9</v>
      </c>
      <c r="D138" s="205" t="s">
        <v>10</v>
      </c>
      <c r="E138" s="206" t="s">
        <v>1195</v>
      </c>
      <c r="F138" s="205"/>
      <c r="G138" s="186" t="s">
        <v>3</v>
      </c>
      <c r="H138" s="389" t="s">
        <v>0</v>
      </c>
      <c r="I138" s="389"/>
      <c r="J138" s="389" t="s">
        <v>1</v>
      </c>
      <c r="K138" s="389"/>
      <c r="L138" s="389" t="s">
        <v>2</v>
      </c>
      <c r="M138" s="389"/>
      <c r="N138" s="390" t="s">
        <v>1195</v>
      </c>
      <c r="O138" s="390"/>
      <c r="P138" s="207"/>
      <c r="Q138" s="207"/>
      <c r="R138" s="208" t="s">
        <v>3</v>
      </c>
      <c r="S138" s="209" t="s">
        <v>135</v>
      </c>
      <c r="T138" s="207" t="s">
        <v>133</v>
      </c>
      <c r="U138" s="205" t="s">
        <v>134</v>
      </c>
      <c r="V138" s="207"/>
      <c r="W138" s="210" t="s">
        <v>26</v>
      </c>
    </row>
    <row r="139" spans="1:53" s="140" customFormat="1" x14ac:dyDescent="0.15">
      <c r="A139" s="140">
        <v>1959</v>
      </c>
      <c r="B139" s="143">
        <f>(K6*($E6/365)) + (K7*($E7/365))</f>
        <v>0</v>
      </c>
      <c r="C139" s="143">
        <f>(L6*($E6/365)) + (L7*($E7/365))</f>
        <v>0</v>
      </c>
      <c r="D139" s="143">
        <f>(M6*($E6/365)) + (M7*($E7/365))</f>
        <v>100</v>
      </c>
      <c r="E139" s="144">
        <f>B139+C139+D139</f>
        <v>100</v>
      </c>
      <c r="G139" s="140">
        <v>1959</v>
      </c>
      <c r="H139" s="417">
        <f>(O6/$R6*100*($E6/365))+(O7/$R7*100*($E7/365))</f>
        <v>0</v>
      </c>
      <c r="I139" s="417"/>
      <c r="J139" s="417">
        <f>(P6/$R6*100*($E6/365))+(P7/$R7*100*($E7/365))</f>
        <v>0</v>
      </c>
      <c r="K139" s="417"/>
      <c r="L139" s="417">
        <f>(Q6/$R6*100*($E6/365))+(Q7/$R7*100*($E7/365))</f>
        <v>100</v>
      </c>
      <c r="M139" s="417"/>
      <c r="N139" s="412">
        <f>H139+J139+L139</f>
        <v>100</v>
      </c>
      <c r="O139" s="412"/>
      <c r="R139" s="140">
        <v>1959</v>
      </c>
      <c r="S139" s="143">
        <f>(O6*($E6/365)) + (O7*($E7/365))</f>
        <v>0</v>
      </c>
      <c r="T139" s="143">
        <f>(P6*($E6/365)) + (P7*($E7/365))</f>
        <v>0</v>
      </c>
      <c r="U139" s="143">
        <f>(Q6*($E6/365)) + (Q7*($E7/365))</f>
        <v>52</v>
      </c>
      <c r="V139" s="143"/>
      <c r="W139" s="143">
        <f>S139+T139+U139</f>
        <v>52</v>
      </c>
      <c r="AH139" s="158"/>
    </row>
    <row r="140" spans="1:53" x14ac:dyDescent="0.15">
      <c r="A140" s="1">
        <v>1960</v>
      </c>
      <c r="B140" s="5">
        <f>(K8*($E8/366))+(K9*($E9/366))</f>
        <v>0</v>
      </c>
      <c r="C140" s="5">
        <f>(L8*($E8/366))+(L9*($E9/366))</f>
        <v>0</v>
      </c>
      <c r="D140" s="5">
        <f>(M8*($E8/366))+(M9*($E9/366))</f>
        <v>100</v>
      </c>
      <c r="E140" s="18">
        <f>B140+C140+D140</f>
        <v>100</v>
      </c>
      <c r="G140" s="1">
        <v>1960</v>
      </c>
      <c r="H140" s="409">
        <f>(O8/$R8*100*($E8/366))+(O9/$R9*100*($E9/366))</f>
        <v>0</v>
      </c>
      <c r="I140" s="409"/>
      <c r="J140" s="409">
        <f>(P8/$R8*100*($E8/366))+(P9/$R9*100*($E9/366))</f>
        <v>0</v>
      </c>
      <c r="K140" s="409"/>
      <c r="L140" s="409">
        <f>(Q8/$R8*100*($E8/366))+(Q9/$R9*100*($E9/366))</f>
        <v>100</v>
      </c>
      <c r="M140" s="409"/>
      <c r="N140" s="379">
        <f t="shared" ref="N140:N171" si="23">H140+J140+L140</f>
        <v>100</v>
      </c>
      <c r="O140" s="379"/>
      <c r="R140" s="1">
        <v>1960</v>
      </c>
      <c r="S140" s="5">
        <f>(O8*($E8/366))+(O9*($E9/366))</f>
        <v>0</v>
      </c>
      <c r="T140" s="5">
        <f>(P8*($E8/366))+(P9*($E9/366))</f>
        <v>0</v>
      </c>
      <c r="U140" s="5">
        <f>(Q8*($E8/366))+(Q9*($E9/366))</f>
        <v>52</v>
      </c>
      <c r="V140" s="5"/>
      <c r="W140" s="5">
        <f>S140+T140+U140</f>
        <v>52</v>
      </c>
    </row>
    <row r="141" spans="1:53" x14ac:dyDescent="0.15">
      <c r="A141" s="1">
        <v>1961</v>
      </c>
      <c r="B141" s="5">
        <f>(K10*($E10/365))+(K11*($E11/365))</f>
        <v>0</v>
      </c>
      <c r="C141" s="5">
        <f>(L10*($E10/365))+(L11*($E11/365))</f>
        <v>0</v>
      </c>
      <c r="D141" s="5">
        <f>(M10*($E10/365))+(M11*($E11/365))</f>
        <v>100</v>
      </c>
      <c r="E141" s="18">
        <f t="shared" ref="E141:E193" si="24">B141+C141+D141</f>
        <v>100</v>
      </c>
      <c r="G141" s="1">
        <v>1961</v>
      </c>
      <c r="H141" s="409">
        <f>(O10/$R10*100*($E10/365))+(O11/$R11*100*($E11/365))</f>
        <v>0</v>
      </c>
      <c r="I141" s="409"/>
      <c r="J141" s="409">
        <f>(P10/$R10*100*($E10/365))+(P11/$R11*100*($E11/365))</f>
        <v>0</v>
      </c>
      <c r="K141" s="409"/>
      <c r="L141" s="409">
        <f>(Q10/$R10*100*($E10/365))+(Q11/$R11*100*($E11/365))</f>
        <v>100</v>
      </c>
      <c r="M141" s="409"/>
      <c r="N141" s="379">
        <f t="shared" si="23"/>
        <v>100</v>
      </c>
      <c r="O141" s="379"/>
      <c r="R141" s="1">
        <v>1961</v>
      </c>
      <c r="S141" s="5">
        <f>(O10*($E10/365))+(O11*($E11/365))</f>
        <v>0</v>
      </c>
      <c r="T141" s="5">
        <f>(P10*($E10/365))+(P11*($E11/365))</f>
        <v>0</v>
      </c>
      <c r="U141" s="5">
        <f>(Q10*($E10/365))+(Q11*($E11/365))</f>
        <v>51.171506849315072</v>
      </c>
      <c r="V141" s="5"/>
      <c r="W141" s="5">
        <f t="shared" ref="W141:W193" si="25">S141+T141+U141</f>
        <v>51.171506849315072</v>
      </c>
    </row>
    <row r="142" spans="1:53" x14ac:dyDescent="0.15">
      <c r="A142" s="1">
        <v>1962</v>
      </c>
      <c r="B142" s="5">
        <f>(K12*($E12/365))+(K13*($E13/365))</f>
        <v>0</v>
      </c>
      <c r="C142" s="5">
        <f>(L12*($E12/365))+(L13*($E13/365))</f>
        <v>0</v>
      </c>
      <c r="D142" s="5">
        <f>(M12*($E12/365))+(M13*($E13/365))</f>
        <v>100</v>
      </c>
      <c r="E142" s="18">
        <f t="shared" si="24"/>
        <v>100</v>
      </c>
      <c r="G142" s="1">
        <v>1962</v>
      </c>
      <c r="H142" s="409">
        <f>(O12/$R12*100*($E12/365))+(O13/$R13*100*($E13/365))</f>
        <v>0</v>
      </c>
      <c r="I142" s="409"/>
      <c r="J142" s="409">
        <f>(P12/$R12*100*($E12/365))+(P13/$R13*100*($E13/365))</f>
        <v>0</v>
      </c>
      <c r="K142" s="409"/>
      <c r="L142" s="409">
        <f>(Q12/$R12*100*($E12/365))+(Q13/$R13*100*($E13/365))</f>
        <v>100</v>
      </c>
      <c r="M142" s="409"/>
      <c r="N142" s="379">
        <f t="shared" si="23"/>
        <v>100</v>
      </c>
      <c r="O142" s="379"/>
      <c r="R142" s="1">
        <v>1962</v>
      </c>
      <c r="S142" s="5">
        <f>(O12*($E12/365))+(O13*($E13/365))</f>
        <v>0</v>
      </c>
      <c r="T142" s="5">
        <f>(P12*($E12/365))+(P13*($E13/365))</f>
        <v>0</v>
      </c>
      <c r="U142" s="5">
        <f>(Q12*($E12/365))+(Q13*($E13/365))</f>
        <v>49.3</v>
      </c>
      <c r="V142" s="5"/>
      <c r="W142" s="5">
        <f t="shared" si="25"/>
        <v>49.3</v>
      </c>
    </row>
    <row r="143" spans="1:53" x14ac:dyDescent="0.15">
      <c r="A143" s="1">
        <v>1963</v>
      </c>
      <c r="B143" s="5">
        <f>(K14*($E14/365))+(K15*($E15/365))+(K16*($E16/365))</f>
        <v>4.0913242009132427</v>
      </c>
      <c r="C143" s="5">
        <f>(L14*($E14/365))+(L15*($E15/365))+(L16*($E16/365))</f>
        <v>3.5799086757990866</v>
      </c>
      <c r="D143" s="5">
        <f>(M14*($E14/365))+(M15*($E15/365))+(M16*($E16/365))</f>
        <v>92.328767123287662</v>
      </c>
      <c r="E143" s="18">
        <f t="shared" si="24"/>
        <v>99.999999999999986</v>
      </c>
      <c r="G143" s="1">
        <v>1963</v>
      </c>
      <c r="H143" s="409">
        <f>(O14/$R14*100*($E14/365))+(O15/$R15*100*($E15/365))+(O16/$R16*100*($E16/365))</f>
        <v>4.4502486870988367</v>
      </c>
      <c r="I143" s="409"/>
      <c r="J143" s="409">
        <f>(P14/$R14*100*($E14/365))+(P15/$R15*100*($E15/365))+(P16/$R16*100*($E16/365))</f>
        <v>3.2209841896134934</v>
      </c>
      <c r="K143" s="409"/>
      <c r="L143" s="409">
        <f>(Q14/$R14*100*($E14/365))+(Q15/$R15*100*($E15/365))+(Q16/$R16*100*($E16/365))</f>
        <v>92.328767123287662</v>
      </c>
      <c r="M143" s="409"/>
      <c r="N143" s="379">
        <f t="shared" si="23"/>
        <v>99.999999999999986</v>
      </c>
      <c r="O143" s="379"/>
      <c r="R143" s="1">
        <v>1963</v>
      </c>
      <c r="S143" s="5">
        <f>(O14*($E14/365))+(O15*($E15/365))+(O16*($E16/365))</f>
        <v>2.1939726027397262</v>
      </c>
      <c r="T143" s="5">
        <f>(P14*($E14/365))+(P15*($E15/365))+(P16*($E16/365))</f>
        <v>1.5879452054794521</v>
      </c>
      <c r="U143" s="5">
        <f>(Q14*($E14/365))+(Q15*($E15/365))+(Q16*($E16/365))</f>
        <v>45.51808219178082</v>
      </c>
      <c r="V143" s="5"/>
      <c r="W143" s="5">
        <f t="shared" si="25"/>
        <v>49.3</v>
      </c>
    </row>
    <row r="144" spans="1:53" x14ac:dyDescent="0.15">
      <c r="A144" s="1">
        <v>1964</v>
      </c>
      <c r="B144" s="5">
        <f>(K17*($E17/366))+(K18*($E18/366))</f>
        <v>0</v>
      </c>
      <c r="C144" s="5">
        <f>(L17*($E17/366))+(L18*($E18/366))</f>
        <v>0</v>
      </c>
      <c r="D144" s="5">
        <f>(M17*($E17/366))+(M18*($E18/366))</f>
        <v>100</v>
      </c>
      <c r="E144" s="18">
        <f t="shared" si="24"/>
        <v>100</v>
      </c>
      <c r="G144" s="1">
        <v>1964</v>
      </c>
      <c r="H144" s="409">
        <f>(O17/$R17*100*($E17/366))+(O18/$R18*100*($E18/366))</f>
        <v>0</v>
      </c>
      <c r="I144" s="409"/>
      <c r="J144" s="409">
        <f>(P17/$R17*100*($E17/366))+(P18/$R18*100*($E18/366))</f>
        <v>0</v>
      </c>
      <c r="K144" s="409"/>
      <c r="L144" s="409">
        <f>(Q17/$R17*100*($E17/366))+(Q18/$R18*100*($E18/366))</f>
        <v>100</v>
      </c>
      <c r="M144" s="409"/>
      <c r="N144" s="379">
        <f t="shared" si="23"/>
        <v>100</v>
      </c>
      <c r="O144" s="379"/>
      <c r="R144" s="1">
        <v>1964</v>
      </c>
      <c r="S144" s="5">
        <f>(O17*($E17/366))+(O18*($E18/366))</f>
        <v>0</v>
      </c>
      <c r="T144" s="5">
        <f>(P17*($E17/366))+(P18*($E18/366))</f>
        <v>0</v>
      </c>
      <c r="U144" s="5">
        <f>(Q17*($E17/366))+(Q18*($E18/366))</f>
        <v>49.3</v>
      </c>
      <c r="V144" s="5"/>
      <c r="W144" s="5">
        <f t="shared" si="25"/>
        <v>49.3</v>
      </c>
    </row>
    <row r="145" spans="1:23" x14ac:dyDescent="0.15">
      <c r="A145" s="1">
        <v>1965</v>
      </c>
      <c r="B145" s="5">
        <f>(K19*($E19/365))+(K20*($E20/365))</f>
        <v>13.479452054794519</v>
      </c>
      <c r="C145" s="5">
        <f>(L19*($E19/365))+(L20*($E20/365))</f>
        <v>8.9863013698630141</v>
      </c>
      <c r="D145" s="5">
        <f>(M19*($E19/365))+(M20*($E20/365))</f>
        <v>77.534246575342465</v>
      </c>
      <c r="E145" s="18">
        <f t="shared" si="24"/>
        <v>100</v>
      </c>
      <c r="G145" s="1">
        <v>1965</v>
      </c>
      <c r="H145" s="409">
        <f>(O19/$R19*100*($E19/365))+(O20/$R20*100*($E20/365))</f>
        <v>13.757118670155455</v>
      </c>
      <c r="I145" s="409"/>
      <c r="J145" s="409">
        <f>(P19/$R19*100*($E19/365))+(P20/$R20*100*($E20/365))</f>
        <v>8.708634754502075</v>
      </c>
      <c r="K145" s="409"/>
      <c r="L145" s="409">
        <f>(Q19/$R19*100*($E19/365))+(Q20/$R20*100*($E20/365))</f>
        <v>77.534246575342465</v>
      </c>
      <c r="M145" s="409"/>
      <c r="N145" s="379">
        <f t="shared" si="23"/>
        <v>100</v>
      </c>
      <c r="O145" s="379"/>
      <c r="R145" s="1">
        <v>1965</v>
      </c>
      <c r="S145" s="5">
        <f>(O19*($E19/365))+(O20*($E20/365))</f>
        <v>7.3463013698630144</v>
      </c>
      <c r="T145" s="5">
        <f>(P19*($E19/365))+(P20*($E20/365))</f>
        <v>4.6504109589041089</v>
      </c>
      <c r="U145" s="5">
        <f>(Q19*($E19/365))+(Q20*($E20/365))</f>
        <v>38.224383561643833</v>
      </c>
      <c r="V145" s="5"/>
      <c r="W145" s="5">
        <f t="shared" si="25"/>
        <v>50.221095890410957</v>
      </c>
    </row>
    <row r="146" spans="1:23" x14ac:dyDescent="0.15">
      <c r="A146" s="1">
        <v>1966</v>
      </c>
      <c r="B146" s="5">
        <f>(K21*($E21/365))+(K22*($E22/365))</f>
        <v>60</v>
      </c>
      <c r="C146" s="5">
        <f>(L21*($E21/365))+(L22*($E22/365))</f>
        <v>40</v>
      </c>
      <c r="D146" s="5">
        <f>(M21*($E21/365))+(M22*($E22/365))</f>
        <v>0</v>
      </c>
      <c r="E146" s="18">
        <f t="shared" si="24"/>
        <v>100</v>
      </c>
      <c r="G146" s="1">
        <v>1966</v>
      </c>
      <c r="H146" s="409">
        <f>(O21/$R21*100*($E21/365))+(O22/$R22*100*($E22/365))</f>
        <v>61.235955056179769</v>
      </c>
      <c r="I146" s="409"/>
      <c r="J146" s="409">
        <f>(P21/$R21*100*($E21/365))+(P22/$R22*100*($E22/365))</f>
        <v>38.764044943820217</v>
      </c>
      <c r="K146" s="409"/>
      <c r="L146" s="409">
        <f>(Q21/$R21*100*($E21/365))+(Q22/$R22*100*($E22/365))</f>
        <v>0</v>
      </c>
      <c r="M146" s="409"/>
      <c r="N146" s="379">
        <f t="shared" si="23"/>
        <v>99.999999999999986</v>
      </c>
      <c r="O146" s="379"/>
      <c r="R146" s="1">
        <v>1966</v>
      </c>
      <c r="S146" s="5">
        <f>(O21*($E21/365))+(O22*($E22/365))</f>
        <v>32.700000000000003</v>
      </c>
      <c r="T146" s="5">
        <f>(P21*($E21/365))+(P22*($E22/365))</f>
        <v>20.7</v>
      </c>
      <c r="U146" s="5">
        <f>(Q21*($E21/365))+(Q22*($E22/365))</f>
        <v>0</v>
      </c>
      <c r="V146" s="5"/>
      <c r="W146" s="5">
        <f t="shared" si="25"/>
        <v>53.400000000000006</v>
      </c>
    </row>
    <row r="147" spans="1:23" x14ac:dyDescent="0.15">
      <c r="A147" s="1">
        <v>1967</v>
      </c>
      <c r="B147" s="5">
        <f>(K23*($E23/365))+(K24*($E24/365))</f>
        <v>60</v>
      </c>
      <c r="C147" s="5">
        <f>(L23*($E23/365))+(L24*($E24/365))</f>
        <v>40</v>
      </c>
      <c r="D147" s="5">
        <f>(M23*($E23/365))+(M24*($E24/365))</f>
        <v>0</v>
      </c>
      <c r="E147" s="18">
        <f t="shared" si="24"/>
        <v>100</v>
      </c>
      <c r="G147" s="1">
        <v>1967</v>
      </c>
      <c r="H147" s="409">
        <f>(O23/$R23*100*($E23/365))+(O24/$R24*100*($E24/365))</f>
        <v>61.235955056179769</v>
      </c>
      <c r="I147" s="409"/>
      <c r="J147" s="409">
        <f>(P23/$R23*100*($E23/365))+(P24/$R24*100*($E24/365))</f>
        <v>38.764044943820217</v>
      </c>
      <c r="K147" s="409"/>
      <c r="L147" s="409">
        <f>(Q23/$R23*100*($E23/365))+(Q24/$R24*100*($E24/365))</f>
        <v>0</v>
      </c>
      <c r="M147" s="409"/>
      <c r="N147" s="379">
        <f t="shared" si="23"/>
        <v>99.999999999999986</v>
      </c>
      <c r="O147" s="379"/>
      <c r="R147" s="1">
        <v>1967</v>
      </c>
      <c r="S147" s="5">
        <f>(O23*($E23/365))+(O24*($E24/365))</f>
        <v>32.700000000000003</v>
      </c>
      <c r="T147" s="5">
        <f>(P23*($E23/365))+(P24*($E24/365))</f>
        <v>20.7</v>
      </c>
      <c r="U147" s="5">
        <f>(Q23*($E23/365))+(Q24*($E24/365))</f>
        <v>0</v>
      </c>
      <c r="V147" s="5"/>
      <c r="W147" s="5">
        <f t="shared" si="25"/>
        <v>53.400000000000006</v>
      </c>
    </row>
    <row r="148" spans="1:23" x14ac:dyDescent="0.15">
      <c r="A148" s="1">
        <v>1968</v>
      </c>
      <c r="B148" s="5">
        <f>(K25*($E25/366))+(K26*($E26/366))</f>
        <v>60</v>
      </c>
      <c r="C148" s="5">
        <f>(L25*($E25/366))+(L26*($E26/366))</f>
        <v>40</v>
      </c>
      <c r="D148" s="5">
        <f>(M25*($E25/366))+(M26*($E26/366))</f>
        <v>0</v>
      </c>
      <c r="E148" s="18">
        <f t="shared" si="24"/>
        <v>100</v>
      </c>
      <c r="G148" s="1">
        <v>1968</v>
      </c>
      <c r="H148" s="409">
        <f>(O25/$R25*100*($E25/366))+(O26/$R26*100*($E26/366))</f>
        <v>61.235955056179769</v>
      </c>
      <c r="I148" s="409"/>
      <c r="J148" s="409">
        <f>(P25/$R25*100*($E25/366))+(P26/$R26*100*($E26/366))</f>
        <v>38.764044943820217</v>
      </c>
      <c r="K148" s="409"/>
      <c r="L148" s="409">
        <f>(Q25/$R25*100*($E25/366))+(Q26/$R26*100*($E26/366))</f>
        <v>0</v>
      </c>
      <c r="M148" s="409"/>
      <c r="N148" s="379">
        <f t="shared" si="23"/>
        <v>99.999999999999986</v>
      </c>
      <c r="O148" s="379"/>
      <c r="R148" s="1">
        <v>1968</v>
      </c>
      <c r="S148" s="5">
        <f>(O25*($E25/366))+(O26*($E26/366))</f>
        <v>32.700000000000003</v>
      </c>
      <c r="T148" s="5">
        <f>(P25*($E25/366))+(P26*($E26/366))</f>
        <v>20.7</v>
      </c>
      <c r="U148" s="5">
        <f>(Q25*($E25/366))+(Q26*($E26/366))</f>
        <v>0</v>
      </c>
      <c r="V148" s="5"/>
      <c r="W148" s="5">
        <f t="shared" si="25"/>
        <v>53.400000000000006</v>
      </c>
    </row>
    <row r="149" spans="1:23" x14ac:dyDescent="0.15">
      <c r="A149" s="1">
        <v>1969</v>
      </c>
      <c r="B149" s="5">
        <f>(K27*($E27/365))+(K28*($E28/365))</f>
        <v>60</v>
      </c>
      <c r="C149" s="5">
        <f>(L27*($E27/365))+(L28*($E28/365))</f>
        <v>40</v>
      </c>
      <c r="D149" s="5">
        <f>(M27*($E27/365))+(M28*($E28/365))</f>
        <v>0</v>
      </c>
      <c r="E149" s="18">
        <f t="shared" si="24"/>
        <v>100</v>
      </c>
      <c r="G149" s="1">
        <v>1969</v>
      </c>
      <c r="H149" s="409">
        <f>(O27/$R27*100*($E27/365))+(O28/$R28*100*($E28/365))</f>
        <v>59.360890797272802</v>
      </c>
      <c r="I149" s="409"/>
      <c r="J149" s="409">
        <f>(P27/$R27*100*($E27/365))+(P28/$R28*100*($E28/365))</f>
        <v>40.639109202727191</v>
      </c>
      <c r="K149" s="409"/>
      <c r="L149" s="409">
        <f>(Q27/$R27*100*($E27/365))+(Q28/$R28*100*($E28/365))</f>
        <v>0</v>
      </c>
      <c r="M149" s="409"/>
      <c r="N149" s="379">
        <f t="shared" si="23"/>
        <v>100</v>
      </c>
      <c r="O149" s="379"/>
      <c r="R149" s="1">
        <v>1969</v>
      </c>
      <c r="S149" s="5">
        <f>(O27*($E27/365))+(O28*($E28/365))</f>
        <v>31.206301369863017</v>
      </c>
      <c r="T149" s="5">
        <f>(P27*($E27/365))+(P28*($E28/365))</f>
        <v>21.303835616438356</v>
      </c>
      <c r="U149" s="5">
        <f>(Q27*($E27/365))+(Q28*($E28/365))</f>
        <v>0</v>
      </c>
      <c r="V149" s="5"/>
      <c r="W149" s="5">
        <f t="shared" si="25"/>
        <v>52.510136986301376</v>
      </c>
    </row>
    <row r="150" spans="1:23" x14ac:dyDescent="0.15">
      <c r="A150" s="1">
        <v>1970</v>
      </c>
      <c r="B150" s="5">
        <f>(K29*($E29/365))+(K30*($E30/365))</f>
        <v>60</v>
      </c>
      <c r="C150" s="5">
        <f>(L29*($E29/365))+(L30*($E30/365))</f>
        <v>40</v>
      </c>
      <c r="D150" s="5">
        <f>(M29*($E29/365))+(M30*($E30/365))</f>
        <v>0</v>
      </c>
      <c r="E150" s="18">
        <f t="shared" si="24"/>
        <v>100</v>
      </c>
      <c r="G150" s="1">
        <v>1970</v>
      </c>
      <c r="H150" s="409">
        <f>(O29/$R29*100*($E29/365))+(O30/$R30*100*($E30/365))</f>
        <v>55.335968379446641</v>
      </c>
      <c r="I150" s="409"/>
      <c r="J150" s="409">
        <f>(P29/$R29*100*($E29/365))+(P30/$R30*100*($E30/365))</f>
        <v>44.664031620553359</v>
      </c>
      <c r="K150" s="409"/>
      <c r="L150" s="409">
        <f>(Q29/$R29*100*($E29/365))+(Q30/$R30*100*($E30/365))</f>
        <v>0</v>
      </c>
      <c r="M150" s="409"/>
      <c r="N150" s="379">
        <f t="shared" si="23"/>
        <v>100</v>
      </c>
      <c r="O150" s="379"/>
      <c r="R150" s="1">
        <v>1970</v>
      </c>
      <c r="S150" s="5">
        <f>(O29*($E29/365))+(O30*($E30/365))</f>
        <v>28</v>
      </c>
      <c r="T150" s="5">
        <f>(P29*($E29/365))+(P30*($E30/365))</f>
        <v>22.6</v>
      </c>
      <c r="U150" s="5">
        <f>(Q29*($E29/365))+(Q30*($E30/365))</f>
        <v>0</v>
      </c>
      <c r="V150" s="5"/>
      <c r="W150" s="5">
        <f t="shared" si="25"/>
        <v>50.6</v>
      </c>
    </row>
    <row r="151" spans="1:23" x14ac:dyDescent="0.15">
      <c r="A151" s="1">
        <v>1971</v>
      </c>
      <c r="B151" s="5">
        <f>(K31*($E31/365))+(K32*($E32/365))</f>
        <v>11.671232876712329</v>
      </c>
      <c r="C151" s="5">
        <f>(L31*($E31/365))+(L32*($E32/365))</f>
        <v>7.7808219178082192</v>
      </c>
      <c r="D151" s="5">
        <f>(M31*($E31/365))+(M32*($E32/365))</f>
        <v>80.547945205479451</v>
      </c>
      <c r="E151" s="18">
        <f t="shared" si="24"/>
        <v>100</v>
      </c>
      <c r="G151" s="1">
        <v>1971</v>
      </c>
      <c r="H151" s="409">
        <f>(O31/$R31*100*($E31/365))+(O32/$R32*100*($E32/365))</f>
        <v>10.763982890248524</v>
      </c>
      <c r="I151" s="409"/>
      <c r="J151" s="409">
        <f>(P31/$R31*100*($E31/365))+(P32/$R32*100*($E32/365))</f>
        <v>8.6880719042720234</v>
      </c>
      <c r="K151" s="409"/>
      <c r="L151" s="409">
        <f>(Q31/$R31*100*($E31/365))+(Q32/$R32*100*($E32/365))</f>
        <v>80.547945205479451</v>
      </c>
      <c r="M151" s="409"/>
      <c r="N151" s="379">
        <f t="shared" si="23"/>
        <v>100</v>
      </c>
      <c r="O151" s="379"/>
      <c r="R151" s="1">
        <v>1971</v>
      </c>
      <c r="S151" s="5">
        <f>(O31*($E31/365))+(O32*($E32/365))</f>
        <v>5.4465753424657537</v>
      </c>
      <c r="T151" s="5">
        <f>(P31*($E31/365))+(P32*($E32/365))</f>
        <v>4.3961643835616444</v>
      </c>
      <c r="U151" s="5">
        <f>(Q31*($E31/365))+(Q32*($E32/365))</f>
        <v>39.710136986301372</v>
      </c>
      <c r="V151" s="5"/>
      <c r="W151" s="5">
        <f t="shared" si="25"/>
        <v>49.552876712328768</v>
      </c>
    </row>
    <row r="152" spans="1:23" x14ac:dyDescent="0.15">
      <c r="A152" s="1">
        <v>1972</v>
      </c>
      <c r="B152" s="5">
        <f>(K33*($E33/366))+(K34*($E34/366))</f>
        <v>6.830601092896174</v>
      </c>
      <c r="C152" s="5">
        <f>(L33*($E33/366))+(L34*($E34/366))</f>
        <v>13.661202185792348</v>
      </c>
      <c r="D152" s="5">
        <f>(M33*($E33/366))+(M34*($E34/366))</f>
        <v>79.508196721311478</v>
      </c>
      <c r="E152" s="18">
        <f t="shared" si="24"/>
        <v>100</v>
      </c>
      <c r="G152" s="1">
        <v>1972</v>
      </c>
      <c r="H152" s="409">
        <f>(O33/$R33*100*($E33/366))+(O34/$R34*100*($E34/366))</f>
        <v>5.6958047451945726</v>
      </c>
      <c r="I152" s="409"/>
      <c r="J152" s="409">
        <f>(P33/$R33*100*($E33/366))+(P34/$R34*100*($E34/366))</f>
        <v>14.795998533493954</v>
      </c>
      <c r="K152" s="409"/>
      <c r="L152" s="409">
        <f>(Q33/$R33*100*($E33/366))+(Q34/$R34*100*($E34/366))</f>
        <v>79.508196721311478</v>
      </c>
      <c r="M152" s="409"/>
      <c r="N152" s="379">
        <f t="shared" si="23"/>
        <v>100</v>
      </c>
      <c r="O152" s="379"/>
      <c r="R152" s="1">
        <v>1972</v>
      </c>
      <c r="S152" s="5">
        <f>(O33*($E33/366))+(O34*($E34/366))</f>
        <v>1.7827868852459015</v>
      </c>
      <c r="T152" s="5">
        <f>(P33*($E33/366))+(P34*($E34/366))</f>
        <v>4.6311475409836067</v>
      </c>
      <c r="U152" s="5">
        <f>(Q33*($E33/366))+(Q34*($E34/366))</f>
        <v>39.197540983606558</v>
      </c>
      <c r="V152" s="5"/>
      <c r="W152" s="5">
        <f t="shared" si="25"/>
        <v>45.611475409836068</v>
      </c>
    </row>
    <row r="153" spans="1:23" x14ac:dyDescent="0.15">
      <c r="A153" s="1">
        <v>1973</v>
      </c>
      <c r="B153" s="5">
        <f>(K35*($E35/365))+(K36*($E36/365))</f>
        <v>26.301369863013694</v>
      </c>
      <c r="C153" s="5">
        <f>(L35*($E35/365))+(L36*($E36/365))</f>
        <v>52.602739726027387</v>
      </c>
      <c r="D153" s="5">
        <f>(M35*($E35/365))+(M36*($E36/365))</f>
        <v>21.095890410958905</v>
      </c>
      <c r="E153" s="18">
        <f t="shared" si="24"/>
        <v>99.999999999999986</v>
      </c>
      <c r="G153" s="1">
        <v>1973</v>
      </c>
      <c r="H153" s="409">
        <f>(O35/$R35*100*($E35/365))+(O36/$R36*100*($E36/365))</f>
        <v>21.931813208455505</v>
      </c>
      <c r="I153" s="409"/>
      <c r="J153" s="409">
        <f>(P35/$R35*100*($E35/365))+(P36/$R36*100*($E36/365))</f>
        <v>56.97229638058559</v>
      </c>
      <c r="K153" s="409"/>
      <c r="L153" s="409">
        <f>(Q35/$R35*100*($E35/365))+(Q36/$R36*100*($E36/365))</f>
        <v>21.095890410958905</v>
      </c>
      <c r="M153" s="409"/>
      <c r="N153" s="379">
        <f t="shared" si="23"/>
        <v>100</v>
      </c>
      <c r="O153" s="379"/>
      <c r="R153" s="1">
        <v>1973</v>
      </c>
      <c r="S153" s="5">
        <f>(O35*($E35/365))+(O36*($E36/365))</f>
        <v>6.8646575342465743</v>
      </c>
      <c r="T153" s="5">
        <f>(P35*($E35/365))+(P36*($E36/365))</f>
        <v>17.83232876712329</v>
      </c>
      <c r="U153" s="5">
        <f>(Q35*($E35/365))+(Q36*($E36/365))</f>
        <v>8.4383561643835616</v>
      </c>
      <c r="V153" s="5"/>
      <c r="W153" s="5">
        <f t="shared" si="25"/>
        <v>33.135342465753425</v>
      </c>
    </row>
    <row r="154" spans="1:23" x14ac:dyDescent="0.15">
      <c r="A154" s="1">
        <v>1974</v>
      </c>
      <c r="B154" s="5">
        <f>(K37*($E37/365))+(K38*($E38/365))</f>
        <v>0</v>
      </c>
      <c r="C154" s="5">
        <f>(L37*($E37/365))+(L38*($E38/365))</f>
        <v>0</v>
      </c>
      <c r="D154" s="5">
        <f>(M37*($E37/365))+(M38*($E38/365))</f>
        <v>100</v>
      </c>
      <c r="E154" s="18">
        <f t="shared" si="24"/>
        <v>100</v>
      </c>
      <c r="G154" s="1">
        <v>1974</v>
      </c>
      <c r="H154" s="409">
        <f>(O37/$R37*100*($E37/365))+(O38/$R38*100*($E38/365))</f>
        <v>0</v>
      </c>
      <c r="I154" s="409"/>
      <c r="J154" s="409">
        <f>(P37/$R37*100*($E37/365))+(P38/$R38*100*($E38/365))</f>
        <v>0</v>
      </c>
      <c r="K154" s="409"/>
      <c r="L154" s="409">
        <f>(Q37/$R37*100*($E37/365))+(Q38/$R38*100*($E38/365))</f>
        <v>100</v>
      </c>
      <c r="M154" s="409"/>
      <c r="N154" s="379">
        <f t="shared" si="23"/>
        <v>100</v>
      </c>
      <c r="O154" s="379"/>
      <c r="R154" s="1">
        <v>1974</v>
      </c>
      <c r="S154" s="5">
        <f>(O37*($E37/365))+(O38*($E38/365))</f>
        <v>0</v>
      </c>
      <c r="T154" s="5">
        <f>(P37*($E37/365))+(P38*($E38/365))</f>
        <v>0</v>
      </c>
      <c r="U154" s="5">
        <f>(Q37*($E37/365))+(Q38*($E38/365))</f>
        <v>40</v>
      </c>
      <c r="V154" s="5"/>
      <c r="W154" s="5">
        <f t="shared" si="25"/>
        <v>40</v>
      </c>
    </row>
    <row r="155" spans="1:23" x14ac:dyDescent="0.15">
      <c r="A155" s="1">
        <v>1975</v>
      </c>
      <c r="B155" s="5">
        <f>(K39*($E39/365))+(K40*($E40/365))</f>
        <v>0</v>
      </c>
      <c r="C155" s="5">
        <f>(L39*($E39/365))+(L40*($E40/365))</f>
        <v>0</v>
      </c>
      <c r="D155" s="5">
        <f>(M39*($E39/365))+(M40*($E40/365))</f>
        <v>100</v>
      </c>
      <c r="E155" s="18">
        <f t="shared" si="24"/>
        <v>100</v>
      </c>
      <c r="G155" s="1">
        <v>1975</v>
      </c>
      <c r="H155" s="409">
        <f>(O39/$R39*100*($E39/365))+(O40/$R40*100*($E40/365))</f>
        <v>0</v>
      </c>
      <c r="I155" s="409"/>
      <c r="J155" s="409">
        <f>(P39/$R39*100*($E39/365))+(P40/$R40*100*($E40/365))</f>
        <v>0</v>
      </c>
      <c r="K155" s="409"/>
      <c r="L155" s="409">
        <f>(Q39/$R39*100*($E39/365))+(Q40/$R40*100*($E40/365))</f>
        <v>100</v>
      </c>
      <c r="M155" s="409"/>
      <c r="N155" s="379">
        <f t="shared" si="23"/>
        <v>100</v>
      </c>
      <c r="O155" s="379"/>
      <c r="R155" s="1">
        <v>1975</v>
      </c>
      <c r="S155" s="5">
        <f>(O39*($E39/365))+(O40*($E40/365))</f>
        <v>0</v>
      </c>
      <c r="T155" s="5">
        <f>(P39*($E39/365))+(P40*($E40/365))</f>
        <v>0</v>
      </c>
      <c r="U155" s="5">
        <f>(Q39*($E39/365))+(Q40*($E40/365))</f>
        <v>40</v>
      </c>
      <c r="V155" s="5"/>
      <c r="W155" s="5">
        <f t="shared" si="25"/>
        <v>40</v>
      </c>
    </row>
    <row r="156" spans="1:23" x14ac:dyDescent="0.15">
      <c r="A156" s="1">
        <v>1976</v>
      </c>
      <c r="B156" s="5">
        <f>(K41*($E41/366))+(K42*($E42/366))</f>
        <v>0</v>
      </c>
      <c r="C156" s="5">
        <f>(L41*($E41/366))+(L42*($E42/366))</f>
        <v>0</v>
      </c>
      <c r="D156" s="5">
        <f>(M41*($E41/366))+(M42*($E42/366))</f>
        <v>100</v>
      </c>
      <c r="E156" s="18">
        <f t="shared" si="24"/>
        <v>100</v>
      </c>
      <c r="G156" s="1">
        <v>1976</v>
      </c>
      <c r="H156" s="409">
        <f>(O41/$R41*100*($E41/366))+(O42/$R42*100*($E42/366))</f>
        <v>0</v>
      </c>
      <c r="I156" s="409"/>
      <c r="J156" s="409">
        <f>(P41/$R41*100*($E41/366))+(P42/$R42*100*($E42/366))</f>
        <v>0</v>
      </c>
      <c r="K156" s="409"/>
      <c r="L156" s="409">
        <f>(Q41/$R41*100*($E41/366))+(Q42/$R42*100*($E42/366))</f>
        <v>100</v>
      </c>
      <c r="M156" s="409"/>
      <c r="N156" s="379">
        <f t="shared" si="23"/>
        <v>100</v>
      </c>
      <c r="O156" s="379"/>
      <c r="R156" s="1">
        <v>1976</v>
      </c>
      <c r="S156" s="5">
        <f>(O41*($E41/366))+(O42*($E42/366))</f>
        <v>0</v>
      </c>
      <c r="T156" s="5">
        <f>(P41*($E41/366))+(P42*($E42/366))</f>
        <v>0</v>
      </c>
      <c r="U156" s="5">
        <f>(Q41*($E41/366))+(Q42*($E42/366))</f>
        <v>39.999999999999993</v>
      </c>
      <c r="V156" s="5"/>
      <c r="W156" s="5">
        <f t="shared" si="25"/>
        <v>39.999999999999993</v>
      </c>
    </row>
    <row r="157" spans="1:23" x14ac:dyDescent="0.15">
      <c r="A157" s="1">
        <v>1977</v>
      </c>
      <c r="B157" s="5">
        <f>(K43*($E43/365))+(K44*($E44/365))</f>
        <v>0</v>
      </c>
      <c r="C157" s="5">
        <f>(L43*($E43/365))+(L44*($E44/365))</f>
        <v>0</v>
      </c>
      <c r="D157" s="5">
        <f>(M43*($E43/365))+(M44*($E44/365))</f>
        <v>100</v>
      </c>
      <c r="E157" s="18">
        <f t="shared" si="24"/>
        <v>100</v>
      </c>
      <c r="G157" s="1">
        <v>1977</v>
      </c>
      <c r="H157" s="409">
        <f>(O43/$R43*100*($E43/365))+(O44/$R44*100*($E44/365))</f>
        <v>0</v>
      </c>
      <c r="I157" s="409"/>
      <c r="J157" s="409">
        <f>(P43/$R43*100*($E43/365))+(P44/$R44*100*($E44/365))</f>
        <v>0</v>
      </c>
      <c r="K157" s="409"/>
      <c r="L157" s="409">
        <f>(Q43/$R43*100*($E43/365))+(Q44/$R44*100*($E44/365))</f>
        <v>100</v>
      </c>
      <c r="M157" s="409"/>
      <c r="N157" s="379">
        <f t="shared" si="23"/>
        <v>100</v>
      </c>
      <c r="O157" s="379"/>
      <c r="R157" s="1">
        <v>1977</v>
      </c>
      <c r="S157" s="5">
        <f>(O43*($E43/365))+(O44*($E44/365))</f>
        <v>0</v>
      </c>
      <c r="T157" s="5">
        <f>(P43*($E43/365))+(P44*($E44/365))</f>
        <v>0</v>
      </c>
      <c r="U157" s="5">
        <f>(Q43*($E43/365))+(Q44*($E44/365))</f>
        <v>42.736986301369868</v>
      </c>
      <c r="V157" s="5"/>
      <c r="W157" s="5">
        <f t="shared" si="25"/>
        <v>42.736986301369868</v>
      </c>
    </row>
    <row r="158" spans="1:23" x14ac:dyDescent="0.15">
      <c r="A158" s="1">
        <v>1978</v>
      </c>
      <c r="B158" s="5">
        <f>(K45*($E45/365))+(K46*($E46/365))</f>
        <v>0</v>
      </c>
      <c r="C158" s="5">
        <f>(L45*($E45/365))+(L46*($E46/365))</f>
        <v>0</v>
      </c>
      <c r="D158" s="5">
        <f>(M45*($E45/365))+(M46*($E46/365))</f>
        <v>100</v>
      </c>
      <c r="E158" s="18">
        <f t="shared" si="24"/>
        <v>100</v>
      </c>
      <c r="G158" s="1">
        <v>1978</v>
      </c>
      <c r="H158" s="409">
        <f>(O45/$R45*100*($E45/365))+(O46/$R46*100*($E46/365))</f>
        <v>0</v>
      </c>
      <c r="I158" s="409"/>
      <c r="J158" s="409">
        <f>(P45/$R45*100*($E45/365))+(P46/$R46*100*($E46/365))</f>
        <v>0</v>
      </c>
      <c r="K158" s="409"/>
      <c r="L158" s="409">
        <f>(Q45/$R45*100*($E45/365))+(Q46/$R46*100*($E46/365))</f>
        <v>100</v>
      </c>
      <c r="M158" s="409"/>
      <c r="N158" s="379">
        <f t="shared" si="23"/>
        <v>100</v>
      </c>
      <c r="O158" s="379"/>
      <c r="R158" s="1">
        <v>1978</v>
      </c>
      <c r="S158" s="5">
        <f>(O45*($E45/365))+(O46*($E46/365))</f>
        <v>0</v>
      </c>
      <c r="T158" s="5">
        <f>(P45*($E45/365))+(P46*($E46/365))</f>
        <v>0</v>
      </c>
      <c r="U158" s="5">
        <f>(Q45*($E45/365))+(Q46*($E46/365))</f>
        <v>49</v>
      </c>
      <c r="V158" s="5"/>
      <c r="W158" s="5">
        <f t="shared" si="25"/>
        <v>49</v>
      </c>
    </row>
    <row r="159" spans="1:23" x14ac:dyDescent="0.15">
      <c r="A159" s="1">
        <v>1979</v>
      </c>
      <c r="B159" s="5">
        <f>(K47*($E47/365))+(K48*($E48/365))</f>
        <v>0</v>
      </c>
      <c r="C159" s="5">
        <f>(L47*($E47/365))+(L48*($E48/365))</f>
        <v>0</v>
      </c>
      <c r="D159" s="5">
        <f>(M47*($E47/365))+(M48*($E48/365))</f>
        <v>100</v>
      </c>
      <c r="E159" s="18">
        <f t="shared" si="24"/>
        <v>100</v>
      </c>
      <c r="G159" s="1">
        <v>1979</v>
      </c>
      <c r="H159" s="409">
        <f>(O47/$R47*100*($E47/365))+(O48/$R48*100*($E48/365))</f>
        <v>0</v>
      </c>
      <c r="I159" s="409"/>
      <c r="J159" s="409">
        <f>(P47/$R47*100*($E47/365))+(P48/$R48*100*($E48/365))</f>
        <v>0</v>
      </c>
      <c r="K159" s="409"/>
      <c r="L159" s="409">
        <f>(Q47/$R47*100*($E47/365))+(Q48/$R48*100*($E48/365))</f>
        <v>100</v>
      </c>
      <c r="M159" s="409"/>
      <c r="N159" s="379">
        <f t="shared" si="23"/>
        <v>100</v>
      </c>
      <c r="O159" s="379"/>
      <c r="R159" s="1">
        <v>1979</v>
      </c>
      <c r="S159" s="5">
        <f>(O47*($E47/365))+(O48*($E48/365))</f>
        <v>0</v>
      </c>
      <c r="T159" s="5">
        <f>(P47*($E47/365))+(P48*($E48/365))</f>
        <v>0</v>
      </c>
      <c r="U159" s="5">
        <f>(Q47*($E47/365))+(Q48*($E48/365))</f>
        <v>49</v>
      </c>
      <c r="V159" s="5"/>
      <c r="W159" s="5">
        <f t="shared" si="25"/>
        <v>49</v>
      </c>
    </row>
    <row r="160" spans="1:23" x14ac:dyDescent="0.15">
      <c r="A160" s="1">
        <v>1980</v>
      </c>
      <c r="B160" s="5">
        <f>(K49*($E49/366))+(K50*($E50/366))</f>
        <v>0</v>
      </c>
      <c r="C160" s="5">
        <f>(L49*($E49/366))+(L50*($E50/366))</f>
        <v>0</v>
      </c>
      <c r="D160" s="5">
        <f>(M49*($E49/366))+(M50*($E50/366))</f>
        <v>100</v>
      </c>
      <c r="E160" s="18">
        <f t="shared" si="24"/>
        <v>100</v>
      </c>
      <c r="G160" s="1">
        <v>1980</v>
      </c>
      <c r="H160" s="409">
        <f>(O49/$R49*100*($E49/366))+(O50/$R50*100*($E50/366))</f>
        <v>0</v>
      </c>
      <c r="I160" s="409"/>
      <c r="J160" s="409">
        <f>(P49/$R49*100*($E49/366))+(P50/$R50*100*($E50/366))</f>
        <v>0</v>
      </c>
      <c r="K160" s="409"/>
      <c r="L160" s="409">
        <f>(Q49/$R49*100*($E49/366))+(Q50/$R50*100*($E50/366))</f>
        <v>100</v>
      </c>
      <c r="M160" s="409"/>
      <c r="N160" s="379">
        <f t="shared" si="23"/>
        <v>100</v>
      </c>
      <c r="O160" s="379"/>
      <c r="R160" s="1">
        <v>1980</v>
      </c>
      <c r="S160" s="5">
        <f>(O49*($E49/366))+(O50*($E50/366))</f>
        <v>0</v>
      </c>
      <c r="T160" s="5">
        <f>(P49*($E49/366))+(P50*($E50/366))</f>
        <v>0</v>
      </c>
      <c r="U160" s="5">
        <f>(Q49*($E49/366))+(Q50*($E50/366))</f>
        <v>49</v>
      </c>
      <c r="V160" s="5"/>
      <c r="W160" s="5">
        <f t="shared" si="25"/>
        <v>49</v>
      </c>
    </row>
    <row r="161" spans="1:23" x14ac:dyDescent="0.15">
      <c r="A161" s="1">
        <v>1981</v>
      </c>
      <c r="B161" s="5">
        <f>(K51*($E51/365))+(K52*($E52/365))+(K53*($E53/365))</f>
        <v>21.643835616438356</v>
      </c>
      <c r="C161" s="5">
        <f>(L51*($E51/365))+(L52*($E52/365))+(L53*($E53/365))</f>
        <v>0</v>
      </c>
      <c r="D161" s="5">
        <f>(M51*($E51/365))+(M52*($E52/365))+(M53*($E53/365))</f>
        <v>78.356164383561648</v>
      </c>
      <c r="E161" s="18">
        <f t="shared" si="24"/>
        <v>100</v>
      </c>
      <c r="G161" s="1">
        <v>1981</v>
      </c>
      <c r="H161" s="409">
        <f>(O51/$R51*100*($E51/365))+(O52/$R52*100*($E52/365))+(O53/$R53*100*($E53/365))</f>
        <v>21.643835616438356</v>
      </c>
      <c r="I161" s="409"/>
      <c r="J161" s="409">
        <f>(P51/$R51*100*($E51/365))+(P52/$R52*100*($E52/365))+(P53/$R53*100*($E53/365))</f>
        <v>0</v>
      </c>
      <c r="K161" s="409"/>
      <c r="L161" s="409">
        <f>(Q51/$R51*100*($E51/365))+(Q52/$R52*100*($E52/365))+(Q53/$R53*100*($E53/365))</f>
        <v>78.356164383561648</v>
      </c>
      <c r="M161" s="409"/>
      <c r="N161" s="379">
        <f t="shared" si="23"/>
        <v>100</v>
      </c>
      <c r="O161" s="379"/>
      <c r="R161" s="1">
        <v>1981</v>
      </c>
      <c r="S161" s="5">
        <f>(O51*($E51/365))+(O52*($E52/365))+(O53*($E53/365))</f>
        <v>7.5320547945205476</v>
      </c>
      <c r="T161" s="5">
        <f>(P51*($E51/365))+(P52*($E52/365))+(P53*($E53/365))</f>
        <v>0</v>
      </c>
      <c r="U161" s="5">
        <f>(Q51*($E51/365))+(Q52*($E52/365))+(Q53*($E53/365))</f>
        <v>38.394520547945206</v>
      </c>
      <c r="V161" s="5"/>
      <c r="W161" s="5">
        <f t="shared" si="25"/>
        <v>45.926575342465753</v>
      </c>
    </row>
    <row r="162" spans="1:23" x14ac:dyDescent="0.15">
      <c r="A162" s="1">
        <v>1982</v>
      </c>
      <c r="B162" s="5">
        <f>(K54*($E54/365))+(K55*($E55/365))</f>
        <v>100</v>
      </c>
      <c r="C162" s="5">
        <f>(L54*($E54/365))+(L55*($E55/365))</f>
        <v>0</v>
      </c>
      <c r="D162" s="5">
        <f>(M54*($E54/365))+(M55*($E55/365))</f>
        <v>0</v>
      </c>
      <c r="E162" s="18">
        <f t="shared" si="24"/>
        <v>100</v>
      </c>
      <c r="G162" s="1">
        <v>1982</v>
      </c>
      <c r="H162" s="409">
        <f>(O54/$R54*100*($E54/365))+(O55/$R55*100*($E55/365))</f>
        <v>100</v>
      </c>
      <c r="I162" s="409"/>
      <c r="J162" s="409">
        <f>(P54/$R54*100*($E54/365))+(P55/$R55*100*($E55/365))</f>
        <v>0</v>
      </c>
      <c r="K162" s="409"/>
      <c r="L162" s="409">
        <f>(Q54/$R54*100*($E54/365))+(Q55/$R55*100*($E55/365))</f>
        <v>0</v>
      </c>
      <c r="M162" s="409"/>
      <c r="N162" s="379">
        <f t="shared" si="23"/>
        <v>100</v>
      </c>
      <c r="O162" s="379"/>
      <c r="R162" s="1">
        <v>1982</v>
      </c>
      <c r="S162" s="5">
        <f>(O54*($E54/365))+(O55*($E55/365))</f>
        <v>34.799999999999997</v>
      </c>
      <c r="T162" s="5">
        <f>(P54*($E54/365))+(P55*($E55/365))</f>
        <v>0</v>
      </c>
      <c r="U162" s="5">
        <f>(Q54*($E54/365))+(Q55*($E55/365))</f>
        <v>0</v>
      </c>
      <c r="V162" s="5"/>
      <c r="W162" s="5">
        <f t="shared" si="25"/>
        <v>34.799999999999997</v>
      </c>
    </row>
    <row r="163" spans="1:23" x14ac:dyDescent="0.15">
      <c r="A163" s="1">
        <v>1983</v>
      </c>
      <c r="B163" s="5">
        <f>(K56*($E56/365))+(K57*($E57/365))</f>
        <v>81.095890410958901</v>
      </c>
      <c r="C163" s="5">
        <f>(L56*($E56/365))+(L57*($E57/365))</f>
        <v>18.904109589041092</v>
      </c>
      <c r="D163" s="5">
        <f>(M56*($E56/365))+(M57*($E57/365))</f>
        <v>0</v>
      </c>
      <c r="E163" s="18">
        <f t="shared" si="24"/>
        <v>100</v>
      </c>
      <c r="G163" s="1">
        <v>1983</v>
      </c>
      <c r="H163" s="409">
        <f>(O56/$R56*100*($E56/365))+(O57/$R57*100*($E57/365))</f>
        <v>81.535520866517999</v>
      </c>
      <c r="I163" s="409"/>
      <c r="J163" s="409">
        <f>(P56/$R56*100*($E56/365))+(P57/$R57*100*($E57/365))</f>
        <v>18.464479133481998</v>
      </c>
      <c r="K163" s="409"/>
      <c r="L163" s="409">
        <f>(Q56/$R56*100*($E56/365))+(Q57/$R57*100*($E57/365))</f>
        <v>0</v>
      </c>
      <c r="M163" s="409"/>
      <c r="N163" s="379">
        <f t="shared" si="23"/>
        <v>100</v>
      </c>
      <c r="O163" s="379"/>
      <c r="R163" s="1">
        <v>1983</v>
      </c>
      <c r="S163" s="5">
        <f>(O56*($E56/365))+(O57*($E57/365))</f>
        <v>34.799999999999997</v>
      </c>
      <c r="T163" s="5">
        <f>(P56*($E56/365))+(P57*($E57/365))</f>
        <v>9.5276712328767115</v>
      </c>
      <c r="U163" s="5">
        <f>(Q56*($E56/365))+(Q57*($E57/365))</f>
        <v>0</v>
      </c>
      <c r="V163" s="5"/>
      <c r="W163" s="5">
        <f t="shared" si="25"/>
        <v>44.32767123287671</v>
      </c>
    </row>
    <row r="164" spans="1:23" x14ac:dyDescent="0.15">
      <c r="A164" s="1">
        <v>1984</v>
      </c>
      <c r="B164" s="5">
        <f>(K58*($E58/366))+(K59*($E59/366))</f>
        <v>66.666666666666657</v>
      </c>
      <c r="C164" s="5">
        <f>(L58*($E58/366))+(L59*($E59/366))</f>
        <v>33.333333333333329</v>
      </c>
      <c r="D164" s="5">
        <f>(M58*($E58/366))+(M59*($E59/366))</f>
        <v>0</v>
      </c>
      <c r="E164" s="18">
        <f t="shared" si="24"/>
        <v>99.999999999999986</v>
      </c>
      <c r="G164" s="1">
        <v>1984</v>
      </c>
      <c r="H164" s="409">
        <f>(O58/$R58*100*($E58/366))+(O59/$R59*100*($E59/366))</f>
        <v>67.441860465116278</v>
      </c>
      <c r="I164" s="409"/>
      <c r="J164" s="409">
        <f>(P58/$R58*100*($E58/366))+(P59/$R59*100*($E59/366))</f>
        <v>32.558139534883715</v>
      </c>
      <c r="K164" s="409"/>
      <c r="L164" s="409">
        <f>(Q58/$R58*100*($E58/366))+(Q59/$R59*100*($E59/366))</f>
        <v>0</v>
      </c>
      <c r="M164" s="409"/>
      <c r="N164" s="379">
        <f t="shared" si="23"/>
        <v>100</v>
      </c>
      <c r="O164" s="379"/>
      <c r="R164" s="1">
        <v>1984</v>
      </c>
      <c r="S164" s="5">
        <f>(O58*($E58/366))+(O59*($E59/366))</f>
        <v>34.799999999999997</v>
      </c>
      <c r="T164" s="5">
        <f>(P58*($E58/366))+(P59*($E59/366))</f>
        <v>16.799999999999997</v>
      </c>
      <c r="U164" s="5">
        <f>(Q58*($E58/366))+(Q59*($E59/366))</f>
        <v>0</v>
      </c>
      <c r="V164" s="5"/>
      <c r="W164" s="5">
        <f t="shared" si="25"/>
        <v>51.599999999999994</v>
      </c>
    </row>
    <row r="165" spans="1:23" x14ac:dyDescent="0.15">
      <c r="A165" s="1">
        <v>1985</v>
      </c>
      <c r="B165" s="5">
        <f>(K60*($E60/365))+(K61*($E61/365))</f>
        <v>66.118721461187207</v>
      </c>
      <c r="C165" s="5">
        <f>(L60*($E60/365))+(L61*($E61/365))</f>
        <v>33.881278538812779</v>
      </c>
      <c r="D165" s="5">
        <f>(M60*($E60/365))+(M61*($E61/365))</f>
        <v>0</v>
      </c>
      <c r="E165" s="18">
        <f t="shared" si="24"/>
        <v>99.999999999999986</v>
      </c>
      <c r="G165" s="1">
        <v>1985</v>
      </c>
      <c r="H165" s="409">
        <f>(O60/$R60*100*($E60/365))+(O61/$R61*100*($E61/365))</f>
        <v>67.113524956581614</v>
      </c>
      <c r="I165" s="409"/>
      <c r="J165" s="409">
        <f>(P60/$R60*100*($E60/365))+(P61/$R61*100*($E61/365))</f>
        <v>32.886475043418386</v>
      </c>
      <c r="K165" s="409"/>
      <c r="L165" s="409">
        <f>(Q60/$R60*100*($E60/365))+(Q61/$R61*100*($E61/365))</f>
        <v>0</v>
      </c>
      <c r="M165" s="409"/>
      <c r="N165" s="379">
        <f t="shared" si="23"/>
        <v>100</v>
      </c>
      <c r="O165" s="379"/>
      <c r="R165" s="1">
        <v>1985</v>
      </c>
      <c r="S165" s="5">
        <f>(O60*($E60/365))+(O61*($E61/365))</f>
        <v>34.504109589041093</v>
      </c>
      <c r="T165" s="5">
        <f>(P60*($E60/365))+(P61*($E61/365))</f>
        <v>16.898630136986299</v>
      </c>
      <c r="U165" s="5">
        <f>(Q60*($E60/365))+(Q61*($E61/365))</f>
        <v>0</v>
      </c>
      <c r="V165" s="5"/>
      <c r="W165" s="5">
        <f t="shared" si="25"/>
        <v>51.402739726027391</v>
      </c>
    </row>
    <row r="166" spans="1:23" x14ac:dyDescent="0.15">
      <c r="A166" s="1">
        <v>1986</v>
      </c>
      <c r="B166" s="5">
        <f>(K62*($E62/365))+(K63*($E63/365))</f>
        <v>21.430745814307461</v>
      </c>
      <c r="C166" s="5">
        <f>(L62*($E62/365))+(L63*($E63/365))</f>
        <v>13.637747336377474</v>
      </c>
      <c r="D166" s="5">
        <f>(M62*($E62/365))+(M63*($E63/365))</f>
        <v>64.93150684931507</v>
      </c>
      <c r="E166" s="18">
        <f t="shared" si="24"/>
        <v>100</v>
      </c>
      <c r="G166" s="1">
        <v>1986</v>
      </c>
      <c r="H166" s="409">
        <f>(O62/$R62*100*($E62/365))+(O63/$R63*100*($E63/365))</f>
        <v>22.483429076447198</v>
      </c>
      <c r="I166" s="409"/>
      <c r="J166" s="409">
        <f>(P62/$R62*100*($E62/365))+(P63/$R63*100*($E63/365))</f>
        <v>12.585064074237737</v>
      </c>
      <c r="K166" s="409"/>
      <c r="L166" s="409">
        <f>(Q62/$R62*100*($E62/365))+(Q63/$R63*100*($E63/365))</f>
        <v>64.93150684931507</v>
      </c>
      <c r="M166" s="409"/>
      <c r="N166" s="379">
        <f t="shared" si="23"/>
        <v>100</v>
      </c>
      <c r="O166" s="379"/>
      <c r="R166" s="1">
        <v>1986</v>
      </c>
      <c r="S166" s="5">
        <f>(O62*($E62/365))+(O63*($E63/365))</f>
        <v>11.151780821917809</v>
      </c>
      <c r="T166" s="5">
        <f>(P62*($E62/365))+(P63*($E63/365))</f>
        <v>6.2421917808219165</v>
      </c>
      <c r="U166" s="5">
        <f>(Q62*($E62/365))+(Q63*($E63/365))</f>
        <v>29.349041095890414</v>
      </c>
      <c r="V166" s="5"/>
      <c r="W166" s="5">
        <f t="shared" si="25"/>
        <v>46.743013698630136</v>
      </c>
    </row>
    <row r="167" spans="1:23" x14ac:dyDescent="0.15">
      <c r="A167" s="1">
        <v>1987</v>
      </c>
      <c r="B167" s="5">
        <f>(K64*($E64/365))+(K65*($E65/365))</f>
        <v>0</v>
      </c>
      <c r="C167" s="5">
        <f>(L64*($E64/365))+(L65*($E65/365))</f>
        <v>0</v>
      </c>
      <c r="D167" s="5">
        <f>(M64*($E64/365))+(M65*($E65/365))</f>
        <v>100</v>
      </c>
      <c r="E167" s="18">
        <f t="shared" si="24"/>
        <v>100</v>
      </c>
      <c r="G167" s="1">
        <v>1987</v>
      </c>
      <c r="H167" s="409">
        <f>(O64/$R64*100*($E64/365))+(O65/$R65*100*($E65/365))</f>
        <v>0</v>
      </c>
      <c r="I167" s="409"/>
      <c r="J167" s="409">
        <f>(P64/$R64*100*($E64/365))+(P65/$R65*100*($E65/365))</f>
        <v>0</v>
      </c>
      <c r="K167" s="409"/>
      <c r="L167" s="409">
        <f>(Q64/$R64*100*($E64/365))+(Q65/$R65*100*($E65/365))</f>
        <v>100</v>
      </c>
      <c r="M167" s="409"/>
      <c r="N167" s="379">
        <f t="shared" si="23"/>
        <v>100</v>
      </c>
      <c r="O167" s="379"/>
      <c r="R167" s="1">
        <v>1987</v>
      </c>
      <c r="S167" s="5">
        <f>(O64*($E64/365))+(O65*($E65/365))</f>
        <v>0</v>
      </c>
      <c r="T167" s="5">
        <f>(P64*($E64/365))+(P65*($E65/365))</f>
        <v>0</v>
      </c>
      <c r="U167" s="5">
        <f>(Q64*($E64/365))+(Q65*($E65/365))</f>
        <v>45.2</v>
      </c>
      <c r="V167" s="5"/>
      <c r="W167" s="5">
        <f t="shared" si="25"/>
        <v>45.2</v>
      </c>
    </row>
    <row r="168" spans="1:23" x14ac:dyDescent="0.15">
      <c r="A168" s="1">
        <v>1988</v>
      </c>
      <c r="B168" s="5">
        <f>(K66*($E66/366))+(K67*($E67/366))</f>
        <v>0</v>
      </c>
      <c r="C168" s="5">
        <f>(L66*($E66/366))+(L67*($E67/366))</f>
        <v>0</v>
      </c>
      <c r="D168" s="5">
        <f>(M66*($E66/366))+(M67*($E67/366))</f>
        <v>100</v>
      </c>
      <c r="E168" s="18">
        <f t="shared" si="24"/>
        <v>100</v>
      </c>
      <c r="G168" s="1">
        <v>1988</v>
      </c>
      <c r="H168" s="409">
        <f>(O66/$R66*100*($E66/366))+(O67/$R67*100*($E67/366))</f>
        <v>0</v>
      </c>
      <c r="I168" s="409"/>
      <c r="J168" s="409">
        <f>(P66/$R66*100*($E66/366))+(P67/$R67*100*($E67/366))</f>
        <v>0</v>
      </c>
      <c r="K168" s="409"/>
      <c r="L168" s="409">
        <f>(Q66/$R66*100*($E66/366))+(Q67/$R67*100*($E67/366))</f>
        <v>100</v>
      </c>
      <c r="M168" s="409"/>
      <c r="N168" s="379">
        <f t="shared" si="23"/>
        <v>100</v>
      </c>
      <c r="O168" s="379"/>
      <c r="R168" s="1">
        <v>1988</v>
      </c>
      <c r="S168" s="5">
        <f>(O66*($E66/366))+(O67*($E67/366))</f>
        <v>0</v>
      </c>
      <c r="T168" s="5">
        <f>(P66*($E66/366))+(P67*($E67/366))</f>
        <v>0</v>
      </c>
      <c r="U168" s="5">
        <f>(Q66*($E66/366))+(Q67*($E67/366))</f>
        <v>45.2</v>
      </c>
      <c r="V168" s="5"/>
      <c r="W168" s="5">
        <f t="shared" si="25"/>
        <v>45.2</v>
      </c>
    </row>
    <row r="169" spans="1:23" x14ac:dyDescent="0.15">
      <c r="A169" s="1">
        <v>1989</v>
      </c>
      <c r="B169" s="5">
        <f>(K68*($E68/365))+(K69*($E69/365))</f>
        <v>9.3759512937595115</v>
      </c>
      <c r="C169" s="5">
        <f>(L68*($E68/365))+(L69*($E69/365))</f>
        <v>11.719939117199392</v>
      </c>
      <c r="D169" s="5">
        <f>(M68*($E68/365))+(M69*($E69/365))</f>
        <v>78.904109589041099</v>
      </c>
      <c r="E169" s="18">
        <f t="shared" si="24"/>
        <v>100</v>
      </c>
      <c r="G169" s="1">
        <v>1989</v>
      </c>
      <c r="H169" s="409">
        <f>(O68/$R68*100*($E68/365))+(O69/$R69*100*($E69/365))</f>
        <v>12.567764500145731</v>
      </c>
      <c r="I169" s="409"/>
      <c r="J169" s="409">
        <f>(P68/$R68*100*($E68/365))+(P69/$R69*100*($E69/365))</f>
        <v>8.5281259108131735</v>
      </c>
      <c r="K169" s="409"/>
      <c r="L169" s="409">
        <f>(Q68/$R68*100*($E68/365))+(Q69/$R69*100*($E69/365))</f>
        <v>78.904109589041099</v>
      </c>
      <c r="M169" s="409"/>
      <c r="N169" s="379">
        <f t="shared" si="23"/>
        <v>100</v>
      </c>
      <c r="O169" s="379"/>
      <c r="R169" s="1">
        <v>1989</v>
      </c>
      <c r="S169" s="5">
        <f>(O68*($E68/365))+(O69*($E69/365))</f>
        <v>4.7254794520547945</v>
      </c>
      <c r="T169" s="5">
        <f>(P68*($E68/365))+(P69*($E69/365))</f>
        <v>3.206575342465753</v>
      </c>
      <c r="U169" s="5">
        <f>(Q68*($E68/365))+(Q69*($E69/365))</f>
        <v>35.664657534246579</v>
      </c>
      <c r="V169" s="5"/>
      <c r="W169" s="5">
        <f t="shared" si="25"/>
        <v>43.596712328767126</v>
      </c>
    </row>
    <row r="170" spans="1:23" x14ac:dyDescent="0.15">
      <c r="A170" s="1">
        <v>1990</v>
      </c>
      <c r="B170" s="5">
        <f>(K70*($E70/365))+(K71*($E71/365))</f>
        <v>37.260273972602739</v>
      </c>
      <c r="C170" s="5">
        <f>(L70*($E70/365))+(L71*($E71/365))</f>
        <v>46.575342465753423</v>
      </c>
      <c r="D170" s="5">
        <f>(M70*($E70/365))+(M71*($E71/365))</f>
        <v>16.164383561643834</v>
      </c>
      <c r="E170" s="18">
        <f t="shared" si="24"/>
        <v>100</v>
      </c>
      <c r="G170" s="1">
        <v>1990</v>
      </c>
      <c r="H170" s="409">
        <f>(O70/$R70*100*($E70/365))+(O71/$R71*100*($E71/365))</f>
        <v>49.944622559020701</v>
      </c>
      <c r="I170" s="409"/>
      <c r="J170" s="409">
        <f>(P70/$R70*100*($E70/365))+(P71/$R71*100*($E71/365))</f>
        <v>33.890993879335468</v>
      </c>
      <c r="K170" s="409"/>
      <c r="L170" s="409">
        <f>(Q70/$R70*100*($E70/365))+(Q71/$R71*100*($E71/365))</f>
        <v>16.164383561643834</v>
      </c>
      <c r="M170" s="409"/>
      <c r="N170" s="379">
        <f t="shared" si="23"/>
        <v>100</v>
      </c>
      <c r="O170" s="379"/>
      <c r="R170" s="1">
        <v>1990</v>
      </c>
      <c r="S170" s="5">
        <f>(O70*($E70/365))+(O71*($E71/365))</f>
        <v>18.77917808219178</v>
      </c>
      <c r="T170" s="5">
        <f>(P70*($E70/365))+(P71*($E71/365))</f>
        <v>12.743013698630136</v>
      </c>
      <c r="U170" s="5">
        <f>(Q70*($E70/365))+(Q71*($E71/365))</f>
        <v>6.1747945205479455</v>
      </c>
      <c r="V170" s="5"/>
      <c r="W170" s="5">
        <f t="shared" si="25"/>
        <v>37.696986301369861</v>
      </c>
    </row>
    <row r="171" spans="1:23" x14ac:dyDescent="0.15">
      <c r="A171" s="1">
        <v>1991</v>
      </c>
      <c r="B171" s="5">
        <f>(K72*($E72/365))+(K73*($E73/365))</f>
        <v>0</v>
      </c>
      <c r="C171" s="5">
        <f>(L72*($E72/365))+(L73*($E73/365))</f>
        <v>0</v>
      </c>
      <c r="D171" s="5">
        <f>(M72*($E72/365))+(M73*($E73/365))</f>
        <v>100</v>
      </c>
      <c r="E171" s="18">
        <f t="shared" si="24"/>
        <v>100</v>
      </c>
      <c r="G171" s="1">
        <v>1991</v>
      </c>
      <c r="H171" s="409">
        <f>(O72/$R72*100*($E72/365))+(O73/$R73*100*($E73/365))</f>
        <v>0</v>
      </c>
      <c r="I171" s="409"/>
      <c r="J171" s="409">
        <f>(P72/$R72*100*($E72/365))+(P73/$R73*100*($E73/365))</f>
        <v>0</v>
      </c>
      <c r="K171" s="409"/>
      <c r="L171" s="409">
        <f>(Q72/$R72*100*($E72/365))+(Q73/$R73*100*($E73/365))</f>
        <v>100</v>
      </c>
      <c r="M171" s="409"/>
      <c r="N171" s="379">
        <f t="shared" si="23"/>
        <v>100</v>
      </c>
      <c r="O171" s="379"/>
      <c r="R171" s="1">
        <v>1991</v>
      </c>
      <c r="S171" s="5">
        <f>(O72*($E72/365))+(O73*($E73/365))</f>
        <v>0</v>
      </c>
      <c r="T171" s="5">
        <f>(P72*($E72/365))+(P73*($E73/365))</f>
        <v>0</v>
      </c>
      <c r="U171" s="5">
        <f>(Q72*($E72/365))+(Q73*($E73/365))</f>
        <v>38.200000000000003</v>
      </c>
      <c r="V171" s="5"/>
      <c r="W171" s="5">
        <f t="shared" si="25"/>
        <v>38.200000000000003</v>
      </c>
    </row>
    <row r="172" spans="1:23" x14ac:dyDescent="0.15">
      <c r="A172" s="1">
        <v>1992</v>
      </c>
      <c r="B172" s="5">
        <f>(K74*($E74/366))+(K75*($E75/366))</f>
        <v>0</v>
      </c>
      <c r="C172" s="5">
        <f>(L74*($E74/366))+(L75*($E75/366))</f>
        <v>0</v>
      </c>
      <c r="D172" s="5">
        <f>(M74*($E74/366))+(M75*($E75/366))</f>
        <v>100</v>
      </c>
      <c r="E172" s="18">
        <f t="shared" si="24"/>
        <v>100</v>
      </c>
      <c r="G172" s="1">
        <v>1992</v>
      </c>
      <c r="H172" s="409">
        <f>(O74/$R74*100*($E74/366))+(O75/$R75*100*($E75/366))</f>
        <v>0</v>
      </c>
      <c r="I172" s="409"/>
      <c r="J172" s="409">
        <f>(P74/$R74*100*($E74/366))+(P75/$R75*100*($E75/366))</f>
        <v>0</v>
      </c>
      <c r="K172" s="409"/>
      <c r="L172" s="409">
        <f>(Q74/$R74*100*($E74/366))+(Q75/$R75*100*($E75/366))</f>
        <v>100</v>
      </c>
      <c r="M172" s="409"/>
      <c r="N172" s="379">
        <f t="shared" ref="N172:N192" si="26">H172+J172+L172</f>
        <v>100</v>
      </c>
      <c r="O172" s="379"/>
      <c r="R172" s="1">
        <v>1992</v>
      </c>
      <c r="S172" s="5">
        <f>(O74*($E74/366))+(O75*($E75/366))</f>
        <v>0</v>
      </c>
      <c r="T172" s="5">
        <f>(P74*($E74/366))+(P75*($E75/366))</f>
        <v>0</v>
      </c>
      <c r="U172" s="5">
        <f>(Q74*($E74/366))+(Q75*($E75/366))</f>
        <v>38.200000000000003</v>
      </c>
      <c r="V172" s="5"/>
      <c r="W172" s="5">
        <f t="shared" si="25"/>
        <v>38.200000000000003</v>
      </c>
    </row>
    <row r="173" spans="1:23" x14ac:dyDescent="0.15">
      <c r="A173" s="1">
        <v>1993</v>
      </c>
      <c r="B173" s="5">
        <f>(K76*($E76/365))+(K77*($E77/365))</f>
        <v>0</v>
      </c>
      <c r="C173" s="5">
        <f>(L76*($E76/365))+(L77*($E77/365))</f>
        <v>0</v>
      </c>
      <c r="D173" s="5">
        <f>(M76*($E76/365))+(M77*($E77/365))</f>
        <v>100</v>
      </c>
      <c r="E173" s="18">
        <f t="shared" si="24"/>
        <v>100</v>
      </c>
      <c r="G173" s="1">
        <v>1993</v>
      </c>
      <c r="H173" s="409">
        <f>(O76/$R76*100*($E76/365))+(O77/$R77*100*($E77/365))</f>
        <v>0</v>
      </c>
      <c r="I173" s="409"/>
      <c r="J173" s="409">
        <f>(P76/$R76*100*($E76/365))+(P77/$R77*100*($E77/365))</f>
        <v>0</v>
      </c>
      <c r="K173" s="409"/>
      <c r="L173" s="409">
        <f>(Q76/$R76*100*($E76/365))+(Q77/$R77*100*($E77/365))</f>
        <v>100</v>
      </c>
      <c r="M173" s="409"/>
      <c r="N173" s="379">
        <f t="shared" si="26"/>
        <v>100</v>
      </c>
      <c r="O173" s="379"/>
      <c r="R173" s="1">
        <v>1993</v>
      </c>
      <c r="S173" s="5">
        <f>(O76*($E76/365))+(O77*($E77/365))</f>
        <v>0</v>
      </c>
      <c r="T173" s="5">
        <f>(P76*($E76/365))+(P77*($E77/365))</f>
        <v>0</v>
      </c>
      <c r="U173" s="5">
        <f>(Q76*($E76/365))+(Q77*($E77/365))</f>
        <v>38.916712328767126</v>
      </c>
      <c r="V173" s="5"/>
      <c r="W173" s="5">
        <f t="shared" si="25"/>
        <v>38.916712328767126</v>
      </c>
    </row>
    <row r="174" spans="1:23" x14ac:dyDescent="0.15">
      <c r="A174" s="1">
        <v>1994</v>
      </c>
      <c r="B174" s="5">
        <f>(K78*($E78/365))+(K79*($E79/365))</f>
        <v>0</v>
      </c>
      <c r="C174" s="5">
        <f>(L78*($E78/365))+(L79*($E79/365))</f>
        <v>0</v>
      </c>
      <c r="D174" s="5">
        <f>(M78*($E78/365))+(M79*($E79/365))</f>
        <v>100</v>
      </c>
      <c r="E174" s="18">
        <f t="shared" si="24"/>
        <v>100</v>
      </c>
      <c r="G174" s="1">
        <v>1994</v>
      </c>
      <c r="H174" s="409">
        <f>(O78/$R78*100*($E78/365))+(O79/$R79*100*($E79/365))</f>
        <v>0</v>
      </c>
      <c r="I174" s="409"/>
      <c r="J174" s="409">
        <f>(P78/$R78*100*($E78/365))+(P79/$R79*100*($E79/365))</f>
        <v>0</v>
      </c>
      <c r="K174" s="409"/>
      <c r="L174" s="409">
        <f>(Q78/$R78*100*($E78/365))+(Q79/$R79*100*($E79/365))</f>
        <v>100</v>
      </c>
      <c r="M174" s="409"/>
      <c r="N174" s="379">
        <f t="shared" si="26"/>
        <v>100</v>
      </c>
      <c r="O174" s="379"/>
      <c r="R174" s="1">
        <v>1994</v>
      </c>
      <c r="S174" s="5">
        <f>(O78*($E78/365))+(O79*($E79/365))</f>
        <v>0</v>
      </c>
      <c r="T174" s="5">
        <f>(P78*($E78/365))+(P79*($E79/365))</f>
        <v>0</v>
      </c>
      <c r="U174" s="5">
        <f>(Q78*($E78/365))+(Q79*($E79/365))</f>
        <v>40.6</v>
      </c>
      <c r="V174" s="5"/>
      <c r="W174" s="5">
        <f t="shared" si="25"/>
        <v>40.6</v>
      </c>
    </row>
    <row r="175" spans="1:23" x14ac:dyDescent="0.15">
      <c r="A175" s="1">
        <v>1995</v>
      </c>
      <c r="B175" s="5">
        <f>(K80*($E80/365))+(K81*($E81/365))</f>
        <v>0</v>
      </c>
      <c r="C175" s="5">
        <f>(L80*($E80/365))+(L81*($E81/365))</f>
        <v>0</v>
      </c>
      <c r="D175" s="5">
        <f>(M80*($E80/365))+(M81*($E81/365))</f>
        <v>100</v>
      </c>
      <c r="E175" s="18">
        <f t="shared" si="24"/>
        <v>100</v>
      </c>
      <c r="G175" s="1">
        <v>1995</v>
      </c>
      <c r="H175" s="409">
        <f>(O80/$R80*100*($E80/365))+(O81/$R81*100*($E81/365))</f>
        <v>0</v>
      </c>
      <c r="I175" s="409"/>
      <c r="J175" s="409">
        <f>(P80/$R80*100*($E80/365))+(P81/$R81*100*($E81/365))</f>
        <v>0</v>
      </c>
      <c r="K175" s="409"/>
      <c r="L175" s="409">
        <f>(Q80/$R80*100*($E80/365))+(Q81/$R81*100*($E81/365))</f>
        <v>100</v>
      </c>
      <c r="M175" s="409"/>
      <c r="N175" s="379">
        <f t="shared" si="26"/>
        <v>100</v>
      </c>
      <c r="O175" s="379"/>
      <c r="R175" s="1">
        <v>1995</v>
      </c>
      <c r="S175" s="5">
        <f>(O80*($E80/365))+(O81*($E81/365))</f>
        <v>0</v>
      </c>
      <c r="T175" s="5">
        <f>(P80*($E80/365))+(P81*($E81/365))</f>
        <v>0</v>
      </c>
      <c r="U175" s="5">
        <f>(Q80*($E80/365))+(Q81*($E81/365))</f>
        <v>40.6</v>
      </c>
      <c r="V175" s="5"/>
      <c r="W175" s="5">
        <f t="shared" si="25"/>
        <v>40.6</v>
      </c>
    </row>
    <row r="176" spans="1:23" x14ac:dyDescent="0.15">
      <c r="A176" s="1">
        <v>1996</v>
      </c>
      <c r="B176" s="5">
        <f>(K82*($E82/366))+(K83*($E83/366))</f>
        <v>0</v>
      </c>
      <c r="C176" s="5">
        <f>(L82*($E82/366))+(L83*($E83/366))</f>
        <v>0</v>
      </c>
      <c r="D176" s="5">
        <f>(M82*($E82/366))+(M83*($E83/366))</f>
        <v>100</v>
      </c>
      <c r="E176" s="18">
        <f t="shared" si="24"/>
        <v>100</v>
      </c>
      <c r="G176" s="1">
        <v>1996</v>
      </c>
      <c r="H176" s="409">
        <f>(O82/$R82*100*($E82/366))+(O83/$R83*100*($E83/366))</f>
        <v>0</v>
      </c>
      <c r="I176" s="409"/>
      <c r="J176" s="409">
        <f>(P82/$R82*100*($E82/366))+(P83/$R83*100*($E83/366))</f>
        <v>0</v>
      </c>
      <c r="K176" s="409"/>
      <c r="L176" s="409">
        <f>(Q82/$R82*100*($E82/366))+(Q83/$R83*100*($E83/366))</f>
        <v>100</v>
      </c>
      <c r="M176" s="409"/>
      <c r="N176" s="379">
        <f t="shared" si="26"/>
        <v>100</v>
      </c>
      <c r="O176" s="379"/>
      <c r="R176" s="1">
        <v>1996</v>
      </c>
      <c r="S176" s="5">
        <f>(O82*($E82/366))+(O83*($E83/366))</f>
        <v>0</v>
      </c>
      <c r="T176" s="5">
        <f>(P82*($E82/366))+(P83*($E83/366))</f>
        <v>0</v>
      </c>
      <c r="U176" s="5">
        <f>(Q82*($E82/366))+(Q83*($E83/366))</f>
        <v>40.6</v>
      </c>
      <c r="V176" s="5"/>
      <c r="W176" s="5">
        <f t="shared" si="25"/>
        <v>40.6</v>
      </c>
    </row>
    <row r="177" spans="1:23" x14ac:dyDescent="0.15">
      <c r="A177" s="1">
        <v>1997</v>
      </c>
      <c r="B177" s="5">
        <f>(K84*($E84/365))+(K85*($E85/365))</f>
        <v>4.3835616438356162</v>
      </c>
      <c r="C177" s="5">
        <f>(L84*($E84/365))+(L85*($E85/365))</f>
        <v>16.438356164383563</v>
      </c>
      <c r="D177" s="5">
        <f>(M84*($E84/365))+(M85*($E85/365))</f>
        <v>79.178082191780817</v>
      </c>
      <c r="E177" s="18">
        <f t="shared" si="24"/>
        <v>100</v>
      </c>
      <c r="G177" s="1">
        <v>1997</v>
      </c>
      <c r="H177" s="409">
        <f>(O84/$R84*100*($E84/365))+(O85/$R85*100*($E85/365))</f>
        <v>2.9395648670427077</v>
      </c>
      <c r="I177" s="409"/>
      <c r="J177" s="409">
        <f>(P84/$R84*100*($E84/365))+(P85/$R85*100*($E85/365))</f>
        <v>17.882352941176471</v>
      </c>
      <c r="K177" s="409"/>
      <c r="L177" s="409">
        <f>(Q84/$R84*100*($E84/365))+(Q85/$R85*100*($E85/365))</f>
        <v>79.178082191780817</v>
      </c>
      <c r="M177" s="409"/>
      <c r="N177" s="379">
        <f t="shared" si="26"/>
        <v>100</v>
      </c>
      <c r="O177" s="379"/>
      <c r="R177" s="1">
        <v>1997</v>
      </c>
      <c r="S177" s="5">
        <f>(O84*($E84/365))+(O85*($E85/365))</f>
        <v>0.74958904109589042</v>
      </c>
      <c r="T177" s="5">
        <f>(P84*($E84/365))+(P85*($E85/365))</f>
        <v>4.5599999999999996</v>
      </c>
      <c r="U177" s="5">
        <f>(Q84*($E84/365))+(Q85*($E85/365))</f>
        <v>32.146301369863011</v>
      </c>
      <c r="V177" s="5"/>
      <c r="W177" s="5">
        <f t="shared" si="25"/>
        <v>37.455890410958901</v>
      </c>
    </row>
    <row r="178" spans="1:23" x14ac:dyDescent="0.15">
      <c r="A178" s="1">
        <v>1998</v>
      </c>
      <c r="B178" s="5">
        <f>(K86*($E86/365))+(K87*($E87/365))</f>
        <v>21.052631578947366</v>
      </c>
      <c r="C178" s="5">
        <f>(L86*($E86/365))+(L87*($E87/365))</f>
        <v>78.94736842105263</v>
      </c>
      <c r="D178" s="5">
        <f>(M86*($E86/365))+(M87*($E87/365))</f>
        <v>0</v>
      </c>
      <c r="E178" s="18">
        <f t="shared" si="24"/>
        <v>100</v>
      </c>
      <c r="G178" s="1">
        <v>1998</v>
      </c>
      <c r="H178" s="409">
        <f>(O86/$R86*100*($E86/365))+(O87/$R87*100*($E87/365))</f>
        <v>14.117647058823529</v>
      </c>
      <c r="I178" s="409"/>
      <c r="J178" s="409">
        <f>(P86/$R86*100*($E86/365))+(P87/$R87*100*($E87/365))</f>
        <v>85.882352941176464</v>
      </c>
      <c r="K178" s="409"/>
      <c r="L178" s="409">
        <f>(Q86/$R86*100*($E86/365))+(Q87/$R87*100*($E87/365))</f>
        <v>0</v>
      </c>
      <c r="M178" s="409"/>
      <c r="N178" s="379">
        <f t="shared" si="26"/>
        <v>100</v>
      </c>
      <c r="O178" s="379"/>
      <c r="R178" s="1">
        <v>1998</v>
      </c>
      <c r="S178" s="5">
        <f>(O86*($E86/365))+(O87*($E87/365))</f>
        <v>3.6</v>
      </c>
      <c r="T178" s="5">
        <f>(P86*($E86/365))+(P87*($E87/365))</f>
        <v>21.9</v>
      </c>
      <c r="U178" s="5">
        <f>(Q86*($E86/365))+(Q87*($E87/365))</f>
        <v>0</v>
      </c>
      <c r="V178" s="5"/>
      <c r="W178" s="5">
        <f t="shared" si="25"/>
        <v>25.5</v>
      </c>
    </row>
    <row r="179" spans="1:23" x14ac:dyDescent="0.15">
      <c r="A179" s="1">
        <v>1999</v>
      </c>
      <c r="B179" s="5">
        <f>(K88*($E88/365))+(K89*($E89/365))</f>
        <v>21.052631578947366</v>
      </c>
      <c r="C179" s="5">
        <f>(L88*($E88/365))+(L89*($E89/365))</f>
        <v>78.94736842105263</v>
      </c>
      <c r="D179" s="5">
        <f>(M88*($E88/365))+(M89*($E89/365))</f>
        <v>0</v>
      </c>
      <c r="E179" s="18">
        <f t="shared" si="24"/>
        <v>100</v>
      </c>
      <c r="G179" s="1">
        <v>1999</v>
      </c>
      <c r="H179" s="409">
        <f>(O88/$R88*100*($E88/365))+(O89/$R89*100*($E89/365))</f>
        <v>14.117647058823529</v>
      </c>
      <c r="I179" s="409"/>
      <c r="J179" s="409">
        <f>(P88/$R88*100*($E88/365))+(P89/$R89*100*($E89/365))</f>
        <v>85.882352941176464</v>
      </c>
      <c r="K179" s="409"/>
      <c r="L179" s="409">
        <f>(Q88/$R88*100*($E88/365))+(Q89/$R89*100*($E89/365))</f>
        <v>0</v>
      </c>
      <c r="M179" s="409"/>
      <c r="N179" s="379">
        <f t="shared" si="26"/>
        <v>100</v>
      </c>
      <c r="O179" s="379"/>
      <c r="R179" s="1">
        <v>1999</v>
      </c>
      <c r="S179" s="5">
        <f>(O88*($E88/365))+(O89*($E89/365))</f>
        <v>3.6</v>
      </c>
      <c r="T179" s="5">
        <f>(P88*($E88/365))+(P89*($E89/365))</f>
        <v>21.9</v>
      </c>
      <c r="U179" s="5">
        <f>(Q88*($E88/365))+(Q89*($E89/365))</f>
        <v>0</v>
      </c>
      <c r="V179" s="5"/>
      <c r="W179" s="5">
        <f t="shared" si="25"/>
        <v>25.5</v>
      </c>
    </row>
    <row r="180" spans="1:23" x14ac:dyDescent="0.15">
      <c r="A180" s="1">
        <v>2000</v>
      </c>
      <c r="B180" s="5">
        <f>(K90*($E90/366))+(K91*($E91/366))</f>
        <v>4.3715846994535514</v>
      </c>
      <c r="C180" s="5">
        <f>(L90*($E90/366))+(L91*($E91/366))</f>
        <v>16.393442622950818</v>
      </c>
      <c r="D180" s="5">
        <f>(M90*($E90/366))+(M91*($E91/366))</f>
        <v>79.234972677595621</v>
      </c>
      <c r="E180" s="18">
        <f t="shared" si="24"/>
        <v>100</v>
      </c>
      <c r="G180" s="1">
        <v>2000</v>
      </c>
      <c r="H180" s="409">
        <f>(O90/$R90*100*($E90/366))+(O91/$R91*100*($E91/366))</f>
        <v>2.9315332690453233</v>
      </c>
      <c r="I180" s="409"/>
      <c r="J180" s="409">
        <f>(P90/$R90*100*($E90/366))+(P91/$R91*100*($E91/366))</f>
        <v>17.833494053359047</v>
      </c>
      <c r="K180" s="409"/>
      <c r="L180" s="409">
        <f>(Q90/$R90*100*($E90/366))+(Q91/$R91*100*($E91/366))</f>
        <v>79.234972677595621</v>
      </c>
      <c r="M180" s="409"/>
      <c r="N180" s="379">
        <f t="shared" si="26"/>
        <v>100</v>
      </c>
      <c r="O180" s="379"/>
      <c r="R180" s="1">
        <v>2000</v>
      </c>
      <c r="S180" s="5">
        <f>(O90*($E90/366))+(O91*($E91/366))</f>
        <v>0.74754098360655741</v>
      </c>
      <c r="T180" s="5">
        <f>(P90*($E90/366))+(P91*($E91/366))</f>
        <v>4.5475409836065577</v>
      </c>
      <c r="U180" s="5">
        <f>(Q90*($E90/366))+(Q91*($E91/366))</f>
        <v>31.218579234972676</v>
      </c>
      <c r="V180" s="5"/>
      <c r="W180" s="5">
        <f t="shared" si="25"/>
        <v>36.513661202185787</v>
      </c>
    </row>
    <row r="181" spans="1:23" x14ac:dyDescent="0.15">
      <c r="A181" s="1">
        <v>2001</v>
      </c>
      <c r="B181" s="5">
        <f>(K92*($E92/365))+(K93*($E93/365))</f>
        <v>13.871665465032443</v>
      </c>
      <c r="C181" s="5">
        <f>(L92*($E92/365))+(L93*($E93/365))</f>
        <v>6.4023071377072815</v>
      </c>
      <c r="D181" s="5">
        <f>(M92*($E92/365))+(M93*($E93/365))</f>
        <v>79.726027397260268</v>
      </c>
      <c r="E181" s="18">
        <f t="shared" si="24"/>
        <v>100</v>
      </c>
      <c r="G181" s="1">
        <v>2001</v>
      </c>
      <c r="H181" s="409">
        <f>(O92/$R92*100*($E92/365))+(O93/$R93*100*($E93/365))</f>
        <v>13.083470319634703</v>
      </c>
      <c r="I181" s="409"/>
      <c r="J181" s="409">
        <f>(P92/$R92*100*($E92/365))+(P93/$R93*100*($E93/365))</f>
        <v>7.1905022831050234</v>
      </c>
      <c r="K181" s="409"/>
      <c r="L181" s="409">
        <f>(Q92/$R92*100*($E92/365))+(Q93/$R93*100*($E93/365))</f>
        <v>79.726027397260268</v>
      </c>
      <c r="M181" s="409"/>
      <c r="N181" s="379">
        <f t="shared" si="26"/>
        <v>100</v>
      </c>
      <c r="O181" s="379"/>
      <c r="R181" s="1">
        <v>2001</v>
      </c>
      <c r="S181" s="5">
        <f>(O92*($E92/365))+(O93*($E93/365))</f>
        <v>4.9063013698630131</v>
      </c>
      <c r="T181" s="5">
        <f>(P92*($E92/365))+(P93*($E93/365))</f>
        <v>2.6964383561643839</v>
      </c>
      <c r="U181" s="5">
        <f>(Q92*($E92/365))+(Q93*($E93/365))</f>
        <v>31.412054794520543</v>
      </c>
      <c r="V181" s="5"/>
      <c r="W181" s="5">
        <f t="shared" si="25"/>
        <v>39.014794520547937</v>
      </c>
    </row>
    <row r="182" spans="1:23" x14ac:dyDescent="0.15">
      <c r="A182" s="1">
        <v>2002</v>
      </c>
      <c r="B182" s="5">
        <f>(K94*($E94/365))+(K95*($E95/365))</f>
        <v>68.421052631578945</v>
      </c>
      <c r="C182" s="5">
        <f>(L94*($E94/365))+(L95*($E95/365))</f>
        <v>31.578947368421051</v>
      </c>
      <c r="D182" s="5">
        <f>(M94*($E94/365))+(M95*($E95/365))</f>
        <v>0</v>
      </c>
      <c r="E182" s="18">
        <f t="shared" si="24"/>
        <v>100</v>
      </c>
      <c r="G182" s="1">
        <v>2002</v>
      </c>
      <c r="H182" s="409">
        <f>(O94/$R94*100*($E94/365))+(O95/$R95*100*($E95/365))</f>
        <v>64.533333333333331</v>
      </c>
      <c r="I182" s="409"/>
      <c r="J182" s="409">
        <f>(P94/$R94*100*($E94/365))+(P95/$R95*100*($E95/365))</f>
        <v>35.466666666666669</v>
      </c>
      <c r="K182" s="409"/>
      <c r="L182" s="409">
        <f>(Q94/$R94*100*($E94/365))+(Q95/$R95*100*($E95/365))</f>
        <v>0</v>
      </c>
      <c r="M182" s="409"/>
      <c r="N182" s="379">
        <f t="shared" si="26"/>
        <v>100</v>
      </c>
      <c r="O182" s="379"/>
      <c r="R182" s="1">
        <v>2002</v>
      </c>
      <c r="S182" s="5">
        <f>(O94*($E94/365))+(O95*($E95/365))</f>
        <v>24.2</v>
      </c>
      <c r="T182" s="5">
        <f>(P94*($E94/365))+(P95*($E95/365))</f>
        <v>13.3</v>
      </c>
      <c r="U182" s="5">
        <f>(Q94*($E94/365))+(Q95*($E95/365))</f>
        <v>0</v>
      </c>
      <c r="V182" s="5"/>
      <c r="W182" s="5">
        <f t="shared" si="25"/>
        <v>37.5</v>
      </c>
    </row>
    <row r="183" spans="1:23" x14ac:dyDescent="0.15">
      <c r="A183" s="1">
        <v>2003</v>
      </c>
      <c r="B183" s="5">
        <f>(K96*($E96/365))+(K97*($E97/365))</f>
        <v>68.421052631578945</v>
      </c>
      <c r="C183" s="5">
        <f>(L96*($E96/365))+(L97*($E97/365))</f>
        <v>31.578947368421051</v>
      </c>
      <c r="D183" s="5">
        <f>(M96*($E96/365))+(M97*($E97/365))</f>
        <v>0</v>
      </c>
      <c r="E183" s="18">
        <f t="shared" si="24"/>
        <v>100</v>
      </c>
      <c r="G183" s="1">
        <v>2003</v>
      </c>
      <c r="H183" s="409">
        <f>(O96/$R96*100*($E96/365))+(O97/$R97*100*($E97/365))</f>
        <v>64.533333333333331</v>
      </c>
      <c r="I183" s="409"/>
      <c r="J183" s="409">
        <f>(P96/$R96*100*($E96/365))+(P97/$R97*100*($E97/365))</f>
        <v>35.466666666666669</v>
      </c>
      <c r="K183" s="409"/>
      <c r="L183" s="409">
        <f>(Q96/$R96*100*($E96/365))+(Q97/$R97*100*($E97/365))</f>
        <v>0</v>
      </c>
      <c r="M183" s="409"/>
      <c r="N183" s="379">
        <f t="shared" si="26"/>
        <v>100</v>
      </c>
      <c r="O183" s="379"/>
      <c r="R183" s="1">
        <v>2003</v>
      </c>
      <c r="S183" s="5">
        <f>(O96*($E96/365))+(O97*($E97/365))</f>
        <v>24.2</v>
      </c>
      <c r="T183" s="5">
        <f>(P96*($E96/365))+(P97*($E97/365))</f>
        <v>13.3</v>
      </c>
      <c r="U183" s="5">
        <f>(Q96*($E96/365))+(Q97*($E97/365))</f>
        <v>0</v>
      </c>
      <c r="V183" s="5"/>
      <c r="W183" s="5">
        <f t="shared" si="25"/>
        <v>37.5</v>
      </c>
    </row>
    <row r="184" spans="1:23" x14ac:dyDescent="0.15">
      <c r="A184" s="1">
        <v>2004</v>
      </c>
      <c r="B184" s="5">
        <f>(K98*($E98/366))+(K99*($E99/366))</f>
        <v>68.421052631578945</v>
      </c>
      <c r="C184" s="5">
        <f>(L98*($E98/366))+(L99*($E99/366))</f>
        <v>31.578947368421051</v>
      </c>
      <c r="D184" s="5">
        <f>(M98*($E98/366))+(M99*($E99/366))</f>
        <v>0</v>
      </c>
      <c r="E184" s="18">
        <f t="shared" si="24"/>
        <v>100</v>
      </c>
      <c r="G184" s="1">
        <v>2004</v>
      </c>
      <c r="H184" s="409">
        <f>(O98/$R98*100*($E98/366))+(O99/$R99*100*($E99/366))</f>
        <v>64.533333333333331</v>
      </c>
      <c r="I184" s="409"/>
      <c r="J184" s="409">
        <f>(P98/$R98*100*($E98/366))+(P99/$R99*100*($E99/366))</f>
        <v>35.466666666666669</v>
      </c>
      <c r="K184" s="409"/>
      <c r="L184" s="409">
        <f>(Q98/$R98*100*($E98/366))+(Q99/$R99*100*($E99/366))</f>
        <v>0</v>
      </c>
      <c r="M184" s="409"/>
      <c r="N184" s="379">
        <f t="shared" si="26"/>
        <v>100</v>
      </c>
      <c r="O184" s="379"/>
      <c r="R184" s="1">
        <v>2004</v>
      </c>
      <c r="S184" s="5">
        <f>(O98*($E98/366))+(O99*($E99/366))</f>
        <v>24.2</v>
      </c>
      <c r="T184" s="5">
        <f>(P98*($E98/366))+(P99*($E99/366))</f>
        <v>13.3</v>
      </c>
      <c r="U184" s="5">
        <f>(Q98*($E98/366))+(Q99*($E99/366))</f>
        <v>0</v>
      </c>
      <c r="V184" s="5"/>
      <c r="W184" s="5">
        <f t="shared" si="25"/>
        <v>37.5</v>
      </c>
    </row>
    <row r="185" spans="1:23" x14ac:dyDescent="0.15">
      <c r="A185" s="1">
        <v>2005</v>
      </c>
      <c r="B185" s="5">
        <f>(K100*($E100/365))+(K101*($E101/365))</f>
        <v>54.174477289113192</v>
      </c>
      <c r="C185" s="5">
        <f>(L100*($E100/365))+(L101*($E101/365))</f>
        <v>29.387166546503241</v>
      </c>
      <c r="D185" s="5">
        <f>(M100*($E100/365))+(M101*($E101/365))</f>
        <v>16.438356164383563</v>
      </c>
      <c r="E185" s="18">
        <f t="shared" si="24"/>
        <v>100</v>
      </c>
      <c r="G185" s="1">
        <v>2005</v>
      </c>
      <c r="H185" s="409">
        <f>(O100/$R100*100*($E100/365))+(O101/$R101*100*($E101/365))</f>
        <v>51.096255707762552</v>
      </c>
      <c r="I185" s="409"/>
      <c r="J185" s="409">
        <f>(P100/$R100*100*($E100/365))+(P101/$R101*100*($E101/365))</f>
        <v>30.709835527774082</v>
      </c>
      <c r="K185" s="409"/>
      <c r="L185" s="409">
        <f>(Q100/$R100*100*($E100/365))+(Q101/$R101*100*($E101/365))</f>
        <v>18.193908764463359</v>
      </c>
      <c r="M185" s="409"/>
      <c r="N185" s="379">
        <f t="shared" si="26"/>
        <v>99.999999999999986</v>
      </c>
      <c r="O185" s="379"/>
      <c r="R185" s="1">
        <v>2005</v>
      </c>
      <c r="S185" s="5">
        <f>(O100*($E100/365))+(O101*($E101/365))</f>
        <v>19.161095890410959</v>
      </c>
      <c r="T185" s="5">
        <f>(P100*($E100/365))+(P101*($E101/365))</f>
        <v>11.884109589041095</v>
      </c>
      <c r="U185" s="5">
        <f>(Q100*($E100/365))+(Q101*($E101/365))</f>
        <v>9.3698630136986303</v>
      </c>
      <c r="V185" s="5"/>
      <c r="W185" s="5">
        <f t="shared" si="25"/>
        <v>40.415068493150685</v>
      </c>
    </row>
    <row r="186" spans="1:23" x14ac:dyDescent="0.15">
      <c r="A186" s="1">
        <v>2006</v>
      </c>
      <c r="B186" s="5">
        <f>(K102*($E102/365))+(K103*($E103/365))</f>
        <v>0</v>
      </c>
      <c r="C186" s="5">
        <f>(L102*($E102/365))+(L103*($E103/365))</f>
        <v>21.052631578947366</v>
      </c>
      <c r="D186" s="5">
        <f>(M102*($E102/365))+(M103*($E103/365))</f>
        <v>78.94736842105263</v>
      </c>
      <c r="E186" s="18">
        <f t="shared" si="24"/>
        <v>100</v>
      </c>
      <c r="G186" s="1">
        <v>2006</v>
      </c>
      <c r="H186" s="409">
        <f>(O102/$R102*100*($E102/365))+(O103/$R103*100*($E103/365))</f>
        <v>0</v>
      </c>
      <c r="I186" s="409"/>
      <c r="J186" s="409">
        <f>(P102/$R102*100*($E102/365))+(P103/$R103*100*($E103/365))</f>
        <v>12.621359223300971</v>
      </c>
      <c r="K186" s="409"/>
      <c r="L186" s="409">
        <f>(Q102/$R102*100*($E102/365))+(Q103/$R103*100*($E103/365))</f>
        <v>87.378640776699029</v>
      </c>
      <c r="M186" s="409"/>
      <c r="N186" s="379">
        <f t="shared" si="26"/>
        <v>100</v>
      </c>
      <c r="O186" s="379"/>
      <c r="R186" s="1">
        <v>2006</v>
      </c>
      <c r="S186" s="5">
        <f>(O102*($E102/365))+(O103*($E103/365))</f>
        <v>0</v>
      </c>
      <c r="T186" s="5">
        <f>(P102*($E102/365))+(P103*($E103/365))</f>
        <v>6.5</v>
      </c>
      <c r="U186" s="5">
        <f>(Q102*($E102/365))+(Q103*($E103/365))</f>
        <v>45</v>
      </c>
      <c r="V186" s="5"/>
      <c r="W186" s="5">
        <f t="shared" si="25"/>
        <v>51.5</v>
      </c>
    </row>
    <row r="187" spans="1:23" x14ac:dyDescent="0.15">
      <c r="A187" s="1">
        <v>2007</v>
      </c>
      <c r="B187" s="5">
        <f>(K104*($E104/365))+(K105*($E105/365))</f>
        <v>0</v>
      </c>
      <c r="C187" s="5">
        <f>(L104*($E104/365))+(L105*($E105/365))</f>
        <v>21.052631578947366</v>
      </c>
      <c r="D187" s="5">
        <f>(M104*($E104/365))+(M105*($E105/365))</f>
        <v>78.94736842105263</v>
      </c>
      <c r="E187" s="18">
        <f t="shared" si="24"/>
        <v>100</v>
      </c>
      <c r="G187" s="1">
        <v>2007</v>
      </c>
      <c r="H187" s="409">
        <f>(O104/$R104*100*($E104/365))+(O105/$R105*100*($E105/365))</f>
        <v>0</v>
      </c>
      <c r="I187" s="409"/>
      <c r="J187" s="409">
        <f>(P104/$R104*100*($E104/365))+(P105/$R105*100*($E105/365))</f>
        <v>12.621359223300971</v>
      </c>
      <c r="K187" s="409"/>
      <c r="L187" s="409">
        <f>(Q104/$R104*100*($E104/365))+(Q105/$R105*100*($E105/365))</f>
        <v>87.378640776699029</v>
      </c>
      <c r="M187" s="409"/>
      <c r="N187" s="379">
        <f t="shared" si="26"/>
        <v>100</v>
      </c>
      <c r="O187" s="379"/>
      <c r="R187" s="1">
        <v>2007</v>
      </c>
      <c r="S187" s="5">
        <f>(O104*($E104/365))+(O105*($E105/365))</f>
        <v>0</v>
      </c>
      <c r="T187" s="5">
        <f>(P104*($E104/365))+(P105*($E105/365))</f>
        <v>6.5</v>
      </c>
      <c r="U187" s="5">
        <f>(Q104*($E104/365))+(Q105*($E105/365))</f>
        <v>45</v>
      </c>
      <c r="V187" s="5"/>
      <c r="W187" s="5">
        <f t="shared" si="25"/>
        <v>51.5</v>
      </c>
    </row>
    <row r="188" spans="1:23" x14ac:dyDescent="0.15">
      <c r="A188" s="1">
        <v>2008</v>
      </c>
      <c r="B188" s="5">
        <f>(K106*($E106/366))+(K107*($E107/366))</f>
        <v>0</v>
      </c>
      <c r="C188" s="5">
        <f>(L106*($E106/366))+(L107*($E107/366))</f>
        <v>21.052631578947366</v>
      </c>
      <c r="D188" s="5">
        <f>(M106*($E106/366))+(M107*($E107/366))</f>
        <v>78.94736842105263</v>
      </c>
      <c r="E188" s="18">
        <f t="shared" si="24"/>
        <v>100</v>
      </c>
      <c r="G188" s="1">
        <v>2008</v>
      </c>
      <c r="H188" s="409">
        <f>(O106/$R106*100*($E106/366))+(O107/$R107*100*($E107/366))</f>
        <v>0</v>
      </c>
      <c r="I188" s="409"/>
      <c r="J188" s="409">
        <f>(P106/$R106*100*($E106/366))+(P107/$R107*100*($E107/366))</f>
        <v>12.621359223300971</v>
      </c>
      <c r="K188" s="409"/>
      <c r="L188" s="409">
        <f>(Q106/$R106*100*($E106/366))+(Q107/$R107*100*($E107/366))</f>
        <v>87.378640776699029</v>
      </c>
      <c r="M188" s="409"/>
      <c r="N188" s="379">
        <f t="shared" si="26"/>
        <v>100</v>
      </c>
      <c r="O188" s="379"/>
      <c r="R188" s="1">
        <v>2008</v>
      </c>
      <c r="S188" s="5">
        <f>(O106*($E106/366))+(O107*($E107/366))</f>
        <v>0</v>
      </c>
      <c r="T188" s="5">
        <f>(P106*($E106/366))+(P107*($E107/366))</f>
        <v>6.5</v>
      </c>
      <c r="U188" s="5">
        <f>(Q106*($E106/366))+(Q107*($E107/366))</f>
        <v>45</v>
      </c>
      <c r="V188" s="5"/>
      <c r="W188" s="5">
        <f t="shared" si="25"/>
        <v>51.5</v>
      </c>
    </row>
    <row r="189" spans="1:23" x14ac:dyDescent="0.15">
      <c r="A189" s="1">
        <v>2009</v>
      </c>
      <c r="B189" s="5">
        <f>(K108*($E108/365))+(K109*($E109/365))</f>
        <v>0</v>
      </c>
      <c r="C189" s="5">
        <f>(L108*($E108/365))+(L109*($E109/365))</f>
        <v>20.842105263157894</v>
      </c>
      <c r="D189" s="5">
        <f>(M108*($E108/365))+(M109*($E109/365))</f>
        <v>79.15789473684211</v>
      </c>
      <c r="E189" s="18">
        <f t="shared" si="24"/>
        <v>100</v>
      </c>
      <c r="G189" s="1">
        <v>2009</v>
      </c>
      <c r="H189" s="409">
        <f>(O108/$R108*100*($E108/365))+(O109/$R109*100*($E109/365))</f>
        <v>0</v>
      </c>
      <c r="I189" s="409"/>
      <c r="J189" s="409">
        <f>(P108/$R108*100*($E108/365))+(P109/$R109*100*($E109/365))</f>
        <v>12.651114883552369</v>
      </c>
      <c r="K189" s="409"/>
      <c r="L189" s="409">
        <f>(Q108/$R108*100*($E108/365))+(Q109/$R109*100*($E109/365))</f>
        <v>87.348885116447633</v>
      </c>
      <c r="M189" s="409"/>
      <c r="N189" s="379">
        <f t="shared" si="26"/>
        <v>100</v>
      </c>
      <c r="O189" s="379"/>
      <c r="R189" s="1">
        <v>2009</v>
      </c>
      <c r="S189" s="5">
        <f>(O108*($E108/365))+(O109*($E109/365))</f>
        <v>0</v>
      </c>
      <c r="T189" s="5">
        <f>(P108*($E108/365))+(P109*($E109/365))</f>
        <v>6.5</v>
      </c>
      <c r="U189" s="5">
        <f>(Q108*($E108/365))+(Q109*($E109/365))</f>
        <v>44.88</v>
      </c>
      <c r="V189" s="5"/>
      <c r="W189" s="5">
        <f t="shared" si="25"/>
        <v>51.38</v>
      </c>
    </row>
    <row r="190" spans="1:23" x14ac:dyDescent="0.15">
      <c r="A190" s="1">
        <v>2010</v>
      </c>
      <c r="B190" s="5">
        <f>(K110*($E110/365))+(K111*($E111/365))</f>
        <v>0</v>
      </c>
      <c r="C190" s="5">
        <f>(L110*($E110/365))+(L111*($E111/365))</f>
        <v>20</v>
      </c>
      <c r="D190" s="5">
        <f>(M110*($E110/365))+(M111*($E111/365))</f>
        <v>80</v>
      </c>
      <c r="E190" s="18">
        <f t="shared" si="24"/>
        <v>100</v>
      </c>
      <c r="G190" s="1">
        <v>2010</v>
      </c>
      <c r="H190" s="409">
        <f>(O110/$R110*100*($E110/365))+(O111/$R111*100*($E111/365))</f>
        <v>0</v>
      </c>
      <c r="I190" s="409"/>
      <c r="J190" s="409">
        <f>(P110/$R110*100*($E110/365))+(P111/$R111*100*($E111/365))</f>
        <v>12.770137524557956</v>
      </c>
      <c r="K190" s="409"/>
      <c r="L190" s="409">
        <f>(Q110/$R110*100*($E110/365))+(Q111/$R111*100*($E111/365))</f>
        <v>87.229862475442047</v>
      </c>
      <c r="M190" s="409"/>
      <c r="N190" s="379">
        <f t="shared" si="26"/>
        <v>100</v>
      </c>
      <c r="O190" s="379"/>
      <c r="R190" s="1">
        <v>2010</v>
      </c>
      <c r="S190" s="5">
        <f>(O110*($E110/365))+(O111*($E111/365))</f>
        <v>0</v>
      </c>
      <c r="T190" s="5">
        <f>(P110*($E110/365))+(P111*($E111/365))</f>
        <v>6.5</v>
      </c>
      <c r="U190" s="5">
        <f>(Q110*($E110/365))+(Q111*($E111/365))</f>
        <v>44.4</v>
      </c>
      <c r="V190" s="5"/>
      <c r="W190" s="5">
        <f t="shared" si="25"/>
        <v>50.9</v>
      </c>
    </row>
    <row r="191" spans="1:23" x14ac:dyDescent="0.15">
      <c r="A191" s="1">
        <v>2011</v>
      </c>
      <c r="B191" s="5">
        <f>(K112*($E112/365))+(K113*($E113/365))</f>
        <v>0</v>
      </c>
      <c r="C191" s="5">
        <f>(L112*($E112/365))+(L113*($E113/365))</f>
        <v>20</v>
      </c>
      <c r="D191" s="5">
        <f>(M112*($E112/365))+(M113*($E113/365))</f>
        <v>80</v>
      </c>
      <c r="E191" s="18">
        <f t="shared" si="24"/>
        <v>100</v>
      </c>
      <c r="G191" s="1">
        <v>2011</v>
      </c>
      <c r="H191" s="409">
        <f>(O112/$R112*100*($E112/365))+(O113/$R113*100*($E113/365))</f>
        <v>0</v>
      </c>
      <c r="I191" s="409"/>
      <c r="J191" s="409">
        <f>(P112/$R112*100*($E112/365))+(P113/$R113*100*($E113/365))</f>
        <v>12.770137524557956</v>
      </c>
      <c r="K191" s="409"/>
      <c r="L191" s="409">
        <f>(Q112/$R112*100*($E112/365))+(Q113/$R113*100*($E113/365))</f>
        <v>87.229862475442047</v>
      </c>
      <c r="M191" s="409"/>
      <c r="N191" s="379">
        <f t="shared" si="26"/>
        <v>100</v>
      </c>
      <c r="O191" s="379"/>
      <c r="R191" s="1">
        <v>2011</v>
      </c>
      <c r="S191" s="5">
        <f>(O112*($E112/365))+(O113*($E113/365))</f>
        <v>0</v>
      </c>
      <c r="T191" s="5">
        <f>(P112*($E112/365))+(P113*($E113/365))</f>
        <v>6.5</v>
      </c>
      <c r="U191" s="5">
        <f>(Q112*($E112/365))+(Q113*($E113/365))</f>
        <v>44.4</v>
      </c>
      <c r="V191" s="5"/>
      <c r="W191" s="5">
        <f t="shared" si="25"/>
        <v>50.9</v>
      </c>
    </row>
    <row r="192" spans="1:23" x14ac:dyDescent="0.15">
      <c r="A192" s="1">
        <v>2012</v>
      </c>
      <c r="B192" s="5">
        <f>(K114*($E114/366))+(K115*($E115/366))</f>
        <v>0</v>
      </c>
      <c r="C192" s="5">
        <f>(L114*($E114/366))+(L115*($E115/366))</f>
        <v>20</v>
      </c>
      <c r="D192" s="5">
        <f>(M114*($E114/366))+(M115*($E115/366))</f>
        <v>80</v>
      </c>
      <c r="E192" s="18">
        <f t="shared" si="24"/>
        <v>100</v>
      </c>
      <c r="G192" s="1">
        <v>2012</v>
      </c>
      <c r="H192" s="409">
        <f>(O114/$R114*100*($E114/366))+(O115/$R115*100*($E115/366))</f>
        <v>0</v>
      </c>
      <c r="I192" s="409"/>
      <c r="J192" s="409">
        <f>(P114/$R114*100*($E114/366))+(P115/$R115*100*($E115/366))</f>
        <v>12.770137524557956</v>
      </c>
      <c r="K192" s="409"/>
      <c r="L192" s="409">
        <f>(Q114/$R114*100*($E114/366))+(Q115/$R115*100*($E115/366))</f>
        <v>87.229862475442047</v>
      </c>
      <c r="M192" s="409"/>
      <c r="N192" s="379">
        <f t="shared" si="26"/>
        <v>100</v>
      </c>
      <c r="O192" s="379"/>
      <c r="R192" s="1">
        <v>2012</v>
      </c>
      <c r="S192" s="5">
        <f>(O114*($E114/366))+(O115*($E115/366))</f>
        <v>0</v>
      </c>
      <c r="T192" s="5">
        <f>(P114*($E114/366))+(P115*($E115/366))</f>
        <v>6.5</v>
      </c>
      <c r="U192" s="5">
        <f>(Q114*($E114/366))+(Q115*($E115/366))</f>
        <v>44.4</v>
      </c>
      <c r="V192" s="5"/>
      <c r="W192" s="5">
        <f t="shared" si="25"/>
        <v>50.9</v>
      </c>
    </row>
    <row r="193" spans="1:24" x14ac:dyDescent="0.15">
      <c r="A193" s="1">
        <v>2013</v>
      </c>
      <c r="B193" s="5">
        <f>(K116*($E116/365))+(K117*($E117/365))</f>
        <v>21.095890410958905</v>
      </c>
      <c r="C193" s="5">
        <f>(L116*($E116/365))+(L117*($E117/365))</f>
        <v>15.780821917808218</v>
      </c>
      <c r="D193" s="5">
        <f>(M116*($E116/365))+(M117*($E117/365))</f>
        <v>63.123287671232873</v>
      </c>
      <c r="E193" s="18">
        <f t="shared" si="24"/>
        <v>100</v>
      </c>
      <c r="G193" s="1">
        <v>2013</v>
      </c>
      <c r="H193" s="409">
        <f>(O116/$R116*100*($E116/365))+(O117/$R117*100*($E117/365))</f>
        <v>21.095890410958905</v>
      </c>
      <c r="I193" s="409"/>
      <c r="J193" s="409">
        <f>(P116/$R116*100*($E116/365))+(P117/$R117*100*($E117/365))</f>
        <v>10.07616330704847</v>
      </c>
      <c r="K193" s="409"/>
      <c r="L193" s="409">
        <f>(Q116/$R116*100*($E116/365))+(Q117/$R117*100*($E117/365))</f>
        <v>68.827946281992624</v>
      </c>
      <c r="M193" s="409"/>
      <c r="N193" s="379">
        <f>H193+J193+L193</f>
        <v>100</v>
      </c>
      <c r="O193" s="379"/>
      <c r="R193" s="1">
        <v>2013</v>
      </c>
      <c r="S193" s="5">
        <f>(O116*($E116/365))+(O117*($E117/365))</f>
        <v>9.6197260273972596</v>
      </c>
      <c r="T193" s="5">
        <f>(P116*($E116/365))+(P117*($E117/365))</f>
        <v>5.1287671232876715</v>
      </c>
      <c r="U193" s="5">
        <f>(Q116*($E116/365))+(Q117*($E117/365))</f>
        <v>35.033424657534248</v>
      </c>
      <c r="W193" s="5">
        <f t="shared" si="25"/>
        <v>49.781917808219177</v>
      </c>
      <c r="X193" s="5"/>
    </row>
    <row r="194" spans="1:24" x14ac:dyDescent="0.15">
      <c r="A194" s="1">
        <v>2014</v>
      </c>
      <c r="B194" s="5">
        <f>(K118*($E118/365))+(K119*($E119/365))</f>
        <v>100</v>
      </c>
      <c r="C194" s="5">
        <f>(L118*($E118/365))+(L119*($E119/365))</f>
        <v>0</v>
      </c>
      <c r="D194" s="5">
        <f>(M118*($E118/365))+(M119*($E119/365))</f>
        <v>0</v>
      </c>
      <c r="E194" s="18">
        <f>B194+C194+D194</f>
        <v>100</v>
      </c>
      <c r="G194" s="1">
        <v>2014</v>
      </c>
      <c r="H194" s="409">
        <f>(O118/$R118*100*($E118/365))+(O119/$R119*100*($E119/365))</f>
        <v>100</v>
      </c>
      <c r="I194" s="409"/>
      <c r="J194" s="409">
        <f>(P118/$R118*100*($E118/365))+(P119/$R119*100*($E119/365))</f>
        <v>0</v>
      </c>
      <c r="K194" s="409"/>
      <c r="L194" s="409">
        <f>(Q118/$R118*100*($E118/365))+(Q119/$R119*100*($E119/365))</f>
        <v>0</v>
      </c>
      <c r="M194" s="409"/>
      <c r="N194" s="379">
        <f>H194+J194+L194</f>
        <v>100</v>
      </c>
      <c r="O194" s="379"/>
      <c r="R194" s="1">
        <v>2014</v>
      </c>
      <c r="S194" s="5">
        <f>(O118*($E118/365))+(O119*($E119/365))</f>
        <v>45.6</v>
      </c>
      <c r="T194" s="5">
        <f>(P118*($E118/365))+(P119*($E119/365))</f>
        <v>0</v>
      </c>
      <c r="U194" s="5">
        <f>(Q118*($E118/365))+(Q119*($E119/365))</f>
        <v>0</v>
      </c>
      <c r="W194" s="5">
        <f>S194+T194+U194</f>
        <v>45.6</v>
      </c>
      <c r="X194" s="5"/>
    </row>
    <row r="195" spans="1:24" x14ac:dyDescent="0.15">
      <c r="A195" s="1">
        <v>2015</v>
      </c>
      <c r="B195" s="5">
        <f>(K120*($E120/365))+(K121*($E121/365))</f>
        <v>100</v>
      </c>
      <c r="C195" s="5">
        <f>(L120*($E120/365))+(L121*($E121/365))</f>
        <v>0</v>
      </c>
      <c r="D195" s="5">
        <f>(M120*($E120/365))+(M121*($E121/365))</f>
        <v>0</v>
      </c>
      <c r="E195" s="18">
        <f>B195+C195+D195</f>
        <v>100</v>
      </c>
      <c r="G195" s="1">
        <v>2015</v>
      </c>
      <c r="H195" s="409">
        <f>(O120/$R120*100*($E120/365))+(O121/$R121*100*($E121/365))</f>
        <v>100</v>
      </c>
      <c r="I195" s="409"/>
      <c r="J195" s="409">
        <f>(P120/$R120*100*($E120/365))+(P121/$R121*100*($E121/365))</f>
        <v>0</v>
      </c>
      <c r="K195" s="409"/>
      <c r="L195" s="409">
        <f>(Q120/$R120*100*($E120/365))+(Q121/$R121*100*($E121/365))</f>
        <v>0</v>
      </c>
      <c r="M195" s="409"/>
      <c r="N195" s="379">
        <f>H195+J195+L195</f>
        <v>100</v>
      </c>
      <c r="O195" s="379"/>
      <c r="R195" s="1">
        <v>2015</v>
      </c>
      <c r="S195" s="5">
        <f>(O120*($E120/365))+(O121*($E121/365))</f>
        <v>45.6</v>
      </c>
      <c r="T195" s="5">
        <f>(P120*($E120/365))+(P121*($E121/365))</f>
        <v>0</v>
      </c>
      <c r="U195" s="5">
        <f>(Q120*($E120/365))+(Q121*($E121/365))</f>
        <v>0</v>
      </c>
      <c r="W195" s="5">
        <f>S195+T195+U195</f>
        <v>45.6</v>
      </c>
      <c r="X195" s="5"/>
    </row>
    <row r="196" spans="1:24" x14ac:dyDescent="0.15">
      <c r="A196" s="1">
        <v>2016</v>
      </c>
      <c r="B196" s="5">
        <f>(K122*($E122/366))+(K123*($E123/366))</f>
        <v>100</v>
      </c>
      <c r="C196" s="5">
        <f>(L122*($E122/366))+(L123*($E123/366))</f>
        <v>0</v>
      </c>
      <c r="D196" s="5">
        <f>(M122*($E122/366))+(M123*($E123/366))</f>
        <v>0</v>
      </c>
      <c r="E196" s="18">
        <f t="shared" ref="E196" si="27">B196+C196+D196</f>
        <v>100</v>
      </c>
      <c r="G196" s="1">
        <v>2016</v>
      </c>
      <c r="H196" s="409">
        <f>(O122/$R122*100*($E122/366))+(O123/$R123*100*($E123/366))</f>
        <v>100</v>
      </c>
      <c r="I196" s="409"/>
      <c r="J196" s="409">
        <f>(P122/$R122*100*($E122/366))+(P123/$R123*100*($E123/366))</f>
        <v>0</v>
      </c>
      <c r="K196" s="409"/>
      <c r="L196" s="409">
        <f>(Q122/$R122*100*($E122/366))+(Q123/$R123*100*($E123/366))</f>
        <v>0</v>
      </c>
      <c r="M196" s="409"/>
      <c r="N196" s="379">
        <f t="shared" ref="N196" si="28">H196+J196+L196</f>
        <v>100</v>
      </c>
      <c r="O196" s="379"/>
      <c r="R196" s="1">
        <v>2016</v>
      </c>
      <c r="S196" s="5">
        <f>(O122*($E122/366))+(O123*($E123/366))</f>
        <v>45.6</v>
      </c>
      <c r="T196" s="5">
        <f>(P122*($E122/366))+(P123*($E123/366))</f>
        <v>0</v>
      </c>
      <c r="U196" s="5">
        <f>(Q122*($E122/366))+(Q123*($E123/366))</f>
        <v>0</v>
      </c>
      <c r="W196" s="5">
        <f t="shared" ref="W196" si="29">S196+T196+U196</f>
        <v>45.6</v>
      </c>
      <c r="X196" s="5"/>
    </row>
    <row r="197" spans="1:24" x14ac:dyDescent="0.15">
      <c r="A197" s="1">
        <v>2017</v>
      </c>
      <c r="B197" s="5">
        <f>(K124*($E124/365))+(K125*($E125/365))</f>
        <v>100</v>
      </c>
      <c r="C197" s="5">
        <f t="shared" ref="C197:D197" si="30">(L124*($E124/365))+(L125*($E125/365))</f>
        <v>0</v>
      </c>
      <c r="D197" s="5">
        <f t="shared" si="30"/>
        <v>0</v>
      </c>
      <c r="E197" s="18">
        <f t="shared" ref="E197" si="31">B197+C197+D197</f>
        <v>100</v>
      </c>
      <c r="G197" s="1">
        <v>2017</v>
      </c>
      <c r="H197" s="409">
        <f>(O124/$R124*100*($E124/365))+(O125/$R125*100*($E125/365))</f>
        <v>100</v>
      </c>
      <c r="I197" s="409"/>
      <c r="J197" s="409">
        <f>(P124/$R124*100*($E124/365))+(P125/$R125*100*($E125/365))</f>
        <v>0</v>
      </c>
      <c r="K197" s="409"/>
      <c r="L197" s="409">
        <f>(Q124/$R124*100*($E124/365))+(Q125/$R125*100*($E125/365))</f>
        <v>0</v>
      </c>
      <c r="M197" s="409"/>
      <c r="N197" s="379">
        <f t="shared" ref="N197" si="32">H197+J197+L197</f>
        <v>100</v>
      </c>
      <c r="O197" s="379"/>
      <c r="R197" s="1">
        <v>2017</v>
      </c>
      <c r="S197" s="5">
        <f>(O124*($E124/365))+(O125*($E125/365))</f>
        <v>44.679452054794524</v>
      </c>
      <c r="T197" s="5">
        <f t="shared" ref="T197:U197" si="33">(P124*($E124/365))+(P125*($E125/365))</f>
        <v>0</v>
      </c>
      <c r="U197" s="5">
        <f t="shared" si="33"/>
        <v>0</v>
      </c>
      <c r="W197" s="5">
        <f t="shared" ref="W197" si="34">S197+T197+U197</f>
        <v>44.679452054794524</v>
      </c>
    </row>
    <row r="198" spans="1:24" x14ac:dyDescent="0.15">
      <c r="A198" s="1">
        <v>2018</v>
      </c>
      <c r="B198" s="5">
        <f>(K126*($E126/365))+(K127*($E127/365))</f>
        <v>100</v>
      </c>
      <c r="C198" s="5">
        <f>(L126*($E126/365))+(L127*($E127/365))</f>
        <v>0</v>
      </c>
      <c r="D198" s="5">
        <f>(M126*($E126/365))+(M127*($E127/365))</f>
        <v>0</v>
      </c>
      <c r="E198" s="18">
        <f t="shared" ref="E198" si="35">B198+C198+D198</f>
        <v>100</v>
      </c>
      <c r="G198" s="1">
        <v>2018</v>
      </c>
      <c r="H198" s="409">
        <f>(O126/$R126*100*($E126/365))+(O127/$R127*100*($E127/365))</f>
        <v>100</v>
      </c>
      <c r="I198" s="409"/>
      <c r="J198" s="409">
        <f>(P126/$R126*100*($E126/365))+(P127/$R127*100*($E127/365))</f>
        <v>0</v>
      </c>
      <c r="K198" s="409"/>
      <c r="L198" s="409">
        <f>(Q126/$R126*100*($E126/365))+(Q127/$R127*100*($E127/365))</f>
        <v>0</v>
      </c>
      <c r="M198" s="409"/>
      <c r="N198" s="379">
        <f t="shared" ref="N198" si="36">H198+J198+L198</f>
        <v>100</v>
      </c>
      <c r="O198" s="379"/>
      <c r="R198" s="1">
        <v>2018</v>
      </c>
      <c r="S198" s="5">
        <f>(O126*($E126/365))+(O127*($E127/365))</f>
        <v>51.683561643835617</v>
      </c>
      <c r="T198" s="5">
        <f>(P126*($E126/365))+(P127*($E127/365))</f>
        <v>0</v>
      </c>
      <c r="U198" s="5">
        <f>(Q126*($E126/365))+(Q127*($E127/365))</f>
        <v>0</v>
      </c>
      <c r="W198" s="5">
        <f t="shared" ref="W198" si="37">S198+T198+U198</f>
        <v>51.683561643835617</v>
      </c>
    </row>
    <row r="199" spans="1:24" x14ac:dyDescent="0.15">
      <c r="A199" s="1">
        <v>2019</v>
      </c>
      <c r="B199" s="5">
        <f>(K128*($E128/365))+(K129*($E129/365))</f>
        <v>87.185554171855543</v>
      </c>
      <c r="C199" s="5">
        <f>(L128*($E128/365))+(L129*($E129/365))</f>
        <v>12.814445828144457</v>
      </c>
      <c r="D199" s="5">
        <f>(M128*($E128/365))+(M129*($E129/365))</f>
        <v>0</v>
      </c>
      <c r="E199" s="18">
        <f t="shared" ref="E199:E200" si="38">B199+C199+D199</f>
        <v>100</v>
      </c>
      <c r="G199" s="1">
        <v>2019</v>
      </c>
      <c r="H199" s="409">
        <f>(O128/$R128*100*($E128/365))+(O129/$R129*100*($E129/365))</f>
        <v>92.224098012733933</v>
      </c>
      <c r="I199" s="409"/>
      <c r="J199" s="409">
        <f>(P128/$R128*100*($E128/365))+(P129/$R129*100*($E129/365))</f>
        <v>7.7759019872660629</v>
      </c>
      <c r="K199" s="409"/>
      <c r="L199" s="409">
        <f>(Q128/$R128*100*($E128/365))+(Q129/$R129*100*($E129/365))</f>
        <v>0</v>
      </c>
      <c r="M199" s="409"/>
      <c r="N199" s="379">
        <f t="shared" ref="N199" si="39">H199+J199+L199</f>
        <v>100</v>
      </c>
      <c r="O199" s="379"/>
      <c r="R199" s="1">
        <v>2019</v>
      </c>
      <c r="S199" s="5">
        <f>(O128*($E128/365))+(O129*($E129/365))</f>
        <v>52.1</v>
      </c>
      <c r="T199" s="5">
        <f>(P128*($E128/365))+(P129*($E129/365))</f>
        <v>4.4167123287671233</v>
      </c>
      <c r="U199" s="5">
        <f>(Q128*($E128/365))+(Q129*($E129/365))</f>
        <v>0</v>
      </c>
      <c r="W199" s="5">
        <f t="shared" ref="W199:W200" si="40">S199+T199+U199</f>
        <v>56.516712328767127</v>
      </c>
    </row>
    <row r="200" spans="1:24" x14ac:dyDescent="0.15">
      <c r="A200" s="1">
        <v>2020</v>
      </c>
      <c r="B200" s="5">
        <f>(K130*($E130/366))+(K131*($E131/366))</f>
        <v>80.39990064580229</v>
      </c>
      <c r="C200" s="5">
        <f>(L130*($E130/366))+(L131*($E131/366))</f>
        <v>19.600099354197717</v>
      </c>
      <c r="D200" s="5">
        <f>(M130*($E130/366))+(M131*($E131/366))</f>
        <v>0</v>
      </c>
      <c r="E200" s="18">
        <f t="shared" si="38"/>
        <v>100</v>
      </c>
      <c r="G200" s="1">
        <v>2020</v>
      </c>
      <c r="H200" s="409">
        <f>(O130/$R130*100*($E130/366))+(O131/$R131*100*($E131/366))</f>
        <v>87.244883997366102</v>
      </c>
      <c r="I200" s="409"/>
      <c r="J200" s="409">
        <f>(P130/$R130*100*($E130/366))+(P131/$R131*100*($E131/366))</f>
        <v>12.755116002633899</v>
      </c>
      <c r="K200" s="409"/>
      <c r="L200" s="409">
        <f>(Q130/$R130*100*($E130/366))+(Q131/$R131*100*($E131/366))</f>
        <v>0</v>
      </c>
      <c r="M200" s="409"/>
      <c r="N200" s="379">
        <f t="shared" ref="N200" si="41">H200+J200+L200</f>
        <v>100</v>
      </c>
      <c r="O200" s="379"/>
      <c r="R200" s="1">
        <v>2020</v>
      </c>
      <c r="S200" s="5">
        <f>(O130*($E130/366))+(O131*($E131/366))</f>
        <v>32.607103825136612</v>
      </c>
      <c r="T200" s="5">
        <f>(P130*($E130/366))+(P131*($E131/366))</f>
        <v>4.7</v>
      </c>
      <c r="U200" s="5">
        <f>(Q130*($E130/366))+(Q131*($E131/366))</f>
        <v>0</v>
      </c>
      <c r="W200" s="5">
        <f t="shared" si="40"/>
        <v>37.307103825136615</v>
      </c>
    </row>
  </sheetData>
  <mergeCells count="401">
    <mergeCell ref="H140:I140"/>
    <mergeCell ref="J140:K140"/>
    <mergeCell ref="L140:M140"/>
    <mergeCell ref="N140:O140"/>
    <mergeCell ref="H139:I139"/>
    <mergeCell ref="J139:K139"/>
    <mergeCell ref="L139:M139"/>
    <mergeCell ref="N139:O139"/>
    <mergeCell ref="H143:I143"/>
    <mergeCell ref="J143:K143"/>
    <mergeCell ref="L143:M143"/>
    <mergeCell ref="N143:O143"/>
    <mergeCell ref="C110:D110"/>
    <mergeCell ref="C103:D103"/>
    <mergeCell ref="C104:D104"/>
    <mergeCell ref="C111:D111"/>
    <mergeCell ref="C112:D112"/>
    <mergeCell ref="C113:D113"/>
    <mergeCell ref="C105:D105"/>
    <mergeCell ref="C106:D106"/>
    <mergeCell ref="H138:I138"/>
    <mergeCell ref="C118:D118"/>
    <mergeCell ref="C119:D119"/>
    <mergeCell ref="C120:D120"/>
    <mergeCell ref="C121:D121"/>
    <mergeCell ref="C124:D124"/>
    <mergeCell ref="C125:D125"/>
    <mergeCell ref="C133:D133"/>
    <mergeCell ref="C122:D122"/>
    <mergeCell ref="C123:D123"/>
    <mergeCell ref="C126:D126"/>
    <mergeCell ref="C127:D127"/>
    <mergeCell ref="C129:D129"/>
    <mergeCell ref="C128:D128"/>
    <mergeCell ref="C130:D130"/>
    <mergeCell ref="C131:D131"/>
    <mergeCell ref="C94:D94"/>
    <mergeCell ref="C95:D95"/>
    <mergeCell ref="C96:D96"/>
    <mergeCell ref="C107:D107"/>
    <mergeCell ref="C108:D108"/>
    <mergeCell ref="C109:D109"/>
    <mergeCell ref="C97:D97"/>
    <mergeCell ref="C98:D98"/>
    <mergeCell ref="C99:D99"/>
    <mergeCell ref="C100:D100"/>
    <mergeCell ref="C101:D101"/>
    <mergeCell ref="C102:D102"/>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H147:I147"/>
    <mergeCell ref="J147:K147"/>
    <mergeCell ref="L147:M147"/>
    <mergeCell ref="N147:O147"/>
    <mergeCell ref="J144:K144"/>
    <mergeCell ref="L144:M144"/>
    <mergeCell ref="N144:O144"/>
    <mergeCell ref="H141:I141"/>
    <mergeCell ref="J141:K141"/>
    <mergeCell ref="L141:M141"/>
    <mergeCell ref="H145:I145"/>
    <mergeCell ref="J145:K145"/>
    <mergeCell ref="L145:M145"/>
    <mergeCell ref="N145:O145"/>
    <mergeCell ref="H146:I146"/>
    <mergeCell ref="J146:K146"/>
    <mergeCell ref="L146:M146"/>
    <mergeCell ref="N146:O146"/>
    <mergeCell ref="N141:O141"/>
    <mergeCell ref="H142:I142"/>
    <mergeCell ref="J142:K142"/>
    <mergeCell ref="L142:M142"/>
    <mergeCell ref="N142:O142"/>
    <mergeCell ref="H144:I144"/>
    <mergeCell ref="H149:I149"/>
    <mergeCell ref="J149:K149"/>
    <mergeCell ref="L149:M149"/>
    <mergeCell ref="N149:O149"/>
    <mergeCell ref="H150:I150"/>
    <mergeCell ref="J150:K150"/>
    <mergeCell ref="L150:M150"/>
    <mergeCell ref="N150:O150"/>
    <mergeCell ref="H148:I148"/>
    <mergeCell ref="J148:K148"/>
    <mergeCell ref="L148:M148"/>
    <mergeCell ref="N148:O148"/>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66:I166"/>
    <mergeCell ref="H167:I167"/>
    <mergeCell ref="L169:M169"/>
    <mergeCell ref="L166:M166"/>
    <mergeCell ref="L167:M167"/>
    <mergeCell ref="L168:M168"/>
    <mergeCell ref="H168:I168"/>
    <mergeCell ref="H169:I169"/>
    <mergeCell ref="H163:I163"/>
    <mergeCell ref="J163:K163"/>
    <mergeCell ref="L163:M163"/>
    <mergeCell ref="H164:I164"/>
    <mergeCell ref="J164:K164"/>
    <mergeCell ref="L164:M164"/>
    <mergeCell ref="H165:I165"/>
    <mergeCell ref="J165:K165"/>
    <mergeCell ref="L165:M165"/>
    <mergeCell ref="N172:O172"/>
    <mergeCell ref="N173:O173"/>
    <mergeCell ref="N174:O174"/>
    <mergeCell ref="N175:O175"/>
    <mergeCell ref="N176:O176"/>
    <mergeCell ref="H173:I173"/>
    <mergeCell ref="J184:K184"/>
    <mergeCell ref="J185:K185"/>
    <mergeCell ref="L170:M170"/>
    <mergeCell ref="H170:I170"/>
    <mergeCell ref="J183:K183"/>
    <mergeCell ref="H171:I171"/>
    <mergeCell ref="H172:I172"/>
    <mergeCell ref="L176:M176"/>
    <mergeCell ref="L177:M177"/>
    <mergeCell ref="H180:I180"/>
    <mergeCell ref="H181:I181"/>
    <mergeCell ref="H182:I182"/>
    <mergeCell ref="H183:I183"/>
    <mergeCell ref="H174:I174"/>
    <mergeCell ref="H175:I175"/>
    <mergeCell ref="H176:I176"/>
    <mergeCell ref="H177:I177"/>
    <mergeCell ref="H178:I178"/>
    <mergeCell ref="R136:W136"/>
    <mergeCell ref="J171:K171"/>
    <mergeCell ref="J172:K172"/>
    <mergeCell ref="J166:K166"/>
    <mergeCell ref="J167:K167"/>
    <mergeCell ref="J168:K168"/>
    <mergeCell ref="J169:K169"/>
    <mergeCell ref="J170:K170"/>
    <mergeCell ref="N183:O183"/>
    <mergeCell ref="N166:O166"/>
    <mergeCell ref="N167:O167"/>
    <mergeCell ref="J138:K138"/>
    <mergeCell ref="L138:M138"/>
    <mergeCell ref="N138:O138"/>
    <mergeCell ref="J173:K173"/>
    <mergeCell ref="L171:M171"/>
    <mergeCell ref="L172:M172"/>
    <mergeCell ref="L173:M173"/>
    <mergeCell ref="L174:M174"/>
    <mergeCell ref="L175:M175"/>
    <mergeCell ref="N163:O163"/>
    <mergeCell ref="N164:O164"/>
    <mergeCell ref="N165:O165"/>
    <mergeCell ref="L178:M178"/>
    <mergeCell ref="J178:K178"/>
    <mergeCell ref="J179:K179"/>
    <mergeCell ref="J180:K180"/>
    <mergeCell ref="J181:K181"/>
    <mergeCell ref="J182:K182"/>
    <mergeCell ref="J174:K174"/>
    <mergeCell ref="J175:K175"/>
    <mergeCell ref="J176:K176"/>
    <mergeCell ref="J177:K177"/>
    <mergeCell ref="L179:M179"/>
    <mergeCell ref="L187:M187"/>
    <mergeCell ref="L188:M188"/>
    <mergeCell ref="L184:M184"/>
    <mergeCell ref="H184:I184"/>
    <mergeCell ref="H185:I185"/>
    <mergeCell ref="L196:M196"/>
    <mergeCell ref="H195:I195"/>
    <mergeCell ref="J195:K195"/>
    <mergeCell ref="L195:M195"/>
    <mergeCell ref="L185:M185"/>
    <mergeCell ref="L182:M182"/>
    <mergeCell ref="L183:M183"/>
    <mergeCell ref="H179:I179"/>
    <mergeCell ref="H187:I187"/>
    <mergeCell ref="J186:K186"/>
    <mergeCell ref="H186:I186"/>
    <mergeCell ref="N196:O196"/>
    <mergeCell ref="AT4:AW4"/>
    <mergeCell ref="AX4:BA4"/>
    <mergeCell ref="N193:O193"/>
    <mergeCell ref="C116:D116"/>
    <mergeCell ref="C117:D117"/>
    <mergeCell ref="H193:I193"/>
    <mergeCell ref="J193:K193"/>
    <mergeCell ref="L193:M193"/>
    <mergeCell ref="H192:I192"/>
    <mergeCell ref="J192:K192"/>
    <mergeCell ref="C114:D114"/>
    <mergeCell ref="C115:D115"/>
    <mergeCell ref="N187:O187"/>
    <mergeCell ref="N188:O188"/>
    <mergeCell ref="N177:O177"/>
    <mergeCell ref="N182:O182"/>
    <mergeCell ref="N171:O171"/>
    <mergeCell ref="N168:O168"/>
    <mergeCell ref="N169:O169"/>
    <mergeCell ref="N170:O170"/>
    <mergeCell ref="L181:M181"/>
    <mergeCell ref="N179:O179"/>
    <mergeCell ref="N178:O178"/>
    <mergeCell ref="N195:O195"/>
    <mergeCell ref="H194:I194"/>
    <mergeCell ref="J194:K194"/>
    <mergeCell ref="L194:M194"/>
    <mergeCell ref="N194:O194"/>
    <mergeCell ref="L180:M180"/>
    <mergeCell ref="N180:O180"/>
    <mergeCell ref="L190:M190"/>
    <mergeCell ref="L186:M186"/>
    <mergeCell ref="N186:O186"/>
    <mergeCell ref="N181:O181"/>
    <mergeCell ref="J189:K189"/>
    <mergeCell ref="J190:K190"/>
    <mergeCell ref="L192:M192"/>
    <mergeCell ref="N191:O191"/>
    <mergeCell ref="N192:O192"/>
    <mergeCell ref="L189:M189"/>
    <mergeCell ref="N189:O189"/>
    <mergeCell ref="N190:O190"/>
    <mergeCell ref="H188:I188"/>
    <mergeCell ref="H189:I189"/>
    <mergeCell ref="N184:O184"/>
    <mergeCell ref="N185:O185"/>
    <mergeCell ref="H200:I200"/>
    <mergeCell ref="J200:K200"/>
    <mergeCell ref="L200:M200"/>
    <mergeCell ref="N200:O200"/>
    <mergeCell ref="J187:K187"/>
    <mergeCell ref="J188:K188"/>
    <mergeCell ref="H199:I199"/>
    <mergeCell ref="J199:K199"/>
    <mergeCell ref="L199:M199"/>
    <mergeCell ref="N199:O199"/>
    <mergeCell ref="H198:I198"/>
    <mergeCell ref="J198:K198"/>
    <mergeCell ref="L198:M198"/>
    <mergeCell ref="N198:O198"/>
    <mergeCell ref="H191:I191"/>
    <mergeCell ref="J191:K191"/>
    <mergeCell ref="L191:M191"/>
    <mergeCell ref="H190:I190"/>
    <mergeCell ref="H197:I197"/>
    <mergeCell ref="J197:K197"/>
    <mergeCell ref="L197:M197"/>
    <mergeCell ref="N197:O197"/>
    <mergeCell ref="H196:I196"/>
    <mergeCell ref="J196:K196"/>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BA142"/>
  <sheetViews>
    <sheetView zoomScale="184" zoomScaleNormal="120" workbookViewId="0">
      <pane xSplit="1" ySplit="5" topLeftCell="G64" activePane="bottomRight" state="frozen"/>
      <selection pane="topRight" activeCell="B1" sqref="B1"/>
      <selection pane="bottomLeft" activeCell="A6" sqref="A6"/>
      <selection pane="bottomRight" activeCell="J107" sqref="J107"/>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143</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1991</v>
      </c>
      <c r="B6" s="295"/>
      <c r="C6" s="421" t="s">
        <v>1263</v>
      </c>
      <c r="D6" s="421"/>
      <c r="E6" s="85">
        <v>356</v>
      </c>
      <c r="F6" s="114"/>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171">
        <v>1991</v>
      </c>
      <c r="B7" s="283">
        <v>33595</v>
      </c>
      <c r="C7" s="410" t="s">
        <v>929</v>
      </c>
      <c r="D7" s="410"/>
      <c r="E7" s="171">
        <v>9</v>
      </c>
      <c r="F7" s="171" t="s">
        <v>335</v>
      </c>
      <c r="G7" s="233">
        <v>3</v>
      </c>
      <c r="H7" s="171">
        <v>7</v>
      </c>
      <c r="J7" s="241">
        <v>23</v>
      </c>
      <c r="K7" s="214">
        <f t="shared" ref="K7:M11" si="0">G7/J7*100</f>
        <v>13.043478260869565</v>
      </c>
      <c r="L7" s="214">
        <f t="shared" si="0"/>
        <v>53.666666666666671</v>
      </c>
      <c r="M7" s="214">
        <f t="shared" si="0"/>
        <v>0</v>
      </c>
      <c r="N7" s="235">
        <f>K7+L7+M7</f>
        <v>66.710144927536234</v>
      </c>
      <c r="O7" s="213">
        <v>9.6</v>
      </c>
      <c r="P7" s="214">
        <v>16.8</v>
      </c>
      <c r="Q7" s="214"/>
      <c r="R7" s="215">
        <f t="shared" ref="R7:R80" si="1">SUM(O7:Q7)</f>
        <v>26.4</v>
      </c>
      <c r="S7" s="171">
        <v>5</v>
      </c>
      <c r="T7" s="285">
        <v>33538</v>
      </c>
      <c r="U7" s="283">
        <v>33595</v>
      </c>
      <c r="V7" s="178" t="s">
        <v>100</v>
      </c>
      <c r="W7" s="171" t="s">
        <v>76</v>
      </c>
      <c r="X7" s="171" t="s">
        <v>11</v>
      </c>
      <c r="Y7" s="179">
        <v>9.6</v>
      </c>
      <c r="Z7" s="171" t="s">
        <v>930</v>
      </c>
      <c r="AA7" s="171" t="s">
        <v>85</v>
      </c>
      <c r="AB7" s="171" t="s">
        <v>18</v>
      </c>
      <c r="AC7" s="171">
        <v>10.7</v>
      </c>
      <c r="AD7" s="178" t="s">
        <v>931</v>
      </c>
      <c r="AE7" s="171" t="s">
        <v>932</v>
      </c>
      <c r="AF7" s="171" t="s">
        <v>18</v>
      </c>
      <c r="AG7" s="179">
        <v>6.1</v>
      </c>
      <c r="AL7" s="178"/>
      <c r="AO7" s="179"/>
      <c r="AP7" s="178"/>
      <c r="AS7" s="179"/>
      <c r="AW7" s="179"/>
      <c r="BA7" s="180"/>
    </row>
    <row r="8" spans="1:53" s="171" customFormat="1" x14ac:dyDescent="0.15">
      <c r="A8" s="171">
        <v>1992</v>
      </c>
      <c r="B8" s="283"/>
      <c r="C8" s="410" t="s">
        <v>929</v>
      </c>
      <c r="D8" s="410"/>
      <c r="E8" s="171">
        <v>157</v>
      </c>
      <c r="G8" s="233">
        <v>3</v>
      </c>
      <c r="H8" s="171">
        <v>7</v>
      </c>
      <c r="J8" s="241">
        <v>23</v>
      </c>
      <c r="K8" s="214">
        <f t="shared" si="0"/>
        <v>13.043478260869565</v>
      </c>
      <c r="L8" s="214">
        <f t="shared" si="0"/>
        <v>53.666666666666671</v>
      </c>
      <c r="M8" s="214">
        <f t="shared" si="0"/>
        <v>0</v>
      </c>
      <c r="N8" s="235">
        <f>K8+L8+M8</f>
        <v>66.710144927536234</v>
      </c>
      <c r="O8" s="213">
        <v>9.6</v>
      </c>
      <c r="P8" s="214">
        <v>16.8</v>
      </c>
      <c r="Q8" s="214"/>
      <c r="R8" s="215">
        <f t="shared" si="1"/>
        <v>26.4</v>
      </c>
      <c r="S8" s="171">
        <v>5</v>
      </c>
      <c r="T8" s="285"/>
      <c r="U8" s="283"/>
      <c r="V8" s="178" t="s">
        <v>100</v>
      </c>
      <c r="W8" s="171" t="s">
        <v>76</v>
      </c>
      <c r="X8" s="171" t="s">
        <v>11</v>
      </c>
      <c r="Y8" s="179">
        <v>9.6</v>
      </c>
      <c r="Z8" s="171" t="s">
        <v>930</v>
      </c>
      <c r="AA8" s="171" t="s">
        <v>85</v>
      </c>
      <c r="AB8" s="171" t="s">
        <v>18</v>
      </c>
      <c r="AC8" s="171">
        <v>10.7</v>
      </c>
      <c r="AD8" s="178" t="s">
        <v>931</v>
      </c>
      <c r="AE8" s="171" t="s">
        <v>932</v>
      </c>
      <c r="AF8" s="171" t="s">
        <v>18</v>
      </c>
      <c r="AG8" s="179">
        <v>6.1</v>
      </c>
      <c r="AL8" s="178"/>
      <c r="AO8" s="179"/>
      <c r="AP8" s="178"/>
      <c r="AS8" s="179"/>
      <c r="AW8" s="179"/>
      <c r="BA8" s="180"/>
    </row>
    <row r="9" spans="1:53" s="29" customFormat="1" x14ac:dyDescent="0.15">
      <c r="A9" s="29">
        <v>1992</v>
      </c>
      <c r="B9" s="295">
        <v>33761</v>
      </c>
      <c r="C9" s="411" t="s">
        <v>933</v>
      </c>
      <c r="D9" s="411"/>
      <c r="E9" s="29">
        <v>35</v>
      </c>
      <c r="F9" s="29">
        <v>5</v>
      </c>
      <c r="G9" s="66">
        <v>0</v>
      </c>
      <c r="H9" s="29">
        <v>0</v>
      </c>
      <c r="I9" s="29">
        <v>0</v>
      </c>
      <c r="J9" s="73">
        <v>0</v>
      </c>
      <c r="K9" s="47">
        <v>0</v>
      </c>
      <c r="L9" s="47">
        <v>0</v>
      </c>
      <c r="M9" s="47">
        <v>0</v>
      </c>
      <c r="N9" s="68">
        <v>0</v>
      </c>
      <c r="O9" s="46">
        <v>0</v>
      </c>
      <c r="P9" s="47">
        <v>0</v>
      </c>
      <c r="Q9" s="47">
        <v>0</v>
      </c>
      <c r="R9" s="48">
        <f t="shared" si="1"/>
        <v>0</v>
      </c>
      <c r="S9" s="29">
        <v>6</v>
      </c>
      <c r="T9" s="286"/>
      <c r="U9" s="295">
        <v>33761</v>
      </c>
      <c r="V9" s="443" t="s">
        <v>1150</v>
      </c>
      <c r="W9" s="444"/>
      <c r="X9" s="444"/>
      <c r="Y9" s="444"/>
      <c r="Z9" s="444"/>
      <c r="AA9" s="444"/>
      <c r="AB9" s="444"/>
      <c r="AC9" s="445"/>
      <c r="AH9" s="38"/>
      <c r="AK9" s="39"/>
      <c r="AP9" s="38"/>
      <c r="AS9" s="39"/>
      <c r="AW9" s="39"/>
      <c r="BA9" s="40"/>
    </row>
    <row r="10" spans="1:53" s="171" customFormat="1" x14ac:dyDescent="0.15">
      <c r="A10" s="171">
        <v>1992</v>
      </c>
      <c r="B10" s="283">
        <v>33796</v>
      </c>
      <c r="C10" s="410" t="s">
        <v>1151</v>
      </c>
      <c r="D10" s="410"/>
      <c r="E10" s="171">
        <f>366-E9-E8</f>
        <v>174</v>
      </c>
      <c r="F10" s="171">
        <v>5</v>
      </c>
      <c r="G10" s="233">
        <v>7</v>
      </c>
      <c r="H10" s="171">
        <v>9</v>
      </c>
      <c r="J10" s="241">
        <v>19</v>
      </c>
      <c r="K10" s="214">
        <f t="shared" si="0"/>
        <v>36.84210526315789</v>
      </c>
      <c r="L10" s="214">
        <f t="shared" si="0"/>
        <v>24.428571428571434</v>
      </c>
      <c r="M10" s="214">
        <f t="shared" si="0"/>
        <v>0</v>
      </c>
      <c r="N10" s="235">
        <f>K10+L10+M10</f>
        <v>61.270676691729321</v>
      </c>
      <c r="O10" s="213">
        <v>21.5</v>
      </c>
      <c r="P10" s="214">
        <v>17.899999999999999</v>
      </c>
      <c r="Q10" s="214"/>
      <c r="R10" s="215">
        <f t="shared" si="1"/>
        <v>39.4</v>
      </c>
      <c r="S10" s="171">
        <v>5</v>
      </c>
      <c r="T10" s="285"/>
      <c r="U10" s="283">
        <v>33796</v>
      </c>
      <c r="V10" s="178" t="s">
        <v>551</v>
      </c>
      <c r="W10" s="171" t="s">
        <v>22</v>
      </c>
      <c r="X10" s="171" t="s">
        <v>11</v>
      </c>
      <c r="Y10" s="179">
        <v>13.5</v>
      </c>
      <c r="Z10" s="171" t="s">
        <v>934</v>
      </c>
      <c r="AA10" s="171" t="s">
        <v>85</v>
      </c>
      <c r="AB10" s="171" t="s">
        <v>18</v>
      </c>
      <c r="AC10" s="171">
        <v>10.7</v>
      </c>
      <c r="AD10" s="178" t="s">
        <v>936</v>
      </c>
      <c r="AE10" s="171" t="s">
        <v>87</v>
      </c>
      <c r="AF10" s="171" t="s">
        <v>11</v>
      </c>
      <c r="AG10" s="171">
        <v>8</v>
      </c>
      <c r="AH10" s="178" t="s">
        <v>931</v>
      </c>
      <c r="AI10" s="171" t="s">
        <v>932</v>
      </c>
      <c r="AJ10" s="171" t="s">
        <v>18</v>
      </c>
      <c r="AK10" s="179">
        <v>6.1</v>
      </c>
      <c r="AL10" s="178" t="s">
        <v>935</v>
      </c>
      <c r="AM10" s="171" t="s">
        <v>17</v>
      </c>
      <c r="AN10" s="171" t="s">
        <v>18</v>
      </c>
      <c r="AO10" s="179">
        <v>1.1000000000000001</v>
      </c>
      <c r="AP10" s="178" t="s">
        <v>1152</v>
      </c>
      <c r="AQ10" s="171" t="s">
        <v>327</v>
      </c>
      <c r="AR10" s="171" t="s">
        <v>18</v>
      </c>
      <c r="AS10" s="179">
        <v>0</v>
      </c>
      <c r="AW10" s="179"/>
      <c r="BA10" s="180"/>
    </row>
    <row r="11" spans="1:53" s="171" customFormat="1" x14ac:dyDescent="0.15">
      <c r="A11" s="171">
        <v>1993</v>
      </c>
      <c r="B11" s="283"/>
      <c r="C11" s="410" t="s">
        <v>1151</v>
      </c>
      <c r="D11" s="410"/>
      <c r="E11" s="171">
        <v>298</v>
      </c>
      <c r="G11" s="233">
        <v>7</v>
      </c>
      <c r="H11" s="171">
        <v>9</v>
      </c>
      <c r="J11" s="241">
        <v>19</v>
      </c>
      <c r="K11" s="214">
        <f t="shared" si="0"/>
        <v>36.84210526315789</v>
      </c>
      <c r="L11" s="214">
        <f t="shared" si="0"/>
        <v>24.428571428571434</v>
      </c>
      <c r="M11" s="214">
        <f t="shared" si="0"/>
        <v>0</v>
      </c>
      <c r="N11" s="235">
        <f>K11+L11+M11</f>
        <v>61.270676691729321</v>
      </c>
      <c r="O11" s="213">
        <v>21.5</v>
      </c>
      <c r="P11" s="214">
        <v>17.899999999999999</v>
      </c>
      <c r="Q11" s="214"/>
      <c r="R11" s="215">
        <f t="shared" si="1"/>
        <v>39.4</v>
      </c>
      <c r="S11" s="171">
        <v>5</v>
      </c>
      <c r="T11" s="285"/>
      <c r="U11" s="283"/>
      <c r="V11" s="178" t="s">
        <v>551</v>
      </c>
      <c r="W11" s="171" t="s">
        <v>22</v>
      </c>
      <c r="X11" s="171" t="s">
        <v>11</v>
      </c>
      <c r="Y11" s="179">
        <v>13.5</v>
      </c>
      <c r="Z11" s="171" t="s">
        <v>934</v>
      </c>
      <c r="AA11" s="171" t="s">
        <v>85</v>
      </c>
      <c r="AB11" s="171" t="s">
        <v>18</v>
      </c>
      <c r="AC11" s="171">
        <v>10.7</v>
      </c>
      <c r="AD11" s="178" t="s">
        <v>936</v>
      </c>
      <c r="AE11" s="171" t="s">
        <v>87</v>
      </c>
      <c r="AF11" s="171" t="s">
        <v>11</v>
      </c>
      <c r="AG11" s="171">
        <v>8</v>
      </c>
      <c r="AH11" s="178" t="s">
        <v>931</v>
      </c>
      <c r="AI11" s="171" t="s">
        <v>932</v>
      </c>
      <c r="AJ11" s="171" t="s">
        <v>18</v>
      </c>
      <c r="AK11" s="179">
        <v>6.1</v>
      </c>
      <c r="AL11" s="178" t="s">
        <v>935</v>
      </c>
      <c r="AM11" s="171" t="s">
        <v>17</v>
      </c>
      <c r="AN11" s="171" t="s">
        <v>18</v>
      </c>
      <c r="AO11" s="179">
        <v>1.1000000000000001</v>
      </c>
      <c r="AP11" s="178" t="s">
        <v>1152</v>
      </c>
      <c r="AQ11" s="171" t="s">
        <v>327</v>
      </c>
      <c r="AR11" s="171" t="s">
        <v>18</v>
      </c>
      <c r="AS11" s="179">
        <v>0</v>
      </c>
      <c r="AW11" s="179"/>
      <c r="BA11" s="180"/>
    </row>
    <row r="12" spans="1:53" s="29" customFormat="1" x14ac:dyDescent="0.15">
      <c r="A12" s="29">
        <v>1993</v>
      </c>
      <c r="B12" s="295">
        <v>34268</v>
      </c>
      <c r="C12" s="411" t="s">
        <v>939</v>
      </c>
      <c r="D12" s="411"/>
      <c r="E12" s="29">
        <f xml:space="preserve"> 365-E11</f>
        <v>67</v>
      </c>
      <c r="F12" s="29">
        <v>5</v>
      </c>
      <c r="G12" s="66"/>
      <c r="I12" s="29">
        <v>13</v>
      </c>
      <c r="J12" s="73">
        <v>20</v>
      </c>
      <c r="K12" s="47">
        <f>G12/J12*100</f>
        <v>0</v>
      </c>
      <c r="L12" s="47">
        <f>H12/J12*100</f>
        <v>0</v>
      </c>
      <c r="M12" s="47">
        <f>I12/J12*100</f>
        <v>65</v>
      </c>
      <c r="N12" s="68">
        <f t="shared" ref="N12:N84" si="2">SUM(K12:M12)</f>
        <v>65</v>
      </c>
      <c r="O12" s="46"/>
      <c r="P12" s="47"/>
      <c r="Q12" s="47">
        <v>65.900000000000006</v>
      </c>
      <c r="R12" s="48">
        <f t="shared" si="1"/>
        <v>65.900000000000006</v>
      </c>
      <c r="S12" s="29">
        <v>2</v>
      </c>
      <c r="T12" s="286">
        <v>34231</v>
      </c>
      <c r="U12" s="295">
        <v>34268</v>
      </c>
      <c r="V12" s="38" t="s">
        <v>938</v>
      </c>
      <c r="W12" s="29" t="s">
        <v>96</v>
      </c>
      <c r="X12" s="29" t="s">
        <v>12</v>
      </c>
      <c r="Y12" s="39">
        <v>37.200000000000003</v>
      </c>
      <c r="Z12" s="29" t="s">
        <v>937</v>
      </c>
      <c r="AA12" s="29" t="s">
        <v>869</v>
      </c>
      <c r="AB12" s="29" t="s">
        <v>12</v>
      </c>
      <c r="AC12" s="29">
        <v>28.7</v>
      </c>
      <c r="AD12" s="38"/>
      <c r="AG12" s="39"/>
      <c r="AL12" s="38"/>
      <c r="AO12" s="39"/>
      <c r="AP12" s="38"/>
      <c r="AS12" s="39"/>
      <c r="AW12" s="39"/>
      <c r="BA12" s="40"/>
    </row>
    <row r="13" spans="1:53" s="29" customFormat="1" x14ac:dyDescent="0.15">
      <c r="A13" s="29">
        <v>1994</v>
      </c>
      <c r="B13" s="295"/>
      <c r="C13" s="411" t="s">
        <v>939</v>
      </c>
      <c r="D13" s="411"/>
      <c r="E13" s="29">
        <v>0</v>
      </c>
      <c r="G13" s="66"/>
      <c r="I13" s="29">
        <v>13</v>
      </c>
      <c r="J13" s="73">
        <v>20</v>
      </c>
      <c r="K13" s="47">
        <f t="shared" ref="K13:K75" si="3">G13/J13*100</f>
        <v>0</v>
      </c>
      <c r="L13" s="47">
        <f t="shared" ref="L13:L75" si="4">H13/J13*100</f>
        <v>0</v>
      </c>
      <c r="M13" s="47">
        <f t="shared" ref="M13:M75" si="5">I13/J13*100</f>
        <v>65</v>
      </c>
      <c r="N13" s="68">
        <f t="shared" si="2"/>
        <v>65</v>
      </c>
      <c r="O13" s="46"/>
      <c r="P13" s="47"/>
      <c r="Q13" s="47">
        <v>65.900000000000006</v>
      </c>
      <c r="R13" s="48">
        <f t="shared" si="1"/>
        <v>65.900000000000006</v>
      </c>
      <c r="S13" s="29">
        <v>2</v>
      </c>
      <c r="T13" s="286"/>
      <c r="U13" s="295"/>
      <c r="V13" s="38" t="s">
        <v>938</v>
      </c>
      <c r="W13" s="29" t="s">
        <v>96</v>
      </c>
      <c r="X13" s="29" t="s">
        <v>12</v>
      </c>
      <c r="Y13" s="39">
        <v>37.200000000000003</v>
      </c>
      <c r="Z13" s="29" t="s">
        <v>937</v>
      </c>
      <c r="AA13" s="29" t="s">
        <v>869</v>
      </c>
      <c r="AB13" s="29" t="s">
        <v>12</v>
      </c>
      <c r="AC13" s="29">
        <v>28.7</v>
      </c>
      <c r="AD13" s="38"/>
      <c r="AG13" s="39"/>
      <c r="AL13" s="38"/>
      <c r="AO13" s="39"/>
      <c r="AP13" s="38"/>
      <c r="AS13" s="39"/>
      <c r="AW13" s="39"/>
      <c r="BA13" s="40"/>
    </row>
    <row r="14" spans="1:53" s="29" customFormat="1" x14ac:dyDescent="0.15">
      <c r="A14" s="29">
        <v>1994</v>
      </c>
      <c r="B14" s="295"/>
      <c r="C14" s="411" t="s">
        <v>939</v>
      </c>
      <c r="D14" s="411"/>
      <c r="E14" s="29">
        <v>365</v>
      </c>
      <c r="G14" s="66"/>
      <c r="I14" s="29">
        <v>13</v>
      </c>
      <c r="J14" s="73">
        <v>20</v>
      </c>
      <c r="K14" s="47">
        <f t="shared" si="3"/>
        <v>0</v>
      </c>
      <c r="L14" s="47">
        <f t="shared" si="4"/>
        <v>0</v>
      </c>
      <c r="M14" s="47">
        <f t="shared" si="5"/>
        <v>65</v>
      </c>
      <c r="N14" s="68">
        <f t="shared" si="2"/>
        <v>65</v>
      </c>
      <c r="O14" s="46"/>
      <c r="P14" s="47"/>
      <c r="Q14" s="47">
        <v>65.900000000000006</v>
      </c>
      <c r="R14" s="48">
        <f t="shared" si="1"/>
        <v>65.900000000000006</v>
      </c>
      <c r="S14" s="29">
        <v>2</v>
      </c>
      <c r="T14" s="286"/>
      <c r="U14" s="295"/>
      <c r="V14" s="38" t="s">
        <v>938</v>
      </c>
      <c r="W14" s="29" t="s">
        <v>96</v>
      </c>
      <c r="X14" s="29" t="s">
        <v>12</v>
      </c>
      <c r="Y14" s="39">
        <v>37.200000000000003</v>
      </c>
      <c r="Z14" s="29" t="s">
        <v>937</v>
      </c>
      <c r="AA14" s="29" t="s">
        <v>869</v>
      </c>
      <c r="AB14" s="29" t="s">
        <v>12</v>
      </c>
      <c r="AC14" s="29">
        <v>28.7</v>
      </c>
      <c r="AD14" s="38"/>
      <c r="AG14" s="39"/>
      <c r="AL14" s="38"/>
      <c r="AO14" s="39"/>
      <c r="AP14" s="38"/>
      <c r="AS14" s="39"/>
      <c r="AW14" s="39"/>
      <c r="BA14" s="40"/>
    </row>
    <row r="15" spans="1:53" s="29" customFormat="1" x14ac:dyDescent="0.15">
      <c r="A15" s="29">
        <v>1995</v>
      </c>
      <c r="B15" s="295"/>
      <c r="C15" s="411" t="s">
        <v>939</v>
      </c>
      <c r="D15" s="411"/>
      <c r="E15" s="29">
        <v>64</v>
      </c>
      <c r="G15" s="66"/>
      <c r="I15" s="29">
        <v>13</v>
      </c>
      <c r="J15" s="73">
        <v>20</v>
      </c>
      <c r="K15" s="47">
        <f t="shared" si="3"/>
        <v>0</v>
      </c>
      <c r="L15" s="47">
        <f t="shared" si="4"/>
        <v>0</v>
      </c>
      <c r="M15" s="47">
        <f t="shared" si="5"/>
        <v>65</v>
      </c>
      <c r="N15" s="68">
        <f t="shared" si="2"/>
        <v>65</v>
      </c>
      <c r="O15" s="46"/>
      <c r="P15" s="47"/>
      <c r="Q15" s="47">
        <v>65.900000000000006</v>
      </c>
      <c r="R15" s="48">
        <f t="shared" si="1"/>
        <v>65.900000000000006</v>
      </c>
      <c r="S15" s="29">
        <v>2</v>
      </c>
      <c r="T15" s="286"/>
      <c r="U15" s="295"/>
      <c r="V15" s="38" t="s">
        <v>938</v>
      </c>
      <c r="W15" s="29" t="s">
        <v>96</v>
      </c>
      <c r="X15" s="29" t="s">
        <v>12</v>
      </c>
      <c r="Y15" s="39">
        <v>37.200000000000003</v>
      </c>
      <c r="Z15" s="29" t="s">
        <v>937</v>
      </c>
      <c r="AA15" s="29" t="s">
        <v>869</v>
      </c>
      <c r="AB15" s="29" t="s">
        <v>12</v>
      </c>
      <c r="AC15" s="29">
        <v>28.7</v>
      </c>
      <c r="AD15" s="38"/>
      <c r="AG15" s="39"/>
      <c r="AL15" s="38"/>
      <c r="AO15" s="39"/>
      <c r="AP15" s="38"/>
      <c r="AS15" s="39"/>
      <c r="AW15" s="39"/>
      <c r="BA15" s="40"/>
    </row>
    <row r="16" spans="1:53" s="171" customFormat="1" x14ac:dyDescent="0.15">
      <c r="A16" s="171">
        <v>1995</v>
      </c>
      <c r="B16" s="283">
        <v>34764</v>
      </c>
      <c r="C16" s="410" t="s">
        <v>940</v>
      </c>
      <c r="D16" s="410"/>
      <c r="E16" s="171">
        <f xml:space="preserve"> 365-E15</f>
        <v>301</v>
      </c>
      <c r="F16" s="171">
        <v>6</v>
      </c>
      <c r="G16" s="233"/>
      <c r="I16" s="171">
        <v>18</v>
      </c>
      <c r="J16" s="241">
        <v>21</v>
      </c>
      <c r="K16" s="214">
        <f t="shared" si="3"/>
        <v>0</v>
      </c>
      <c r="L16" s="214">
        <f t="shared" si="4"/>
        <v>0</v>
      </c>
      <c r="M16" s="214">
        <f t="shared" si="5"/>
        <v>85.714285714285708</v>
      </c>
      <c r="N16" s="235">
        <f t="shared" si="2"/>
        <v>85.714285714285708</v>
      </c>
      <c r="O16" s="213"/>
      <c r="P16" s="214"/>
      <c r="Q16" s="214">
        <v>65.900000000000006</v>
      </c>
      <c r="R16" s="215">
        <f t="shared" si="1"/>
        <v>65.900000000000006</v>
      </c>
      <c r="S16" s="171">
        <v>2</v>
      </c>
      <c r="T16" s="285"/>
      <c r="U16" s="283">
        <v>34764</v>
      </c>
      <c r="V16" s="178" t="s">
        <v>938</v>
      </c>
      <c r="W16" s="171" t="s">
        <v>96</v>
      </c>
      <c r="X16" s="171" t="s">
        <v>12</v>
      </c>
      <c r="Y16" s="179">
        <v>37.200000000000003</v>
      </c>
      <c r="Z16" s="171" t="s">
        <v>937</v>
      </c>
      <c r="AA16" s="171" t="s">
        <v>869</v>
      </c>
      <c r="AB16" s="171" t="s">
        <v>12</v>
      </c>
      <c r="AC16" s="171">
        <v>28.7</v>
      </c>
      <c r="AD16" s="178"/>
      <c r="AG16" s="179"/>
      <c r="AL16" s="178"/>
      <c r="AO16" s="179"/>
      <c r="AP16" s="178"/>
      <c r="AS16" s="179"/>
      <c r="AW16" s="179"/>
      <c r="BA16" s="180"/>
    </row>
    <row r="17" spans="1:53" s="171" customFormat="1" x14ac:dyDescent="0.15">
      <c r="A17" s="171">
        <v>1996</v>
      </c>
      <c r="B17" s="283"/>
      <c r="C17" s="410" t="s">
        <v>940</v>
      </c>
      <c r="D17" s="410"/>
      <c r="E17" s="171">
        <v>37</v>
      </c>
      <c r="G17" s="233"/>
      <c r="I17" s="171">
        <v>18</v>
      </c>
      <c r="J17" s="241">
        <v>21</v>
      </c>
      <c r="K17" s="214">
        <f t="shared" si="3"/>
        <v>0</v>
      </c>
      <c r="L17" s="214">
        <f t="shared" si="4"/>
        <v>0</v>
      </c>
      <c r="M17" s="214">
        <f t="shared" si="5"/>
        <v>85.714285714285708</v>
      </c>
      <c r="N17" s="235">
        <f t="shared" si="2"/>
        <v>85.714285714285708</v>
      </c>
      <c r="O17" s="213"/>
      <c r="P17" s="214"/>
      <c r="Q17" s="214">
        <v>65.900000000000006</v>
      </c>
      <c r="R17" s="215">
        <f t="shared" si="1"/>
        <v>65.900000000000006</v>
      </c>
      <c r="S17" s="171">
        <v>2</v>
      </c>
      <c r="T17" s="285"/>
      <c r="U17" s="283"/>
      <c r="V17" s="178" t="s">
        <v>938</v>
      </c>
      <c r="W17" s="171" t="s">
        <v>96</v>
      </c>
      <c r="X17" s="171" t="s">
        <v>12</v>
      </c>
      <c r="Y17" s="179">
        <v>37.200000000000003</v>
      </c>
      <c r="Z17" s="171" t="s">
        <v>937</v>
      </c>
      <c r="AA17" s="171" t="s">
        <v>869</v>
      </c>
      <c r="AB17" s="171" t="s">
        <v>12</v>
      </c>
      <c r="AC17" s="171">
        <v>28.7</v>
      </c>
      <c r="AD17" s="178"/>
      <c r="AG17" s="179"/>
      <c r="AL17" s="178"/>
      <c r="AO17" s="179"/>
      <c r="AP17" s="178"/>
      <c r="AS17" s="179"/>
      <c r="AW17" s="179"/>
      <c r="BA17" s="180"/>
    </row>
    <row r="18" spans="1:53" s="29" customFormat="1" x14ac:dyDescent="0.15">
      <c r="A18" s="29">
        <v>1996</v>
      </c>
      <c r="B18" s="295">
        <v>35102</v>
      </c>
      <c r="C18" s="411" t="s">
        <v>941</v>
      </c>
      <c r="D18" s="411"/>
      <c r="E18" s="29">
        <v>237</v>
      </c>
      <c r="F18" s="29">
        <v>2</v>
      </c>
      <c r="G18" s="66"/>
      <c r="I18" s="29">
        <v>14</v>
      </c>
      <c r="J18" s="73">
        <v>21</v>
      </c>
      <c r="K18" s="47">
        <f t="shared" si="3"/>
        <v>0</v>
      </c>
      <c r="L18" s="47">
        <f t="shared" si="4"/>
        <v>0</v>
      </c>
      <c r="M18" s="47">
        <f t="shared" si="5"/>
        <v>66.666666666666657</v>
      </c>
      <c r="N18" s="68">
        <f t="shared" si="2"/>
        <v>66.666666666666657</v>
      </c>
      <c r="O18" s="46"/>
      <c r="P18" s="47"/>
      <c r="Q18" s="47">
        <v>65.900000000000006</v>
      </c>
      <c r="R18" s="48">
        <f t="shared" si="1"/>
        <v>65.900000000000006</v>
      </c>
      <c r="S18" s="29">
        <v>2</v>
      </c>
      <c r="T18" s="286"/>
      <c r="U18" s="295"/>
      <c r="V18" s="38" t="s">
        <v>938</v>
      </c>
      <c r="W18" s="29" t="s">
        <v>96</v>
      </c>
      <c r="X18" s="29" t="s">
        <v>12</v>
      </c>
      <c r="Y18" s="39">
        <v>37.200000000000003</v>
      </c>
      <c r="Z18" s="29" t="s">
        <v>937</v>
      </c>
      <c r="AA18" s="29" t="s">
        <v>869</v>
      </c>
      <c r="AB18" s="29" t="s">
        <v>12</v>
      </c>
      <c r="AC18" s="29">
        <v>28.7</v>
      </c>
      <c r="AD18" s="38"/>
      <c r="AG18" s="39"/>
      <c r="AL18" s="38"/>
      <c r="AO18" s="39"/>
      <c r="AP18" s="38"/>
      <c r="AS18" s="39"/>
      <c r="AW18" s="39"/>
      <c r="BA18" s="40"/>
    </row>
    <row r="19" spans="1:53" s="29" customFormat="1" x14ac:dyDescent="0.15">
      <c r="A19" s="29">
        <v>1996</v>
      </c>
      <c r="B19" s="307">
        <v>35339</v>
      </c>
      <c r="C19" s="411" t="s">
        <v>941</v>
      </c>
      <c r="D19" s="411"/>
      <c r="E19" s="29">
        <v>92</v>
      </c>
      <c r="F19" s="121">
        <v>0</v>
      </c>
      <c r="G19" s="66"/>
      <c r="I19" s="29">
        <v>13</v>
      </c>
      <c r="J19" s="73">
        <v>20</v>
      </c>
      <c r="K19" s="47">
        <f t="shared" si="3"/>
        <v>0</v>
      </c>
      <c r="L19" s="47">
        <f t="shared" si="4"/>
        <v>0</v>
      </c>
      <c r="M19" s="47">
        <f t="shared" si="5"/>
        <v>65</v>
      </c>
      <c r="N19" s="68">
        <f t="shared" si="2"/>
        <v>65</v>
      </c>
      <c r="O19" s="46"/>
      <c r="P19" s="47"/>
      <c r="Q19" s="47">
        <v>65.900000000000006</v>
      </c>
      <c r="R19" s="48">
        <f t="shared" si="1"/>
        <v>65.900000000000006</v>
      </c>
      <c r="S19" s="29">
        <v>2</v>
      </c>
      <c r="T19" s="286"/>
      <c r="U19" s="295"/>
      <c r="V19" s="38" t="s">
        <v>938</v>
      </c>
      <c r="W19" s="29" t="s">
        <v>96</v>
      </c>
      <c r="X19" s="29" t="s">
        <v>12</v>
      </c>
      <c r="Y19" s="39">
        <v>37.200000000000003</v>
      </c>
      <c r="Z19" s="29" t="s">
        <v>937</v>
      </c>
      <c r="AA19" s="29" t="s">
        <v>869</v>
      </c>
      <c r="AB19" s="29" t="s">
        <v>12</v>
      </c>
      <c r="AC19" s="29">
        <v>28.7</v>
      </c>
      <c r="AD19" s="38"/>
      <c r="AG19" s="39"/>
      <c r="AL19" s="38"/>
      <c r="AO19" s="39"/>
      <c r="AP19" s="38"/>
      <c r="AS19" s="39"/>
      <c r="AW19" s="39"/>
      <c r="BA19" s="40"/>
    </row>
    <row r="20" spans="1:53" s="29" customFormat="1" x14ac:dyDescent="0.15">
      <c r="A20" s="29">
        <v>1997</v>
      </c>
      <c r="B20" s="307">
        <v>35431</v>
      </c>
      <c r="C20" s="411" t="s">
        <v>941</v>
      </c>
      <c r="D20" s="411"/>
      <c r="E20" s="29">
        <v>209</v>
      </c>
      <c r="F20" s="121">
        <v>0</v>
      </c>
      <c r="G20" s="66"/>
      <c r="I20" s="29">
        <v>12</v>
      </c>
      <c r="J20" s="73">
        <v>18</v>
      </c>
      <c r="K20" s="47">
        <f>G20/J20*100</f>
        <v>0</v>
      </c>
      <c r="L20" s="47">
        <f>H20/J20*100</f>
        <v>0</v>
      </c>
      <c r="M20" s="47">
        <f>I20/J20*100</f>
        <v>66.666666666666657</v>
      </c>
      <c r="N20" s="68">
        <f>SUM(K20:M20)</f>
        <v>66.666666666666657</v>
      </c>
      <c r="O20" s="46"/>
      <c r="P20" s="47"/>
      <c r="Q20" s="47">
        <v>65.900000000000006</v>
      </c>
      <c r="R20" s="48">
        <f>SUM(O20:Q20)</f>
        <v>65.900000000000006</v>
      </c>
      <c r="S20" s="29">
        <v>2</v>
      </c>
      <c r="T20" s="286"/>
      <c r="U20" s="295"/>
      <c r="V20" s="38" t="s">
        <v>938</v>
      </c>
      <c r="W20" s="29" t="s">
        <v>96</v>
      </c>
      <c r="X20" s="29" t="s">
        <v>12</v>
      </c>
      <c r="Y20" s="39">
        <v>37.200000000000003</v>
      </c>
      <c r="Z20" s="29" t="s">
        <v>937</v>
      </c>
      <c r="AA20" s="29" t="s">
        <v>869</v>
      </c>
      <c r="AB20" s="29" t="s">
        <v>12</v>
      </c>
      <c r="AC20" s="29">
        <v>28.7</v>
      </c>
      <c r="AD20" s="38"/>
      <c r="AG20" s="39"/>
      <c r="AL20" s="38"/>
      <c r="AO20" s="39"/>
      <c r="AP20" s="38"/>
      <c r="AS20" s="39"/>
      <c r="AW20" s="39"/>
      <c r="BA20" s="40"/>
    </row>
    <row r="21" spans="1:53" s="29" customFormat="1" x14ac:dyDescent="0.15">
      <c r="A21" s="29">
        <v>1997</v>
      </c>
      <c r="B21" s="307">
        <v>35640</v>
      </c>
      <c r="C21" s="411" t="s">
        <v>941</v>
      </c>
      <c r="D21" s="411"/>
      <c r="E21" s="29">
        <v>94</v>
      </c>
      <c r="F21" s="121">
        <v>0</v>
      </c>
      <c r="G21" s="66"/>
      <c r="I21" s="29">
        <v>13</v>
      </c>
      <c r="J21" s="73">
        <v>19</v>
      </c>
      <c r="K21" s="47">
        <f t="shared" si="3"/>
        <v>0</v>
      </c>
      <c r="L21" s="47">
        <f t="shared" si="4"/>
        <v>0</v>
      </c>
      <c r="M21" s="47">
        <f t="shared" si="5"/>
        <v>68.421052631578945</v>
      </c>
      <c r="N21" s="68">
        <f t="shared" si="2"/>
        <v>68.421052631578945</v>
      </c>
      <c r="O21" s="46"/>
      <c r="P21" s="47"/>
      <c r="Q21" s="47">
        <v>65.900000000000006</v>
      </c>
      <c r="R21" s="48">
        <f t="shared" si="1"/>
        <v>65.900000000000006</v>
      </c>
      <c r="S21" s="29">
        <v>2</v>
      </c>
      <c r="T21" s="286"/>
      <c r="U21" s="295"/>
      <c r="V21" s="38" t="s">
        <v>938</v>
      </c>
      <c r="W21" s="29" t="s">
        <v>96</v>
      </c>
      <c r="X21" s="29" t="s">
        <v>12</v>
      </c>
      <c r="Y21" s="39">
        <v>37.200000000000003</v>
      </c>
      <c r="Z21" s="29" t="s">
        <v>937</v>
      </c>
      <c r="AA21" s="29" t="s">
        <v>869</v>
      </c>
      <c r="AB21" s="29" t="s">
        <v>12</v>
      </c>
      <c r="AC21" s="29">
        <v>28.7</v>
      </c>
      <c r="AD21" s="38"/>
      <c r="AG21" s="39"/>
      <c r="AL21" s="38"/>
      <c r="AO21" s="39"/>
      <c r="AP21" s="38"/>
      <c r="AS21" s="39"/>
      <c r="AW21" s="39"/>
      <c r="BA21" s="40"/>
    </row>
    <row r="22" spans="1:53" s="171" customFormat="1" x14ac:dyDescent="0.15">
      <c r="A22" s="171">
        <v>1997</v>
      </c>
      <c r="B22" s="283">
        <v>35734</v>
      </c>
      <c r="C22" s="410" t="s">
        <v>1153</v>
      </c>
      <c r="D22" s="410"/>
      <c r="E22" s="171">
        <v>62</v>
      </c>
      <c r="F22" s="171">
        <v>1</v>
      </c>
      <c r="G22" s="233">
        <v>22</v>
      </c>
      <c r="J22" s="241">
        <v>23</v>
      </c>
      <c r="K22" s="214">
        <f t="shared" si="3"/>
        <v>95.652173913043484</v>
      </c>
      <c r="L22" s="214">
        <f t="shared" si="4"/>
        <v>0</v>
      </c>
      <c r="M22" s="214">
        <f t="shared" si="5"/>
        <v>0</v>
      </c>
      <c r="N22" s="235">
        <f t="shared" si="2"/>
        <v>95.652173913043484</v>
      </c>
      <c r="O22" s="213">
        <v>56.7</v>
      </c>
      <c r="P22" s="214"/>
      <c r="Q22" s="214"/>
      <c r="R22" s="215">
        <f t="shared" si="1"/>
        <v>56.7</v>
      </c>
      <c r="S22" s="171">
        <v>2</v>
      </c>
      <c r="T22" s="285">
        <v>35694</v>
      </c>
      <c r="U22" s="283">
        <v>35734</v>
      </c>
      <c r="V22" s="178" t="s">
        <v>942</v>
      </c>
      <c r="W22" s="171" t="s">
        <v>325</v>
      </c>
      <c r="X22" s="171" t="s">
        <v>11</v>
      </c>
      <c r="Y22" s="179">
        <v>43.7</v>
      </c>
      <c r="Z22" s="171" t="s">
        <v>943</v>
      </c>
      <c r="AA22" s="171" t="s">
        <v>106</v>
      </c>
      <c r="AB22" s="171" t="s">
        <v>11</v>
      </c>
      <c r="AC22" s="171">
        <v>13</v>
      </c>
      <c r="AD22" s="178"/>
      <c r="AG22" s="179"/>
      <c r="AL22" s="178"/>
      <c r="AO22" s="179"/>
      <c r="AP22" s="178"/>
      <c r="AS22" s="179"/>
      <c r="AW22" s="179"/>
      <c r="BA22" s="180"/>
    </row>
    <row r="23" spans="1:53" s="171" customFormat="1" x14ac:dyDescent="0.15">
      <c r="A23" s="171">
        <v>1998</v>
      </c>
      <c r="B23" s="283"/>
      <c r="C23" s="410" t="s">
        <v>1153</v>
      </c>
      <c r="D23" s="410"/>
      <c r="E23" s="171">
        <v>207</v>
      </c>
      <c r="G23" s="233">
        <v>22</v>
      </c>
      <c r="J23" s="241">
        <v>23</v>
      </c>
      <c r="K23" s="214">
        <f t="shared" si="3"/>
        <v>95.652173913043484</v>
      </c>
      <c r="L23" s="214">
        <f t="shared" si="4"/>
        <v>0</v>
      </c>
      <c r="M23" s="214">
        <f t="shared" si="5"/>
        <v>0</v>
      </c>
      <c r="N23" s="235">
        <f t="shared" si="2"/>
        <v>95.652173913043484</v>
      </c>
      <c r="O23" s="213">
        <v>56.7</v>
      </c>
      <c r="P23" s="214"/>
      <c r="Q23" s="214"/>
      <c r="R23" s="215">
        <f t="shared" si="1"/>
        <v>56.7</v>
      </c>
      <c r="S23" s="171">
        <v>2</v>
      </c>
      <c r="T23" s="285"/>
      <c r="U23" s="283"/>
      <c r="V23" s="178" t="s">
        <v>942</v>
      </c>
      <c r="W23" s="171" t="s">
        <v>325</v>
      </c>
      <c r="X23" s="171" t="s">
        <v>11</v>
      </c>
      <c r="Y23" s="179">
        <v>43.7</v>
      </c>
      <c r="Z23" s="171" t="s">
        <v>943</v>
      </c>
      <c r="AA23" s="171" t="s">
        <v>106</v>
      </c>
      <c r="AB23" s="171" t="s">
        <v>11</v>
      </c>
      <c r="AC23" s="171">
        <v>13</v>
      </c>
      <c r="AD23" s="178"/>
      <c r="AG23" s="179"/>
      <c r="AL23" s="178"/>
      <c r="AO23" s="179"/>
      <c r="AP23" s="178"/>
      <c r="AS23" s="179"/>
      <c r="AW23" s="179"/>
      <c r="BA23" s="180"/>
    </row>
    <row r="24" spans="1:53" s="171" customFormat="1" x14ac:dyDescent="0.15">
      <c r="A24" s="171">
        <v>1998</v>
      </c>
      <c r="B24" s="310">
        <v>36003</v>
      </c>
      <c r="C24" s="410" t="s">
        <v>1153</v>
      </c>
      <c r="D24" s="410"/>
      <c r="E24" s="171">
        <v>122</v>
      </c>
      <c r="F24" s="252">
        <v>0</v>
      </c>
      <c r="G24" s="233">
        <v>21</v>
      </c>
      <c r="J24" s="241">
        <v>22</v>
      </c>
      <c r="K24" s="214">
        <f t="shared" si="3"/>
        <v>95.454545454545453</v>
      </c>
      <c r="L24" s="214">
        <f t="shared" si="4"/>
        <v>0</v>
      </c>
      <c r="M24" s="214">
        <f t="shared" si="5"/>
        <v>0</v>
      </c>
      <c r="N24" s="235">
        <f t="shared" si="2"/>
        <v>95.454545454545453</v>
      </c>
      <c r="O24" s="213">
        <v>56.7</v>
      </c>
      <c r="P24" s="214"/>
      <c r="Q24" s="214"/>
      <c r="R24" s="215">
        <f t="shared" si="1"/>
        <v>56.7</v>
      </c>
      <c r="S24" s="171">
        <v>2</v>
      </c>
      <c r="T24" s="285"/>
      <c r="U24" s="283"/>
      <c r="V24" s="178" t="s">
        <v>942</v>
      </c>
      <c r="W24" s="171" t="s">
        <v>325</v>
      </c>
      <c r="X24" s="171" t="s">
        <v>11</v>
      </c>
      <c r="Y24" s="179">
        <v>43.7</v>
      </c>
      <c r="Z24" s="171" t="s">
        <v>943</v>
      </c>
      <c r="AA24" s="171" t="s">
        <v>106</v>
      </c>
      <c r="AB24" s="171" t="s">
        <v>11</v>
      </c>
      <c r="AC24" s="171">
        <v>13</v>
      </c>
      <c r="AD24" s="178"/>
      <c r="AG24" s="179"/>
      <c r="AL24" s="178"/>
      <c r="AO24" s="179"/>
      <c r="AP24" s="178"/>
      <c r="AS24" s="179"/>
      <c r="AW24" s="179"/>
      <c r="BA24" s="180"/>
    </row>
    <row r="25" spans="1:53" s="171" customFormat="1" x14ac:dyDescent="0.15">
      <c r="A25" s="171">
        <v>1998</v>
      </c>
      <c r="B25" s="310">
        <v>36125</v>
      </c>
      <c r="C25" s="410" t="s">
        <v>1153</v>
      </c>
      <c r="D25" s="410"/>
      <c r="E25" s="171">
        <f xml:space="preserve"> 365-E24-E23</f>
        <v>36</v>
      </c>
      <c r="F25" s="252">
        <v>0</v>
      </c>
      <c r="G25" s="233">
        <v>22</v>
      </c>
      <c r="J25" s="241">
        <v>22</v>
      </c>
      <c r="K25" s="214">
        <f t="shared" si="3"/>
        <v>100</v>
      </c>
      <c r="L25" s="214">
        <f t="shared" si="4"/>
        <v>0</v>
      </c>
      <c r="M25" s="214">
        <f t="shared" si="5"/>
        <v>0</v>
      </c>
      <c r="N25" s="235">
        <f t="shared" si="2"/>
        <v>100</v>
      </c>
      <c r="O25" s="213">
        <v>56.7</v>
      </c>
      <c r="P25" s="214"/>
      <c r="Q25" s="214"/>
      <c r="R25" s="215">
        <f t="shared" si="1"/>
        <v>56.7</v>
      </c>
      <c r="S25" s="171">
        <v>2</v>
      </c>
      <c r="T25" s="285"/>
      <c r="U25" s="283"/>
      <c r="V25" s="178" t="s">
        <v>942</v>
      </c>
      <c r="W25" s="171" t="s">
        <v>325</v>
      </c>
      <c r="X25" s="171" t="s">
        <v>11</v>
      </c>
      <c r="Y25" s="179">
        <v>43.7</v>
      </c>
      <c r="Z25" s="171" t="s">
        <v>943</v>
      </c>
      <c r="AA25" s="171" t="s">
        <v>106</v>
      </c>
      <c r="AB25" s="171" t="s">
        <v>11</v>
      </c>
      <c r="AC25" s="171">
        <v>13</v>
      </c>
      <c r="AD25" s="178"/>
      <c r="AG25" s="179"/>
      <c r="AL25" s="178"/>
      <c r="AO25" s="179"/>
      <c r="AP25" s="178"/>
      <c r="AS25" s="179"/>
      <c r="AW25" s="179"/>
      <c r="BA25" s="180"/>
    </row>
    <row r="26" spans="1:53" s="171" customFormat="1" x14ac:dyDescent="0.15">
      <c r="A26" s="171">
        <v>1999</v>
      </c>
      <c r="B26" s="310"/>
      <c r="C26" s="410" t="s">
        <v>1153</v>
      </c>
      <c r="D26" s="410"/>
      <c r="E26" s="171">
        <v>84</v>
      </c>
      <c r="F26" s="252"/>
      <c r="G26" s="233">
        <v>22</v>
      </c>
      <c r="J26" s="241">
        <v>22</v>
      </c>
      <c r="K26" s="214">
        <f t="shared" si="3"/>
        <v>100</v>
      </c>
      <c r="L26" s="214">
        <f t="shared" si="4"/>
        <v>0</v>
      </c>
      <c r="M26" s="214">
        <f t="shared" si="5"/>
        <v>0</v>
      </c>
      <c r="N26" s="235">
        <f t="shared" si="2"/>
        <v>100</v>
      </c>
      <c r="O26" s="213">
        <v>56.7</v>
      </c>
      <c r="P26" s="214"/>
      <c r="Q26" s="214"/>
      <c r="R26" s="215">
        <f t="shared" si="1"/>
        <v>56.7</v>
      </c>
      <c r="S26" s="171">
        <v>2</v>
      </c>
      <c r="T26" s="285"/>
      <c r="U26" s="283"/>
      <c r="V26" s="178" t="s">
        <v>942</v>
      </c>
      <c r="W26" s="171" t="s">
        <v>325</v>
      </c>
      <c r="X26" s="171" t="s">
        <v>11</v>
      </c>
      <c r="Y26" s="179">
        <v>43.7</v>
      </c>
      <c r="Z26" s="171" t="s">
        <v>943</v>
      </c>
      <c r="AA26" s="171" t="s">
        <v>106</v>
      </c>
      <c r="AB26" s="171" t="s">
        <v>11</v>
      </c>
      <c r="AC26" s="171">
        <v>13</v>
      </c>
      <c r="AD26" s="178"/>
      <c r="AG26" s="179"/>
      <c r="AL26" s="178"/>
      <c r="AO26" s="179"/>
      <c r="AP26" s="178"/>
      <c r="AS26" s="179"/>
      <c r="AW26" s="179"/>
      <c r="BA26" s="180"/>
    </row>
    <row r="27" spans="1:53" s="171" customFormat="1" x14ac:dyDescent="0.15">
      <c r="A27" s="171">
        <v>1999</v>
      </c>
      <c r="B27" s="310">
        <v>36245</v>
      </c>
      <c r="C27" s="410" t="s">
        <v>1153</v>
      </c>
      <c r="D27" s="410"/>
      <c r="E27" s="171">
        <v>281</v>
      </c>
      <c r="F27" s="252">
        <v>0</v>
      </c>
      <c r="G27" s="233">
        <v>19</v>
      </c>
      <c r="J27" s="241">
        <v>19</v>
      </c>
      <c r="K27" s="214">
        <f t="shared" si="3"/>
        <v>100</v>
      </c>
      <c r="L27" s="214">
        <f t="shared" si="4"/>
        <v>0</v>
      </c>
      <c r="M27" s="214">
        <f t="shared" si="5"/>
        <v>0</v>
      </c>
      <c r="N27" s="235">
        <f t="shared" si="2"/>
        <v>100</v>
      </c>
      <c r="O27" s="213">
        <v>56.7</v>
      </c>
      <c r="P27" s="214"/>
      <c r="Q27" s="214"/>
      <c r="R27" s="215">
        <f t="shared" si="1"/>
        <v>56.7</v>
      </c>
      <c r="S27" s="171">
        <v>2</v>
      </c>
      <c r="T27" s="285"/>
      <c r="U27" s="283"/>
      <c r="V27" s="178" t="s">
        <v>942</v>
      </c>
      <c r="W27" s="171" t="s">
        <v>325</v>
      </c>
      <c r="X27" s="171" t="s">
        <v>11</v>
      </c>
      <c r="Y27" s="179">
        <v>43.7</v>
      </c>
      <c r="Z27" s="171" t="s">
        <v>943</v>
      </c>
      <c r="AA27" s="171" t="s">
        <v>106</v>
      </c>
      <c r="AB27" s="171" t="s">
        <v>11</v>
      </c>
      <c r="AC27" s="171">
        <v>13</v>
      </c>
      <c r="AD27" s="178"/>
      <c r="AG27" s="179"/>
      <c r="AL27" s="178"/>
      <c r="AO27" s="179"/>
      <c r="AP27" s="178"/>
      <c r="AS27" s="179"/>
      <c r="AW27" s="179"/>
      <c r="BA27" s="180"/>
    </row>
    <row r="28" spans="1:53" s="171" customFormat="1" x14ac:dyDescent="0.15">
      <c r="A28" s="171">
        <v>2000</v>
      </c>
      <c r="B28" s="310"/>
      <c r="C28" s="410" t="s">
        <v>1153</v>
      </c>
      <c r="D28" s="410"/>
      <c r="E28" s="171">
        <v>163</v>
      </c>
      <c r="F28" s="252"/>
      <c r="G28" s="233">
        <v>19</v>
      </c>
      <c r="J28" s="241">
        <v>19</v>
      </c>
      <c r="K28" s="214">
        <f t="shared" si="3"/>
        <v>100</v>
      </c>
      <c r="L28" s="214">
        <f t="shared" si="4"/>
        <v>0</v>
      </c>
      <c r="M28" s="214">
        <f t="shared" si="5"/>
        <v>0</v>
      </c>
      <c r="N28" s="235">
        <f t="shared" si="2"/>
        <v>100</v>
      </c>
      <c r="O28" s="213">
        <v>56.7</v>
      </c>
      <c r="P28" s="214"/>
      <c r="Q28" s="214"/>
      <c r="R28" s="215">
        <f t="shared" si="1"/>
        <v>56.7</v>
      </c>
      <c r="S28" s="171">
        <v>2</v>
      </c>
      <c r="T28" s="285"/>
      <c r="U28" s="283"/>
      <c r="V28" s="178" t="s">
        <v>942</v>
      </c>
      <c r="W28" s="171" t="s">
        <v>325</v>
      </c>
      <c r="X28" s="171" t="s">
        <v>11</v>
      </c>
      <c r="Y28" s="179">
        <v>43.7</v>
      </c>
      <c r="Z28" s="171" t="s">
        <v>943</v>
      </c>
      <c r="AA28" s="171" t="s">
        <v>106</v>
      </c>
      <c r="AB28" s="171" t="s">
        <v>11</v>
      </c>
      <c r="AC28" s="171">
        <v>13</v>
      </c>
      <c r="AD28" s="178"/>
      <c r="AG28" s="179"/>
      <c r="AL28" s="178"/>
      <c r="AO28" s="179"/>
      <c r="AP28" s="178"/>
      <c r="AS28" s="179"/>
      <c r="AW28" s="179"/>
      <c r="BA28" s="180"/>
    </row>
    <row r="29" spans="1:53" s="171" customFormat="1" x14ac:dyDescent="0.15">
      <c r="A29" s="171">
        <v>2000</v>
      </c>
      <c r="B29" s="310">
        <v>36689</v>
      </c>
      <c r="C29" s="410" t="s">
        <v>1153</v>
      </c>
      <c r="D29" s="410"/>
      <c r="E29" s="171">
        <v>17</v>
      </c>
      <c r="F29" s="252">
        <v>0</v>
      </c>
      <c r="G29" s="233">
        <v>17</v>
      </c>
      <c r="J29" s="241">
        <v>19</v>
      </c>
      <c r="K29" s="214">
        <f t="shared" si="3"/>
        <v>89.473684210526315</v>
      </c>
      <c r="L29" s="214">
        <f t="shared" si="4"/>
        <v>0</v>
      </c>
      <c r="M29" s="214">
        <f t="shared" si="5"/>
        <v>0</v>
      </c>
      <c r="N29" s="235">
        <f t="shared" si="2"/>
        <v>89.473684210526315</v>
      </c>
      <c r="O29" s="213">
        <v>56.7</v>
      </c>
      <c r="P29" s="214"/>
      <c r="Q29" s="214"/>
      <c r="R29" s="215">
        <f t="shared" si="1"/>
        <v>56.7</v>
      </c>
      <c r="S29" s="171">
        <v>2</v>
      </c>
      <c r="T29" s="285"/>
      <c r="U29" s="283"/>
      <c r="V29" s="178" t="s">
        <v>942</v>
      </c>
      <c r="W29" s="171" t="s">
        <v>325</v>
      </c>
      <c r="X29" s="171" t="s">
        <v>11</v>
      </c>
      <c r="Y29" s="179">
        <v>43.7</v>
      </c>
      <c r="Z29" s="171" t="s">
        <v>943</v>
      </c>
      <c r="AA29" s="171" t="s">
        <v>106</v>
      </c>
      <c r="AB29" s="171" t="s">
        <v>11</v>
      </c>
      <c r="AC29" s="171">
        <v>13</v>
      </c>
      <c r="AD29" s="178"/>
      <c r="AG29" s="179"/>
      <c r="AL29" s="178"/>
      <c r="AO29" s="179"/>
      <c r="AP29" s="178"/>
      <c r="AS29" s="179"/>
      <c r="AW29" s="179"/>
      <c r="BA29" s="180"/>
    </row>
    <row r="30" spans="1:53" s="29" customFormat="1" x14ac:dyDescent="0.15">
      <c r="A30" s="29">
        <v>2000</v>
      </c>
      <c r="B30" s="295">
        <v>36706</v>
      </c>
      <c r="C30" s="411" t="s">
        <v>1154</v>
      </c>
      <c r="D30" s="411"/>
      <c r="E30" s="29">
        <v>48</v>
      </c>
      <c r="F30" s="29">
        <v>4</v>
      </c>
      <c r="G30" s="66">
        <v>16</v>
      </c>
      <c r="J30" s="73">
        <v>19</v>
      </c>
      <c r="K30" s="47">
        <f>G30/J30*100</f>
        <v>84.210526315789465</v>
      </c>
      <c r="L30" s="47">
        <f>H30/J30*100</f>
        <v>0</v>
      </c>
      <c r="M30" s="47">
        <f>I30/J30*100</f>
        <v>0</v>
      </c>
      <c r="N30" s="68">
        <f>SUM(K30:M30)</f>
        <v>84.210526315789465</v>
      </c>
      <c r="O30" s="46">
        <v>43.7</v>
      </c>
      <c r="P30" s="47"/>
      <c r="Q30" s="47"/>
      <c r="R30" s="48">
        <f>SUM(O30:Q30)</f>
        <v>43.7</v>
      </c>
      <c r="S30" s="29">
        <v>4</v>
      </c>
      <c r="T30" s="286"/>
      <c r="U30" s="295">
        <v>36706</v>
      </c>
      <c r="V30" s="38" t="s">
        <v>942</v>
      </c>
      <c r="W30" s="29" t="s">
        <v>325</v>
      </c>
      <c r="X30" s="29" t="s">
        <v>11</v>
      </c>
      <c r="Y30" s="39">
        <v>43.7</v>
      </c>
      <c r="AD30" s="38"/>
      <c r="AG30" s="39"/>
      <c r="AL30" s="38"/>
      <c r="AO30" s="39"/>
      <c r="AP30" s="38"/>
      <c r="AS30" s="39"/>
      <c r="AW30" s="39"/>
      <c r="BA30" s="40"/>
    </row>
    <row r="31" spans="1:53" s="29" customFormat="1" x14ac:dyDescent="0.15">
      <c r="A31" s="29">
        <v>2000</v>
      </c>
      <c r="B31" s="307">
        <v>36754</v>
      </c>
      <c r="C31" s="411" t="s">
        <v>1154</v>
      </c>
      <c r="D31" s="411"/>
      <c r="E31" s="29">
        <v>138</v>
      </c>
      <c r="F31" s="121">
        <v>0</v>
      </c>
      <c r="G31" s="66">
        <v>15</v>
      </c>
      <c r="J31" s="73">
        <v>19</v>
      </c>
      <c r="K31" s="47">
        <f t="shared" si="3"/>
        <v>78.94736842105263</v>
      </c>
      <c r="L31" s="47">
        <f t="shared" si="4"/>
        <v>0</v>
      </c>
      <c r="M31" s="47">
        <f t="shared" si="5"/>
        <v>0</v>
      </c>
      <c r="N31" s="68">
        <f t="shared" si="2"/>
        <v>78.94736842105263</v>
      </c>
      <c r="O31" s="46">
        <v>43.7</v>
      </c>
      <c r="P31" s="47"/>
      <c r="Q31" s="47"/>
      <c r="R31" s="48">
        <f t="shared" si="1"/>
        <v>43.7</v>
      </c>
      <c r="S31" s="29">
        <v>4</v>
      </c>
      <c r="T31" s="286"/>
      <c r="U31" s="295"/>
      <c r="V31" s="38" t="s">
        <v>942</v>
      </c>
      <c r="W31" s="29" t="s">
        <v>325</v>
      </c>
      <c r="X31" s="29" t="s">
        <v>11</v>
      </c>
      <c r="Y31" s="39">
        <v>43.7</v>
      </c>
      <c r="AD31" s="38"/>
      <c r="AG31" s="39"/>
      <c r="AL31" s="38"/>
      <c r="AO31" s="39"/>
      <c r="AP31" s="38"/>
      <c r="AS31" s="39"/>
      <c r="AW31" s="39"/>
      <c r="BA31" s="40"/>
    </row>
    <row r="32" spans="1:53" s="29" customFormat="1" x14ac:dyDescent="0.15">
      <c r="A32" s="29">
        <v>2001</v>
      </c>
      <c r="B32" s="307"/>
      <c r="C32" s="411" t="s">
        <v>1154</v>
      </c>
      <c r="D32" s="411"/>
      <c r="E32" s="29">
        <v>58</v>
      </c>
      <c r="F32" s="121"/>
      <c r="G32" s="66">
        <v>15</v>
      </c>
      <c r="J32" s="73">
        <v>19</v>
      </c>
      <c r="K32" s="47">
        <f t="shared" si="3"/>
        <v>78.94736842105263</v>
      </c>
      <c r="L32" s="47">
        <f t="shared" si="4"/>
        <v>0</v>
      </c>
      <c r="M32" s="47">
        <f t="shared" si="5"/>
        <v>0</v>
      </c>
      <c r="N32" s="68">
        <f t="shared" si="2"/>
        <v>78.94736842105263</v>
      </c>
      <c r="O32" s="46">
        <v>43.7</v>
      </c>
      <c r="P32" s="47"/>
      <c r="Q32" s="47"/>
      <c r="R32" s="48">
        <f t="shared" si="1"/>
        <v>43.7</v>
      </c>
      <c r="S32" s="29">
        <v>4</v>
      </c>
      <c r="T32" s="286"/>
      <c r="U32" s="295"/>
      <c r="V32" s="38" t="s">
        <v>942</v>
      </c>
      <c r="W32" s="29" t="s">
        <v>325</v>
      </c>
      <c r="X32" s="29" t="s">
        <v>11</v>
      </c>
      <c r="Y32" s="39">
        <v>43.7</v>
      </c>
      <c r="AD32" s="38"/>
      <c r="AG32" s="39"/>
      <c r="AL32" s="38"/>
      <c r="AO32" s="39"/>
      <c r="AP32" s="38"/>
      <c r="AS32" s="39"/>
      <c r="AW32" s="39"/>
      <c r="BA32" s="40"/>
    </row>
    <row r="33" spans="1:53" s="29" customFormat="1" x14ac:dyDescent="0.15">
      <c r="A33" s="29">
        <v>2001</v>
      </c>
      <c r="B33" s="307">
        <v>36950</v>
      </c>
      <c r="C33" s="411" t="s">
        <v>1154</v>
      </c>
      <c r="D33" s="411"/>
      <c r="E33" s="29">
        <v>127</v>
      </c>
      <c r="F33" s="121">
        <v>0</v>
      </c>
      <c r="G33" s="66">
        <v>14</v>
      </c>
      <c r="J33" s="73">
        <v>19</v>
      </c>
      <c r="K33" s="47">
        <f t="shared" si="3"/>
        <v>73.68421052631578</v>
      </c>
      <c r="L33" s="47">
        <f t="shared" si="4"/>
        <v>0</v>
      </c>
      <c r="M33" s="47">
        <f t="shared" si="5"/>
        <v>0</v>
      </c>
      <c r="N33" s="68">
        <f t="shared" si="2"/>
        <v>73.68421052631578</v>
      </c>
      <c r="O33" s="46">
        <v>43.7</v>
      </c>
      <c r="P33" s="47"/>
      <c r="Q33" s="47"/>
      <c r="R33" s="48">
        <f t="shared" si="1"/>
        <v>43.7</v>
      </c>
      <c r="S33" s="29">
        <v>4</v>
      </c>
      <c r="T33" s="286"/>
      <c r="U33" s="295"/>
      <c r="V33" s="38" t="s">
        <v>942</v>
      </c>
      <c r="W33" s="29" t="s">
        <v>325</v>
      </c>
      <c r="X33" s="29" t="s">
        <v>11</v>
      </c>
      <c r="Y33" s="39">
        <v>43.7</v>
      </c>
      <c r="AD33" s="38"/>
      <c r="AG33" s="39"/>
      <c r="AL33" s="38"/>
      <c r="AO33" s="39"/>
      <c r="AP33" s="38"/>
      <c r="AS33" s="39"/>
      <c r="AW33" s="39"/>
      <c r="BA33" s="40"/>
    </row>
    <row r="34" spans="1:53" s="29" customFormat="1" x14ac:dyDescent="0.15">
      <c r="A34" s="29">
        <v>2001</v>
      </c>
      <c r="B34" s="307">
        <v>37077</v>
      </c>
      <c r="C34" s="411" t="s">
        <v>1154</v>
      </c>
      <c r="D34" s="411"/>
      <c r="E34" s="29">
        <v>106</v>
      </c>
      <c r="F34" s="121">
        <v>0</v>
      </c>
      <c r="G34" s="66">
        <v>15</v>
      </c>
      <c r="J34" s="73">
        <v>19</v>
      </c>
      <c r="K34" s="47">
        <f t="shared" si="3"/>
        <v>78.94736842105263</v>
      </c>
      <c r="L34" s="47">
        <f t="shared" si="4"/>
        <v>0</v>
      </c>
      <c r="M34" s="47">
        <f t="shared" si="5"/>
        <v>0</v>
      </c>
      <c r="N34" s="68">
        <f t="shared" si="2"/>
        <v>78.94736842105263</v>
      </c>
      <c r="O34" s="46">
        <v>43.7</v>
      </c>
      <c r="P34" s="47"/>
      <c r="Q34" s="47"/>
      <c r="R34" s="48">
        <f t="shared" si="1"/>
        <v>43.7</v>
      </c>
      <c r="S34" s="29">
        <v>4</v>
      </c>
      <c r="T34" s="286"/>
      <c r="U34" s="295"/>
      <c r="V34" s="38" t="s">
        <v>942</v>
      </c>
      <c r="W34" s="29" t="s">
        <v>325</v>
      </c>
      <c r="X34" s="29" t="s">
        <v>11</v>
      </c>
      <c r="Y34" s="39">
        <v>43.7</v>
      </c>
      <c r="AD34" s="38"/>
      <c r="AG34" s="39"/>
      <c r="AL34" s="38"/>
      <c r="AO34" s="39"/>
      <c r="AP34" s="38"/>
      <c r="AS34" s="39"/>
      <c r="AW34" s="39"/>
      <c r="BA34" s="40"/>
    </row>
    <row r="35" spans="1:53" s="171" customFormat="1" x14ac:dyDescent="0.15">
      <c r="A35" s="171">
        <v>2001</v>
      </c>
      <c r="B35" s="283">
        <v>37183</v>
      </c>
      <c r="C35" s="410" t="s">
        <v>944</v>
      </c>
      <c r="D35" s="410"/>
      <c r="E35" s="171">
        <f xml:space="preserve"> 365-E34-E33-E32</f>
        <v>74</v>
      </c>
      <c r="F35" s="171">
        <v>1</v>
      </c>
      <c r="G35" s="233"/>
      <c r="I35" s="171">
        <v>13</v>
      </c>
      <c r="J35" s="241">
        <v>15</v>
      </c>
      <c r="K35" s="214">
        <f t="shared" si="3"/>
        <v>0</v>
      </c>
      <c r="L35" s="214">
        <f t="shared" si="4"/>
        <v>0</v>
      </c>
      <c r="M35" s="214">
        <f t="shared" si="5"/>
        <v>86.666666666666671</v>
      </c>
      <c r="N35" s="235">
        <f t="shared" si="2"/>
        <v>86.666666666666671</v>
      </c>
      <c r="O35" s="213"/>
      <c r="P35" s="214"/>
      <c r="Q35" s="214">
        <v>56.1</v>
      </c>
      <c r="R35" s="215">
        <f t="shared" si="1"/>
        <v>56.1</v>
      </c>
      <c r="S35" s="171">
        <v>3</v>
      </c>
      <c r="T35" s="285">
        <v>37157</v>
      </c>
      <c r="U35" s="283">
        <v>37183</v>
      </c>
      <c r="V35" s="178" t="s">
        <v>938</v>
      </c>
      <c r="W35" s="171" t="s">
        <v>96</v>
      </c>
      <c r="X35" s="171" t="s">
        <v>12</v>
      </c>
      <c r="Y35" s="179">
        <v>43.5</v>
      </c>
      <c r="Z35" s="171" t="s">
        <v>945</v>
      </c>
      <c r="AA35" s="171" t="s">
        <v>304</v>
      </c>
      <c r="AB35" s="171" t="s">
        <v>12</v>
      </c>
      <c r="AC35" s="171">
        <v>3.5</v>
      </c>
      <c r="AD35" s="178" t="s">
        <v>937</v>
      </c>
      <c r="AE35" s="171" t="s">
        <v>869</v>
      </c>
      <c r="AF35" s="171" t="s">
        <v>12</v>
      </c>
      <c r="AG35" s="179">
        <v>9.1</v>
      </c>
      <c r="AL35" s="178"/>
      <c r="AO35" s="179"/>
      <c r="AP35" s="178"/>
      <c r="AS35" s="179"/>
      <c r="AW35" s="179"/>
      <c r="BA35" s="180"/>
    </row>
    <row r="36" spans="1:53" s="171" customFormat="1" x14ac:dyDescent="0.15">
      <c r="A36" s="171">
        <v>2002</v>
      </c>
      <c r="B36" s="283"/>
      <c r="C36" s="410" t="s">
        <v>944</v>
      </c>
      <c r="D36" s="410"/>
      <c r="E36" s="171">
        <v>0</v>
      </c>
      <c r="G36" s="233"/>
      <c r="I36" s="171">
        <v>13</v>
      </c>
      <c r="J36" s="241">
        <v>15</v>
      </c>
      <c r="K36" s="214">
        <f t="shared" si="3"/>
        <v>0</v>
      </c>
      <c r="L36" s="214">
        <f t="shared" si="4"/>
        <v>0</v>
      </c>
      <c r="M36" s="214">
        <f t="shared" si="5"/>
        <v>86.666666666666671</v>
      </c>
      <c r="N36" s="235">
        <f t="shared" si="2"/>
        <v>86.666666666666671</v>
      </c>
      <c r="O36" s="213"/>
      <c r="P36" s="214"/>
      <c r="Q36" s="214">
        <v>56.1</v>
      </c>
      <c r="R36" s="215">
        <f t="shared" si="1"/>
        <v>56.1</v>
      </c>
      <c r="S36" s="171">
        <v>3</v>
      </c>
      <c r="T36" s="285"/>
      <c r="U36" s="283"/>
      <c r="V36" s="178" t="s">
        <v>938</v>
      </c>
      <c r="W36" s="171" t="s">
        <v>96</v>
      </c>
      <c r="X36" s="171" t="s">
        <v>12</v>
      </c>
      <c r="Y36" s="179">
        <v>43.5</v>
      </c>
      <c r="Z36" s="171" t="s">
        <v>945</v>
      </c>
      <c r="AA36" s="171" t="s">
        <v>304</v>
      </c>
      <c r="AB36" s="171" t="s">
        <v>12</v>
      </c>
      <c r="AC36" s="171">
        <v>3.5</v>
      </c>
      <c r="AD36" s="178" t="s">
        <v>937</v>
      </c>
      <c r="AE36" s="171" t="s">
        <v>869</v>
      </c>
      <c r="AF36" s="171" t="s">
        <v>12</v>
      </c>
      <c r="AG36" s="179">
        <v>9.1</v>
      </c>
      <c r="AL36" s="178"/>
      <c r="AO36" s="179"/>
      <c r="AP36" s="178"/>
      <c r="AS36" s="179"/>
      <c r="AW36" s="179"/>
      <c r="BA36" s="180"/>
    </row>
    <row r="37" spans="1:53" s="171" customFormat="1" x14ac:dyDescent="0.15">
      <c r="A37" s="171">
        <v>2002</v>
      </c>
      <c r="B37" s="283"/>
      <c r="C37" s="410" t="s">
        <v>944</v>
      </c>
      <c r="D37" s="410"/>
      <c r="E37" s="171">
        <v>365</v>
      </c>
      <c r="G37" s="233"/>
      <c r="I37" s="171">
        <v>13</v>
      </c>
      <c r="J37" s="241">
        <v>15</v>
      </c>
      <c r="K37" s="214">
        <f t="shared" si="3"/>
        <v>0</v>
      </c>
      <c r="L37" s="214">
        <f t="shared" si="4"/>
        <v>0</v>
      </c>
      <c r="M37" s="214">
        <f t="shared" si="5"/>
        <v>86.666666666666671</v>
      </c>
      <c r="N37" s="235">
        <f t="shared" si="2"/>
        <v>86.666666666666671</v>
      </c>
      <c r="O37" s="213"/>
      <c r="P37" s="214"/>
      <c r="Q37" s="214">
        <v>56.1</v>
      </c>
      <c r="R37" s="215">
        <f t="shared" si="1"/>
        <v>56.1</v>
      </c>
      <c r="S37" s="171">
        <v>3</v>
      </c>
      <c r="T37" s="285"/>
      <c r="U37" s="283"/>
      <c r="V37" s="178" t="s">
        <v>938</v>
      </c>
      <c r="W37" s="171" t="s">
        <v>96</v>
      </c>
      <c r="X37" s="171" t="s">
        <v>12</v>
      </c>
      <c r="Y37" s="179">
        <v>43.5</v>
      </c>
      <c r="Z37" s="171" t="s">
        <v>945</v>
      </c>
      <c r="AA37" s="171" t="s">
        <v>304</v>
      </c>
      <c r="AB37" s="171" t="s">
        <v>12</v>
      </c>
      <c r="AC37" s="171">
        <v>3.5</v>
      </c>
      <c r="AD37" s="178" t="s">
        <v>937</v>
      </c>
      <c r="AE37" s="171" t="s">
        <v>869</v>
      </c>
      <c r="AF37" s="171" t="s">
        <v>12</v>
      </c>
      <c r="AG37" s="179">
        <v>9.1</v>
      </c>
      <c r="AL37" s="178"/>
      <c r="AO37" s="179"/>
      <c r="AP37" s="178"/>
      <c r="AS37" s="179"/>
      <c r="AW37" s="179"/>
      <c r="BA37" s="180"/>
    </row>
    <row r="38" spans="1:53" s="171" customFormat="1" x14ac:dyDescent="0.15">
      <c r="A38" s="171">
        <v>2003</v>
      </c>
      <c r="B38" s="283"/>
      <c r="C38" s="410" t="s">
        <v>944</v>
      </c>
      <c r="D38" s="410"/>
      <c r="E38" s="171">
        <v>6</v>
      </c>
      <c r="G38" s="233"/>
      <c r="I38" s="171">
        <v>13</v>
      </c>
      <c r="J38" s="241">
        <v>15</v>
      </c>
      <c r="K38" s="214">
        <f t="shared" si="3"/>
        <v>0</v>
      </c>
      <c r="L38" s="214">
        <f t="shared" si="4"/>
        <v>0</v>
      </c>
      <c r="M38" s="214">
        <f t="shared" si="5"/>
        <v>86.666666666666671</v>
      </c>
      <c r="N38" s="235">
        <f t="shared" si="2"/>
        <v>86.666666666666671</v>
      </c>
      <c r="O38" s="213"/>
      <c r="P38" s="214"/>
      <c r="Q38" s="214">
        <v>56.1</v>
      </c>
      <c r="R38" s="215">
        <f t="shared" si="1"/>
        <v>56.1</v>
      </c>
      <c r="S38" s="171">
        <v>3</v>
      </c>
      <c r="T38" s="285"/>
      <c r="U38" s="283"/>
      <c r="V38" s="178" t="s">
        <v>938</v>
      </c>
      <c r="W38" s="171" t="s">
        <v>96</v>
      </c>
      <c r="X38" s="171" t="s">
        <v>12</v>
      </c>
      <c r="Y38" s="179">
        <v>43.5</v>
      </c>
      <c r="Z38" s="171" t="s">
        <v>945</v>
      </c>
      <c r="AA38" s="171" t="s">
        <v>304</v>
      </c>
      <c r="AB38" s="171" t="s">
        <v>12</v>
      </c>
      <c r="AC38" s="171">
        <v>3.5</v>
      </c>
      <c r="AD38" s="178" t="s">
        <v>937</v>
      </c>
      <c r="AE38" s="171" t="s">
        <v>869</v>
      </c>
      <c r="AF38" s="171" t="s">
        <v>12</v>
      </c>
      <c r="AG38" s="179">
        <v>9.1</v>
      </c>
      <c r="AL38" s="178"/>
      <c r="AO38" s="179"/>
      <c r="AP38" s="178"/>
      <c r="AS38" s="179"/>
      <c r="AW38" s="179"/>
      <c r="BA38" s="180"/>
    </row>
    <row r="39" spans="1:53" s="171" customFormat="1" x14ac:dyDescent="0.15">
      <c r="A39" s="171">
        <v>2003</v>
      </c>
      <c r="B39" s="310">
        <v>37628</v>
      </c>
      <c r="C39" s="410" t="s">
        <v>944</v>
      </c>
      <c r="D39" s="410"/>
      <c r="E39" s="171">
        <v>55</v>
      </c>
      <c r="F39" s="252">
        <v>0</v>
      </c>
      <c r="G39" s="233"/>
      <c r="I39" s="171">
        <v>13</v>
      </c>
      <c r="J39" s="241">
        <v>16</v>
      </c>
      <c r="K39" s="214">
        <f t="shared" si="3"/>
        <v>0</v>
      </c>
      <c r="L39" s="214">
        <f t="shared" si="4"/>
        <v>0</v>
      </c>
      <c r="M39" s="214">
        <f t="shared" si="5"/>
        <v>81.25</v>
      </c>
      <c r="N39" s="235">
        <f t="shared" si="2"/>
        <v>81.25</v>
      </c>
      <c r="O39" s="213"/>
      <c r="P39" s="214"/>
      <c r="Q39" s="214">
        <v>56.1</v>
      </c>
      <c r="R39" s="215">
        <f t="shared" si="1"/>
        <v>56.1</v>
      </c>
      <c r="S39" s="171">
        <v>3</v>
      </c>
      <c r="T39" s="285"/>
      <c r="U39" s="283"/>
      <c r="V39" s="178" t="s">
        <v>938</v>
      </c>
      <c r="W39" s="171" t="s">
        <v>96</v>
      </c>
      <c r="X39" s="171" t="s">
        <v>12</v>
      </c>
      <c r="Y39" s="179">
        <v>43.5</v>
      </c>
      <c r="Z39" s="171" t="s">
        <v>945</v>
      </c>
      <c r="AA39" s="171" t="s">
        <v>304</v>
      </c>
      <c r="AB39" s="171" t="s">
        <v>12</v>
      </c>
      <c r="AC39" s="171">
        <v>3.5</v>
      </c>
      <c r="AD39" s="178" t="s">
        <v>937</v>
      </c>
      <c r="AE39" s="171" t="s">
        <v>869</v>
      </c>
      <c r="AF39" s="171" t="s">
        <v>12</v>
      </c>
      <c r="AG39" s="179">
        <v>9.1</v>
      </c>
      <c r="AL39" s="178"/>
      <c r="AO39" s="179"/>
      <c r="AP39" s="178"/>
      <c r="AS39" s="179"/>
      <c r="AW39" s="179"/>
      <c r="BA39" s="180"/>
    </row>
    <row r="40" spans="1:53" s="29" customFormat="1" x14ac:dyDescent="0.15">
      <c r="A40" s="29">
        <v>2003</v>
      </c>
      <c r="B40" s="295">
        <v>37683</v>
      </c>
      <c r="C40" s="411" t="s">
        <v>946</v>
      </c>
      <c r="D40" s="411"/>
      <c r="E40" s="29">
        <v>30</v>
      </c>
      <c r="F40" s="29">
        <v>4</v>
      </c>
      <c r="G40" s="66"/>
      <c r="I40" s="29">
        <v>12</v>
      </c>
      <c r="J40" s="73">
        <v>16</v>
      </c>
      <c r="K40" s="47">
        <f t="shared" si="3"/>
        <v>0</v>
      </c>
      <c r="L40" s="47">
        <f t="shared" si="4"/>
        <v>0</v>
      </c>
      <c r="M40" s="47">
        <f t="shared" si="5"/>
        <v>75</v>
      </c>
      <c r="N40" s="68">
        <f t="shared" si="2"/>
        <v>75</v>
      </c>
      <c r="O40" s="46"/>
      <c r="P40" s="47"/>
      <c r="Q40" s="47">
        <v>47</v>
      </c>
      <c r="R40" s="48">
        <f t="shared" si="1"/>
        <v>47</v>
      </c>
      <c r="S40" s="29">
        <v>5</v>
      </c>
      <c r="T40" s="286"/>
      <c r="U40" s="295">
        <v>37683</v>
      </c>
      <c r="V40" s="38" t="s">
        <v>938</v>
      </c>
      <c r="W40" s="29" t="s">
        <v>96</v>
      </c>
      <c r="X40" s="29" t="s">
        <v>12</v>
      </c>
      <c r="Y40" s="39">
        <v>43.5</v>
      </c>
      <c r="Z40" s="29" t="s">
        <v>945</v>
      </c>
      <c r="AA40" s="29" t="s">
        <v>304</v>
      </c>
      <c r="AB40" s="29" t="s">
        <v>12</v>
      </c>
      <c r="AC40" s="29">
        <v>3.5</v>
      </c>
      <c r="AD40" s="38"/>
      <c r="AG40" s="39"/>
      <c r="AL40" s="38"/>
      <c r="AO40" s="39"/>
      <c r="AP40" s="38"/>
      <c r="AS40" s="39"/>
      <c r="AW40" s="39"/>
      <c r="BA40" s="40"/>
    </row>
    <row r="41" spans="1:53" s="29" customFormat="1" x14ac:dyDescent="0.15">
      <c r="A41" s="29">
        <v>2003</v>
      </c>
      <c r="B41" s="307">
        <v>37713</v>
      </c>
      <c r="C41" s="411" t="s">
        <v>946</v>
      </c>
      <c r="D41" s="411"/>
      <c r="E41" s="29">
        <v>75</v>
      </c>
      <c r="F41" s="121">
        <v>0</v>
      </c>
      <c r="G41" s="66"/>
      <c r="I41" s="29">
        <v>11</v>
      </c>
      <c r="J41" s="73">
        <v>16</v>
      </c>
      <c r="K41" s="47">
        <f t="shared" si="3"/>
        <v>0</v>
      </c>
      <c r="L41" s="47">
        <f t="shared" si="4"/>
        <v>0</v>
      </c>
      <c r="M41" s="47">
        <f t="shared" si="5"/>
        <v>68.75</v>
      </c>
      <c r="N41" s="68">
        <f t="shared" si="2"/>
        <v>68.75</v>
      </c>
      <c r="O41" s="46"/>
      <c r="P41" s="47"/>
      <c r="Q41" s="47">
        <v>47</v>
      </c>
      <c r="R41" s="48">
        <f t="shared" si="1"/>
        <v>47</v>
      </c>
      <c r="S41" s="29">
        <v>5</v>
      </c>
      <c r="T41" s="286"/>
      <c r="U41" s="295"/>
      <c r="V41" s="38" t="s">
        <v>938</v>
      </c>
      <c r="W41" s="29" t="s">
        <v>96</v>
      </c>
      <c r="X41" s="29" t="s">
        <v>12</v>
      </c>
      <c r="Y41" s="39">
        <v>43.5</v>
      </c>
      <c r="Z41" s="29" t="s">
        <v>945</v>
      </c>
      <c r="AA41" s="29" t="s">
        <v>304</v>
      </c>
      <c r="AB41" s="29" t="s">
        <v>12</v>
      </c>
      <c r="AC41" s="29">
        <v>3.5</v>
      </c>
      <c r="AD41" s="38"/>
      <c r="AG41" s="39"/>
      <c r="AL41" s="38"/>
      <c r="AO41" s="39"/>
      <c r="AP41" s="38"/>
      <c r="AS41" s="39"/>
      <c r="AW41" s="39"/>
      <c r="BA41" s="40"/>
    </row>
    <row r="42" spans="1:53" s="29" customFormat="1" x14ac:dyDescent="0.15">
      <c r="A42" s="29">
        <v>2003</v>
      </c>
      <c r="B42" s="307">
        <v>37788</v>
      </c>
      <c r="C42" s="411" t="s">
        <v>946</v>
      </c>
      <c r="D42" s="411"/>
      <c r="E42" s="29">
        <v>16</v>
      </c>
      <c r="F42" s="121">
        <v>0</v>
      </c>
      <c r="G42" s="66"/>
      <c r="I42" s="29">
        <v>11</v>
      </c>
      <c r="J42" s="73">
        <v>17</v>
      </c>
      <c r="K42" s="47">
        <f>G42/J42*100</f>
        <v>0</v>
      </c>
      <c r="L42" s="47">
        <f>H42/J42*100</f>
        <v>0</v>
      </c>
      <c r="M42" s="47">
        <f>I42/J42*100</f>
        <v>64.705882352941174</v>
      </c>
      <c r="N42" s="68">
        <f>SUM(K42:M42)</f>
        <v>64.705882352941174</v>
      </c>
      <c r="O42" s="46"/>
      <c r="P42" s="47"/>
      <c r="Q42" s="47">
        <v>47</v>
      </c>
      <c r="R42" s="48">
        <f>SUM(O42:Q42)</f>
        <v>47</v>
      </c>
      <c r="S42" s="29">
        <v>5</v>
      </c>
      <c r="T42" s="286"/>
      <c r="U42" s="295"/>
      <c r="V42" s="38" t="s">
        <v>938</v>
      </c>
      <c r="W42" s="29" t="s">
        <v>96</v>
      </c>
      <c r="X42" s="29" t="s">
        <v>12</v>
      </c>
      <c r="Y42" s="39">
        <v>43.5</v>
      </c>
      <c r="Z42" s="29" t="s">
        <v>945</v>
      </c>
      <c r="AA42" s="29" t="s">
        <v>304</v>
      </c>
      <c r="AB42" s="29" t="s">
        <v>12</v>
      </c>
      <c r="AC42" s="29">
        <v>3.5</v>
      </c>
      <c r="AD42" s="38"/>
      <c r="AG42" s="39"/>
      <c r="AL42" s="38"/>
      <c r="AO42" s="39"/>
      <c r="AP42" s="38"/>
      <c r="AS42" s="39"/>
      <c r="AW42" s="39"/>
      <c r="BA42" s="40"/>
    </row>
    <row r="43" spans="1:53" s="29" customFormat="1" x14ac:dyDescent="0.15">
      <c r="A43" s="29">
        <v>2003</v>
      </c>
      <c r="B43" s="307">
        <v>37804</v>
      </c>
      <c r="C43" s="411" t="s">
        <v>946</v>
      </c>
      <c r="D43" s="411"/>
      <c r="E43" s="29">
        <v>14</v>
      </c>
      <c r="F43" s="121">
        <v>0</v>
      </c>
      <c r="G43" s="66"/>
      <c r="I43" s="29">
        <v>12</v>
      </c>
      <c r="J43" s="73">
        <v>17</v>
      </c>
      <c r="K43" s="47">
        <f t="shared" si="3"/>
        <v>0</v>
      </c>
      <c r="L43" s="47">
        <f t="shared" si="4"/>
        <v>0</v>
      </c>
      <c r="M43" s="47">
        <f t="shared" si="5"/>
        <v>70.588235294117652</v>
      </c>
      <c r="N43" s="68">
        <f t="shared" si="2"/>
        <v>70.588235294117652</v>
      </c>
      <c r="O43" s="46"/>
      <c r="P43" s="47"/>
      <c r="Q43" s="47">
        <v>47</v>
      </c>
      <c r="R43" s="48">
        <f t="shared" si="1"/>
        <v>47</v>
      </c>
      <c r="S43" s="29">
        <v>5</v>
      </c>
      <c r="T43" s="286"/>
      <c r="U43" s="295"/>
      <c r="V43" s="38" t="s">
        <v>938</v>
      </c>
      <c r="W43" s="29" t="s">
        <v>96</v>
      </c>
      <c r="X43" s="29" t="s">
        <v>12</v>
      </c>
      <c r="Y43" s="39">
        <v>43.5</v>
      </c>
      <c r="Z43" s="29" t="s">
        <v>945</v>
      </c>
      <c r="AA43" s="29" t="s">
        <v>304</v>
      </c>
      <c r="AB43" s="29" t="s">
        <v>12</v>
      </c>
      <c r="AC43" s="29">
        <v>3.5</v>
      </c>
      <c r="AD43" s="38"/>
      <c r="AG43" s="39"/>
      <c r="AL43" s="38"/>
      <c r="AO43" s="39"/>
      <c r="AP43" s="38"/>
      <c r="AS43" s="39"/>
      <c r="AW43" s="39"/>
      <c r="BA43" s="40"/>
    </row>
    <row r="44" spans="1:53" s="29" customFormat="1" x14ac:dyDescent="0.15">
      <c r="A44" s="29">
        <v>2003</v>
      </c>
      <c r="B44" s="307">
        <v>37818</v>
      </c>
      <c r="C44" s="411" t="s">
        <v>946</v>
      </c>
      <c r="D44" s="411"/>
      <c r="E44" s="29">
        <v>169</v>
      </c>
      <c r="F44" s="121">
        <v>0</v>
      </c>
      <c r="G44" s="66"/>
      <c r="I44" s="29">
        <v>11</v>
      </c>
      <c r="J44" s="73">
        <v>17</v>
      </c>
      <c r="K44" s="47">
        <f t="shared" si="3"/>
        <v>0</v>
      </c>
      <c r="L44" s="47">
        <f t="shared" si="4"/>
        <v>0</v>
      </c>
      <c r="M44" s="47">
        <f t="shared" si="5"/>
        <v>64.705882352941174</v>
      </c>
      <c r="N44" s="68">
        <f t="shared" si="2"/>
        <v>64.705882352941174</v>
      </c>
      <c r="O44" s="46"/>
      <c r="P44" s="47"/>
      <c r="Q44" s="47">
        <v>47</v>
      </c>
      <c r="R44" s="48">
        <f t="shared" si="1"/>
        <v>47</v>
      </c>
      <c r="S44" s="29">
        <v>5</v>
      </c>
      <c r="T44" s="286"/>
      <c r="U44" s="295"/>
      <c r="V44" s="38" t="s">
        <v>938</v>
      </c>
      <c r="W44" s="29" t="s">
        <v>96</v>
      </c>
      <c r="X44" s="29" t="s">
        <v>12</v>
      </c>
      <c r="Y44" s="39">
        <v>43.5</v>
      </c>
      <c r="Z44" s="29" t="s">
        <v>945</v>
      </c>
      <c r="AA44" s="29" t="s">
        <v>304</v>
      </c>
      <c r="AB44" s="29" t="s">
        <v>12</v>
      </c>
      <c r="AC44" s="29">
        <v>3.5</v>
      </c>
      <c r="AD44" s="38"/>
      <c r="AG44" s="39"/>
      <c r="AL44" s="38"/>
      <c r="AO44" s="39"/>
      <c r="AP44" s="38"/>
      <c r="AS44" s="39"/>
      <c r="AW44" s="39"/>
      <c r="BA44" s="40"/>
    </row>
    <row r="45" spans="1:53" s="29" customFormat="1" x14ac:dyDescent="0.15">
      <c r="A45" s="29">
        <v>2004</v>
      </c>
      <c r="B45" s="307"/>
      <c r="C45" s="411" t="s">
        <v>946</v>
      </c>
      <c r="D45" s="411"/>
      <c r="E45" s="29">
        <v>27</v>
      </c>
      <c r="F45" s="121"/>
      <c r="G45" s="66"/>
      <c r="I45" s="29">
        <v>11</v>
      </c>
      <c r="J45" s="73">
        <v>17</v>
      </c>
      <c r="K45" s="47">
        <f t="shared" si="3"/>
        <v>0</v>
      </c>
      <c r="L45" s="47">
        <f t="shared" si="4"/>
        <v>0</v>
      </c>
      <c r="M45" s="47">
        <f t="shared" si="5"/>
        <v>64.705882352941174</v>
      </c>
      <c r="N45" s="68">
        <f t="shared" si="2"/>
        <v>64.705882352941174</v>
      </c>
      <c r="O45" s="46"/>
      <c r="P45" s="47"/>
      <c r="Q45" s="47">
        <v>47</v>
      </c>
      <c r="R45" s="48">
        <f t="shared" si="1"/>
        <v>47</v>
      </c>
      <c r="S45" s="29">
        <v>5</v>
      </c>
      <c r="T45" s="286"/>
      <c r="U45" s="295"/>
      <c r="V45" s="38" t="s">
        <v>938</v>
      </c>
      <c r="W45" s="29" t="s">
        <v>96</v>
      </c>
      <c r="X45" s="29" t="s">
        <v>12</v>
      </c>
      <c r="Y45" s="39">
        <v>43.5</v>
      </c>
      <c r="Z45" s="29" t="s">
        <v>945</v>
      </c>
      <c r="AA45" s="29" t="s">
        <v>304</v>
      </c>
      <c r="AB45" s="29" t="s">
        <v>12</v>
      </c>
      <c r="AC45" s="29">
        <v>3.5</v>
      </c>
      <c r="AD45" s="38"/>
      <c r="AG45" s="39"/>
      <c r="AL45" s="38"/>
      <c r="AO45" s="39"/>
      <c r="AP45" s="38"/>
      <c r="AS45" s="39"/>
      <c r="AW45" s="39"/>
      <c r="BA45" s="40"/>
    </row>
    <row r="46" spans="1:53" s="29" customFormat="1" x14ac:dyDescent="0.15">
      <c r="A46" s="29">
        <v>2004</v>
      </c>
      <c r="B46" s="307">
        <v>38014</v>
      </c>
      <c r="C46" s="411" t="s">
        <v>946</v>
      </c>
      <c r="D46" s="411"/>
      <c r="E46" s="29">
        <v>95</v>
      </c>
      <c r="F46" s="121">
        <v>0</v>
      </c>
      <c r="G46" s="66"/>
      <c r="I46" s="29">
        <v>10</v>
      </c>
      <c r="J46" s="73">
        <v>17</v>
      </c>
      <c r="K46" s="47">
        <f t="shared" si="3"/>
        <v>0</v>
      </c>
      <c r="L46" s="47">
        <f t="shared" si="4"/>
        <v>0</v>
      </c>
      <c r="M46" s="47">
        <f t="shared" si="5"/>
        <v>58.82352941176471</v>
      </c>
      <c r="N46" s="68">
        <f t="shared" si="2"/>
        <v>58.82352941176471</v>
      </c>
      <c r="O46" s="46"/>
      <c r="P46" s="47"/>
      <c r="Q46" s="47">
        <v>47</v>
      </c>
      <c r="R46" s="48">
        <f t="shared" si="1"/>
        <v>47</v>
      </c>
      <c r="S46" s="29">
        <v>5</v>
      </c>
      <c r="T46" s="286"/>
      <c r="U46" s="295"/>
      <c r="V46" s="38" t="s">
        <v>938</v>
      </c>
      <c r="W46" s="29" t="s">
        <v>96</v>
      </c>
      <c r="X46" s="29" t="s">
        <v>12</v>
      </c>
      <c r="Y46" s="39">
        <v>43.5</v>
      </c>
      <c r="Z46" s="29" t="s">
        <v>945</v>
      </c>
      <c r="AA46" s="29" t="s">
        <v>304</v>
      </c>
      <c r="AB46" s="29" t="s">
        <v>12</v>
      </c>
      <c r="AC46" s="29">
        <v>3.5</v>
      </c>
      <c r="AD46" s="38"/>
      <c r="AG46" s="39"/>
      <c r="AL46" s="38"/>
      <c r="AO46" s="39"/>
      <c r="AP46" s="38"/>
      <c r="AS46" s="39"/>
      <c r="AW46" s="39"/>
      <c r="BA46" s="40"/>
    </row>
    <row r="47" spans="1:53" s="171" customFormat="1" x14ac:dyDescent="0.15">
      <c r="A47" s="171">
        <v>2004</v>
      </c>
      <c r="B47" s="283">
        <v>38109</v>
      </c>
      <c r="C47" s="410" t="s">
        <v>947</v>
      </c>
      <c r="D47" s="410"/>
      <c r="E47" s="171">
        <v>40</v>
      </c>
      <c r="F47" s="171">
        <v>2</v>
      </c>
      <c r="G47" s="233"/>
      <c r="I47" s="171">
        <v>10</v>
      </c>
      <c r="J47" s="241">
        <v>18</v>
      </c>
      <c r="K47" s="214">
        <f t="shared" si="3"/>
        <v>0</v>
      </c>
      <c r="L47" s="214">
        <f t="shared" si="4"/>
        <v>0</v>
      </c>
      <c r="M47" s="214">
        <f t="shared" si="5"/>
        <v>55.555555555555557</v>
      </c>
      <c r="N47" s="235">
        <f t="shared" si="2"/>
        <v>55.555555555555557</v>
      </c>
      <c r="O47" s="213"/>
      <c r="P47" s="214"/>
      <c r="Q47" s="214">
        <v>56.1</v>
      </c>
      <c r="R47" s="215">
        <f t="shared" si="1"/>
        <v>56.1</v>
      </c>
      <c r="S47" s="171">
        <v>3</v>
      </c>
      <c r="T47" s="285"/>
      <c r="U47" s="283">
        <v>38109</v>
      </c>
      <c r="V47" s="178" t="s">
        <v>938</v>
      </c>
      <c r="W47" s="171" t="s">
        <v>96</v>
      </c>
      <c r="X47" s="171" t="s">
        <v>12</v>
      </c>
      <c r="Y47" s="179">
        <v>43.5</v>
      </c>
      <c r="Z47" s="171" t="s">
        <v>945</v>
      </c>
      <c r="AA47" s="171" t="s">
        <v>304</v>
      </c>
      <c r="AB47" s="171" t="s">
        <v>12</v>
      </c>
      <c r="AC47" s="171">
        <v>3.5</v>
      </c>
      <c r="AD47" s="178" t="s">
        <v>937</v>
      </c>
      <c r="AE47" s="171" t="s">
        <v>869</v>
      </c>
      <c r="AF47" s="171" t="s">
        <v>12</v>
      </c>
      <c r="AG47" s="179">
        <v>9.1</v>
      </c>
      <c r="AL47" s="178"/>
      <c r="AO47" s="179"/>
      <c r="AP47" s="178"/>
      <c r="AS47" s="179"/>
      <c r="AW47" s="179"/>
      <c r="BA47" s="180"/>
    </row>
    <row r="48" spans="1:53" s="29" customFormat="1" x14ac:dyDescent="0.15">
      <c r="A48" s="29">
        <v>2004</v>
      </c>
      <c r="B48" s="295">
        <v>38149</v>
      </c>
      <c r="C48" s="411" t="s">
        <v>948</v>
      </c>
      <c r="D48" s="411"/>
      <c r="E48" s="29">
        <v>34</v>
      </c>
      <c r="F48" s="29">
        <v>4</v>
      </c>
      <c r="G48" s="66"/>
      <c r="I48" s="29">
        <v>9</v>
      </c>
      <c r="J48" s="73">
        <v>18</v>
      </c>
      <c r="K48" s="47">
        <f t="shared" si="3"/>
        <v>0</v>
      </c>
      <c r="L48" s="47">
        <f t="shared" si="4"/>
        <v>0</v>
      </c>
      <c r="M48" s="47">
        <f t="shared" si="5"/>
        <v>50</v>
      </c>
      <c r="N48" s="68">
        <f t="shared" si="2"/>
        <v>50</v>
      </c>
      <c r="O48" s="46"/>
      <c r="P48" s="47"/>
      <c r="Q48" s="47">
        <v>47</v>
      </c>
      <c r="R48" s="48">
        <f t="shared" si="1"/>
        <v>47</v>
      </c>
      <c r="S48" s="29">
        <v>5</v>
      </c>
      <c r="T48" s="286"/>
      <c r="U48" s="295"/>
      <c r="V48" s="38" t="s">
        <v>938</v>
      </c>
      <c r="W48" s="29" t="s">
        <v>96</v>
      </c>
      <c r="X48" s="29" t="s">
        <v>12</v>
      </c>
      <c r="Y48" s="39">
        <v>43.5</v>
      </c>
      <c r="Z48" s="29" t="s">
        <v>945</v>
      </c>
      <c r="AA48" s="29" t="s">
        <v>304</v>
      </c>
      <c r="AB48" s="29" t="s">
        <v>12</v>
      </c>
      <c r="AC48" s="29">
        <v>3.5</v>
      </c>
      <c r="AD48" s="38"/>
      <c r="AG48" s="39"/>
      <c r="AL48" s="38"/>
      <c r="AO48" s="39"/>
      <c r="AP48" s="38"/>
      <c r="AS48" s="39"/>
      <c r="AW48" s="39"/>
      <c r="BA48" s="40"/>
    </row>
    <row r="49" spans="1:53" s="29" customFormat="1" x14ac:dyDescent="0.15">
      <c r="A49" s="29">
        <v>2004</v>
      </c>
      <c r="B49" s="307">
        <v>38183</v>
      </c>
      <c r="C49" s="411" t="s">
        <v>948</v>
      </c>
      <c r="D49" s="411"/>
      <c r="E49" s="29">
        <v>132</v>
      </c>
      <c r="F49" s="121">
        <v>0</v>
      </c>
      <c r="G49" s="66"/>
      <c r="I49" s="29">
        <v>10</v>
      </c>
      <c r="J49" s="73">
        <v>18</v>
      </c>
      <c r="K49" s="47">
        <f t="shared" si="3"/>
        <v>0</v>
      </c>
      <c r="L49" s="47">
        <f t="shared" si="4"/>
        <v>0</v>
      </c>
      <c r="M49" s="47">
        <f t="shared" si="5"/>
        <v>55.555555555555557</v>
      </c>
      <c r="N49" s="68">
        <f t="shared" si="2"/>
        <v>55.555555555555557</v>
      </c>
      <c r="O49" s="46"/>
      <c r="P49" s="47"/>
      <c r="Q49" s="47">
        <v>47</v>
      </c>
      <c r="R49" s="48">
        <f>SUM(O49:Q49)</f>
        <v>47</v>
      </c>
      <c r="S49" s="29">
        <v>5</v>
      </c>
      <c r="T49" s="286"/>
      <c r="U49" s="303">
        <v>38183</v>
      </c>
      <c r="V49" s="38" t="s">
        <v>938</v>
      </c>
      <c r="W49" s="29" t="s">
        <v>96</v>
      </c>
      <c r="X49" s="29" t="s">
        <v>12</v>
      </c>
      <c r="Y49" s="39">
        <v>43.5</v>
      </c>
      <c r="Z49" s="29" t="s">
        <v>945</v>
      </c>
      <c r="AA49" s="29" t="s">
        <v>304</v>
      </c>
      <c r="AB49" s="29" t="s">
        <v>12</v>
      </c>
      <c r="AC49" s="29">
        <v>3.5</v>
      </c>
      <c r="AD49" s="38" t="s">
        <v>949</v>
      </c>
      <c r="AE49" s="29" t="s">
        <v>1031</v>
      </c>
      <c r="AF49" s="29" t="s">
        <v>12</v>
      </c>
      <c r="AG49" s="39">
        <v>0</v>
      </c>
      <c r="AL49" s="38"/>
      <c r="AO49" s="39"/>
      <c r="AP49" s="38"/>
      <c r="AS49" s="39"/>
      <c r="AW49" s="39"/>
      <c r="BA49" s="40"/>
    </row>
    <row r="50" spans="1:53" s="29" customFormat="1" x14ac:dyDescent="0.15">
      <c r="A50" s="29">
        <v>2004</v>
      </c>
      <c r="B50" s="307">
        <v>38315</v>
      </c>
      <c r="C50" s="411" t="s">
        <v>948</v>
      </c>
      <c r="D50" s="411"/>
      <c r="E50" s="29">
        <v>38</v>
      </c>
      <c r="F50" s="121">
        <v>0</v>
      </c>
      <c r="G50" s="66"/>
      <c r="I50" s="29">
        <v>9</v>
      </c>
      <c r="J50" s="73">
        <v>17</v>
      </c>
      <c r="K50" s="47">
        <f t="shared" si="3"/>
        <v>0</v>
      </c>
      <c r="L50" s="47">
        <f t="shared" si="4"/>
        <v>0</v>
      </c>
      <c r="M50" s="47">
        <f t="shared" si="5"/>
        <v>52.941176470588239</v>
      </c>
      <c r="N50" s="68">
        <f t="shared" si="2"/>
        <v>52.941176470588239</v>
      </c>
      <c r="O50" s="46"/>
      <c r="P50" s="47"/>
      <c r="Q50" s="47">
        <v>47</v>
      </c>
      <c r="R50" s="48">
        <f>SUM(O50:Q50)</f>
        <v>47</v>
      </c>
      <c r="S50" s="29">
        <v>5</v>
      </c>
      <c r="T50" s="286"/>
      <c r="U50" s="295"/>
      <c r="V50" s="38" t="s">
        <v>938</v>
      </c>
      <c r="W50" s="29" t="s">
        <v>96</v>
      </c>
      <c r="X50" s="29" t="s">
        <v>12</v>
      </c>
      <c r="Y50" s="39">
        <v>43.5</v>
      </c>
      <c r="Z50" s="29" t="s">
        <v>945</v>
      </c>
      <c r="AA50" s="29" t="s">
        <v>304</v>
      </c>
      <c r="AB50" s="29" t="s">
        <v>12</v>
      </c>
      <c r="AC50" s="29">
        <v>3.5</v>
      </c>
      <c r="AD50" s="38" t="s">
        <v>949</v>
      </c>
      <c r="AE50" s="29" t="s">
        <v>1031</v>
      </c>
      <c r="AF50" s="29" t="s">
        <v>12</v>
      </c>
      <c r="AG50" s="39">
        <v>0</v>
      </c>
      <c r="AL50" s="38"/>
      <c r="AO50" s="39"/>
      <c r="AP50" s="38"/>
      <c r="AS50" s="39"/>
      <c r="AW50" s="39"/>
      <c r="BA50" s="40"/>
    </row>
    <row r="51" spans="1:53" s="29" customFormat="1" x14ac:dyDescent="0.15">
      <c r="A51" s="29">
        <v>2005</v>
      </c>
      <c r="B51" s="307"/>
      <c r="C51" s="411" t="s">
        <v>948</v>
      </c>
      <c r="D51" s="411"/>
      <c r="E51" s="29">
        <v>4</v>
      </c>
      <c r="F51" s="121"/>
      <c r="G51" s="66"/>
      <c r="I51" s="29">
        <v>9</v>
      </c>
      <c r="J51" s="73">
        <v>17</v>
      </c>
      <c r="K51" s="47">
        <f t="shared" si="3"/>
        <v>0</v>
      </c>
      <c r="L51" s="47">
        <f t="shared" si="4"/>
        <v>0</v>
      </c>
      <c r="M51" s="47">
        <f t="shared" si="5"/>
        <v>52.941176470588239</v>
      </c>
      <c r="N51" s="68">
        <f t="shared" si="2"/>
        <v>52.941176470588239</v>
      </c>
      <c r="O51" s="46"/>
      <c r="P51" s="47"/>
      <c r="Q51" s="47">
        <v>47</v>
      </c>
      <c r="R51" s="48">
        <f>SUM(O51:Q51)</f>
        <v>47</v>
      </c>
      <c r="S51" s="29">
        <v>5</v>
      </c>
      <c r="T51" s="286"/>
      <c r="U51" s="295"/>
      <c r="V51" s="38" t="s">
        <v>938</v>
      </c>
      <c r="W51" s="29" t="s">
        <v>96</v>
      </c>
      <c r="X51" s="29" t="s">
        <v>12</v>
      </c>
      <c r="Y51" s="39">
        <v>43.5</v>
      </c>
      <c r="Z51" s="29" t="s">
        <v>945</v>
      </c>
      <c r="AA51" s="29" t="s">
        <v>304</v>
      </c>
      <c r="AB51" s="29" t="s">
        <v>12</v>
      </c>
      <c r="AC51" s="29">
        <v>3.5</v>
      </c>
      <c r="AD51" s="38" t="s">
        <v>949</v>
      </c>
      <c r="AE51" s="29" t="s">
        <v>1031</v>
      </c>
      <c r="AF51" s="29" t="s">
        <v>12</v>
      </c>
      <c r="AG51" s="39">
        <v>0</v>
      </c>
      <c r="AL51" s="38"/>
      <c r="AO51" s="39"/>
      <c r="AP51" s="38"/>
      <c r="AS51" s="39"/>
      <c r="AW51" s="39"/>
      <c r="BA51" s="40"/>
    </row>
    <row r="52" spans="1:53" s="29" customFormat="1" x14ac:dyDescent="0.15">
      <c r="A52" s="29">
        <v>2005</v>
      </c>
      <c r="B52" s="307">
        <v>38357</v>
      </c>
      <c r="C52" s="411" t="s">
        <v>948</v>
      </c>
      <c r="D52" s="411"/>
      <c r="E52" s="29">
        <v>309</v>
      </c>
      <c r="F52" s="121">
        <v>0</v>
      </c>
      <c r="G52" s="66"/>
      <c r="I52" s="29">
        <v>8</v>
      </c>
      <c r="J52" s="73">
        <v>17</v>
      </c>
      <c r="K52" s="47">
        <f t="shared" si="3"/>
        <v>0</v>
      </c>
      <c r="L52" s="47">
        <f t="shared" si="4"/>
        <v>0</v>
      </c>
      <c r="M52" s="47">
        <f t="shared" si="5"/>
        <v>47.058823529411761</v>
      </c>
      <c r="N52" s="68">
        <f t="shared" si="2"/>
        <v>47.058823529411761</v>
      </c>
      <c r="O52" s="46"/>
      <c r="P52" s="47"/>
      <c r="Q52" s="47">
        <v>47</v>
      </c>
      <c r="R52" s="48">
        <f>SUM(O52:Q52)</f>
        <v>47</v>
      </c>
      <c r="S52" s="29">
        <v>5</v>
      </c>
      <c r="T52" s="286"/>
      <c r="U52" s="295"/>
      <c r="V52" s="38" t="s">
        <v>938</v>
      </c>
      <c r="W52" s="29" t="s">
        <v>96</v>
      </c>
      <c r="X52" s="29" t="s">
        <v>12</v>
      </c>
      <c r="Y52" s="39">
        <v>43.5</v>
      </c>
      <c r="Z52" s="29" t="s">
        <v>945</v>
      </c>
      <c r="AA52" s="29" t="s">
        <v>304</v>
      </c>
      <c r="AB52" s="29" t="s">
        <v>12</v>
      </c>
      <c r="AC52" s="29">
        <v>3.5</v>
      </c>
      <c r="AD52" s="38" t="s">
        <v>949</v>
      </c>
      <c r="AE52" s="29" t="s">
        <v>1031</v>
      </c>
      <c r="AF52" s="29" t="s">
        <v>12</v>
      </c>
      <c r="AG52" s="39">
        <v>0</v>
      </c>
      <c r="AL52" s="38"/>
      <c r="AO52" s="39"/>
      <c r="AP52" s="38"/>
      <c r="AS52" s="39"/>
      <c r="AW52" s="39"/>
      <c r="BA52" s="40"/>
    </row>
    <row r="53" spans="1:53" s="171" customFormat="1" x14ac:dyDescent="0.15">
      <c r="A53" s="171">
        <v>2005</v>
      </c>
      <c r="B53" s="306">
        <v>38666</v>
      </c>
      <c r="C53" s="410" t="s">
        <v>951</v>
      </c>
      <c r="D53" s="410"/>
      <c r="E53" s="171">
        <f xml:space="preserve"> 365-E52-E51</f>
        <v>52</v>
      </c>
      <c r="F53" s="171">
        <v>1</v>
      </c>
      <c r="G53" s="233">
        <v>11</v>
      </c>
      <c r="J53" s="241">
        <v>18</v>
      </c>
      <c r="K53" s="214">
        <f t="shared" si="3"/>
        <v>61.111111111111114</v>
      </c>
      <c r="L53" s="214">
        <f t="shared" si="4"/>
        <v>0</v>
      </c>
      <c r="M53" s="214">
        <f t="shared" si="5"/>
        <v>0</v>
      </c>
      <c r="N53" s="235">
        <f t="shared" si="2"/>
        <v>61.111111111111114</v>
      </c>
      <c r="O53" s="213">
        <v>33.700000000000003</v>
      </c>
      <c r="P53" s="214"/>
      <c r="Q53" s="214"/>
      <c r="R53" s="215">
        <f t="shared" si="1"/>
        <v>33.700000000000003</v>
      </c>
      <c r="S53" s="171">
        <v>4</v>
      </c>
      <c r="T53" s="285">
        <v>38620</v>
      </c>
      <c r="U53" s="306">
        <v>38666</v>
      </c>
      <c r="V53" s="178" t="s">
        <v>950</v>
      </c>
      <c r="W53" s="171" t="s">
        <v>1135</v>
      </c>
      <c r="X53" s="171" t="s">
        <v>11</v>
      </c>
      <c r="Y53" s="179">
        <v>33.700000000000003</v>
      </c>
      <c r="AD53" s="178"/>
      <c r="AG53" s="179"/>
      <c r="AL53" s="178"/>
      <c r="AO53" s="179"/>
      <c r="AP53" s="178"/>
      <c r="AS53" s="179"/>
      <c r="AW53" s="179"/>
      <c r="BA53" s="180"/>
    </row>
    <row r="54" spans="1:53" s="171" customFormat="1" x14ac:dyDescent="0.15">
      <c r="A54" s="171">
        <v>2006</v>
      </c>
      <c r="B54" s="306"/>
      <c r="C54" s="410" t="s">
        <v>951</v>
      </c>
      <c r="D54" s="410"/>
      <c r="E54" s="171">
        <v>45</v>
      </c>
      <c r="G54" s="233">
        <v>11</v>
      </c>
      <c r="J54" s="241">
        <v>18</v>
      </c>
      <c r="K54" s="214">
        <f t="shared" si="3"/>
        <v>61.111111111111114</v>
      </c>
      <c r="L54" s="214">
        <f t="shared" si="4"/>
        <v>0</v>
      </c>
      <c r="M54" s="214">
        <f t="shared" si="5"/>
        <v>0</v>
      </c>
      <c r="N54" s="235">
        <f t="shared" si="2"/>
        <v>61.111111111111114</v>
      </c>
      <c r="O54" s="213">
        <v>33.700000000000003</v>
      </c>
      <c r="P54" s="214"/>
      <c r="Q54" s="214"/>
      <c r="R54" s="215">
        <f t="shared" si="1"/>
        <v>33.700000000000003</v>
      </c>
      <c r="S54" s="171">
        <v>4</v>
      </c>
      <c r="T54" s="285"/>
      <c r="U54" s="283"/>
      <c r="V54" s="178" t="s">
        <v>950</v>
      </c>
      <c r="W54" s="171" t="s">
        <v>1135</v>
      </c>
      <c r="X54" s="171" t="s">
        <v>11</v>
      </c>
      <c r="Y54" s="179">
        <v>33.700000000000003</v>
      </c>
      <c r="AD54" s="178"/>
      <c r="AG54" s="179"/>
      <c r="AL54" s="178"/>
      <c r="AO54" s="179"/>
      <c r="AP54" s="178"/>
      <c r="AS54" s="179"/>
      <c r="AW54" s="179"/>
      <c r="BA54" s="180"/>
    </row>
    <row r="55" spans="1:53" s="171" customFormat="1" x14ac:dyDescent="0.15">
      <c r="A55" s="171">
        <v>2006</v>
      </c>
      <c r="B55" s="310">
        <v>38763</v>
      </c>
      <c r="C55" s="410" t="s">
        <v>951</v>
      </c>
      <c r="D55" s="410"/>
      <c r="E55" s="171">
        <v>79</v>
      </c>
      <c r="F55" s="252">
        <v>0</v>
      </c>
      <c r="G55" s="233">
        <v>12</v>
      </c>
      <c r="J55" s="241">
        <v>18</v>
      </c>
      <c r="K55" s="214">
        <f t="shared" si="3"/>
        <v>66.666666666666657</v>
      </c>
      <c r="L55" s="214">
        <f t="shared" si="4"/>
        <v>0</v>
      </c>
      <c r="M55" s="214">
        <f t="shared" si="5"/>
        <v>0</v>
      </c>
      <c r="N55" s="235">
        <f t="shared" si="2"/>
        <v>66.666666666666657</v>
      </c>
      <c r="O55" s="213">
        <v>33.700000000000003</v>
      </c>
      <c r="P55" s="214"/>
      <c r="Q55" s="214"/>
      <c r="R55" s="215">
        <f t="shared" si="1"/>
        <v>33.700000000000003</v>
      </c>
      <c r="S55" s="171">
        <v>4</v>
      </c>
      <c r="T55" s="285"/>
      <c r="U55" s="283"/>
      <c r="V55" s="178" t="s">
        <v>950</v>
      </c>
      <c r="W55" s="171" t="s">
        <v>1135</v>
      </c>
      <c r="X55" s="171" t="s">
        <v>11</v>
      </c>
      <c r="Y55" s="179">
        <v>33.700000000000003</v>
      </c>
      <c r="AD55" s="178"/>
      <c r="AG55" s="179"/>
      <c r="AL55" s="178"/>
      <c r="AO55" s="179"/>
      <c r="AP55" s="178"/>
      <c r="AS55" s="179"/>
      <c r="AW55" s="179"/>
      <c r="BA55" s="180"/>
    </row>
    <row r="56" spans="1:53" s="29" customFormat="1" x14ac:dyDescent="0.15">
      <c r="A56" s="29">
        <v>2006</v>
      </c>
      <c r="B56" s="295">
        <v>38842</v>
      </c>
      <c r="C56" s="411" t="s">
        <v>952</v>
      </c>
      <c r="D56" s="411"/>
      <c r="E56" s="29">
        <v>70</v>
      </c>
      <c r="F56" s="29">
        <v>7</v>
      </c>
      <c r="G56" s="66">
        <v>12</v>
      </c>
      <c r="I56" s="29">
        <v>3</v>
      </c>
      <c r="J56" s="73">
        <v>21</v>
      </c>
      <c r="K56" s="47">
        <f t="shared" si="3"/>
        <v>57.142857142857139</v>
      </c>
      <c r="L56" s="47">
        <f t="shared" si="4"/>
        <v>0</v>
      </c>
      <c r="M56" s="47">
        <f t="shared" si="5"/>
        <v>14.285714285714285</v>
      </c>
      <c r="N56" s="68">
        <f t="shared" si="2"/>
        <v>71.428571428571416</v>
      </c>
      <c r="O56" s="46">
        <v>41.1</v>
      </c>
      <c r="P56" s="47"/>
      <c r="Q56" s="47">
        <v>12.2</v>
      </c>
      <c r="R56" s="48">
        <f t="shared" si="1"/>
        <v>53.3</v>
      </c>
      <c r="S56" s="29">
        <v>2</v>
      </c>
      <c r="T56" s="286"/>
      <c r="U56" s="295">
        <v>38842</v>
      </c>
      <c r="V56" s="38" t="s">
        <v>950</v>
      </c>
      <c r="W56" s="29" t="s">
        <v>1135</v>
      </c>
      <c r="X56" s="29" t="s">
        <v>11</v>
      </c>
      <c r="Y56" s="39">
        <v>33.700000000000003</v>
      </c>
      <c r="Z56" s="29" t="s">
        <v>953</v>
      </c>
      <c r="AA56" s="29" t="s">
        <v>954</v>
      </c>
      <c r="AB56" s="29" t="s">
        <v>12</v>
      </c>
      <c r="AC56" s="29">
        <v>12.2</v>
      </c>
      <c r="AD56" s="38" t="s">
        <v>955</v>
      </c>
      <c r="AE56" s="29" t="s">
        <v>326</v>
      </c>
      <c r="AF56" s="29" t="s">
        <v>11</v>
      </c>
      <c r="AG56" s="39">
        <v>7.4</v>
      </c>
      <c r="AL56" s="38"/>
      <c r="AO56" s="39"/>
      <c r="AP56" s="38"/>
      <c r="AS56" s="39"/>
      <c r="AW56" s="39"/>
      <c r="BA56" s="40"/>
    </row>
    <row r="57" spans="1:53" s="171" customFormat="1" x14ac:dyDescent="0.15">
      <c r="A57" s="171">
        <v>2006</v>
      </c>
      <c r="B57" s="306">
        <v>38912</v>
      </c>
      <c r="C57" s="410" t="s">
        <v>1156</v>
      </c>
      <c r="D57" s="410"/>
      <c r="E57" s="171">
        <v>70</v>
      </c>
      <c r="F57" s="171">
        <v>2</v>
      </c>
      <c r="G57" s="233">
        <v>15</v>
      </c>
      <c r="I57" s="171">
        <v>3</v>
      </c>
      <c r="J57" s="241">
        <v>22</v>
      </c>
      <c r="K57" s="214">
        <f t="shared" si="3"/>
        <v>68.181818181818173</v>
      </c>
      <c r="L57" s="214">
        <f t="shared" si="4"/>
        <v>0</v>
      </c>
      <c r="M57" s="214">
        <f t="shared" si="5"/>
        <v>13.636363636363635</v>
      </c>
      <c r="N57" s="235">
        <f t="shared" si="2"/>
        <v>81.818181818181813</v>
      </c>
      <c r="O57" s="213">
        <v>41.1</v>
      </c>
      <c r="P57" s="214"/>
      <c r="Q57" s="214">
        <v>12.2</v>
      </c>
      <c r="R57" s="215">
        <f t="shared" si="1"/>
        <v>53.3</v>
      </c>
      <c r="S57" s="171">
        <v>2</v>
      </c>
      <c r="T57" s="285"/>
      <c r="U57" s="306">
        <v>38912</v>
      </c>
      <c r="V57" s="178" t="s">
        <v>950</v>
      </c>
      <c r="W57" s="171" t="s">
        <v>1135</v>
      </c>
      <c r="X57" s="171" t="s">
        <v>11</v>
      </c>
      <c r="Y57" s="179">
        <v>33.700000000000003</v>
      </c>
      <c r="Z57" s="171" t="s">
        <v>953</v>
      </c>
      <c r="AA57" s="171" t="s">
        <v>954</v>
      </c>
      <c r="AB57" s="171" t="s">
        <v>12</v>
      </c>
      <c r="AC57" s="171">
        <v>12.2</v>
      </c>
      <c r="AD57" s="178" t="s">
        <v>955</v>
      </c>
      <c r="AE57" s="171" t="s">
        <v>326</v>
      </c>
      <c r="AF57" s="171" t="s">
        <v>11</v>
      </c>
      <c r="AG57" s="179">
        <v>7.4</v>
      </c>
      <c r="AL57" s="178"/>
      <c r="AO57" s="179"/>
      <c r="AP57" s="178"/>
      <c r="AS57" s="179"/>
      <c r="AW57" s="179"/>
      <c r="BA57" s="180"/>
    </row>
    <row r="58" spans="1:53" s="171" customFormat="1" x14ac:dyDescent="0.15">
      <c r="A58" s="171">
        <v>2006</v>
      </c>
      <c r="B58" s="310">
        <v>38982</v>
      </c>
      <c r="C58" s="410" t="s">
        <v>1156</v>
      </c>
      <c r="D58" s="410"/>
      <c r="E58" s="171">
        <v>101</v>
      </c>
      <c r="F58" s="252">
        <v>0</v>
      </c>
      <c r="G58" s="233">
        <v>14</v>
      </c>
      <c r="I58" s="171">
        <v>3</v>
      </c>
      <c r="J58" s="241">
        <v>22</v>
      </c>
      <c r="K58" s="214">
        <f t="shared" si="3"/>
        <v>63.636363636363633</v>
      </c>
      <c r="L58" s="214">
        <f t="shared" si="4"/>
        <v>0</v>
      </c>
      <c r="M58" s="214">
        <f t="shared" si="5"/>
        <v>13.636363636363635</v>
      </c>
      <c r="N58" s="235">
        <f t="shared" si="2"/>
        <v>77.272727272727266</v>
      </c>
      <c r="O58" s="213">
        <v>41.1</v>
      </c>
      <c r="P58" s="214"/>
      <c r="Q58" s="214">
        <v>12.2</v>
      </c>
      <c r="R58" s="215">
        <f t="shared" si="1"/>
        <v>53.3</v>
      </c>
      <c r="S58" s="171">
        <v>2</v>
      </c>
      <c r="T58" s="285"/>
      <c r="U58" s="283"/>
      <c r="V58" s="178" t="s">
        <v>950</v>
      </c>
      <c r="W58" s="171" t="s">
        <v>1135</v>
      </c>
      <c r="X58" s="171" t="s">
        <v>11</v>
      </c>
      <c r="Y58" s="179">
        <v>33.700000000000003</v>
      </c>
      <c r="Z58" s="171" t="s">
        <v>953</v>
      </c>
      <c r="AA58" s="171" t="s">
        <v>954</v>
      </c>
      <c r="AB58" s="171" t="s">
        <v>12</v>
      </c>
      <c r="AC58" s="171">
        <v>12.2</v>
      </c>
      <c r="AD58" s="178" t="s">
        <v>955</v>
      </c>
      <c r="AE58" s="171" t="s">
        <v>326</v>
      </c>
      <c r="AF58" s="171" t="s">
        <v>11</v>
      </c>
      <c r="AG58" s="179">
        <v>7.4</v>
      </c>
      <c r="AL58" s="178"/>
      <c r="AO58" s="179"/>
      <c r="AP58" s="178"/>
      <c r="AS58" s="179"/>
      <c r="AW58" s="179"/>
      <c r="BA58" s="180"/>
    </row>
    <row r="59" spans="1:53" s="171" customFormat="1" x14ac:dyDescent="0.15">
      <c r="A59" s="171">
        <v>2007</v>
      </c>
      <c r="B59" s="310"/>
      <c r="C59" s="410" t="s">
        <v>1156</v>
      </c>
      <c r="D59" s="410"/>
      <c r="E59" s="171">
        <v>38</v>
      </c>
      <c r="F59" s="252"/>
      <c r="G59" s="233">
        <v>14</v>
      </c>
      <c r="I59" s="171">
        <v>3</v>
      </c>
      <c r="J59" s="241">
        <v>22</v>
      </c>
      <c r="K59" s="214">
        <f t="shared" si="3"/>
        <v>63.636363636363633</v>
      </c>
      <c r="L59" s="214">
        <f t="shared" si="4"/>
        <v>0</v>
      </c>
      <c r="M59" s="214">
        <f t="shared" si="5"/>
        <v>13.636363636363635</v>
      </c>
      <c r="N59" s="235">
        <f t="shared" si="2"/>
        <v>77.272727272727266</v>
      </c>
      <c r="O59" s="213">
        <v>41.1</v>
      </c>
      <c r="P59" s="214"/>
      <c r="Q59" s="214">
        <v>12.2</v>
      </c>
      <c r="R59" s="215">
        <f t="shared" si="1"/>
        <v>53.3</v>
      </c>
      <c r="S59" s="171">
        <v>2</v>
      </c>
      <c r="T59" s="285"/>
      <c r="U59" s="283"/>
      <c r="V59" s="178" t="s">
        <v>950</v>
      </c>
      <c r="W59" s="171" t="s">
        <v>1135</v>
      </c>
      <c r="X59" s="171" t="s">
        <v>11</v>
      </c>
      <c r="Y59" s="179">
        <v>33.700000000000003</v>
      </c>
      <c r="Z59" s="171" t="s">
        <v>953</v>
      </c>
      <c r="AA59" s="171" t="s">
        <v>954</v>
      </c>
      <c r="AB59" s="171" t="s">
        <v>12</v>
      </c>
      <c r="AC59" s="171">
        <v>12.2</v>
      </c>
      <c r="AD59" s="178" t="s">
        <v>955</v>
      </c>
      <c r="AE59" s="171" t="s">
        <v>326</v>
      </c>
      <c r="AF59" s="171" t="s">
        <v>11</v>
      </c>
      <c r="AG59" s="179">
        <v>7.4</v>
      </c>
      <c r="AL59" s="178"/>
      <c r="AO59" s="179"/>
      <c r="AP59" s="178"/>
      <c r="AS59" s="179"/>
      <c r="AW59" s="179"/>
      <c r="BA59" s="180"/>
    </row>
    <row r="60" spans="1:53" s="171" customFormat="1" x14ac:dyDescent="0.15">
      <c r="A60" s="171">
        <v>2007</v>
      </c>
      <c r="B60" s="310">
        <v>39121</v>
      </c>
      <c r="C60" s="410" t="s">
        <v>1156</v>
      </c>
      <c r="D60" s="410"/>
      <c r="E60" s="171">
        <v>47</v>
      </c>
      <c r="F60" s="252">
        <v>0</v>
      </c>
      <c r="G60" s="233">
        <v>14</v>
      </c>
      <c r="I60" s="171">
        <v>3</v>
      </c>
      <c r="J60" s="241">
        <v>23</v>
      </c>
      <c r="K60" s="214">
        <f>G60/J60*100</f>
        <v>60.869565217391312</v>
      </c>
      <c r="L60" s="214">
        <f>H60/J60*100</f>
        <v>0</v>
      </c>
      <c r="M60" s="214">
        <f>I60/J60*100</f>
        <v>13.043478260869565</v>
      </c>
      <c r="N60" s="235">
        <f>SUM(K60:M60)</f>
        <v>73.913043478260875</v>
      </c>
      <c r="O60" s="213">
        <v>41.1</v>
      </c>
      <c r="P60" s="214"/>
      <c r="Q60" s="214">
        <v>12.2</v>
      </c>
      <c r="R60" s="215">
        <f>SUM(O60:Q60)</f>
        <v>53.3</v>
      </c>
      <c r="S60" s="171">
        <v>2</v>
      </c>
      <c r="T60" s="285"/>
      <c r="U60" s="283"/>
      <c r="V60" s="178" t="s">
        <v>950</v>
      </c>
      <c r="W60" s="171" t="s">
        <v>1135</v>
      </c>
      <c r="X60" s="171" t="s">
        <v>11</v>
      </c>
      <c r="Y60" s="179">
        <v>33.700000000000003</v>
      </c>
      <c r="Z60" s="171" t="s">
        <v>953</v>
      </c>
      <c r="AA60" s="171" t="s">
        <v>954</v>
      </c>
      <c r="AB60" s="171" t="s">
        <v>12</v>
      </c>
      <c r="AC60" s="171">
        <v>12.2</v>
      </c>
      <c r="AD60" s="178" t="s">
        <v>955</v>
      </c>
      <c r="AE60" s="171" t="s">
        <v>326</v>
      </c>
      <c r="AF60" s="171" t="s">
        <v>11</v>
      </c>
      <c r="AG60" s="179">
        <v>7.4</v>
      </c>
      <c r="AL60" s="178"/>
      <c r="AO60" s="179"/>
      <c r="AP60" s="178"/>
      <c r="AS60" s="179"/>
      <c r="AW60" s="179"/>
      <c r="BA60" s="180"/>
    </row>
    <row r="61" spans="1:53" s="171" customFormat="1" x14ac:dyDescent="0.15">
      <c r="A61" s="171">
        <v>2007</v>
      </c>
      <c r="B61" s="310">
        <v>39168</v>
      </c>
      <c r="C61" s="410" t="s">
        <v>1156</v>
      </c>
      <c r="D61" s="410"/>
      <c r="E61" s="171">
        <v>17</v>
      </c>
      <c r="F61" s="252">
        <v>0</v>
      </c>
      <c r="G61" s="233">
        <v>15</v>
      </c>
      <c r="I61" s="171">
        <v>3</v>
      </c>
      <c r="J61" s="241">
        <v>24</v>
      </c>
      <c r="K61" s="214">
        <f t="shared" si="3"/>
        <v>62.5</v>
      </c>
      <c r="L61" s="214">
        <f t="shared" si="4"/>
        <v>0</v>
      </c>
      <c r="M61" s="214">
        <f t="shared" si="5"/>
        <v>12.5</v>
      </c>
      <c r="N61" s="235">
        <f t="shared" si="2"/>
        <v>75</v>
      </c>
      <c r="O61" s="213">
        <v>41.1</v>
      </c>
      <c r="P61" s="214"/>
      <c r="Q61" s="214">
        <v>12.2</v>
      </c>
      <c r="R61" s="215">
        <f t="shared" si="1"/>
        <v>53.3</v>
      </c>
      <c r="S61" s="171">
        <v>2</v>
      </c>
      <c r="T61" s="285"/>
      <c r="U61" s="283"/>
      <c r="V61" s="178" t="s">
        <v>950</v>
      </c>
      <c r="W61" s="171" t="s">
        <v>1135</v>
      </c>
      <c r="X61" s="171" t="s">
        <v>11</v>
      </c>
      <c r="Y61" s="179">
        <v>33.700000000000003</v>
      </c>
      <c r="Z61" s="171" t="s">
        <v>953</v>
      </c>
      <c r="AA61" s="171" t="s">
        <v>954</v>
      </c>
      <c r="AB61" s="171" t="s">
        <v>12</v>
      </c>
      <c r="AC61" s="171">
        <v>12.2</v>
      </c>
      <c r="AD61" s="178" t="s">
        <v>955</v>
      </c>
      <c r="AE61" s="171" t="s">
        <v>326</v>
      </c>
      <c r="AF61" s="171" t="s">
        <v>11</v>
      </c>
      <c r="AG61" s="179">
        <v>7.4</v>
      </c>
      <c r="AL61" s="178"/>
      <c r="AO61" s="179"/>
      <c r="AP61" s="178"/>
      <c r="AS61" s="179"/>
      <c r="AW61" s="179"/>
      <c r="BA61" s="180"/>
    </row>
    <row r="62" spans="1:53" s="171" customFormat="1" x14ac:dyDescent="0.15">
      <c r="A62" s="171">
        <v>2007</v>
      </c>
      <c r="B62" s="310">
        <v>39185</v>
      </c>
      <c r="C62" s="410" t="s">
        <v>1156</v>
      </c>
      <c r="D62" s="410"/>
      <c r="E62" s="171">
        <v>87</v>
      </c>
      <c r="F62" s="252">
        <v>0</v>
      </c>
      <c r="G62" s="233">
        <v>14</v>
      </c>
      <c r="I62" s="171">
        <v>3</v>
      </c>
      <c r="J62" s="241">
        <v>23</v>
      </c>
      <c r="K62" s="214">
        <f t="shared" si="3"/>
        <v>60.869565217391312</v>
      </c>
      <c r="L62" s="214">
        <f t="shared" si="4"/>
        <v>0</v>
      </c>
      <c r="M62" s="214">
        <f t="shared" si="5"/>
        <v>13.043478260869565</v>
      </c>
      <c r="N62" s="235">
        <f t="shared" si="2"/>
        <v>73.913043478260875</v>
      </c>
      <c r="O62" s="213">
        <v>41.1</v>
      </c>
      <c r="P62" s="214"/>
      <c r="Q62" s="214">
        <v>12.2</v>
      </c>
      <c r="R62" s="215">
        <f t="shared" si="1"/>
        <v>53.3</v>
      </c>
      <c r="S62" s="171">
        <v>2</v>
      </c>
      <c r="T62" s="285"/>
      <c r="U62" s="283"/>
      <c r="V62" s="178" t="s">
        <v>950</v>
      </c>
      <c r="W62" s="171" t="s">
        <v>1135</v>
      </c>
      <c r="X62" s="171" t="s">
        <v>11</v>
      </c>
      <c r="Y62" s="179">
        <v>33.700000000000003</v>
      </c>
      <c r="Z62" s="171" t="s">
        <v>953</v>
      </c>
      <c r="AA62" s="171" t="s">
        <v>954</v>
      </c>
      <c r="AB62" s="171" t="s">
        <v>12</v>
      </c>
      <c r="AC62" s="171">
        <v>12.2</v>
      </c>
      <c r="AD62" s="178" t="s">
        <v>955</v>
      </c>
      <c r="AE62" s="171" t="s">
        <v>326</v>
      </c>
      <c r="AF62" s="171" t="s">
        <v>11</v>
      </c>
      <c r="AG62" s="179">
        <v>7.4</v>
      </c>
      <c r="AL62" s="178"/>
      <c r="AO62" s="179"/>
      <c r="AP62" s="178"/>
      <c r="AS62" s="179"/>
      <c r="AW62" s="179"/>
      <c r="BA62" s="180"/>
    </row>
    <row r="63" spans="1:53" s="171" customFormat="1" x14ac:dyDescent="0.15">
      <c r="A63" s="171">
        <v>2007</v>
      </c>
      <c r="B63" s="310">
        <v>39272</v>
      </c>
      <c r="C63" s="410" t="s">
        <v>1156</v>
      </c>
      <c r="D63" s="410"/>
      <c r="E63" s="171">
        <v>14</v>
      </c>
      <c r="F63" s="252">
        <v>0</v>
      </c>
      <c r="G63" s="233">
        <v>14</v>
      </c>
      <c r="I63" s="171">
        <v>2</v>
      </c>
      <c r="J63" s="241">
        <v>21</v>
      </c>
      <c r="K63" s="214">
        <f t="shared" si="3"/>
        <v>66.666666666666657</v>
      </c>
      <c r="L63" s="214">
        <f t="shared" si="4"/>
        <v>0</v>
      </c>
      <c r="M63" s="214">
        <f t="shared" si="5"/>
        <v>9.5238095238095237</v>
      </c>
      <c r="N63" s="235">
        <f t="shared" si="2"/>
        <v>76.190476190476176</v>
      </c>
      <c r="O63" s="213">
        <v>41.1</v>
      </c>
      <c r="P63" s="214"/>
      <c r="Q63" s="214">
        <v>12.2</v>
      </c>
      <c r="R63" s="215">
        <f t="shared" si="1"/>
        <v>53.3</v>
      </c>
      <c r="S63" s="171">
        <v>2</v>
      </c>
      <c r="T63" s="285"/>
      <c r="U63" s="283"/>
      <c r="V63" s="178" t="s">
        <v>950</v>
      </c>
      <c r="W63" s="171" t="s">
        <v>1135</v>
      </c>
      <c r="X63" s="171" t="s">
        <v>11</v>
      </c>
      <c r="Y63" s="179">
        <v>33.700000000000003</v>
      </c>
      <c r="Z63" s="171" t="s">
        <v>953</v>
      </c>
      <c r="AA63" s="171" t="s">
        <v>954</v>
      </c>
      <c r="AB63" s="171" t="s">
        <v>12</v>
      </c>
      <c r="AC63" s="171">
        <v>12.2</v>
      </c>
      <c r="AD63" s="178" t="s">
        <v>955</v>
      </c>
      <c r="AE63" s="171" t="s">
        <v>326</v>
      </c>
      <c r="AF63" s="171" t="s">
        <v>11</v>
      </c>
      <c r="AG63" s="179">
        <v>7.4</v>
      </c>
      <c r="AL63" s="178"/>
      <c r="AO63" s="179"/>
      <c r="AP63" s="178"/>
      <c r="AS63" s="179"/>
      <c r="AW63" s="179"/>
      <c r="BA63" s="180"/>
    </row>
    <row r="64" spans="1:53" s="171" customFormat="1" x14ac:dyDescent="0.15">
      <c r="A64" s="171">
        <v>2007</v>
      </c>
      <c r="B64" s="310">
        <v>39286</v>
      </c>
      <c r="C64" s="410" t="s">
        <v>1156</v>
      </c>
      <c r="D64" s="410"/>
      <c r="E64" s="171">
        <v>8</v>
      </c>
      <c r="F64" s="252">
        <v>0</v>
      </c>
      <c r="G64" s="233">
        <v>15</v>
      </c>
      <c r="I64" s="171">
        <v>2</v>
      </c>
      <c r="J64" s="241">
        <v>22</v>
      </c>
      <c r="K64" s="214">
        <f t="shared" si="3"/>
        <v>68.181818181818173</v>
      </c>
      <c r="L64" s="214">
        <f t="shared" si="4"/>
        <v>0</v>
      </c>
      <c r="M64" s="214">
        <f t="shared" si="5"/>
        <v>9.0909090909090917</v>
      </c>
      <c r="N64" s="235">
        <f t="shared" si="2"/>
        <v>77.272727272727266</v>
      </c>
      <c r="O64" s="213">
        <v>41.1</v>
      </c>
      <c r="P64" s="214"/>
      <c r="Q64" s="214">
        <v>12.2</v>
      </c>
      <c r="R64" s="215">
        <f t="shared" si="1"/>
        <v>53.3</v>
      </c>
      <c r="S64" s="171">
        <v>2</v>
      </c>
      <c r="T64" s="285"/>
      <c r="U64" s="283"/>
      <c r="V64" s="178" t="s">
        <v>950</v>
      </c>
      <c r="W64" s="171" t="s">
        <v>1135</v>
      </c>
      <c r="X64" s="171" t="s">
        <v>11</v>
      </c>
      <c r="Y64" s="179">
        <v>33.700000000000003</v>
      </c>
      <c r="Z64" s="171" t="s">
        <v>953</v>
      </c>
      <c r="AA64" s="171" t="s">
        <v>954</v>
      </c>
      <c r="AB64" s="171" t="s">
        <v>12</v>
      </c>
      <c r="AC64" s="171">
        <v>12.2</v>
      </c>
      <c r="AD64" s="178" t="s">
        <v>955</v>
      </c>
      <c r="AE64" s="171" t="s">
        <v>326</v>
      </c>
      <c r="AF64" s="171" t="s">
        <v>11</v>
      </c>
      <c r="AG64" s="179">
        <v>7.4</v>
      </c>
      <c r="AL64" s="178"/>
      <c r="AO64" s="179"/>
      <c r="AP64" s="178"/>
      <c r="AS64" s="179"/>
      <c r="AW64" s="179"/>
      <c r="BA64" s="180"/>
    </row>
    <row r="65" spans="1:53" s="171" customFormat="1" x14ac:dyDescent="0.15">
      <c r="A65" s="171">
        <v>2007</v>
      </c>
      <c r="B65" s="310">
        <v>39294</v>
      </c>
      <c r="C65" s="410" t="s">
        <v>1156</v>
      </c>
      <c r="D65" s="410"/>
      <c r="E65" s="171">
        <v>13</v>
      </c>
      <c r="F65" s="252">
        <v>0</v>
      </c>
      <c r="G65" s="233">
        <v>16</v>
      </c>
      <c r="I65" s="171">
        <v>2</v>
      </c>
      <c r="J65" s="241">
        <v>23</v>
      </c>
      <c r="K65" s="214">
        <f t="shared" si="3"/>
        <v>69.565217391304344</v>
      </c>
      <c r="L65" s="214">
        <f t="shared" si="4"/>
        <v>0</v>
      </c>
      <c r="M65" s="214">
        <f t="shared" si="5"/>
        <v>8.695652173913043</v>
      </c>
      <c r="N65" s="235">
        <f t="shared" si="2"/>
        <v>78.260869565217391</v>
      </c>
      <c r="O65" s="213">
        <v>41.1</v>
      </c>
      <c r="P65" s="214"/>
      <c r="Q65" s="214">
        <v>12.2</v>
      </c>
      <c r="R65" s="215">
        <f t="shared" si="1"/>
        <v>53.3</v>
      </c>
      <c r="S65" s="171">
        <v>2</v>
      </c>
      <c r="T65" s="285"/>
      <c r="U65" s="283"/>
      <c r="V65" s="178" t="s">
        <v>950</v>
      </c>
      <c r="W65" s="171" t="s">
        <v>1135</v>
      </c>
      <c r="X65" s="171" t="s">
        <v>11</v>
      </c>
      <c r="Y65" s="179">
        <v>33.700000000000003</v>
      </c>
      <c r="Z65" s="171" t="s">
        <v>953</v>
      </c>
      <c r="AA65" s="171" t="s">
        <v>954</v>
      </c>
      <c r="AB65" s="171" t="s">
        <v>12</v>
      </c>
      <c r="AC65" s="171">
        <v>12.2</v>
      </c>
      <c r="AD65" s="178" t="s">
        <v>955</v>
      </c>
      <c r="AE65" s="171" t="s">
        <v>326</v>
      </c>
      <c r="AF65" s="171" t="s">
        <v>11</v>
      </c>
      <c r="AG65" s="179">
        <v>7.4</v>
      </c>
      <c r="AL65" s="178"/>
      <c r="AO65" s="179"/>
      <c r="AP65" s="178"/>
      <c r="AS65" s="179"/>
      <c r="AW65" s="179"/>
      <c r="BA65" s="180"/>
    </row>
    <row r="66" spans="1:53" s="29" customFormat="1" x14ac:dyDescent="0.15">
      <c r="A66" s="29">
        <v>2007</v>
      </c>
      <c r="B66" s="277">
        <v>39307</v>
      </c>
      <c r="C66" s="411" t="s">
        <v>1157</v>
      </c>
      <c r="D66" s="411"/>
      <c r="E66" s="29">
        <v>103</v>
      </c>
      <c r="F66" s="29">
        <v>4</v>
      </c>
      <c r="G66" s="66">
        <v>15</v>
      </c>
      <c r="J66" s="73">
        <v>23</v>
      </c>
      <c r="K66" s="47">
        <f t="shared" si="3"/>
        <v>65.217391304347828</v>
      </c>
      <c r="L66" s="47">
        <f t="shared" si="4"/>
        <v>0</v>
      </c>
      <c r="M66" s="47">
        <f t="shared" si="5"/>
        <v>0</v>
      </c>
      <c r="N66" s="68">
        <f t="shared" si="2"/>
        <v>65.217391304347828</v>
      </c>
      <c r="O66" s="46">
        <v>33.700000000000003</v>
      </c>
      <c r="P66" s="47"/>
      <c r="Q66" s="47"/>
      <c r="R66" s="48">
        <f t="shared" si="1"/>
        <v>33.700000000000003</v>
      </c>
      <c r="S66" s="29">
        <v>4</v>
      </c>
      <c r="T66" s="286"/>
      <c r="U66" s="277">
        <v>39307</v>
      </c>
      <c r="V66" s="38" t="s">
        <v>950</v>
      </c>
      <c r="W66" s="29" t="s">
        <v>1135</v>
      </c>
      <c r="X66" s="29" t="s">
        <v>11</v>
      </c>
      <c r="Y66" s="39">
        <v>33.700000000000003</v>
      </c>
      <c r="Z66" s="38"/>
      <c r="AC66" s="39"/>
      <c r="AG66" s="39"/>
      <c r="AL66" s="38"/>
      <c r="AO66" s="39"/>
      <c r="AP66" s="38"/>
      <c r="AS66" s="39"/>
      <c r="AW66" s="39"/>
      <c r="BA66" s="40"/>
    </row>
    <row r="67" spans="1:53" s="171" customFormat="1" x14ac:dyDescent="0.15">
      <c r="A67" s="171">
        <v>2007</v>
      </c>
      <c r="B67" s="306">
        <v>39410</v>
      </c>
      <c r="C67" s="410" t="s">
        <v>956</v>
      </c>
      <c r="D67" s="410"/>
      <c r="E67" s="171">
        <v>38</v>
      </c>
      <c r="F67" s="171">
        <v>1</v>
      </c>
      <c r="G67" s="233">
        <v>10</v>
      </c>
      <c r="I67" s="171">
        <v>3</v>
      </c>
      <c r="J67" s="241">
        <v>19</v>
      </c>
      <c r="K67" s="214">
        <f t="shared" si="3"/>
        <v>52.631578947368418</v>
      </c>
      <c r="L67" s="214">
        <f t="shared" si="4"/>
        <v>0</v>
      </c>
      <c r="M67" s="214">
        <f t="shared" si="5"/>
        <v>15.789473684210526</v>
      </c>
      <c r="N67" s="235">
        <f t="shared" si="2"/>
        <v>68.421052631578945</v>
      </c>
      <c r="O67" s="213">
        <v>45.4</v>
      </c>
      <c r="P67" s="214"/>
      <c r="Q67" s="214">
        <v>6.7</v>
      </c>
      <c r="R67" s="215">
        <f t="shared" si="1"/>
        <v>52.1</v>
      </c>
      <c r="S67" s="171">
        <v>2</v>
      </c>
      <c r="T67" s="285">
        <v>39376</v>
      </c>
      <c r="U67" s="306">
        <v>39410</v>
      </c>
      <c r="V67" s="178" t="s">
        <v>957</v>
      </c>
      <c r="W67" s="171" t="s">
        <v>306</v>
      </c>
      <c r="X67" s="171" t="s">
        <v>11</v>
      </c>
      <c r="Y67" s="179">
        <v>45.4</v>
      </c>
      <c r="Z67" s="178" t="s">
        <v>937</v>
      </c>
      <c r="AA67" s="171" t="s">
        <v>869</v>
      </c>
      <c r="AB67" s="171" t="s">
        <v>12</v>
      </c>
      <c r="AC67" s="171">
        <v>6.7</v>
      </c>
      <c r="AD67" s="178"/>
      <c r="AG67" s="179"/>
      <c r="AL67" s="178"/>
      <c r="AO67" s="179"/>
      <c r="AP67" s="178"/>
      <c r="AS67" s="179"/>
      <c r="AW67" s="179"/>
      <c r="BA67" s="180"/>
    </row>
    <row r="68" spans="1:53" s="171" customFormat="1" x14ac:dyDescent="0.15">
      <c r="A68" s="171">
        <v>2008</v>
      </c>
      <c r="B68" s="306"/>
      <c r="C68" s="410" t="s">
        <v>956</v>
      </c>
      <c r="D68" s="410"/>
      <c r="E68" s="171">
        <v>0</v>
      </c>
      <c r="G68" s="233">
        <v>10</v>
      </c>
      <c r="I68" s="171">
        <v>3</v>
      </c>
      <c r="J68" s="241">
        <v>19</v>
      </c>
      <c r="K68" s="214">
        <f t="shared" si="3"/>
        <v>52.631578947368418</v>
      </c>
      <c r="L68" s="214">
        <f t="shared" si="4"/>
        <v>0</v>
      </c>
      <c r="M68" s="214">
        <f t="shared" si="5"/>
        <v>15.789473684210526</v>
      </c>
      <c r="N68" s="235">
        <f t="shared" si="2"/>
        <v>68.421052631578945</v>
      </c>
      <c r="O68" s="213">
        <v>45.4</v>
      </c>
      <c r="P68" s="214"/>
      <c r="Q68" s="214">
        <v>6.7</v>
      </c>
      <c r="R68" s="215">
        <f t="shared" si="1"/>
        <v>52.1</v>
      </c>
      <c r="S68" s="171">
        <v>2</v>
      </c>
      <c r="T68" s="285"/>
      <c r="U68" s="283"/>
      <c r="V68" s="178" t="s">
        <v>957</v>
      </c>
      <c r="W68" s="171" t="s">
        <v>306</v>
      </c>
      <c r="X68" s="171" t="s">
        <v>11</v>
      </c>
      <c r="Y68" s="179">
        <v>45.4</v>
      </c>
      <c r="Z68" s="178" t="s">
        <v>937</v>
      </c>
      <c r="AA68" s="171" t="s">
        <v>869</v>
      </c>
      <c r="AB68" s="171" t="s">
        <v>12</v>
      </c>
      <c r="AC68" s="171">
        <v>6.7</v>
      </c>
      <c r="AD68" s="178"/>
      <c r="AG68" s="179"/>
      <c r="AL68" s="178"/>
      <c r="AO68" s="179"/>
      <c r="AP68" s="178"/>
      <c r="AS68" s="179"/>
      <c r="AW68" s="179"/>
      <c r="BA68" s="180"/>
    </row>
    <row r="69" spans="1:53" s="171" customFormat="1" x14ac:dyDescent="0.15">
      <c r="A69" s="171">
        <v>2008</v>
      </c>
      <c r="B69" s="306"/>
      <c r="C69" s="410" t="s">
        <v>956</v>
      </c>
      <c r="D69" s="410"/>
      <c r="E69" s="171">
        <v>366</v>
      </c>
      <c r="G69" s="233">
        <v>10</v>
      </c>
      <c r="I69" s="171">
        <v>3</v>
      </c>
      <c r="J69" s="241">
        <v>19</v>
      </c>
      <c r="K69" s="214">
        <f t="shared" si="3"/>
        <v>52.631578947368418</v>
      </c>
      <c r="L69" s="214">
        <f t="shared" si="4"/>
        <v>0</v>
      </c>
      <c r="M69" s="214">
        <f t="shared" si="5"/>
        <v>15.789473684210526</v>
      </c>
      <c r="N69" s="235">
        <f t="shared" si="2"/>
        <v>68.421052631578945</v>
      </c>
      <c r="O69" s="213">
        <v>45.4</v>
      </c>
      <c r="P69" s="214"/>
      <c r="Q69" s="214">
        <v>6.7</v>
      </c>
      <c r="R69" s="215">
        <f t="shared" si="1"/>
        <v>52.1</v>
      </c>
      <c r="S69" s="171">
        <v>2</v>
      </c>
      <c r="T69" s="285"/>
      <c r="U69" s="283"/>
      <c r="V69" s="178" t="s">
        <v>957</v>
      </c>
      <c r="W69" s="171" t="s">
        <v>306</v>
      </c>
      <c r="X69" s="171" t="s">
        <v>11</v>
      </c>
      <c r="Y69" s="179">
        <v>45.4</v>
      </c>
      <c r="Z69" s="178" t="s">
        <v>937</v>
      </c>
      <c r="AA69" s="171" t="s">
        <v>869</v>
      </c>
      <c r="AB69" s="171" t="s">
        <v>12</v>
      </c>
      <c r="AC69" s="171">
        <v>6.7</v>
      </c>
      <c r="AD69" s="178"/>
      <c r="AG69" s="179"/>
      <c r="AL69" s="178"/>
      <c r="AO69" s="179"/>
      <c r="AP69" s="178"/>
      <c r="AS69" s="179"/>
      <c r="AW69" s="179"/>
      <c r="BA69" s="180"/>
    </row>
    <row r="70" spans="1:53" s="171" customFormat="1" x14ac:dyDescent="0.15">
      <c r="A70" s="171">
        <v>2009</v>
      </c>
      <c r="B70" s="306"/>
      <c r="C70" s="410" t="s">
        <v>956</v>
      </c>
      <c r="D70" s="410"/>
      <c r="E70" s="171">
        <v>14</v>
      </c>
      <c r="G70" s="233">
        <v>10</v>
      </c>
      <c r="I70" s="171">
        <v>3</v>
      </c>
      <c r="J70" s="241">
        <v>19</v>
      </c>
      <c r="K70" s="214">
        <f t="shared" si="3"/>
        <v>52.631578947368418</v>
      </c>
      <c r="L70" s="214">
        <f t="shared" si="4"/>
        <v>0</v>
      </c>
      <c r="M70" s="214">
        <f t="shared" si="5"/>
        <v>15.789473684210526</v>
      </c>
      <c r="N70" s="235">
        <f t="shared" si="2"/>
        <v>68.421052631578945</v>
      </c>
      <c r="O70" s="213">
        <v>45.4</v>
      </c>
      <c r="P70" s="214"/>
      <c r="Q70" s="214">
        <v>6.7</v>
      </c>
      <c r="R70" s="215">
        <f t="shared" si="1"/>
        <v>52.1</v>
      </c>
      <c r="S70" s="171">
        <v>2</v>
      </c>
      <c r="T70" s="285"/>
      <c r="U70" s="283"/>
      <c r="V70" s="178" t="s">
        <v>957</v>
      </c>
      <c r="W70" s="171" t="s">
        <v>306</v>
      </c>
      <c r="X70" s="171" t="s">
        <v>11</v>
      </c>
      <c r="Y70" s="179">
        <v>45.4</v>
      </c>
      <c r="Z70" s="178" t="s">
        <v>937</v>
      </c>
      <c r="AA70" s="171" t="s">
        <v>869</v>
      </c>
      <c r="AB70" s="171" t="s">
        <v>12</v>
      </c>
      <c r="AC70" s="171">
        <v>6.7</v>
      </c>
      <c r="AD70" s="178"/>
      <c r="AG70" s="179"/>
      <c r="AL70" s="178"/>
      <c r="AO70" s="179"/>
      <c r="AP70" s="178"/>
      <c r="AS70" s="179"/>
      <c r="AW70" s="179"/>
      <c r="BA70" s="180"/>
    </row>
    <row r="71" spans="1:53" s="171" customFormat="1" x14ac:dyDescent="0.15">
      <c r="A71" s="171">
        <v>2009</v>
      </c>
      <c r="B71" s="310">
        <v>39828</v>
      </c>
      <c r="C71" s="410" t="s">
        <v>956</v>
      </c>
      <c r="D71" s="410"/>
      <c r="E71" s="171">
        <v>8</v>
      </c>
      <c r="F71" s="252">
        <v>0</v>
      </c>
      <c r="G71" s="233">
        <v>11</v>
      </c>
      <c r="I71" s="171">
        <v>3</v>
      </c>
      <c r="J71" s="241">
        <v>19</v>
      </c>
      <c r="K71" s="214">
        <f t="shared" si="3"/>
        <v>57.894736842105267</v>
      </c>
      <c r="L71" s="214">
        <f t="shared" si="4"/>
        <v>0</v>
      </c>
      <c r="M71" s="214">
        <f t="shared" si="5"/>
        <v>15.789473684210526</v>
      </c>
      <c r="N71" s="235">
        <f t="shared" si="2"/>
        <v>73.684210526315795</v>
      </c>
      <c r="O71" s="213">
        <v>45.4</v>
      </c>
      <c r="P71" s="214"/>
      <c r="Q71" s="214">
        <v>6.7</v>
      </c>
      <c r="R71" s="215">
        <f t="shared" si="1"/>
        <v>52.1</v>
      </c>
      <c r="S71" s="171">
        <v>2</v>
      </c>
      <c r="T71" s="285"/>
      <c r="U71" s="283"/>
      <c r="V71" s="178" t="s">
        <v>957</v>
      </c>
      <c r="W71" s="171" t="s">
        <v>306</v>
      </c>
      <c r="X71" s="171" t="s">
        <v>11</v>
      </c>
      <c r="Y71" s="179">
        <v>45.4</v>
      </c>
      <c r="Z71" s="178" t="s">
        <v>937</v>
      </c>
      <c r="AA71" s="171" t="s">
        <v>869</v>
      </c>
      <c r="AB71" s="171" t="s">
        <v>12</v>
      </c>
      <c r="AC71" s="171">
        <v>6.7</v>
      </c>
      <c r="AD71" s="178"/>
      <c r="AG71" s="179"/>
      <c r="AL71" s="178"/>
      <c r="AO71" s="179"/>
      <c r="AP71" s="178"/>
      <c r="AS71" s="179"/>
      <c r="AW71" s="179"/>
      <c r="BA71" s="180"/>
    </row>
    <row r="72" spans="1:53" s="171" customFormat="1" x14ac:dyDescent="0.15">
      <c r="A72" s="171">
        <v>2009</v>
      </c>
      <c r="B72" s="310">
        <v>39836</v>
      </c>
      <c r="C72" s="410" t="s">
        <v>956</v>
      </c>
      <c r="D72" s="410"/>
      <c r="E72" s="171">
        <v>264</v>
      </c>
      <c r="F72" s="252">
        <v>0</v>
      </c>
      <c r="G72" s="233">
        <v>12</v>
      </c>
      <c r="I72" s="171">
        <v>3</v>
      </c>
      <c r="J72" s="241">
        <v>19</v>
      </c>
      <c r="K72" s="214">
        <f t="shared" si="3"/>
        <v>63.157894736842103</v>
      </c>
      <c r="L72" s="214">
        <f t="shared" si="4"/>
        <v>0</v>
      </c>
      <c r="M72" s="214">
        <f t="shared" si="5"/>
        <v>15.789473684210526</v>
      </c>
      <c r="N72" s="235">
        <f t="shared" si="2"/>
        <v>78.94736842105263</v>
      </c>
      <c r="O72" s="213">
        <v>45.4</v>
      </c>
      <c r="P72" s="214"/>
      <c r="Q72" s="214">
        <v>6.7</v>
      </c>
      <c r="R72" s="215">
        <f t="shared" si="1"/>
        <v>52.1</v>
      </c>
      <c r="S72" s="171">
        <v>2</v>
      </c>
      <c r="T72" s="285"/>
      <c r="U72" s="283"/>
      <c r="V72" s="178" t="s">
        <v>957</v>
      </c>
      <c r="W72" s="171" t="s">
        <v>306</v>
      </c>
      <c r="X72" s="171" t="s">
        <v>11</v>
      </c>
      <c r="Y72" s="179">
        <v>45.4</v>
      </c>
      <c r="Z72" s="178" t="s">
        <v>937</v>
      </c>
      <c r="AA72" s="171" t="s">
        <v>869</v>
      </c>
      <c r="AB72" s="171" t="s">
        <v>12</v>
      </c>
      <c r="AC72" s="171">
        <v>6.7</v>
      </c>
      <c r="AD72" s="178"/>
      <c r="AG72" s="179"/>
      <c r="AL72" s="178"/>
      <c r="AO72" s="179"/>
      <c r="AP72" s="178"/>
      <c r="AS72" s="179"/>
      <c r="AW72" s="179"/>
      <c r="BA72" s="180"/>
    </row>
    <row r="73" spans="1:53" s="171" customFormat="1" x14ac:dyDescent="0.15">
      <c r="A73" s="171">
        <v>2009</v>
      </c>
      <c r="B73" s="310">
        <v>40100</v>
      </c>
      <c r="C73" s="410" t="s">
        <v>956</v>
      </c>
      <c r="D73" s="410"/>
      <c r="E73" s="171">
        <v>79</v>
      </c>
      <c r="F73" s="252">
        <v>0</v>
      </c>
      <c r="G73" s="233">
        <v>10</v>
      </c>
      <c r="I73" s="171">
        <v>3</v>
      </c>
      <c r="J73" s="241">
        <v>19</v>
      </c>
      <c r="K73" s="214">
        <f t="shared" si="3"/>
        <v>52.631578947368418</v>
      </c>
      <c r="L73" s="214">
        <f t="shared" si="4"/>
        <v>0</v>
      </c>
      <c r="M73" s="214">
        <f t="shared" si="5"/>
        <v>15.789473684210526</v>
      </c>
      <c r="N73" s="235">
        <f t="shared" si="2"/>
        <v>68.421052631578945</v>
      </c>
      <c r="O73" s="213">
        <v>45.4</v>
      </c>
      <c r="P73" s="214"/>
      <c r="Q73" s="214">
        <v>6.7</v>
      </c>
      <c r="R73" s="215">
        <f t="shared" si="1"/>
        <v>52.1</v>
      </c>
      <c r="S73" s="171">
        <v>2</v>
      </c>
      <c r="T73" s="285"/>
      <c r="U73" s="283"/>
      <c r="V73" s="178" t="s">
        <v>957</v>
      </c>
      <c r="W73" s="171" t="s">
        <v>306</v>
      </c>
      <c r="X73" s="171" t="s">
        <v>11</v>
      </c>
      <c r="Y73" s="179">
        <v>45.4</v>
      </c>
      <c r="Z73" s="178" t="s">
        <v>937</v>
      </c>
      <c r="AA73" s="171" t="s">
        <v>869</v>
      </c>
      <c r="AB73" s="171" t="s">
        <v>12</v>
      </c>
      <c r="AC73" s="171">
        <v>6.7</v>
      </c>
      <c r="AD73" s="178"/>
      <c r="AG73" s="179"/>
      <c r="AL73" s="178"/>
      <c r="AO73" s="179"/>
      <c r="AP73" s="178"/>
      <c r="AS73" s="179"/>
      <c r="AW73" s="179"/>
      <c r="BA73" s="180"/>
    </row>
    <row r="74" spans="1:53" s="171" customFormat="1" x14ac:dyDescent="0.15">
      <c r="A74" s="171">
        <v>2010</v>
      </c>
      <c r="B74" s="306"/>
      <c r="C74" s="410" t="s">
        <v>956</v>
      </c>
      <c r="D74" s="410"/>
      <c r="E74" s="171">
        <v>0</v>
      </c>
      <c r="G74" s="233">
        <v>10</v>
      </c>
      <c r="I74" s="171">
        <v>3</v>
      </c>
      <c r="J74" s="241">
        <v>19</v>
      </c>
      <c r="K74" s="214">
        <f t="shared" si="3"/>
        <v>52.631578947368418</v>
      </c>
      <c r="L74" s="214">
        <f t="shared" si="4"/>
        <v>0</v>
      </c>
      <c r="M74" s="214">
        <f t="shared" si="5"/>
        <v>15.789473684210526</v>
      </c>
      <c r="N74" s="235">
        <f t="shared" si="2"/>
        <v>68.421052631578945</v>
      </c>
      <c r="O74" s="213">
        <v>45.4</v>
      </c>
      <c r="P74" s="214"/>
      <c r="Q74" s="214">
        <v>6.7</v>
      </c>
      <c r="R74" s="215">
        <f t="shared" si="1"/>
        <v>52.1</v>
      </c>
      <c r="S74" s="171">
        <v>2</v>
      </c>
      <c r="T74" s="285"/>
      <c r="U74" s="283"/>
      <c r="V74" s="178" t="s">
        <v>957</v>
      </c>
      <c r="W74" s="171" t="s">
        <v>306</v>
      </c>
      <c r="X74" s="171" t="s">
        <v>11</v>
      </c>
      <c r="Y74" s="179">
        <v>45.4</v>
      </c>
      <c r="Z74" s="178" t="s">
        <v>937</v>
      </c>
      <c r="AA74" s="171" t="s">
        <v>869</v>
      </c>
      <c r="AB74" s="171" t="s">
        <v>12</v>
      </c>
      <c r="AC74" s="171">
        <v>6.7</v>
      </c>
      <c r="AD74" s="178"/>
      <c r="AG74" s="179"/>
      <c r="AL74" s="178"/>
      <c r="AO74" s="179"/>
      <c r="AP74" s="178"/>
      <c r="AS74" s="179"/>
      <c r="AW74" s="179"/>
      <c r="BA74" s="180"/>
    </row>
    <row r="75" spans="1:53" s="171" customFormat="1" x14ac:dyDescent="0.15">
      <c r="A75" s="171">
        <v>2010</v>
      </c>
      <c r="B75" s="306"/>
      <c r="C75" s="410" t="s">
        <v>956</v>
      </c>
      <c r="D75" s="410"/>
      <c r="E75" s="171">
        <v>365</v>
      </c>
      <c r="G75" s="233">
        <v>10</v>
      </c>
      <c r="I75" s="171">
        <v>3</v>
      </c>
      <c r="J75" s="241">
        <v>19</v>
      </c>
      <c r="K75" s="214">
        <f t="shared" si="3"/>
        <v>52.631578947368418</v>
      </c>
      <c r="L75" s="214">
        <f t="shared" si="4"/>
        <v>0</v>
      </c>
      <c r="M75" s="214">
        <f t="shared" si="5"/>
        <v>15.789473684210526</v>
      </c>
      <c r="N75" s="235">
        <f t="shared" si="2"/>
        <v>68.421052631578945</v>
      </c>
      <c r="O75" s="213">
        <v>45.4</v>
      </c>
      <c r="P75" s="214"/>
      <c r="Q75" s="214">
        <v>6.7</v>
      </c>
      <c r="R75" s="215">
        <f t="shared" si="1"/>
        <v>52.1</v>
      </c>
      <c r="S75" s="171">
        <v>2</v>
      </c>
      <c r="T75" s="285"/>
      <c r="U75" s="283"/>
      <c r="V75" s="178" t="s">
        <v>957</v>
      </c>
      <c r="W75" s="171" t="s">
        <v>306</v>
      </c>
      <c r="X75" s="171" t="s">
        <v>11</v>
      </c>
      <c r="Y75" s="179">
        <v>45.4</v>
      </c>
      <c r="Z75" s="178" t="s">
        <v>937</v>
      </c>
      <c r="AA75" s="171" t="s">
        <v>869</v>
      </c>
      <c r="AB75" s="171" t="s">
        <v>12</v>
      </c>
      <c r="AC75" s="171">
        <v>6.7</v>
      </c>
      <c r="AD75" s="178"/>
      <c r="AG75" s="179"/>
      <c r="AL75" s="178"/>
      <c r="AO75" s="179"/>
      <c r="AP75" s="178"/>
      <c r="AS75" s="179"/>
      <c r="AW75" s="179"/>
      <c r="BA75" s="180"/>
    </row>
    <row r="76" spans="1:53" s="171" customFormat="1" x14ac:dyDescent="0.15">
      <c r="A76" s="171">
        <v>2011</v>
      </c>
      <c r="B76" s="306"/>
      <c r="C76" s="410" t="s">
        <v>956</v>
      </c>
      <c r="D76" s="410"/>
      <c r="E76" s="171">
        <v>310</v>
      </c>
      <c r="G76" s="233">
        <v>10</v>
      </c>
      <c r="I76" s="171">
        <v>3</v>
      </c>
      <c r="J76" s="241">
        <v>19</v>
      </c>
      <c r="K76" s="214">
        <f t="shared" ref="K76:K84" si="6">G76/J76*100</f>
        <v>52.631578947368418</v>
      </c>
      <c r="L76" s="214">
        <f t="shared" ref="L76:L84" si="7">H76/J76*100</f>
        <v>0</v>
      </c>
      <c r="M76" s="214">
        <f t="shared" ref="M76:M84" si="8">I76/J76*100</f>
        <v>15.789473684210526</v>
      </c>
      <c r="N76" s="235">
        <f t="shared" si="2"/>
        <v>68.421052631578945</v>
      </c>
      <c r="O76" s="213">
        <v>45.4</v>
      </c>
      <c r="P76" s="214"/>
      <c r="Q76" s="214">
        <v>6.7</v>
      </c>
      <c r="R76" s="215">
        <f t="shared" si="1"/>
        <v>52.1</v>
      </c>
      <c r="S76" s="171">
        <v>2</v>
      </c>
      <c r="T76" s="285"/>
      <c r="U76" s="283"/>
      <c r="V76" s="178" t="s">
        <v>957</v>
      </c>
      <c r="W76" s="171" t="s">
        <v>306</v>
      </c>
      <c r="X76" s="171" t="s">
        <v>11</v>
      </c>
      <c r="Y76" s="179">
        <v>45.4</v>
      </c>
      <c r="Z76" s="178" t="s">
        <v>937</v>
      </c>
      <c r="AA76" s="171" t="s">
        <v>869</v>
      </c>
      <c r="AB76" s="171" t="s">
        <v>12</v>
      </c>
      <c r="AC76" s="171">
        <v>6.7</v>
      </c>
      <c r="AD76" s="178"/>
      <c r="AG76" s="179"/>
      <c r="AL76" s="178"/>
      <c r="AO76" s="179"/>
      <c r="AP76" s="178"/>
      <c r="AS76" s="179"/>
      <c r="AW76" s="179"/>
      <c r="BA76" s="180"/>
    </row>
    <row r="77" spans="1:53" s="171" customFormat="1" x14ac:dyDescent="0.15">
      <c r="A77" s="171">
        <v>2011</v>
      </c>
      <c r="B77" s="310">
        <v>40854</v>
      </c>
      <c r="C77" s="410" t="s">
        <v>956</v>
      </c>
      <c r="D77" s="410"/>
      <c r="E77" s="171">
        <v>11</v>
      </c>
      <c r="F77" s="252">
        <v>0</v>
      </c>
      <c r="G77" s="233">
        <v>8</v>
      </c>
      <c r="I77" s="171">
        <v>3</v>
      </c>
      <c r="J77" s="241">
        <v>17</v>
      </c>
      <c r="K77" s="214">
        <f t="shared" si="6"/>
        <v>47.058823529411761</v>
      </c>
      <c r="L77" s="214">
        <f t="shared" si="7"/>
        <v>0</v>
      </c>
      <c r="M77" s="214">
        <f t="shared" si="8"/>
        <v>17.647058823529413</v>
      </c>
      <c r="N77" s="235">
        <f t="shared" si="2"/>
        <v>64.705882352941174</v>
      </c>
      <c r="O77" s="213">
        <v>45.4</v>
      </c>
      <c r="P77" s="214"/>
      <c r="Q77" s="214">
        <v>6.7</v>
      </c>
      <c r="R77" s="215">
        <f t="shared" si="1"/>
        <v>52.1</v>
      </c>
      <c r="S77" s="171">
        <v>2</v>
      </c>
      <c r="T77" s="285"/>
      <c r="U77" s="283"/>
      <c r="V77" s="178" t="s">
        <v>957</v>
      </c>
      <c r="W77" s="171" t="s">
        <v>306</v>
      </c>
      <c r="X77" s="171" t="s">
        <v>11</v>
      </c>
      <c r="Y77" s="179">
        <v>45.4</v>
      </c>
      <c r="Z77" s="178" t="s">
        <v>937</v>
      </c>
      <c r="AA77" s="171" t="s">
        <v>869</v>
      </c>
      <c r="AB77" s="171" t="s">
        <v>12</v>
      </c>
      <c r="AC77" s="171">
        <v>6.7</v>
      </c>
      <c r="AD77" s="178"/>
      <c r="AG77" s="179"/>
      <c r="AL77" s="178"/>
      <c r="AO77" s="179"/>
      <c r="AP77" s="178"/>
      <c r="AS77" s="179"/>
      <c r="AW77" s="179"/>
      <c r="BA77" s="180"/>
    </row>
    <row r="78" spans="1:53" s="29" customFormat="1" x14ac:dyDescent="0.15">
      <c r="A78" s="29">
        <v>2011</v>
      </c>
      <c r="B78" s="295">
        <v>40865</v>
      </c>
      <c r="C78" s="411" t="s">
        <v>958</v>
      </c>
      <c r="D78" s="411"/>
      <c r="E78" s="29">
        <f xml:space="preserve"> 365-E77-E76</f>
        <v>44</v>
      </c>
      <c r="F78" s="29">
        <v>1</v>
      </c>
      <c r="G78" s="66">
        <v>12</v>
      </c>
      <c r="I78" s="29">
        <v>3</v>
      </c>
      <c r="J78" s="73">
        <v>20</v>
      </c>
      <c r="K78" s="47">
        <f t="shared" si="6"/>
        <v>60</v>
      </c>
      <c r="L78" s="47">
        <f t="shared" si="7"/>
        <v>0</v>
      </c>
      <c r="M78" s="47">
        <f t="shared" si="8"/>
        <v>15</v>
      </c>
      <c r="N78" s="68">
        <f t="shared" si="2"/>
        <v>75</v>
      </c>
      <c r="O78" s="46">
        <v>45</v>
      </c>
      <c r="P78" s="47"/>
      <c r="Q78" s="47">
        <v>6.1</v>
      </c>
      <c r="R78" s="48">
        <f t="shared" si="1"/>
        <v>51.1</v>
      </c>
      <c r="S78" s="29">
        <v>2</v>
      </c>
      <c r="T78" s="286">
        <v>40825</v>
      </c>
      <c r="U78" s="295">
        <v>40865</v>
      </c>
      <c r="V78" s="38" t="s">
        <v>957</v>
      </c>
      <c r="W78" s="29" t="s">
        <v>306</v>
      </c>
      <c r="X78" s="29" t="s">
        <v>11</v>
      </c>
      <c r="Y78" s="39">
        <v>45</v>
      </c>
      <c r="Z78" s="38" t="s">
        <v>937</v>
      </c>
      <c r="AA78" s="29" t="s">
        <v>869</v>
      </c>
      <c r="AB78" s="29" t="s">
        <v>12</v>
      </c>
      <c r="AC78" s="29">
        <v>6.1</v>
      </c>
      <c r="AD78" s="38"/>
      <c r="AG78" s="39"/>
      <c r="AL78" s="38"/>
      <c r="AO78" s="39"/>
      <c r="AP78" s="38"/>
      <c r="AS78" s="39"/>
      <c r="AW78" s="39"/>
      <c r="BA78" s="40"/>
    </row>
    <row r="79" spans="1:53" s="29" customFormat="1" x14ac:dyDescent="0.15">
      <c r="A79" s="29">
        <v>2012</v>
      </c>
      <c r="B79" s="277"/>
      <c r="C79" s="411" t="s">
        <v>958</v>
      </c>
      <c r="D79" s="411"/>
      <c r="E79" s="29">
        <v>0</v>
      </c>
      <c r="G79" s="66">
        <v>12</v>
      </c>
      <c r="I79" s="29">
        <v>3</v>
      </c>
      <c r="J79" s="73">
        <v>20</v>
      </c>
      <c r="K79" s="47">
        <f t="shared" si="6"/>
        <v>60</v>
      </c>
      <c r="L79" s="47">
        <f t="shared" si="7"/>
        <v>0</v>
      </c>
      <c r="M79" s="47">
        <f t="shared" si="8"/>
        <v>15</v>
      </c>
      <c r="N79" s="68">
        <f t="shared" si="2"/>
        <v>75</v>
      </c>
      <c r="O79" s="46">
        <v>45</v>
      </c>
      <c r="P79" s="47"/>
      <c r="Q79" s="47">
        <v>6.1</v>
      </c>
      <c r="R79" s="48">
        <f t="shared" si="1"/>
        <v>51.1</v>
      </c>
      <c r="S79" s="29">
        <v>2</v>
      </c>
      <c r="T79" s="286"/>
      <c r="U79" s="295"/>
      <c r="V79" s="38" t="s">
        <v>957</v>
      </c>
      <c r="W79" s="29" t="s">
        <v>306</v>
      </c>
      <c r="X79" s="29" t="s">
        <v>11</v>
      </c>
      <c r="Y79" s="39">
        <v>45</v>
      </c>
      <c r="Z79" s="29" t="s">
        <v>937</v>
      </c>
      <c r="AA79" s="29" t="s">
        <v>869</v>
      </c>
      <c r="AB79" s="29" t="s">
        <v>12</v>
      </c>
      <c r="AC79" s="29">
        <v>6.1</v>
      </c>
      <c r="AD79" s="38"/>
      <c r="AG79" s="39"/>
      <c r="AL79" s="38"/>
      <c r="AO79" s="39"/>
      <c r="AP79" s="38"/>
      <c r="AS79" s="39"/>
      <c r="AW79" s="39"/>
      <c r="BA79" s="40"/>
    </row>
    <row r="80" spans="1:53" s="29" customFormat="1" x14ac:dyDescent="0.15">
      <c r="A80" s="29">
        <v>2012</v>
      </c>
      <c r="B80" s="277"/>
      <c r="C80" s="411" t="s">
        <v>958</v>
      </c>
      <c r="D80" s="411"/>
      <c r="E80" s="29">
        <v>366</v>
      </c>
      <c r="G80" s="66">
        <v>12</v>
      </c>
      <c r="I80" s="29">
        <v>3</v>
      </c>
      <c r="J80" s="73">
        <v>20</v>
      </c>
      <c r="K80" s="47">
        <f t="shared" si="6"/>
        <v>60</v>
      </c>
      <c r="L80" s="47">
        <f t="shared" si="7"/>
        <v>0</v>
      </c>
      <c r="M80" s="47">
        <f t="shared" si="8"/>
        <v>15</v>
      </c>
      <c r="N80" s="68">
        <f t="shared" si="2"/>
        <v>75</v>
      </c>
      <c r="O80" s="46">
        <v>45</v>
      </c>
      <c r="P80" s="47"/>
      <c r="Q80" s="47">
        <v>6.1</v>
      </c>
      <c r="R80" s="48">
        <f t="shared" si="1"/>
        <v>51.1</v>
      </c>
      <c r="S80" s="29">
        <v>2</v>
      </c>
      <c r="T80" s="286"/>
      <c r="U80" s="295"/>
      <c r="V80" s="38" t="s">
        <v>957</v>
      </c>
      <c r="W80" s="29" t="s">
        <v>306</v>
      </c>
      <c r="X80" s="29" t="s">
        <v>11</v>
      </c>
      <c r="Y80" s="39">
        <v>45</v>
      </c>
      <c r="Z80" s="29" t="s">
        <v>937</v>
      </c>
      <c r="AA80" s="29" t="s">
        <v>869</v>
      </c>
      <c r="AB80" s="29" t="s">
        <v>12</v>
      </c>
      <c r="AC80" s="29">
        <v>6.1</v>
      </c>
      <c r="AD80" s="38"/>
      <c r="AG80" s="39"/>
      <c r="AL80" s="38"/>
      <c r="AO80" s="39"/>
      <c r="AP80" s="38"/>
      <c r="AS80" s="39"/>
      <c r="AW80" s="39"/>
      <c r="BA80" s="40"/>
    </row>
    <row r="81" spans="1:53" s="29" customFormat="1" x14ac:dyDescent="0.15">
      <c r="A81" s="29">
        <v>2013</v>
      </c>
      <c r="B81" s="277"/>
      <c r="C81" s="411" t="s">
        <v>958</v>
      </c>
      <c r="D81" s="411"/>
      <c r="E81" s="29">
        <v>55</v>
      </c>
      <c r="G81" s="66">
        <v>12</v>
      </c>
      <c r="I81" s="29">
        <v>3</v>
      </c>
      <c r="J81" s="73">
        <v>20</v>
      </c>
      <c r="K81" s="47">
        <f t="shared" si="6"/>
        <v>60</v>
      </c>
      <c r="L81" s="47">
        <f t="shared" si="7"/>
        <v>0</v>
      </c>
      <c r="M81" s="47">
        <f t="shared" si="8"/>
        <v>15</v>
      </c>
      <c r="N81" s="68">
        <f>SUM(K81:M81)</f>
        <v>75</v>
      </c>
      <c r="O81" s="46">
        <v>45</v>
      </c>
      <c r="P81" s="47"/>
      <c r="Q81" s="47">
        <v>6.1</v>
      </c>
      <c r="R81" s="48">
        <f t="shared" ref="R81:R87" si="9">SUM(O81:Q81)</f>
        <v>51.1</v>
      </c>
      <c r="S81" s="29">
        <v>2</v>
      </c>
      <c r="T81" s="286"/>
      <c r="U81" s="295"/>
      <c r="V81" s="38" t="s">
        <v>957</v>
      </c>
      <c r="W81" s="29" t="s">
        <v>306</v>
      </c>
      <c r="X81" s="29" t="s">
        <v>11</v>
      </c>
      <c r="Y81" s="39">
        <v>45</v>
      </c>
      <c r="Z81" s="29" t="s">
        <v>937</v>
      </c>
      <c r="AA81" s="29" t="s">
        <v>869</v>
      </c>
      <c r="AB81" s="29" t="s">
        <v>12</v>
      </c>
      <c r="AC81" s="29">
        <v>6.1</v>
      </c>
      <c r="AD81" s="38"/>
      <c r="AG81" s="39"/>
      <c r="AL81" s="38"/>
      <c r="AO81" s="39"/>
      <c r="AP81" s="38"/>
      <c r="AS81" s="39"/>
      <c r="AW81" s="39"/>
      <c r="BA81" s="40"/>
    </row>
    <row r="82" spans="1:53" s="29" customFormat="1" x14ac:dyDescent="0.15">
      <c r="A82" s="29">
        <v>2013</v>
      </c>
      <c r="B82" s="303">
        <v>41330</v>
      </c>
      <c r="C82" s="411" t="s">
        <v>958</v>
      </c>
      <c r="D82" s="411"/>
      <c r="E82" s="29">
        <v>58</v>
      </c>
      <c r="F82" s="84">
        <v>0</v>
      </c>
      <c r="G82" s="66">
        <v>11</v>
      </c>
      <c r="I82" s="29">
        <v>3</v>
      </c>
      <c r="J82" s="73">
        <v>20</v>
      </c>
      <c r="K82" s="47">
        <f t="shared" si="6"/>
        <v>55.000000000000007</v>
      </c>
      <c r="L82" s="47">
        <f t="shared" si="7"/>
        <v>0</v>
      </c>
      <c r="M82" s="47">
        <f t="shared" si="8"/>
        <v>15</v>
      </c>
      <c r="N82" s="68">
        <f>SUM(K82:M82)</f>
        <v>70</v>
      </c>
      <c r="O82" s="46">
        <v>45</v>
      </c>
      <c r="P82" s="47"/>
      <c r="Q82" s="47">
        <v>6.1</v>
      </c>
      <c r="R82" s="48">
        <f t="shared" si="9"/>
        <v>51.1</v>
      </c>
      <c r="S82" s="29">
        <v>2</v>
      </c>
      <c r="T82" s="286"/>
      <c r="U82" s="295"/>
      <c r="V82" s="38" t="s">
        <v>957</v>
      </c>
      <c r="W82" s="29" t="s">
        <v>306</v>
      </c>
      <c r="X82" s="29" t="s">
        <v>11</v>
      </c>
      <c r="Y82" s="39">
        <v>45</v>
      </c>
      <c r="Z82" s="29" t="s">
        <v>937</v>
      </c>
      <c r="AA82" s="29" t="s">
        <v>869</v>
      </c>
      <c r="AB82" s="29" t="s">
        <v>12</v>
      </c>
      <c r="AC82" s="29">
        <v>6.1</v>
      </c>
      <c r="AD82" s="38"/>
      <c r="AG82" s="39"/>
      <c r="AL82" s="38"/>
      <c r="AO82" s="39"/>
      <c r="AP82" s="38"/>
      <c r="AS82" s="39"/>
      <c r="AW82" s="39"/>
      <c r="BA82" s="40"/>
    </row>
    <row r="83" spans="1:53" s="29" customFormat="1" x14ac:dyDescent="0.15">
      <c r="A83" s="29">
        <v>2013</v>
      </c>
      <c r="B83" s="303">
        <v>41388</v>
      </c>
      <c r="C83" s="411" t="s">
        <v>958</v>
      </c>
      <c r="D83" s="411"/>
      <c r="E83" s="29">
        <v>217</v>
      </c>
      <c r="F83" s="84">
        <v>0</v>
      </c>
      <c r="G83" s="66">
        <v>12</v>
      </c>
      <c r="I83" s="29">
        <v>3</v>
      </c>
      <c r="J83" s="73">
        <v>20</v>
      </c>
      <c r="K83" s="47">
        <f t="shared" si="6"/>
        <v>60</v>
      </c>
      <c r="L83" s="47">
        <f t="shared" si="7"/>
        <v>0</v>
      </c>
      <c r="M83" s="47">
        <f t="shared" si="8"/>
        <v>15</v>
      </c>
      <c r="N83" s="68">
        <f>SUM(K83:M83)</f>
        <v>75</v>
      </c>
      <c r="O83" s="46">
        <v>45</v>
      </c>
      <c r="P83" s="47"/>
      <c r="Q83" s="47">
        <v>6.1</v>
      </c>
      <c r="R83" s="48">
        <f t="shared" si="9"/>
        <v>51.1</v>
      </c>
      <c r="S83" s="29">
        <v>2</v>
      </c>
      <c r="T83" s="286"/>
      <c r="U83" s="295"/>
      <c r="V83" s="38" t="s">
        <v>957</v>
      </c>
      <c r="W83" s="29" t="s">
        <v>306</v>
      </c>
      <c r="X83" s="29" t="s">
        <v>11</v>
      </c>
      <c r="Y83" s="39">
        <v>45</v>
      </c>
      <c r="Z83" s="29" t="s">
        <v>937</v>
      </c>
      <c r="AA83" s="29" t="s">
        <v>869</v>
      </c>
      <c r="AB83" s="29" t="s">
        <v>12</v>
      </c>
      <c r="AC83" s="29">
        <v>6.1</v>
      </c>
      <c r="AD83" s="38"/>
      <c r="AG83" s="39"/>
      <c r="AL83" s="38"/>
      <c r="AO83" s="39"/>
      <c r="AP83" s="38"/>
      <c r="AS83" s="39"/>
      <c r="AW83" s="39"/>
      <c r="BA83" s="40"/>
    </row>
    <row r="84" spans="1:53" s="29" customFormat="1" x14ac:dyDescent="0.15">
      <c r="A84" s="29">
        <v>2013</v>
      </c>
      <c r="B84" s="303">
        <v>41605</v>
      </c>
      <c r="C84" s="411" t="s">
        <v>958</v>
      </c>
      <c r="D84" s="411"/>
      <c r="E84" s="29">
        <f>365-E83-E82-E81</f>
        <v>35</v>
      </c>
      <c r="F84" s="84">
        <v>0</v>
      </c>
      <c r="G84" s="66">
        <v>11</v>
      </c>
      <c r="I84" s="29">
        <v>3</v>
      </c>
      <c r="J84" s="73">
        <v>19</v>
      </c>
      <c r="K84" s="47">
        <f t="shared" si="6"/>
        <v>57.894736842105267</v>
      </c>
      <c r="L84" s="47">
        <f t="shared" si="7"/>
        <v>0</v>
      </c>
      <c r="M84" s="47">
        <f t="shared" si="8"/>
        <v>15.789473684210526</v>
      </c>
      <c r="N84" s="68">
        <f t="shared" si="2"/>
        <v>73.684210526315795</v>
      </c>
      <c r="O84" s="46">
        <v>45</v>
      </c>
      <c r="P84" s="47"/>
      <c r="Q84" s="47">
        <v>6.1</v>
      </c>
      <c r="R84" s="48">
        <f t="shared" si="9"/>
        <v>51.1</v>
      </c>
      <c r="S84" s="29">
        <v>2</v>
      </c>
      <c r="T84" s="286"/>
      <c r="U84" s="295"/>
      <c r="V84" s="38" t="s">
        <v>957</v>
      </c>
      <c r="W84" s="29" t="s">
        <v>306</v>
      </c>
      <c r="X84" s="29" t="s">
        <v>11</v>
      </c>
      <c r="Y84" s="39">
        <v>45</v>
      </c>
      <c r="Z84" s="29" t="s">
        <v>937</v>
      </c>
      <c r="AA84" s="29" t="s">
        <v>869</v>
      </c>
      <c r="AB84" s="29" t="s">
        <v>12</v>
      </c>
      <c r="AC84" s="29">
        <v>6.1</v>
      </c>
      <c r="AD84" s="38"/>
      <c r="AG84" s="39"/>
      <c r="AL84" s="38"/>
      <c r="AO84" s="39"/>
      <c r="AP84" s="38"/>
      <c r="AS84" s="39"/>
      <c r="AW84" s="39"/>
      <c r="BA84" s="40"/>
    </row>
    <row r="85" spans="1:53" s="29" customFormat="1" x14ac:dyDescent="0.15">
      <c r="A85" s="29">
        <v>2014</v>
      </c>
      <c r="B85" s="303"/>
      <c r="C85" s="411" t="s">
        <v>958</v>
      </c>
      <c r="D85" s="411"/>
      <c r="E85" s="29">
        <v>167</v>
      </c>
      <c r="F85" s="84"/>
      <c r="G85" s="66">
        <v>11</v>
      </c>
      <c r="I85" s="29">
        <v>3</v>
      </c>
      <c r="J85" s="73">
        <v>19</v>
      </c>
      <c r="K85" s="47">
        <f>G85/J85*100</f>
        <v>57.894736842105267</v>
      </c>
      <c r="L85" s="47">
        <f>H85/J85*100</f>
        <v>0</v>
      </c>
      <c r="M85" s="47">
        <f>I85/J85*100</f>
        <v>15.789473684210526</v>
      </c>
      <c r="N85" s="68">
        <f>SUM(K85:M85)</f>
        <v>73.684210526315795</v>
      </c>
      <c r="O85" s="46">
        <v>45</v>
      </c>
      <c r="P85" s="47"/>
      <c r="Q85" s="47">
        <v>6.1</v>
      </c>
      <c r="R85" s="48">
        <f t="shared" si="9"/>
        <v>51.1</v>
      </c>
      <c r="S85" s="29">
        <v>2</v>
      </c>
      <c r="T85" s="286"/>
      <c r="U85" s="295"/>
      <c r="V85" s="38" t="s">
        <v>957</v>
      </c>
      <c r="W85" s="29" t="s">
        <v>306</v>
      </c>
      <c r="X85" s="29" t="s">
        <v>11</v>
      </c>
      <c r="Y85" s="39">
        <v>45</v>
      </c>
      <c r="Z85" s="29" t="s">
        <v>937</v>
      </c>
      <c r="AA85" s="29" t="s">
        <v>869</v>
      </c>
      <c r="AB85" s="29" t="s">
        <v>12</v>
      </c>
      <c r="AC85" s="29">
        <v>6.1</v>
      </c>
      <c r="AD85" s="38"/>
      <c r="AG85" s="39"/>
      <c r="AL85" s="38"/>
      <c r="AO85" s="39"/>
      <c r="AP85" s="38"/>
      <c r="AS85" s="39"/>
      <c r="AW85" s="39"/>
      <c r="BA85" s="40"/>
    </row>
    <row r="86" spans="1:53" s="29" customFormat="1" x14ac:dyDescent="0.15">
      <c r="A86" s="29">
        <v>2014</v>
      </c>
      <c r="B86" s="303">
        <v>41807</v>
      </c>
      <c r="C86" s="411" t="s">
        <v>958</v>
      </c>
      <c r="D86" s="411"/>
      <c r="E86" s="29">
        <v>97</v>
      </c>
      <c r="F86" s="84">
        <v>0</v>
      </c>
      <c r="G86" s="66">
        <v>10</v>
      </c>
      <c r="I86" s="29">
        <v>3</v>
      </c>
      <c r="J86" s="73">
        <v>19</v>
      </c>
      <c r="K86" s="47">
        <f>G86/J86*100</f>
        <v>52.631578947368418</v>
      </c>
      <c r="L86" s="47">
        <f>H86/J86*100</f>
        <v>0</v>
      </c>
      <c r="M86" s="47">
        <f>I86/J86*100</f>
        <v>15.789473684210526</v>
      </c>
      <c r="N86" s="68">
        <f>SUM(K86:M86)</f>
        <v>68.421052631578945</v>
      </c>
      <c r="O86" s="46">
        <v>45</v>
      </c>
      <c r="P86" s="47"/>
      <c r="Q86" s="47">
        <v>6.1</v>
      </c>
      <c r="R86" s="48">
        <f t="shared" si="9"/>
        <v>51.1</v>
      </c>
      <c r="S86" s="29">
        <v>2</v>
      </c>
      <c r="T86" s="286"/>
      <c r="U86" s="295"/>
      <c r="V86" s="38" t="s">
        <v>957</v>
      </c>
      <c r="W86" s="29" t="s">
        <v>306</v>
      </c>
      <c r="X86" s="29" t="s">
        <v>11</v>
      </c>
      <c r="Y86" s="39">
        <v>45</v>
      </c>
      <c r="Z86" s="29" t="s">
        <v>937</v>
      </c>
      <c r="AA86" s="29" t="s">
        <v>869</v>
      </c>
      <c r="AB86" s="29" t="s">
        <v>12</v>
      </c>
      <c r="AC86" s="29">
        <v>6.1</v>
      </c>
      <c r="AD86" s="38"/>
      <c r="AG86" s="39"/>
      <c r="AL86" s="38"/>
      <c r="AO86" s="39"/>
      <c r="AP86" s="38"/>
      <c r="AS86" s="39"/>
      <c r="AW86" s="39"/>
      <c r="BA86" s="40"/>
    </row>
    <row r="87" spans="1:53" s="171" customFormat="1" x14ac:dyDescent="0.15">
      <c r="A87" s="171">
        <v>2014</v>
      </c>
      <c r="B87" s="306">
        <v>41904</v>
      </c>
      <c r="C87" s="410" t="s">
        <v>1300</v>
      </c>
      <c r="D87" s="410"/>
      <c r="E87" s="171">
        <v>101</v>
      </c>
      <c r="F87" s="171">
        <v>2</v>
      </c>
      <c r="G87" s="233">
        <v>11</v>
      </c>
      <c r="I87" s="171">
        <v>3</v>
      </c>
      <c r="J87" s="241">
        <v>19</v>
      </c>
      <c r="K87" s="214">
        <f>G87/J87*100</f>
        <v>57.894736842105267</v>
      </c>
      <c r="L87" s="214">
        <f>H87/J87*100</f>
        <v>0</v>
      </c>
      <c r="M87" s="214">
        <f>I87/J87*100</f>
        <v>15.789473684210526</v>
      </c>
      <c r="N87" s="235">
        <f>SUM(K87:M87)</f>
        <v>73.684210526315795</v>
      </c>
      <c r="O87" s="213">
        <v>44</v>
      </c>
      <c r="P87" s="214"/>
      <c r="Q87" s="214">
        <v>7</v>
      </c>
      <c r="R87" s="215">
        <f t="shared" si="9"/>
        <v>51</v>
      </c>
      <c r="S87" s="171">
        <v>2</v>
      </c>
      <c r="T87" s="285"/>
      <c r="U87" s="306">
        <v>41904</v>
      </c>
      <c r="V87" s="178" t="s">
        <v>957</v>
      </c>
      <c r="W87" s="171" t="s">
        <v>306</v>
      </c>
      <c r="X87" s="171" t="s">
        <v>11</v>
      </c>
      <c r="Y87" s="179">
        <v>44</v>
      </c>
      <c r="Z87" s="178" t="s">
        <v>937</v>
      </c>
      <c r="AA87" s="171" t="s">
        <v>869</v>
      </c>
      <c r="AB87" s="171" t="s">
        <v>12</v>
      </c>
      <c r="AC87" s="171">
        <v>7</v>
      </c>
      <c r="AD87" s="178"/>
      <c r="AG87" s="179"/>
      <c r="AL87" s="178"/>
      <c r="AO87" s="179"/>
      <c r="AP87" s="178"/>
      <c r="AS87" s="179"/>
      <c r="AW87" s="179"/>
      <c r="BA87" s="180"/>
    </row>
    <row r="88" spans="1:53" s="171" customFormat="1" x14ac:dyDescent="0.15">
      <c r="A88" s="171">
        <v>2015</v>
      </c>
      <c r="B88" s="306"/>
      <c r="C88" s="410" t="s">
        <v>1300</v>
      </c>
      <c r="D88" s="410"/>
      <c r="E88" s="171">
        <v>166</v>
      </c>
      <c r="G88" s="233">
        <v>11</v>
      </c>
      <c r="I88" s="171">
        <v>3</v>
      </c>
      <c r="J88" s="241">
        <v>19</v>
      </c>
      <c r="K88" s="214">
        <f t="shared" ref="K88:K93" si="10">G88/J88*100</f>
        <v>57.894736842105267</v>
      </c>
      <c r="L88" s="214">
        <f t="shared" ref="L88:L93" si="11">H88/J88*100</f>
        <v>0</v>
      </c>
      <c r="M88" s="214">
        <f t="shared" ref="M88:M93" si="12">I88/J88*100</f>
        <v>15.789473684210526</v>
      </c>
      <c r="N88" s="235">
        <f t="shared" ref="N88:N93" si="13">SUM(K88:M88)</f>
        <v>73.684210526315795</v>
      </c>
      <c r="O88" s="213">
        <v>44</v>
      </c>
      <c r="P88" s="214"/>
      <c r="Q88" s="214">
        <v>7</v>
      </c>
      <c r="R88" s="215">
        <f t="shared" ref="R88:R89" si="14">SUM(O88:Q88)</f>
        <v>51</v>
      </c>
      <c r="S88" s="171">
        <v>2</v>
      </c>
      <c r="T88" s="285"/>
      <c r="U88" s="306"/>
      <c r="V88" s="178" t="s">
        <v>957</v>
      </c>
      <c r="W88" s="171" t="s">
        <v>306</v>
      </c>
      <c r="X88" s="171" t="s">
        <v>11</v>
      </c>
      <c r="Y88" s="179">
        <v>44</v>
      </c>
      <c r="Z88" s="178" t="s">
        <v>937</v>
      </c>
      <c r="AA88" s="171" t="s">
        <v>869</v>
      </c>
      <c r="AB88" s="171" t="s">
        <v>12</v>
      </c>
      <c r="AC88" s="171">
        <v>7</v>
      </c>
      <c r="AD88" s="178"/>
      <c r="AG88" s="179"/>
      <c r="AL88" s="178"/>
      <c r="AO88" s="179"/>
      <c r="AP88" s="178"/>
      <c r="AS88" s="179"/>
      <c r="AW88" s="179"/>
      <c r="BA88" s="180"/>
    </row>
    <row r="89" spans="1:53" s="171" customFormat="1" x14ac:dyDescent="0.15">
      <c r="A89" s="171">
        <v>2015</v>
      </c>
      <c r="B89" s="305">
        <v>42171</v>
      </c>
      <c r="C89" s="410" t="s">
        <v>1300</v>
      </c>
      <c r="D89" s="410"/>
      <c r="E89" s="171">
        <v>153</v>
      </c>
      <c r="F89" s="244">
        <v>0</v>
      </c>
      <c r="G89" s="233">
        <v>9</v>
      </c>
      <c r="I89" s="171">
        <v>3</v>
      </c>
      <c r="J89" s="241">
        <v>19</v>
      </c>
      <c r="K89" s="214">
        <f t="shared" si="10"/>
        <v>47.368421052631575</v>
      </c>
      <c r="L89" s="214">
        <f t="shared" si="11"/>
        <v>0</v>
      </c>
      <c r="M89" s="214">
        <f t="shared" si="12"/>
        <v>15.789473684210526</v>
      </c>
      <c r="N89" s="235">
        <f t="shared" si="13"/>
        <v>63.157894736842103</v>
      </c>
      <c r="O89" s="213">
        <v>44</v>
      </c>
      <c r="P89" s="214"/>
      <c r="Q89" s="214">
        <v>7</v>
      </c>
      <c r="R89" s="215">
        <f t="shared" si="14"/>
        <v>51</v>
      </c>
      <c r="S89" s="171">
        <v>2</v>
      </c>
      <c r="T89" s="285"/>
      <c r="U89" s="306"/>
      <c r="V89" s="178" t="s">
        <v>957</v>
      </c>
      <c r="W89" s="171" t="s">
        <v>306</v>
      </c>
      <c r="X89" s="171" t="s">
        <v>11</v>
      </c>
      <c r="Y89" s="179">
        <v>44</v>
      </c>
      <c r="Z89" s="178" t="s">
        <v>937</v>
      </c>
      <c r="AA89" s="171" t="s">
        <v>869</v>
      </c>
      <c r="AB89" s="171" t="s">
        <v>12</v>
      </c>
      <c r="AC89" s="171">
        <v>7</v>
      </c>
      <c r="AD89" s="178"/>
      <c r="AG89" s="179"/>
      <c r="AL89" s="178"/>
      <c r="AO89" s="179"/>
      <c r="AP89" s="178"/>
      <c r="AS89" s="179"/>
      <c r="AW89" s="179"/>
      <c r="BA89" s="180"/>
    </row>
    <row r="90" spans="1:53" s="29" customFormat="1" x14ac:dyDescent="0.15">
      <c r="A90" s="29">
        <v>2015</v>
      </c>
      <c r="B90" s="295">
        <v>42324</v>
      </c>
      <c r="C90" s="411" t="s">
        <v>1324</v>
      </c>
      <c r="D90" s="411"/>
      <c r="E90" s="29">
        <v>46</v>
      </c>
      <c r="F90" s="29">
        <v>1</v>
      </c>
      <c r="G90" s="66">
        <v>18</v>
      </c>
      <c r="J90" s="73">
        <v>24</v>
      </c>
      <c r="K90" s="47">
        <f t="shared" si="10"/>
        <v>75</v>
      </c>
      <c r="L90" s="47">
        <f t="shared" si="11"/>
        <v>0</v>
      </c>
      <c r="M90" s="47">
        <f t="shared" si="12"/>
        <v>0</v>
      </c>
      <c r="N90" s="68">
        <f t="shared" si="13"/>
        <v>75</v>
      </c>
      <c r="O90" s="46">
        <v>51.1</v>
      </c>
      <c r="P90" s="47"/>
      <c r="Q90" s="47"/>
      <c r="R90" s="48">
        <v>51.1</v>
      </c>
      <c r="S90" s="29">
        <v>1</v>
      </c>
      <c r="T90" s="286">
        <v>42302</v>
      </c>
      <c r="U90" s="295">
        <v>42324</v>
      </c>
      <c r="V90" s="38" t="s">
        <v>1325</v>
      </c>
      <c r="W90" s="29" t="s">
        <v>1135</v>
      </c>
      <c r="X90" s="29" t="s">
        <v>11</v>
      </c>
      <c r="Y90" s="39">
        <v>51.1</v>
      </c>
      <c r="Z90" s="38"/>
      <c r="AD90" s="38"/>
      <c r="AG90" s="39"/>
      <c r="AL90" s="38"/>
      <c r="AO90" s="39"/>
      <c r="AP90" s="38"/>
      <c r="AS90" s="39"/>
      <c r="AW90" s="39"/>
      <c r="BA90" s="40"/>
    </row>
    <row r="91" spans="1:53" s="29" customFormat="1" x14ac:dyDescent="0.15">
      <c r="A91" s="29">
        <v>2016</v>
      </c>
      <c r="B91" s="295"/>
      <c r="C91" s="411" t="s">
        <v>1324</v>
      </c>
      <c r="D91" s="411"/>
      <c r="E91" s="29">
        <v>258</v>
      </c>
      <c r="G91" s="66">
        <v>18</v>
      </c>
      <c r="J91" s="73">
        <v>24</v>
      </c>
      <c r="K91" s="47">
        <f t="shared" si="10"/>
        <v>75</v>
      </c>
      <c r="L91" s="47">
        <f t="shared" si="11"/>
        <v>0</v>
      </c>
      <c r="M91" s="47">
        <f t="shared" si="12"/>
        <v>0</v>
      </c>
      <c r="N91" s="68">
        <f t="shared" si="13"/>
        <v>75</v>
      </c>
      <c r="O91" s="46">
        <v>51.1</v>
      </c>
      <c r="P91" s="47"/>
      <c r="Q91" s="47"/>
      <c r="R91" s="48">
        <v>51.1</v>
      </c>
      <c r="S91" s="29">
        <v>1</v>
      </c>
      <c r="T91" s="286"/>
      <c r="U91" s="295"/>
      <c r="V91" s="38" t="s">
        <v>1325</v>
      </c>
      <c r="W91" s="29" t="s">
        <v>1135</v>
      </c>
      <c r="X91" s="29" t="s">
        <v>11</v>
      </c>
      <c r="Y91" s="39">
        <v>51.1</v>
      </c>
      <c r="Z91" s="38"/>
      <c r="AD91" s="38"/>
      <c r="AG91" s="39"/>
      <c r="AL91" s="38"/>
      <c r="AO91" s="39"/>
      <c r="AP91" s="38"/>
      <c r="AS91" s="39"/>
      <c r="AW91" s="39"/>
      <c r="BA91" s="40"/>
    </row>
    <row r="92" spans="1:53" s="29" customFormat="1" x14ac:dyDescent="0.15">
      <c r="A92" s="29">
        <v>2016</v>
      </c>
      <c r="B92" s="307">
        <v>42628</v>
      </c>
      <c r="C92" s="411" t="s">
        <v>1324</v>
      </c>
      <c r="D92" s="411"/>
      <c r="E92" s="29">
        <v>13</v>
      </c>
      <c r="F92" s="121">
        <v>0</v>
      </c>
      <c r="G92" s="66">
        <v>17</v>
      </c>
      <c r="J92" s="73">
        <v>23</v>
      </c>
      <c r="K92" s="47">
        <f t="shared" si="10"/>
        <v>73.91304347826086</v>
      </c>
      <c r="L92" s="47">
        <f t="shared" si="11"/>
        <v>0</v>
      </c>
      <c r="M92" s="47">
        <f t="shared" si="12"/>
        <v>0</v>
      </c>
      <c r="N92" s="68">
        <f t="shared" si="13"/>
        <v>73.91304347826086</v>
      </c>
      <c r="O92" s="46">
        <v>51.1</v>
      </c>
      <c r="P92" s="47"/>
      <c r="Q92" s="47"/>
      <c r="R92" s="48">
        <v>51.1</v>
      </c>
      <c r="S92" s="29">
        <v>1</v>
      </c>
      <c r="T92" s="286"/>
      <c r="U92" s="295"/>
      <c r="V92" s="38" t="s">
        <v>1325</v>
      </c>
      <c r="W92" s="29" t="s">
        <v>1135</v>
      </c>
      <c r="X92" s="29" t="s">
        <v>11</v>
      </c>
      <c r="Y92" s="39">
        <v>51.1</v>
      </c>
      <c r="Z92" s="38"/>
      <c r="AD92" s="38"/>
      <c r="AG92" s="39"/>
      <c r="AL92" s="38"/>
      <c r="AO92" s="39"/>
      <c r="AP92" s="38"/>
      <c r="AS92" s="39"/>
      <c r="AW92" s="39"/>
      <c r="BA92" s="40"/>
    </row>
    <row r="93" spans="1:53" s="29" customFormat="1" x14ac:dyDescent="0.15">
      <c r="A93" s="29">
        <v>2016</v>
      </c>
      <c r="B93" s="307">
        <v>42641</v>
      </c>
      <c r="C93" s="411" t="s">
        <v>1324</v>
      </c>
      <c r="D93" s="411"/>
      <c r="E93" s="29">
        <v>95</v>
      </c>
      <c r="F93" s="121">
        <v>0</v>
      </c>
      <c r="G93" s="66">
        <v>17</v>
      </c>
      <c r="J93" s="73">
        <v>22</v>
      </c>
      <c r="K93" s="47">
        <f t="shared" si="10"/>
        <v>77.272727272727266</v>
      </c>
      <c r="L93" s="47">
        <f t="shared" si="11"/>
        <v>0</v>
      </c>
      <c r="M93" s="47">
        <f t="shared" si="12"/>
        <v>0</v>
      </c>
      <c r="N93" s="68">
        <f t="shared" si="13"/>
        <v>77.272727272727266</v>
      </c>
      <c r="O93" s="46">
        <v>51.1</v>
      </c>
      <c r="P93" s="47"/>
      <c r="Q93" s="47"/>
      <c r="R93" s="48">
        <v>51.1</v>
      </c>
      <c r="S93" s="29">
        <v>1</v>
      </c>
      <c r="T93" s="286"/>
      <c r="U93" s="295"/>
      <c r="V93" s="38" t="s">
        <v>1325</v>
      </c>
      <c r="W93" s="29" t="s">
        <v>1135</v>
      </c>
      <c r="X93" s="29" t="s">
        <v>11</v>
      </c>
      <c r="Y93" s="39">
        <v>51.1</v>
      </c>
      <c r="Z93" s="38"/>
      <c r="AD93" s="38"/>
      <c r="AG93" s="39"/>
      <c r="AL93" s="38"/>
      <c r="AO93" s="39"/>
      <c r="AP93" s="38"/>
      <c r="AS93" s="39"/>
      <c r="AW93" s="39"/>
      <c r="BA93" s="40"/>
    </row>
    <row r="94" spans="1:53" s="29" customFormat="1" x14ac:dyDescent="0.15">
      <c r="A94" s="29">
        <v>2017</v>
      </c>
      <c r="B94" s="307"/>
      <c r="C94" s="411" t="s">
        <v>1324</v>
      </c>
      <c r="D94" s="411"/>
      <c r="E94" s="29">
        <v>344</v>
      </c>
      <c r="F94" s="121"/>
      <c r="G94" s="66">
        <v>17</v>
      </c>
      <c r="J94" s="73">
        <v>22</v>
      </c>
      <c r="K94" s="47">
        <f t="shared" ref="K94:K97" si="15">G94/J94*100</f>
        <v>77.272727272727266</v>
      </c>
      <c r="L94" s="47">
        <f t="shared" ref="L94:L97" si="16">H94/J94*100</f>
        <v>0</v>
      </c>
      <c r="M94" s="47">
        <f t="shared" ref="M94:M97" si="17">I94/J94*100</f>
        <v>0</v>
      </c>
      <c r="N94" s="68">
        <f t="shared" ref="N94:N97" si="18">SUM(K94:M94)</f>
        <v>77.272727272727266</v>
      </c>
      <c r="O94" s="46">
        <v>51.1</v>
      </c>
      <c r="P94" s="47"/>
      <c r="Q94" s="47"/>
      <c r="R94" s="48">
        <v>51.1</v>
      </c>
      <c r="S94" s="29">
        <v>1</v>
      </c>
      <c r="T94" s="286"/>
      <c r="U94" s="295"/>
      <c r="V94" s="38" t="s">
        <v>1325</v>
      </c>
      <c r="W94" s="29" t="s">
        <v>1135</v>
      </c>
      <c r="X94" s="29" t="s">
        <v>11</v>
      </c>
      <c r="Y94" s="39">
        <v>51.1</v>
      </c>
      <c r="Z94" s="38"/>
      <c r="AD94" s="38"/>
      <c r="AG94" s="39"/>
      <c r="AL94" s="38"/>
      <c r="AO94" s="39"/>
      <c r="AP94" s="38"/>
      <c r="AS94" s="39"/>
      <c r="AW94" s="39"/>
      <c r="BA94" s="40"/>
    </row>
    <row r="95" spans="1:53" s="171" customFormat="1" x14ac:dyDescent="0.15">
      <c r="A95" s="171">
        <v>2017</v>
      </c>
      <c r="B95" s="283">
        <v>43080</v>
      </c>
      <c r="C95" s="410" t="s">
        <v>1381</v>
      </c>
      <c r="D95" s="410"/>
      <c r="E95" s="171">
        <v>21</v>
      </c>
      <c r="F95" s="171">
        <v>2</v>
      </c>
      <c r="G95" s="233">
        <v>17</v>
      </c>
      <c r="J95" s="241">
        <v>22</v>
      </c>
      <c r="K95" s="214">
        <f t="shared" si="15"/>
        <v>77.272727272727266</v>
      </c>
      <c r="L95" s="214">
        <f t="shared" si="16"/>
        <v>0</v>
      </c>
      <c r="M95" s="214">
        <f t="shared" si="17"/>
        <v>0</v>
      </c>
      <c r="N95" s="235">
        <f t="shared" si="18"/>
        <v>77.272727272727266</v>
      </c>
      <c r="O95" s="213">
        <v>51.5</v>
      </c>
      <c r="P95" s="214"/>
      <c r="Q95" s="214"/>
      <c r="R95" s="215">
        <v>51.5</v>
      </c>
      <c r="S95" s="171">
        <v>1</v>
      </c>
      <c r="T95" s="285"/>
      <c r="U95" s="283">
        <v>43080</v>
      </c>
      <c r="V95" s="178" t="s">
        <v>1325</v>
      </c>
      <c r="W95" s="171" t="s">
        <v>1135</v>
      </c>
      <c r="X95" s="171" t="s">
        <v>11</v>
      </c>
      <c r="Y95" s="179">
        <v>51.1</v>
      </c>
      <c r="Z95" s="178"/>
      <c r="AD95" s="178"/>
      <c r="AG95" s="179"/>
      <c r="AL95" s="178"/>
      <c r="AO95" s="179"/>
      <c r="AP95" s="178"/>
      <c r="AS95" s="179"/>
      <c r="AW95" s="179"/>
      <c r="BA95" s="180"/>
    </row>
    <row r="96" spans="1:53" s="171" customFormat="1" x14ac:dyDescent="0.15">
      <c r="A96" s="171">
        <v>2018</v>
      </c>
      <c r="B96" s="283"/>
      <c r="C96" s="410" t="s">
        <v>1381</v>
      </c>
      <c r="D96" s="410"/>
      <c r="E96" s="171">
        <v>8</v>
      </c>
      <c r="G96" s="233">
        <v>17</v>
      </c>
      <c r="J96" s="241">
        <v>22</v>
      </c>
      <c r="K96" s="214">
        <f t="shared" si="15"/>
        <v>77.272727272727266</v>
      </c>
      <c r="L96" s="214">
        <f t="shared" si="16"/>
        <v>0</v>
      </c>
      <c r="M96" s="214">
        <f t="shared" si="17"/>
        <v>0</v>
      </c>
      <c r="N96" s="235">
        <f t="shared" si="18"/>
        <v>77.272727272727266</v>
      </c>
      <c r="O96" s="213">
        <v>51.5</v>
      </c>
      <c r="P96" s="214"/>
      <c r="Q96" s="214"/>
      <c r="R96" s="215">
        <v>51.5</v>
      </c>
      <c r="S96" s="171">
        <v>1</v>
      </c>
      <c r="T96" s="285"/>
      <c r="U96" s="283"/>
      <c r="V96" s="178" t="s">
        <v>1325</v>
      </c>
      <c r="W96" s="171" t="s">
        <v>1135</v>
      </c>
      <c r="X96" s="171" t="s">
        <v>11</v>
      </c>
      <c r="Y96" s="179">
        <v>51.1</v>
      </c>
      <c r="Z96" s="178"/>
      <c r="AD96" s="178"/>
      <c r="AG96" s="179"/>
      <c r="AL96" s="178"/>
      <c r="AO96" s="179"/>
      <c r="AP96" s="178"/>
      <c r="AS96" s="179"/>
      <c r="AW96" s="179"/>
      <c r="BA96" s="180"/>
    </row>
    <row r="97" spans="1:53" s="171" customFormat="1" x14ac:dyDescent="0.15">
      <c r="A97" s="171">
        <v>2018</v>
      </c>
      <c r="B97" s="310">
        <v>43109</v>
      </c>
      <c r="C97" s="410" t="s">
        <v>1381</v>
      </c>
      <c r="D97" s="410"/>
      <c r="E97" s="171">
        <v>357</v>
      </c>
      <c r="F97" s="252">
        <v>0</v>
      </c>
      <c r="G97" s="233">
        <v>16</v>
      </c>
      <c r="J97" s="241">
        <v>23</v>
      </c>
      <c r="K97" s="214">
        <f t="shared" si="15"/>
        <v>69.565217391304344</v>
      </c>
      <c r="L97" s="214">
        <f t="shared" si="16"/>
        <v>0</v>
      </c>
      <c r="M97" s="214">
        <f t="shared" si="17"/>
        <v>0</v>
      </c>
      <c r="N97" s="235">
        <f t="shared" si="18"/>
        <v>69.565217391304344</v>
      </c>
      <c r="O97" s="213">
        <v>51.5</v>
      </c>
      <c r="P97" s="214"/>
      <c r="Q97" s="214"/>
      <c r="R97" s="215">
        <v>51.5</v>
      </c>
      <c r="S97" s="171">
        <v>1</v>
      </c>
      <c r="T97" s="285"/>
      <c r="U97" s="283"/>
      <c r="V97" s="178" t="s">
        <v>1325</v>
      </c>
      <c r="W97" s="171" t="s">
        <v>1135</v>
      </c>
      <c r="X97" s="171" t="s">
        <v>11</v>
      </c>
      <c r="Y97" s="179">
        <v>51.1</v>
      </c>
      <c r="Z97" s="178"/>
      <c r="AC97" s="179"/>
      <c r="AG97" s="179"/>
      <c r="AK97" s="179"/>
      <c r="AO97" s="179"/>
      <c r="AS97" s="179"/>
      <c r="AW97" s="179"/>
      <c r="BA97" s="180"/>
    </row>
    <row r="98" spans="1:53" s="171" customFormat="1" x14ac:dyDescent="0.15">
      <c r="A98" s="171">
        <v>2019</v>
      </c>
      <c r="B98" s="310"/>
      <c r="C98" s="410" t="s">
        <v>1381</v>
      </c>
      <c r="D98" s="410"/>
      <c r="E98" s="171">
        <v>153</v>
      </c>
      <c r="F98" s="252"/>
      <c r="G98" s="233">
        <v>16</v>
      </c>
      <c r="J98" s="241">
        <v>23</v>
      </c>
      <c r="K98" s="214">
        <f t="shared" ref="K98:K104" si="19">G98/J98*100</f>
        <v>69.565217391304344</v>
      </c>
      <c r="L98" s="214">
        <f t="shared" ref="L98:L104" si="20">H98/J98*100</f>
        <v>0</v>
      </c>
      <c r="M98" s="214">
        <f t="shared" ref="M98:M104" si="21">I98/J98*100</f>
        <v>0</v>
      </c>
      <c r="N98" s="235">
        <f t="shared" ref="N98:N104" si="22">SUM(K98:M98)</f>
        <v>69.565217391304344</v>
      </c>
      <c r="O98" s="213">
        <v>51.5</v>
      </c>
      <c r="P98" s="214"/>
      <c r="Q98" s="214"/>
      <c r="R98" s="215">
        <v>51.5</v>
      </c>
      <c r="S98" s="171">
        <v>1</v>
      </c>
      <c r="T98" s="285"/>
      <c r="U98" s="283"/>
      <c r="V98" s="178" t="s">
        <v>1325</v>
      </c>
      <c r="W98" s="171" t="s">
        <v>1135</v>
      </c>
      <c r="X98" s="171" t="s">
        <v>11</v>
      </c>
      <c r="Y98" s="179">
        <v>51.1</v>
      </c>
      <c r="Z98" s="178"/>
      <c r="AC98" s="179"/>
      <c r="AG98" s="179"/>
      <c r="AK98" s="179"/>
      <c r="AO98" s="179"/>
      <c r="AS98" s="179"/>
      <c r="AW98" s="179"/>
      <c r="BA98" s="180"/>
    </row>
    <row r="99" spans="1:53" s="171" customFormat="1" x14ac:dyDescent="0.15">
      <c r="A99" s="171">
        <v>2019</v>
      </c>
      <c r="B99" s="310">
        <v>43619</v>
      </c>
      <c r="C99" s="410" t="s">
        <v>1381</v>
      </c>
      <c r="D99" s="410"/>
      <c r="E99" s="171">
        <v>88</v>
      </c>
      <c r="F99" s="252">
        <v>0</v>
      </c>
      <c r="G99" s="233">
        <v>15</v>
      </c>
      <c r="J99" s="241">
        <v>22</v>
      </c>
      <c r="K99" s="214">
        <f t="shared" ref="K99" si="23">G99/J99*100</f>
        <v>68.181818181818173</v>
      </c>
      <c r="L99" s="214">
        <f t="shared" ref="L99" si="24">H99/J99*100</f>
        <v>0</v>
      </c>
      <c r="M99" s="214">
        <f t="shared" ref="M99" si="25">I99/J99*100</f>
        <v>0</v>
      </c>
      <c r="N99" s="235">
        <f t="shared" ref="N99" si="26">SUM(K99:M99)</f>
        <v>68.181818181818173</v>
      </c>
      <c r="O99" s="213">
        <v>51.5</v>
      </c>
      <c r="P99" s="214"/>
      <c r="Q99" s="214"/>
      <c r="R99" s="215">
        <v>51.5</v>
      </c>
      <c r="S99" s="171">
        <v>1</v>
      </c>
      <c r="T99" s="285"/>
      <c r="U99" s="283"/>
      <c r="V99" s="178" t="s">
        <v>1325</v>
      </c>
      <c r="W99" s="171" t="s">
        <v>1135</v>
      </c>
      <c r="X99" s="171" t="s">
        <v>11</v>
      </c>
      <c r="Y99" s="179">
        <v>51.1</v>
      </c>
      <c r="Z99" s="178"/>
      <c r="AC99" s="179"/>
      <c r="AG99" s="179"/>
      <c r="AK99" s="179"/>
      <c r="AO99" s="179"/>
      <c r="AS99" s="179"/>
      <c r="AW99" s="179"/>
      <c r="BA99" s="180"/>
    </row>
    <row r="100" spans="1:53" s="171" customFormat="1" x14ac:dyDescent="0.15">
      <c r="A100" s="171">
        <v>2019</v>
      </c>
      <c r="B100" s="310">
        <v>43707</v>
      </c>
      <c r="C100" s="410" t="s">
        <v>1381</v>
      </c>
      <c r="D100" s="410"/>
      <c r="E100" s="171">
        <v>77</v>
      </c>
      <c r="F100" s="252">
        <v>0</v>
      </c>
      <c r="G100" s="233">
        <v>15</v>
      </c>
      <c r="J100" s="241">
        <v>21</v>
      </c>
      <c r="K100" s="214">
        <f t="shared" si="19"/>
        <v>71.428571428571431</v>
      </c>
      <c r="L100" s="214">
        <f t="shared" si="20"/>
        <v>0</v>
      </c>
      <c r="M100" s="214">
        <f t="shared" si="21"/>
        <v>0</v>
      </c>
      <c r="N100" s="235">
        <f t="shared" si="22"/>
        <v>71.428571428571431</v>
      </c>
      <c r="O100" s="213">
        <v>51.5</v>
      </c>
      <c r="P100" s="214"/>
      <c r="Q100" s="214"/>
      <c r="R100" s="215">
        <v>51.5</v>
      </c>
      <c r="S100" s="171">
        <v>1</v>
      </c>
      <c r="T100" s="285"/>
      <c r="U100" s="283"/>
      <c r="V100" s="178" t="s">
        <v>1325</v>
      </c>
      <c r="W100" s="171" t="s">
        <v>1135</v>
      </c>
      <c r="X100" s="171" t="s">
        <v>11</v>
      </c>
      <c r="Y100" s="179">
        <v>51.1</v>
      </c>
      <c r="Z100" s="178"/>
      <c r="AC100" s="179"/>
      <c r="AG100" s="179"/>
      <c r="AK100" s="179"/>
      <c r="AO100" s="179"/>
      <c r="AS100" s="179"/>
      <c r="AW100" s="179"/>
      <c r="BA100" s="180"/>
    </row>
    <row r="101" spans="1:53" s="29" customFormat="1" x14ac:dyDescent="0.15">
      <c r="A101" s="29">
        <v>2019</v>
      </c>
      <c r="B101" s="295">
        <v>43784</v>
      </c>
      <c r="C101" s="411" t="s">
        <v>1426</v>
      </c>
      <c r="D101" s="411"/>
      <c r="E101" s="29">
        <v>47</v>
      </c>
      <c r="F101" s="29">
        <v>1</v>
      </c>
      <c r="G101" s="66">
        <v>17</v>
      </c>
      <c r="J101" s="73">
        <v>24</v>
      </c>
      <c r="K101" s="47">
        <f t="shared" si="19"/>
        <v>70.833333333333343</v>
      </c>
      <c r="L101" s="47">
        <f t="shared" si="20"/>
        <v>0</v>
      </c>
      <c r="M101" s="47">
        <f t="shared" si="21"/>
        <v>0</v>
      </c>
      <c r="N101" s="68">
        <f t="shared" si="22"/>
        <v>70.833333333333343</v>
      </c>
      <c r="O101" s="46">
        <v>51.5</v>
      </c>
      <c r="P101" s="47"/>
      <c r="Q101" s="47"/>
      <c r="R101" s="48">
        <f>SUM(O101:Q101)</f>
        <v>51.5</v>
      </c>
      <c r="S101" s="37">
        <v>1</v>
      </c>
      <c r="T101" s="321">
        <v>43751</v>
      </c>
      <c r="U101" s="295">
        <v>43784</v>
      </c>
      <c r="V101" s="38" t="s">
        <v>1325</v>
      </c>
      <c r="W101" s="29" t="s">
        <v>1135</v>
      </c>
      <c r="X101" s="29" t="s">
        <v>11</v>
      </c>
      <c r="Y101" s="39">
        <v>51.1</v>
      </c>
      <c r="AC101" s="39"/>
      <c r="AG101" s="39"/>
      <c r="AK101" s="39"/>
      <c r="AO101" s="39"/>
      <c r="AS101" s="39"/>
      <c r="AW101" s="39"/>
      <c r="BA101" s="40"/>
    </row>
    <row r="102" spans="1:53" s="29" customFormat="1" x14ac:dyDescent="0.15">
      <c r="A102" s="29">
        <v>2020</v>
      </c>
      <c r="B102" s="295"/>
      <c r="C102" s="411" t="s">
        <v>1426</v>
      </c>
      <c r="D102" s="411"/>
      <c r="E102" s="29">
        <v>238</v>
      </c>
      <c r="F102" s="40"/>
      <c r="G102" s="29">
        <v>17</v>
      </c>
      <c r="J102" s="73">
        <v>24</v>
      </c>
      <c r="K102" s="47">
        <f t="shared" si="19"/>
        <v>70.833333333333343</v>
      </c>
      <c r="L102" s="47">
        <f t="shared" si="20"/>
        <v>0</v>
      </c>
      <c r="M102" s="47">
        <f t="shared" si="21"/>
        <v>0</v>
      </c>
      <c r="N102" s="48">
        <f t="shared" si="22"/>
        <v>70.833333333333343</v>
      </c>
      <c r="O102" s="47">
        <v>51.5</v>
      </c>
      <c r="P102" s="47"/>
      <c r="Q102" s="47"/>
      <c r="R102" s="48">
        <f>SUM(O102:Q102)</f>
        <v>51.5</v>
      </c>
      <c r="S102" s="37">
        <v>1</v>
      </c>
      <c r="T102" s="286"/>
      <c r="U102" s="292"/>
      <c r="V102" s="29" t="s">
        <v>1325</v>
      </c>
      <c r="W102" s="29" t="s">
        <v>1135</v>
      </c>
      <c r="X102" s="29" t="s">
        <v>11</v>
      </c>
      <c r="Y102" s="39">
        <v>51.1</v>
      </c>
      <c r="AC102" s="39"/>
      <c r="AG102" s="39"/>
      <c r="AK102" s="39"/>
      <c r="AO102" s="39"/>
      <c r="AS102" s="39"/>
      <c r="AW102" s="39"/>
      <c r="BA102" s="40"/>
    </row>
    <row r="103" spans="1:53" s="29" customFormat="1" x14ac:dyDescent="0.15">
      <c r="A103" s="29">
        <v>2020</v>
      </c>
      <c r="B103" s="303">
        <v>44069</v>
      </c>
      <c r="C103" s="411" t="s">
        <v>1426</v>
      </c>
      <c r="D103" s="411"/>
      <c r="E103" s="29">
        <v>41</v>
      </c>
      <c r="F103" s="343">
        <v>0</v>
      </c>
      <c r="G103" s="29">
        <v>16</v>
      </c>
      <c r="J103" s="73">
        <v>24</v>
      </c>
      <c r="K103" s="47">
        <f t="shared" si="19"/>
        <v>66.666666666666657</v>
      </c>
      <c r="L103" s="47">
        <f t="shared" si="20"/>
        <v>0</v>
      </c>
      <c r="M103" s="47">
        <f t="shared" si="21"/>
        <v>0</v>
      </c>
      <c r="N103" s="48">
        <f t="shared" si="22"/>
        <v>66.666666666666657</v>
      </c>
      <c r="O103" s="47">
        <v>51.5</v>
      </c>
      <c r="P103" s="47"/>
      <c r="Q103" s="47"/>
      <c r="R103" s="48">
        <v>51.5</v>
      </c>
      <c r="S103" s="37">
        <v>1</v>
      </c>
      <c r="T103" s="286"/>
      <c r="U103" s="292"/>
      <c r="V103" s="29" t="s">
        <v>1325</v>
      </c>
      <c r="W103" s="29" t="s">
        <v>1135</v>
      </c>
      <c r="X103" s="29" t="s">
        <v>11</v>
      </c>
      <c r="Y103" s="39">
        <v>51.1</v>
      </c>
      <c r="AC103" s="39"/>
      <c r="AG103" s="39"/>
      <c r="AK103" s="39"/>
      <c r="AO103" s="39"/>
      <c r="AS103" s="39"/>
      <c r="AW103" s="39"/>
      <c r="BA103" s="40"/>
    </row>
    <row r="104" spans="1:53" s="29" customFormat="1" x14ac:dyDescent="0.15">
      <c r="A104" s="29">
        <v>2020</v>
      </c>
      <c r="B104" s="303">
        <v>44110</v>
      </c>
      <c r="C104" s="411" t="s">
        <v>1426</v>
      </c>
      <c r="D104" s="411"/>
      <c r="E104" s="29">
        <v>87</v>
      </c>
      <c r="F104" s="343">
        <v>0</v>
      </c>
      <c r="G104" s="29">
        <v>15</v>
      </c>
      <c r="J104" s="73">
        <v>21</v>
      </c>
      <c r="K104" s="47">
        <f t="shared" si="19"/>
        <v>71.428571428571431</v>
      </c>
      <c r="L104" s="47">
        <f t="shared" si="20"/>
        <v>0</v>
      </c>
      <c r="M104" s="47">
        <f t="shared" si="21"/>
        <v>0</v>
      </c>
      <c r="N104" s="48">
        <f t="shared" si="22"/>
        <v>71.428571428571431</v>
      </c>
      <c r="O104" s="47">
        <v>51.5</v>
      </c>
      <c r="P104" s="47"/>
      <c r="Q104" s="47"/>
      <c r="R104" s="48">
        <v>51.5</v>
      </c>
      <c r="S104" s="37">
        <v>1</v>
      </c>
      <c r="T104" s="286"/>
      <c r="U104" s="292"/>
      <c r="V104" s="29" t="s">
        <v>1325</v>
      </c>
      <c r="W104" s="29" t="s">
        <v>1135</v>
      </c>
      <c r="X104" s="29" t="s">
        <v>11</v>
      </c>
      <c r="Y104" s="39">
        <v>51.1</v>
      </c>
      <c r="AC104" s="39"/>
      <c r="AG104" s="39"/>
      <c r="AK104" s="39"/>
      <c r="AO104" s="39"/>
      <c r="AS104" s="39"/>
      <c r="AW104" s="39"/>
      <c r="BA104" s="40"/>
    </row>
    <row r="105" spans="1:53" x14ac:dyDescent="0.15">
      <c r="L105" s="12"/>
    </row>
    <row r="107" spans="1:53" ht="18" customHeight="1" x14ac:dyDescent="0.15">
      <c r="B107" s="16" t="s">
        <v>1264</v>
      </c>
    </row>
    <row r="108" spans="1:53" ht="9" customHeight="1" x14ac:dyDescent="0.15"/>
    <row r="109" spans="1:53" s="195" customFormat="1" ht="9" customHeight="1" x14ac:dyDescent="0.15">
      <c r="A109" s="193"/>
      <c r="B109" s="194" t="s">
        <v>1215</v>
      </c>
      <c r="C109" s="194"/>
      <c r="D109" s="194"/>
      <c r="E109" s="194"/>
      <c r="F109" s="194"/>
      <c r="G109" s="194" t="s">
        <v>1216</v>
      </c>
      <c r="H109" s="194"/>
      <c r="I109" s="194"/>
      <c r="J109" s="194"/>
      <c r="K109" s="194"/>
      <c r="L109" s="194"/>
      <c r="M109" s="194"/>
      <c r="N109" s="194"/>
      <c r="R109" s="388" t="s">
        <v>1217</v>
      </c>
      <c r="S109" s="388"/>
      <c r="T109" s="388"/>
      <c r="U109" s="388"/>
      <c r="V109" s="388"/>
      <c r="W109" s="388"/>
      <c r="X109" s="196"/>
      <c r="Y109" s="196"/>
      <c r="AA109" s="196"/>
      <c r="AB109" s="196"/>
      <c r="AC109" s="196"/>
      <c r="AD109" s="196"/>
    </row>
    <row r="110" spans="1:53" s="200" customFormat="1" ht="9" customHeight="1" x14ac:dyDescent="0.15">
      <c r="A110" s="197"/>
      <c r="B110" s="198" t="s">
        <v>1219</v>
      </c>
      <c r="C110" s="199"/>
      <c r="D110" s="199"/>
      <c r="E110" s="199"/>
      <c r="F110" s="199"/>
      <c r="G110" s="198" t="s">
        <v>1218</v>
      </c>
      <c r="H110" s="199"/>
      <c r="I110" s="199"/>
      <c r="J110" s="199"/>
      <c r="K110" s="199"/>
      <c r="L110" s="199"/>
      <c r="M110" s="199"/>
      <c r="N110" s="199"/>
      <c r="R110" s="201" t="s">
        <v>1220</v>
      </c>
      <c r="S110" s="202"/>
      <c r="T110" s="203"/>
      <c r="U110" s="203"/>
      <c r="V110" s="203"/>
      <c r="W110" s="201" t="s">
        <v>1221</v>
      </c>
      <c r="X110" s="203"/>
      <c r="Y110" s="203"/>
      <c r="AA110" s="203"/>
      <c r="AB110" s="203"/>
      <c r="AC110" s="203"/>
      <c r="AD110" s="203"/>
    </row>
    <row r="111" spans="1:53" s="186" customFormat="1" ht="12" customHeight="1" x14ac:dyDescent="0.15">
      <c r="A111" s="204" t="s">
        <v>3</v>
      </c>
      <c r="B111" s="205" t="s">
        <v>8</v>
      </c>
      <c r="C111" s="205" t="s">
        <v>9</v>
      </c>
      <c r="D111" s="205" t="s">
        <v>10</v>
      </c>
      <c r="E111" s="206" t="s">
        <v>1195</v>
      </c>
      <c r="F111" s="205"/>
      <c r="G111" s="186" t="s">
        <v>3</v>
      </c>
      <c r="H111" s="389" t="s">
        <v>0</v>
      </c>
      <c r="I111" s="389"/>
      <c r="J111" s="389" t="s">
        <v>1</v>
      </c>
      <c r="K111" s="389"/>
      <c r="L111" s="389" t="s">
        <v>2</v>
      </c>
      <c r="M111" s="389"/>
      <c r="N111" s="390" t="s">
        <v>1195</v>
      </c>
      <c r="O111" s="390"/>
      <c r="P111" s="207"/>
      <c r="Q111" s="207"/>
      <c r="R111" s="208" t="s">
        <v>3</v>
      </c>
      <c r="S111" s="209" t="s">
        <v>135</v>
      </c>
      <c r="T111" s="207" t="s">
        <v>133</v>
      </c>
      <c r="U111" s="205" t="s">
        <v>134</v>
      </c>
      <c r="V111" s="207"/>
      <c r="W111" s="210" t="s">
        <v>26</v>
      </c>
    </row>
    <row r="112" spans="1:53" x14ac:dyDescent="0.15">
      <c r="A112" s="14">
        <v>1990</v>
      </c>
      <c r="B112" s="5"/>
      <c r="C112" s="5"/>
      <c r="D112" s="5"/>
      <c r="E112" s="18"/>
      <c r="F112" s="5"/>
      <c r="G112" s="1">
        <v>1990</v>
      </c>
      <c r="H112" s="5"/>
      <c r="I112" s="5"/>
      <c r="J112" s="5"/>
      <c r="K112" s="5"/>
      <c r="L112" s="5"/>
      <c r="M112" s="5"/>
      <c r="N112" s="18"/>
      <c r="O112" s="18"/>
      <c r="P112" s="9"/>
      <c r="Q112" s="9"/>
      <c r="R112" s="1">
        <v>1990</v>
      </c>
      <c r="S112" s="9"/>
      <c r="T112" s="9"/>
      <c r="U112" s="5"/>
      <c r="V112" s="9"/>
      <c r="W112" s="115"/>
    </row>
    <row r="113" spans="1:27" x14ac:dyDescent="0.15">
      <c r="A113" s="1">
        <v>1991</v>
      </c>
      <c r="B113" s="5">
        <f xml:space="preserve"> (K7*($E7/9))</f>
        <v>13.043478260869565</v>
      </c>
      <c r="C113" s="5">
        <f xml:space="preserve"> (L7*($E7/9))</f>
        <v>53.666666666666671</v>
      </c>
      <c r="D113" s="5">
        <f xml:space="preserve"> (M7*($E7/9))</f>
        <v>0</v>
      </c>
      <c r="E113" s="24">
        <f>B113+C113+D113</f>
        <v>66.710144927536234</v>
      </c>
      <c r="G113" s="1">
        <v>1991</v>
      </c>
      <c r="H113" s="409">
        <f>(O7/$R7*100*($E7/9))</f>
        <v>36.363636363636367</v>
      </c>
      <c r="I113" s="409"/>
      <c r="J113" s="409">
        <f>(P7/$R7*100*($E7/9))</f>
        <v>63.636363636363647</v>
      </c>
      <c r="K113" s="409"/>
      <c r="L113" s="409">
        <f>(Q7/$R7*100*($E7/9))</f>
        <v>0</v>
      </c>
      <c r="M113" s="409"/>
      <c r="N113" s="424">
        <f t="shared" ref="N113:N134" si="27">H113+J113+L113</f>
        <v>100.00000000000001</v>
      </c>
      <c r="O113" s="424"/>
      <c r="P113" s="9"/>
      <c r="Q113" s="9"/>
      <c r="R113" s="1">
        <v>1991</v>
      </c>
      <c r="S113" s="5">
        <f xml:space="preserve"> (O7*($E7/9))</f>
        <v>9.6</v>
      </c>
      <c r="T113" s="5">
        <f xml:space="preserve"> (P7*($E7/9))</f>
        <v>16.8</v>
      </c>
      <c r="U113" s="5">
        <f xml:space="preserve"> (Q7*($E7/9))</f>
        <v>0</v>
      </c>
      <c r="V113" s="9"/>
      <c r="W113" s="5">
        <f>S113+T113+U113</f>
        <v>26.4</v>
      </c>
      <c r="X113" s="25"/>
      <c r="Y113" s="27" t="s">
        <v>1155</v>
      </c>
      <c r="Z113" s="25"/>
      <c r="AA113" s="25"/>
    </row>
    <row r="114" spans="1:27" x14ac:dyDescent="0.15">
      <c r="A114" s="1">
        <v>1992</v>
      </c>
      <c r="B114" s="5">
        <f xml:space="preserve"> (K8*($E8/366))+(K9*($E9/366))+(K10*($E10/366))</f>
        <v>23.110252466519107</v>
      </c>
      <c r="C114" s="5">
        <f xml:space="preserve"> (L8*($E8/366))+(L9*($E9/366))+(L10*($E10/366))</f>
        <v>34.634530314858182</v>
      </c>
      <c r="D114" s="5">
        <f xml:space="preserve"> (M8*($E8/366))+(M9*($E9/366))+(M10*($E10/366))</f>
        <v>0</v>
      </c>
      <c r="E114" s="24">
        <f t="shared" ref="E114:E134" si="28">B114+C114+D114</f>
        <v>57.744782781377289</v>
      </c>
      <c r="G114" s="1">
        <v>1992</v>
      </c>
      <c r="H114" s="409">
        <f>(O8/$R8*100*($E8/366))+(O10/$R10*100*($E10/366))</f>
        <v>41.541023953439691</v>
      </c>
      <c r="I114" s="409"/>
      <c r="J114" s="409">
        <f>(P8/$R8*100*($E8/366))+(P10/$R10*100*($E10/366))</f>
        <v>48.896134516505654</v>
      </c>
      <c r="K114" s="409"/>
      <c r="L114" s="409">
        <f>(Q8/$R8*100*($E8/366))+(Q10/$R10*100*($E10/366))</f>
        <v>0</v>
      </c>
      <c r="M114" s="409"/>
      <c r="N114" s="424">
        <f t="shared" si="27"/>
        <v>90.437158469945345</v>
      </c>
      <c r="O114" s="424"/>
      <c r="P114" s="9"/>
      <c r="Q114" s="9"/>
      <c r="R114" s="1">
        <v>1992</v>
      </c>
      <c r="S114" s="5">
        <f xml:space="preserve"> (O8*($E8/366))+(O9*($E9/366))+(O10*($E10/366))</f>
        <v>14.339344262295082</v>
      </c>
      <c r="T114" s="5">
        <f xml:space="preserve"> (P8*($E8/366))+(P9*($E9/366))+(P10*($E10/366))</f>
        <v>15.716393442622948</v>
      </c>
      <c r="U114" s="5">
        <f xml:space="preserve"> (Q8*($E8/366))+(Q9*($E9/366))+(Q10*($E10/366))</f>
        <v>0</v>
      </c>
      <c r="V114" s="9"/>
      <c r="W114" s="5">
        <f t="shared" ref="W114:W133" si="29">S114+T114+U114</f>
        <v>30.05573770491803</v>
      </c>
    </row>
    <row r="115" spans="1:27" x14ac:dyDescent="0.15">
      <c r="A115" s="1">
        <v>1993</v>
      </c>
      <c r="B115" s="5">
        <f xml:space="preserve"> (K11*($E11/365))+(K12*($E12/365))</f>
        <v>30.079307858687812</v>
      </c>
      <c r="C115" s="5">
        <f xml:space="preserve"> (L11*($E11/365))+(L12*($E12/365))</f>
        <v>19.944422700587086</v>
      </c>
      <c r="D115" s="5">
        <f xml:space="preserve"> (M11*($E11/365))+(M12*($E12/365))</f>
        <v>11.931506849315069</v>
      </c>
      <c r="E115" s="24">
        <f t="shared" si="28"/>
        <v>61.955237408589966</v>
      </c>
      <c r="G115" s="1">
        <v>1993</v>
      </c>
      <c r="H115" s="409">
        <f>(O11/$R11*100*($E11/365))+(O12/$R12*100*($E12/365))</f>
        <v>44.551839232320418</v>
      </c>
      <c r="I115" s="409"/>
      <c r="J115" s="409">
        <f>(P11/$R11*100*($E11/365))+(P12/$R12*100*($E12/365))</f>
        <v>37.091996384117934</v>
      </c>
      <c r="K115" s="409"/>
      <c r="L115" s="409">
        <f>(Q11/$R11*100*($E11/365))+(Q12/$R12*100*($E12/365))</f>
        <v>18.356164383561644</v>
      </c>
      <c r="M115" s="409"/>
      <c r="N115" s="424">
        <f t="shared" si="27"/>
        <v>100</v>
      </c>
      <c r="O115" s="424"/>
      <c r="P115" s="9"/>
      <c r="Q115" s="9"/>
      <c r="R115" s="1">
        <v>1993</v>
      </c>
      <c r="S115" s="5">
        <f xml:space="preserve"> (O11*($E11/365))+(O12*($E12/365))</f>
        <v>17.553424657534247</v>
      </c>
      <c r="T115" s="5">
        <f xml:space="preserve"> (P11*($E11/365))+(P12*($E12/365))</f>
        <v>14.614246575342465</v>
      </c>
      <c r="U115" s="5">
        <f xml:space="preserve"> (Q11*($E11/365))+(Q12*($E12/365))</f>
        <v>12.096712328767124</v>
      </c>
      <c r="V115" s="9"/>
      <c r="W115" s="5">
        <f t="shared" si="29"/>
        <v>44.264383561643839</v>
      </c>
    </row>
    <row r="116" spans="1:27" x14ac:dyDescent="0.15">
      <c r="A116" s="1">
        <v>1994</v>
      </c>
      <c r="B116" s="5">
        <f xml:space="preserve"> (K13*($E13/365))+(K14*($E14/365))</f>
        <v>0</v>
      </c>
      <c r="C116" s="5">
        <f xml:space="preserve"> (L13*($E13/365))+(L14*($E14/365))</f>
        <v>0</v>
      </c>
      <c r="D116" s="5">
        <f xml:space="preserve"> (M13*($E13/365))+(M14*($E14/365))</f>
        <v>65</v>
      </c>
      <c r="E116" s="24">
        <f t="shared" si="28"/>
        <v>65</v>
      </c>
      <c r="G116" s="1">
        <v>1994</v>
      </c>
      <c r="H116" s="409">
        <f>(O13/$R13*100*($E13/365))+(O14/$R14*100*($E14/365))</f>
        <v>0</v>
      </c>
      <c r="I116" s="409"/>
      <c r="J116" s="409">
        <f>(P13/$R13*100*($E13/365))+(P14/$R14*100*($E14/365))</f>
        <v>0</v>
      </c>
      <c r="K116" s="409"/>
      <c r="L116" s="409">
        <f>(Q13/$R13*100*($E13/365))+(Q14/$R14*100*($E14/365))</f>
        <v>100</v>
      </c>
      <c r="M116" s="409"/>
      <c r="N116" s="424">
        <f t="shared" si="27"/>
        <v>100</v>
      </c>
      <c r="O116" s="424"/>
      <c r="P116" s="9"/>
      <c r="Q116" s="9"/>
      <c r="R116" s="1">
        <v>1994</v>
      </c>
      <c r="S116" s="5">
        <f xml:space="preserve"> (O13*($E13/365))+(O14*($E14/365))</f>
        <v>0</v>
      </c>
      <c r="T116" s="5">
        <f xml:space="preserve"> (P13*($E13/365))+(P14*($E14/365))</f>
        <v>0</v>
      </c>
      <c r="U116" s="5">
        <f xml:space="preserve"> (Q13*($E13/365))+(Q14*($E14/365))</f>
        <v>65.900000000000006</v>
      </c>
      <c r="V116" s="9"/>
      <c r="W116" s="5">
        <f t="shared" si="29"/>
        <v>65.900000000000006</v>
      </c>
    </row>
    <row r="117" spans="1:27" x14ac:dyDescent="0.15">
      <c r="A117" s="1">
        <v>1995</v>
      </c>
      <c r="B117" s="5">
        <f xml:space="preserve"> (K15*($E15/365))+(K16*($E16/365))</f>
        <v>0</v>
      </c>
      <c r="C117" s="5">
        <f xml:space="preserve"> (L15*($E15/365))+(L16*($E16/365))</f>
        <v>0</v>
      </c>
      <c r="D117" s="5">
        <f xml:space="preserve"> (M15*($E15/365))+(M16*($E16/365))</f>
        <v>82.082191780821915</v>
      </c>
      <c r="E117" s="24">
        <f t="shared" si="28"/>
        <v>82.082191780821915</v>
      </c>
      <c r="G117" s="1">
        <v>1995</v>
      </c>
      <c r="H117" s="409">
        <f>(O15/$R15*100*($E15/365))+(O16/$R16*100*($E16/365))</f>
        <v>0</v>
      </c>
      <c r="I117" s="409"/>
      <c r="J117" s="409">
        <f>(P15/$R15*100*($E15/365))+(P16/$R16*100*($E16/365))</f>
        <v>0</v>
      </c>
      <c r="K117" s="409"/>
      <c r="L117" s="409">
        <f>(Q15/$R15*100*($E15/365))+(Q16/$R16*100*($E16/365))</f>
        <v>100</v>
      </c>
      <c r="M117" s="409"/>
      <c r="N117" s="424">
        <f t="shared" si="27"/>
        <v>100</v>
      </c>
      <c r="O117" s="424"/>
      <c r="P117" s="9"/>
      <c r="Q117" s="9"/>
      <c r="R117" s="1">
        <v>1995</v>
      </c>
      <c r="S117" s="5">
        <f xml:space="preserve"> (O15*($E15/365))+(O16*($E16/365))</f>
        <v>0</v>
      </c>
      <c r="T117" s="5">
        <f xml:space="preserve"> (P15*($E15/365))+(P16*($E16/365))</f>
        <v>0</v>
      </c>
      <c r="U117" s="5">
        <f xml:space="preserve"> (Q15*($E15/365))+(Q16*($E16/365))</f>
        <v>65.900000000000006</v>
      </c>
      <c r="V117" s="9"/>
      <c r="W117" s="5">
        <f t="shared" si="29"/>
        <v>65.900000000000006</v>
      </c>
    </row>
    <row r="118" spans="1:27" x14ac:dyDescent="0.15">
      <c r="A118" s="1">
        <v>1996</v>
      </c>
      <c r="B118" s="5">
        <f xml:space="preserve"> (K17*($E17/366))+(K18*($E18/366))+(K19*($E19/366))</f>
        <v>0</v>
      </c>
      <c r="C118" s="5">
        <f xml:space="preserve"> (L17*($E17/366))+(L18*($E18/366))+(L19*($E19/366))</f>
        <v>0</v>
      </c>
      <c r="D118" s="5">
        <f xml:space="preserve"> (M17*($E17/366))+(M18*($E18/366))+(M19*($E19/366))</f>
        <v>68.173302107728347</v>
      </c>
      <c r="E118" s="24">
        <f t="shared" si="28"/>
        <v>68.173302107728347</v>
      </c>
      <c r="G118" s="1">
        <v>1996</v>
      </c>
      <c r="H118" s="409">
        <f>(O17/$R17*100*($E17/366))+(O18/$R18*100*($E18/366))+(O19/$R19*100*($E19/366))</f>
        <v>0</v>
      </c>
      <c r="I118" s="409"/>
      <c r="J118" s="409">
        <f>(P17/$R17*100*($E17/366))+(P18/$R18*100*($E18/366))+(P19/$R19*100*($E19/366))</f>
        <v>0</v>
      </c>
      <c r="K118" s="409"/>
      <c r="L118" s="409">
        <f>(Q17/$R17*100*($E17/366))+(Q18/$R18*100*($E18/366))+(Q19/$R19*100*($E19/366))</f>
        <v>100.00000000000001</v>
      </c>
      <c r="M118" s="409"/>
      <c r="N118" s="424">
        <f t="shared" si="27"/>
        <v>100.00000000000001</v>
      </c>
      <c r="O118" s="424"/>
      <c r="P118" s="9"/>
      <c r="Q118" s="9"/>
      <c r="R118" s="1">
        <v>1996</v>
      </c>
      <c r="S118" s="5">
        <f xml:space="preserve"> (O17*($E17/366))+(O18*($E18/366))+(O19*($E19/366))</f>
        <v>0</v>
      </c>
      <c r="T118" s="5">
        <f xml:space="preserve"> (P17*($E17/366))+(P18*($E18/366))+(P19*($E19/366))</f>
        <v>0</v>
      </c>
      <c r="U118" s="5">
        <f xml:space="preserve"> (Q17*($E17/366))+(Q18*($E18/366))+(Q19*($E19/366))</f>
        <v>65.900000000000006</v>
      </c>
      <c r="V118" s="9"/>
      <c r="W118" s="5">
        <f t="shared" si="29"/>
        <v>65.900000000000006</v>
      </c>
    </row>
    <row r="119" spans="1:27" x14ac:dyDescent="0.15">
      <c r="A119" s="1">
        <v>1997</v>
      </c>
      <c r="B119" s="5">
        <f xml:space="preserve"> (K20*($E20/365))+(K21*($E21/365))+(K22*($E22/365))</f>
        <v>16.247766527695056</v>
      </c>
      <c r="C119" s="5">
        <f xml:space="preserve"> (L20*($E20/365))+(L21*($E21/365))+(L22*($E22/365))</f>
        <v>0</v>
      </c>
      <c r="D119" s="5">
        <f xml:space="preserve"> (M20*($E20/365))+(M21*($E21/365))+(M22*($E22/365))</f>
        <v>55.794280221100685</v>
      </c>
      <c r="E119" s="24">
        <f t="shared" si="28"/>
        <v>72.042046748795741</v>
      </c>
      <c r="G119" s="1">
        <v>1997</v>
      </c>
      <c r="H119" s="409">
        <f>(O20/$R20*100*($E20/365))+(O21/$R21*100*($E21/365))+(O22/$R22*100*($E22/365))</f>
        <v>16.986301369863014</v>
      </c>
      <c r="I119" s="409"/>
      <c r="J119" s="409">
        <f>(P20/$R20*100*($E20/365))+(P21/$R21*100*($E21/365))+(P22/$R22*100*($E22/365))</f>
        <v>0</v>
      </c>
      <c r="K119" s="409"/>
      <c r="L119" s="409">
        <f>(Q20/$R20*100*($E20/365))+(Q21/$R21*100*($E21/365))+(Q22/$R22*100*($E22/365))</f>
        <v>83.013698630136986</v>
      </c>
      <c r="M119" s="409"/>
      <c r="N119" s="424">
        <f t="shared" si="27"/>
        <v>100</v>
      </c>
      <c r="O119" s="424"/>
      <c r="P119" s="9"/>
      <c r="Q119" s="9"/>
      <c r="R119" s="1">
        <v>1997</v>
      </c>
      <c r="S119" s="5">
        <f xml:space="preserve"> (O20*($E20/365))+(O21*($E21/365))+(O22*($E22/365))</f>
        <v>9.6312328767123283</v>
      </c>
      <c r="T119" s="5">
        <f xml:space="preserve"> (P20*($E20/365))+(P21*($E21/365))+(P22*($E22/365))</f>
        <v>0</v>
      </c>
      <c r="U119" s="5">
        <f xml:space="preserve"> (Q20*($E20/365))+(Q21*($E21/365))+(Q22*($E22/365))</f>
        <v>54.706027397260279</v>
      </c>
      <c r="V119" s="9"/>
      <c r="W119" s="5">
        <f t="shared" si="29"/>
        <v>64.337260273972603</v>
      </c>
    </row>
    <row r="120" spans="1:27" x14ac:dyDescent="0.15">
      <c r="A120" s="1">
        <v>1998</v>
      </c>
      <c r="B120" s="5">
        <f xml:space="preserve"> (K23*($E23/365))+(K24*($E24/365))+(K25*($E25/365))</f>
        <v>96.014943960149452</v>
      </c>
      <c r="C120" s="5">
        <f xml:space="preserve"> (L23*($E23/365))+(L24*($E24/365))+(L25*($E25/365))</f>
        <v>0</v>
      </c>
      <c r="D120" s="5">
        <f xml:space="preserve"> (M23*($E23/365))+(M24*($E24/365))+(M25*($E25/365))</f>
        <v>0</v>
      </c>
      <c r="E120" s="24">
        <f t="shared" si="28"/>
        <v>96.014943960149452</v>
      </c>
      <c r="G120" s="1">
        <v>1998</v>
      </c>
      <c r="H120" s="409">
        <f>(O23/$R23*100*($E23/365))+(O24/$R24*100*($E24/365))+(O25/$R25*100*($E25/365))</f>
        <v>100</v>
      </c>
      <c r="I120" s="409"/>
      <c r="J120" s="409">
        <f>(P23/$R23*100*($E23/365))+(P24/$R24*100*($E24/365))+(P25/$R25*100*($E25/365))</f>
        <v>0</v>
      </c>
      <c r="K120" s="409"/>
      <c r="L120" s="409">
        <f>(Q23/$R23*100*($E23/365))+(Q24/$R24*100*($E24/365))+(Q25/$R25*100*($E25/365))</f>
        <v>0</v>
      </c>
      <c r="M120" s="409"/>
      <c r="N120" s="424">
        <f t="shared" si="27"/>
        <v>100</v>
      </c>
      <c r="O120" s="424"/>
      <c r="P120" s="9"/>
      <c r="Q120" s="9"/>
      <c r="R120" s="1">
        <v>1998</v>
      </c>
      <c r="S120" s="5">
        <f xml:space="preserve"> (O23*($E23/365))+(O24*($E24/365))+(O25*($E25/365))</f>
        <v>56.7</v>
      </c>
      <c r="T120" s="5">
        <f xml:space="preserve"> (P23*($E23/365))+(P24*($E24/365))+(P25*($E25/365))</f>
        <v>0</v>
      </c>
      <c r="U120" s="5">
        <f xml:space="preserve"> (Q23*($E23/365))+(Q24*($E24/365))+(Q25*($E25/365))</f>
        <v>0</v>
      </c>
      <c r="V120" s="9"/>
      <c r="W120" s="5">
        <f t="shared" si="29"/>
        <v>56.7</v>
      </c>
    </row>
    <row r="121" spans="1:27" x14ac:dyDescent="0.15">
      <c r="A121" s="1">
        <v>1999</v>
      </c>
      <c r="B121" s="5">
        <f xml:space="preserve"> (K26*($E26/365))+(K27*($E27/365))</f>
        <v>100</v>
      </c>
      <c r="C121" s="5">
        <f xml:space="preserve"> (L26*($E26/365))+(L27*($E27/365))</f>
        <v>0</v>
      </c>
      <c r="D121" s="5">
        <f xml:space="preserve"> (M26*($E26/365))+(M27*($E27/365))</f>
        <v>0</v>
      </c>
      <c r="E121" s="24">
        <f t="shared" si="28"/>
        <v>100</v>
      </c>
      <c r="G121" s="1">
        <v>1999</v>
      </c>
      <c r="H121" s="409">
        <f>(O26/$R26*100*($E26/365))+(O27/$R27*100*($E27/365))</f>
        <v>100</v>
      </c>
      <c r="I121" s="409"/>
      <c r="J121" s="409">
        <f>(P26/$R26*100*($E26/365))+(P27/$R27*100*($E27/365))</f>
        <v>0</v>
      </c>
      <c r="K121" s="409"/>
      <c r="L121" s="409">
        <f>(Q26/$R26*100*($E26/365))+(Q27/$R27*100*($E27/365))</f>
        <v>0</v>
      </c>
      <c r="M121" s="409"/>
      <c r="N121" s="424">
        <f t="shared" si="27"/>
        <v>100</v>
      </c>
      <c r="O121" s="424"/>
      <c r="P121" s="9"/>
      <c r="Q121" s="9"/>
      <c r="R121" s="1">
        <v>1999</v>
      </c>
      <c r="S121" s="5">
        <f xml:space="preserve"> (O26*($E26/365))+(O27*($E27/365))</f>
        <v>56.7</v>
      </c>
      <c r="T121" s="5">
        <f xml:space="preserve"> (P26*($E26/365))+(P27*($E27/365))</f>
        <v>0</v>
      </c>
      <c r="U121" s="5">
        <f xml:space="preserve"> (Q26*($E26/365))+(Q27*($E27/365))</f>
        <v>0</v>
      </c>
      <c r="V121" s="9"/>
      <c r="W121" s="5">
        <f t="shared" si="29"/>
        <v>56.7</v>
      </c>
    </row>
    <row r="122" spans="1:27" x14ac:dyDescent="0.15">
      <c r="A122" s="1">
        <v>2000</v>
      </c>
      <c r="B122" s="5">
        <f xml:space="preserve"> (K28*($E28/366))+(K29*($E29/366))+(K30*($E30/366))+(K31*($E31/366))</f>
        <v>89.502444636180613</v>
      </c>
      <c r="C122" s="5">
        <f xml:space="preserve"> (L28*($E28/366))+(L29*($E29/366))+(L30*($E30/366))+(L31*($E31/366))</f>
        <v>0</v>
      </c>
      <c r="D122" s="5">
        <f xml:space="preserve"> (M28*($E28/366))+(M29*($E29/366))+(M30*($E30/366))+(M31*($E31/366))</f>
        <v>0</v>
      </c>
      <c r="E122" s="24">
        <f t="shared" si="28"/>
        <v>89.502444636180613</v>
      </c>
      <c r="G122" s="1">
        <v>2000</v>
      </c>
      <c r="H122" s="409">
        <f>(O28/$R28*100*($E28/366))+(O29/$R29*100*($E29/366))+(O30/$R30*100*($E30/366))+(O31/$R31*100*($E31/366))</f>
        <v>100</v>
      </c>
      <c r="I122" s="409"/>
      <c r="J122" s="409">
        <f>(P28/$R28*100*($E28/366))+(P29/$R29*100*($E29/366))+(P30/$R30*100*($E30/366))+(P31/$R31*100*($E31/366))</f>
        <v>0</v>
      </c>
      <c r="K122" s="409"/>
      <c r="L122" s="409">
        <f>(Q28/$R28*100*($E28/366))+(Q29/$R29*100*($E29/366))+(Q30/$R30*100*($E30/366))+(Q31/$R31*100*($E31/366))</f>
        <v>0</v>
      </c>
      <c r="M122" s="409"/>
      <c r="N122" s="424">
        <f t="shared" si="27"/>
        <v>100</v>
      </c>
      <c r="O122" s="424"/>
      <c r="P122" s="9"/>
      <c r="Q122" s="9"/>
      <c r="R122" s="1">
        <v>2000</v>
      </c>
      <c r="S122" s="5">
        <f xml:space="preserve"> (O28*($E28/366))+(O29*($E29/366))+(O30*($E30/366))+(O31*($E31/366))</f>
        <v>50.093442622950825</v>
      </c>
      <c r="T122" s="5">
        <f xml:space="preserve"> (P28*($E28/366))+(P29*($E29/366))+(P30*($E30/366))+(P31*($E31/366))</f>
        <v>0</v>
      </c>
      <c r="U122" s="5">
        <f xml:space="preserve"> (Q28*($E28/366))+(Q29*($E29/366))+(Q30*($E30/366))+(Q31*($E31/366))</f>
        <v>0</v>
      </c>
      <c r="V122" s="9"/>
      <c r="W122" s="5">
        <f t="shared" si="29"/>
        <v>50.093442622950825</v>
      </c>
    </row>
    <row r="123" spans="1:27" x14ac:dyDescent="0.15">
      <c r="A123" s="1">
        <v>2001</v>
      </c>
      <c r="B123" s="5">
        <f xml:space="preserve"> (K32*($E32/365))+(K33*($E33/365))+(K34*($E34/365))+(K35*($E35/365))</f>
        <v>61.110310021629417</v>
      </c>
      <c r="C123" s="5">
        <f xml:space="preserve"> (L32*($E32/365))+(L33*($E33/365))+(L34*($E34/365))+(L35*($E35/365))</f>
        <v>0</v>
      </c>
      <c r="D123" s="5">
        <f xml:space="preserve"> (M32*($E32/365))+(M33*($E33/365))+(M34*($E34/365))+(M35*($E35/365))</f>
        <v>17.570776255707763</v>
      </c>
      <c r="E123" s="24">
        <f t="shared" si="28"/>
        <v>78.681086277337187</v>
      </c>
      <c r="G123" s="1">
        <v>2001</v>
      </c>
      <c r="H123" s="409">
        <f>(O32/$R32*100*($E32/365))+(O33/$R33*100*($E33/365))+(O34/$R34*100*($E34/365))+(O35/$R35*100*($E35/365))</f>
        <v>79.726027397260282</v>
      </c>
      <c r="I123" s="409"/>
      <c r="J123" s="409">
        <f>(P32/$R32*100*($E32/365))+(P33/$R33*100*($E33/365))+(P34/$R34*100*($E34/365))+(P35/$R35*100*($E35/365))</f>
        <v>0</v>
      </c>
      <c r="K123" s="409"/>
      <c r="L123" s="409">
        <f>(Q32/$R32*100*($E32/365))+(Q33/$R33*100*($E33/365))+(Q34/$R34*100*($E34/365))+(Q35/$R35*100*($E35/365))</f>
        <v>20.273972602739725</v>
      </c>
      <c r="M123" s="409"/>
      <c r="N123" s="424">
        <f t="shared" si="27"/>
        <v>100</v>
      </c>
      <c r="O123" s="424"/>
      <c r="P123" s="9"/>
      <c r="Q123" s="9"/>
      <c r="R123" s="1">
        <v>2001</v>
      </c>
      <c r="S123" s="5">
        <f xml:space="preserve"> (O32*($E32/365))+(O33*($E33/365))+(O34*($E34/365))+(O35*($E35/365))</f>
        <v>34.840273972602745</v>
      </c>
      <c r="T123" s="5">
        <f xml:space="preserve"> (P32*($E32/365))+(P33*($E33/365))+(P34*($E34/365))+(P35*($E35/365))</f>
        <v>0</v>
      </c>
      <c r="U123" s="5">
        <f xml:space="preserve"> (Q32*($E32/365))+(Q33*($E33/365))+(Q34*($E34/365))+(Q35*($E35/365))</f>
        <v>11.373698630136987</v>
      </c>
      <c r="V123" s="9"/>
      <c r="W123" s="5">
        <f t="shared" si="29"/>
        <v>46.21397260273973</v>
      </c>
    </row>
    <row r="124" spans="1:27" x14ac:dyDescent="0.15">
      <c r="A124" s="1">
        <v>2002</v>
      </c>
      <c r="B124" s="5">
        <f xml:space="preserve"> (K36*($E36/365))+(K37*($E37/365))</f>
        <v>0</v>
      </c>
      <c r="C124" s="5">
        <f xml:space="preserve"> (L36*($E36/365))+(L37*($E37/365))</f>
        <v>0</v>
      </c>
      <c r="D124" s="5">
        <f xml:space="preserve"> (M36*($E36/365))+(M37*($E37/365))</f>
        <v>86.666666666666671</v>
      </c>
      <c r="E124" s="24">
        <f t="shared" si="28"/>
        <v>86.666666666666671</v>
      </c>
      <c r="G124" s="1">
        <v>2002</v>
      </c>
      <c r="H124" s="409">
        <f>(O36/$R36*100*($E36/365))+(O37/$R37*100*($E37/365))</f>
        <v>0</v>
      </c>
      <c r="I124" s="409"/>
      <c r="J124" s="409">
        <f>(P36/$R36*100*($E36/365))+(P37/$R37*100*($E37/365))</f>
        <v>0</v>
      </c>
      <c r="K124" s="409"/>
      <c r="L124" s="409">
        <f>(Q36/$R36*100*($E36/365))+(Q37/$R37*100*($E37/365))</f>
        <v>100</v>
      </c>
      <c r="M124" s="409"/>
      <c r="N124" s="424">
        <f t="shared" si="27"/>
        <v>100</v>
      </c>
      <c r="O124" s="424"/>
      <c r="P124" s="9"/>
      <c r="Q124" s="9"/>
      <c r="R124" s="1">
        <v>2002</v>
      </c>
      <c r="S124" s="5">
        <f xml:space="preserve"> (O36*($E36/365))+(O37*($E37/365))</f>
        <v>0</v>
      </c>
      <c r="T124" s="5">
        <f xml:space="preserve"> (P36*($E36/365))+(P37*($E37/365))</f>
        <v>0</v>
      </c>
      <c r="U124" s="5">
        <f xml:space="preserve"> (Q36*($E36/365))+(Q37*($E37/365))</f>
        <v>56.1</v>
      </c>
      <c r="V124" s="9"/>
      <c r="W124" s="5">
        <f t="shared" si="29"/>
        <v>56.1</v>
      </c>
    </row>
    <row r="125" spans="1:27" x14ac:dyDescent="0.15">
      <c r="A125" s="1">
        <v>2003</v>
      </c>
      <c r="B125" s="5">
        <f xml:space="preserve"> (K38*($E38/365))+(K39*($E39/365))+(K40*($E40/365))+(K41*($E41/365))+(K42*($E42/365))+(K43*($E43/365))+(K44*($E44/365))</f>
        <v>0</v>
      </c>
      <c r="C125" s="5">
        <f xml:space="preserve"> (L38*($E38/365))+(L39*($E39/365))+(L40*($E40/365))+(L41*($E41/365))+(L42*($E42/365))+(L43*($E43/365))+(L44*($E44/365))</f>
        <v>0</v>
      </c>
      <c r="D125" s="5">
        <f xml:space="preserve"> (M38*($E38/365))+(M39*($E39/365))+(M40*($E40/365))+(M41*($E41/365))+(M42*($E42/365))+(M43*($E43/365))+(M44*($E44/365))</f>
        <v>69.462530217566467</v>
      </c>
      <c r="E125" s="24">
        <f t="shared" si="28"/>
        <v>69.462530217566467</v>
      </c>
      <c r="G125" s="1">
        <v>2003</v>
      </c>
      <c r="H125" s="409">
        <f>(O38/$R38*100*($E38/365))+(O39/$R39*100*($E39/365))+(O40/$R40*100*($E40/365))+(O41/$R41*100*($E41/365))+(O42/$R42*100*($E42/365))+(O43/$R43*100*($E43/365))+(O44/$R44*100*($E44/365))</f>
        <v>0</v>
      </c>
      <c r="I125" s="409"/>
      <c r="J125" s="409">
        <f>(P38/$R38*100*($E38/365))+(P39/$R39*100*($E39/365))+(P40/$R40*100*($E40/365))+(P41/$R41*100*($E41/365))+(P42/$R42*100*($E42/365))+(P43/$R43*100*($E43/365))+(P44/$R44*100*($E44/365))</f>
        <v>0</v>
      </c>
      <c r="K125" s="409"/>
      <c r="L125" s="409">
        <f>(Q38/$R38*100*($E38/365))+(Q39/$R39*100*($E39/365))+(Q40/$R40*100*($E40/365))+(Q41/$R41*100*($E41/365))+(Q42/$R42*100*($E42/365))+(Q43/$R43*100*($E43/365))+(Q44/$R44*100*($E44/365))</f>
        <v>100</v>
      </c>
      <c r="M125" s="409"/>
      <c r="N125" s="424">
        <f t="shared" si="27"/>
        <v>100</v>
      </c>
      <c r="O125" s="424"/>
      <c r="P125" s="9"/>
      <c r="Q125" s="9"/>
      <c r="R125" s="1">
        <v>2003</v>
      </c>
      <c r="S125" s="5">
        <f xml:space="preserve"> (O38*($E38/365))+(O39*($E39/365))+(O40*($E40/365))+(O41*($E41/365))+(O42*($E42/365))+(O43*($E43/365))+(O44*($E44/365))</f>
        <v>0</v>
      </c>
      <c r="T125" s="5">
        <f xml:space="preserve"> (P38*($E38/365))+(P39*($E39/365))+(P40*($E40/365))+(P41*($E41/365))+(P42*($E42/365))+(P43*($E43/365))+(P44*($E44/365))</f>
        <v>0</v>
      </c>
      <c r="U125" s="5">
        <f xml:space="preserve"> (Q38*($E38/365))+(Q39*($E39/365))+(Q40*($E40/365))+(Q41*($E41/365))+(Q42*($E42/365))+(Q43*($E43/365))+(Q44*($E44/365))</f>
        <v>48.52082191780822</v>
      </c>
      <c r="V125" s="9"/>
      <c r="W125" s="5">
        <f t="shared" si="29"/>
        <v>48.52082191780822</v>
      </c>
    </row>
    <row r="126" spans="1:27" x14ac:dyDescent="0.15">
      <c r="A126" s="1">
        <v>2004</v>
      </c>
      <c r="B126" s="5">
        <f xml:space="preserve"> (K45*($E45/366))+(K46*($E46/366))+(K47*($E47/366))+(K48*($E48/366))+(K49*($E49/366))+(K50*($E50/366))</f>
        <v>0</v>
      </c>
      <c r="C126" s="5">
        <f xml:space="preserve"> (L45*($E45/366))+(L46*($E46/366))+(L47*($E47/366))+(L48*($E48/366))+(L49*($E49/366))+(L50*($E50/366))</f>
        <v>0</v>
      </c>
      <c r="D126" s="5">
        <f xml:space="preserve"> (M45*($E45/366))+(M46*($E46/366))+(M47*($E47/366))+(M48*($E48/366))+(M49*($E49/366))+(M50*($E50/366))</f>
        <v>56.291296117718488</v>
      </c>
      <c r="E126" s="24">
        <f t="shared" si="28"/>
        <v>56.291296117718488</v>
      </c>
      <c r="G126" s="1">
        <v>2004</v>
      </c>
      <c r="H126" s="409">
        <f>(O45/$R45*100*($E45/366))+(O46/$R46*100*($E46/366))+(O47/$R47*100*($E47/366))+(O48/$R48*100*($E48/366))+(O49/$R49*100*($E49/366))+(O50/$R50*100*($E50/366))</f>
        <v>0</v>
      </c>
      <c r="I126" s="409"/>
      <c r="J126" s="409">
        <f>(P45/$R45*100*($E45/366))+(P46/$R46*100*($E46/366))+(P47/$R47*100*($E47/366))+(P48/$R48*100*($E48/366))+(P49/$R49*100*($E49/366))+(P50/$R50*100*($E50/366))</f>
        <v>0</v>
      </c>
      <c r="K126" s="409"/>
      <c r="L126" s="409">
        <f>(Q45/$R45*100*($E45/366))+(Q46/$R46*100*($E46/366))+(Q47/$R47*100*($E47/366))+(Q48/$R48*100*($E48/366))+(Q49/$R49*100*($E49/366))+(Q50/$R50*100*($E50/366))</f>
        <v>100</v>
      </c>
      <c r="M126" s="409"/>
      <c r="N126" s="424">
        <f t="shared" si="27"/>
        <v>100</v>
      </c>
      <c r="O126" s="424"/>
      <c r="P126" s="9"/>
      <c r="Q126" s="9"/>
      <c r="R126" s="1">
        <v>2004</v>
      </c>
      <c r="S126" s="5">
        <f xml:space="preserve"> (O45*($E45/366))+(O46*($E46/366))+(O47*($E47/366))+(O48*($E48/366))+(O49*($E49/366))+(O50*($E50/366))</f>
        <v>0</v>
      </c>
      <c r="T126" s="5">
        <f xml:space="preserve"> (P45*($E45/366))+(P46*($E46/366))+(P47*($E47/366))+(P48*($E48/366))+(P49*($E49/366))+(P50*($E50/366))</f>
        <v>0</v>
      </c>
      <c r="U126" s="5">
        <f xml:space="preserve"> (Q45*($E45/366))+(Q46*($E46/366))+(Q47*($E47/366))+(Q48*($E48/366))+(Q49*($E49/366))+(Q50*($E50/366))</f>
        <v>47.994535519125684</v>
      </c>
      <c r="V126" s="9"/>
      <c r="W126" s="5">
        <f t="shared" si="29"/>
        <v>47.994535519125684</v>
      </c>
    </row>
    <row r="127" spans="1:27" x14ac:dyDescent="0.15">
      <c r="A127" s="1">
        <v>2005</v>
      </c>
      <c r="B127" s="5">
        <f xml:space="preserve"> (K51*($E51/365))+(K52*($E52/365))+(K53*($E53/365))</f>
        <v>8.7062404870624057</v>
      </c>
      <c r="C127" s="5">
        <f xml:space="preserve"> (L51*($E51/365))+(L52*($E52/365))+(L53*($E53/365))</f>
        <v>0</v>
      </c>
      <c r="D127" s="5">
        <f xml:space="preserve"> (M51*($E51/365))+(M52*($E52/365))+(M53*($E53/365))</f>
        <v>40.419016921837226</v>
      </c>
      <c r="E127" s="24">
        <f t="shared" si="28"/>
        <v>49.125257408899628</v>
      </c>
      <c r="G127" s="1">
        <v>2005</v>
      </c>
      <c r="H127" s="409">
        <f>(O51/$R51*100*($E51/365))+(O52/$R52*100*($E52/365))+(O53/$R53*100*($E53/365))</f>
        <v>14.246575342465754</v>
      </c>
      <c r="I127" s="409"/>
      <c r="J127" s="409">
        <f>(P51/$R51*100*($E51/365))+(P52/$R52*100*($E52/365))+(P53/$R53*100*($E53/365))</f>
        <v>0</v>
      </c>
      <c r="K127" s="409"/>
      <c r="L127" s="409">
        <f>(Q51/$R51*100*($E51/365))+(Q52/$R52*100*($E52/365))+(Q53/$R53*100*($E53/365))</f>
        <v>85.753424657534239</v>
      </c>
      <c r="M127" s="409"/>
      <c r="N127" s="424">
        <f t="shared" si="27"/>
        <v>100</v>
      </c>
      <c r="O127" s="424"/>
      <c r="P127" s="9"/>
      <c r="Q127" s="9"/>
      <c r="R127" s="1">
        <v>2005</v>
      </c>
      <c r="S127" s="5">
        <f xml:space="preserve"> (O51*($E51/365))+(O52*($E52/365))+(O53*($E53/365))</f>
        <v>4.8010958904109593</v>
      </c>
      <c r="T127" s="5">
        <f xml:space="preserve"> (P51*($E51/365))+(P52*($E52/365))+(P53*($E53/365))</f>
        <v>0</v>
      </c>
      <c r="U127" s="5">
        <f xml:space="preserve"> (Q51*($E51/365))+(Q52*($E52/365))+(Q53*($E53/365))</f>
        <v>40.304109589041097</v>
      </c>
      <c r="V127" s="9"/>
      <c r="W127" s="5">
        <f t="shared" si="29"/>
        <v>45.105205479452053</v>
      </c>
    </row>
    <row r="128" spans="1:27" x14ac:dyDescent="0.15">
      <c r="A128" s="1">
        <v>2006</v>
      </c>
      <c r="B128" s="5">
        <f xml:space="preserve"> (K54*($E54/365))+(K55*($E55/365)) +(K56*($E56/365))+(K57*($E57/365))+(K58*($E58/365))</f>
        <v>63.607305936073054</v>
      </c>
      <c r="C128" s="5">
        <f xml:space="preserve"> (L54*($E54/365))+(L55*($E55/365)) +(L56*($E56/365))+(L57*($E57/365))+(L58*($E58/365))</f>
        <v>0</v>
      </c>
      <c r="D128" s="5">
        <f xml:space="preserve"> (M54*($E54/365))+(M55*($E55/365)) +(M56*($E56/365))+(M57*($E57/365))+(M58*($E58/365))</f>
        <v>9.1282689912826882</v>
      </c>
      <c r="E128" s="24">
        <f t="shared" si="28"/>
        <v>72.735574927355742</v>
      </c>
      <c r="G128" s="1">
        <v>2006</v>
      </c>
      <c r="H128" s="409">
        <f>(O54/$R54*100*($E54/365))+(O55/$R55*100*($E55/365))+(O56/$R56*100*($E56/365))+(O57/$R57*100*($E57/365))+(O58/$R58*100*($E58/365))</f>
        <v>84.886787118661502</v>
      </c>
      <c r="I128" s="409"/>
      <c r="J128" s="409">
        <f>(P54/$R54*100*($E54/365))+(P55/$R55*100*($E55/365))+(P56/$R56*100*($E56/365))+(P57/$R57*100*($E57/365))+(P58/$R58*100*($E58/365))</f>
        <v>0</v>
      </c>
      <c r="K128" s="409"/>
      <c r="L128" s="409">
        <f>(Q54/$R54*100*($E54/365))+(Q55/$R55*100*($E55/365))+(Q56/$R56*100*($E56/365))+(Q57/$R57*100*($E57/365))+(Q58/$R58*100*($E58/365))</f>
        <v>15.113212881338505</v>
      </c>
      <c r="M128" s="409"/>
      <c r="N128" s="424">
        <f t="shared" si="27"/>
        <v>100</v>
      </c>
      <c r="O128" s="424"/>
      <c r="P128" s="9"/>
      <c r="Q128" s="9"/>
      <c r="R128" s="1">
        <v>2006</v>
      </c>
      <c r="S128" s="5">
        <f xml:space="preserve"> (O54*($E54/365))+(O55*($E55/365)) +(O56*($E56/365))+(O57*($E57/365))+(O58*($E58/365))</f>
        <v>38.586027397260274</v>
      </c>
      <c r="T128" s="5">
        <f xml:space="preserve"> (P54*($E54/365))+(P55*($E55/365)) +(P56*($E56/365))+(P57*($E57/365))+(P58*($E58/365))</f>
        <v>0</v>
      </c>
      <c r="U128" s="5">
        <f xml:space="preserve"> (Q54*($E54/365))+(Q55*($E55/365)) +(Q56*($E56/365))+(Q57*($E57/365))+(Q58*($E58/365))</f>
        <v>8.0553424657534229</v>
      </c>
      <c r="V128" s="9"/>
      <c r="W128" s="5">
        <f t="shared" si="29"/>
        <v>46.641369863013693</v>
      </c>
    </row>
    <row r="129" spans="1:23" x14ac:dyDescent="0.15">
      <c r="A129" s="1">
        <v>2007</v>
      </c>
      <c r="B129" s="5">
        <f xml:space="preserve"> (K59*($E59/365))+(K60*($E60/365))+(K61*($E61/365))+(K62*($E62/365)) +(K63*($E63/365))+(K64*($E64/365))+(K65*($E65/365))+(K66*($E66/365))+(K67*($E67/365))</f>
        <v>62.295152237081957</v>
      </c>
      <c r="C129" s="5">
        <f xml:space="preserve"> (L59*($E59/365))+(L60*($E60/365))+(L61*($E61/365))+(L62*($E62/365)) +(L63*($E63/365))+(L64*($E64/365))+(L65*($E65/365))+(L66*($E66/365))+(L67*($E67/365))</f>
        <v>0</v>
      </c>
      <c r="D129" s="5">
        <f xml:space="preserve"> (M59*($E59/365))+(M60*($E60/365))+(M61*($E61/365))+(M62*($E62/365)) +(M63*($E63/365))+(M64*($E64/365))+(M65*($E65/365))+(M66*($E66/365))+(M67*($E67/365))</f>
        <v>9.308525998520043</v>
      </c>
      <c r="E129" s="24">
        <f t="shared" si="28"/>
        <v>71.603678235602004</v>
      </c>
      <c r="G129" s="1">
        <v>2007</v>
      </c>
      <c r="H129" s="409">
        <f>(O59/$R59*100*($E59/365))+(O60/$R60*100*($E60/365))+(O61/$R61*100*($E61/365))+(O62/$R62*100*($E62/365))+(O63/$R63*100*($E63/365))+(O64/$R64*100*($E64/365))+(O65/$R65*100*($E65/365))+(O66/$R66*100*($E66/365))+(O67/$R67*100*($E67/365))</f>
        <v>84.614027050370836</v>
      </c>
      <c r="I129" s="409"/>
      <c r="J129" s="409">
        <f>(P59/$R59*100*($E59/365))+(P60/$R60*100*($E60/365))+(P61/$R61*100*($E61/365))+(P62/$R62*100*($E62/365))+(P63/$R63*100*($E63/365))+(P64/$R64*100*($E64/365))+(P65/$R65*100*($E65/365))+(P66/$R66*100*($E66/365))+(P67/$R67*100*($E67/365))</f>
        <v>0</v>
      </c>
      <c r="K129" s="409"/>
      <c r="L129" s="409">
        <f>(Q59/$R59*100*($E59/365))+(Q60/$R60*100*($E60/365))+(Q61/$R61*100*($E61/365))+(Q62/$R62*100*($E62/365))+(Q63/$R63*100*($E63/365))+(Q64/$R64*100*($E64/365))+(Q65/$R65*100*($E65/365))+(Q66/$R66*100*($E66/365))+(Q67/$R67*100*($E67/365))</f>
        <v>15.385972949629156</v>
      </c>
      <c r="M129" s="409"/>
      <c r="N129" s="424">
        <f t="shared" si="27"/>
        <v>100</v>
      </c>
      <c r="O129" s="424"/>
      <c r="P129" s="9"/>
      <c r="Q129" s="9"/>
      <c r="R129" s="1">
        <v>2007</v>
      </c>
      <c r="S129" s="5">
        <f xml:space="preserve"> (O59*($E59/365))+(O60*($E60/365))+(O61*($E61/365))+(O62*($E62/365)) +(O63*($E63/365))+(O64*($E64/365))+(O65*($E65/365))+(O66*($E66/365))+(O67*($E67/365))</f>
        <v>39.459452054794518</v>
      </c>
      <c r="T129" s="5">
        <f xml:space="preserve"> (P59*($E59/365))+(P60*($E60/365))+(P61*($E61/365))+(P62*($E62/365)) +(P63*($E63/365))+(P64*($E64/365))+(P65*($E65/365))+(P66*($E66/365))+(P67*($E67/365))</f>
        <v>0</v>
      </c>
      <c r="U129" s="5">
        <f xml:space="preserve"> (Q59*($E59/365))+(Q60*($E60/365))+(Q61*($E61/365))+(Q62*($E62/365)) +(Q63*($E63/365))+(Q64*($E64/365))+(Q65*($E65/365))+(Q66*($E66/365))+(Q67*($E67/365))</f>
        <v>8.1846575342465755</v>
      </c>
      <c r="V129" s="9"/>
      <c r="W129" s="5">
        <f t="shared" si="29"/>
        <v>47.644109589041093</v>
      </c>
    </row>
    <row r="130" spans="1:23" x14ac:dyDescent="0.15">
      <c r="A130" s="1">
        <v>2008</v>
      </c>
      <c r="B130" s="5">
        <f xml:space="preserve"> (K68*($E68/366))+(K69*($E69/366))</f>
        <v>52.631578947368418</v>
      </c>
      <c r="C130" s="5">
        <f xml:space="preserve"> (L68*($E68/366))+(L69*($E69/366))</f>
        <v>0</v>
      </c>
      <c r="D130" s="5">
        <f xml:space="preserve"> (M68*($E68/366))+(M69*($E69/366))</f>
        <v>15.789473684210526</v>
      </c>
      <c r="E130" s="24">
        <f t="shared" si="28"/>
        <v>68.421052631578945</v>
      </c>
      <c r="G130" s="1">
        <v>2008</v>
      </c>
      <c r="H130" s="409">
        <f>(O68/$R68*100*($E68/366))+(O69/$R69*100*($E69/366))</f>
        <v>87.140115163147797</v>
      </c>
      <c r="I130" s="409"/>
      <c r="J130" s="409">
        <f>(P68/$R68*100*($E68/366))+(P69/$R69*100*($E69/366))</f>
        <v>0</v>
      </c>
      <c r="K130" s="409"/>
      <c r="L130" s="409">
        <f>(Q68/$R68*100*($E68/366))+(Q69/$R69*100*($E69/366))</f>
        <v>12.859884836852206</v>
      </c>
      <c r="M130" s="409"/>
      <c r="N130" s="424">
        <f t="shared" si="27"/>
        <v>100</v>
      </c>
      <c r="O130" s="424"/>
      <c r="P130" s="9"/>
      <c r="Q130" s="9"/>
      <c r="R130" s="1">
        <v>2008</v>
      </c>
      <c r="S130" s="5">
        <f xml:space="preserve"> (O68*($E68/366))+(O69*($E69/366))</f>
        <v>45.4</v>
      </c>
      <c r="T130" s="5">
        <f xml:space="preserve"> (P68*($E68/366))+(P69*($E69/366))</f>
        <v>0</v>
      </c>
      <c r="U130" s="5">
        <f xml:space="preserve"> (Q68*($E68/366))+(Q69*($E69/366))</f>
        <v>6.7</v>
      </c>
      <c r="V130" s="9"/>
      <c r="W130" s="5">
        <f t="shared" si="29"/>
        <v>52.1</v>
      </c>
    </row>
    <row r="131" spans="1:23" x14ac:dyDescent="0.15">
      <c r="A131" s="1">
        <v>2009</v>
      </c>
      <c r="B131" s="5">
        <f xml:space="preserve"> (K70*($E70/365))+(K71*($E71/365))+(K72*($E72/365))+(K73*($E73/365))</f>
        <v>60.360490266762795</v>
      </c>
      <c r="C131" s="5">
        <f xml:space="preserve"> (L70*($E70/365))+(L71*($E71/365))+(L72*($E72/365))+(L73*($E73/365))</f>
        <v>0</v>
      </c>
      <c r="D131" s="5">
        <f xml:space="preserve"> (M70*($E70/365))+(M71*($E71/365))+(M72*($E72/365))+(M73*($E73/365))</f>
        <v>15.789473684210526</v>
      </c>
      <c r="E131" s="24">
        <f t="shared" si="28"/>
        <v>76.149963950973316</v>
      </c>
      <c r="G131" s="1">
        <v>2009</v>
      </c>
      <c r="H131" s="409">
        <f>(O70/$R70*100*($E70/365))+(O71/$R71*100*($E71/365))+(O72/$R72*100*($E72/365))+(O73/$R73*100*($E73/365))</f>
        <v>87.140115163147797</v>
      </c>
      <c r="I131" s="409"/>
      <c r="J131" s="409">
        <f>(P70/$R70*100*($E70/365))+(P71/$R71*100*($E71/365))+(P72/$R72*100*($E72/365))+(P73/$R73*100*($E73/365))</f>
        <v>0</v>
      </c>
      <c r="K131" s="409"/>
      <c r="L131" s="409">
        <f>(Q70/$R70*100*($E70/365))+(Q71/$R71*100*($E71/365))+(Q72/$R72*100*($E72/365))+(Q73/$R73*100*($E73/365))</f>
        <v>12.859884836852208</v>
      </c>
      <c r="M131" s="409"/>
      <c r="N131" s="424">
        <f t="shared" si="27"/>
        <v>100</v>
      </c>
      <c r="O131" s="424"/>
      <c r="P131" s="9"/>
      <c r="Q131" s="9"/>
      <c r="R131" s="1">
        <v>2009</v>
      </c>
      <c r="S131" s="5">
        <f xml:space="preserve"> (O70*($E70/365))+(O71*($E71/365))+(O72*($E72/365))+(O73*($E73/365))</f>
        <v>45.400000000000006</v>
      </c>
      <c r="T131" s="5">
        <f xml:space="preserve"> (P70*($E70/365))+(P71*($E71/365))+(P72*($E72/365))+(P73*($E73/365))</f>
        <v>0</v>
      </c>
      <c r="U131" s="5">
        <f xml:space="preserve"> (Q70*($E70/365))+(Q71*($E71/365))+(Q72*($E72/365))+(Q73*($E73/365))</f>
        <v>6.7</v>
      </c>
      <c r="V131" s="9"/>
      <c r="W131" s="5">
        <f t="shared" si="29"/>
        <v>52.100000000000009</v>
      </c>
    </row>
    <row r="132" spans="1:23" x14ac:dyDescent="0.15">
      <c r="A132" s="1">
        <v>2010</v>
      </c>
      <c r="B132" s="5">
        <f xml:space="preserve"> (K74*($E74/365)) +(K75*($E75/365))</f>
        <v>52.631578947368418</v>
      </c>
      <c r="C132" s="5">
        <f xml:space="preserve"> (L74*($E74/365)) +(L75*($E75/365))</f>
        <v>0</v>
      </c>
      <c r="D132" s="5">
        <f xml:space="preserve"> (M74*($E74/365)) +(M75*($E75/365))</f>
        <v>15.789473684210526</v>
      </c>
      <c r="E132" s="24">
        <f t="shared" si="28"/>
        <v>68.421052631578945</v>
      </c>
      <c r="G132" s="1">
        <v>2010</v>
      </c>
      <c r="H132" s="409">
        <f>(O74/$R74*100*($E74/365))+(O75/$R75*100*($E75/365))</f>
        <v>87.140115163147797</v>
      </c>
      <c r="I132" s="409"/>
      <c r="J132" s="409">
        <f>(P74/$R74*100*($E74/365))+(P75/$R75*100*($E75/365))</f>
        <v>0</v>
      </c>
      <c r="K132" s="409"/>
      <c r="L132" s="409">
        <f>(Q74/$R74*100*($E74/365))+(Q75/$R75*100*($E75/365))</f>
        <v>12.859884836852206</v>
      </c>
      <c r="M132" s="409"/>
      <c r="N132" s="424">
        <f t="shared" si="27"/>
        <v>100</v>
      </c>
      <c r="O132" s="424"/>
      <c r="P132" s="9"/>
      <c r="Q132" s="9"/>
      <c r="R132" s="1">
        <v>2010</v>
      </c>
      <c r="S132" s="5">
        <f xml:space="preserve"> (O74*($E74/365)) +(O75*($E75/365))</f>
        <v>45.4</v>
      </c>
      <c r="T132" s="5">
        <f xml:space="preserve"> (P74*($E74/365)) +(P75*($E75/365))</f>
        <v>0</v>
      </c>
      <c r="U132" s="5">
        <f xml:space="preserve"> (Q74*($E74/365)) +(Q75*($E75/365))</f>
        <v>6.7</v>
      </c>
      <c r="V132" s="9"/>
      <c r="W132" s="5">
        <f t="shared" si="29"/>
        <v>52.1</v>
      </c>
    </row>
    <row r="133" spans="1:23" x14ac:dyDescent="0.15">
      <c r="A133" s="1">
        <v>2011</v>
      </c>
      <c r="B133" s="5">
        <f xml:space="preserve"> (K76*($E76/365)) +(K77*($E77/365))+(K78*($E78/365))</f>
        <v>53.3518809109801</v>
      </c>
      <c r="C133" s="5">
        <f xml:space="preserve"> (L76*($E76/365)) +(L77*($E77/365))+(L78*($E78/365))</f>
        <v>0</v>
      </c>
      <c r="D133" s="5">
        <f xml:space="preserve"> (M76*($E76/365)) +(M77*($E77/365))+(M78*($E78/365))</f>
        <v>15.750286271682429</v>
      </c>
      <c r="E133" s="24">
        <f t="shared" si="28"/>
        <v>69.102167182662527</v>
      </c>
      <c r="G133" s="1">
        <v>2011</v>
      </c>
      <c r="H133" s="409">
        <f>(O76/$R76*100*($E76/365))+(O77/$R77*100*($E77/365))+(O78/$R78*100*($E78/365))</f>
        <v>87.251321504041485</v>
      </c>
      <c r="I133" s="409"/>
      <c r="J133" s="409">
        <f>(P76/$R76*100*($E76/365))+(P77/$R77*100*($E77/365))+(P78/$R78*100*($E78/365))</f>
        <v>0</v>
      </c>
      <c r="K133" s="409"/>
      <c r="L133" s="409">
        <f>(Q76/$R76*100*($E76/365))+(Q77/$R77*100*($E77/365))+(Q78/$R78*100*($E78/365))</f>
        <v>12.748678495958526</v>
      </c>
      <c r="M133" s="409"/>
      <c r="N133" s="424">
        <f t="shared" si="27"/>
        <v>100.00000000000001</v>
      </c>
      <c r="O133" s="424"/>
      <c r="P133" s="9"/>
      <c r="Q133" s="9"/>
      <c r="R133" s="1">
        <v>2011</v>
      </c>
      <c r="S133" s="5">
        <f xml:space="preserve"> (O76*($E76/365)) +(O77*($E77/365))+(O78*($E78/365))</f>
        <v>45.351780821917806</v>
      </c>
      <c r="T133" s="5">
        <f xml:space="preserve"> (P76*($E76/365)) +(P77*($E77/365))+(P78*($E78/365))</f>
        <v>0</v>
      </c>
      <c r="U133" s="5">
        <f xml:space="preserve"> (Q76*($E76/365)) +(Q77*($E77/365))+(Q78*($E78/365))</f>
        <v>6.627671232876712</v>
      </c>
      <c r="V133" s="9"/>
      <c r="W133" s="5">
        <f t="shared" si="29"/>
        <v>51.979452054794521</v>
      </c>
    </row>
    <row r="134" spans="1:23" x14ac:dyDescent="0.15">
      <c r="A134" s="1">
        <v>2012</v>
      </c>
      <c r="B134" s="5">
        <f xml:space="preserve"> (K79*($E79/366)) +(K80*($E80/366))</f>
        <v>60</v>
      </c>
      <c r="C134" s="5">
        <f xml:space="preserve"> (L79*($E79/366)) +(L80*($E80/366))</f>
        <v>0</v>
      </c>
      <c r="D134" s="5">
        <f xml:space="preserve"> (M79*($E79/366)) +(M80*($E80/366))</f>
        <v>15</v>
      </c>
      <c r="E134" s="24">
        <f t="shared" si="28"/>
        <v>75</v>
      </c>
      <c r="G134" s="1">
        <v>2012</v>
      </c>
      <c r="H134" s="409">
        <f>(O79/$R79*100*($E79/366))+(O80/$R80*100*($E80/366))</f>
        <v>88.06262230919765</v>
      </c>
      <c r="I134" s="409"/>
      <c r="J134" s="409">
        <f>(P79/$R79*100*($E79/366))+(P80/$R80*100*($E80/366))</f>
        <v>0</v>
      </c>
      <c r="K134" s="409"/>
      <c r="L134" s="409">
        <f>(Q79/$R79*100*($E79/366))+(Q80/$R80*100*($E80/366))</f>
        <v>11.937377690802348</v>
      </c>
      <c r="M134" s="409"/>
      <c r="N134" s="424">
        <f t="shared" si="27"/>
        <v>100</v>
      </c>
      <c r="O134" s="424"/>
      <c r="P134" s="9"/>
      <c r="Q134" s="9"/>
      <c r="R134" s="1">
        <v>2012</v>
      </c>
      <c r="S134" s="5">
        <f xml:space="preserve"> (O79*($E79/366)) +(O80*($E80/366))</f>
        <v>45</v>
      </c>
      <c r="T134" s="5">
        <f xml:space="preserve"> (P79*($E79/366)) +(P80*($E80/366))</f>
        <v>0</v>
      </c>
      <c r="U134" s="5">
        <f xml:space="preserve"> (Q79*($E79/366)) +(Q80*($E80/366))</f>
        <v>6.1</v>
      </c>
      <c r="V134" s="9"/>
      <c r="W134" s="5">
        <f t="shared" ref="W134:W139" si="30">S134+T134+U134</f>
        <v>51.1</v>
      </c>
    </row>
    <row r="135" spans="1:23" x14ac:dyDescent="0.15">
      <c r="A135" s="1">
        <v>2013</v>
      </c>
      <c r="B135" s="5">
        <f xml:space="preserve"> (K81*($E81/365))+(K82*($E82/365))+(K83*($E83/365)) +(K84*($E84/365))</f>
        <v>59.003604902667632</v>
      </c>
      <c r="C135" s="5">
        <f xml:space="preserve"> (L81*($E81/365)) +(L82*($E82/365))+(L83*($E83/365)) +(L84*($E84/365))</f>
        <v>0</v>
      </c>
      <c r="D135" s="5">
        <f xml:space="preserve"> (M81*($E81/365)) +(M82*($E82/365))+(M83*($E83/365)) +(M84*($E84/365))</f>
        <v>15.075702956020187</v>
      </c>
      <c r="E135" s="24">
        <f>B135+C135+D135</f>
        <v>74.079307858687827</v>
      </c>
      <c r="G135" s="1">
        <v>2013</v>
      </c>
      <c r="H135" s="409">
        <f>(O81/$R81*100*($E81/365))+(O82/$R82*100*($E82/365))+(O83/$R83*100*($E83/365))+(O84/$R84*100*($E84/365))</f>
        <v>88.06262230919765</v>
      </c>
      <c r="I135" s="409"/>
      <c r="J135" s="409">
        <f>(P81/$R81*100*($E81/365))+(P82/$R82*100*($E82/365))+(P83/$R83*100*($E83/365))+(P84/$R84*100*($E84/365))</f>
        <v>0</v>
      </c>
      <c r="K135" s="409"/>
      <c r="L135" s="409">
        <f>(Q81/$R81*100*($E81/365))+(Q82/$R82*100*($E82/365))+(Q83/$R83*100*($E83/365))+(Q84/$R84*100*($E84/365))</f>
        <v>11.937377690802348</v>
      </c>
      <c r="M135" s="409"/>
      <c r="N135" s="424">
        <f>H135+J135+L135</f>
        <v>100</v>
      </c>
      <c r="O135" s="424"/>
      <c r="R135" s="1">
        <v>2013</v>
      </c>
      <c r="S135" s="5">
        <f xml:space="preserve"> (O81*($E81/365))+(O82*($E82/365)) +(O83*($E83/365)) +(O84*($E84/365))</f>
        <v>45</v>
      </c>
      <c r="T135" s="5">
        <f xml:space="preserve"> (P81*($E81/365)) +(P82*($E82/365))+(P83*($E83/365)) +(P84*($E84/365))</f>
        <v>0</v>
      </c>
      <c r="U135" s="5">
        <f xml:space="preserve"> (Q81*($E81/365)) +(Q82*($E82/365))+(Q83*($E83/365)) +(Q84*($E84/365))</f>
        <v>6.1</v>
      </c>
      <c r="V135" s="9"/>
      <c r="W135" s="5">
        <f t="shared" si="30"/>
        <v>51.1</v>
      </c>
    </row>
    <row r="136" spans="1:23" x14ac:dyDescent="0.15">
      <c r="A136" s="1">
        <v>2014</v>
      </c>
      <c r="B136" s="5">
        <f xml:space="preserve"> (K85*($E85/365))+(K86*($E86/365)) +(K87*($E87/365))</f>
        <v>56.49603460706561</v>
      </c>
      <c r="C136" s="5">
        <f xml:space="preserve"> (L85*($E85/365))+(L86*($E86/365)) +(L87*($E87/365))</f>
        <v>0</v>
      </c>
      <c r="D136" s="5">
        <f xml:space="preserve"> (M85*($E85/365))+(M86*($E86/365)) +(M87*($E87/365))</f>
        <v>15.789473684210527</v>
      </c>
      <c r="E136" s="24">
        <f>B136+C136+D136</f>
        <v>72.28550829127613</v>
      </c>
      <c r="G136" s="1">
        <v>2014</v>
      </c>
      <c r="H136" s="409">
        <f>(O85/$R85*100*($E85/365))+(O86/$R86*100*($E86/365))+(O87/$R87*100*($E87/365))</f>
        <v>87.567829533765092</v>
      </c>
      <c r="I136" s="409"/>
      <c r="J136" s="409">
        <f>(P85/$R85*100*($E85/365))+(P86/$R86*100*($E86/365))+(P87/$R87*100*($E87/365))</f>
        <v>0</v>
      </c>
      <c r="K136" s="409"/>
      <c r="L136" s="409">
        <f>(Q85/$R85*100*($E85/365))+(Q86/$R86*100*($E86/365))+(Q87/$R87*100*($E87/365))</f>
        <v>12.432170466234908</v>
      </c>
      <c r="M136" s="409"/>
      <c r="N136" s="424">
        <f>H136+J136+L136</f>
        <v>100</v>
      </c>
      <c r="O136" s="424"/>
      <c r="R136" s="1">
        <v>2014</v>
      </c>
      <c r="S136" s="5">
        <f>(O85*($E85/365)) +(O86*($E86/365))+(O87*($E87/365))</f>
        <v>44.723287671232875</v>
      </c>
      <c r="T136" s="5">
        <f>(P85*($E85/365)) +(P86*($E86/365))+ (P87*($E87/365))</f>
        <v>0</v>
      </c>
      <c r="U136" s="5">
        <f>(Q85*($E85/365)) +(Q86*($E86/365))+ (Q87*($E87/365))</f>
        <v>6.34904109589041</v>
      </c>
      <c r="V136" s="9"/>
      <c r="W136" s="5">
        <f t="shared" si="30"/>
        <v>51.072328767123281</v>
      </c>
    </row>
    <row r="137" spans="1:23" x14ac:dyDescent="0.15">
      <c r="A137" s="1">
        <v>2015</v>
      </c>
      <c r="B137" s="5">
        <f xml:space="preserve"> (K88*($E88/365))+(K89*($E89/365)) +(K90*($E90/365))</f>
        <v>55.638067772170153</v>
      </c>
      <c r="C137" s="5">
        <f xml:space="preserve"> (L88*($E88/365))+(L89*($E89/365)) +(L90*($E90/365))</f>
        <v>0</v>
      </c>
      <c r="D137" s="5">
        <f xml:space="preserve"> (M88*($E88/365))+(M89*($E89/365)) +(M90*($E90/365))</f>
        <v>13.799567411679885</v>
      </c>
      <c r="E137" s="24">
        <f>B137+C137+D137</f>
        <v>69.437635183850034</v>
      </c>
      <c r="G137" s="1">
        <v>2015</v>
      </c>
      <c r="H137" s="409">
        <f>(O88/$R88*100*($E88/365))+(O89/$R89*100*($E89/365))+(O90/$R90*100*($E90/365))</f>
        <v>88.004297609454753</v>
      </c>
      <c r="I137" s="409"/>
      <c r="J137" s="409">
        <f>(P88/$R88*100*($E88/365))+(P89/$R89*100*($E89/365))+(P90/$R90*100*($E90/365))</f>
        <v>0</v>
      </c>
      <c r="K137" s="409"/>
      <c r="L137" s="409">
        <f>(Q88/$R88*100*($E88/365))+(Q89/$R89*100*($E89/365))+(Q90/$R90*100*($E90/365))</f>
        <v>11.995702390545262</v>
      </c>
      <c r="M137" s="409"/>
      <c r="N137" s="424">
        <f>H137+J137+L137</f>
        <v>100.00000000000001</v>
      </c>
      <c r="O137" s="424"/>
      <c r="R137" s="1">
        <v>2015</v>
      </c>
      <c r="S137" s="5">
        <f>(O88*($E88/365)) +(O89*($E89/365))+(O90*($E90/365))</f>
        <v>44.894794520547947</v>
      </c>
      <c r="T137" s="5">
        <f>(P88*($E88/365)) +(P89*($E89/365))+ (P90*($E90/365))</f>
        <v>0</v>
      </c>
      <c r="U137" s="5">
        <f>(Q88*($E88/365)) +(Q89*($E89/365))+ (Q90*($E90/365))</f>
        <v>6.117808219178082</v>
      </c>
      <c r="V137" s="9"/>
      <c r="W137" s="5">
        <f t="shared" si="30"/>
        <v>51.012602739726027</v>
      </c>
    </row>
    <row r="138" spans="1:23" x14ac:dyDescent="0.15">
      <c r="A138" s="1">
        <v>2016</v>
      </c>
      <c r="B138" s="5">
        <f xml:space="preserve"> (K91*($E91/366))+(K92*($E92/366)) +(K93*($E93/366))</f>
        <v>75.551307803624269</v>
      </c>
      <c r="C138" s="5">
        <f xml:space="preserve"> (L91*($E91/366))+(L92*($E92/366)) +(L93*($E93/366))</f>
        <v>0</v>
      </c>
      <c r="D138" s="5">
        <f xml:space="preserve"> (M91*($E91/366))+(M92*($E92/366)) +(M93*($E93/366))</f>
        <v>0</v>
      </c>
      <c r="E138" s="24">
        <f>B138+C138+D138</f>
        <v>75.551307803624269</v>
      </c>
      <c r="G138" s="1">
        <v>2016</v>
      </c>
      <c r="H138" s="409">
        <f>(O91/$R91*100*($E91/366))+(O92/$R92*100*($E92/366))+(O93/$R93*100*($E93/366))</f>
        <v>100</v>
      </c>
      <c r="I138" s="409"/>
      <c r="J138" s="409">
        <f>(P91/$R91*100*($E91/366))+(P92/$R92*100*($E92/366))+(P93/$R93*100*($E93/366))</f>
        <v>0</v>
      </c>
      <c r="K138" s="409"/>
      <c r="L138" s="409">
        <f>(Q91/$R91*100*($E91/366))+(Q92/$R92*100*($E92/366))+(Q93/$R93*100*($E93/366))</f>
        <v>0</v>
      </c>
      <c r="M138" s="409"/>
      <c r="N138" s="424">
        <f>H138+J138+L138</f>
        <v>100</v>
      </c>
      <c r="O138" s="424"/>
      <c r="R138" s="1">
        <v>2016</v>
      </c>
      <c r="S138" s="5">
        <f>(O91*($E91/366)) +(O92*($E92/366))+(O93*($E93/366))</f>
        <v>51.1</v>
      </c>
      <c r="T138" s="5">
        <f>(P91*($E91/366)) +(P92*($E92/366))+ (P93*($E93/366))</f>
        <v>0</v>
      </c>
      <c r="U138" s="5">
        <f>(Q91*($E91/366)) +(Q92*($E92/366))+ (Q93*($E93/366))</f>
        <v>0</v>
      </c>
      <c r="V138" s="9"/>
      <c r="W138" s="5">
        <f t="shared" si="30"/>
        <v>51.1</v>
      </c>
    </row>
    <row r="139" spans="1:23" x14ac:dyDescent="0.15">
      <c r="A139" s="1">
        <v>2017</v>
      </c>
      <c r="B139" s="5">
        <f xml:space="preserve"> (K94*($E94/365)) +(K95*($E95/365))</f>
        <v>77.272727272727266</v>
      </c>
      <c r="C139" s="5">
        <f t="shared" ref="C139:D139" si="31" xml:space="preserve"> (L94*($E94/365)) +(L95*($E95/365))</f>
        <v>0</v>
      </c>
      <c r="D139" s="5">
        <f t="shared" si="31"/>
        <v>0</v>
      </c>
      <c r="E139" s="24">
        <f>B139+C139+D139</f>
        <v>77.272727272727266</v>
      </c>
      <c r="G139" s="1">
        <v>2017</v>
      </c>
      <c r="H139" s="409">
        <f>(O94/$R94*100*($E94/365))+(O95/$R95*100*($E95/365))</f>
        <v>100</v>
      </c>
      <c r="I139" s="409"/>
      <c r="J139" s="409">
        <f>(P94/$R94*100*($E94/365))+(P95/$R95*100*($E95/365))</f>
        <v>0</v>
      </c>
      <c r="K139" s="409"/>
      <c r="L139" s="409">
        <f>(Q94/$R94*100*($E94/365))+(Q95/$R95*100*($E95/365))</f>
        <v>0</v>
      </c>
      <c r="M139" s="409"/>
      <c r="N139" s="424">
        <f>H139+J139+L139</f>
        <v>100</v>
      </c>
      <c r="O139" s="424"/>
      <c r="R139" s="1">
        <v>2017</v>
      </c>
      <c r="S139" s="5">
        <f>(O94*($E94/365))+(O95*($E95/365))</f>
        <v>51.123013698630139</v>
      </c>
      <c r="T139" s="5">
        <f t="shared" ref="T139:U139" si="32">(P94*($E94/365))+(P95*($E95/365))</f>
        <v>0</v>
      </c>
      <c r="U139" s="5">
        <f t="shared" si="32"/>
        <v>0</v>
      </c>
      <c r="V139" s="9"/>
      <c r="W139" s="5">
        <f t="shared" si="30"/>
        <v>51.123013698630139</v>
      </c>
    </row>
    <row r="140" spans="1:23" x14ac:dyDescent="0.15">
      <c r="A140" s="1">
        <v>2018</v>
      </c>
      <c r="B140" s="5">
        <f xml:space="preserve"> (K96*($E96/365)) +(K97*($E97/365))</f>
        <v>69.734149114732787</v>
      </c>
      <c r="C140" s="5">
        <f xml:space="preserve"> (L96*($E96/365)) +(L97*($E97/365))</f>
        <v>0</v>
      </c>
      <c r="D140" s="5">
        <f xml:space="preserve"> (M96*($E96/365)) +(M97*($E97/365))</f>
        <v>0</v>
      </c>
      <c r="E140" s="24">
        <f t="shared" ref="E140" si="33">B140+C140+D140</f>
        <v>69.734149114732787</v>
      </c>
      <c r="G140" s="1">
        <v>2018</v>
      </c>
      <c r="H140" s="409">
        <f>(O96/$R96*100*($E96/365))+(O97/$R97*100*($E97/365))</f>
        <v>99.999999999999986</v>
      </c>
      <c r="I140" s="409"/>
      <c r="J140" s="409">
        <f>(P96/$R96*100*($E96/365))+(P97/$R97*100*($E97/365))</f>
        <v>0</v>
      </c>
      <c r="K140" s="409"/>
      <c r="L140" s="409">
        <f>(Q96/$R96*100*($E96/365))+(Q97/$R97*100*($E97/365))</f>
        <v>0</v>
      </c>
      <c r="M140" s="409"/>
      <c r="N140" s="424">
        <f t="shared" ref="N140" si="34">H140+J140+L140</f>
        <v>99.999999999999986</v>
      </c>
      <c r="O140" s="424"/>
      <c r="R140" s="1">
        <v>2018</v>
      </c>
      <c r="S140" s="5">
        <f>(O96*($E96/365))+(O97*($E97/365))</f>
        <v>51.5</v>
      </c>
      <c r="T140" s="5">
        <f>(P96*($E96/365))+(P97*($E97/365))</f>
        <v>0</v>
      </c>
      <c r="U140" s="5">
        <f>(Q96*($E96/365))+(Q97*($E97/365))</f>
        <v>0</v>
      </c>
      <c r="V140" s="9"/>
      <c r="W140" s="5">
        <f t="shared" ref="W140" si="35">S140+T140+U140</f>
        <v>51.5</v>
      </c>
    </row>
    <row r="141" spans="1:23" x14ac:dyDescent="0.15">
      <c r="A141" s="1">
        <v>2019</v>
      </c>
      <c r="B141" s="5">
        <f xml:space="preserve"> (K98*($E98/365)) +(K99*($E99/365))+(K100*(E100/365))+(K101*(E101/365))</f>
        <v>69.788068294619805</v>
      </c>
      <c r="C141" s="5">
        <f xml:space="preserve"> (L98*($E98/365)) +(L99*($E99/365))+(L100*(E100/365))+(L101*(E101/365))</f>
        <v>0</v>
      </c>
      <c r="D141" s="5">
        <f xml:space="preserve"> (M98*($E98/365)) +(M99*($E99/365))+(M100*(E100/365))+(M101*(E101/365))</f>
        <v>0</v>
      </c>
      <c r="E141" s="24">
        <f t="shared" ref="E141:E142" si="36">B141+C141+D141</f>
        <v>69.788068294619805</v>
      </c>
      <c r="G141" s="1">
        <v>2019</v>
      </c>
      <c r="H141" s="409">
        <f>(O98/$R98*100*($E98/365))+(O99/$R99*100*($E99/365))+(O100/R100*100*(E100/365))+(O101/R101*100*(E101/365))</f>
        <v>100</v>
      </c>
      <c r="I141" s="409"/>
      <c r="J141" s="409">
        <f>(P98/$R98*100*($E98/365))+(P99/$R99*100*($E99/365))+(P100/R100*100*(E100/365))+(P101/R101*100*(E101/365))</f>
        <v>0</v>
      </c>
      <c r="K141" s="409"/>
      <c r="L141" s="409">
        <f>(Q98/$R98*100*($E98/365))+(Q99/$R99*100*($E99/365))+(Q100/R100*100*(E100/365))+(Q101/R101*100*(E101/365))</f>
        <v>0</v>
      </c>
      <c r="M141" s="409"/>
      <c r="N141" s="424">
        <f t="shared" ref="N141" si="37">H141+J141+L141</f>
        <v>100</v>
      </c>
      <c r="O141" s="424"/>
      <c r="R141" s="1">
        <v>2019</v>
      </c>
      <c r="S141" s="5">
        <f>(O98*($E98/365))+(O99*($E99/365))+(O100*(E100/365))+(O101*(E101/365))</f>
        <v>51.499999999999993</v>
      </c>
      <c r="T141" s="5">
        <f>(P98*($E98/365))+(P99*($E99/365))+(P100*(E100/365))+(P101*(E101/365))</f>
        <v>0</v>
      </c>
      <c r="U141" s="5">
        <f>(Q98*($E98/365))+(Q99*($E99/365))+(Q100*(E100/365))+(Q101*(E101/365))</f>
        <v>0</v>
      </c>
      <c r="V141" s="9"/>
      <c r="W141" s="5">
        <f t="shared" ref="W141" si="38">S141+T141+U141</f>
        <v>51.499999999999993</v>
      </c>
    </row>
    <row r="142" spans="1:23" x14ac:dyDescent="0.15">
      <c r="A142" s="1">
        <v>2020</v>
      </c>
      <c r="B142" s="5">
        <f xml:space="preserve"> (K102*(E102/366))+(K103*(E103/366)) + (K104*(E104/366))</f>
        <v>70.508066614623985</v>
      </c>
      <c r="C142" s="5">
        <f xml:space="preserve"> (L102*(F102/366))+(L103*(F103/366)) + (L104*(F104/366))</f>
        <v>0</v>
      </c>
      <c r="D142" s="5">
        <f xml:space="preserve"> (M102*(G102/366))+(M103*(G103/366)) + (M104*(G104/366))</f>
        <v>0</v>
      </c>
      <c r="E142" s="24">
        <f t="shared" si="36"/>
        <v>70.508066614623985</v>
      </c>
      <c r="G142" s="1">
        <v>2020</v>
      </c>
      <c r="H142" s="409">
        <f>(O102/$R102*100*($E102/366))+(O103/R103*100*(E103/366))+(O104/R104*100*(E104/366))</f>
        <v>99.999999999999986</v>
      </c>
      <c r="I142" s="409"/>
      <c r="J142" s="409">
        <f>(P102/$R102*100*($E102/366))+(P103/R103*100*(E103/366))+(P104/R104*100*(E104/366))</f>
        <v>0</v>
      </c>
      <c r="K142" s="409"/>
      <c r="L142" s="409">
        <f>(Q102/$R102*100*($E102/366))+(Q103/R103*100*(E103/366))+(Q104/R104*100*(E104/366))</f>
        <v>0</v>
      </c>
      <c r="M142" s="409"/>
      <c r="N142" s="424">
        <f t="shared" ref="N142" si="39">H142+J142+L142</f>
        <v>99.999999999999986</v>
      </c>
      <c r="O142" s="424"/>
      <c r="R142" s="1">
        <v>2020</v>
      </c>
      <c r="S142" s="5">
        <f>(O102*($E102/366))+(O103*(E103/366))+(O104*(E104/366))</f>
        <v>51.499999999999993</v>
      </c>
      <c r="T142" s="5">
        <f>(P102*($E102/366))+(P103*(E103/366))+(P104*(E104/366))</f>
        <v>0</v>
      </c>
      <c r="U142" s="5">
        <f>(Q102*($E102/366))+(Q103*(E103/366))+(Q104*(E104/366))</f>
        <v>0</v>
      </c>
      <c r="W142" s="5">
        <f>S142+T142+U142</f>
        <v>51.499999999999993</v>
      </c>
    </row>
  </sheetData>
  <mergeCells count="246">
    <mergeCell ref="H116:I116"/>
    <mergeCell ref="H117:I117"/>
    <mergeCell ref="H131:I131"/>
    <mergeCell ref="H136:I136"/>
    <mergeCell ref="J136:K136"/>
    <mergeCell ref="L136:M136"/>
    <mergeCell ref="H118:I118"/>
    <mergeCell ref="H119:I119"/>
    <mergeCell ref="H120:I120"/>
    <mergeCell ref="H121:I121"/>
    <mergeCell ref="H134:I134"/>
    <mergeCell ref="J126:K126"/>
    <mergeCell ref="J127:K127"/>
    <mergeCell ref="H122:I122"/>
    <mergeCell ref="H123:I123"/>
    <mergeCell ref="J118:K118"/>
    <mergeCell ref="L123:M123"/>
    <mergeCell ref="H124:I124"/>
    <mergeCell ref="L120:M120"/>
    <mergeCell ref="L121:M121"/>
    <mergeCell ref="L122:M122"/>
    <mergeCell ref="J133:K133"/>
    <mergeCell ref="J125:K125"/>
    <mergeCell ref="J123:K123"/>
    <mergeCell ref="H142:I142"/>
    <mergeCell ref="J142:K142"/>
    <mergeCell ref="L142:M142"/>
    <mergeCell ref="N142:O142"/>
    <mergeCell ref="N136:O136"/>
    <mergeCell ref="L134:M134"/>
    <mergeCell ref="N134:O134"/>
    <mergeCell ref="L133:M133"/>
    <mergeCell ref="H133:I133"/>
    <mergeCell ref="H140:I140"/>
    <mergeCell ref="J140:K140"/>
    <mergeCell ref="L140:M140"/>
    <mergeCell ref="N140:O140"/>
    <mergeCell ref="H139:I139"/>
    <mergeCell ref="J139:K139"/>
    <mergeCell ref="L139:M139"/>
    <mergeCell ref="N139:O139"/>
    <mergeCell ref="H138:I138"/>
    <mergeCell ref="J138:K138"/>
    <mergeCell ref="L138:M138"/>
    <mergeCell ref="N138:O138"/>
    <mergeCell ref="H137:I137"/>
    <mergeCell ref="J137:K137"/>
    <mergeCell ref="H135:I135"/>
    <mergeCell ref="R109:W109"/>
    <mergeCell ref="H111:I111"/>
    <mergeCell ref="J111:K111"/>
    <mergeCell ref="L111:M111"/>
    <mergeCell ref="N111:O111"/>
    <mergeCell ref="L113:M113"/>
    <mergeCell ref="L124:M124"/>
    <mergeCell ref="N114:O114"/>
    <mergeCell ref="N115:O115"/>
    <mergeCell ref="N119:O119"/>
    <mergeCell ref="N116:O116"/>
    <mergeCell ref="N123:O123"/>
    <mergeCell ref="N120:O120"/>
    <mergeCell ref="N121:O121"/>
    <mergeCell ref="N117:O117"/>
    <mergeCell ref="N118:O118"/>
    <mergeCell ref="L117:M117"/>
    <mergeCell ref="J113:K113"/>
    <mergeCell ref="J114:K114"/>
    <mergeCell ref="L114:M114"/>
    <mergeCell ref="L115:M115"/>
    <mergeCell ref="N124:O124"/>
    <mergeCell ref="N122:O122"/>
    <mergeCell ref="J124:K124"/>
    <mergeCell ref="C83:D83"/>
    <mergeCell ref="H113:I113"/>
    <mergeCell ref="H114:I114"/>
    <mergeCell ref="H115:I115"/>
    <mergeCell ref="C88:D88"/>
    <mergeCell ref="C104:D104"/>
    <mergeCell ref="C91:D91"/>
    <mergeCell ref="C92:D92"/>
    <mergeCell ref="C93:D93"/>
    <mergeCell ref="C95:D95"/>
    <mergeCell ref="C102:D102"/>
    <mergeCell ref="C103:D103"/>
    <mergeCell ref="C98:D98"/>
    <mergeCell ref="C100:D100"/>
    <mergeCell ref="C101:D101"/>
    <mergeCell ref="C99:D99"/>
    <mergeCell ref="C84:D84"/>
    <mergeCell ref="C97:D97"/>
    <mergeCell ref="C65:D65"/>
    <mergeCell ref="C53:D53"/>
    <mergeCell ref="C54:D54"/>
    <mergeCell ref="C60:D60"/>
    <mergeCell ref="C57:D57"/>
    <mergeCell ref="C58:D58"/>
    <mergeCell ref="C55:D55"/>
    <mergeCell ref="C62:D62"/>
    <mergeCell ref="C56:D56"/>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V9:AC9"/>
    <mergeCell ref="C20:D20"/>
    <mergeCell ref="C19:D19"/>
    <mergeCell ref="C27:D27"/>
    <mergeCell ref="A4:A5"/>
    <mergeCell ref="B4:B5"/>
    <mergeCell ref="C4:D5"/>
    <mergeCell ref="C6:D6"/>
    <mergeCell ref="E4:E5"/>
    <mergeCell ref="C14:D14"/>
    <mergeCell ref="C15:D15"/>
    <mergeCell ref="C16:D16"/>
    <mergeCell ref="C17:D17"/>
    <mergeCell ref="C7:D7"/>
    <mergeCell ref="C8:D8"/>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C67:D67"/>
    <mergeCell ref="C66:D66"/>
    <mergeCell ref="L118:M118"/>
    <mergeCell ref="C79:D79"/>
    <mergeCell ref="C75:D75"/>
    <mergeCell ref="C76:D76"/>
    <mergeCell ref="C77:D77"/>
    <mergeCell ref="C80:D80"/>
    <mergeCell ref="L116:M116"/>
    <mergeCell ref="J116:K116"/>
    <mergeCell ref="C68:D68"/>
    <mergeCell ref="C69:D69"/>
    <mergeCell ref="C89:D89"/>
    <mergeCell ref="C90:D90"/>
    <mergeCell ref="C94:D94"/>
    <mergeCell ref="C71:D71"/>
    <mergeCell ref="C72:D72"/>
    <mergeCell ref="C73:D73"/>
    <mergeCell ref="C74:D74"/>
    <mergeCell ref="C70:D70"/>
    <mergeCell ref="C81:D81"/>
    <mergeCell ref="C82:D82"/>
    <mergeCell ref="C87:D87"/>
    <mergeCell ref="C86:D86"/>
    <mergeCell ref="N113:O113"/>
    <mergeCell ref="L130:M130"/>
    <mergeCell ref="J134:K134"/>
    <mergeCell ref="N133:O133"/>
    <mergeCell ref="N130:O130"/>
    <mergeCell ref="N131:O131"/>
    <mergeCell ref="J131:K131"/>
    <mergeCell ref="C85:D85"/>
    <mergeCell ref="H132:I132"/>
    <mergeCell ref="N132:O132"/>
    <mergeCell ref="N129:O129"/>
    <mergeCell ref="H129:I129"/>
    <mergeCell ref="H130:I130"/>
    <mergeCell ref="J130:K130"/>
    <mergeCell ref="L129:M129"/>
    <mergeCell ref="L131:M131"/>
    <mergeCell ref="J128:K128"/>
    <mergeCell ref="N126:O126"/>
    <mergeCell ref="N127:O127"/>
    <mergeCell ref="N125:O125"/>
    <mergeCell ref="L127:M127"/>
    <mergeCell ref="H127:I127"/>
    <mergeCell ref="H128:I128"/>
    <mergeCell ref="C96:D96"/>
    <mergeCell ref="J115:K115"/>
    <mergeCell ref="J117:K117"/>
    <mergeCell ref="J122:K122"/>
    <mergeCell ref="N135:O135"/>
    <mergeCell ref="J135:K135"/>
    <mergeCell ref="L135:M135"/>
    <mergeCell ref="N128:O128"/>
    <mergeCell ref="L126:M126"/>
    <mergeCell ref="L137:M137"/>
    <mergeCell ref="N137:O137"/>
    <mergeCell ref="J119:K119"/>
    <mergeCell ref="J120:K120"/>
    <mergeCell ref="J121:K121"/>
    <mergeCell ref="J141:K141"/>
    <mergeCell ref="L141:M141"/>
    <mergeCell ref="H141:I141"/>
    <mergeCell ref="L119:M119"/>
    <mergeCell ref="N141:O141"/>
    <mergeCell ref="J129:K129"/>
    <mergeCell ref="J132:K132"/>
    <mergeCell ref="H125:I125"/>
    <mergeCell ref="H126:I126"/>
    <mergeCell ref="L125:M125"/>
    <mergeCell ref="L132:M132"/>
    <mergeCell ref="L128:M128"/>
  </mergeCells>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A169"/>
  <sheetViews>
    <sheetView zoomScale="140" zoomScaleNormal="120" workbookViewId="0">
      <pane xSplit="1" ySplit="5" topLeftCell="B28" activePane="bottomRight" state="frozen"/>
      <selection pane="topRight" activeCell="B1" sqref="B1"/>
      <selection pane="bottomLeft" activeCell="A6" sqref="A6"/>
      <selection pane="bottomRight" activeCell="I104" sqref="I104"/>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66</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52">
        <v>1976</v>
      </c>
      <c r="B6" s="295"/>
      <c r="C6" s="421" t="s">
        <v>1263</v>
      </c>
      <c r="D6" s="421"/>
      <c r="E6" s="29">
        <v>204</v>
      </c>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216">
        <v>1976</v>
      </c>
      <c r="B7" s="283">
        <v>27964</v>
      </c>
      <c r="C7" s="410" t="s">
        <v>607</v>
      </c>
      <c r="D7" s="410"/>
      <c r="E7" s="171">
        <f>366-E6</f>
        <v>162</v>
      </c>
      <c r="F7" s="171" t="s">
        <v>335</v>
      </c>
      <c r="G7" s="233"/>
      <c r="I7" s="171">
        <v>12</v>
      </c>
      <c r="J7" s="241">
        <v>17</v>
      </c>
      <c r="K7" s="214">
        <f>G7/$J7*100</f>
        <v>0</v>
      </c>
      <c r="L7" s="214">
        <f t="shared" ref="L7:M22" si="0">H7/$J7*100</f>
        <v>0</v>
      </c>
      <c r="M7" s="214">
        <f t="shared" si="0"/>
        <v>70.588235294117652</v>
      </c>
      <c r="N7" s="235">
        <f>K7+L7+M7</f>
        <v>70.588235294117652</v>
      </c>
      <c r="O7" s="213"/>
      <c r="P7" s="214"/>
      <c r="Q7" s="214">
        <v>40.700000000000003</v>
      </c>
      <c r="R7" s="215">
        <f>O7+P7+Q7</f>
        <v>40.700000000000003</v>
      </c>
      <c r="S7" s="171">
        <v>4</v>
      </c>
      <c r="T7" s="285">
        <v>27875</v>
      </c>
      <c r="U7" s="283">
        <v>27964</v>
      </c>
      <c r="V7" s="178" t="s">
        <v>95</v>
      </c>
      <c r="W7" s="171" t="s">
        <v>20</v>
      </c>
      <c r="X7" s="171" t="s">
        <v>12</v>
      </c>
      <c r="Y7" s="179">
        <v>40.700000000000003</v>
      </c>
      <c r="AD7" s="178"/>
      <c r="AG7" s="179"/>
      <c r="AL7" s="178"/>
      <c r="AO7" s="179"/>
      <c r="AP7" s="178"/>
      <c r="AS7" s="179"/>
      <c r="AW7" s="179"/>
      <c r="BA7" s="180"/>
    </row>
    <row r="8" spans="1:53" s="171" customFormat="1" x14ac:dyDescent="0.15">
      <c r="A8" s="216">
        <v>1977</v>
      </c>
      <c r="B8" s="283"/>
      <c r="C8" s="410" t="s">
        <v>607</v>
      </c>
      <c r="D8" s="410"/>
      <c r="E8" s="171">
        <v>0</v>
      </c>
      <c r="G8" s="233"/>
      <c r="I8" s="171">
        <v>12</v>
      </c>
      <c r="J8" s="241">
        <v>17</v>
      </c>
      <c r="K8" s="214">
        <f t="shared" ref="K8:M71" si="1">G8/$J8*100</f>
        <v>0</v>
      </c>
      <c r="L8" s="214">
        <f t="shared" si="0"/>
        <v>0</v>
      </c>
      <c r="M8" s="214">
        <f t="shared" si="0"/>
        <v>70.588235294117652</v>
      </c>
      <c r="N8" s="235">
        <f t="shared" ref="N8:N71" si="2">K8+L8+M8</f>
        <v>70.588235294117652</v>
      </c>
      <c r="O8" s="213"/>
      <c r="P8" s="214"/>
      <c r="Q8" s="214">
        <v>40.700000000000003</v>
      </c>
      <c r="R8" s="215">
        <f t="shared" ref="R8:R71" si="3">O8+P8+Q8</f>
        <v>40.700000000000003</v>
      </c>
      <c r="S8" s="171">
        <v>4</v>
      </c>
      <c r="T8" s="285"/>
      <c r="U8" s="283"/>
      <c r="V8" s="178" t="s">
        <v>95</v>
      </c>
      <c r="W8" s="171" t="s">
        <v>20</v>
      </c>
      <c r="X8" s="171" t="s">
        <v>12</v>
      </c>
      <c r="Y8" s="179">
        <v>40.700000000000003</v>
      </c>
      <c r="AD8" s="178"/>
      <c r="AG8" s="179"/>
      <c r="AL8" s="178"/>
      <c r="AO8" s="179"/>
      <c r="AP8" s="178"/>
      <c r="AS8" s="179"/>
      <c r="AW8" s="179"/>
      <c r="BA8" s="180"/>
    </row>
    <row r="9" spans="1:53" s="171" customFormat="1" x14ac:dyDescent="0.15">
      <c r="A9" s="216">
        <v>1977</v>
      </c>
      <c r="B9" s="283"/>
      <c r="C9" s="410" t="s">
        <v>607</v>
      </c>
      <c r="D9" s="410"/>
      <c r="E9" s="171">
        <v>365</v>
      </c>
      <c r="G9" s="233"/>
      <c r="I9" s="171">
        <v>12</v>
      </c>
      <c r="J9" s="241">
        <v>17</v>
      </c>
      <c r="K9" s="214">
        <f t="shared" si="1"/>
        <v>0</v>
      </c>
      <c r="L9" s="214">
        <f t="shared" si="0"/>
        <v>0</v>
      </c>
      <c r="M9" s="214">
        <f t="shared" si="0"/>
        <v>70.588235294117652</v>
      </c>
      <c r="N9" s="235">
        <f t="shared" si="2"/>
        <v>70.588235294117652</v>
      </c>
      <c r="O9" s="213"/>
      <c r="P9" s="214"/>
      <c r="Q9" s="214">
        <v>40.700000000000003</v>
      </c>
      <c r="R9" s="215">
        <f t="shared" si="3"/>
        <v>40.700000000000003</v>
      </c>
      <c r="S9" s="171">
        <v>4</v>
      </c>
      <c r="T9" s="285"/>
      <c r="U9" s="283"/>
      <c r="V9" s="178" t="s">
        <v>95</v>
      </c>
      <c r="W9" s="171" t="s">
        <v>20</v>
      </c>
      <c r="X9" s="171" t="s">
        <v>12</v>
      </c>
      <c r="Y9" s="179">
        <v>40.700000000000003</v>
      </c>
      <c r="AD9" s="178"/>
      <c r="AG9" s="179"/>
      <c r="AL9" s="178"/>
      <c r="AO9" s="179"/>
      <c r="AP9" s="178"/>
      <c r="AS9" s="179"/>
      <c r="AW9" s="179"/>
      <c r="BA9" s="180"/>
    </row>
    <row r="10" spans="1:53" s="171" customFormat="1" x14ac:dyDescent="0.15">
      <c r="A10" s="216">
        <v>1978</v>
      </c>
      <c r="B10" s="283"/>
      <c r="C10" s="410" t="s">
        <v>607</v>
      </c>
      <c r="D10" s="410"/>
      <c r="E10" s="171">
        <v>29</v>
      </c>
      <c r="G10" s="233"/>
      <c r="I10" s="171">
        <v>12</v>
      </c>
      <c r="J10" s="241">
        <v>17</v>
      </c>
      <c r="K10" s="214">
        <f t="shared" si="1"/>
        <v>0</v>
      </c>
      <c r="L10" s="214">
        <f t="shared" si="0"/>
        <v>0</v>
      </c>
      <c r="M10" s="214">
        <f t="shared" si="0"/>
        <v>70.588235294117652</v>
      </c>
      <c r="N10" s="235">
        <f t="shared" si="2"/>
        <v>70.588235294117652</v>
      </c>
      <c r="O10" s="213"/>
      <c r="P10" s="214"/>
      <c r="Q10" s="214">
        <v>40.700000000000003</v>
      </c>
      <c r="R10" s="215">
        <f t="shared" si="3"/>
        <v>40.700000000000003</v>
      </c>
      <c r="S10" s="171">
        <v>4</v>
      </c>
      <c r="T10" s="285"/>
      <c r="U10" s="283"/>
      <c r="V10" s="178" t="s">
        <v>95</v>
      </c>
      <c r="W10" s="171" t="s">
        <v>20</v>
      </c>
      <c r="X10" s="171" t="s">
        <v>12</v>
      </c>
      <c r="Y10" s="179">
        <v>40.700000000000003</v>
      </c>
      <c r="AD10" s="178"/>
      <c r="AG10" s="179"/>
      <c r="AL10" s="178"/>
      <c r="AO10" s="179"/>
      <c r="AP10" s="178"/>
      <c r="AS10" s="179"/>
      <c r="AW10" s="179"/>
      <c r="BA10" s="180"/>
    </row>
    <row r="11" spans="1:53" s="29" customFormat="1" x14ac:dyDescent="0.15">
      <c r="A11" s="52">
        <v>1978</v>
      </c>
      <c r="B11" s="295">
        <v>28520</v>
      </c>
      <c r="C11" s="411" t="s">
        <v>608</v>
      </c>
      <c r="D11" s="411"/>
      <c r="E11" s="29">
        <v>211</v>
      </c>
      <c r="F11" s="29">
        <v>5</v>
      </c>
      <c r="G11" s="66">
        <v>3</v>
      </c>
      <c r="I11" s="29">
        <v>8</v>
      </c>
      <c r="J11" s="73">
        <v>16</v>
      </c>
      <c r="K11" s="47">
        <f t="shared" si="1"/>
        <v>18.75</v>
      </c>
      <c r="L11" s="47">
        <f t="shared" si="0"/>
        <v>0</v>
      </c>
      <c r="M11" s="47">
        <f t="shared" si="0"/>
        <v>50</v>
      </c>
      <c r="N11" s="68">
        <f t="shared" si="2"/>
        <v>68.75</v>
      </c>
      <c r="O11" s="46">
        <v>16</v>
      </c>
      <c r="P11" s="47"/>
      <c r="Q11" s="47">
        <v>40.700000000000003</v>
      </c>
      <c r="R11" s="48">
        <f t="shared" si="3"/>
        <v>56.7</v>
      </c>
      <c r="S11" s="29">
        <v>2</v>
      </c>
      <c r="T11" s="286"/>
      <c r="U11" s="295">
        <v>28520</v>
      </c>
      <c r="V11" s="38" t="s">
        <v>95</v>
      </c>
      <c r="W11" s="29" t="s">
        <v>20</v>
      </c>
      <c r="X11" s="29" t="s">
        <v>12</v>
      </c>
      <c r="Y11" s="39">
        <v>40.700000000000003</v>
      </c>
      <c r="Z11" s="29" t="s">
        <v>479</v>
      </c>
      <c r="AA11" s="29" t="s">
        <v>17</v>
      </c>
      <c r="AB11" s="29" t="s">
        <v>11</v>
      </c>
      <c r="AC11" s="29">
        <v>16</v>
      </c>
      <c r="AD11" s="38"/>
      <c r="AG11" s="39"/>
      <c r="AL11" s="38"/>
      <c r="AO11" s="39"/>
      <c r="AP11" s="38"/>
      <c r="AS11" s="39"/>
      <c r="AW11" s="39"/>
      <c r="BA11" s="40"/>
    </row>
    <row r="12" spans="1:53" s="171" customFormat="1" x14ac:dyDescent="0.15">
      <c r="A12" s="216">
        <v>1978</v>
      </c>
      <c r="B12" s="283">
        <v>28731</v>
      </c>
      <c r="C12" s="410" t="s">
        <v>836</v>
      </c>
      <c r="D12" s="410"/>
      <c r="E12" s="171">
        <v>85</v>
      </c>
      <c r="F12" s="171">
        <v>4</v>
      </c>
      <c r="G12" s="233">
        <v>0</v>
      </c>
      <c r="H12" s="171">
        <v>0</v>
      </c>
      <c r="I12" s="171">
        <v>0</v>
      </c>
      <c r="J12" s="241">
        <v>15</v>
      </c>
      <c r="K12" s="214">
        <f t="shared" si="1"/>
        <v>0</v>
      </c>
      <c r="L12" s="214">
        <f t="shared" si="0"/>
        <v>0</v>
      </c>
      <c r="M12" s="214">
        <f t="shared" si="0"/>
        <v>0</v>
      </c>
      <c r="N12" s="235">
        <f t="shared" si="2"/>
        <v>0</v>
      </c>
      <c r="O12" s="213">
        <v>0</v>
      </c>
      <c r="P12" s="214">
        <v>0</v>
      </c>
      <c r="Q12" s="214">
        <v>0</v>
      </c>
      <c r="R12" s="215">
        <f t="shared" si="3"/>
        <v>0</v>
      </c>
      <c r="S12" s="171">
        <v>6</v>
      </c>
      <c r="T12" s="285"/>
      <c r="U12" s="283">
        <v>28731</v>
      </c>
      <c r="V12" s="242" t="s">
        <v>799</v>
      </c>
      <c r="Y12" s="179"/>
      <c r="AD12" s="178"/>
      <c r="AG12" s="179"/>
      <c r="AL12" s="178"/>
      <c r="AO12" s="179"/>
      <c r="AP12" s="178"/>
      <c r="AS12" s="179"/>
      <c r="AW12" s="179"/>
      <c r="BA12" s="180"/>
    </row>
    <row r="13" spans="1:53" s="29" customFormat="1" x14ac:dyDescent="0.15">
      <c r="A13" s="52">
        <v>1978</v>
      </c>
      <c r="B13" s="295">
        <v>28816</v>
      </c>
      <c r="C13" s="411" t="s">
        <v>822</v>
      </c>
      <c r="D13" s="411"/>
      <c r="E13" s="29">
        <f>365-E10-E11-E12</f>
        <v>40</v>
      </c>
      <c r="F13" s="29">
        <v>5</v>
      </c>
      <c r="G13" s="66">
        <v>0</v>
      </c>
      <c r="H13" s="29">
        <v>0</v>
      </c>
      <c r="I13" s="29">
        <v>0</v>
      </c>
      <c r="J13" s="73">
        <v>16</v>
      </c>
      <c r="K13" s="47">
        <f t="shared" si="1"/>
        <v>0</v>
      </c>
      <c r="L13" s="47">
        <f t="shared" si="0"/>
        <v>0</v>
      </c>
      <c r="M13" s="47">
        <f t="shared" si="0"/>
        <v>0</v>
      </c>
      <c r="N13" s="68">
        <f t="shared" si="2"/>
        <v>0</v>
      </c>
      <c r="O13" s="46">
        <v>0</v>
      </c>
      <c r="P13" s="47">
        <v>0</v>
      </c>
      <c r="Q13" s="47">
        <v>0</v>
      </c>
      <c r="R13" s="48">
        <f t="shared" si="3"/>
        <v>0</v>
      </c>
      <c r="S13" s="29">
        <v>6</v>
      </c>
      <c r="T13" s="286"/>
      <c r="U13" s="295">
        <v>28816</v>
      </c>
      <c r="V13" s="89" t="s">
        <v>799</v>
      </c>
      <c r="Y13" s="39"/>
      <c r="AD13" s="38"/>
      <c r="AG13" s="39"/>
      <c r="AL13" s="38"/>
      <c r="AO13" s="39"/>
      <c r="AP13" s="38"/>
      <c r="AS13" s="39"/>
      <c r="AW13" s="39"/>
      <c r="BA13" s="40"/>
    </row>
    <row r="14" spans="1:53" s="29" customFormat="1" x14ac:dyDescent="0.15">
      <c r="A14" s="52">
        <v>1979</v>
      </c>
      <c r="B14" s="295"/>
      <c r="C14" s="411" t="s">
        <v>822</v>
      </c>
      <c r="D14" s="411"/>
      <c r="E14" s="29">
        <v>212</v>
      </c>
      <c r="G14" s="66">
        <v>0</v>
      </c>
      <c r="H14" s="29">
        <v>0</v>
      </c>
      <c r="I14" s="29">
        <v>0</v>
      </c>
      <c r="J14" s="73">
        <v>16</v>
      </c>
      <c r="K14" s="47">
        <f t="shared" si="1"/>
        <v>0</v>
      </c>
      <c r="L14" s="47">
        <f t="shared" si="0"/>
        <v>0</v>
      </c>
      <c r="M14" s="47">
        <f t="shared" si="0"/>
        <v>0</v>
      </c>
      <c r="N14" s="68">
        <f t="shared" si="2"/>
        <v>0</v>
      </c>
      <c r="O14" s="46">
        <v>0</v>
      </c>
      <c r="P14" s="47">
        <v>0</v>
      </c>
      <c r="Q14" s="47">
        <v>0</v>
      </c>
      <c r="R14" s="48">
        <f t="shared" si="3"/>
        <v>0</v>
      </c>
      <c r="S14" s="29">
        <v>6</v>
      </c>
      <c r="T14" s="286"/>
      <c r="U14" s="295"/>
      <c r="V14" s="89" t="s">
        <v>799</v>
      </c>
      <c r="Y14" s="39"/>
      <c r="AD14" s="38"/>
      <c r="AG14" s="39"/>
      <c r="AL14" s="38"/>
      <c r="AO14" s="39"/>
      <c r="AP14" s="38"/>
      <c r="AS14" s="39"/>
      <c r="AW14" s="39"/>
      <c r="BA14" s="40"/>
    </row>
    <row r="15" spans="1:53" s="171" customFormat="1" x14ac:dyDescent="0.15">
      <c r="A15" s="216">
        <v>1979</v>
      </c>
      <c r="B15" s="283">
        <v>29068</v>
      </c>
      <c r="C15" s="410" t="s">
        <v>823</v>
      </c>
      <c r="D15" s="410"/>
      <c r="E15" s="171">
        <f>365-E14</f>
        <v>153</v>
      </c>
      <c r="F15" s="171">
        <v>5</v>
      </c>
      <c r="G15" s="233">
        <v>0</v>
      </c>
      <c r="H15" s="171">
        <v>0</v>
      </c>
      <c r="I15" s="171">
        <v>0</v>
      </c>
      <c r="J15" s="241">
        <v>17</v>
      </c>
      <c r="K15" s="214">
        <f t="shared" si="1"/>
        <v>0</v>
      </c>
      <c r="L15" s="214">
        <f t="shared" si="0"/>
        <v>0</v>
      </c>
      <c r="M15" s="214">
        <f t="shared" si="0"/>
        <v>0</v>
      </c>
      <c r="N15" s="235">
        <f t="shared" si="2"/>
        <v>0</v>
      </c>
      <c r="O15" s="213">
        <v>0</v>
      </c>
      <c r="P15" s="214">
        <v>0</v>
      </c>
      <c r="Q15" s="214">
        <v>0</v>
      </c>
      <c r="R15" s="215">
        <f t="shared" si="3"/>
        <v>0</v>
      </c>
      <c r="S15" s="171">
        <v>6</v>
      </c>
      <c r="T15" s="285">
        <v>29133</v>
      </c>
      <c r="U15" s="283">
        <v>29068</v>
      </c>
      <c r="V15" s="242" t="s">
        <v>799</v>
      </c>
      <c r="Y15" s="179"/>
      <c r="AD15" s="178"/>
      <c r="AG15" s="179"/>
      <c r="AL15" s="178"/>
      <c r="AO15" s="179"/>
      <c r="AP15" s="178"/>
      <c r="AS15" s="179"/>
      <c r="AW15" s="179"/>
      <c r="BA15" s="180"/>
    </row>
    <row r="16" spans="1:53" s="171" customFormat="1" x14ac:dyDescent="0.15">
      <c r="A16" s="216">
        <v>1980</v>
      </c>
      <c r="B16" s="283"/>
      <c r="C16" s="410" t="s">
        <v>823</v>
      </c>
      <c r="D16" s="410"/>
      <c r="E16" s="171">
        <v>2</v>
      </c>
      <c r="G16" s="233">
        <v>0</v>
      </c>
      <c r="H16" s="171">
        <v>0</v>
      </c>
      <c r="I16" s="171">
        <v>0</v>
      </c>
      <c r="J16" s="241">
        <v>17</v>
      </c>
      <c r="K16" s="214">
        <f t="shared" si="1"/>
        <v>0</v>
      </c>
      <c r="L16" s="214">
        <f t="shared" si="0"/>
        <v>0</v>
      </c>
      <c r="M16" s="214">
        <f t="shared" si="0"/>
        <v>0</v>
      </c>
      <c r="N16" s="235">
        <f t="shared" si="2"/>
        <v>0</v>
      </c>
      <c r="O16" s="213">
        <v>0</v>
      </c>
      <c r="P16" s="214">
        <v>0</v>
      </c>
      <c r="Q16" s="214">
        <v>0</v>
      </c>
      <c r="R16" s="215">
        <f t="shared" si="3"/>
        <v>0</v>
      </c>
      <c r="S16" s="171">
        <v>6</v>
      </c>
      <c r="T16" s="285"/>
      <c r="U16" s="283"/>
      <c r="V16" s="242" t="s">
        <v>799</v>
      </c>
      <c r="Y16" s="179"/>
      <c r="AD16" s="178"/>
      <c r="AG16" s="179"/>
      <c r="AL16" s="178"/>
      <c r="AO16" s="179"/>
      <c r="AP16" s="178"/>
      <c r="AS16" s="179"/>
      <c r="AW16" s="179"/>
      <c r="BA16" s="180"/>
    </row>
    <row r="17" spans="1:53" s="29" customFormat="1" x14ac:dyDescent="0.15">
      <c r="A17" s="52">
        <v>1980</v>
      </c>
      <c r="B17" s="295">
        <v>29223</v>
      </c>
      <c r="C17" s="411" t="s">
        <v>824</v>
      </c>
      <c r="D17" s="411"/>
      <c r="E17" s="29">
        <f>366-E16</f>
        <v>364</v>
      </c>
      <c r="F17" s="29">
        <v>1</v>
      </c>
      <c r="G17" s="66">
        <v>13</v>
      </c>
      <c r="J17" s="73">
        <v>15</v>
      </c>
      <c r="K17" s="47">
        <f t="shared" si="1"/>
        <v>86.666666666666671</v>
      </c>
      <c r="L17" s="47">
        <f t="shared" si="0"/>
        <v>0</v>
      </c>
      <c r="M17" s="47">
        <f t="shared" si="0"/>
        <v>0</v>
      </c>
      <c r="N17" s="68">
        <f t="shared" si="2"/>
        <v>86.666666666666671</v>
      </c>
      <c r="O17" s="46">
        <v>52.6</v>
      </c>
      <c r="P17" s="47"/>
      <c r="Q17" s="47"/>
      <c r="R17" s="48">
        <f t="shared" si="3"/>
        <v>52.6</v>
      </c>
      <c r="S17" s="29">
        <v>1</v>
      </c>
      <c r="T17" s="286">
        <v>29499</v>
      </c>
      <c r="U17" s="295">
        <v>29223</v>
      </c>
      <c r="V17" s="38" t="s">
        <v>477</v>
      </c>
      <c r="W17" s="29" t="s">
        <v>22</v>
      </c>
      <c r="X17" s="29" t="s">
        <v>11</v>
      </c>
      <c r="Y17" s="39">
        <v>52.6</v>
      </c>
      <c r="Z17" s="29" t="s">
        <v>479</v>
      </c>
      <c r="AA17" s="29" t="s">
        <v>17</v>
      </c>
      <c r="AB17" s="29" t="s">
        <v>11</v>
      </c>
      <c r="AC17" s="84">
        <v>52.6</v>
      </c>
      <c r="AD17" s="38" t="s">
        <v>478</v>
      </c>
      <c r="AE17" s="29" t="s">
        <v>327</v>
      </c>
      <c r="AF17" s="29" t="s">
        <v>11</v>
      </c>
      <c r="AG17" s="124">
        <v>52.6</v>
      </c>
      <c r="AL17" s="38"/>
      <c r="AO17" s="39"/>
      <c r="AP17" s="38"/>
      <c r="AS17" s="39"/>
      <c r="AW17" s="39"/>
      <c r="BA17" s="40"/>
    </row>
    <row r="18" spans="1:53" s="29" customFormat="1" x14ac:dyDescent="0.15">
      <c r="A18" s="52">
        <v>1981</v>
      </c>
      <c r="B18" s="295"/>
      <c r="C18" s="411" t="s">
        <v>824</v>
      </c>
      <c r="D18" s="411"/>
      <c r="E18" s="29">
        <v>8</v>
      </c>
      <c r="G18" s="66">
        <v>13</v>
      </c>
      <c r="J18" s="73">
        <v>15</v>
      </c>
      <c r="K18" s="47">
        <f t="shared" si="1"/>
        <v>86.666666666666671</v>
      </c>
      <c r="L18" s="47">
        <f t="shared" si="0"/>
        <v>0</v>
      </c>
      <c r="M18" s="47">
        <f t="shared" si="0"/>
        <v>0</v>
      </c>
      <c r="N18" s="68">
        <f t="shared" si="2"/>
        <v>86.666666666666671</v>
      </c>
      <c r="O18" s="46">
        <v>52.6</v>
      </c>
      <c r="P18" s="47"/>
      <c r="Q18" s="47"/>
      <c r="R18" s="48">
        <f t="shared" si="3"/>
        <v>52.6</v>
      </c>
      <c r="S18" s="29">
        <v>1</v>
      </c>
      <c r="T18" s="286"/>
      <c r="U18" s="295"/>
      <c r="V18" s="38" t="s">
        <v>477</v>
      </c>
      <c r="W18" s="29" t="s">
        <v>22</v>
      </c>
      <c r="X18" s="29" t="s">
        <v>11</v>
      </c>
      <c r="Y18" s="39">
        <v>52.6</v>
      </c>
      <c r="Z18" s="29" t="s">
        <v>479</v>
      </c>
      <c r="AA18" s="29" t="s">
        <v>17</v>
      </c>
      <c r="AB18" s="29" t="s">
        <v>11</v>
      </c>
      <c r="AC18" s="84">
        <v>52.6</v>
      </c>
      <c r="AD18" s="38" t="s">
        <v>478</v>
      </c>
      <c r="AE18" s="29" t="s">
        <v>327</v>
      </c>
      <c r="AF18" s="29" t="s">
        <v>11</v>
      </c>
      <c r="AG18" s="124">
        <v>52.6</v>
      </c>
      <c r="AL18" s="38"/>
      <c r="AO18" s="39"/>
      <c r="AP18" s="38"/>
      <c r="AS18" s="39"/>
      <c r="AW18" s="39"/>
      <c r="BA18" s="40"/>
    </row>
    <row r="19" spans="1:53" s="171" customFormat="1" x14ac:dyDescent="0.15">
      <c r="A19" s="216">
        <v>1981</v>
      </c>
      <c r="B19" s="283">
        <v>29595</v>
      </c>
      <c r="C19" s="410" t="s">
        <v>825</v>
      </c>
      <c r="D19" s="410"/>
      <c r="E19" s="171">
        <v>238</v>
      </c>
      <c r="F19" s="171" t="s">
        <v>335</v>
      </c>
      <c r="G19" s="233">
        <v>15</v>
      </c>
      <c r="J19" s="241">
        <v>18</v>
      </c>
      <c r="K19" s="214">
        <f t="shared" si="1"/>
        <v>83.333333333333343</v>
      </c>
      <c r="L19" s="214">
        <f t="shared" si="0"/>
        <v>0</v>
      </c>
      <c r="M19" s="214">
        <f t="shared" si="0"/>
        <v>0</v>
      </c>
      <c r="N19" s="235">
        <f t="shared" si="2"/>
        <v>83.333333333333343</v>
      </c>
      <c r="O19" s="213">
        <v>52.6</v>
      </c>
      <c r="P19" s="214"/>
      <c r="Q19" s="214"/>
      <c r="R19" s="215">
        <f t="shared" si="3"/>
        <v>52.6</v>
      </c>
      <c r="S19" s="171">
        <v>1</v>
      </c>
      <c r="T19" s="285"/>
      <c r="U19" s="283">
        <v>29595</v>
      </c>
      <c r="V19" s="178" t="s">
        <v>477</v>
      </c>
      <c r="W19" s="171" t="s">
        <v>22</v>
      </c>
      <c r="X19" s="171" t="s">
        <v>11</v>
      </c>
      <c r="Y19" s="179">
        <v>52.6</v>
      </c>
      <c r="Z19" s="171" t="s">
        <v>479</v>
      </c>
      <c r="AA19" s="171" t="s">
        <v>17</v>
      </c>
      <c r="AB19" s="171" t="s">
        <v>11</v>
      </c>
      <c r="AC19" s="244">
        <v>52.6</v>
      </c>
      <c r="AD19" s="178" t="s">
        <v>478</v>
      </c>
      <c r="AE19" s="171" t="s">
        <v>327</v>
      </c>
      <c r="AF19" s="171" t="s">
        <v>11</v>
      </c>
      <c r="AG19" s="255">
        <v>52.6</v>
      </c>
      <c r="AL19" s="178"/>
      <c r="AO19" s="179"/>
      <c r="AP19" s="178"/>
      <c r="AS19" s="179"/>
      <c r="AW19" s="179"/>
      <c r="BA19" s="180"/>
    </row>
    <row r="20" spans="1:53" s="29" customFormat="1" x14ac:dyDescent="0.15">
      <c r="A20" s="52">
        <v>1981</v>
      </c>
      <c r="B20" s="295">
        <v>29833</v>
      </c>
      <c r="C20" s="411" t="s">
        <v>826</v>
      </c>
      <c r="D20" s="411"/>
      <c r="E20" s="29">
        <f>365-E19-E18</f>
        <v>119</v>
      </c>
      <c r="F20" s="29">
        <v>2</v>
      </c>
      <c r="G20" s="66">
        <v>14</v>
      </c>
      <c r="J20" s="73">
        <v>15</v>
      </c>
      <c r="K20" s="47">
        <f t="shared" si="1"/>
        <v>93.333333333333329</v>
      </c>
      <c r="L20" s="47">
        <f t="shared" si="0"/>
        <v>0</v>
      </c>
      <c r="M20" s="47">
        <f t="shared" si="0"/>
        <v>0</v>
      </c>
      <c r="N20" s="68">
        <f t="shared" si="2"/>
        <v>93.333333333333329</v>
      </c>
      <c r="O20" s="46">
        <v>52.6</v>
      </c>
      <c r="P20" s="47"/>
      <c r="Q20" s="47"/>
      <c r="R20" s="48">
        <f t="shared" si="3"/>
        <v>52.6</v>
      </c>
      <c r="S20" s="29">
        <v>1</v>
      </c>
      <c r="T20" s="286"/>
      <c r="U20" s="295">
        <v>29833</v>
      </c>
      <c r="V20" s="38" t="s">
        <v>477</v>
      </c>
      <c r="W20" s="29" t="s">
        <v>22</v>
      </c>
      <c r="X20" s="29" t="s">
        <v>11</v>
      </c>
      <c r="Y20" s="39">
        <v>52.6</v>
      </c>
      <c r="Z20" s="29" t="s">
        <v>479</v>
      </c>
      <c r="AA20" s="29" t="s">
        <v>17</v>
      </c>
      <c r="AB20" s="29" t="s">
        <v>11</v>
      </c>
      <c r="AC20" s="84">
        <v>52.6</v>
      </c>
      <c r="AD20" s="38" t="s">
        <v>478</v>
      </c>
      <c r="AE20" s="29" t="s">
        <v>327</v>
      </c>
      <c r="AF20" s="29" t="s">
        <v>11</v>
      </c>
      <c r="AG20" s="124">
        <v>52.6</v>
      </c>
      <c r="AL20" s="38"/>
      <c r="AO20" s="39"/>
      <c r="AP20" s="38"/>
      <c r="AS20" s="39"/>
      <c r="AW20" s="39"/>
      <c r="BA20" s="40"/>
    </row>
    <row r="21" spans="1:53" s="29" customFormat="1" x14ac:dyDescent="0.15">
      <c r="A21" s="52">
        <v>1982</v>
      </c>
      <c r="B21" s="295"/>
      <c r="C21" s="411" t="s">
        <v>826</v>
      </c>
      <c r="D21" s="411"/>
      <c r="E21" s="29">
        <v>0</v>
      </c>
      <c r="G21" s="66">
        <v>14</v>
      </c>
      <c r="J21" s="73">
        <v>15</v>
      </c>
      <c r="K21" s="47">
        <f t="shared" si="1"/>
        <v>93.333333333333329</v>
      </c>
      <c r="L21" s="47">
        <f t="shared" si="0"/>
        <v>0</v>
      </c>
      <c r="M21" s="47">
        <f t="shared" si="0"/>
        <v>0</v>
      </c>
      <c r="N21" s="68">
        <f t="shared" si="2"/>
        <v>93.333333333333329</v>
      </c>
      <c r="O21" s="46">
        <v>52.6</v>
      </c>
      <c r="P21" s="47"/>
      <c r="Q21" s="47"/>
      <c r="R21" s="48">
        <f t="shared" si="3"/>
        <v>52.6</v>
      </c>
      <c r="S21" s="29">
        <v>1</v>
      </c>
      <c r="T21" s="286"/>
      <c r="U21" s="295"/>
      <c r="V21" s="38" t="s">
        <v>477</v>
      </c>
      <c r="W21" s="29" t="s">
        <v>22</v>
      </c>
      <c r="X21" s="29" t="s">
        <v>11</v>
      </c>
      <c r="Y21" s="39">
        <v>52.6</v>
      </c>
      <c r="Z21" s="29" t="s">
        <v>479</v>
      </c>
      <c r="AA21" s="29" t="s">
        <v>17</v>
      </c>
      <c r="AB21" s="29" t="s">
        <v>11</v>
      </c>
      <c r="AC21" s="84">
        <v>52.6</v>
      </c>
      <c r="AD21" s="38" t="s">
        <v>478</v>
      </c>
      <c r="AE21" s="29" t="s">
        <v>327</v>
      </c>
      <c r="AF21" s="29" t="s">
        <v>11</v>
      </c>
      <c r="AG21" s="124">
        <v>52.6</v>
      </c>
      <c r="AL21" s="38"/>
      <c r="AO21" s="39"/>
      <c r="AP21" s="38"/>
      <c r="AS21" s="39"/>
      <c r="AW21" s="39"/>
      <c r="BA21" s="40"/>
    </row>
    <row r="22" spans="1:53" s="29" customFormat="1" x14ac:dyDescent="0.15">
      <c r="A22" s="52">
        <v>1982</v>
      </c>
      <c r="B22" s="295"/>
      <c r="C22" s="411" t="s">
        <v>826</v>
      </c>
      <c r="D22" s="411"/>
      <c r="E22" s="29">
        <v>365</v>
      </c>
      <c r="G22" s="66">
        <v>14</v>
      </c>
      <c r="J22" s="73">
        <v>15</v>
      </c>
      <c r="K22" s="47">
        <f t="shared" si="1"/>
        <v>93.333333333333329</v>
      </c>
      <c r="L22" s="47">
        <f t="shared" si="0"/>
        <v>0</v>
      </c>
      <c r="M22" s="47">
        <f t="shared" si="0"/>
        <v>0</v>
      </c>
      <c r="N22" s="68">
        <f t="shared" si="2"/>
        <v>93.333333333333329</v>
      </c>
      <c r="O22" s="46">
        <v>52.6</v>
      </c>
      <c r="P22" s="47"/>
      <c r="Q22" s="47"/>
      <c r="R22" s="48">
        <f t="shared" si="3"/>
        <v>52.6</v>
      </c>
      <c r="S22" s="29">
        <v>1</v>
      </c>
      <c r="T22" s="286"/>
      <c r="U22" s="295"/>
      <c r="V22" s="38" t="s">
        <v>477</v>
      </c>
      <c r="W22" s="29" t="s">
        <v>22</v>
      </c>
      <c r="X22" s="29" t="s">
        <v>11</v>
      </c>
      <c r="Y22" s="39">
        <v>52.6</v>
      </c>
      <c r="Z22" s="29" t="s">
        <v>479</v>
      </c>
      <c r="AA22" s="29" t="s">
        <v>17</v>
      </c>
      <c r="AB22" s="29" t="s">
        <v>11</v>
      </c>
      <c r="AC22" s="84">
        <v>52.6</v>
      </c>
      <c r="AD22" s="38" t="s">
        <v>478</v>
      </c>
      <c r="AE22" s="29" t="s">
        <v>327</v>
      </c>
      <c r="AF22" s="29" t="s">
        <v>11</v>
      </c>
      <c r="AG22" s="124">
        <v>52.6</v>
      </c>
      <c r="AL22" s="38"/>
      <c r="AO22" s="39"/>
      <c r="AP22" s="38"/>
      <c r="AS22" s="39"/>
      <c r="AW22" s="39"/>
      <c r="BA22" s="40"/>
    </row>
    <row r="23" spans="1:53" s="29" customFormat="1" x14ac:dyDescent="0.15">
      <c r="A23" s="52">
        <v>1983</v>
      </c>
      <c r="B23" s="295"/>
      <c r="C23" s="411" t="s">
        <v>826</v>
      </c>
      <c r="D23" s="411"/>
      <c r="E23" s="29">
        <v>159</v>
      </c>
      <c r="G23" s="66">
        <v>14</v>
      </c>
      <c r="J23" s="73">
        <v>15</v>
      </c>
      <c r="K23" s="47">
        <f t="shared" si="1"/>
        <v>93.333333333333329</v>
      </c>
      <c r="L23" s="47">
        <f t="shared" si="1"/>
        <v>0</v>
      </c>
      <c r="M23" s="47">
        <f t="shared" si="1"/>
        <v>0</v>
      </c>
      <c r="N23" s="68">
        <f t="shared" si="2"/>
        <v>93.333333333333329</v>
      </c>
      <c r="O23" s="46">
        <v>52.6</v>
      </c>
      <c r="P23" s="47"/>
      <c r="Q23" s="47"/>
      <c r="R23" s="48">
        <f t="shared" si="3"/>
        <v>52.6</v>
      </c>
      <c r="S23" s="29">
        <v>1</v>
      </c>
      <c r="T23" s="286"/>
      <c r="U23" s="295"/>
      <c r="V23" s="38" t="s">
        <v>477</v>
      </c>
      <c r="W23" s="29" t="s">
        <v>22</v>
      </c>
      <c r="X23" s="29" t="s">
        <v>11</v>
      </c>
      <c r="Y23" s="39">
        <v>52.6</v>
      </c>
      <c r="Z23" s="29" t="s">
        <v>479</v>
      </c>
      <c r="AA23" s="29" t="s">
        <v>17</v>
      </c>
      <c r="AB23" s="29" t="s">
        <v>11</v>
      </c>
      <c r="AC23" s="84">
        <v>52.6</v>
      </c>
      <c r="AD23" s="38" t="s">
        <v>478</v>
      </c>
      <c r="AE23" s="29" t="s">
        <v>327</v>
      </c>
      <c r="AF23" s="29" t="s">
        <v>11</v>
      </c>
      <c r="AG23" s="124">
        <v>52.6</v>
      </c>
      <c r="AL23" s="38"/>
      <c r="AO23" s="39"/>
      <c r="AP23" s="38"/>
      <c r="AS23" s="39"/>
      <c r="AW23" s="39"/>
      <c r="BA23" s="40"/>
    </row>
    <row r="24" spans="1:53" s="171" customFormat="1" x14ac:dyDescent="0.15">
      <c r="A24" s="216">
        <v>1983</v>
      </c>
      <c r="B24" s="283">
        <v>30476</v>
      </c>
      <c r="C24" s="410" t="s">
        <v>609</v>
      </c>
      <c r="D24" s="410"/>
      <c r="E24" s="171">
        <f>365-E23</f>
        <v>206</v>
      </c>
      <c r="F24" s="171">
        <v>2</v>
      </c>
      <c r="G24" s="233">
        <v>6</v>
      </c>
      <c r="I24" s="171">
        <v>9</v>
      </c>
      <c r="J24" s="241">
        <v>17</v>
      </c>
      <c r="K24" s="214">
        <f t="shared" si="1"/>
        <v>35.294117647058826</v>
      </c>
      <c r="L24" s="214">
        <f t="shared" si="1"/>
        <v>0</v>
      </c>
      <c r="M24" s="214">
        <f t="shared" si="1"/>
        <v>52.941176470588239</v>
      </c>
      <c r="N24" s="235">
        <f t="shared" si="2"/>
        <v>88.235294117647072</v>
      </c>
      <c r="O24" s="213">
        <v>30</v>
      </c>
      <c r="P24" s="214"/>
      <c r="Q24" s="214">
        <v>40.4</v>
      </c>
      <c r="R24" s="215">
        <f t="shared" si="3"/>
        <v>70.400000000000006</v>
      </c>
      <c r="S24" s="171">
        <v>2</v>
      </c>
      <c r="T24" s="285">
        <v>30431</v>
      </c>
      <c r="U24" s="283">
        <v>30568</v>
      </c>
      <c r="V24" s="178" t="s">
        <v>95</v>
      </c>
      <c r="W24" s="171" t="s">
        <v>20</v>
      </c>
      <c r="X24" s="171" t="s">
        <v>12</v>
      </c>
      <c r="Y24" s="179">
        <v>40.4</v>
      </c>
      <c r="Z24" s="171" t="s">
        <v>477</v>
      </c>
      <c r="AA24" s="171" t="s">
        <v>22</v>
      </c>
      <c r="AB24" s="171" t="s">
        <v>11</v>
      </c>
      <c r="AC24" s="171">
        <v>30</v>
      </c>
      <c r="AD24" s="178"/>
      <c r="AG24" s="179"/>
      <c r="AL24" s="178"/>
      <c r="AO24" s="179"/>
      <c r="AP24" s="178"/>
      <c r="AS24" s="179"/>
      <c r="AW24" s="179"/>
      <c r="BA24" s="180"/>
    </row>
    <row r="25" spans="1:53" s="171" customFormat="1" x14ac:dyDescent="0.15">
      <c r="A25" s="216">
        <v>1984</v>
      </c>
      <c r="B25" s="283"/>
      <c r="C25" s="410" t="s">
        <v>609</v>
      </c>
      <c r="D25" s="410"/>
      <c r="E25" s="171">
        <v>0</v>
      </c>
      <c r="G25" s="233">
        <v>6</v>
      </c>
      <c r="I25" s="171">
        <v>9</v>
      </c>
      <c r="J25" s="241">
        <v>17</v>
      </c>
      <c r="K25" s="214">
        <f t="shared" si="1"/>
        <v>35.294117647058826</v>
      </c>
      <c r="L25" s="214">
        <f t="shared" si="1"/>
        <v>0</v>
      </c>
      <c r="M25" s="214">
        <f t="shared" si="1"/>
        <v>52.941176470588239</v>
      </c>
      <c r="N25" s="235">
        <f t="shared" si="2"/>
        <v>88.235294117647072</v>
      </c>
      <c r="O25" s="213">
        <v>30</v>
      </c>
      <c r="P25" s="214"/>
      <c r="Q25" s="214">
        <v>40.4</v>
      </c>
      <c r="R25" s="215">
        <f t="shared" si="3"/>
        <v>70.400000000000006</v>
      </c>
      <c r="S25" s="171">
        <v>2</v>
      </c>
      <c r="T25" s="285"/>
      <c r="U25" s="283"/>
      <c r="V25" s="178" t="s">
        <v>95</v>
      </c>
      <c r="W25" s="171" t="s">
        <v>20</v>
      </c>
      <c r="X25" s="171" t="s">
        <v>12</v>
      </c>
      <c r="Y25" s="179">
        <v>40.4</v>
      </c>
      <c r="Z25" s="171" t="s">
        <v>477</v>
      </c>
      <c r="AA25" s="171" t="s">
        <v>22</v>
      </c>
      <c r="AB25" s="171" t="s">
        <v>11</v>
      </c>
      <c r="AC25" s="171">
        <v>30</v>
      </c>
      <c r="AD25" s="178"/>
      <c r="AG25" s="179"/>
      <c r="AL25" s="178"/>
      <c r="AO25" s="179"/>
      <c r="AP25" s="178"/>
      <c r="AS25" s="179"/>
      <c r="AW25" s="179"/>
      <c r="BA25" s="180"/>
    </row>
    <row r="26" spans="1:53" s="171" customFormat="1" x14ac:dyDescent="0.15">
      <c r="A26" s="216">
        <v>1984</v>
      </c>
      <c r="B26" s="283"/>
      <c r="C26" s="410" t="s">
        <v>609</v>
      </c>
      <c r="D26" s="410"/>
      <c r="E26" s="171">
        <v>366</v>
      </c>
      <c r="G26" s="233">
        <v>6</v>
      </c>
      <c r="I26" s="171">
        <v>9</v>
      </c>
      <c r="J26" s="241">
        <v>17</v>
      </c>
      <c r="K26" s="214">
        <f t="shared" si="1"/>
        <v>35.294117647058826</v>
      </c>
      <c r="L26" s="214">
        <f t="shared" si="1"/>
        <v>0</v>
      </c>
      <c r="M26" s="214">
        <f t="shared" si="1"/>
        <v>52.941176470588239</v>
      </c>
      <c r="N26" s="235">
        <f t="shared" si="2"/>
        <v>88.235294117647072</v>
      </c>
      <c r="O26" s="213">
        <v>30</v>
      </c>
      <c r="P26" s="214"/>
      <c r="Q26" s="214">
        <v>40.4</v>
      </c>
      <c r="R26" s="215">
        <f t="shared" si="3"/>
        <v>70.400000000000006</v>
      </c>
      <c r="S26" s="171">
        <v>2</v>
      </c>
      <c r="T26" s="285"/>
      <c r="U26" s="283"/>
      <c r="V26" s="178" t="s">
        <v>95</v>
      </c>
      <c r="W26" s="171" t="s">
        <v>20</v>
      </c>
      <c r="X26" s="171" t="s">
        <v>12</v>
      </c>
      <c r="Y26" s="179">
        <v>40.4</v>
      </c>
      <c r="Z26" s="171" t="s">
        <v>477</v>
      </c>
      <c r="AA26" s="171" t="s">
        <v>22</v>
      </c>
      <c r="AB26" s="171" t="s">
        <v>11</v>
      </c>
      <c r="AC26" s="171">
        <v>30</v>
      </c>
      <c r="AD26" s="178"/>
      <c r="AG26" s="179"/>
      <c r="AL26" s="178"/>
      <c r="AO26" s="179"/>
      <c r="AP26" s="178"/>
      <c r="AS26" s="179"/>
      <c r="AW26" s="179"/>
      <c r="BA26" s="180"/>
    </row>
    <row r="27" spans="1:53" s="171" customFormat="1" x14ac:dyDescent="0.15">
      <c r="A27" s="216">
        <v>1985</v>
      </c>
      <c r="B27" s="283"/>
      <c r="C27" s="410" t="s">
        <v>609</v>
      </c>
      <c r="D27" s="410"/>
      <c r="E27" s="171">
        <v>309</v>
      </c>
      <c r="G27" s="233">
        <v>6</v>
      </c>
      <c r="I27" s="171">
        <v>9</v>
      </c>
      <c r="J27" s="241">
        <v>17</v>
      </c>
      <c r="K27" s="214">
        <f t="shared" si="1"/>
        <v>35.294117647058826</v>
      </c>
      <c r="L27" s="214">
        <f t="shared" si="1"/>
        <v>0</v>
      </c>
      <c r="M27" s="214">
        <f t="shared" si="1"/>
        <v>52.941176470588239</v>
      </c>
      <c r="N27" s="235">
        <f t="shared" si="2"/>
        <v>88.235294117647072</v>
      </c>
      <c r="O27" s="213">
        <v>30</v>
      </c>
      <c r="P27" s="214"/>
      <c r="Q27" s="214">
        <v>40.4</v>
      </c>
      <c r="R27" s="215">
        <f t="shared" si="3"/>
        <v>70.400000000000006</v>
      </c>
      <c r="S27" s="171">
        <v>2</v>
      </c>
      <c r="T27" s="285"/>
      <c r="U27" s="283"/>
      <c r="V27" s="178" t="s">
        <v>95</v>
      </c>
      <c r="W27" s="171" t="s">
        <v>20</v>
      </c>
      <c r="X27" s="171" t="s">
        <v>12</v>
      </c>
      <c r="Y27" s="179">
        <v>40.4</v>
      </c>
      <c r="Z27" s="171" t="s">
        <v>477</v>
      </c>
      <c r="AA27" s="171" t="s">
        <v>22</v>
      </c>
      <c r="AB27" s="171" t="s">
        <v>11</v>
      </c>
      <c r="AC27" s="171">
        <v>30</v>
      </c>
      <c r="AD27" s="178"/>
      <c r="AG27" s="179"/>
      <c r="AL27" s="178"/>
      <c r="AO27" s="179"/>
      <c r="AP27" s="178"/>
      <c r="AS27" s="179"/>
      <c r="AW27" s="179"/>
      <c r="BA27" s="180"/>
    </row>
    <row r="28" spans="1:53" s="29" customFormat="1" x14ac:dyDescent="0.15">
      <c r="A28" s="52">
        <v>1985</v>
      </c>
      <c r="B28" s="295">
        <v>31357</v>
      </c>
      <c r="C28" s="411" t="s">
        <v>827</v>
      </c>
      <c r="D28" s="411"/>
      <c r="E28" s="29">
        <f>365-E27</f>
        <v>56</v>
      </c>
      <c r="F28" s="29">
        <v>4</v>
      </c>
      <c r="G28" s="66">
        <v>12</v>
      </c>
      <c r="J28" s="73">
        <v>14</v>
      </c>
      <c r="K28" s="47">
        <f t="shared" si="1"/>
        <v>85.714285714285708</v>
      </c>
      <c r="L28" s="47">
        <f t="shared" si="1"/>
        <v>0</v>
      </c>
      <c r="M28" s="47">
        <f t="shared" si="1"/>
        <v>0</v>
      </c>
      <c r="N28" s="68">
        <f t="shared" si="2"/>
        <v>85.714285714285708</v>
      </c>
      <c r="O28" s="46">
        <v>35.200000000000003</v>
      </c>
      <c r="P28" s="47"/>
      <c r="Q28" s="47"/>
      <c r="R28" s="48">
        <f t="shared" si="3"/>
        <v>35.200000000000003</v>
      </c>
      <c r="S28" s="29">
        <v>4</v>
      </c>
      <c r="T28" s="286">
        <v>31326</v>
      </c>
      <c r="U28" s="295">
        <v>31357</v>
      </c>
      <c r="V28" s="38" t="s">
        <v>477</v>
      </c>
      <c r="W28" s="29" t="s">
        <v>22</v>
      </c>
      <c r="X28" s="29" t="s">
        <v>11</v>
      </c>
      <c r="Y28" s="39">
        <v>35.200000000000003</v>
      </c>
      <c r="AD28" s="38"/>
      <c r="AG28" s="39"/>
      <c r="AL28" s="38"/>
      <c r="AO28" s="39"/>
      <c r="AP28" s="38"/>
      <c r="AS28" s="39"/>
      <c r="AW28" s="39"/>
      <c r="BA28" s="40"/>
    </row>
    <row r="29" spans="1:53" s="29" customFormat="1" x14ac:dyDescent="0.15">
      <c r="A29" s="52">
        <v>1986</v>
      </c>
      <c r="B29" s="295"/>
      <c r="C29" s="411" t="s">
        <v>827</v>
      </c>
      <c r="D29" s="411"/>
      <c r="E29" s="29">
        <v>0</v>
      </c>
      <c r="G29" s="66">
        <v>12</v>
      </c>
      <c r="J29" s="73">
        <v>14</v>
      </c>
      <c r="K29" s="47">
        <f t="shared" si="1"/>
        <v>85.714285714285708</v>
      </c>
      <c r="L29" s="47">
        <f t="shared" si="1"/>
        <v>0</v>
      </c>
      <c r="M29" s="47">
        <f t="shared" si="1"/>
        <v>0</v>
      </c>
      <c r="N29" s="68">
        <f t="shared" si="2"/>
        <v>85.714285714285708</v>
      </c>
      <c r="O29" s="46">
        <v>35.200000000000003</v>
      </c>
      <c r="P29" s="47"/>
      <c r="Q29" s="47"/>
      <c r="R29" s="48">
        <f t="shared" si="3"/>
        <v>35.200000000000003</v>
      </c>
      <c r="S29" s="29">
        <v>4</v>
      </c>
      <c r="T29" s="286"/>
      <c r="U29" s="295"/>
      <c r="V29" s="38" t="s">
        <v>477</v>
      </c>
      <c r="W29" s="29" t="s">
        <v>22</v>
      </c>
      <c r="X29" s="29" t="s">
        <v>11</v>
      </c>
      <c r="Y29" s="39">
        <v>35.200000000000003</v>
      </c>
      <c r="AD29" s="38"/>
      <c r="AG29" s="39"/>
      <c r="AL29" s="38"/>
      <c r="AO29" s="39"/>
      <c r="AP29" s="38"/>
      <c r="AS29" s="39"/>
      <c r="AW29" s="39"/>
      <c r="BA29" s="40"/>
    </row>
    <row r="30" spans="1:53" s="29" customFormat="1" x14ac:dyDescent="0.15">
      <c r="A30" s="52">
        <v>1986</v>
      </c>
      <c r="B30" s="295"/>
      <c r="C30" s="411" t="s">
        <v>827</v>
      </c>
      <c r="D30" s="411"/>
      <c r="E30" s="29">
        <v>365</v>
      </c>
      <c r="G30" s="66">
        <v>12</v>
      </c>
      <c r="J30" s="73">
        <v>14</v>
      </c>
      <c r="K30" s="47">
        <f t="shared" si="1"/>
        <v>85.714285714285708</v>
      </c>
      <c r="L30" s="47">
        <f t="shared" si="1"/>
        <v>0</v>
      </c>
      <c r="M30" s="47">
        <f t="shared" si="1"/>
        <v>0</v>
      </c>
      <c r="N30" s="68">
        <f t="shared" si="2"/>
        <v>85.714285714285708</v>
      </c>
      <c r="O30" s="46">
        <v>35.200000000000003</v>
      </c>
      <c r="P30" s="47"/>
      <c r="Q30" s="47"/>
      <c r="R30" s="48">
        <f t="shared" si="3"/>
        <v>35.200000000000003</v>
      </c>
      <c r="S30" s="29">
        <v>4</v>
      </c>
      <c r="T30" s="286"/>
      <c r="U30" s="295"/>
      <c r="V30" s="38" t="s">
        <v>477</v>
      </c>
      <c r="W30" s="29" t="s">
        <v>22</v>
      </c>
      <c r="X30" s="29" t="s">
        <v>11</v>
      </c>
      <c r="Y30" s="39">
        <v>35.200000000000003</v>
      </c>
      <c r="AD30" s="38"/>
      <c r="AG30" s="39"/>
      <c r="AL30" s="38"/>
      <c r="AO30" s="39"/>
      <c r="AP30" s="38"/>
      <c r="AS30" s="39"/>
      <c r="AW30" s="39"/>
      <c r="BA30" s="40"/>
    </row>
    <row r="31" spans="1:53" s="29" customFormat="1" x14ac:dyDescent="0.15">
      <c r="A31" s="52">
        <v>1987</v>
      </c>
      <c r="B31" s="295"/>
      <c r="C31" s="411" t="s">
        <v>827</v>
      </c>
      <c r="D31" s="411"/>
      <c r="E31" s="29">
        <v>228</v>
      </c>
      <c r="G31" s="66">
        <v>12</v>
      </c>
      <c r="J31" s="73">
        <v>14</v>
      </c>
      <c r="K31" s="47">
        <f t="shared" si="1"/>
        <v>85.714285714285708</v>
      </c>
      <c r="L31" s="47">
        <f t="shared" si="1"/>
        <v>0</v>
      </c>
      <c r="M31" s="47">
        <f t="shared" si="1"/>
        <v>0</v>
      </c>
      <c r="N31" s="68">
        <f t="shared" si="2"/>
        <v>85.714285714285708</v>
      </c>
      <c r="O31" s="46">
        <v>35.200000000000003</v>
      </c>
      <c r="P31" s="47"/>
      <c r="Q31" s="47"/>
      <c r="R31" s="48">
        <f t="shared" si="3"/>
        <v>35.200000000000003</v>
      </c>
      <c r="S31" s="29">
        <v>4</v>
      </c>
      <c r="T31" s="286"/>
      <c r="U31" s="295"/>
      <c r="V31" s="38" t="s">
        <v>477</v>
      </c>
      <c r="W31" s="29" t="s">
        <v>22</v>
      </c>
      <c r="X31" s="29" t="s">
        <v>11</v>
      </c>
      <c r="Y31" s="39">
        <v>35.200000000000003</v>
      </c>
      <c r="AD31" s="38"/>
      <c r="AG31" s="39"/>
      <c r="AL31" s="38"/>
      <c r="AO31" s="39"/>
      <c r="AP31" s="38"/>
      <c r="AS31" s="39"/>
      <c r="AW31" s="39"/>
      <c r="BA31" s="40"/>
    </row>
    <row r="32" spans="1:53" s="171" customFormat="1" x14ac:dyDescent="0.15">
      <c r="A32" s="216">
        <v>1987</v>
      </c>
      <c r="B32" s="283">
        <v>32006</v>
      </c>
      <c r="C32" s="410" t="s">
        <v>828</v>
      </c>
      <c r="D32" s="410"/>
      <c r="E32" s="171">
        <f>365-E31</f>
        <v>137</v>
      </c>
      <c r="F32" s="171">
        <v>5</v>
      </c>
      <c r="G32" s="233">
        <v>16</v>
      </c>
      <c r="J32" s="241">
        <v>18</v>
      </c>
      <c r="K32" s="214">
        <f t="shared" si="1"/>
        <v>88.888888888888886</v>
      </c>
      <c r="L32" s="214">
        <f t="shared" si="1"/>
        <v>0</v>
      </c>
      <c r="M32" s="214">
        <f t="shared" si="1"/>
        <v>0</v>
      </c>
      <c r="N32" s="235">
        <f t="shared" si="2"/>
        <v>88.888888888888886</v>
      </c>
      <c r="O32" s="213">
        <v>59.2</v>
      </c>
      <c r="P32" s="214"/>
      <c r="Q32" s="214"/>
      <c r="R32" s="215">
        <f t="shared" si="3"/>
        <v>59.2</v>
      </c>
      <c r="S32" s="171">
        <v>1</v>
      </c>
      <c r="T32" s="285">
        <v>31977</v>
      </c>
      <c r="U32" s="283">
        <v>32006</v>
      </c>
      <c r="V32" s="178" t="s">
        <v>477</v>
      </c>
      <c r="W32" s="171" t="s">
        <v>22</v>
      </c>
      <c r="X32" s="171" t="s">
        <v>11</v>
      </c>
      <c r="Y32" s="179">
        <v>59.2</v>
      </c>
      <c r="AD32" s="178"/>
      <c r="AG32" s="179"/>
      <c r="AL32" s="178"/>
      <c r="AO32" s="179"/>
      <c r="AP32" s="178"/>
      <c r="AS32" s="179"/>
      <c r="AW32" s="179"/>
      <c r="BA32" s="180"/>
    </row>
    <row r="33" spans="1:53" s="171" customFormat="1" x14ac:dyDescent="0.15">
      <c r="A33" s="216">
        <v>1988</v>
      </c>
      <c r="B33" s="283"/>
      <c r="C33" s="410" t="s">
        <v>828</v>
      </c>
      <c r="D33" s="410"/>
      <c r="E33" s="171">
        <v>0</v>
      </c>
      <c r="G33" s="233">
        <v>16</v>
      </c>
      <c r="J33" s="241">
        <v>18</v>
      </c>
      <c r="K33" s="214">
        <f t="shared" si="1"/>
        <v>88.888888888888886</v>
      </c>
      <c r="L33" s="214">
        <f t="shared" si="1"/>
        <v>0</v>
      </c>
      <c r="M33" s="214">
        <f t="shared" si="1"/>
        <v>0</v>
      </c>
      <c r="N33" s="235">
        <f t="shared" si="2"/>
        <v>88.888888888888886</v>
      </c>
      <c r="O33" s="213">
        <v>59.2</v>
      </c>
      <c r="P33" s="214"/>
      <c r="Q33" s="214"/>
      <c r="R33" s="215">
        <f t="shared" si="3"/>
        <v>59.2</v>
      </c>
      <c r="S33" s="171">
        <v>1</v>
      </c>
      <c r="T33" s="285"/>
      <c r="U33" s="283"/>
      <c r="V33" s="178" t="s">
        <v>477</v>
      </c>
      <c r="W33" s="171" t="s">
        <v>22</v>
      </c>
      <c r="X33" s="171" t="s">
        <v>11</v>
      </c>
      <c r="Y33" s="179">
        <v>59.2</v>
      </c>
      <c r="AD33" s="178"/>
      <c r="AG33" s="179"/>
      <c r="AL33" s="178"/>
      <c r="AO33" s="179"/>
      <c r="AP33" s="178"/>
      <c r="AS33" s="179"/>
      <c r="AW33" s="179"/>
      <c r="BA33" s="180"/>
    </row>
    <row r="34" spans="1:53" s="171" customFormat="1" x14ac:dyDescent="0.15">
      <c r="A34" s="216">
        <v>1988</v>
      </c>
      <c r="B34" s="283"/>
      <c r="C34" s="410" t="s">
        <v>828</v>
      </c>
      <c r="D34" s="410"/>
      <c r="E34" s="171">
        <v>366</v>
      </c>
      <c r="G34" s="233">
        <v>16</v>
      </c>
      <c r="J34" s="241">
        <v>18</v>
      </c>
      <c r="K34" s="214">
        <f t="shared" si="1"/>
        <v>88.888888888888886</v>
      </c>
      <c r="L34" s="214">
        <f t="shared" si="1"/>
        <v>0</v>
      </c>
      <c r="M34" s="214">
        <f t="shared" si="1"/>
        <v>0</v>
      </c>
      <c r="N34" s="235">
        <f t="shared" si="2"/>
        <v>88.888888888888886</v>
      </c>
      <c r="O34" s="213">
        <v>59.2</v>
      </c>
      <c r="P34" s="214"/>
      <c r="Q34" s="214"/>
      <c r="R34" s="215">
        <f t="shared" si="3"/>
        <v>59.2</v>
      </c>
      <c r="S34" s="171">
        <v>1</v>
      </c>
      <c r="T34" s="285"/>
      <c r="U34" s="283"/>
      <c r="V34" s="178" t="s">
        <v>477</v>
      </c>
      <c r="W34" s="171" t="s">
        <v>22</v>
      </c>
      <c r="X34" s="171" t="s">
        <v>11</v>
      </c>
      <c r="Y34" s="179">
        <v>59.2</v>
      </c>
      <c r="AD34" s="178"/>
      <c r="AG34" s="179"/>
      <c r="AL34" s="178"/>
      <c r="AO34" s="179"/>
      <c r="AP34" s="178"/>
      <c r="AS34" s="179"/>
      <c r="AW34" s="179"/>
      <c r="BA34" s="180"/>
    </row>
    <row r="35" spans="1:53" s="171" customFormat="1" x14ac:dyDescent="0.15">
      <c r="A35" s="216">
        <v>1989</v>
      </c>
      <c r="B35" s="283"/>
      <c r="C35" s="410" t="s">
        <v>828</v>
      </c>
      <c r="D35" s="410"/>
      <c r="E35" s="171">
        <v>0</v>
      </c>
      <c r="G35" s="233">
        <v>16</v>
      </c>
      <c r="J35" s="241">
        <v>18</v>
      </c>
      <c r="K35" s="214">
        <f t="shared" si="1"/>
        <v>88.888888888888886</v>
      </c>
      <c r="L35" s="214">
        <f t="shared" si="1"/>
        <v>0</v>
      </c>
      <c r="M35" s="214">
        <f t="shared" si="1"/>
        <v>0</v>
      </c>
      <c r="N35" s="235">
        <f t="shared" si="2"/>
        <v>88.888888888888886</v>
      </c>
      <c r="O35" s="213">
        <v>59.2</v>
      </c>
      <c r="P35" s="214"/>
      <c r="Q35" s="214"/>
      <c r="R35" s="215">
        <f t="shared" si="3"/>
        <v>59.2</v>
      </c>
      <c r="S35" s="171">
        <v>1</v>
      </c>
      <c r="T35" s="285"/>
      <c r="U35" s="283"/>
      <c r="V35" s="178" t="s">
        <v>477</v>
      </c>
      <c r="W35" s="171" t="s">
        <v>22</v>
      </c>
      <c r="X35" s="171" t="s">
        <v>11</v>
      </c>
      <c r="Y35" s="179">
        <v>59.2</v>
      </c>
      <c r="AD35" s="178"/>
      <c r="AG35" s="179"/>
      <c r="AL35" s="178"/>
      <c r="AO35" s="179"/>
      <c r="AP35" s="178"/>
      <c r="AS35" s="179"/>
      <c r="AW35" s="179"/>
      <c r="BA35" s="180"/>
    </row>
    <row r="36" spans="1:53" s="54" customFormat="1" x14ac:dyDescent="0.15">
      <c r="A36" s="118">
        <v>1989</v>
      </c>
      <c r="B36" s="293"/>
      <c r="C36" s="414" t="s">
        <v>828</v>
      </c>
      <c r="D36" s="414"/>
      <c r="E36" s="54">
        <f>365-E35</f>
        <v>365</v>
      </c>
      <c r="G36" s="249">
        <v>16</v>
      </c>
      <c r="J36" s="250">
        <v>18</v>
      </c>
      <c r="K36" s="226">
        <f t="shared" si="1"/>
        <v>88.888888888888886</v>
      </c>
      <c r="L36" s="226">
        <f t="shared" si="1"/>
        <v>0</v>
      </c>
      <c r="M36" s="226">
        <f t="shared" si="1"/>
        <v>0</v>
      </c>
      <c r="N36" s="238">
        <f t="shared" si="2"/>
        <v>88.888888888888886</v>
      </c>
      <c r="O36" s="225">
        <v>59.2</v>
      </c>
      <c r="P36" s="226"/>
      <c r="Q36" s="226"/>
      <c r="R36" s="227">
        <f t="shared" si="3"/>
        <v>59.2</v>
      </c>
      <c r="S36" s="54">
        <v>1</v>
      </c>
      <c r="T36" s="287"/>
      <c r="U36" s="293"/>
      <c r="V36" s="55" t="s">
        <v>477</v>
      </c>
      <c r="W36" s="54" t="s">
        <v>22</v>
      </c>
      <c r="X36" s="54" t="s">
        <v>11</v>
      </c>
      <c r="Y36" s="56">
        <v>59.2</v>
      </c>
      <c r="AD36" s="55"/>
      <c r="AG36" s="56"/>
      <c r="AL36" s="55"/>
      <c r="AO36" s="56"/>
      <c r="AP36" s="55"/>
      <c r="AS36" s="56"/>
      <c r="AW36" s="56"/>
      <c r="BA36" s="57"/>
    </row>
    <row r="37" spans="1:53" s="171" customFormat="1" x14ac:dyDescent="0.15">
      <c r="A37" s="171">
        <v>1990</v>
      </c>
      <c r="B37" s="283"/>
      <c r="C37" s="410" t="s">
        <v>828</v>
      </c>
      <c r="D37" s="410"/>
      <c r="E37" s="171">
        <v>0</v>
      </c>
      <c r="G37" s="233">
        <v>16</v>
      </c>
      <c r="J37" s="241">
        <v>18</v>
      </c>
      <c r="K37" s="213">
        <f t="shared" si="1"/>
        <v>88.888888888888886</v>
      </c>
      <c r="L37" s="214">
        <f t="shared" si="1"/>
        <v>0</v>
      </c>
      <c r="M37" s="214">
        <f t="shared" si="1"/>
        <v>0</v>
      </c>
      <c r="N37" s="215">
        <f t="shared" si="2"/>
        <v>88.888888888888886</v>
      </c>
      <c r="O37" s="213">
        <v>59.2</v>
      </c>
      <c r="P37" s="214"/>
      <c r="Q37" s="214"/>
      <c r="R37" s="215">
        <f t="shared" si="3"/>
        <v>59.2</v>
      </c>
      <c r="S37" s="171">
        <v>1</v>
      </c>
      <c r="T37" s="285"/>
      <c r="U37" s="283"/>
      <c r="V37" s="178" t="s">
        <v>477</v>
      </c>
      <c r="W37" s="171" t="s">
        <v>22</v>
      </c>
      <c r="X37" s="171" t="s">
        <v>11</v>
      </c>
      <c r="Y37" s="179">
        <v>59.2</v>
      </c>
      <c r="AD37" s="178"/>
      <c r="AG37" s="179"/>
      <c r="AL37" s="178"/>
      <c r="AO37" s="179"/>
      <c r="AP37" s="178"/>
      <c r="AS37" s="179"/>
      <c r="AW37" s="179"/>
      <c r="BA37" s="180"/>
    </row>
    <row r="38" spans="1:53" s="171" customFormat="1" x14ac:dyDescent="0.15">
      <c r="A38" s="171">
        <v>1990</v>
      </c>
      <c r="B38" s="283"/>
      <c r="C38" s="410" t="s">
        <v>828</v>
      </c>
      <c r="D38" s="410"/>
      <c r="E38" s="171">
        <f>365-E37</f>
        <v>365</v>
      </c>
      <c r="G38" s="233">
        <v>16</v>
      </c>
      <c r="J38" s="241">
        <v>18</v>
      </c>
      <c r="K38" s="214">
        <f t="shared" si="1"/>
        <v>88.888888888888886</v>
      </c>
      <c r="L38" s="214">
        <f t="shared" si="1"/>
        <v>0</v>
      </c>
      <c r="M38" s="214">
        <f t="shared" si="1"/>
        <v>0</v>
      </c>
      <c r="N38" s="235">
        <f t="shared" si="2"/>
        <v>88.888888888888886</v>
      </c>
      <c r="O38" s="213">
        <v>59.2</v>
      </c>
      <c r="P38" s="214"/>
      <c r="Q38" s="214"/>
      <c r="R38" s="215">
        <f t="shared" si="3"/>
        <v>59.2</v>
      </c>
      <c r="S38" s="171">
        <v>1</v>
      </c>
      <c r="T38" s="285"/>
      <c r="U38" s="283"/>
      <c r="V38" s="178" t="s">
        <v>477</v>
      </c>
      <c r="W38" s="171" t="s">
        <v>22</v>
      </c>
      <c r="X38" s="171" t="s">
        <v>11</v>
      </c>
      <c r="Y38" s="179">
        <v>59.2</v>
      </c>
      <c r="AD38" s="178"/>
      <c r="AG38" s="179"/>
      <c r="AL38" s="178"/>
      <c r="AO38" s="179"/>
      <c r="AP38" s="178"/>
      <c r="AS38" s="179"/>
      <c r="AW38" s="179"/>
      <c r="BA38" s="180"/>
    </row>
    <row r="39" spans="1:53" s="171" customFormat="1" x14ac:dyDescent="0.15">
      <c r="A39" s="171">
        <v>1991</v>
      </c>
      <c r="B39" s="283"/>
      <c r="C39" s="410" t="s">
        <v>828</v>
      </c>
      <c r="D39" s="410"/>
      <c r="E39" s="171">
        <v>303</v>
      </c>
      <c r="G39" s="233">
        <v>16</v>
      </c>
      <c r="J39" s="241">
        <v>18</v>
      </c>
      <c r="K39" s="214">
        <f t="shared" si="1"/>
        <v>88.888888888888886</v>
      </c>
      <c r="L39" s="214">
        <f t="shared" si="1"/>
        <v>0</v>
      </c>
      <c r="M39" s="214">
        <f t="shared" si="1"/>
        <v>0</v>
      </c>
      <c r="N39" s="235">
        <f t="shared" si="2"/>
        <v>88.888888888888886</v>
      </c>
      <c r="O39" s="213">
        <v>59.2</v>
      </c>
      <c r="P39" s="214"/>
      <c r="Q39" s="214"/>
      <c r="R39" s="215">
        <f t="shared" si="3"/>
        <v>59.2</v>
      </c>
      <c r="S39" s="171">
        <v>1</v>
      </c>
      <c r="T39" s="285"/>
      <c r="U39" s="283"/>
      <c r="V39" s="178" t="s">
        <v>477</v>
      </c>
      <c r="W39" s="171" t="s">
        <v>22</v>
      </c>
      <c r="X39" s="171" t="s">
        <v>11</v>
      </c>
      <c r="Y39" s="179">
        <v>59.2</v>
      </c>
      <c r="AD39" s="178"/>
      <c r="AG39" s="179"/>
      <c r="AL39" s="178"/>
      <c r="AO39" s="179"/>
      <c r="AP39" s="178"/>
      <c r="AS39" s="179"/>
      <c r="AW39" s="179"/>
      <c r="BA39" s="180"/>
    </row>
    <row r="40" spans="1:53" s="29" customFormat="1" x14ac:dyDescent="0.15">
      <c r="A40" s="29">
        <v>1991</v>
      </c>
      <c r="B40" s="295">
        <v>33542</v>
      </c>
      <c r="C40" s="411" t="s">
        <v>829</v>
      </c>
      <c r="D40" s="411"/>
      <c r="E40" s="29">
        <f>365-E39</f>
        <v>62</v>
      </c>
      <c r="F40" s="29">
        <v>1</v>
      </c>
      <c r="G40" s="66">
        <v>17</v>
      </c>
      <c r="J40" s="73">
        <v>19</v>
      </c>
      <c r="K40" s="47">
        <f t="shared" si="1"/>
        <v>89.473684210526315</v>
      </c>
      <c r="L40" s="47">
        <f t="shared" si="1"/>
        <v>0</v>
      </c>
      <c r="M40" s="47">
        <f t="shared" si="1"/>
        <v>0</v>
      </c>
      <c r="N40" s="68">
        <f t="shared" si="2"/>
        <v>89.473684210526315</v>
      </c>
      <c r="O40" s="46">
        <v>58.4</v>
      </c>
      <c r="P40" s="47"/>
      <c r="Q40" s="47"/>
      <c r="R40" s="48">
        <f t="shared" si="3"/>
        <v>58.4</v>
      </c>
      <c r="S40" s="29">
        <v>1</v>
      </c>
      <c r="T40" s="286">
        <v>33517</v>
      </c>
      <c r="U40" s="295">
        <v>33542</v>
      </c>
      <c r="V40" s="38" t="s">
        <v>477</v>
      </c>
      <c r="W40" s="29" t="s">
        <v>22</v>
      </c>
      <c r="X40" s="29" t="s">
        <v>11</v>
      </c>
      <c r="Y40" s="39">
        <v>58.4</v>
      </c>
      <c r="AD40" s="38"/>
      <c r="AG40" s="39"/>
      <c r="AL40" s="38"/>
      <c r="AO40" s="39"/>
      <c r="AP40" s="38"/>
      <c r="AS40" s="39"/>
      <c r="AW40" s="39"/>
      <c r="BA40" s="40"/>
    </row>
    <row r="41" spans="1:53" s="29" customFormat="1" x14ac:dyDescent="0.15">
      <c r="A41" s="29">
        <v>1992</v>
      </c>
      <c r="B41" s="295"/>
      <c r="C41" s="411" t="s">
        <v>829</v>
      </c>
      <c r="D41" s="411"/>
      <c r="E41" s="29">
        <v>0</v>
      </c>
      <c r="G41" s="66">
        <v>17</v>
      </c>
      <c r="J41" s="73">
        <v>19</v>
      </c>
      <c r="K41" s="47">
        <f t="shared" si="1"/>
        <v>89.473684210526315</v>
      </c>
      <c r="L41" s="47">
        <f t="shared" si="1"/>
        <v>0</v>
      </c>
      <c r="M41" s="47">
        <f t="shared" si="1"/>
        <v>0</v>
      </c>
      <c r="N41" s="68">
        <f t="shared" si="2"/>
        <v>89.473684210526315</v>
      </c>
      <c r="O41" s="46">
        <v>58.4</v>
      </c>
      <c r="P41" s="47"/>
      <c r="Q41" s="47"/>
      <c r="R41" s="48">
        <f t="shared" si="3"/>
        <v>58.4</v>
      </c>
      <c r="S41" s="29">
        <v>1</v>
      </c>
      <c r="T41" s="286"/>
      <c r="U41" s="295"/>
      <c r="V41" s="38" t="s">
        <v>477</v>
      </c>
      <c r="W41" s="29" t="s">
        <v>22</v>
      </c>
      <c r="X41" s="29" t="s">
        <v>11</v>
      </c>
      <c r="Y41" s="39">
        <v>58.4</v>
      </c>
      <c r="AD41" s="38"/>
      <c r="AG41" s="39"/>
      <c r="AL41" s="38"/>
      <c r="AO41" s="39"/>
      <c r="AP41" s="38"/>
      <c r="AS41" s="39"/>
      <c r="AW41" s="39"/>
      <c r="BA41" s="40"/>
    </row>
    <row r="42" spans="1:53" s="29" customFormat="1" x14ac:dyDescent="0.15">
      <c r="A42" s="29">
        <v>1992</v>
      </c>
      <c r="B42" s="295"/>
      <c r="C42" s="411" t="s">
        <v>829</v>
      </c>
      <c r="D42" s="411"/>
      <c r="E42" s="29">
        <v>366</v>
      </c>
      <c r="G42" s="66">
        <v>17</v>
      </c>
      <c r="J42" s="73">
        <v>19</v>
      </c>
      <c r="K42" s="47">
        <f t="shared" si="1"/>
        <v>89.473684210526315</v>
      </c>
      <c r="L42" s="47">
        <f t="shared" si="1"/>
        <v>0</v>
      </c>
      <c r="M42" s="47">
        <f t="shared" si="1"/>
        <v>0</v>
      </c>
      <c r="N42" s="68">
        <f t="shared" si="2"/>
        <v>89.473684210526315</v>
      </c>
      <c r="O42" s="46">
        <v>58.4</v>
      </c>
      <c r="P42" s="47"/>
      <c r="Q42" s="47"/>
      <c r="R42" s="48">
        <f t="shared" si="3"/>
        <v>58.4</v>
      </c>
      <c r="S42" s="29">
        <v>1</v>
      </c>
      <c r="T42" s="286"/>
      <c r="U42" s="295"/>
      <c r="V42" s="38" t="s">
        <v>477</v>
      </c>
      <c r="W42" s="29" t="s">
        <v>22</v>
      </c>
      <c r="X42" s="29" t="s">
        <v>11</v>
      </c>
      <c r="Y42" s="39">
        <v>58.4</v>
      </c>
      <c r="AD42" s="38"/>
      <c r="AG42" s="39"/>
      <c r="AL42" s="38"/>
      <c r="AO42" s="39"/>
      <c r="AP42" s="38"/>
      <c r="AS42" s="39"/>
      <c r="AW42" s="39"/>
      <c r="BA42" s="40"/>
    </row>
    <row r="43" spans="1:53" s="29" customFormat="1" x14ac:dyDescent="0.15">
      <c r="A43" s="29">
        <v>1993</v>
      </c>
      <c r="B43" s="295"/>
      <c r="C43" s="411" t="s">
        <v>829</v>
      </c>
      <c r="D43" s="411"/>
      <c r="E43" s="29">
        <v>0</v>
      </c>
      <c r="G43" s="66">
        <v>17</v>
      </c>
      <c r="J43" s="73">
        <v>19</v>
      </c>
      <c r="K43" s="47">
        <f t="shared" si="1"/>
        <v>89.473684210526315</v>
      </c>
      <c r="L43" s="47">
        <f t="shared" si="1"/>
        <v>0</v>
      </c>
      <c r="M43" s="47">
        <f t="shared" si="1"/>
        <v>0</v>
      </c>
      <c r="N43" s="68">
        <f t="shared" si="2"/>
        <v>89.473684210526315</v>
      </c>
      <c r="O43" s="46">
        <v>58.4</v>
      </c>
      <c r="P43" s="47"/>
      <c r="Q43" s="47"/>
      <c r="R43" s="48">
        <f t="shared" si="3"/>
        <v>58.4</v>
      </c>
      <c r="S43" s="29">
        <v>1</v>
      </c>
      <c r="T43" s="286"/>
      <c r="U43" s="295"/>
      <c r="V43" s="38" t="s">
        <v>477</v>
      </c>
      <c r="W43" s="29" t="s">
        <v>22</v>
      </c>
      <c r="X43" s="29" t="s">
        <v>11</v>
      </c>
      <c r="Y43" s="39">
        <v>58.4</v>
      </c>
      <c r="AD43" s="38"/>
      <c r="AG43" s="39"/>
      <c r="AL43" s="38"/>
      <c r="AO43" s="39"/>
      <c r="AP43" s="38"/>
      <c r="AS43" s="39"/>
      <c r="AW43" s="39"/>
      <c r="BA43" s="40"/>
    </row>
    <row r="44" spans="1:53" s="29" customFormat="1" x14ac:dyDescent="0.15">
      <c r="A44" s="29">
        <v>1993</v>
      </c>
      <c r="B44" s="295"/>
      <c r="C44" s="411" t="s">
        <v>829</v>
      </c>
      <c r="D44" s="411"/>
      <c r="E44" s="29">
        <f>365-E43</f>
        <v>365</v>
      </c>
      <c r="G44" s="66">
        <v>17</v>
      </c>
      <c r="J44" s="73">
        <v>19</v>
      </c>
      <c r="K44" s="47">
        <f t="shared" si="1"/>
        <v>89.473684210526315</v>
      </c>
      <c r="L44" s="47">
        <f t="shared" si="1"/>
        <v>0</v>
      </c>
      <c r="M44" s="47">
        <f t="shared" si="1"/>
        <v>0</v>
      </c>
      <c r="N44" s="68">
        <f t="shared" si="2"/>
        <v>89.473684210526315</v>
      </c>
      <c r="O44" s="46">
        <v>58.4</v>
      </c>
      <c r="P44" s="47"/>
      <c r="Q44" s="47"/>
      <c r="R44" s="48">
        <f t="shared" si="3"/>
        <v>58.4</v>
      </c>
      <c r="S44" s="29">
        <v>1</v>
      </c>
      <c r="T44" s="286"/>
      <c r="U44" s="295"/>
      <c r="V44" s="38" t="s">
        <v>477</v>
      </c>
      <c r="W44" s="29" t="s">
        <v>22</v>
      </c>
      <c r="X44" s="29" t="s">
        <v>11</v>
      </c>
      <c r="Y44" s="39">
        <v>58.4</v>
      </c>
      <c r="AD44" s="38"/>
      <c r="AG44" s="39"/>
      <c r="AL44" s="38"/>
      <c r="AO44" s="39"/>
      <c r="AP44" s="38"/>
      <c r="AS44" s="39"/>
      <c r="AW44" s="39"/>
      <c r="BA44" s="40"/>
    </row>
    <row r="45" spans="1:53" s="29" customFormat="1" x14ac:dyDescent="0.15">
      <c r="A45" s="29">
        <v>1994</v>
      </c>
      <c r="B45" s="295"/>
      <c r="C45" s="411" t="s">
        <v>829</v>
      </c>
      <c r="D45" s="411"/>
      <c r="E45" s="29">
        <v>0</v>
      </c>
      <c r="G45" s="66">
        <v>17</v>
      </c>
      <c r="J45" s="73">
        <v>19</v>
      </c>
      <c r="K45" s="47">
        <f t="shared" si="1"/>
        <v>89.473684210526315</v>
      </c>
      <c r="L45" s="47">
        <f t="shared" si="1"/>
        <v>0</v>
      </c>
      <c r="M45" s="47">
        <f t="shared" si="1"/>
        <v>0</v>
      </c>
      <c r="N45" s="68">
        <f t="shared" si="2"/>
        <v>89.473684210526315</v>
      </c>
      <c r="O45" s="46">
        <v>58.4</v>
      </c>
      <c r="P45" s="47"/>
      <c r="Q45" s="47"/>
      <c r="R45" s="48">
        <f t="shared" si="3"/>
        <v>58.4</v>
      </c>
      <c r="S45" s="29">
        <v>1</v>
      </c>
      <c r="T45" s="286"/>
      <c r="U45" s="295"/>
      <c r="V45" s="38" t="s">
        <v>477</v>
      </c>
      <c r="W45" s="29" t="s">
        <v>22</v>
      </c>
      <c r="X45" s="29" t="s">
        <v>11</v>
      </c>
      <c r="Y45" s="39">
        <v>58.4</v>
      </c>
      <c r="AD45" s="38"/>
      <c r="AG45" s="39"/>
      <c r="AL45" s="38"/>
      <c r="AO45" s="39"/>
      <c r="AP45" s="38"/>
      <c r="AS45" s="39"/>
      <c r="AW45" s="39"/>
      <c r="BA45" s="40"/>
    </row>
    <row r="46" spans="1:53" s="29" customFormat="1" x14ac:dyDescent="0.15">
      <c r="A46" s="29">
        <v>1994</v>
      </c>
      <c r="B46" s="295"/>
      <c r="C46" s="411" t="s">
        <v>829</v>
      </c>
      <c r="D46" s="411"/>
      <c r="E46" s="29">
        <f>365-E45</f>
        <v>365</v>
      </c>
      <c r="G46" s="66">
        <v>17</v>
      </c>
      <c r="J46" s="73">
        <v>19</v>
      </c>
      <c r="K46" s="47">
        <f t="shared" si="1"/>
        <v>89.473684210526315</v>
      </c>
      <c r="L46" s="47">
        <f t="shared" si="1"/>
        <v>0</v>
      </c>
      <c r="M46" s="47">
        <f t="shared" si="1"/>
        <v>0</v>
      </c>
      <c r="N46" s="68">
        <f t="shared" si="2"/>
        <v>89.473684210526315</v>
      </c>
      <c r="O46" s="46">
        <v>58.4</v>
      </c>
      <c r="P46" s="47"/>
      <c r="Q46" s="47"/>
      <c r="R46" s="48">
        <f t="shared" si="3"/>
        <v>58.4</v>
      </c>
      <c r="S46" s="29">
        <v>1</v>
      </c>
      <c r="T46" s="286"/>
      <c r="U46" s="295"/>
      <c r="V46" s="38" t="s">
        <v>477</v>
      </c>
      <c r="W46" s="29" t="s">
        <v>22</v>
      </c>
      <c r="X46" s="29" t="s">
        <v>11</v>
      </c>
      <c r="Y46" s="39">
        <v>58.4</v>
      </c>
      <c r="AD46" s="38"/>
      <c r="AG46" s="39"/>
      <c r="AL46" s="38"/>
      <c r="AO46" s="39"/>
      <c r="AP46" s="38"/>
      <c r="AS46" s="39"/>
      <c r="AW46" s="39"/>
      <c r="BA46" s="40"/>
    </row>
    <row r="47" spans="1:53" s="29" customFormat="1" x14ac:dyDescent="0.15">
      <c r="A47" s="29">
        <v>1995</v>
      </c>
      <c r="B47" s="295"/>
      <c r="C47" s="411" t="s">
        <v>829</v>
      </c>
      <c r="D47" s="411"/>
      <c r="E47" s="29">
        <v>300</v>
      </c>
      <c r="G47" s="66">
        <v>16</v>
      </c>
      <c r="J47" s="73">
        <v>18</v>
      </c>
      <c r="K47" s="47">
        <f t="shared" si="1"/>
        <v>88.888888888888886</v>
      </c>
      <c r="L47" s="47">
        <f t="shared" si="1"/>
        <v>0</v>
      </c>
      <c r="M47" s="47">
        <f t="shared" si="1"/>
        <v>0</v>
      </c>
      <c r="N47" s="68">
        <f t="shared" si="2"/>
        <v>88.888888888888886</v>
      </c>
      <c r="O47" s="46">
        <v>58.4</v>
      </c>
      <c r="P47" s="47"/>
      <c r="Q47" s="47"/>
      <c r="R47" s="48">
        <f t="shared" si="3"/>
        <v>58.4</v>
      </c>
      <c r="S47" s="29">
        <v>1</v>
      </c>
      <c r="T47" s="286"/>
      <c r="U47" s="295"/>
      <c r="V47" s="38" t="s">
        <v>477</v>
      </c>
      <c r="W47" s="29" t="s">
        <v>22</v>
      </c>
      <c r="X47" s="29" t="s">
        <v>11</v>
      </c>
      <c r="Y47" s="39">
        <v>58.4</v>
      </c>
      <c r="AD47" s="38"/>
      <c r="AG47" s="39"/>
      <c r="AL47" s="38"/>
      <c r="AO47" s="39"/>
      <c r="AP47" s="38"/>
      <c r="AS47" s="39"/>
      <c r="AW47" s="39"/>
      <c r="BA47" s="40"/>
    </row>
    <row r="48" spans="1:53" s="171" customFormat="1" x14ac:dyDescent="0.15">
      <c r="A48" s="171">
        <v>1995</v>
      </c>
      <c r="B48" s="283">
        <v>35000</v>
      </c>
      <c r="C48" s="410" t="s">
        <v>830</v>
      </c>
      <c r="D48" s="410"/>
      <c r="E48" s="171">
        <f>365-E47</f>
        <v>65</v>
      </c>
      <c r="F48" s="171">
        <v>1</v>
      </c>
      <c r="G48" s="233"/>
      <c r="I48" s="171">
        <v>14</v>
      </c>
      <c r="J48" s="241">
        <v>18</v>
      </c>
      <c r="K48" s="214">
        <f t="shared" si="1"/>
        <v>0</v>
      </c>
      <c r="L48" s="214">
        <f t="shared" si="1"/>
        <v>0</v>
      </c>
      <c r="M48" s="214">
        <f t="shared" si="1"/>
        <v>77.777777777777786</v>
      </c>
      <c r="N48" s="235">
        <f t="shared" si="2"/>
        <v>77.777777777777786</v>
      </c>
      <c r="O48" s="213"/>
      <c r="P48" s="214"/>
      <c r="Q48" s="214">
        <v>48.7</v>
      </c>
      <c r="R48" s="215">
        <f t="shared" si="3"/>
        <v>48.7</v>
      </c>
      <c r="S48" s="171">
        <v>4</v>
      </c>
      <c r="T48" s="285">
        <v>34973</v>
      </c>
      <c r="U48" s="283">
        <v>35000</v>
      </c>
      <c r="V48" s="178" t="s">
        <v>95</v>
      </c>
      <c r="W48" s="171" t="s">
        <v>20</v>
      </c>
      <c r="X48" s="171" t="s">
        <v>12</v>
      </c>
      <c r="Y48" s="179">
        <v>48.7</v>
      </c>
      <c r="AD48" s="178"/>
      <c r="AG48" s="179"/>
      <c r="AL48" s="178"/>
      <c r="AO48" s="179"/>
      <c r="AP48" s="178"/>
      <c r="AS48" s="179"/>
      <c r="AW48" s="179"/>
      <c r="BA48" s="180"/>
    </row>
    <row r="49" spans="1:53" s="171" customFormat="1" x14ac:dyDescent="0.15">
      <c r="A49" s="171">
        <v>1996</v>
      </c>
      <c r="B49" s="283"/>
      <c r="C49" s="410" t="s">
        <v>830</v>
      </c>
      <c r="D49" s="410"/>
      <c r="E49" s="171">
        <v>0</v>
      </c>
      <c r="G49" s="233"/>
      <c r="I49" s="171">
        <v>14</v>
      </c>
      <c r="J49" s="241">
        <v>18</v>
      </c>
      <c r="K49" s="214">
        <f t="shared" si="1"/>
        <v>0</v>
      </c>
      <c r="L49" s="214">
        <f t="shared" si="1"/>
        <v>0</v>
      </c>
      <c r="M49" s="214">
        <f t="shared" si="1"/>
        <v>77.777777777777786</v>
      </c>
      <c r="N49" s="235">
        <f t="shared" si="2"/>
        <v>77.777777777777786</v>
      </c>
      <c r="O49" s="213"/>
      <c r="P49" s="214"/>
      <c r="Q49" s="214">
        <v>48.7</v>
      </c>
      <c r="R49" s="215">
        <f t="shared" si="3"/>
        <v>48.7</v>
      </c>
      <c r="S49" s="171">
        <v>4</v>
      </c>
      <c r="T49" s="285"/>
      <c r="U49" s="283"/>
      <c r="V49" s="178" t="s">
        <v>95</v>
      </c>
      <c r="W49" s="171" t="s">
        <v>20</v>
      </c>
      <c r="X49" s="171" t="s">
        <v>12</v>
      </c>
      <c r="Y49" s="179">
        <v>48.7</v>
      </c>
      <c r="AD49" s="178"/>
      <c r="AG49" s="179"/>
      <c r="AL49" s="178"/>
      <c r="AO49" s="179"/>
      <c r="AP49" s="178"/>
      <c r="AS49" s="179"/>
      <c r="AW49" s="179"/>
      <c r="BA49" s="180"/>
    </row>
    <row r="50" spans="1:53" s="171" customFormat="1" x14ac:dyDescent="0.15">
      <c r="A50" s="171">
        <v>1996</v>
      </c>
      <c r="B50" s="283"/>
      <c r="C50" s="410" t="s">
        <v>830</v>
      </c>
      <c r="D50" s="410"/>
      <c r="E50" s="171">
        <v>366</v>
      </c>
      <c r="G50" s="233"/>
      <c r="I50" s="171">
        <v>14</v>
      </c>
      <c r="J50" s="241">
        <v>18</v>
      </c>
      <c r="K50" s="214">
        <f t="shared" si="1"/>
        <v>0</v>
      </c>
      <c r="L50" s="214">
        <f t="shared" si="1"/>
        <v>0</v>
      </c>
      <c r="M50" s="214">
        <f t="shared" si="1"/>
        <v>77.777777777777786</v>
      </c>
      <c r="N50" s="235">
        <f t="shared" si="2"/>
        <v>77.777777777777786</v>
      </c>
      <c r="O50" s="213"/>
      <c r="P50" s="214"/>
      <c r="Q50" s="214">
        <v>48.7</v>
      </c>
      <c r="R50" s="215">
        <f t="shared" si="3"/>
        <v>48.7</v>
      </c>
      <c r="S50" s="171">
        <v>4</v>
      </c>
      <c r="T50" s="285"/>
      <c r="U50" s="283"/>
      <c r="V50" s="178" t="s">
        <v>95</v>
      </c>
      <c r="W50" s="171" t="s">
        <v>20</v>
      </c>
      <c r="X50" s="171" t="s">
        <v>12</v>
      </c>
      <c r="Y50" s="179">
        <v>48.7</v>
      </c>
      <c r="AD50" s="178"/>
      <c r="AG50" s="179"/>
      <c r="AL50" s="178"/>
      <c r="AO50" s="179"/>
      <c r="AP50" s="178"/>
      <c r="AS50" s="179"/>
      <c r="AW50" s="179"/>
      <c r="BA50" s="180"/>
    </row>
    <row r="51" spans="1:53" s="171" customFormat="1" x14ac:dyDescent="0.15">
      <c r="A51" s="171">
        <v>1997</v>
      </c>
      <c r="B51" s="283"/>
      <c r="C51" s="410" t="s">
        <v>830</v>
      </c>
      <c r="D51" s="410"/>
      <c r="E51" s="171">
        <v>328</v>
      </c>
      <c r="G51" s="233"/>
      <c r="I51" s="171">
        <v>13</v>
      </c>
      <c r="J51" s="241">
        <v>17</v>
      </c>
      <c r="K51" s="214">
        <f t="shared" si="1"/>
        <v>0</v>
      </c>
      <c r="L51" s="214">
        <f t="shared" si="1"/>
        <v>0</v>
      </c>
      <c r="M51" s="214">
        <f t="shared" si="1"/>
        <v>76.470588235294116</v>
      </c>
      <c r="N51" s="235">
        <f t="shared" si="2"/>
        <v>76.470588235294116</v>
      </c>
      <c r="O51" s="213"/>
      <c r="P51" s="214"/>
      <c r="Q51" s="214">
        <v>48.7</v>
      </c>
      <c r="R51" s="215">
        <f t="shared" si="3"/>
        <v>48.7</v>
      </c>
      <c r="S51" s="171">
        <v>4</v>
      </c>
      <c r="T51" s="285"/>
      <c r="U51" s="283"/>
      <c r="V51" s="178" t="s">
        <v>95</v>
      </c>
      <c r="W51" s="171" t="s">
        <v>20</v>
      </c>
      <c r="X51" s="171" t="s">
        <v>12</v>
      </c>
      <c r="Y51" s="179">
        <v>48.7</v>
      </c>
      <c r="AD51" s="178"/>
      <c r="AG51" s="179"/>
      <c r="AL51" s="178"/>
      <c r="AO51" s="179"/>
      <c r="AP51" s="178"/>
      <c r="AS51" s="179"/>
      <c r="AW51" s="179"/>
      <c r="BA51" s="180"/>
    </row>
    <row r="52" spans="1:53" s="171" customFormat="1" x14ac:dyDescent="0.15">
      <c r="A52" s="171">
        <v>1997</v>
      </c>
      <c r="B52" s="305">
        <v>35759</v>
      </c>
      <c r="C52" s="410" t="s">
        <v>830</v>
      </c>
      <c r="D52" s="410"/>
      <c r="E52" s="171">
        <f>365-E51</f>
        <v>37</v>
      </c>
      <c r="F52" s="244">
        <v>0</v>
      </c>
      <c r="G52" s="233"/>
      <c r="I52" s="171">
        <v>14</v>
      </c>
      <c r="J52" s="241">
        <v>17</v>
      </c>
      <c r="K52" s="214">
        <f t="shared" si="1"/>
        <v>0</v>
      </c>
      <c r="L52" s="214">
        <f t="shared" si="1"/>
        <v>0</v>
      </c>
      <c r="M52" s="214">
        <f t="shared" si="1"/>
        <v>82.35294117647058</v>
      </c>
      <c r="N52" s="235">
        <f t="shared" si="2"/>
        <v>82.35294117647058</v>
      </c>
      <c r="O52" s="213"/>
      <c r="P52" s="214"/>
      <c r="Q52" s="214">
        <v>48.7</v>
      </c>
      <c r="R52" s="215">
        <f t="shared" si="3"/>
        <v>48.7</v>
      </c>
      <c r="S52" s="171">
        <v>4</v>
      </c>
      <c r="T52" s="285"/>
      <c r="U52" s="283"/>
      <c r="V52" s="178" t="s">
        <v>95</v>
      </c>
      <c r="W52" s="171" t="s">
        <v>20</v>
      </c>
      <c r="X52" s="171" t="s">
        <v>12</v>
      </c>
      <c r="Y52" s="179">
        <v>48.7</v>
      </c>
      <c r="AD52" s="178"/>
      <c r="AG52" s="179"/>
      <c r="AL52" s="178"/>
      <c r="AO52" s="179"/>
      <c r="AP52" s="178"/>
      <c r="AS52" s="179"/>
      <c r="AW52" s="179"/>
      <c r="BA52" s="180"/>
    </row>
    <row r="53" spans="1:53" s="171" customFormat="1" x14ac:dyDescent="0.15">
      <c r="A53" s="171">
        <v>1998</v>
      </c>
      <c r="B53" s="283"/>
      <c r="C53" s="410" t="s">
        <v>830</v>
      </c>
      <c r="D53" s="410"/>
      <c r="E53" s="171">
        <v>0</v>
      </c>
      <c r="G53" s="233"/>
      <c r="I53" s="171">
        <v>14</v>
      </c>
      <c r="J53" s="241">
        <v>17</v>
      </c>
      <c r="K53" s="214">
        <f t="shared" si="1"/>
        <v>0</v>
      </c>
      <c r="L53" s="214">
        <f t="shared" si="1"/>
        <v>0</v>
      </c>
      <c r="M53" s="214">
        <f t="shared" si="1"/>
        <v>82.35294117647058</v>
      </c>
      <c r="N53" s="235">
        <f t="shared" si="2"/>
        <v>82.35294117647058</v>
      </c>
      <c r="O53" s="213"/>
      <c r="P53" s="214"/>
      <c r="Q53" s="214">
        <v>48.7</v>
      </c>
      <c r="R53" s="215">
        <f t="shared" si="3"/>
        <v>48.7</v>
      </c>
      <c r="S53" s="171">
        <v>4</v>
      </c>
      <c r="T53" s="285"/>
      <c r="U53" s="283"/>
      <c r="V53" s="178" t="s">
        <v>95</v>
      </c>
      <c r="W53" s="171" t="s">
        <v>20</v>
      </c>
      <c r="X53" s="171" t="s">
        <v>12</v>
      </c>
      <c r="Y53" s="179">
        <v>48.7</v>
      </c>
      <c r="AD53" s="178"/>
      <c r="AG53" s="179"/>
      <c r="AL53" s="178"/>
      <c r="AO53" s="179"/>
      <c r="AP53" s="178"/>
      <c r="AS53" s="179"/>
      <c r="AW53" s="179"/>
      <c r="BA53" s="180"/>
    </row>
    <row r="54" spans="1:53" s="171" customFormat="1" x14ac:dyDescent="0.15">
      <c r="A54" s="171">
        <v>1998</v>
      </c>
      <c r="B54" s="283"/>
      <c r="C54" s="410" t="s">
        <v>830</v>
      </c>
      <c r="D54" s="410"/>
      <c r="E54" s="171">
        <f>365-E53</f>
        <v>365</v>
      </c>
      <c r="G54" s="233"/>
      <c r="I54" s="171">
        <v>14</v>
      </c>
      <c r="J54" s="241">
        <v>17</v>
      </c>
      <c r="K54" s="214">
        <f t="shared" si="1"/>
        <v>0</v>
      </c>
      <c r="L54" s="214">
        <f t="shared" si="1"/>
        <v>0</v>
      </c>
      <c r="M54" s="214">
        <f t="shared" si="1"/>
        <v>82.35294117647058</v>
      </c>
      <c r="N54" s="235">
        <f t="shared" si="2"/>
        <v>82.35294117647058</v>
      </c>
      <c r="O54" s="213"/>
      <c r="P54" s="214"/>
      <c r="Q54" s="214">
        <v>48.7</v>
      </c>
      <c r="R54" s="215">
        <f t="shared" si="3"/>
        <v>48.7</v>
      </c>
      <c r="S54" s="171">
        <v>4</v>
      </c>
      <c r="T54" s="285"/>
      <c r="U54" s="283"/>
      <c r="V54" s="178" t="s">
        <v>95</v>
      </c>
      <c r="W54" s="171" t="s">
        <v>20</v>
      </c>
      <c r="X54" s="171" t="s">
        <v>12</v>
      </c>
      <c r="Y54" s="179">
        <v>48.7</v>
      </c>
      <c r="AD54" s="178"/>
      <c r="AG54" s="179"/>
      <c r="AL54" s="178"/>
      <c r="AO54" s="179"/>
      <c r="AP54" s="178"/>
      <c r="AS54" s="179"/>
      <c r="AW54" s="179"/>
      <c r="BA54" s="180"/>
    </row>
    <row r="55" spans="1:53" s="171" customFormat="1" x14ac:dyDescent="0.15">
      <c r="A55" s="171">
        <v>1999</v>
      </c>
      <c r="B55" s="283"/>
      <c r="C55" s="410" t="s">
        <v>830</v>
      </c>
      <c r="D55" s="410"/>
      <c r="E55" s="171">
        <v>293</v>
      </c>
      <c r="G55" s="233"/>
      <c r="I55" s="171">
        <v>14</v>
      </c>
      <c r="J55" s="241">
        <v>17</v>
      </c>
      <c r="K55" s="214">
        <f t="shared" si="1"/>
        <v>0</v>
      </c>
      <c r="L55" s="214">
        <f t="shared" si="1"/>
        <v>0</v>
      </c>
      <c r="M55" s="214">
        <f t="shared" si="1"/>
        <v>82.35294117647058</v>
      </c>
      <c r="N55" s="235">
        <f t="shared" si="2"/>
        <v>82.35294117647058</v>
      </c>
      <c r="O55" s="213"/>
      <c r="P55" s="214"/>
      <c r="Q55" s="214">
        <v>48.7</v>
      </c>
      <c r="R55" s="215">
        <f t="shared" si="3"/>
        <v>48.7</v>
      </c>
      <c r="S55" s="171">
        <v>4</v>
      </c>
      <c r="T55" s="285"/>
      <c r="U55" s="283"/>
      <c r="V55" s="178" t="s">
        <v>95</v>
      </c>
      <c r="W55" s="171" t="s">
        <v>20</v>
      </c>
      <c r="X55" s="171" t="s">
        <v>12</v>
      </c>
      <c r="Y55" s="179">
        <v>48.7</v>
      </c>
      <c r="AD55" s="178"/>
      <c r="AG55" s="179"/>
      <c r="AL55" s="178"/>
      <c r="AO55" s="179"/>
      <c r="AP55" s="178"/>
      <c r="AS55" s="179"/>
      <c r="AW55" s="179"/>
      <c r="BA55" s="180"/>
    </row>
    <row r="56" spans="1:53" s="29" customFormat="1" x14ac:dyDescent="0.15">
      <c r="A56" s="29">
        <v>1999</v>
      </c>
      <c r="B56" s="295">
        <v>36454</v>
      </c>
      <c r="C56" s="411" t="s">
        <v>831</v>
      </c>
      <c r="D56" s="411"/>
      <c r="E56" s="29">
        <f>365-E55</f>
        <v>72</v>
      </c>
      <c r="F56" s="29">
        <v>1</v>
      </c>
      <c r="G56" s="66"/>
      <c r="I56" s="29">
        <v>18</v>
      </c>
      <c r="J56" s="73">
        <v>19</v>
      </c>
      <c r="K56" s="47">
        <f t="shared" si="1"/>
        <v>0</v>
      </c>
      <c r="L56" s="47">
        <f t="shared" si="1"/>
        <v>0</v>
      </c>
      <c r="M56" s="47">
        <f t="shared" si="1"/>
        <v>94.73684210526315</v>
      </c>
      <c r="N56" s="68">
        <f t="shared" si="2"/>
        <v>94.73684210526315</v>
      </c>
      <c r="O56" s="46"/>
      <c r="P56" s="47"/>
      <c r="Q56" s="47">
        <v>50</v>
      </c>
      <c r="R56" s="48">
        <f t="shared" si="3"/>
        <v>50</v>
      </c>
      <c r="S56" s="29">
        <v>4</v>
      </c>
      <c r="T56" s="286">
        <v>36443</v>
      </c>
      <c r="U56" s="295">
        <v>36454</v>
      </c>
      <c r="V56" s="38" t="s">
        <v>95</v>
      </c>
      <c r="W56" s="29" t="s">
        <v>20</v>
      </c>
      <c r="X56" s="29" t="s">
        <v>12</v>
      </c>
      <c r="Y56" s="39">
        <v>50</v>
      </c>
      <c r="AD56" s="38"/>
      <c r="AG56" s="39"/>
      <c r="AL56" s="38"/>
      <c r="AO56" s="39"/>
      <c r="AP56" s="38"/>
      <c r="AS56" s="39"/>
      <c r="AW56" s="39"/>
      <c r="BA56" s="40"/>
    </row>
    <row r="57" spans="1:53" s="29" customFormat="1" x14ac:dyDescent="0.15">
      <c r="A57" s="29">
        <v>2000</v>
      </c>
      <c r="B57" s="295"/>
      <c r="C57" s="411" t="s">
        <v>831</v>
      </c>
      <c r="D57" s="411"/>
      <c r="E57" s="29">
        <v>273</v>
      </c>
      <c r="G57" s="66"/>
      <c r="I57" s="29">
        <v>14</v>
      </c>
      <c r="J57" s="73">
        <v>19</v>
      </c>
      <c r="K57" s="47">
        <f t="shared" si="1"/>
        <v>0</v>
      </c>
      <c r="L57" s="47">
        <f t="shared" si="1"/>
        <v>0</v>
      </c>
      <c r="M57" s="47">
        <f t="shared" si="1"/>
        <v>73.68421052631578</v>
      </c>
      <c r="N57" s="68">
        <f t="shared" si="2"/>
        <v>73.68421052631578</v>
      </c>
      <c r="O57" s="46"/>
      <c r="P57" s="47"/>
      <c r="Q57" s="47">
        <v>50</v>
      </c>
      <c r="R57" s="48">
        <f t="shared" si="3"/>
        <v>50</v>
      </c>
      <c r="S57" s="29">
        <v>4</v>
      </c>
      <c r="T57" s="286"/>
      <c r="U57" s="295"/>
      <c r="V57" s="38" t="s">
        <v>95</v>
      </c>
      <c r="W57" s="29" t="s">
        <v>20</v>
      </c>
      <c r="X57" s="29" t="s">
        <v>12</v>
      </c>
      <c r="Y57" s="39">
        <v>50</v>
      </c>
      <c r="AD57" s="38"/>
      <c r="AG57" s="39"/>
      <c r="AL57" s="38"/>
      <c r="AO57" s="39"/>
      <c r="AP57" s="38"/>
      <c r="AS57" s="39"/>
      <c r="AW57" s="39"/>
      <c r="BA57" s="40"/>
    </row>
    <row r="58" spans="1:53" s="29" customFormat="1" x14ac:dyDescent="0.15">
      <c r="A58" s="29">
        <v>2000</v>
      </c>
      <c r="B58" s="303">
        <v>36799</v>
      </c>
      <c r="C58" s="411" t="s">
        <v>831</v>
      </c>
      <c r="D58" s="411"/>
      <c r="E58" s="29">
        <f>366-E57</f>
        <v>93</v>
      </c>
      <c r="F58" s="84">
        <v>0</v>
      </c>
      <c r="G58" s="66"/>
      <c r="I58" s="29">
        <v>11</v>
      </c>
      <c r="J58" s="73">
        <v>19</v>
      </c>
      <c r="K58" s="47">
        <f t="shared" si="1"/>
        <v>0</v>
      </c>
      <c r="L58" s="47">
        <f t="shared" si="1"/>
        <v>0</v>
      </c>
      <c r="M58" s="47">
        <f t="shared" si="1"/>
        <v>57.894736842105267</v>
      </c>
      <c r="N58" s="68">
        <f t="shared" si="2"/>
        <v>57.894736842105267</v>
      </c>
      <c r="O58" s="46"/>
      <c r="P58" s="47"/>
      <c r="Q58" s="47">
        <v>50</v>
      </c>
      <c r="R58" s="48">
        <f t="shared" si="3"/>
        <v>50</v>
      </c>
      <c r="S58" s="29">
        <v>4</v>
      </c>
      <c r="T58" s="286"/>
      <c r="U58" s="295"/>
      <c r="V58" s="38" t="s">
        <v>95</v>
      </c>
      <c r="W58" s="29" t="s">
        <v>20</v>
      </c>
      <c r="X58" s="29" t="s">
        <v>12</v>
      </c>
      <c r="Y58" s="39">
        <v>50</v>
      </c>
      <c r="AD58" s="38"/>
      <c r="AG58" s="39"/>
      <c r="AL58" s="38"/>
      <c r="AO58" s="39"/>
      <c r="AP58" s="38"/>
      <c r="AS58" s="39"/>
      <c r="AW58" s="39"/>
      <c r="BA58" s="40"/>
    </row>
    <row r="59" spans="1:53" s="29" customFormat="1" x14ac:dyDescent="0.15">
      <c r="A59" s="29">
        <v>2001</v>
      </c>
      <c r="B59" s="295"/>
      <c r="C59" s="411" t="s">
        <v>831</v>
      </c>
      <c r="D59" s="411"/>
      <c r="E59" s="29">
        <v>0</v>
      </c>
      <c r="G59" s="66"/>
      <c r="I59" s="29">
        <v>11</v>
      </c>
      <c r="J59" s="73">
        <v>19</v>
      </c>
      <c r="K59" s="47">
        <f t="shared" si="1"/>
        <v>0</v>
      </c>
      <c r="L59" s="47">
        <f t="shared" si="1"/>
        <v>0</v>
      </c>
      <c r="M59" s="47">
        <f t="shared" si="1"/>
        <v>57.894736842105267</v>
      </c>
      <c r="N59" s="68">
        <f t="shared" si="2"/>
        <v>57.894736842105267</v>
      </c>
      <c r="O59" s="46"/>
      <c r="P59" s="47"/>
      <c r="Q59" s="47">
        <v>50</v>
      </c>
      <c r="R59" s="48">
        <f t="shared" si="3"/>
        <v>50</v>
      </c>
      <c r="S59" s="29">
        <v>4</v>
      </c>
      <c r="T59" s="286"/>
      <c r="U59" s="295"/>
      <c r="V59" s="38" t="s">
        <v>95</v>
      </c>
      <c r="W59" s="29" t="s">
        <v>20</v>
      </c>
      <c r="X59" s="29" t="s">
        <v>12</v>
      </c>
      <c r="Y59" s="39">
        <v>50</v>
      </c>
      <c r="AD59" s="38"/>
      <c r="AG59" s="39"/>
      <c r="AL59" s="38"/>
      <c r="AO59" s="39"/>
      <c r="AP59" s="38"/>
      <c r="AS59" s="39"/>
      <c r="AW59" s="39"/>
      <c r="BA59" s="40"/>
    </row>
    <row r="60" spans="1:53" s="29" customFormat="1" x14ac:dyDescent="0.15">
      <c r="A60" s="29">
        <v>2001</v>
      </c>
      <c r="B60" s="295"/>
      <c r="C60" s="411" t="s">
        <v>831</v>
      </c>
      <c r="D60" s="411"/>
      <c r="E60" s="29">
        <f>365-E59</f>
        <v>365</v>
      </c>
      <c r="G60" s="66"/>
      <c r="I60" s="29">
        <v>11</v>
      </c>
      <c r="J60" s="73">
        <v>19</v>
      </c>
      <c r="K60" s="47">
        <f t="shared" si="1"/>
        <v>0</v>
      </c>
      <c r="L60" s="47">
        <f t="shared" si="1"/>
        <v>0</v>
      </c>
      <c r="M60" s="47">
        <f t="shared" si="1"/>
        <v>57.894736842105267</v>
      </c>
      <c r="N60" s="68">
        <f t="shared" si="2"/>
        <v>57.894736842105267</v>
      </c>
      <c r="O60" s="46"/>
      <c r="P60" s="47"/>
      <c r="Q60" s="47">
        <v>50</v>
      </c>
      <c r="R60" s="48">
        <f t="shared" si="3"/>
        <v>50</v>
      </c>
      <c r="S60" s="29">
        <v>4</v>
      </c>
      <c r="T60" s="286"/>
      <c r="U60" s="295"/>
      <c r="V60" s="38" t="s">
        <v>95</v>
      </c>
      <c r="W60" s="29" t="s">
        <v>20</v>
      </c>
      <c r="X60" s="29" t="s">
        <v>12</v>
      </c>
      <c r="Y60" s="39">
        <v>50</v>
      </c>
      <c r="AD60" s="38"/>
      <c r="AG60" s="39"/>
      <c r="AL60" s="38"/>
      <c r="AO60" s="39"/>
      <c r="AP60" s="38"/>
      <c r="AS60" s="39"/>
      <c r="AW60" s="39"/>
      <c r="BA60" s="40"/>
    </row>
    <row r="61" spans="1:53" s="29" customFormat="1" x14ac:dyDescent="0.15">
      <c r="A61" s="29">
        <v>2002</v>
      </c>
      <c r="B61" s="295"/>
      <c r="C61" s="411" t="s">
        <v>831</v>
      </c>
      <c r="D61" s="411"/>
      <c r="E61" s="29">
        <v>97</v>
      </c>
      <c r="G61" s="66"/>
      <c r="I61" s="29">
        <v>11</v>
      </c>
      <c r="J61" s="73">
        <v>19</v>
      </c>
      <c r="K61" s="47">
        <f t="shared" si="1"/>
        <v>0</v>
      </c>
      <c r="L61" s="47">
        <f t="shared" si="1"/>
        <v>0</v>
      </c>
      <c r="M61" s="47">
        <f t="shared" si="1"/>
        <v>57.894736842105267</v>
      </c>
      <c r="N61" s="68">
        <f t="shared" si="2"/>
        <v>57.894736842105267</v>
      </c>
      <c r="O61" s="46"/>
      <c r="P61" s="47"/>
      <c r="Q61" s="47">
        <v>50</v>
      </c>
      <c r="R61" s="48">
        <f t="shared" si="3"/>
        <v>50</v>
      </c>
      <c r="S61" s="29">
        <v>4</v>
      </c>
      <c r="T61" s="286"/>
      <c r="U61" s="295"/>
      <c r="V61" s="38" t="s">
        <v>95</v>
      </c>
      <c r="W61" s="29" t="s">
        <v>20</v>
      </c>
      <c r="X61" s="29" t="s">
        <v>12</v>
      </c>
      <c r="Y61" s="39">
        <v>50</v>
      </c>
      <c r="AD61" s="38"/>
      <c r="AG61" s="39"/>
      <c r="AL61" s="38"/>
      <c r="AO61" s="39"/>
      <c r="AP61" s="38"/>
      <c r="AS61" s="39"/>
      <c r="AW61" s="39"/>
      <c r="BA61" s="40"/>
    </row>
    <row r="62" spans="1:53" s="171" customFormat="1" x14ac:dyDescent="0.15">
      <c r="A62" s="171">
        <v>2002</v>
      </c>
      <c r="B62" s="283">
        <v>37354</v>
      </c>
      <c r="C62" s="410" t="s">
        <v>832</v>
      </c>
      <c r="D62" s="410"/>
      <c r="E62" s="171">
        <f>365-E61</f>
        <v>268</v>
      </c>
      <c r="F62" s="171">
        <v>1</v>
      </c>
      <c r="G62" s="233">
        <v>17</v>
      </c>
      <c r="J62" s="241">
        <v>18</v>
      </c>
      <c r="K62" s="214">
        <f t="shared" si="1"/>
        <v>94.444444444444443</v>
      </c>
      <c r="L62" s="214">
        <f t="shared" si="1"/>
        <v>0</v>
      </c>
      <c r="M62" s="214">
        <f t="shared" si="1"/>
        <v>0</v>
      </c>
      <c r="N62" s="235">
        <f t="shared" si="2"/>
        <v>94.444444444444443</v>
      </c>
      <c r="O62" s="213">
        <v>51.8</v>
      </c>
      <c r="P62" s="214"/>
      <c r="Q62" s="214"/>
      <c r="R62" s="215">
        <f t="shared" si="3"/>
        <v>51.8</v>
      </c>
      <c r="S62" s="171">
        <v>2</v>
      </c>
      <c r="T62" s="285">
        <v>37332</v>
      </c>
      <c r="U62" s="283">
        <v>37354</v>
      </c>
      <c r="V62" s="178" t="s">
        <v>477</v>
      </c>
      <c r="W62" s="171" t="s">
        <v>22</v>
      </c>
      <c r="X62" s="171" t="s">
        <v>11</v>
      </c>
      <c r="Y62" s="179">
        <v>45.7</v>
      </c>
      <c r="Z62" s="171" t="s">
        <v>479</v>
      </c>
      <c r="AA62" s="171" t="s">
        <v>17</v>
      </c>
      <c r="AB62" s="171" t="s">
        <v>11</v>
      </c>
      <c r="AC62" s="171">
        <v>6.1</v>
      </c>
      <c r="AD62" s="178"/>
      <c r="AG62" s="179"/>
      <c r="AL62" s="178"/>
      <c r="AO62" s="179"/>
      <c r="AP62" s="178"/>
      <c r="AS62" s="179"/>
      <c r="AW62" s="179"/>
      <c r="BA62" s="180"/>
    </row>
    <row r="63" spans="1:53" s="171" customFormat="1" x14ac:dyDescent="0.15">
      <c r="A63" s="171">
        <v>2003</v>
      </c>
      <c r="B63" s="283"/>
      <c r="C63" s="410" t="s">
        <v>832</v>
      </c>
      <c r="D63" s="410"/>
      <c r="E63" s="171">
        <v>0</v>
      </c>
      <c r="G63" s="233">
        <v>17</v>
      </c>
      <c r="J63" s="241">
        <v>18</v>
      </c>
      <c r="K63" s="214">
        <f t="shared" si="1"/>
        <v>94.444444444444443</v>
      </c>
      <c r="L63" s="214">
        <f t="shared" si="1"/>
        <v>0</v>
      </c>
      <c r="M63" s="214">
        <f t="shared" si="1"/>
        <v>0</v>
      </c>
      <c r="N63" s="235">
        <f t="shared" si="2"/>
        <v>94.444444444444443</v>
      </c>
      <c r="O63" s="213">
        <v>51.8</v>
      </c>
      <c r="P63" s="214"/>
      <c r="Q63" s="214"/>
      <c r="R63" s="215">
        <f t="shared" si="3"/>
        <v>51.8</v>
      </c>
      <c r="S63" s="171">
        <v>2</v>
      </c>
      <c r="T63" s="285"/>
      <c r="U63" s="283"/>
      <c r="V63" s="178" t="s">
        <v>477</v>
      </c>
      <c r="W63" s="171" t="s">
        <v>22</v>
      </c>
      <c r="X63" s="171" t="s">
        <v>11</v>
      </c>
      <c r="Y63" s="179">
        <v>45.7</v>
      </c>
      <c r="Z63" s="171" t="s">
        <v>479</v>
      </c>
      <c r="AA63" s="171" t="s">
        <v>17</v>
      </c>
      <c r="AB63" s="171" t="s">
        <v>11</v>
      </c>
      <c r="AC63" s="171">
        <v>6.1</v>
      </c>
      <c r="AD63" s="178"/>
      <c r="AG63" s="179"/>
      <c r="AL63" s="178"/>
      <c r="AO63" s="179"/>
      <c r="AP63" s="178"/>
      <c r="AS63" s="179"/>
      <c r="AW63" s="179"/>
      <c r="BA63" s="180"/>
    </row>
    <row r="64" spans="1:53" s="171" customFormat="1" x14ac:dyDescent="0.15">
      <c r="A64" s="171">
        <v>2003</v>
      </c>
      <c r="B64" s="283"/>
      <c r="C64" s="410" t="s">
        <v>832</v>
      </c>
      <c r="D64" s="410"/>
      <c r="E64" s="171">
        <f>365-E63</f>
        <v>365</v>
      </c>
      <c r="G64" s="233">
        <v>17</v>
      </c>
      <c r="J64" s="241">
        <v>18</v>
      </c>
      <c r="K64" s="214">
        <f t="shared" si="1"/>
        <v>94.444444444444443</v>
      </c>
      <c r="L64" s="214">
        <f t="shared" si="1"/>
        <v>0</v>
      </c>
      <c r="M64" s="214">
        <f t="shared" si="1"/>
        <v>0</v>
      </c>
      <c r="N64" s="235">
        <f t="shared" si="2"/>
        <v>94.444444444444443</v>
      </c>
      <c r="O64" s="213">
        <v>51.8</v>
      </c>
      <c r="P64" s="214"/>
      <c r="Q64" s="214"/>
      <c r="R64" s="215">
        <f t="shared" si="3"/>
        <v>51.8</v>
      </c>
      <c r="S64" s="171">
        <v>2</v>
      </c>
      <c r="T64" s="285"/>
      <c r="U64" s="283"/>
      <c r="V64" s="178" t="s">
        <v>477</v>
      </c>
      <c r="W64" s="171" t="s">
        <v>22</v>
      </c>
      <c r="X64" s="171" t="s">
        <v>11</v>
      </c>
      <c r="Y64" s="179">
        <v>45.7</v>
      </c>
      <c r="Z64" s="171" t="s">
        <v>479</v>
      </c>
      <c r="AA64" s="171" t="s">
        <v>17</v>
      </c>
      <c r="AB64" s="171" t="s">
        <v>11</v>
      </c>
      <c r="AC64" s="171">
        <v>6.1</v>
      </c>
      <c r="AD64" s="178"/>
      <c r="AG64" s="179"/>
      <c r="AL64" s="178"/>
      <c r="AO64" s="179"/>
      <c r="AP64" s="178"/>
      <c r="AS64" s="179"/>
      <c r="AW64" s="179"/>
      <c r="BA64" s="180"/>
    </row>
    <row r="65" spans="1:53" s="171" customFormat="1" x14ac:dyDescent="0.15">
      <c r="A65" s="171">
        <v>2004</v>
      </c>
      <c r="B65" s="283"/>
      <c r="C65" s="410" t="s">
        <v>832</v>
      </c>
      <c r="D65" s="410"/>
      <c r="E65" s="171">
        <v>204</v>
      </c>
      <c r="G65" s="233">
        <v>17</v>
      </c>
      <c r="J65" s="241">
        <v>18</v>
      </c>
      <c r="K65" s="214">
        <f t="shared" si="1"/>
        <v>94.444444444444443</v>
      </c>
      <c r="L65" s="214">
        <f t="shared" si="1"/>
        <v>0</v>
      </c>
      <c r="M65" s="214">
        <f t="shared" si="1"/>
        <v>0</v>
      </c>
      <c r="N65" s="235">
        <f t="shared" si="2"/>
        <v>94.444444444444443</v>
      </c>
      <c r="O65" s="213">
        <v>51.8</v>
      </c>
      <c r="P65" s="214"/>
      <c r="Q65" s="214"/>
      <c r="R65" s="215">
        <f t="shared" si="3"/>
        <v>51.8</v>
      </c>
      <c r="S65" s="171">
        <v>2</v>
      </c>
      <c r="T65" s="285"/>
      <c r="U65" s="283"/>
      <c r="V65" s="178" t="s">
        <v>477</v>
      </c>
      <c r="W65" s="171" t="s">
        <v>22</v>
      </c>
      <c r="X65" s="171" t="s">
        <v>11</v>
      </c>
      <c r="Y65" s="179">
        <v>45.7</v>
      </c>
      <c r="Z65" s="171" t="s">
        <v>479</v>
      </c>
      <c r="AA65" s="171" t="s">
        <v>17</v>
      </c>
      <c r="AB65" s="171" t="s">
        <v>11</v>
      </c>
      <c r="AC65" s="171">
        <v>6.1</v>
      </c>
      <c r="AD65" s="178"/>
      <c r="AG65" s="179"/>
      <c r="AL65" s="178"/>
      <c r="AO65" s="179"/>
      <c r="AP65" s="178"/>
      <c r="AS65" s="179"/>
      <c r="AW65" s="179"/>
      <c r="BA65" s="180"/>
    </row>
    <row r="66" spans="1:53" s="29" customFormat="1" x14ac:dyDescent="0.15">
      <c r="A66" s="29">
        <v>2004</v>
      </c>
      <c r="B66" s="295">
        <v>38191</v>
      </c>
      <c r="C66" s="411" t="s">
        <v>833</v>
      </c>
      <c r="D66" s="411"/>
      <c r="E66" s="29">
        <f>366-E65</f>
        <v>162</v>
      </c>
      <c r="F66" s="29">
        <v>2</v>
      </c>
      <c r="G66" s="66">
        <v>19</v>
      </c>
      <c r="J66" s="73">
        <v>20</v>
      </c>
      <c r="K66" s="47">
        <f t="shared" si="1"/>
        <v>95</v>
      </c>
      <c r="L66" s="47">
        <f t="shared" si="1"/>
        <v>0</v>
      </c>
      <c r="M66" s="47">
        <f t="shared" si="1"/>
        <v>0</v>
      </c>
      <c r="N66" s="68">
        <f t="shared" si="2"/>
        <v>95</v>
      </c>
      <c r="O66" s="46">
        <v>51.8</v>
      </c>
      <c r="P66" s="47"/>
      <c r="Q66" s="47"/>
      <c r="R66" s="48">
        <f t="shared" si="3"/>
        <v>51.8</v>
      </c>
      <c r="S66" s="29">
        <v>2</v>
      </c>
      <c r="T66" s="286"/>
      <c r="U66" s="295">
        <v>38191</v>
      </c>
      <c r="V66" s="38" t="s">
        <v>477</v>
      </c>
      <c r="W66" s="29" t="s">
        <v>22</v>
      </c>
      <c r="X66" s="29" t="s">
        <v>11</v>
      </c>
      <c r="Y66" s="39">
        <v>45.7</v>
      </c>
      <c r="Z66" s="29" t="s">
        <v>479</v>
      </c>
      <c r="AA66" s="29" t="s">
        <v>17</v>
      </c>
      <c r="AB66" s="29" t="s">
        <v>11</v>
      </c>
      <c r="AC66" s="29">
        <v>6.1</v>
      </c>
      <c r="AD66" s="38"/>
      <c r="AG66" s="39"/>
      <c r="AL66" s="38"/>
      <c r="AO66" s="39"/>
      <c r="AP66" s="38"/>
      <c r="AS66" s="39"/>
      <c r="AW66" s="39"/>
      <c r="BA66" s="40"/>
    </row>
    <row r="67" spans="1:53" s="29" customFormat="1" x14ac:dyDescent="0.15">
      <c r="A67" s="29">
        <v>2005</v>
      </c>
      <c r="B67" s="295"/>
      <c r="C67" s="411" t="s">
        <v>833</v>
      </c>
      <c r="D67" s="411"/>
      <c r="E67" s="29">
        <v>70</v>
      </c>
      <c r="G67" s="66">
        <v>19</v>
      </c>
      <c r="J67" s="73">
        <v>20</v>
      </c>
      <c r="K67" s="47">
        <f t="shared" si="1"/>
        <v>95</v>
      </c>
      <c r="L67" s="47">
        <f t="shared" si="1"/>
        <v>0</v>
      </c>
      <c r="M67" s="47">
        <f t="shared" si="1"/>
        <v>0</v>
      </c>
      <c r="N67" s="68">
        <f t="shared" si="2"/>
        <v>95</v>
      </c>
      <c r="O67" s="46">
        <v>51.8</v>
      </c>
      <c r="P67" s="47"/>
      <c r="Q67" s="47"/>
      <c r="R67" s="48">
        <f t="shared" si="3"/>
        <v>51.8</v>
      </c>
      <c r="S67" s="29">
        <v>2</v>
      </c>
      <c r="T67" s="286"/>
      <c r="U67" s="295"/>
      <c r="V67" s="38" t="s">
        <v>477</v>
      </c>
      <c r="W67" s="29" t="s">
        <v>22</v>
      </c>
      <c r="X67" s="29" t="s">
        <v>11</v>
      </c>
      <c r="Y67" s="39">
        <v>45.7</v>
      </c>
      <c r="Z67" s="29" t="s">
        <v>479</v>
      </c>
      <c r="AA67" s="29" t="s">
        <v>17</v>
      </c>
      <c r="AB67" s="29" t="s">
        <v>11</v>
      </c>
      <c r="AC67" s="29">
        <v>6.1</v>
      </c>
      <c r="AD67" s="38"/>
      <c r="AG67" s="39"/>
      <c r="AL67" s="38"/>
      <c r="AO67" s="39"/>
      <c r="AP67" s="38"/>
      <c r="AS67" s="39"/>
      <c r="AW67" s="39"/>
      <c r="BA67" s="40"/>
    </row>
    <row r="68" spans="1:53" s="171" customFormat="1" x14ac:dyDescent="0.15">
      <c r="A68" s="171">
        <v>2005</v>
      </c>
      <c r="B68" s="283">
        <v>38423</v>
      </c>
      <c r="C68" s="410" t="s">
        <v>834</v>
      </c>
      <c r="D68" s="410"/>
      <c r="E68" s="171">
        <f>365-E67</f>
        <v>295</v>
      </c>
      <c r="F68" s="171">
        <v>6</v>
      </c>
      <c r="G68" s="233"/>
      <c r="I68" s="171">
        <v>9</v>
      </c>
      <c r="J68" s="241">
        <v>17</v>
      </c>
      <c r="K68" s="214">
        <f t="shared" si="1"/>
        <v>0</v>
      </c>
      <c r="L68" s="214">
        <f t="shared" si="1"/>
        <v>0</v>
      </c>
      <c r="M68" s="214">
        <f t="shared" si="1"/>
        <v>52.941176470588239</v>
      </c>
      <c r="N68" s="235">
        <f t="shared" si="2"/>
        <v>52.941176470588239</v>
      </c>
      <c r="O68" s="213"/>
      <c r="P68" s="214"/>
      <c r="Q68" s="214">
        <v>52.6</v>
      </c>
      <c r="R68" s="215">
        <f t="shared" si="3"/>
        <v>52.6</v>
      </c>
      <c r="S68" s="171">
        <v>1</v>
      </c>
      <c r="T68" s="285">
        <v>38403</v>
      </c>
      <c r="U68" s="283">
        <v>38423</v>
      </c>
      <c r="V68" s="178" t="s">
        <v>95</v>
      </c>
      <c r="W68" s="171" t="s">
        <v>20</v>
      </c>
      <c r="X68" s="171" t="s">
        <v>12</v>
      </c>
      <c r="Y68" s="179">
        <v>52.6</v>
      </c>
      <c r="AD68" s="178"/>
      <c r="AG68" s="179"/>
      <c r="AL68" s="178"/>
      <c r="AO68" s="179"/>
      <c r="AP68" s="178"/>
      <c r="AS68" s="179"/>
      <c r="AW68" s="179"/>
      <c r="BA68" s="180"/>
    </row>
    <row r="69" spans="1:53" s="171" customFormat="1" x14ac:dyDescent="0.15">
      <c r="A69" s="171">
        <v>2006</v>
      </c>
      <c r="B69" s="283"/>
      <c r="C69" s="410" t="s">
        <v>834</v>
      </c>
      <c r="D69" s="410"/>
      <c r="E69" s="171">
        <v>183</v>
      </c>
      <c r="G69" s="233"/>
      <c r="I69" s="171">
        <v>9</v>
      </c>
      <c r="J69" s="241">
        <v>17</v>
      </c>
      <c r="K69" s="214">
        <f t="shared" si="1"/>
        <v>0</v>
      </c>
      <c r="L69" s="214">
        <f t="shared" si="1"/>
        <v>0</v>
      </c>
      <c r="M69" s="214">
        <f t="shared" si="1"/>
        <v>52.941176470588239</v>
      </c>
      <c r="N69" s="235">
        <f t="shared" si="2"/>
        <v>52.941176470588239</v>
      </c>
      <c r="O69" s="213"/>
      <c r="P69" s="214"/>
      <c r="Q69" s="214">
        <v>52.6</v>
      </c>
      <c r="R69" s="215">
        <f t="shared" si="3"/>
        <v>52.6</v>
      </c>
      <c r="S69" s="171">
        <v>1</v>
      </c>
      <c r="T69" s="285"/>
      <c r="U69" s="283"/>
      <c r="V69" s="178" t="s">
        <v>95</v>
      </c>
      <c r="W69" s="171" t="s">
        <v>20</v>
      </c>
      <c r="X69" s="171" t="s">
        <v>12</v>
      </c>
      <c r="Y69" s="179">
        <v>52.6</v>
      </c>
      <c r="AD69" s="178"/>
      <c r="AG69" s="179"/>
      <c r="AL69" s="178"/>
      <c r="AO69" s="179"/>
      <c r="AP69" s="178"/>
      <c r="AS69" s="179"/>
      <c r="AW69" s="179"/>
      <c r="BA69" s="180"/>
    </row>
    <row r="70" spans="1:53" s="171" customFormat="1" x14ac:dyDescent="0.15">
      <c r="A70" s="171">
        <v>2006</v>
      </c>
      <c r="B70" s="305">
        <v>38901</v>
      </c>
      <c r="C70" s="410" t="s">
        <v>834</v>
      </c>
      <c r="D70" s="410"/>
      <c r="E70" s="171">
        <f>365-E69</f>
        <v>182</v>
      </c>
      <c r="F70" s="244">
        <v>0</v>
      </c>
      <c r="G70" s="233"/>
      <c r="I70" s="171">
        <v>10</v>
      </c>
      <c r="J70" s="241">
        <v>17</v>
      </c>
      <c r="K70" s="214">
        <f t="shared" si="1"/>
        <v>0</v>
      </c>
      <c r="L70" s="214">
        <f t="shared" si="1"/>
        <v>0</v>
      </c>
      <c r="M70" s="214">
        <f t="shared" si="1"/>
        <v>58.82352941176471</v>
      </c>
      <c r="N70" s="235">
        <f t="shared" si="2"/>
        <v>58.82352941176471</v>
      </c>
      <c r="O70" s="213"/>
      <c r="P70" s="214"/>
      <c r="Q70" s="214">
        <v>52.6</v>
      </c>
      <c r="R70" s="215">
        <f t="shared" si="3"/>
        <v>52.6</v>
      </c>
      <c r="S70" s="171">
        <v>1</v>
      </c>
      <c r="T70" s="285"/>
      <c r="U70" s="283"/>
      <c r="V70" s="178" t="s">
        <v>95</v>
      </c>
      <c r="W70" s="171" t="s">
        <v>20</v>
      </c>
      <c r="X70" s="171" t="s">
        <v>12</v>
      </c>
      <c r="Y70" s="179">
        <v>52.6</v>
      </c>
      <c r="AD70" s="178"/>
      <c r="AG70" s="179"/>
      <c r="AL70" s="178"/>
      <c r="AO70" s="179"/>
      <c r="AP70" s="178"/>
      <c r="AS70" s="179"/>
      <c r="AW70" s="179"/>
      <c r="BA70" s="180"/>
    </row>
    <row r="71" spans="1:53" s="171" customFormat="1" x14ac:dyDescent="0.15">
      <c r="A71" s="171">
        <v>2007</v>
      </c>
      <c r="B71" s="305"/>
      <c r="C71" s="410" t="s">
        <v>834</v>
      </c>
      <c r="D71" s="410"/>
      <c r="E71" s="171">
        <v>136</v>
      </c>
      <c r="F71" s="244"/>
      <c r="G71" s="233"/>
      <c r="I71" s="171">
        <v>10</v>
      </c>
      <c r="J71" s="241">
        <v>17</v>
      </c>
      <c r="K71" s="214">
        <f t="shared" si="1"/>
        <v>0</v>
      </c>
      <c r="L71" s="214">
        <f t="shared" si="1"/>
        <v>0</v>
      </c>
      <c r="M71" s="214">
        <f t="shared" si="1"/>
        <v>58.82352941176471</v>
      </c>
      <c r="N71" s="235">
        <f t="shared" si="2"/>
        <v>58.82352941176471</v>
      </c>
      <c r="O71" s="213"/>
      <c r="P71" s="214"/>
      <c r="Q71" s="214">
        <v>52.6</v>
      </c>
      <c r="R71" s="215">
        <f t="shared" si="3"/>
        <v>52.6</v>
      </c>
      <c r="S71" s="171">
        <v>1</v>
      </c>
      <c r="T71" s="285"/>
      <c r="U71" s="283"/>
      <c r="V71" s="178" t="s">
        <v>95</v>
      </c>
      <c r="W71" s="171" t="s">
        <v>20</v>
      </c>
      <c r="X71" s="171" t="s">
        <v>12</v>
      </c>
      <c r="Y71" s="179">
        <v>52.6</v>
      </c>
      <c r="AD71" s="178"/>
      <c r="AG71" s="179"/>
      <c r="AL71" s="178"/>
      <c r="AO71" s="179"/>
      <c r="AP71" s="178"/>
      <c r="AS71" s="179"/>
      <c r="AW71" s="179"/>
      <c r="BA71" s="180"/>
    </row>
    <row r="72" spans="1:53" s="171" customFormat="1" x14ac:dyDescent="0.15">
      <c r="A72" s="171">
        <v>2007</v>
      </c>
      <c r="B72" s="305">
        <v>39219</v>
      </c>
      <c r="C72" s="410" t="s">
        <v>834</v>
      </c>
      <c r="D72" s="410"/>
      <c r="E72" s="171">
        <f>365-E71</f>
        <v>229</v>
      </c>
      <c r="F72" s="244">
        <v>0</v>
      </c>
      <c r="G72" s="233"/>
      <c r="I72" s="171">
        <v>9</v>
      </c>
      <c r="J72" s="241">
        <v>17</v>
      </c>
      <c r="K72" s="214">
        <f t="shared" ref="K72:M83" si="4">G72/$J72*100</f>
        <v>0</v>
      </c>
      <c r="L72" s="214">
        <f t="shared" si="4"/>
        <v>0</v>
      </c>
      <c r="M72" s="214">
        <f t="shared" si="4"/>
        <v>52.941176470588239</v>
      </c>
      <c r="N72" s="235">
        <f t="shared" ref="N72:N83" si="5">K72+L72+M72</f>
        <v>52.941176470588239</v>
      </c>
      <c r="O72" s="213"/>
      <c r="P72" s="214"/>
      <c r="Q72" s="214">
        <v>52.6</v>
      </c>
      <c r="R72" s="215">
        <f t="shared" ref="R72:R85" si="6">O72+P72+Q72</f>
        <v>52.6</v>
      </c>
      <c r="S72" s="171">
        <v>1</v>
      </c>
      <c r="T72" s="285"/>
      <c r="U72" s="283"/>
      <c r="V72" s="178" t="s">
        <v>95</v>
      </c>
      <c r="W72" s="171" t="s">
        <v>20</v>
      </c>
      <c r="X72" s="171" t="s">
        <v>12</v>
      </c>
      <c r="Y72" s="179">
        <v>52.6</v>
      </c>
      <c r="AD72" s="178"/>
      <c r="AG72" s="179"/>
      <c r="AL72" s="178"/>
      <c r="AO72" s="179"/>
      <c r="AP72" s="178"/>
      <c r="AS72" s="179"/>
      <c r="AW72" s="179"/>
      <c r="BA72" s="180"/>
    </row>
    <row r="73" spans="1:53" s="171" customFormat="1" x14ac:dyDescent="0.15">
      <c r="A73" s="171">
        <v>2008</v>
      </c>
      <c r="B73" s="283"/>
      <c r="C73" s="410" t="s">
        <v>834</v>
      </c>
      <c r="D73" s="410"/>
      <c r="E73" s="171">
        <v>29</v>
      </c>
      <c r="G73" s="233"/>
      <c r="I73" s="171">
        <v>9</v>
      </c>
      <c r="J73" s="241">
        <v>17</v>
      </c>
      <c r="K73" s="214">
        <f t="shared" si="4"/>
        <v>0</v>
      </c>
      <c r="L73" s="214">
        <f t="shared" si="4"/>
        <v>0</v>
      </c>
      <c r="M73" s="214">
        <f t="shared" si="4"/>
        <v>52.941176470588239</v>
      </c>
      <c r="N73" s="235">
        <f t="shared" si="5"/>
        <v>52.941176470588239</v>
      </c>
      <c r="O73" s="213"/>
      <c r="P73" s="214"/>
      <c r="Q73" s="214">
        <v>52.6</v>
      </c>
      <c r="R73" s="215">
        <f t="shared" si="6"/>
        <v>52.6</v>
      </c>
      <c r="S73" s="171">
        <v>1</v>
      </c>
      <c r="T73" s="285"/>
      <c r="U73" s="283"/>
      <c r="V73" s="178" t="s">
        <v>95</v>
      </c>
      <c r="W73" s="171" t="s">
        <v>20</v>
      </c>
      <c r="X73" s="171" t="s">
        <v>12</v>
      </c>
      <c r="Y73" s="179">
        <v>52.6</v>
      </c>
      <c r="AD73" s="178"/>
      <c r="AG73" s="179"/>
      <c r="AL73" s="178"/>
      <c r="AO73" s="179"/>
      <c r="AP73" s="178"/>
      <c r="AS73" s="179"/>
      <c r="AW73" s="179"/>
      <c r="BA73" s="180"/>
    </row>
    <row r="74" spans="1:53" s="171" customFormat="1" x14ac:dyDescent="0.15">
      <c r="A74" s="171">
        <v>2008</v>
      </c>
      <c r="B74" s="305">
        <v>39477</v>
      </c>
      <c r="C74" s="410" t="s">
        <v>834</v>
      </c>
      <c r="D74" s="410"/>
      <c r="E74" s="171">
        <f>366-E73</f>
        <v>337</v>
      </c>
      <c r="F74" s="244">
        <v>0</v>
      </c>
      <c r="G74" s="233"/>
      <c r="I74" s="171">
        <v>10</v>
      </c>
      <c r="J74" s="241">
        <v>17</v>
      </c>
      <c r="K74" s="214">
        <f t="shared" si="4"/>
        <v>0</v>
      </c>
      <c r="L74" s="214">
        <f t="shared" si="4"/>
        <v>0</v>
      </c>
      <c r="M74" s="214">
        <f t="shared" si="4"/>
        <v>58.82352941176471</v>
      </c>
      <c r="N74" s="235">
        <f t="shared" si="5"/>
        <v>58.82352941176471</v>
      </c>
      <c r="O74" s="213"/>
      <c r="P74" s="214"/>
      <c r="Q74" s="214">
        <v>52.6</v>
      </c>
      <c r="R74" s="215">
        <f t="shared" si="6"/>
        <v>52.6</v>
      </c>
      <c r="S74" s="171">
        <v>1</v>
      </c>
      <c r="T74" s="285"/>
      <c r="U74" s="283"/>
      <c r="V74" s="178" t="s">
        <v>95</v>
      </c>
      <c r="W74" s="171" t="s">
        <v>20</v>
      </c>
      <c r="X74" s="171" t="s">
        <v>12</v>
      </c>
      <c r="Y74" s="179">
        <v>52.6</v>
      </c>
      <c r="AD74" s="178"/>
      <c r="AG74" s="179"/>
      <c r="AL74" s="178"/>
      <c r="AO74" s="179"/>
      <c r="AP74" s="178"/>
      <c r="AS74" s="179"/>
      <c r="AW74" s="179"/>
      <c r="BA74" s="180"/>
    </row>
    <row r="75" spans="1:53" s="171" customFormat="1" x14ac:dyDescent="0.15">
      <c r="A75" s="171">
        <v>2009</v>
      </c>
      <c r="B75" s="283"/>
      <c r="C75" s="410" t="s">
        <v>834</v>
      </c>
      <c r="D75" s="410"/>
      <c r="E75" s="171">
        <v>298</v>
      </c>
      <c r="G75" s="233"/>
      <c r="I75" s="171">
        <v>10</v>
      </c>
      <c r="J75" s="241">
        <v>17</v>
      </c>
      <c r="K75" s="214">
        <f t="shared" si="4"/>
        <v>0</v>
      </c>
      <c r="L75" s="214">
        <f t="shared" si="4"/>
        <v>0</v>
      </c>
      <c r="M75" s="214">
        <f t="shared" si="4"/>
        <v>58.82352941176471</v>
      </c>
      <c r="N75" s="235">
        <f t="shared" si="5"/>
        <v>58.82352941176471</v>
      </c>
      <c r="O75" s="213"/>
      <c r="P75" s="214"/>
      <c r="Q75" s="214">
        <v>52.6</v>
      </c>
      <c r="R75" s="215">
        <f t="shared" si="6"/>
        <v>52.6</v>
      </c>
      <c r="S75" s="171">
        <v>1</v>
      </c>
      <c r="T75" s="285"/>
      <c r="U75" s="283"/>
      <c r="V75" s="178" t="s">
        <v>95</v>
      </c>
      <c r="W75" s="171" t="s">
        <v>20</v>
      </c>
      <c r="X75" s="171" t="s">
        <v>12</v>
      </c>
      <c r="Y75" s="179">
        <v>52.6</v>
      </c>
      <c r="AD75" s="178"/>
      <c r="AG75" s="179"/>
      <c r="AL75" s="178"/>
      <c r="AO75" s="179"/>
      <c r="AP75" s="178"/>
      <c r="AS75" s="179"/>
      <c r="AW75" s="179"/>
      <c r="BA75" s="180"/>
    </row>
    <row r="76" spans="1:53" s="29" customFormat="1" x14ac:dyDescent="0.15">
      <c r="A76" s="29">
        <v>2009</v>
      </c>
      <c r="B76" s="295">
        <v>40112</v>
      </c>
      <c r="C76" s="411" t="s">
        <v>835</v>
      </c>
      <c r="D76" s="411"/>
      <c r="E76" s="29">
        <v>67</v>
      </c>
      <c r="F76" s="29">
        <v>1</v>
      </c>
      <c r="G76" s="66"/>
      <c r="I76" s="29">
        <v>10</v>
      </c>
      <c r="J76" s="73">
        <v>17</v>
      </c>
      <c r="K76" s="47">
        <f t="shared" si="4"/>
        <v>0</v>
      </c>
      <c r="L76" s="47">
        <f t="shared" si="4"/>
        <v>0</v>
      </c>
      <c r="M76" s="47">
        <f t="shared" si="4"/>
        <v>58.82352941176471</v>
      </c>
      <c r="N76" s="68">
        <f t="shared" si="5"/>
        <v>58.82352941176471</v>
      </c>
      <c r="O76" s="46"/>
      <c r="P76" s="47"/>
      <c r="Q76" s="47">
        <v>42.2</v>
      </c>
      <c r="R76" s="48">
        <f t="shared" si="6"/>
        <v>42.2</v>
      </c>
      <c r="S76" s="29">
        <v>4</v>
      </c>
      <c r="T76" s="286">
        <v>40083</v>
      </c>
      <c r="U76" s="295">
        <v>40112</v>
      </c>
      <c r="V76" s="38" t="s">
        <v>95</v>
      </c>
      <c r="W76" s="29" t="s">
        <v>20</v>
      </c>
      <c r="X76" s="29" t="s">
        <v>12</v>
      </c>
      <c r="Y76" s="39">
        <v>42.2</v>
      </c>
      <c r="AD76" s="38"/>
      <c r="AG76" s="39"/>
      <c r="AL76" s="38"/>
      <c r="AO76" s="39"/>
      <c r="AP76" s="38"/>
      <c r="AS76" s="39"/>
      <c r="AW76" s="39"/>
      <c r="BA76" s="40"/>
    </row>
    <row r="77" spans="1:53" s="29" customFormat="1" x14ac:dyDescent="0.15">
      <c r="A77" s="29">
        <v>2010</v>
      </c>
      <c r="B77" s="295"/>
      <c r="C77" s="411" t="s">
        <v>835</v>
      </c>
      <c r="D77" s="411"/>
      <c r="E77" s="29">
        <v>0</v>
      </c>
      <c r="G77" s="66"/>
      <c r="I77" s="29">
        <v>10</v>
      </c>
      <c r="J77" s="73">
        <v>17</v>
      </c>
      <c r="K77" s="47">
        <f t="shared" si="4"/>
        <v>0</v>
      </c>
      <c r="L77" s="47">
        <f t="shared" si="4"/>
        <v>0</v>
      </c>
      <c r="M77" s="47">
        <f t="shared" si="4"/>
        <v>58.82352941176471</v>
      </c>
      <c r="N77" s="68">
        <f t="shared" si="5"/>
        <v>58.82352941176471</v>
      </c>
      <c r="O77" s="46"/>
      <c r="P77" s="47"/>
      <c r="Q77" s="47">
        <v>42.2</v>
      </c>
      <c r="R77" s="48">
        <f t="shared" si="6"/>
        <v>42.2</v>
      </c>
      <c r="S77" s="29">
        <v>4</v>
      </c>
      <c r="T77" s="286"/>
      <c r="U77" s="295"/>
      <c r="V77" s="38" t="s">
        <v>95</v>
      </c>
      <c r="W77" s="29" t="s">
        <v>20</v>
      </c>
      <c r="X77" s="29" t="s">
        <v>12</v>
      </c>
      <c r="Y77" s="39">
        <v>42.2</v>
      </c>
      <c r="AD77" s="38"/>
      <c r="AG77" s="39"/>
      <c r="AL77" s="38"/>
      <c r="AO77" s="39"/>
      <c r="AP77" s="38"/>
      <c r="AS77" s="39"/>
      <c r="AW77" s="39"/>
      <c r="BA77" s="40"/>
    </row>
    <row r="78" spans="1:53" s="29" customFormat="1" x14ac:dyDescent="0.15">
      <c r="A78" s="29">
        <v>2010</v>
      </c>
      <c r="B78" s="295"/>
      <c r="C78" s="411" t="s">
        <v>835</v>
      </c>
      <c r="D78" s="411"/>
      <c r="E78" s="29">
        <v>365</v>
      </c>
      <c r="G78" s="66"/>
      <c r="I78" s="29">
        <v>10</v>
      </c>
      <c r="J78" s="73">
        <v>17</v>
      </c>
      <c r="K78" s="47">
        <f t="shared" si="4"/>
        <v>0</v>
      </c>
      <c r="L78" s="47">
        <f t="shared" si="4"/>
        <v>0</v>
      </c>
      <c r="M78" s="47">
        <f t="shared" si="4"/>
        <v>58.82352941176471</v>
      </c>
      <c r="N78" s="68">
        <f t="shared" si="5"/>
        <v>58.82352941176471</v>
      </c>
      <c r="O78" s="46"/>
      <c r="P78" s="47"/>
      <c r="Q78" s="47">
        <v>42.2</v>
      </c>
      <c r="R78" s="48">
        <f t="shared" si="6"/>
        <v>42.2</v>
      </c>
      <c r="S78" s="29">
        <v>4</v>
      </c>
      <c r="T78" s="286"/>
      <c r="U78" s="295"/>
      <c r="V78" s="38" t="s">
        <v>95</v>
      </c>
      <c r="W78" s="29" t="s">
        <v>20</v>
      </c>
      <c r="X78" s="29" t="s">
        <v>12</v>
      </c>
      <c r="Y78" s="39">
        <v>42.2</v>
      </c>
      <c r="AD78" s="38"/>
      <c r="AG78" s="39"/>
      <c r="AL78" s="38"/>
      <c r="AO78" s="39"/>
      <c r="AP78" s="38"/>
      <c r="AS78" s="39"/>
      <c r="AW78" s="39"/>
      <c r="BA78" s="40"/>
    </row>
    <row r="79" spans="1:53" s="29" customFormat="1" x14ac:dyDescent="0.15">
      <c r="A79" s="29">
        <v>2011</v>
      </c>
      <c r="B79" s="295"/>
      <c r="C79" s="411" t="s">
        <v>835</v>
      </c>
      <c r="D79" s="411"/>
      <c r="E79" s="29">
        <v>171</v>
      </c>
      <c r="G79" s="66"/>
      <c r="I79" s="29">
        <v>10</v>
      </c>
      <c r="J79" s="73">
        <v>17</v>
      </c>
      <c r="K79" s="47">
        <f t="shared" si="4"/>
        <v>0</v>
      </c>
      <c r="L79" s="47">
        <f t="shared" si="4"/>
        <v>0</v>
      </c>
      <c r="M79" s="47">
        <f t="shared" si="4"/>
        <v>58.82352941176471</v>
      </c>
      <c r="N79" s="68">
        <f t="shared" si="5"/>
        <v>58.82352941176471</v>
      </c>
      <c r="O79" s="46"/>
      <c r="P79" s="47"/>
      <c r="Q79" s="47">
        <v>42.2</v>
      </c>
      <c r="R79" s="48">
        <f t="shared" si="6"/>
        <v>42.2</v>
      </c>
      <c r="S79" s="29">
        <v>4</v>
      </c>
      <c r="T79" s="286"/>
      <c r="U79" s="295"/>
      <c r="V79" s="38" t="s">
        <v>95</v>
      </c>
      <c r="W79" s="29" t="s">
        <v>20</v>
      </c>
      <c r="X79" s="29" t="s">
        <v>12</v>
      </c>
      <c r="Y79" s="39">
        <v>42.2</v>
      </c>
      <c r="AD79" s="38"/>
      <c r="AG79" s="39"/>
      <c r="AL79" s="38"/>
      <c r="AO79" s="39"/>
      <c r="AP79" s="38"/>
      <c r="AS79" s="39"/>
      <c r="AW79" s="39"/>
      <c r="BA79" s="40"/>
    </row>
    <row r="80" spans="1:53" s="171" customFormat="1" x14ac:dyDescent="0.15">
      <c r="A80" s="171">
        <v>2011</v>
      </c>
      <c r="B80" s="283">
        <v>40715</v>
      </c>
      <c r="C80" s="438" t="s">
        <v>1269</v>
      </c>
      <c r="D80" s="438"/>
      <c r="E80" s="171">
        <v>194</v>
      </c>
      <c r="F80" s="171">
        <v>1</v>
      </c>
      <c r="G80" s="233">
        <v>8</v>
      </c>
      <c r="J80" s="241">
        <v>12</v>
      </c>
      <c r="K80" s="214">
        <f t="shared" si="4"/>
        <v>66.666666666666657</v>
      </c>
      <c r="L80" s="214">
        <f t="shared" si="4"/>
        <v>0</v>
      </c>
      <c r="M80" s="214">
        <f t="shared" si="4"/>
        <v>0</v>
      </c>
      <c r="N80" s="235">
        <f t="shared" si="5"/>
        <v>66.666666666666657</v>
      </c>
      <c r="O80" s="213">
        <v>57.39</v>
      </c>
      <c r="P80" s="214"/>
      <c r="Q80" s="214"/>
      <c r="R80" s="215">
        <f t="shared" si="6"/>
        <v>57.39</v>
      </c>
      <c r="S80" s="171">
        <v>2</v>
      </c>
      <c r="T80" s="285">
        <v>40699</v>
      </c>
      <c r="U80" s="283">
        <v>40715</v>
      </c>
      <c r="V80" s="178" t="s">
        <v>919</v>
      </c>
      <c r="W80" s="171" t="s">
        <v>22</v>
      </c>
      <c r="X80" s="171" t="s">
        <v>11</v>
      </c>
      <c r="Y80" s="179">
        <v>47</v>
      </c>
      <c r="Z80" s="171" t="s">
        <v>479</v>
      </c>
      <c r="AA80" s="171" t="s">
        <v>17</v>
      </c>
      <c r="AB80" s="171" t="s">
        <v>11</v>
      </c>
      <c r="AC80" s="171">
        <v>10.4</v>
      </c>
      <c r="AD80" s="178"/>
      <c r="AG80" s="179"/>
      <c r="AL80" s="178"/>
      <c r="AO80" s="179"/>
      <c r="AP80" s="178"/>
      <c r="AS80" s="179"/>
      <c r="AW80" s="179"/>
      <c r="BA80" s="180"/>
    </row>
    <row r="81" spans="1:53" s="171" customFormat="1" x14ac:dyDescent="0.15">
      <c r="A81" s="171">
        <v>2012</v>
      </c>
      <c r="B81" s="283"/>
      <c r="C81" s="438" t="s">
        <v>1269</v>
      </c>
      <c r="D81" s="438"/>
      <c r="E81" s="171">
        <v>0</v>
      </c>
      <c r="G81" s="233">
        <v>8</v>
      </c>
      <c r="J81" s="241">
        <v>12</v>
      </c>
      <c r="K81" s="214">
        <f t="shared" si="4"/>
        <v>66.666666666666657</v>
      </c>
      <c r="L81" s="214">
        <f t="shared" si="4"/>
        <v>0</v>
      </c>
      <c r="M81" s="214">
        <f t="shared" si="4"/>
        <v>0</v>
      </c>
      <c r="N81" s="235">
        <f t="shared" si="5"/>
        <v>66.666666666666657</v>
      </c>
      <c r="O81" s="213">
        <v>57.39</v>
      </c>
      <c r="P81" s="214"/>
      <c r="Q81" s="214"/>
      <c r="R81" s="215">
        <f t="shared" si="6"/>
        <v>57.39</v>
      </c>
      <c r="S81" s="171">
        <v>2</v>
      </c>
      <c r="T81" s="285"/>
      <c r="U81" s="283"/>
      <c r="V81" s="178" t="s">
        <v>919</v>
      </c>
      <c r="W81" s="171" t="s">
        <v>22</v>
      </c>
      <c r="X81" s="171" t="s">
        <v>11</v>
      </c>
      <c r="Y81" s="179">
        <v>47</v>
      </c>
      <c r="Z81" s="171" t="s">
        <v>479</v>
      </c>
      <c r="AA81" s="171" t="s">
        <v>17</v>
      </c>
      <c r="AB81" s="171" t="s">
        <v>11</v>
      </c>
      <c r="AC81" s="171">
        <v>10.4</v>
      </c>
      <c r="AD81" s="178"/>
      <c r="AG81" s="179"/>
      <c r="AL81" s="178"/>
      <c r="AO81" s="179"/>
      <c r="AP81" s="178"/>
      <c r="AS81" s="179"/>
      <c r="AW81" s="179"/>
      <c r="BA81" s="180"/>
    </row>
    <row r="82" spans="1:53" s="171" customFormat="1" x14ac:dyDescent="0.15">
      <c r="A82" s="171">
        <v>2012</v>
      </c>
      <c r="B82" s="283"/>
      <c r="C82" s="438" t="s">
        <v>1269</v>
      </c>
      <c r="D82" s="438"/>
      <c r="E82" s="171">
        <v>366</v>
      </c>
      <c r="G82" s="233">
        <v>8</v>
      </c>
      <c r="J82" s="241">
        <v>12</v>
      </c>
      <c r="K82" s="214">
        <f t="shared" si="4"/>
        <v>66.666666666666657</v>
      </c>
      <c r="L82" s="214">
        <f t="shared" si="4"/>
        <v>0</v>
      </c>
      <c r="M82" s="214">
        <f t="shared" si="4"/>
        <v>0</v>
      </c>
      <c r="N82" s="235">
        <f t="shared" si="5"/>
        <v>66.666666666666657</v>
      </c>
      <c r="O82" s="213">
        <v>57.39</v>
      </c>
      <c r="P82" s="214"/>
      <c r="Q82" s="214"/>
      <c r="R82" s="215">
        <f t="shared" si="6"/>
        <v>57.39</v>
      </c>
      <c r="S82" s="171">
        <v>2</v>
      </c>
      <c r="T82" s="285"/>
      <c r="U82" s="283"/>
      <c r="V82" s="178" t="s">
        <v>919</v>
      </c>
      <c r="W82" s="171" t="s">
        <v>22</v>
      </c>
      <c r="X82" s="171" t="s">
        <v>11</v>
      </c>
      <c r="Y82" s="179">
        <v>47</v>
      </c>
      <c r="Z82" s="171" t="s">
        <v>479</v>
      </c>
      <c r="AA82" s="171" t="s">
        <v>17</v>
      </c>
      <c r="AB82" s="171" t="s">
        <v>11</v>
      </c>
      <c r="AC82" s="171">
        <v>10.4</v>
      </c>
      <c r="AD82" s="178"/>
      <c r="AG82" s="179"/>
      <c r="AL82" s="178"/>
      <c r="AO82" s="179"/>
      <c r="AP82" s="178"/>
      <c r="AS82" s="179"/>
      <c r="AW82" s="179"/>
      <c r="BA82" s="180"/>
    </row>
    <row r="83" spans="1:53" s="171" customFormat="1" x14ac:dyDescent="0.15">
      <c r="A83" s="171">
        <v>2013</v>
      </c>
      <c r="B83" s="283"/>
      <c r="C83" s="438" t="s">
        <v>1269</v>
      </c>
      <c r="D83" s="438"/>
      <c r="E83" s="171">
        <v>102</v>
      </c>
      <c r="G83" s="233">
        <v>8</v>
      </c>
      <c r="J83" s="241">
        <v>12</v>
      </c>
      <c r="K83" s="214">
        <f t="shared" si="4"/>
        <v>66.666666666666657</v>
      </c>
      <c r="L83" s="214">
        <f t="shared" si="4"/>
        <v>0</v>
      </c>
      <c r="M83" s="214">
        <f t="shared" si="4"/>
        <v>0</v>
      </c>
      <c r="N83" s="235">
        <f t="shared" si="5"/>
        <v>66.666666666666657</v>
      </c>
      <c r="O83" s="213">
        <v>57.39</v>
      </c>
      <c r="P83" s="214"/>
      <c r="Q83" s="214"/>
      <c r="R83" s="215">
        <f t="shared" si="6"/>
        <v>57.39</v>
      </c>
      <c r="S83" s="171">
        <v>2</v>
      </c>
      <c r="T83" s="285"/>
      <c r="U83" s="283"/>
      <c r="V83" s="178" t="s">
        <v>919</v>
      </c>
      <c r="W83" s="171" t="s">
        <v>22</v>
      </c>
      <c r="X83" s="171" t="s">
        <v>11</v>
      </c>
      <c r="Y83" s="179">
        <v>47</v>
      </c>
      <c r="Z83" s="171" t="s">
        <v>479</v>
      </c>
      <c r="AA83" s="171" t="s">
        <v>17</v>
      </c>
      <c r="AB83" s="171" t="s">
        <v>11</v>
      </c>
      <c r="AC83" s="171">
        <v>10.4</v>
      </c>
      <c r="AD83" s="178"/>
      <c r="AG83" s="179"/>
      <c r="AL83" s="178"/>
      <c r="AO83" s="179"/>
      <c r="AP83" s="178"/>
      <c r="AS83" s="179"/>
      <c r="AW83" s="179"/>
      <c r="BA83" s="180"/>
    </row>
    <row r="84" spans="1:53" s="171" customFormat="1" x14ac:dyDescent="0.15">
      <c r="A84" s="171">
        <v>2013</v>
      </c>
      <c r="B84" s="305">
        <v>41377</v>
      </c>
      <c r="C84" s="438" t="s">
        <v>1269</v>
      </c>
      <c r="D84" s="438"/>
      <c r="E84" s="171">
        <v>102</v>
      </c>
      <c r="F84" s="244">
        <v>0</v>
      </c>
      <c r="G84" s="233">
        <v>9</v>
      </c>
      <c r="J84" s="241">
        <v>13</v>
      </c>
      <c r="K84" s="214">
        <f t="shared" ref="K84:M85" si="7">G84/$J84*100</f>
        <v>69.230769230769226</v>
      </c>
      <c r="L84" s="214">
        <f t="shared" si="7"/>
        <v>0</v>
      </c>
      <c r="M84" s="214">
        <f t="shared" si="7"/>
        <v>0</v>
      </c>
      <c r="N84" s="235">
        <f t="shared" ref="N84:N90" si="8">K84+L84+M84</f>
        <v>69.230769230769226</v>
      </c>
      <c r="O84" s="213">
        <v>57.39</v>
      </c>
      <c r="P84" s="214"/>
      <c r="Q84" s="214"/>
      <c r="R84" s="215">
        <f t="shared" si="6"/>
        <v>57.39</v>
      </c>
      <c r="S84" s="171">
        <v>2</v>
      </c>
      <c r="T84" s="285"/>
      <c r="U84" s="283"/>
      <c r="V84" s="178" t="s">
        <v>919</v>
      </c>
      <c r="W84" s="171" t="s">
        <v>22</v>
      </c>
      <c r="X84" s="171" t="s">
        <v>11</v>
      </c>
      <c r="Y84" s="179">
        <v>47</v>
      </c>
      <c r="Z84" s="171" t="s">
        <v>479</v>
      </c>
      <c r="AA84" s="171" t="s">
        <v>17</v>
      </c>
      <c r="AB84" s="171" t="s">
        <v>11</v>
      </c>
      <c r="AC84" s="171">
        <v>10.4</v>
      </c>
      <c r="AD84" s="178"/>
      <c r="AG84" s="179"/>
      <c r="AL84" s="178"/>
      <c r="AO84" s="179"/>
      <c r="AP84" s="178"/>
      <c r="AS84" s="179"/>
      <c r="AW84" s="179"/>
      <c r="BA84" s="180"/>
    </row>
    <row r="85" spans="1:53" s="171" customFormat="1" x14ac:dyDescent="0.15">
      <c r="A85" s="171">
        <v>2013</v>
      </c>
      <c r="B85" s="305" t="s">
        <v>1247</v>
      </c>
      <c r="C85" s="438" t="s">
        <v>1269</v>
      </c>
      <c r="D85" s="438"/>
      <c r="E85" s="171">
        <f>365-E84-E83</f>
        <v>161</v>
      </c>
      <c r="F85" s="244">
        <v>0</v>
      </c>
      <c r="G85" s="233">
        <v>12</v>
      </c>
      <c r="J85" s="241">
        <v>15</v>
      </c>
      <c r="K85" s="214">
        <f t="shared" si="7"/>
        <v>80</v>
      </c>
      <c r="L85" s="214">
        <f t="shared" si="7"/>
        <v>0</v>
      </c>
      <c r="M85" s="214">
        <f t="shared" si="7"/>
        <v>0</v>
      </c>
      <c r="N85" s="235">
        <f t="shared" si="8"/>
        <v>80</v>
      </c>
      <c r="O85" s="213">
        <v>57.39</v>
      </c>
      <c r="P85" s="214"/>
      <c r="Q85" s="214"/>
      <c r="R85" s="215">
        <f t="shared" si="6"/>
        <v>57.39</v>
      </c>
      <c r="S85" s="171">
        <v>2</v>
      </c>
      <c r="T85" s="285"/>
      <c r="U85" s="283"/>
      <c r="V85" s="178" t="s">
        <v>919</v>
      </c>
      <c r="W85" s="171" t="s">
        <v>22</v>
      </c>
      <c r="X85" s="171" t="s">
        <v>11</v>
      </c>
      <c r="Y85" s="179">
        <v>47</v>
      </c>
      <c r="Z85" s="171" t="s">
        <v>479</v>
      </c>
      <c r="AA85" s="171" t="s">
        <v>17</v>
      </c>
      <c r="AB85" s="171" t="s">
        <v>11</v>
      </c>
      <c r="AC85" s="171">
        <v>10.4</v>
      </c>
      <c r="AD85" s="178"/>
      <c r="AG85" s="179"/>
      <c r="AL85" s="178"/>
      <c r="AO85" s="179"/>
      <c r="AP85" s="178"/>
      <c r="AS85" s="179"/>
      <c r="AW85" s="179"/>
      <c r="BA85" s="180"/>
    </row>
    <row r="86" spans="1:53" s="171" customFormat="1" x14ac:dyDescent="0.15">
      <c r="A86" s="171">
        <v>2014</v>
      </c>
      <c r="B86" s="305"/>
      <c r="C86" s="438" t="s">
        <v>1269</v>
      </c>
      <c r="D86" s="438"/>
      <c r="E86" s="171">
        <v>322</v>
      </c>
      <c r="F86" s="244"/>
      <c r="G86" s="233">
        <v>12</v>
      </c>
      <c r="J86" s="241">
        <v>15</v>
      </c>
      <c r="K86" s="214">
        <f t="shared" ref="K86:M89" si="9">G86/$J86*100</f>
        <v>80</v>
      </c>
      <c r="L86" s="214">
        <f t="shared" si="9"/>
        <v>0</v>
      </c>
      <c r="M86" s="214">
        <f t="shared" si="9"/>
        <v>0</v>
      </c>
      <c r="N86" s="235">
        <f t="shared" si="8"/>
        <v>80</v>
      </c>
      <c r="O86" s="213">
        <v>57.39</v>
      </c>
      <c r="P86" s="214"/>
      <c r="Q86" s="214"/>
      <c r="R86" s="215">
        <f t="shared" ref="R86:R94" si="10">O86+P86+Q86</f>
        <v>57.39</v>
      </c>
      <c r="S86" s="171">
        <v>2</v>
      </c>
      <c r="T86" s="285"/>
      <c r="U86" s="283"/>
      <c r="V86" s="178" t="s">
        <v>919</v>
      </c>
      <c r="W86" s="171" t="s">
        <v>22</v>
      </c>
      <c r="X86" s="171" t="s">
        <v>11</v>
      </c>
      <c r="Y86" s="179">
        <v>47</v>
      </c>
      <c r="Z86" s="171" t="s">
        <v>479</v>
      </c>
      <c r="AA86" s="171" t="s">
        <v>17</v>
      </c>
      <c r="AB86" s="171" t="s">
        <v>11</v>
      </c>
      <c r="AC86" s="171">
        <v>10.4</v>
      </c>
      <c r="AD86" s="178"/>
      <c r="AG86" s="179"/>
      <c r="AL86" s="178"/>
      <c r="AO86" s="179"/>
      <c r="AP86" s="178"/>
      <c r="AS86" s="179"/>
      <c r="AW86" s="179"/>
      <c r="BA86" s="180"/>
    </row>
    <row r="87" spans="1:53" s="171" customFormat="1" x14ac:dyDescent="0.15">
      <c r="A87" s="171">
        <v>2014</v>
      </c>
      <c r="B87" s="305">
        <v>41962</v>
      </c>
      <c r="C87" s="438" t="s">
        <v>1269</v>
      </c>
      <c r="D87" s="438"/>
      <c r="E87" s="171">
        <v>43</v>
      </c>
      <c r="F87" s="244">
        <v>0</v>
      </c>
      <c r="G87" s="233">
        <v>11</v>
      </c>
      <c r="J87" s="241">
        <v>15</v>
      </c>
      <c r="K87" s="214">
        <f t="shared" si="9"/>
        <v>73.333333333333329</v>
      </c>
      <c r="L87" s="214">
        <f t="shared" si="9"/>
        <v>0</v>
      </c>
      <c r="M87" s="214">
        <f t="shared" si="9"/>
        <v>0</v>
      </c>
      <c r="N87" s="235">
        <f t="shared" si="8"/>
        <v>73.333333333333329</v>
      </c>
      <c r="O87" s="213">
        <v>57.39</v>
      </c>
      <c r="P87" s="214"/>
      <c r="Q87" s="214"/>
      <c r="R87" s="215">
        <f t="shared" si="10"/>
        <v>57.39</v>
      </c>
      <c r="S87" s="171">
        <v>2</v>
      </c>
      <c r="T87" s="285"/>
      <c r="U87" s="283"/>
      <c r="V87" s="178" t="s">
        <v>919</v>
      </c>
      <c r="W87" s="171" t="s">
        <v>22</v>
      </c>
      <c r="X87" s="171" t="s">
        <v>11</v>
      </c>
      <c r="Y87" s="179">
        <v>47</v>
      </c>
      <c r="Z87" s="171" t="s">
        <v>479</v>
      </c>
      <c r="AA87" s="171" t="s">
        <v>17</v>
      </c>
      <c r="AB87" s="171" t="s">
        <v>11</v>
      </c>
      <c r="AC87" s="171">
        <v>10.4</v>
      </c>
      <c r="AD87" s="178"/>
      <c r="AG87" s="179"/>
      <c r="AL87" s="178"/>
      <c r="AO87" s="179"/>
      <c r="AP87" s="178"/>
      <c r="AS87" s="179"/>
      <c r="AW87" s="179"/>
      <c r="BA87" s="180"/>
    </row>
    <row r="88" spans="1:53" s="171" customFormat="1" x14ac:dyDescent="0.15">
      <c r="A88" s="171">
        <v>2015</v>
      </c>
      <c r="B88" s="305"/>
      <c r="C88" s="438" t="s">
        <v>1269</v>
      </c>
      <c r="D88" s="438"/>
      <c r="E88" s="171">
        <v>302</v>
      </c>
      <c r="F88" s="244"/>
      <c r="G88" s="233">
        <v>11</v>
      </c>
      <c r="J88" s="241">
        <v>15</v>
      </c>
      <c r="K88" s="214">
        <f t="shared" si="9"/>
        <v>73.333333333333329</v>
      </c>
      <c r="L88" s="214">
        <f t="shared" si="9"/>
        <v>0</v>
      </c>
      <c r="M88" s="214">
        <f t="shared" si="9"/>
        <v>0</v>
      </c>
      <c r="N88" s="235">
        <f t="shared" si="8"/>
        <v>73.333333333333329</v>
      </c>
      <c r="O88" s="213">
        <v>57.39</v>
      </c>
      <c r="P88" s="214"/>
      <c r="Q88" s="214"/>
      <c r="R88" s="215">
        <f t="shared" si="10"/>
        <v>57.39</v>
      </c>
      <c r="S88" s="171">
        <v>2</v>
      </c>
      <c r="T88" s="285"/>
      <c r="U88" s="283"/>
      <c r="V88" s="178" t="s">
        <v>919</v>
      </c>
      <c r="W88" s="171" t="s">
        <v>22</v>
      </c>
      <c r="X88" s="171" t="s">
        <v>11</v>
      </c>
      <c r="Y88" s="179">
        <v>47</v>
      </c>
      <c r="Z88" s="171" t="s">
        <v>479</v>
      </c>
      <c r="AA88" s="171" t="s">
        <v>17</v>
      </c>
      <c r="AB88" s="171" t="s">
        <v>11</v>
      </c>
      <c r="AC88" s="171">
        <v>10.4</v>
      </c>
      <c r="AD88" s="178"/>
      <c r="AG88" s="179"/>
      <c r="AL88" s="178"/>
      <c r="AO88" s="179"/>
      <c r="AP88" s="178"/>
      <c r="AS88" s="179"/>
      <c r="AW88" s="179"/>
      <c r="BA88" s="180"/>
    </row>
    <row r="89" spans="1:53" s="29" customFormat="1" x14ac:dyDescent="0.15">
      <c r="A89" s="29">
        <v>2015</v>
      </c>
      <c r="B89" s="295">
        <v>42307</v>
      </c>
      <c r="C89" s="411" t="s">
        <v>1326</v>
      </c>
      <c r="D89" s="411"/>
      <c r="E89" s="29">
        <v>27</v>
      </c>
      <c r="F89" s="29">
        <v>1</v>
      </c>
      <c r="G89" s="66">
        <v>14</v>
      </c>
      <c r="J89" s="73">
        <v>17</v>
      </c>
      <c r="K89" s="47">
        <f t="shared" si="9"/>
        <v>82.35294117647058</v>
      </c>
      <c r="L89" s="47">
        <f t="shared" si="9"/>
        <v>0</v>
      </c>
      <c r="M89" s="47">
        <f t="shared" si="9"/>
        <v>0</v>
      </c>
      <c r="N89" s="68">
        <f t="shared" si="8"/>
        <v>82.35294117647058</v>
      </c>
      <c r="O89" s="46">
        <v>46.5</v>
      </c>
      <c r="P89" s="47"/>
      <c r="Q89" s="47"/>
      <c r="R89" s="48">
        <f t="shared" si="10"/>
        <v>46.5</v>
      </c>
      <c r="S89" s="29">
        <v>5</v>
      </c>
      <c r="T89" s="286">
        <v>42281</v>
      </c>
      <c r="U89" s="295">
        <v>42307</v>
      </c>
      <c r="V89" s="38" t="s">
        <v>919</v>
      </c>
      <c r="W89" s="29" t="s">
        <v>22</v>
      </c>
      <c r="X89" s="29" t="s">
        <v>11</v>
      </c>
      <c r="Y89" s="39">
        <v>38.700000000000003</v>
      </c>
      <c r="Z89" s="29" t="s">
        <v>479</v>
      </c>
      <c r="AA89" s="29" t="s">
        <v>17</v>
      </c>
      <c r="AB89" s="29" t="s">
        <v>11</v>
      </c>
      <c r="AC89" s="29">
        <v>7.8</v>
      </c>
      <c r="AD89" s="38"/>
      <c r="AG89" s="39"/>
      <c r="AL89" s="38"/>
      <c r="AO89" s="39"/>
      <c r="AP89" s="38"/>
      <c r="AS89" s="39"/>
      <c r="AW89" s="39"/>
      <c r="BA89" s="40"/>
    </row>
    <row r="90" spans="1:53" s="171" customFormat="1" x14ac:dyDescent="0.15">
      <c r="A90" s="171">
        <v>2015</v>
      </c>
      <c r="B90" s="283">
        <v>42334</v>
      </c>
      <c r="C90" s="438" t="s">
        <v>1327</v>
      </c>
      <c r="D90" s="438"/>
      <c r="E90" s="171">
        <v>36</v>
      </c>
      <c r="F90" s="171">
        <v>5</v>
      </c>
      <c r="G90" s="233"/>
      <c r="I90" s="171">
        <v>11</v>
      </c>
      <c r="J90" s="241">
        <v>18</v>
      </c>
      <c r="K90" s="214">
        <f t="shared" ref="K90" si="11">G90/$J90*100</f>
        <v>0</v>
      </c>
      <c r="L90" s="214">
        <f t="shared" ref="L90" si="12">H90/$J90*100</f>
        <v>0</v>
      </c>
      <c r="M90" s="214">
        <f>I90/$J90*100</f>
        <v>61.111111111111114</v>
      </c>
      <c r="N90" s="235">
        <f t="shared" si="8"/>
        <v>61.111111111111114</v>
      </c>
      <c r="O90" s="213"/>
      <c r="P90" s="214"/>
      <c r="Q90" s="214">
        <v>37.299999999999997</v>
      </c>
      <c r="R90" s="215">
        <f t="shared" si="10"/>
        <v>37.299999999999997</v>
      </c>
      <c r="S90" s="171">
        <v>4</v>
      </c>
      <c r="T90" s="285"/>
      <c r="U90" s="283">
        <v>42334</v>
      </c>
      <c r="V90" s="178" t="s">
        <v>95</v>
      </c>
      <c r="W90" s="171" t="s">
        <v>20</v>
      </c>
      <c r="X90" s="171" t="s">
        <v>12</v>
      </c>
      <c r="Y90" s="179">
        <v>37.4</v>
      </c>
      <c r="AD90" s="178"/>
      <c r="AG90" s="179"/>
      <c r="AL90" s="178"/>
      <c r="AO90" s="179"/>
      <c r="AP90" s="178"/>
      <c r="AS90" s="179"/>
      <c r="AW90" s="179"/>
      <c r="BA90" s="180"/>
    </row>
    <row r="91" spans="1:53" s="171" customFormat="1" x14ac:dyDescent="0.15">
      <c r="A91" s="171">
        <v>2016</v>
      </c>
      <c r="B91" s="283"/>
      <c r="C91" s="438" t="s">
        <v>1327</v>
      </c>
      <c r="D91" s="438"/>
      <c r="E91" s="171">
        <v>104</v>
      </c>
      <c r="G91" s="233"/>
      <c r="I91" s="171">
        <v>11</v>
      </c>
      <c r="J91" s="241">
        <v>18</v>
      </c>
      <c r="K91" s="214">
        <f t="shared" ref="K91:K92" si="13">G91/$J91*100</f>
        <v>0</v>
      </c>
      <c r="L91" s="214">
        <f t="shared" ref="L91:L92" si="14">H91/$J91*100</f>
        <v>0</v>
      </c>
      <c r="M91" s="214">
        <f t="shared" ref="M91:M92" si="15">I91/$J91*100</f>
        <v>61.111111111111114</v>
      </c>
      <c r="N91" s="235">
        <f t="shared" ref="N91:N92" si="16">K91+L91+M91</f>
        <v>61.111111111111114</v>
      </c>
      <c r="O91" s="213"/>
      <c r="P91" s="214"/>
      <c r="Q91" s="214">
        <v>37.299999999999997</v>
      </c>
      <c r="R91" s="215">
        <f t="shared" si="10"/>
        <v>37.299999999999997</v>
      </c>
      <c r="S91" s="171">
        <v>4</v>
      </c>
      <c r="T91" s="285"/>
      <c r="U91" s="283"/>
      <c r="V91" s="178" t="s">
        <v>95</v>
      </c>
      <c r="W91" s="171" t="s">
        <v>20</v>
      </c>
      <c r="X91" s="171" t="s">
        <v>12</v>
      </c>
      <c r="Y91" s="179">
        <v>37.4</v>
      </c>
      <c r="AD91" s="178"/>
      <c r="AG91" s="179"/>
      <c r="AL91" s="178"/>
      <c r="AO91" s="179"/>
      <c r="AP91" s="178"/>
      <c r="AS91" s="179"/>
      <c r="AW91" s="179"/>
      <c r="BA91" s="180"/>
    </row>
    <row r="92" spans="1:53" s="171" customFormat="1" x14ac:dyDescent="0.15">
      <c r="A92" s="171">
        <v>2016</v>
      </c>
      <c r="B92" s="305">
        <v>42474</v>
      </c>
      <c r="C92" s="438" t="s">
        <v>1327</v>
      </c>
      <c r="D92" s="438"/>
      <c r="E92" s="171">
        <v>262</v>
      </c>
      <c r="F92" s="244">
        <v>0</v>
      </c>
      <c r="G92" s="233"/>
      <c r="I92" s="171">
        <v>10</v>
      </c>
      <c r="J92" s="241">
        <v>18</v>
      </c>
      <c r="K92" s="214">
        <f t="shared" si="13"/>
        <v>0</v>
      </c>
      <c r="L92" s="214">
        <f t="shared" si="14"/>
        <v>0</v>
      </c>
      <c r="M92" s="214">
        <f t="shared" si="15"/>
        <v>55.555555555555557</v>
      </c>
      <c r="N92" s="235">
        <f t="shared" si="16"/>
        <v>55.555555555555557</v>
      </c>
      <c r="O92" s="213"/>
      <c r="P92" s="214"/>
      <c r="Q92" s="214">
        <v>37.299999999999997</v>
      </c>
      <c r="R92" s="215">
        <f t="shared" si="10"/>
        <v>37.299999999999997</v>
      </c>
      <c r="S92" s="171">
        <v>4</v>
      </c>
      <c r="T92" s="285"/>
      <c r="U92" s="283"/>
      <c r="V92" s="178" t="s">
        <v>95</v>
      </c>
      <c r="W92" s="171" t="s">
        <v>20</v>
      </c>
      <c r="X92" s="171" t="s">
        <v>12</v>
      </c>
      <c r="Y92" s="179">
        <v>37.4</v>
      </c>
      <c r="AD92" s="178"/>
      <c r="AG92" s="179"/>
      <c r="AL92" s="178"/>
      <c r="AO92" s="179"/>
      <c r="AP92" s="178"/>
      <c r="AS92" s="179"/>
      <c r="AW92" s="179"/>
      <c r="BA92" s="180"/>
    </row>
    <row r="93" spans="1:53" s="171" customFormat="1" x14ac:dyDescent="0.15">
      <c r="A93" s="171">
        <v>2017</v>
      </c>
      <c r="B93" s="305"/>
      <c r="C93" s="438" t="s">
        <v>1327</v>
      </c>
      <c r="D93" s="438"/>
      <c r="E93" s="171">
        <v>0</v>
      </c>
      <c r="F93" s="244"/>
      <c r="G93" s="233"/>
      <c r="I93" s="171">
        <v>10</v>
      </c>
      <c r="J93" s="241">
        <v>18</v>
      </c>
      <c r="K93" s="214">
        <f t="shared" ref="K93:K94" si="17">G93/$J93*100</f>
        <v>0</v>
      </c>
      <c r="L93" s="214">
        <f t="shared" ref="L93:L94" si="18">H93/$J93*100</f>
        <v>0</v>
      </c>
      <c r="M93" s="214">
        <f t="shared" ref="M93:M94" si="19">I93/$J93*100</f>
        <v>55.555555555555557</v>
      </c>
      <c r="N93" s="235">
        <f t="shared" ref="N93:N94" si="20">K93+L93+M93</f>
        <v>55.555555555555557</v>
      </c>
      <c r="O93" s="213"/>
      <c r="P93" s="214"/>
      <c r="Q93" s="214">
        <v>37.299999999999997</v>
      </c>
      <c r="R93" s="215">
        <f t="shared" si="10"/>
        <v>37.299999999999997</v>
      </c>
      <c r="S93" s="171">
        <v>4</v>
      </c>
      <c r="T93" s="285"/>
      <c r="U93" s="283"/>
      <c r="V93" s="178" t="s">
        <v>95</v>
      </c>
      <c r="W93" s="171" t="s">
        <v>20</v>
      </c>
      <c r="X93" s="171" t="s">
        <v>12</v>
      </c>
      <c r="Y93" s="179">
        <v>37.4</v>
      </c>
      <c r="AD93" s="178"/>
      <c r="AG93" s="179"/>
      <c r="AL93" s="178"/>
      <c r="AO93" s="179"/>
      <c r="AP93" s="178"/>
      <c r="AS93" s="179"/>
      <c r="AW93" s="179"/>
      <c r="BA93" s="180"/>
    </row>
    <row r="94" spans="1:53" s="171" customFormat="1" x14ac:dyDescent="0.15">
      <c r="A94" s="171">
        <v>2017</v>
      </c>
      <c r="B94" s="305"/>
      <c r="C94" s="438" t="s">
        <v>1327</v>
      </c>
      <c r="D94" s="438"/>
      <c r="E94" s="171">
        <v>365</v>
      </c>
      <c r="F94" s="244"/>
      <c r="G94" s="233"/>
      <c r="I94" s="171">
        <v>10</v>
      </c>
      <c r="J94" s="241">
        <v>18</v>
      </c>
      <c r="K94" s="214">
        <f t="shared" si="17"/>
        <v>0</v>
      </c>
      <c r="L94" s="214">
        <f t="shared" si="18"/>
        <v>0</v>
      </c>
      <c r="M94" s="214">
        <f t="shared" si="19"/>
        <v>55.555555555555557</v>
      </c>
      <c r="N94" s="235">
        <f t="shared" si="20"/>
        <v>55.555555555555557</v>
      </c>
      <c r="O94" s="213"/>
      <c r="P94" s="214"/>
      <c r="Q94" s="214">
        <v>37.299999999999997</v>
      </c>
      <c r="R94" s="215">
        <f t="shared" si="10"/>
        <v>37.299999999999997</v>
      </c>
      <c r="S94" s="171">
        <v>4</v>
      </c>
      <c r="T94" s="285"/>
      <c r="U94" s="283"/>
      <c r="V94" s="178" t="s">
        <v>95</v>
      </c>
      <c r="W94" s="171" t="s">
        <v>20</v>
      </c>
      <c r="X94" s="171" t="s">
        <v>12</v>
      </c>
      <c r="Y94" s="179">
        <v>37.4</v>
      </c>
      <c r="AD94" s="178"/>
      <c r="AG94" s="179"/>
      <c r="AL94" s="178"/>
      <c r="AO94" s="179"/>
      <c r="AP94" s="178"/>
      <c r="AS94" s="179"/>
      <c r="AW94" s="179"/>
      <c r="BA94" s="180"/>
    </row>
    <row r="95" spans="1:53" s="171" customFormat="1" x14ac:dyDescent="0.15">
      <c r="A95" s="171">
        <v>2018</v>
      </c>
      <c r="B95" s="305"/>
      <c r="C95" s="438" t="s">
        <v>1327</v>
      </c>
      <c r="D95" s="438"/>
      <c r="E95" s="171">
        <v>287</v>
      </c>
      <c r="F95" s="244"/>
      <c r="G95" s="233"/>
      <c r="I95" s="171">
        <v>10</v>
      </c>
      <c r="J95" s="241">
        <v>18</v>
      </c>
      <c r="K95" s="214">
        <f t="shared" ref="K95:K96" si="21">G95/$J95*100</f>
        <v>0</v>
      </c>
      <c r="L95" s="214">
        <f t="shared" ref="L95:L96" si="22">H95/$J95*100</f>
        <v>0</v>
      </c>
      <c r="M95" s="214">
        <f t="shared" ref="M95:M96" si="23">I95/$J95*100</f>
        <v>55.555555555555557</v>
      </c>
      <c r="N95" s="235">
        <f t="shared" ref="N95:N96" si="24">K95+L95+M95</f>
        <v>55.555555555555557</v>
      </c>
      <c r="O95" s="213"/>
      <c r="P95" s="214"/>
      <c r="Q95" s="214">
        <v>37.299999999999997</v>
      </c>
      <c r="R95" s="215">
        <f t="shared" ref="R95:R96" si="25">O95+P95+Q95</f>
        <v>37.299999999999997</v>
      </c>
      <c r="S95" s="171">
        <v>4</v>
      </c>
      <c r="T95" s="285"/>
      <c r="U95" s="283"/>
      <c r="V95" s="178" t="s">
        <v>95</v>
      </c>
      <c r="W95" s="171" t="s">
        <v>20</v>
      </c>
      <c r="X95" s="171" t="s">
        <v>12</v>
      </c>
      <c r="Y95" s="179">
        <v>37.4</v>
      </c>
      <c r="AD95" s="178"/>
      <c r="AG95" s="179"/>
      <c r="AL95" s="178"/>
      <c r="AO95" s="179"/>
      <c r="AP95" s="178"/>
      <c r="AS95" s="179"/>
      <c r="AW95" s="179"/>
      <c r="BA95" s="180"/>
    </row>
    <row r="96" spans="1:53" s="171" customFormat="1" x14ac:dyDescent="0.15">
      <c r="A96" s="171">
        <v>2018</v>
      </c>
      <c r="B96" s="305">
        <v>43388</v>
      </c>
      <c r="C96" s="438" t="s">
        <v>1327</v>
      </c>
      <c r="D96" s="438"/>
      <c r="E96" s="171">
        <v>78</v>
      </c>
      <c r="F96" s="244">
        <v>0</v>
      </c>
      <c r="G96" s="233"/>
      <c r="I96" s="171">
        <v>12</v>
      </c>
      <c r="J96" s="241">
        <v>17</v>
      </c>
      <c r="K96" s="214">
        <f t="shared" si="21"/>
        <v>0</v>
      </c>
      <c r="L96" s="214">
        <f t="shared" si="22"/>
        <v>0</v>
      </c>
      <c r="M96" s="214">
        <f t="shared" si="23"/>
        <v>70.588235294117652</v>
      </c>
      <c r="N96" s="235">
        <f t="shared" si="24"/>
        <v>70.588235294117652</v>
      </c>
      <c r="O96" s="213"/>
      <c r="P96" s="214"/>
      <c r="Q96" s="214">
        <v>37.299999999999997</v>
      </c>
      <c r="R96" s="215">
        <f t="shared" si="25"/>
        <v>37.299999999999997</v>
      </c>
      <c r="S96" s="171">
        <v>4</v>
      </c>
      <c r="T96" s="285"/>
      <c r="U96" s="283"/>
      <c r="V96" s="178" t="s">
        <v>95</v>
      </c>
      <c r="W96" s="171" t="s">
        <v>20</v>
      </c>
      <c r="X96" s="171" t="s">
        <v>12</v>
      </c>
      <c r="Y96" s="179">
        <v>37.4</v>
      </c>
      <c r="AD96" s="178"/>
      <c r="AG96" s="179"/>
      <c r="AL96" s="178"/>
      <c r="AO96" s="179"/>
      <c r="AP96" s="178"/>
      <c r="AS96" s="179"/>
      <c r="AW96" s="179"/>
      <c r="BA96" s="180"/>
    </row>
    <row r="97" spans="1:53" s="171" customFormat="1" x14ac:dyDescent="0.15">
      <c r="A97" s="171">
        <v>2019</v>
      </c>
      <c r="B97" s="305"/>
      <c r="C97" s="438" t="s">
        <v>1327</v>
      </c>
      <c r="D97" s="438"/>
      <c r="E97" s="171">
        <v>48</v>
      </c>
      <c r="F97" s="244"/>
      <c r="G97" s="233"/>
      <c r="I97" s="171">
        <v>12</v>
      </c>
      <c r="J97" s="241">
        <v>17</v>
      </c>
      <c r="K97" s="214">
        <f t="shared" ref="K97:K101" si="26">G97/$J97*100</f>
        <v>0</v>
      </c>
      <c r="L97" s="214">
        <f t="shared" ref="L97:L101" si="27">H97/$J97*100</f>
        <v>0</v>
      </c>
      <c r="M97" s="214">
        <f t="shared" ref="M97:M101" si="28">I97/$J97*100</f>
        <v>70.588235294117652</v>
      </c>
      <c r="N97" s="235">
        <f t="shared" ref="N97:N101" si="29">K97+L97+M97</f>
        <v>70.588235294117652</v>
      </c>
      <c r="O97" s="213"/>
      <c r="P97" s="214"/>
      <c r="Q97" s="214">
        <v>37.299999999999997</v>
      </c>
      <c r="R97" s="215">
        <f t="shared" ref="R97:R101" si="30">O97+P97+Q97</f>
        <v>37.299999999999997</v>
      </c>
      <c r="S97" s="171">
        <v>4</v>
      </c>
      <c r="T97" s="285"/>
      <c r="U97" s="283"/>
      <c r="V97" s="178" t="s">
        <v>95</v>
      </c>
      <c r="W97" s="171" t="s">
        <v>20</v>
      </c>
      <c r="X97" s="171" t="s">
        <v>12</v>
      </c>
      <c r="Y97" s="179">
        <v>37.4</v>
      </c>
      <c r="AD97" s="178"/>
      <c r="AG97" s="179"/>
      <c r="AL97" s="178"/>
      <c r="AO97" s="179"/>
      <c r="AP97" s="178"/>
      <c r="AS97" s="179"/>
      <c r="AW97" s="179"/>
      <c r="BA97" s="180"/>
    </row>
    <row r="98" spans="1:53" s="171" customFormat="1" x14ac:dyDescent="0.15">
      <c r="A98" s="171">
        <v>2019</v>
      </c>
      <c r="B98" s="305">
        <v>43514</v>
      </c>
      <c r="C98" s="438" t="s">
        <v>1327</v>
      </c>
      <c r="D98" s="438"/>
      <c r="E98" s="171">
        <v>250</v>
      </c>
      <c r="F98" s="244">
        <v>0</v>
      </c>
      <c r="G98" s="233"/>
      <c r="I98" s="171">
        <v>15</v>
      </c>
      <c r="J98" s="241">
        <v>18</v>
      </c>
      <c r="K98" s="214">
        <f t="shared" si="26"/>
        <v>0</v>
      </c>
      <c r="L98" s="214">
        <f t="shared" si="27"/>
        <v>0</v>
      </c>
      <c r="M98" s="214">
        <f t="shared" si="28"/>
        <v>83.333333333333343</v>
      </c>
      <c r="N98" s="235">
        <f t="shared" si="29"/>
        <v>83.333333333333343</v>
      </c>
      <c r="O98" s="213"/>
      <c r="P98" s="214"/>
      <c r="Q98" s="214">
        <v>37.299999999999997</v>
      </c>
      <c r="R98" s="215">
        <f t="shared" si="30"/>
        <v>37.299999999999997</v>
      </c>
      <c r="S98" s="171">
        <v>4</v>
      </c>
      <c r="T98" s="285"/>
      <c r="U98" s="283"/>
      <c r="V98" s="178" t="s">
        <v>95</v>
      </c>
      <c r="W98" s="171" t="s">
        <v>20</v>
      </c>
      <c r="X98" s="171" t="s">
        <v>12</v>
      </c>
      <c r="Y98" s="179">
        <v>37.4</v>
      </c>
      <c r="AD98" s="178"/>
      <c r="AG98" s="179"/>
      <c r="AL98" s="178"/>
      <c r="AO98" s="179"/>
      <c r="AP98" s="178"/>
      <c r="AS98" s="179"/>
      <c r="AW98" s="179"/>
      <c r="BA98" s="180"/>
    </row>
    <row r="99" spans="1:53" s="29" customFormat="1" x14ac:dyDescent="0.15">
      <c r="A99" s="29">
        <v>2019</v>
      </c>
      <c r="B99" s="295">
        <v>43764</v>
      </c>
      <c r="C99" s="411" t="s">
        <v>1427</v>
      </c>
      <c r="D99" s="411"/>
      <c r="E99" s="29">
        <v>67</v>
      </c>
      <c r="F99" s="40">
        <v>1</v>
      </c>
      <c r="I99" s="29">
        <v>13</v>
      </c>
      <c r="J99" s="73">
        <v>18</v>
      </c>
      <c r="K99" s="47">
        <f t="shared" si="26"/>
        <v>0</v>
      </c>
      <c r="L99" s="47">
        <f t="shared" si="27"/>
        <v>0</v>
      </c>
      <c r="M99" s="47">
        <f t="shared" si="28"/>
        <v>72.222222222222214</v>
      </c>
      <c r="N99" s="48">
        <f t="shared" si="29"/>
        <v>72.222222222222214</v>
      </c>
      <c r="O99" s="47"/>
      <c r="P99" s="47"/>
      <c r="Q99" s="47">
        <v>47</v>
      </c>
      <c r="R99" s="48">
        <f t="shared" si="30"/>
        <v>47</v>
      </c>
      <c r="S99" s="37">
        <v>4</v>
      </c>
      <c r="T99" s="321">
        <v>43744</v>
      </c>
      <c r="U99" s="295">
        <v>43764</v>
      </c>
      <c r="V99" s="38" t="s">
        <v>95</v>
      </c>
      <c r="W99" s="29" t="s">
        <v>20</v>
      </c>
      <c r="X99" s="29" t="s">
        <v>12</v>
      </c>
      <c r="Y99" s="39">
        <v>47</v>
      </c>
      <c r="AD99" s="38"/>
      <c r="AG99" s="39"/>
      <c r="AL99" s="38"/>
      <c r="AO99" s="39"/>
      <c r="AS99" s="39"/>
      <c r="AW99" s="39"/>
      <c r="BA99" s="40"/>
    </row>
    <row r="100" spans="1:53" s="29" customFormat="1" x14ac:dyDescent="0.15">
      <c r="A100" s="29">
        <v>2020</v>
      </c>
      <c r="B100" s="295"/>
      <c r="C100" s="411" t="s">
        <v>1427</v>
      </c>
      <c r="D100" s="411"/>
      <c r="E100" s="29">
        <v>0</v>
      </c>
      <c r="F100" s="40"/>
      <c r="I100" s="29">
        <v>13</v>
      </c>
      <c r="J100" s="73">
        <v>18</v>
      </c>
      <c r="K100" s="47">
        <f t="shared" si="26"/>
        <v>0</v>
      </c>
      <c r="L100" s="47">
        <f t="shared" si="27"/>
        <v>0</v>
      </c>
      <c r="M100" s="47">
        <f t="shared" si="28"/>
        <v>72.222222222222214</v>
      </c>
      <c r="N100" s="48">
        <f t="shared" si="29"/>
        <v>72.222222222222214</v>
      </c>
      <c r="O100" s="47"/>
      <c r="P100" s="47"/>
      <c r="Q100" s="47">
        <v>47</v>
      </c>
      <c r="R100" s="48">
        <f t="shared" si="30"/>
        <v>47</v>
      </c>
      <c r="S100" s="37">
        <v>4</v>
      </c>
      <c r="T100" s="286"/>
      <c r="U100" s="292"/>
      <c r="V100" s="29" t="s">
        <v>95</v>
      </c>
      <c r="W100" s="29" t="s">
        <v>20</v>
      </c>
      <c r="X100" s="29" t="s">
        <v>12</v>
      </c>
      <c r="Y100" s="39">
        <v>47</v>
      </c>
      <c r="AC100" s="39"/>
      <c r="AG100" s="39"/>
      <c r="AK100" s="39"/>
      <c r="AO100" s="39"/>
      <c r="AS100" s="39"/>
      <c r="AW100" s="39"/>
      <c r="BA100" s="40"/>
    </row>
    <row r="101" spans="1:53" s="29" customFormat="1" x14ac:dyDescent="0.15">
      <c r="A101" s="29">
        <v>2020</v>
      </c>
      <c r="B101" s="295"/>
      <c r="C101" s="411" t="s">
        <v>1427</v>
      </c>
      <c r="D101" s="411"/>
      <c r="E101" s="29">
        <v>366</v>
      </c>
      <c r="F101" s="40"/>
      <c r="I101" s="29">
        <v>13</v>
      </c>
      <c r="J101" s="73">
        <v>18</v>
      </c>
      <c r="K101" s="47">
        <f t="shared" si="26"/>
        <v>0</v>
      </c>
      <c r="L101" s="47">
        <f t="shared" si="27"/>
        <v>0</v>
      </c>
      <c r="M101" s="47">
        <f t="shared" si="28"/>
        <v>72.222222222222214</v>
      </c>
      <c r="N101" s="48">
        <f t="shared" si="29"/>
        <v>72.222222222222214</v>
      </c>
      <c r="O101" s="47"/>
      <c r="P101" s="47"/>
      <c r="Q101" s="47">
        <v>47</v>
      </c>
      <c r="R101" s="48">
        <f t="shared" si="30"/>
        <v>47</v>
      </c>
      <c r="S101" s="37">
        <v>4</v>
      </c>
      <c r="T101" s="286"/>
      <c r="U101" s="292"/>
      <c r="V101" s="29" t="s">
        <v>95</v>
      </c>
      <c r="W101" s="29" t="s">
        <v>20</v>
      </c>
      <c r="X101" s="29" t="s">
        <v>12</v>
      </c>
      <c r="Y101" s="39">
        <v>47</v>
      </c>
      <c r="AC101" s="39"/>
      <c r="AG101" s="39"/>
      <c r="AK101" s="39"/>
      <c r="AO101" s="39"/>
      <c r="AS101" s="39"/>
      <c r="AW101" s="39"/>
      <c r="BA101" s="40"/>
    </row>
    <row r="102" spans="1:53" x14ac:dyDescent="0.15">
      <c r="K102" s="12"/>
    </row>
    <row r="103" spans="1:53" x14ac:dyDescent="0.15">
      <c r="K103" s="12"/>
    </row>
    <row r="104" spans="1:53" ht="18" customHeight="1" x14ac:dyDescent="0.15">
      <c r="B104" s="16" t="s">
        <v>1264</v>
      </c>
      <c r="H104" s="4"/>
    </row>
    <row r="105" spans="1:53" ht="9" customHeight="1" x14ac:dyDescent="0.15">
      <c r="H105" s="4"/>
    </row>
    <row r="106" spans="1:53" s="195" customFormat="1" ht="9" customHeight="1" x14ac:dyDescent="0.15">
      <c r="A106" s="193"/>
      <c r="B106" s="194" t="s">
        <v>1215</v>
      </c>
      <c r="C106" s="194"/>
      <c r="D106" s="194"/>
      <c r="E106" s="194"/>
      <c r="F106" s="194"/>
      <c r="G106" s="194" t="s">
        <v>1216</v>
      </c>
      <c r="H106" s="194"/>
      <c r="I106" s="194"/>
      <c r="J106" s="194"/>
      <c r="K106" s="194"/>
      <c r="L106" s="194"/>
      <c r="M106" s="194"/>
      <c r="N106" s="194"/>
      <c r="R106" s="388" t="s">
        <v>1217</v>
      </c>
      <c r="S106" s="388"/>
      <c r="T106" s="388"/>
      <c r="U106" s="388"/>
      <c r="V106" s="388"/>
      <c r="W106" s="388"/>
      <c r="X106" s="196"/>
      <c r="Y106" s="196"/>
      <c r="AA106" s="196"/>
      <c r="AB106" s="196"/>
      <c r="AC106" s="196"/>
      <c r="AD106" s="196"/>
    </row>
    <row r="107" spans="1:53" s="200" customFormat="1" ht="9" customHeight="1" x14ac:dyDescent="0.15">
      <c r="A107" s="197"/>
      <c r="B107" s="198" t="s">
        <v>1219</v>
      </c>
      <c r="C107" s="199"/>
      <c r="D107" s="199"/>
      <c r="E107" s="199"/>
      <c r="F107" s="199"/>
      <c r="G107" s="198" t="s">
        <v>1218</v>
      </c>
      <c r="H107" s="199"/>
      <c r="I107" s="199"/>
      <c r="J107" s="199"/>
      <c r="K107" s="199"/>
      <c r="L107" s="199"/>
      <c r="M107" s="199"/>
      <c r="N107" s="199"/>
      <c r="R107" s="201" t="s">
        <v>1220</v>
      </c>
      <c r="S107" s="202"/>
      <c r="T107" s="203"/>
      <c r="U107" s="203"/>
      <c r="V107" s="203"/>
      <c r="W107" s="201" t="s">
        <v>1221</v>
      </c>
      <c r="X107" s="203"/>
      <c r="Y107" s="203"/>
      <c r="AA107" s="203"/>
      <c r="AB107" s="203"/>
      <c r="AC107" s="203"/>
      <c r="AD107" s="203"/>
    </row>
    <row r="108" spans="1:53" s="186" customFormat="1" ht="12" customHeight="1" x14ac:dyDescent="0.15">
      <c r="A108" s="204" t="s">
        <v>3</v>
      </c>
      <c r="B108" s="205" t="s">
        <v>8</v>
      </c>
      <c r="C108" s="205" t="s">
        <v>9</v>
      </c>
      <c r="D108" s="205" t="s">
        <v>10</v>
      </c>
      <c r="E108" s="206" t="s">
        <v>1195</v>
      </c>
      <c r="F108" s="205"/>
      <c r="G108" s="186" t="s">
        <v>3</v>
      </c>
      <c r="H108" s="389" t="s">
        <v>0</v>
      </c>
      <c r="I108" s="389"/>
      <c r="J108" s="389" t="s">
        <v>1</v>
      </c>
      <c r="K108" s="389"/>
      <c r="L108" s="389" t="s">
        <v>2</v>
      </c>
      <c r="M108" s="389"/>
      <c r="N108" s="390" t="s">
        <v>1195</v>
      </c>
      <c r="O108" s="390"/>
      <c r="P108" s="207"/>
      <c r="Q108" s="207"/>
      <c r="R108" s="208" t="s">
        <v>3</v>
      </c>
      <c r="S108" s="209" t="s">
        <v>135</v>
      </c>
      <c r="T108" s="207" t="s">
        <v>133</v>
      </c>
      <c r="U108" s="205" t="s">
        <v>134</v>
      </c>
      <c r="V108" s="207"/>
      <c r="W108" s="210" t="s">
        <v>26</v>
      </c>
    </row>
    <row r="109" spans="1:53" x14ac:dyDescent="0.15">
      <c r="A109" s="1">
        <v>1960</v>
      </c>
      <c r="B109" s="5"/>
      <c r="C109" s="5"/>
      <c r="D109" s="5"/>
      <c r="E109" s="18"/>
      <c r="F109" s="5"/>
      <c r="G109" s="1">
        <v>1960</v>
      </c>
      <c r="H109" s="5"/>
      <c r="I109" s="5"/>
      <c r="J109" s="5"/>
      <c r="K109" s="5"/>
      <c r="L109" s="5"/>
      <c r="M109" s="5"/>
      <c r="N109" s="18"/>
      <c r="O109" s="18"/>
      <c r="P109" s="9"/>
      <c r="Q109" s="9"/>
      <c r="R109" s="1">
        <v>1960</v>
      </c>
      <c r="S109" s="6"/>
      <c r="T109" s="9"/>
      <c r="U109" s="5"/>
      <c r="V109" s="9"/>
      <c r="W109" s="115"/>
    </row>
    <row r="110" spans="1:53" x14ac:dyDescent="0.15">
      <c r="A110" s="1">
        <v>1961</v>
      </c>
      <c r="B110" s="5"/>
      <c r="C110" s="5"/>
      <c r="D110" s="5"/>
      <c r="E110" s="18"/>
      <c r="F110" s="5"/>
      <c r="G110" s="1">
        <v>1961</v>
      </c>
      <c r="H110" s="5"/>
      <c r="I110" s="5"/>
      <c r="J110" s="5"/>
      <c r="K110" s="5"/>
      <c r="L110" s="5"/>
      <c r="M110" s="5"/>
      <c r="N110" s="18"/>
      <c r="O110" s="18"/>
      <c r="P110" s="9"/>
      <c r="Q110" s="9"/>
      <c r="R110" s="1">
        <v>1961</v>
      </c>
      <c r="S110" s="6"/>
      <c r="T110" s="9"/>
      <c r="U110" s="5"/>
      <c r="V110" s="9"/>
      <c r="W110" s="115"/>
    </row>
    <row r="111" spans="1:53" x14ac:dyDescent="0.15">
      <c r="A111" s="1">
        <v>1962</v>
      </c>
      <c r="B111" s="5"/>
      <c r="C111" s="5"/>
      <c r="D111" s="5"/>
      <c r="E111" s="18"/>
      <c r="F111" s="5"/>
      <c r="G111" s="1">
        <v>1962</v>
      </c>
      <c r="H111" s="5"/>
      <c r="I111" s="5"/>
      <c r="J111" s="5"/>
      <c r="K111" s="5"/>
      <c r="L111" s="5"/>
      <c r="M111" s="5"/>
      <c r="N111" s="18"/>
      <c r="O111" s="18"/>
      <c r="P111" s="9"/>
      <c r="Q111" s="9"/>
      <c r="R111" s="1">
        <v>1962</v>
      </c>
      <c r="S111" s="6"/>
      <c r="T111" s="9"/>
      <c r="U111" s="5"/>
      <c r="V111" s="9"/>
      <c r="W111" s="115"/>
    </row>
    <row r="112" spans="1:53" x14ac:dyDescent="0.15">
      <c r="A112" s="1">
        <v>1963</v>
      </c>
      <c r="B112" s="5"/>
      <c r="C112" s="5"/>
      <c r="D112" s="5"/>
      <c r="E112" s="18"/>
      <c r="F112" s="5"/>
      <c r="G112" s="1">
        <v>1963</v>
      </c>
      <c r="H112" s="5"/>
      <c r="I112" s="5"/>
      <c r="J112" s="5"/>
      <c r="K112" s="5"/>
      <c r="L112" s="5"/>
      <c r="M112" s="5"/>
      <c r="N112" s="18"/>
      <c r="O112" s="18"/>
      <c r="P112" s="9"/>
      <c r="Q112" s="9"/>
      <c r="R112" s="1">
        <v>1963</v>
      </c>
      <c r="S112" s="6"/>
      <c r="T112" s="9"/>
      <c r="U112" s="5"/>
      <c r="V112" s="9"/>
      <c r="W112" s="115"/>
    </row>
    <row r="113" spans="1:29" x14ac:dyDescent="0.15">
      <c r="A113" s="1">
        <v>1964</v>
      </c>
      <c r="B113" s="5"/>
      <c r="C113" s="5"/>
      <c r="D113" s="5"/>
      <c r="E113" s="18"/>
      <c r="F113" s="5"/>
      <c r="G113" s="1">
        <v>1964</v>
      </c>
      <c r="H113" s="5"/>
      <c r="I113" s="5"/>
      <c r="J113" s="5"/>
      <c r="K113" s="5"/>
      <c r="L113" s="5"/>
      <c r="M113" s="5"/>
      <c r="N113" s="18"/>
      <c r="O113" s="18"/>
      <c r="P113" s="9"/>
      <c r="Q113" s="9"/>
      <c r="R113" s="1">
        <v>1964</v>
      </c>
      <c r="S113" s="6"/>
      <c r="T113" s="9"/>
      <c r="U113" s="5"/>
      <c r="V113" s="9"/>
      <c r="W113" s="115"/>
    </row>
    <row r="114" spans="1:29" x14ac:dyDescent="0.15">
      <c r="A114" s="1">
        <v>1965</v>
      </c>
      <c r="B114" s="5"/>
      <c r="C114" s="5"/>
      <c r="D114" s="5"/>
      <c r="E114" s="18"/>
      <c r="F114" s="5"/>
      <c r="G114" s="1">
        <v>1965</v>
      </c>
      <c r="H114" s="5"/>
      <c r="I114" s="5"/>
      <c r="J114" s="5"/>
      <c r="K114" s="5"/>
      <c r="L114" s="5"/>
      <c r="M114" s="5"/>
      <c r="N114" s="18"/>
      <c r="O114" s="18"/>
      <c r="P114" s="9"/>
      <c r="Q114" s="9"/>
      <c r="R114" s="1">
        <v>1965</v>
      </c>
      <c r="S114" s="6"/>
      <c r="T114" s="9"/>
      <c r="U114" s="5"/>
      <c r="V114" s="9"/>
      <c r="W114" s="115"/>
    </row>
    <row r="115" spans="1:29" x14ac:dyDescent="0.15">
      <c r="A115" s="1">
        <v>1966</v>
      </c>
      <c r="B115" s="5"/>
      <c r="C115" s="5"/>
      <c r="D115" s="5"/>
      <c r="E115" s="18"/>
      <c r="F115" s="5"/>
      <c r="G115" s="1">
        <v>1966</v>
      </c>
      <c r="H115" s="5"/>
      <c r="I115" s="5"/>
      <c r="J115" s="5"/>
      <c r="K115" s="5"/>
      <c r="L115" s="5"/>
      <c r="M115" s="5"/>
      <c r="N115" s="18"/>
      <c r="O115" s="18"/>
      <c r="P115" s="9"/>
      <c r="Q115" s="9"/>
      <c r="R115" s="1">
        <v>1966</v>
      </c>
      <c r="S115" s="6"/>
      <c r="T115" s="9"/>
      <c r="U115" s="5"/>
      <c r="V115" s="9"/>
      <c r="W115" s="115"/>
    </row>
    <row r="116" spans="1:29" x14ac:dyDescent="0.15">
      <c r="A116" s="1">
        <v>1967</v>
      </c>
      <c r="B116" s="5"/>
      <c r="C116" s="5"/>
      <c r="D116" s="5"/>
      <c r="E116" s="18"/>
      <c r="F116" s="5"/>
      <c r="G116" s="1">
        <v>1967</v>
      </c>
      <c r="H116" s="5"/>
      <c r="I116" s="5"/>
      <c r="J116" s="5"/>
      <c r="K116" s="5"/>
      <c r="L116" s="5"/>
      <c r="M116" s="5"/>
      <c r="N116" s="18"/>
      <c r="O116" s="18"/>
      <c r="P116" s="9"/>
      <c r="Q116" s="9"/>
      <c r="R116" s="1">
        <v>1967</v>
      </c>
      <c r="S116" s="6"/>
      <c r="T116" s="9"/>
      <c r="U116" s="5"/>
      <c r="V116" s="9"/>
      <c r="W116" s="115"/>
    </row>
    <row r="117" spans="1:29" x14ac:dyDescent="0.15">
      <c r="A117" s="1">
        <v>1968</v>
      </c>
      <c r="B117" s="5"/>
      <c r="C117" s="5"/>
      <c r="D117" s="5"/>
      <c r="E117" s="18"/>
      <c r="F117" s="5"/>
      <c r="G117" s="1">
        <v>1968</v>
      </c>
      <c r="H117" s="5"/>
      <c r="I117" s="5"/>
      <c r="J117" s="5"/>
      <c r="K117" s="5"/>
      <c r="L117" s="5"/>
      <c r="M117" s="5"/>
      <c r="N117" s="18"/>
      <c r="O117" s="18"/>
      <c r="P117" s="9"/>
      <c r="Q117" s="9"/>
      <c r="R117" s="1">
        <v>1968</v>
      </c>
      <c r="S117" s="6"/>
      <c r="T117" s="9"/>
      <c r="U117" s="5"/>
      <c r="V117" s="9"/>
      <c r="W117" s="115"/>
    </row>
    <row r="118" spans="1:29" x14ac:dyDescent="0.15">
      <c r="A118" s="1">
        <v>1969</v>
      </c>
      <c r="B118" s="5"/>
      <c r="C118" s="5"/>
      <c r="D118" s="5"/>
      <c r="E118" s="18"/>
      <c r="F118" s="5"/>
      <c r="G118" s="1">
        <v>1969</v>
      </c>
      <c r="H118" s="5"/>
      <c r="I118" s="5"/>
      <c r="J118" s="5"/>
      <c r="K118" s="5"/>
      <c r="L118" s="5"/>
      <c r="M118" s="5"/>
      <c r="N118" s="18"/>
      <c r="O118" s="18"/>
      <c r="P118" s="9"/>
      <c r="Q118" s="9"/>
      <c r="R118" s="1">
        <v>1969</v>
      </c>
      <c r="S118" s="6"/>
      <c r="T118" s="9"/>
      <c r="U118" s="5"/>
      <c r="V118" s="9"/>
      <c r="W118" s="115"/>
    </row>
    <row r="119" spans="1:29" x14ac:dyDescent="0.15">
      <c r="A119" s="1">
        <v>1970</v>
      </c>
      <c r="B119" s="5"/>
      <c r="C119" s="5"/>
      <c r="D119" s="5"/>
      <c r="E119" s="18"/>
      <c r="F119" s="5"/>
      <c r="G119" s="1">
        <v>1970</v>
      </c>
      <c r="H119" s="5"/>
      <c r="I119" s="5"/>
      <c r="J119" s="5"/>
      <c r="K119" s="5"/>
      <c r="L119" s="5"/>
      <c r="M119" s="5"/>
      <c r="N119" s="18"/>
      <c r="O119" s="18"/>
      <c r="P119" s="9"/>
      <c r="Q119" s="9"/>
      <c r="R119" s="1">
        <v>1970</v>
      </c>
      <c r="S119" s="6"/>
      <c r="T119" s="9"/>
      <c r="U119" s="5"/>
      <c r="V119" s="9"/>
      <c r="W119" s="115"/>
    </row>
    <row r="120" spans="1:29" x14ac:dyDescent="0.15">
      <c r="A120" s="1">
        <v>1971</v>
      </c>
      <c r="B120" s="5"/>
      <c r="C120" s="5"/>
      <c r="D120" s="5"/>
      <c r="E120" s="18"/>
      <c r="F120" s="5"/>
      <c r="G120" s="1">
        <v>1971</v>
      </c>
      <c r="H120" s="5"/>
      <c r="I120" s="5"/>
      <c r="J120" s="5"/>
      <c r="K120" s="5"/>
      <c r="L120" s="5"/>
      <c r="M120" s="5"/>
      <c r="N120" s="18"/>
      <c r="O120" s="18"/>
      <c r="P120" s="9"/>
      <c r="Q120" s="9"/>
      <c r="R120" s="1">
        <v>1971</v>
      </c>
      <c r="S120" s="6"/>
      <c r="T120" s="9"/>
      <c r="U120" s="5"/>
      <c r="V120" s="9"/>
      <c r="W120" s="115"/>
    </row>
    <row r="121" spans="1:29" x14ac:dyDescent="0.15">
      <c r="A121" s="1">
        <v>1972</v>
      </c>
      <c r="B121" s="5"/>
      <c r="C121" s="5"/>
      <c r="D121" s="5"/>
      <c r="E121" s="18"/>
      <c r="F121" s="5"/>
      <c r="G121" s="1">
        <v>1972</v>
      </c>
      <c r="H121" s="5"/>
      <c r="I121" s="5"/>
      <c r="J121" s="5"/>
      <c r="K121" s="5"/>
      <c r="L121" s="5"/>
      <c r="M121" s="5"/>
      <c r="N121" s="18"/>
      <c r="O121" s="18"/>
      <c r="P121" s="9"/>
      <c r="Q121" s="9"/>
      <c r="R121" s="1">
        <v>1972</v>
      </c>
      <c r="S121" s="6"/>
      <c r="T121" s="9"/>
      <c r="U121" s="5"/>
      <c r="V121" s="9"/>
      <c r="W121" s="115"/>
    </row>
    <row r="122" spans="1:29" x14ac:dyDescent="0.15">
      <c r="A122" s="1">
        <v>1973</v>
      </c>
      <c r="B122" s="5"/>
      <c r="C122" s="5"/>
      <c r="D122" s="5"/>
      <c r="E122" s="18"/>
      <c r="F122" s="5"/>
      <c r="G122" s="1">
        <v>1973</v>
      </c>
      <c r="H122" s="5"/>
      <c r="I122" s="5"/>
      <c r="J122" s="5"/>
      <c r="K122" s="5"/>
      <c r="L122" s="5"/>
      <c r="M122" s="5"/>
      <c r="N122" s="18"/>
      <c r="O122" s="18"/>
      <c r="P122" s="9"/>
      <c r="Q122" s="9"/>
      <c r="R122" s="1">
        <v>1973</v>
      </c>
      <c r="S122" s="6"/>
      <c r="T122" s="9"/>
      <c r="U122" s="5"/>
      <c r="V122" s="9"/>
      <c r="W122" s="115"/>
    </row>
    <row r="123" spans="1:29" x14ac:dyDescent="0.15">
      <c r="A123" s="1">
        <v>1974</v>
      </c>
      <c r="B123" s="5"/>
      <c r="C123" s="5"/>
      <c r="D123" s="5"/>
      <c r="E123" s="18"/>
      <c r="F123" s="5"/>
      <c r="G123" s="1">
        <v>1974</v>
      </c>
      <c r="H123" s="5"/>
      <c r="I123" s="5"/>
      <c r="J123" s="5"/>
      <c r="K123" s="5"/>
      <c r="L123" s="5"/>
      <c r="M123" s="5"/>
      <c r="N123" s="18"/>
      <c r="O123" s="18"/>
      <c r="P123" s="9"/>
      <c r="Q123" s="9"/>
      <c r="R123" s="1">
        <v>1974</v>
      </c>
      <c r="S123" s="6"/>
      <c r="T123" s="9"/>
      <c r="U123" s="5"/>
      <c r="V123" s="9"/>
      <c r="W123" s="115"/>
    </row>
    <row r="124" spans="1:29" x14ac:dyDescent="0.15">
      <c r="A124" s="1">
        <v>1975</v>
      </c>
      <c r="B124" s="5"/>
      <c r="C124" s="5"/>
      <c r="D124" s="5"/>
      <c r="E124" s="18"/>
      <c r="F124" s="5"/>
      <c r="G124" s="1">
        <v>1975</v>
      </c>
      <c r="H124" s="5"/>
      <c r="I124" s="5"/>
      <c r="J124" s="5"/>
      <c r="K124" s="5"/>
      <c r="L124" s="5"/>
      <c r="M124" s="5"/>
      <c r="N124" s="18"/>
      <c r="O124" s="18"/>
      <c r="P124" s="9"/>
      <c r="Q124" s="9"/>
      <c r="R124" s="1">
        <v>1975</v>
      </c>
      <c r="S124" s="6"/>
      <c r="T124" s="9"/>
      <c r="U124" s="5"/>
      <c r="V124" s="9"/>
      <c r="W124" s="115"/>
    </row>
    <row r="125" spans="1:29" x14ac:dyDescent="0.15">
      <c r="A125" s="1">
        <v>1976</v>
      </c>
      <c r="B125" s="5">
        <f>(K7*($E7/162))</f>
        <v>0</v>
      </c>
      <c r="C125" s="5">
        <f>(L7*($E7/162))</f>
        <v>0</v>
      </c>
      <c r="D125" s="5">
        <f>(M7*($E7/162))</f>
        <v>70.588235294117652</v>
      </c>
      <c r="E125" s="18">
        <f>B125+C125+D125</f>
        <v>70.588235294117652</v>
      </c>
      <c r="G125" s="1">
        <v>1976</v>
      </c>
      <c r="H125" s="409">
        <f>(O7/$R7*100*($E7/162))</f>
        <v>0</v>
      </c>
      <c r="I125" s="409"/>
      <c r="J125" s="409">
        <f>(P7/$R7*100*($E7/162))</f>
        <v>0</v>
      </c>
      <c r="K125" s="409"/>
      <c r="L125" s="409">
        <f>(Q7/$R7*100*($E7/162))</f>
        <v>100</v>
      </c>
      <c r="M125" s="409"/>
      <c r="N125" s="379">
        <f t="shared" ref="N125:N161" si="31">H125+J125+L125</f>
        <v>100</v>
      </c>
      <c r="O125" s="379"/>
      <c r="R125" s="1">
        <v>1976</v>
      </c>
      <c r="S125" s="5">
        <f>(O7*($E7/162))</f>
        <v>0</v>
      </c>
      <c r="T125" s="5">
        <f>(P7*($E7/162))</f>
        <v>0</v>
      </c>
      <c r="U125" s="5">
        <f>(Q7*($E7/162))</f>
        <v>40.700000000000003</v>
      </c>
      <c r="V125" s="5"/>
      <c r="W125" s="5">
        <f>S125+T125+U125</f>
        <v>40.700000000000003</v>
      </c>
      <c r="Y125" s="125" t="s">
        <v>1222</v>
      </c>
      <c r="Z125" s="125"/>
      <c r="AA125" s="125"/>
      <c r="AB125" s="125"/>
      <c r="AC125" s="125"/>
    </row>
    <row r="126" spans="1:29" x14ac:dyDescent="0.15">
      <c r="A126" s="1">
        <v>1977</v>
      </c>
      <c r="B126" s="5">
        <f>(K8*($E8/365))+(K9*($E9/365))</f>
        <v>0</v>
      </c>
      <c r="C126" s="5">
        <f>(L8*($E8/365))+(L9*($E9/365))</f>
        <v>0</v>
      </c>
      <c r="D126" s="5">
        <f>(M8*($E8/365))+(M9*($E9/365))</f>
        <v>70.588235294117652</v>
      </c>
      <c r="E126" s="18">
        <f t="shared" ref="E126:E160" si="32">B126+C126+D126</f>
        <v>70.588235294117652</v>
      </c>
      <c r="G126" s="1">
        <v>1977</v>
      </c>
      <c r="H126" s="409">
        <f>(O8/$R8*100*($E8/365))+(O9/$R9*100*($E9/365))</f>
        <v>0</v>
      </c>
      <c r="I126" s="409"/>
      <c r="J126" s="409">
        <f>(P8/$R8*100*($E8/365))+(P9/$R9*100*($E9/365))</f>
        <v>0</v>
      </c>
      <c r="K126" s="409"/>
      <c r="L126" s="409">
        <f>(Q8/$R8*100*($E8/365))+(Q9/$R9*100*($E9/365))</f>
        <v>100</v>
      </c>
      <c r="M126" s="409"/>
      <c r="N126" s="379">
        <f t="shared" si="31"/>
        <v>100</v>
      </c>
      <c r="O126" s="379"/>
      <c r="R126" s="1">
        <v>1977</v>
      </c>
      <c r="S126" s="5">
        <f>(O8*($E8/365))+(O9*($E9/365))</f>
        <v>0</v>
      </c>
      <c r="T126" s="5">
        <f>(P8*($E8/365))+(P9*($E9/365))</f>
        <v>0</v>
      </c>
      <c r="U126" s="5">
        <f>(Q8*($E8/365))+(Q9*($E9/365))</f>
        <v>40.700000000000003</v>
      </c>
      <c r="V126" s="5"/>
      <c r="W126" s="5">
        <f t="shared" ref="W126:W160" si="33">S126+T126+U126</f>
        <v>40.700000000000003</v>
      </c>
    </row>
    <row r="127" spans="1:29" x14ac:dyDescent="0.15">
      <c r="A127" s="1">
        <v>1978</v>
      </c>
      <c r="B127" s="5">
        <f>(K10*($E10/365))+(K11*($E11/365))+(K12*($E12/365))+(K13*($E13/365))</f>
        <v>10.83904109589041</v>
      </c>
      <c r="C127" s="5">
        <f>(L10*($E10/365))+(L11*($E11/365))+(L12*($E12/365))+(L13*($E13/365))</f>
        <v>0</v>
      </c>
      <c r="D127" s="5">
        <f>(M10*($E10/365))+(M11*($E11/365))+(M12*($E12/365))+(M13*($E13/365))</f>
        <v>34.512489927477844</v>
      </c>
      <c r="E127" s="18">
        <f t="shared" si="32"/>
        <v>45.351531023368253</v>
      </c>
      <c r="G127" s="1">
        <v>1978</v>
      </c>
      <c r="H127" s="409">
        <f>(O10/$R10*100*($E10/365))+(O11/$R11*100*($E11/365))</f>
        <v>16.312724988524074</v>
      </c>
      <c r="I127" s="409"/>
      <c r="J127" s="409">
        <f>(P10/$R10*100*($E10/365))+(P11/$R11*100*($E11/365))</f>
        <v>0</v>
      </c>
      <c r="K127" s="409"/>
      <c r="L127" s="409">
        <f>(Q10/$R10*100*($E10/365))+(Q11/$R11*100*($E11/365))</f>
        <v>49.440699669010172</v>
      </c>
      <c r="M127" s="409"/>
      <c r="N127" s="379">
        <f t="shared" si="31"/>
        <v>65.753424657534254</v>
      </c>
      <c r="O127" s="379"/>
      <c r="R127" s="1">
        <v>1978</v>
      </c>
      <c r="S127" s="5">
        <f>(O10*($E10/365))+(O11*($E11/365))+(O12*($E12/365))+(O13*($E13/365))</f>
        <v>9.24931506849315</v>
      </c>
      <c r="T127" s="5">
        <f>(P10*($E10/365))+(P11*($E11/365))+(P12*($E12/365))+(P13*($E13/365))</f>
        <v>0</v>
      </c>
      <c r="U127" s="5">
        <f>(Q10*($E10/365))+(Q11*($E11/365))+(Q12*($E12/365))+(Q13*($E13/365))</f>
        <v>26.761643835616439</v>
      </c>
      <c r="V127" s="5"/>
      <c r="W127" s="5">
        <f t="shared" si="33"/>
        <v>36.010958904109586</v>
      </c>
    </row>
    <row r="128" spans="1:29" x14ac:dyDescent="0.15">
      <c r="A128" s="1">
        <v>1979</v>
      </c>
      <c r="B128" s="5">
        <f>(K14*($E14/365))+(K15*($E15/365))</f>
        <v>0</v>
      </c>
      <c r="C128" s="5">
        <f>(L14*($E14/365))+(L15*($E15/365))</f>
        <v>0</v>
      </c>
      <c r="D128" s="5">
        <f>(M14*($E14/365))+(M15*($E15/365))</f>
        <v>0</v>
      </c>
      <c r="E128" s="18">
        <f t="shared" si="32"/>
        <v>0</v>
      </c>
      <c r="G128" s="1">
        <v>1979</v>
      </c>
      <c r="H128" s="409">
        <v>0</v>
      </c>
      <c r="I128" s="409"/>
      <c r="J128" s="409">
        <v>0</v>
      </c>
      <c r="K128" s="409"/>
      <c r="L128" s="409">
        <v>0</v>
      </c>
      <c r="M128" s="409"/>
      <c r="N128" s="379">
        <f>H128+J128+L128</f>
        <v>0</v>
      </c>
      <c r="O128" s="379"/>
      <c r="R128" s="1">
        <v>1979</v>
      </c>
      <c r="S128" s="5">
        <f>(O14*($E14/365))+(O15*($E15/365))</f>
        <v>0</v>
      </c>
      <c r="T128" s="5">
        <f>(P14*($E14/365))+(P15*($E15/365))</f>
        <v>0</v>
      </c>
      <c r="U128" s="5">
        <f>(Q14*($E14/365))+(Q15*($E15/365))</f>
        <v>0</v>
      </c>
      <c r="V128" s="5"/>
      <c r="W128" s="5">
        <f t="shared" si="33"/>
        <v>0</v>
      </c>
    </row>
    <row r="129" spans="1:23" x14ac:dyDescent="0.15">
      <c r="A129" s="1">
        <v>1980</v>
      </c>
      <c r="B129" s="5">
        <f>(K16*($E16/366))+(K17*($E17/366))</f>
        <v>86.193078324225866</v>
      </c>
      <c r="C129" s="5">
        <f>(L16*($E16/366))+(L17*($E17/366))</f>
        <v>0</v>
      </c>
      <c r="D129" s="5">
        <f>(M16*($E16/366))+(M17*($E17/366))</f>
        <v>0</v>
      </c>
      <c r="E129" s="18">
        <f t="shared" si="32"/>
        <v>86.193078324225866</v>
      </c>
      <c r="G129" s="1">
        <v>1980</v>
      </c>
      <c r="H129" s="409">
        <f>(O17/$R17*100*($E17/366))</f>
        <v>99.453551912568301</v>
      </c>
      <c r="I129" s="409"/>
      <c r="J129" s="409">
        <f>(P17/$R17*100*($E17/366))</f>
        <v>0</v>
      </c>
      <c r="K129" s="409"/>
      <c r="L129" s="409">
        <f>(Q17/$R17*100*($E17/366))</f>
        <v>0</v>
      </c>
      <c r="M129" s="409"/>
      <c r="N129" s="379">
        <f t="shared" si="31"/>
        <v>99.453551912568301</v>
      </c>
      <c r="O129" s="379"/>
      <c r="R129" s="1">
        <v>1980</v>
      </c>
      <c r="S129" s="5">
        <f>(O16*($E16/366))+(O17*($E17/366))</f>
        <v>52.312568306010931</v>
      </c>
      <c r="T129" s="5">
        <f>(P16*($E16/366))+(P17*($E17/366))</f>
        <v>0</v>
      </c>
      <c r="U129" s="5">
        <f>(Q16*($E16/366))+(Q17*($E17/366))</f>
        <v>0</v>
      </c>
      <c r="V129" s="5"/>
      <c r="W129" s="5">
        <f t="shared" si="33"/>
        <v>52.312568306010931</v>
      </c>
    </row>
    <row r="130" spans="1:23" x14ac:dyDescent="0.15">
      <c r="A130" s="1">
        <v>1981</v>
      </c>
      <c r="B130" s="5">
        <f>(K18*($E18/365))+(K19*($E19/365))+(K20*($E20/365))</f>
        <v>86.666666666666671</v>
      </c>
      <c r="C130" s="5">
        <f>(L18*($E18/365))+(L19*($E19/365))+(L20*($E20/365))</f>
        <v>0</v>
      </c>
      <c r="D130" s="5">
        <f>(M18*($E18/365))+(M19*($E19/365))+(M20*($E20/365))</f>
        <v>0</v>
      </c>
      <c r="E130" s="18">
        <f t="shared" si="32"/>
        <v>86.666666666666671</v>
      </c>
      <c r="G130" s="1">
        <v>1981</v>
      </c>
      <c r="H130" s="409">
        <f>(O18/$R18*100*($E18/365))+(O19/$R19*100*($E19/365))+(O20/$R20*100*($E20/365))</f>
        <v>99.999999999999986</v>
      </c>
      <c r="I130" s="409"/>
      <c r="J130" s="409">
        <f>(P18/$R18*100*($E18/365))+(P19/$R19*100*($E19/365))+(P20/$R20*100*($E20/365))</f>
        <v>0</v>
      </c>
      <c r="K130" s="409"/>
      <c r="L130" s="409">
        <f>(Q18/$R18*100*($E18/365))+(Q19/$R19*100*($E19/365))+(Q20/$R20*100*($E20/365))</f>
        <v>0</v>
      </c>
      <c r="M130" s="409"/>
      <c r="N130" s="379">
        <f t="shared" si="31"/>
        <v>99.999999999999986</v>
      </c>
      <c r="O130" s="379"/>
      <c r="R130" s="1">
        <v>1981</v>
      </c>
      <c r="S130" s="5">
        <f>(O18*($E18/365))+(O19*($E19/365))+(O20*($E20/365))</f>
        <v>52.6</v>
      </c>
      <c r="T130" s="5">
        <f>(P18*($E18/365))+(P19*($E19/365))+(P20*($E20/365))</f>
        <v>0</v>
      </c>
      <c r="U130" s="5">
        <f>(Q18*($E18/365))+(Q19*($E19/365))+(Q20*($E20/365))</f>
        <v>0</v>
      </c>
      <c r="V130" s="5"/>
      <c r="W130" s="5">
        <f t="shared" si="33"/>
        <v>52.6</v>
      </c>
    </row>
    <row r="131" spans="1:23" x14ac:dyDescent="0.15">
      <c r="A131" s="1">
        <v>1982</v>
      </c>
      <c r="B131" s="5">
        <f>(K21*($E21/365))+(K22*($E22/365))</f>
        <v>93.333333333333329</v>
      </c>
      <c r="C131" s="5">
        <f>(L21*($E21/365))+(L22*($E22/365))</f>
        <v>0</v>
      </c>
      <c r="D131" s="5">
        <f>(M21*($E21/365))+(M22*($E22/365))</f>
        <v>0</v>
      </c>
      <c r="E131" s="18">
        <f t="shared" si="32"/>
        <v>93.333333333333329</v>
      </c>
      <c r="G131" s="1">
        <v>1982</v>
      </c>
      <c r="H131" s="409">
        <f>(O21/$R21*100*($E21/365))+(O22/$R22*100*($E22/365))</f>
        <v>100</v>
      </c>
      <c r="I131" s="409"/>
      <c r="J131" s="409">
        <f>(P21/$R21*100*($E21/365))+(P22/$R22*100*($E22/365))</f>
        <v>0</v>
      </c>
      <c r="K131" s="409"/>
      <c r="L131" s="409">
        <f>(Q21/$R21*100*($E21/365))+(Q22/$R22*100*($E22/365))</f>
        <v>0</v>
      </c>
      <c r="M131" s="409"/>
      <c r="N131" s="379">
        <f t="shared" si="31"/>
        <v>100</v>
      </c>
      <c r="O131" s="379"/>
      <c r="R131" s="1">
        <v>1982</v>
      </c>
      <c r="S131" s="5">
        <f>(O21*($E21/365))+(O22*($E22/365))</f>
        <v>52.6</v>
      </c>
      <c r="T131" s="5">
        <f>(P21*($E21/365))+(P22*($E22/365))</f>
        <v>0</v>
      </c>
      <c r="U131" s="5">
        <f>(Q21*($E21/365))+(Q22*($E22/365))</f>
        <v>0</v>
      </c>
      <c r="V131" s="5"/>
      <c r="W131" s="5">
        <f t="shared" si="33"/>
        <v>52.6</v>
      </c>
    </row>
    <row r="132" spans="1:23" x14ac:dyDescent="0.15">
      <c r="A132" s="1">
        <v>1983</v>
      </c>
      <c r="B132" s="5">
        <f>(K23*($E23/365))+(K24*($E24/365))</f>
        <v>60.576954069298949</v>
      </c>
      <c r="C132" s="5">
        <f>(L23*($E23/365))+(L24*($E24/365))</f>
        <v>0</v>
      </c>
      <c r="D132" s="5">
        <f>(M23*($E23/365))+(M24*($E24/365))</f>
        <v>29.879129734085417</v>
      </c>
      <c r="E132" s="18">
        <f t="shared" si="32"/>
        <v>90.456083803384359</v>
      </c>
      <c r="G132" s="1">
        <v>1983</v>
      </c>
      <c r="H132" s="409">
        <f>(O23/$R23*100*($E23/365))+(O24/$R24*100*($E24/365))</f>
        <v>67.612079701120791</v>
      </c>
      <c r="I132" s="409"/>
      <c r="J132" s="409">
        <f>(P23/$R23*100*($E23/365))+(P24/$R24*100*($E24/365))</f>
        <v>0</v>
      </c>
      <c r="K132" s="409"/>
      <c r="L132" s="409">
        <f>(Q23/$R23*100*($E23/365))+(Q24/$R24*100*($E24/365))</f>
        <v>32.387920298879195</v>
      </c>
      <c r="M132" s="409"/>
      <c r="N132" s="379">
        <f t="shared" si="31"/>
        <v>99.999999999999986</v>
      </c>
      <c r="O132" s="379"/>
      <c r="R132" s="1">
        <v>1983</v>
      </c>
      <c r="S132" s="5">
        <f>(O23*($E23/365))+(O24*($E24/365))</f>
        <v>39.844931506849321</v>
      </c>
      <c r="T132" s="5">
        <f>(P23*($E23/365))+(P24*($E24/365))</f>
        <v>0</v>
      </c>
      <c r="U132" s="5">
        <f>(Q23*($E23/365))+(Q24*($E24/365))</f>
        <v>22.801095890410959</v>
      </c>
      <c r="V132" s="5"/>
      <c r="W132" s="5">
        <f t="shared" si="33"/>
        <v>62.646027397260283</v>
      </c>
    </row>
    <row r="133" spans="1:23" x14ac:dyDescent="0.15">
      <c r="A133" s="1">
        <v>1984</v>
      </c>
      <c r="B133" s="5">
        <f>(K25*($E25/366))+(K26*($E26/366))</f>
        <v>35.294117647058826</v>
      </c>
      <c r="C133" s="5">
        <f>(L25*($E25/366))+(L26*($E26/366))</f>
        <v>0</v>
      </c>
      <c r="D133" s="5">
        <f>(M25*($E25/366))+(M26*($E26/366))</f>
        <v>52.941176470588239</v>
      </c>
      <c r="E133" s="18">
        <f t="shared" si="32"/>
        <v>88.235294117647072</v>
      </c>
      <c r="G133" s="1">
        <v>1984</v>
      </c>
      <c r="H133" s="409">
        <f>(O25/$R25*100*($E25/366))+(O26/$R26*100*($E26/366))</f>
        <v>42.61363636363636</v>
      </c>
      <c r="I133" s="409"/>
      <c r="J133" s="409">
        <f>(P25/$R25*100*($E25/366))+(P26/$R26*100*($E26/366))</f>
        <v>0</v>
      </c>
      <c r="K133" s="409"/>
      <c r="L133" s="409">
        <f>(Q25/$R25*100*($E25/366))+(Q26/$R26*100*($E26/366))</f>
        <v>57.386363636363626</v>
      </c>
      <c r="M133" s="409"/>
      <c r="N133" s="379">
        <f t="shared" si="31"/>
        <v>99.999999999999986</v>
      </c>
      <c r="O133" s="379"/>
      <c r="R133" s="1">
        <v>1984</v>
      </c>
      <c r="S133" s="5">
        <f>(O25*($E25/366))+(O26*($E26/366))</f>
        <v>30</v>
      </c>
      <c r="T133" s="5">
        <f>(P25*($E25/366))+(P26*($E26/366))</f>
        <v>0</v>
      </c>
      <c r="U133" s="5">
        <f>(Q25*($E25/366))+(Q26*($E26/366))</f>
        <v>40.4</v>
      </c>
      <c r="V133" s="5"/>
      <c r="W133" s="5">
        <f t="shared" si="33"/>
        <v>70.400000000000006</v>
      </c>
    </row>
    <row r="134" spans="1:23" x14ac:dyDescent="0.15">
      <c r="A134" s="1">
        <v>1985</v>
      </c>
      <c r="B134" s="5">
        <f>(K27*($E27/365))+(K28*($E28/365))</f>
        <v>43.029814665592269</v>
      </c>
      <c r="C134" s="5">
        <f>(L27*($E27/365))+(L28*($E28/365))</f>
        <v>0</v>
      </c>
      <c r="D134" s="5">
        <f>(M27*($E27/365))+(M28*($E28/365))</f>
        <v>44.818694601128122</v>
      </c>
      <c r="E134" s="18">
        <f t="shared" si="32"/>
        <v>87.848509266720384</v>
      </c>
      <c r="G134" s="1">
        <v>1985</v>
      </c>
      <c r="H134" s="409">
        <f>(O27/$R27*100*($E27/365))+(O28/$R28*100*($E28/365))</f>
        <v>51.418119551681187</v>
      </c>
      <c r="I134" s="409"/>
      <c r="J134" s="409">
        <f>(P27/$R27*100*($E27/365))+(P28/$R28*100*($E28/365))</f>
        <v>0</v>
      </c>
      <c r="K134" s="409"/>
      <c r="L134" s="409">
        <f>(Q27/$R27*100*($E27/365))+(Q28/$R28*100*($E28/365))</f>
        <v>48.581880448318792</v>
      </c>
      <c r="M134" s="409"/>
      <c r="N134" s="379">
        <f t="shared" si="31"/>
        <v>99.999999999999972</v>
      </c>
      <c r="O134" s="379"/>
      <c r="R134" s="1">
        <v>1985</v>
      </c>
      <c r="S134" s="5">
        <f>(O27*($E27/365))+(O28*($E28/365))</f>
        <v>30.797808219178084</v>
      </c>
      <c r="T134" s="5">
        <f>(P27*($E27/365))+(P28*($E28/365))</f>
        <v>0</v>
      </c>
      <c r="U134" s="5">
        <f>(Q27*($E27/365))+(Q28*($E28/365))</f>
        <v>34.201643835616437</v>
      </c>
      <c r="V134" s="5"/>
      <c r="W134" s="5">
        <f t="shared" si="33"/>
        <v>64.999452054794517</v>
      </c>
    </row>
    <row r="135" spans="1:23" x14ac:dyDescent="0.15">
      <c r="A135" s="1">
        <v>1986</v>
      </c>
      <c r="B135" s="5">
        <f>(K29*($E29/365))+(K30*($E30/365))</f>
        <v>85.714285714285708</v>
      </c>
      <c r="C135" s="5">
        <f>(L29*($E29/365))+(L30*($E30/365))</f>
        <v>0</v>
      </c>
      <c r="D135" s="5">
        <f>(M29*($E29/365))+(M30*($E30/365))</f>
        <v>0</v>
      </c>
      <c r="E135" s="18">
        <f t="shared" si="32"/>
        <v>85.714285714285708</v>
      </c>
      <c r="G135" s="1">
        <v>1986</v>
      </c>
      <c r="H135" s="409">
        <f>(O29/$R29*100*($E29/365))+(O30/$R30*100*($E30/365))</f>
        <v>100</v>
      </c>
      <c r="I135" s="409"/>
      <c r="J135" s="409">
        <f>(P29/$R29*100*($E29/365))+(P30/$R30*100*($E30/365))</f>
        <v>0</v>
      </c>
      <c r="K135" s="409"/>
      <c r="L135" s="409">
        <f>(Q29/$R29*100*($E29/365))+(Q30/$R30*100*($E30/365))</f>
        <v>0</v>
      </c>
      <c r="M135" s="409"/>
      <c r="N135" s="379">
        <f t="shared" si="31"/>
        <v>100</v>
      </c>
      <c r="O135" s="379"/>
      <c r="R135" s="1">
        <v>1986</v>
      </c>
      <c r="S135" s="5">
        <f>(O29*($E29/365))+(O30*($E30/365))</f>
        <v>35.200000000000003</v>
      </c>
      <c r="T135" s="5">
        <f>(P29*($E29/365))+(P30*($E30/365))</f>
        <v>0</v>
      </c>
      <c r="U135" s="5">
        <f>(Q29*($E29/365))+(Q30*($E30/365))</f>
        <v>0</v>
      </c>
      <c r="V135" s="5"/>
      <c r="W135" s="5">
        <f t="shared" si="33"/>
        <v>35.200000000000003</v>
      </c>
    </row>
    <row r="136" spans="1:23" x14ac:dyDescent="0.15">
      <c r="A136" s="1">
        <v>1987</v>
      </c>
      <c r="B136" s="5">
        <f>(K31*($E31/365))+(K32*($E32/365))</f>
        <v>86.905849097629911</v>
      </c>
      <c r="C136" s="5">
        <f>(L31*($E31/365))+(L32*($E32/365))</f>
        <v>0</v>
      </c>
      <c r="D136" s="5">
        <f>(M31*($E31/365))+(M32*($E32/365))</f>
        <v>0</v>
      </c>
      <c r="E136" s="18">
        <f t="shared" si="32"/>
        <v>86.905849097629911</v>
      </c>
      <c r="G136" s="1">
        <v>1987</v>
      </c>
      <c r="H136" s="409">
        <f>(O31/$R31*100*($E31/365))+(O32/$R32*100*($E32/365))</f>
        <v>100</v>
      </c>
      <c r="I136" s="409"/>
      <c r="J136" s="409">
        <f>(P31/$R31*100*($E31/365))+(P32/$R32*100*($E32/365))</f>
        <v>0</v>
      </c>
      <c r="K136" s="409"/>
      <c r="L136" s="409">
        <f>(Q31/$R31*100*($E31/365))+(Q32/$R32*100*($E32/365))</f>
        <v>0</v>
      </c>
      <c r="M136" s="409"/>
      <c r="N136" s="379">
        <f t="shared" si="31"/>
        <v>100</v>
      </c>
      <c r="O136" s="379"/>
      <c r="R136" s="1">
        <v>1987</v>
      </c>
      <c r="S136" s="5">
        <f>(O31*($E31/365))+(O32*($E32/365))</f>
        <v>44.208219178082189</v>
      </c>
      <c r="T136" s="5">
        <f>(P31*($E31/365))+(P32*($E32/365))</f>
        <v>0</v>
      </c>
      <c r="U136" s="5">
        <f>(Q31*($E31/365))+(Q32*($E32/365))</f>
        <v>0</v>
      </c>
      <c r="V136" s="5"/>
      <c r="W136" s="5">
        <f t="shared" si="33"/>
        <v>44.208219178082189</v>
      </c>
    </row>
    <row r="137" spans="1:23" x14ac:dyDescent="0.15">
      <c r="A137" s="1">
        <v>1988</v>
      </c>
      <c r="B137" s="5">
        <f>(K33*($E33/366))+(K34*($E34/366))</f>
        <v>88.888888888888886</v>
      </c>
      <c r="C137" s="5">
        <f>(L33*($E33/366))+(L34*($E34/366))</f>
        <v>0</v>
      </c>
      <c r="D137" s="5">
        <f>(M33*($E33/366))+(M34*($E34/366))</f>
        <v>0</v>
      </c>
      <c r="E137" s="18">
        <f t="shared" si="32"/>
        <v>88.888888888888886</v>
      </c>
      <c r="G137" s="1">
        <v>1988</v>
      </c>
      <c r="H137" s="409">
        <f>(O33/$R33*100*($E33/366))+(O34/$R34*100*($E34/366))</f>
        <v>100</v>
      </c>
      <c r="I137" s="409"/>
      <c r="J137" s="409">
        <f>(P33/$R33*100*($E33/366))+(P34/$R34*100*($E34/366))</f>
        <v>0</v>
      </c>
      <c r="K137" s="409"/>
      <c r="L137" s="409">
        <f>(Q33/$R33*100*($E33/366))+(Q34/$R34*100*($E34/366))</f>
        <v>0</v>
      </c>
      <c r="M137" s="409"/>
      <c r="N137" s="379">
        <f t="shared" si="31"/>
        <v>100</v>
      </c>
      <c r="O137" s="379"/>
      <c r="R137" s="1">
        <v>1988</v>
      </c>
      <c r="S137" s="5">
        <f>(O33*($E33/366))+(O34*($E34/366))</f>
        <v>59.2</v>
      </c>
      <c r="T137" s="5">
        <f>(P33*($E33/366))+(P34*($E34/366))</f>
        <v>0</v>
      </c>
      <c r="U137" s="5">
        <f>(Q33*($E33/366))+(Q34*($E34/366))</f>
        <v>0</v>
      </c>
      <c r="V137" s="5"/>
      <c r="W137" s="5">
        <f t="shared" si="33"/>
        <v>59.2</v>
      </c>
    </row>
    <row r="138" spans="1:23" x14ac:dyDescent="0.15">
      <c r="A138" s="1">
        <v>1989</v>
      </c>
      <c r="B138" s="5">
        <f>(K35*($E35/365))+(K36*($E36/365))</f>
        <v>88.888888888888886</v>
      </c>
      <c r="C138" s="5">
        <f>(L35*($E35/365))+(L36*($E36/365))</f>
        <v>0</v>
      </c>
      <c r="D138" s="5">
        <f>(M35*($E35/365))+(M36*($E36/365))</f>
        <v>0</v>
      </c>
      <c r="E138" s="18">
        <f t="shared" si="32"/>
        <v>88.888888888888886</v>
      </c>
      <c r="G138" s="1">
        <v>1989</v>
      </c>
      <c r="H138" s="409">
        <f>(O35/$R35*100*($E35/365))+(O36/$R36*100*($E36/365))</f>
        <v>100</v>
      </c>
      <c r="I138" s="409"/>
      <c r="J138" s="409">
        <f>(P35/$R35*100*($E35/365))+(P36/$R36*100*($E36/365))</f>
        <v>0</v>
      </c>
      <c r="K138" s="409"/>
      <c r="L138" s="409">
        <f>(Q35/$R35*100*($E35/365))+(Q36/$R36*100*($E36/365))</f>
        <v>0</v>
      </c>
      <c r="M138" s="409"/>
      <c r="N138" s="379">
        <f t="shared" si="31"/>
        <v>100</v>
      </c>
      <c r="O138" s="379"/>
      <c r="R138" s="1">
        <v>1989</v>
      </c>
      <c r="S138" s="5">
        <f>(O35*($E35/365))+(O36*($E36/365))</f>
        <v>59.2</v>
      </c>
      <c r="T138" s="5">
        <f>(P35*($E35/365))+(P36*($E36/365))</f>
        <v>0</v>
      </c>
      <c r="U138" s="5">
        <f>(Q35*($E35/365))+(Q36*($E36/365))</f>
        <v>0</v>
      </c>
      <c r="V138" s="5"/>
      <c r="W138" s="5">
        <f t="shared" si="33"/>
        <v>59.2</v>
      </c>
    </row>
    <row r="139" spans="1:23" x14ac:dyDescent="0.15">
      <c r="A139" s="1">
        <v>1990</v>
      </c>
      <c r="B139" s="5">
        <f>(K37*($E37/365))+(K38*($E38/365))</f>
        <v>88.888888888888886</v>
      </c>
      <c r="C139" s="5">
        <f>(L37*($E37/365))+(L38*($E38/365))</f>
        <v>0</v>
      </c>
      <c r="D139" s="5">
        <f>(M37*($E37/365))+(M38*($E38/365))</f>
        <v>0</v>
      </c>
      <c r="E139" s="18">
        <f t="shared" si="32"/>
        <v>88.888888888888886</v>
      </c>
      <c r="G139" s="1">
        <v>1990</v>
      </c>
      <c r="H139" s="409">
        <f>(O37/$R37*100*($E37/365))+(O38/$R38*100*($E38/365))</f>
        <v>100</v>
      </c>
      <c r="I139" s="409"/>
      <c r="J139" s="409">
        <f>(P37/$R37*100*($E37/365))+(P38/$R38*100*($E38/365))</f>
        <v>0</v>
      </c>
      <c r="K139" s="409"/>
      <c r="L139" s="409">
        <f>(Q37/$R37*100*($E37/365))+(Q38/$R38*100*($E38/365))</f>
        <v>0</v>
      </c>
      <c r="M139" s="409"/>
      <c r="N139" s="379">
        <f t="shared" si="31"/>
        <v>100</v>
      </c>
      <c r="O139" s="379"/>
      <c r="R139" s="1">
        <v>1990</v>
      </c>
      <c r="S139" s="5">
        <f>(O37*($E37/365))+(O38*($E38/365))</f>
        <v>59.2</v>
      </c>
      <c r="T139" s="5">
        <f>(P37*($E37/365))+(P38*($E38/365))</f>
        <v>0</v>
      </c>
      <c r="U139" s="5">
        <f>(Q37*($E37/365))+(Q38*($E38/365))</f>
        <v>0</v>
      </c>
      <c r="V139" s="5"/>
      <c r="W139" s="5">
        <f t="shared" si="33"/>
        <v>59.2</v>
      </c>
    </row>
    <row r="140" spans="1:23" x14ac:dyDescent="0.15">
      <c r="A140" s="1">
        <v>1991</v>
      </c>
      <c r="B140" s="5">
        <f>(K39*($E39/365))+(K40*($E40/365))</f>
        <v>88.988223984619083</v>
      </c>
      <c r="C140" s="5">
        <f>(L39*($E39/365))+(L40*($E40/365))</f>
        <v>0</v>
      </c>
      <c r="D140" s="5">
        <f>(M39*($E39/365))+(M40*($E40/365))</f>
        <v>0</v>
      </c>
      <c r="E140" s="18">
        <f t="shared" si="32"/>
        <v>88.988223984619083</v>
      </c>
      <c r="G140" s="1">
        <v>1991</v>
      </c>
      <c r="H140" s="409">
        <f>(O39/$R39*100*($E39/365))+(O40/$R40*100*($E40/365))</f>
        <v>100</v>
      </c>
      <c r="I140" s="409"/>
      <c r="J140" s="409">
        <f>(P39/$R39*100*($E39/365))+(P40/$R40*100*($E40/365))</f>
        <v>0</v>
      </c>
      <c r="K140" s="409"/>
      <c r="L140" s="409">
        <f>(Q39/$R39*100*($E39/365))+(Q40/$R40*100*($E40/365))</f>
        <v>0</v>
      </c>
      <c r="M140" s="409"/>
      <c r="N140" s="379">
        <f t="shared" si="31"/>
        <v>100</v>
      </c>
      <c r="O140" s="379"/>
      <c r="R140" s="1">
        <v>1991</v>
      </c>
      <c r="S140" s="5">
        <f>(O39*($E39/365))+(O40*($E40/365))</f>
        <v>59.064109589041102</v>
      </c>
      <c r="T140" s="5">
        <f>(P39*($E39/365))+(P40*($E40/365))</f>
        <v>0</v>
      </c>
      <c r="U140" s="5">
        <f>(Q39*($E39/365))+(Q40*($E40/365))</f>
        <v>0</v>
      </c>
      <c r="V140" s="5"/>
      <c r="W140" s="5">
        <f t="shared" si="33"/>
        <v>59.064109589041102</v>
      </c>
    </row>
    <row r="141" spans="1:23" x14ac:dyDescent="0.15">
      <c r="A141" s="1">
        <v>1992</v>
      </c>
      <c r="B141" s="5">
        <f>(K41*($E41/366))+(K42*($E42/366))</f>
        <v>89.473684210526315</v>
      </c>
      <c r="C141" s="5">
        <f>(L41*($E41/366))+(L42*($E42/366))</f>
        <v>0</v>
      </c>
      <c r="D141" s="5">
        <f>(M41*($E41/366))+(M42*($E42/366))</f>
        <v>0</v>
      </c>
      <c r="E141" s="18">
        <f t="shared" si="32"/>
        <v>89.473684210526315</v>
      </c>
      <c r="G141" s="1">
        <v>1992</v>
      </c>
      <c r="H141" s="409">
        <f>(O41/$R41*100*($E41/366))+(O42/$R42*100*($E42/366))</f>
        <v>100</v>
      </c>
      <c r="I141" s="409"/>
      <c r="J141" s="409">
        <f>(P41/$R41*100*($E41/366))+(P42/$R42*100*($E42/366))</f>
        <v>0</v>
      </c>
      <c r="K141" s="409"/>
      <c r="L141" s="409">
        <f>(Q41/$R41*100*($E41/366))+(Q42/$R42*100*($E42/366))</f>
        <v>0</v>
      </c>
      <c r="M141" s="409"/>
      <c r="N141" s="379">
        <f t="shared" si="31"/>
        <v>100</v>
      </c>
      <c r="O141" s="379"/>
      <c r="R141" s="1">
        <v>1992</v>
      </c>
      <c r="S141" s="5">
        <f>(O41*($E41/366))+(O42*($E42/366))</f>
        <v>58.4</v>
      </c>
      <c r="T141" s="5">
        <f>(P41*($E41/366))+(P42*($E42/366))</f>
        <v>0</v>
      </c>
      <c r="U141" s="5">
        <f>(Q41*($E41/366))+(Q42*($E42/366))</f>
        <v>0</v>
      </c>
      <c r="V141" s="5"/>
      <c r="W141" s="5">
        <f t="shared" si="33"/>
        <v>58.4</v>
      </c>
    </row>
    <row r="142" spans="1:23" x14ac:dyDescent="0.15">
      <c r="A142" s="1">
        <v>1993</v>
      </c>
      <c r="B142" s="5">
        <f>(K43*($E43/365))+(K44*($E44/365))</f>
        <v>89.473684210526315</v>
      </c>
      <c r="C142" s="5">
        <f>(L43*($E43/365))+(L44*($E44/365))</f>
        <v>0</v>
      </c>
      <c r="D142" s="5">
        <f>(M43*($E43/365))+(M44*($E44/365))</f>
        <v>0</v>
      </c>
      <c r="E142" s="18">
        <f t="shared" si="32"/>
        <v>89.473684210526315</v>
      </c>
      <c r="G142" s="1">
        <v>1993</v>
      </c>
      <c r="H142" s="409">
        <f>(O43/$R43*100*($E43/365))+(O44/$R44*100*($E44/365))</f>
        <v>100</v>
      </c>
      <c r="I142" s="409"/>
      <c r="J142" s="409">
        <f>(P43/$R43*100*($E43/365))+(P44/$R44*100*($E44/365))</f>
        <v>0</v>
      </c>
      <c r="K142" s="409"/>
      <c r="L142" s="409">
        <f>(Q43/$R43*100*($E43/365))+(Q44/$R44*100*($E44/365))</f>
        <v>0</v>
      </c>
      <c r="M142" s="409"/>
      <c r="N142" s="379">
        <f t="shared" si="31"/>
        <v>100</v>
      </c>
      <c r="O142" s="379"/>
      <c r="R142" s="1">
        <v>1993</v>
      </c>
      <c r="S142" s="5">
        <f>(O43*($E43/365))+(O44*($E44/365))</f>
        <v>58.4</v>
      </c>
      <c r="T142" s="5">
        <f>(P43*($E43/365))+(P44*($E44/365))</f>
        <v>0</v>
      </c>
      <c r="U142" s="5">
        <f>(Q43*($E43/365))+(Q44*($E44/365))</f>
        <v>0</v>
      </c>
      <c r="V142" s="5"/>
      <c r="W142" s="5">
        <f t="shared" si="33"/>
        <v>58.4</v>
      </c>
    </row>
    <row r="143" spans="1:23" x14ac:dyDescent="0.15">
      <c r="A143" s="1">
        <v>1994</v>
      </c>
      <c r="B143" s="5">
        <f>(K45*($E45/365))+(K46*($E46/365))</f>
        <v>89.473684210526315</v>
      </c>
      <c r="C143" s="5">
        <f>(L45*($E45/365))+(L46*($E46/365))</f>
        <v>0</v>
      </c>
      <c r="D143" s="5">
        <f>(M45*($E45/365))+(M46*($E46/365))</f>
        <v>0</v>
      </c>
      <c r="E143" s="18">
        <f t="shared" si="32"/>
        <v>89.473684210526315</v>
      </c>
      <c r="G143" s="1">
        <v>1994</v>
      </c>
      <c r="H143" s="409">
        <f>(O45/$R45*100*($E45/365))+(O46/$R46*100*($E46/365))</f>
        <v>100</v>
      </c>
      <c r="I143" s="409"/>
      <c r="J143" s="409">
        <f>(P45/$R45*100*($E45/365))+(P46/$R46*100*($E46/365))</f>
        <v>0</v>
      </c>
      <c r="K143" s="409"/>
      <c r="L143" s="409">
        <f>(Q45/$R45*100*($E45/365))+(Q46/$R46*100*($E46/365))</f>
        <v>0</v>
      </c>
      <c r="M143" s="409"/>
      <c r="N143" s="379">
        <f t="shared" si="31"/>
        <v>100</v>
      </c>
      <c r="O143" s="379"/>
      <c r="R143" s="1">
        <v>1994</v>
      </c>
      <c r="S143" s="5">
        <f>(O45*($E45/365))+(O46*($E46/365))</f>
        <v>58.4</v>
      </c>
      <c r="T143" s="5">
        <f>(P45*($E45/365))+(P46*($E46/365))</f>
        <v>0</v>
      </c>
      <c r="U143" s="5">
        <f>(Q45*($E45/365))+(Q46*($E46/365))</f>
        <v>0</v>
      </c>
      <c r="V143" s="5"/>
      <c r="W143" s="5">
        <f t="shared" si="33"/>
        <v>58.4</v>
      </c>
    </row>
    <row r="144" spans="1:23" x14ac:dyDescent="0.15">
      <c r="A144" s="1">
        <v>1995</v>
      </c>
      <c r="B144" s="5">
        <f>(K47*($E47/365))+(K48*($E48/365))</f>
        <v>73.059360730593596</v>
      </c>
      <c r="C144" s="5">
        <f>(L47*($E47/365))+(L48*($E48/365))</f>
        <v>0</v>
      </c>
      <c r="D144" s="5">
        <f>(M47*($E47/365))+(M48*($E48/365))</f>
        <v>13.850837138508371</v>
      </c>
      <c r="E144" s="18">
        <f t="shared" si="32"/>
        <v>86.910197869101964</v>
      </c>
      <c r="G144" s="1">
        <v>1995</v>
      </c>
      <c r="H144" s="409">
        <f>(O47/$R47*100*($E47/365))+(O48/$R48*100*($E48/365))</f>
        <v>82.191780821917803</v>
      </c>
      <c r="I144" s="409"/>
      <c r="J144" s="409">
        <f>(P47/$R47*100*($E47/365))+(P48/$R48*100*($E48/365))</f>
        <v>0</v>
      </c>
      <c r="K144" s="409"/>
      <c r="L144" s="409">
        <f>(Q47/$R47*100*($E47/365))+(Q48/$R48*100*($E48/365))</f>
        <v>17.80821917808219</v>
      </c>
      <c r="M144" s="409"/>
      <c r="N144" s="379">
        <f t="shared" si="31"/>
        <v>100</v>
      </c>
      <c r="O144" s="379"/>
      <c r="R144" s="1">
        <v>1995</v>
      </c>
      <c r="S144" s="5">
        <f>(O47*($E47/365))+(O48*($E48/365))</f>
        <v>47.999999999999993</v>
      </c>
      <c r="T144" s="5">
        <f>(P47*($E47/365))+(P48*($E48/365))</f>
        <v>0</v>
      </c>
      <c r="U144" s="5">
        <f>(Q47*($E47/365))+(Q48*($E48/365))</f>
        <v>8.6726027397260275</v>
      </c>
      <c r="V144" s="5"/>
      <c r="W144" s="5">
        <f t="shared" si="33"/>
        <v>56.672602739726017</v>
      </c>
    </row>
    <row r="145" spans="1:23" x14ac:dyDescent="0.15">
      <c r="A145" s="1">
        <v>1996</v>
      </c>
      <c r="B145" s="5">
        <f>(K49*($E49/366))+(K50*($E50/366))</f>
        <v>0</v>
      </c>
      <c r="C145" s="5">
        <f>(L49*($E49/366))+(L50*($E50/366))</f>
        <v>0</v>
      </c>
      <c r="D145" s="5">
        <f>(M49*($E49/366))+(M50*($E50/366))</f>
        <v>77.777777777777786</v>
      </c>
      <c r="E145" s="18">
        <f t="shared" si="32"/>
        <v>77.777777777777786</v>
      </c>
      <c r="G145" s="1">
        <v>1996</v>
      </c>
      <c r="H145" s="409">
        <f>(O49/$R49*100*($E49/366))+(O50/$R50*100*($E50/366))</f>
        <v>0</v>
      </c>
      <c r="I145" s="409"/>
      <c r="J145" s="409">
        <f>(P49/$R49*100*($E49/366))+(P50/$R50*100*($E50/366))</f>
        <v>0</v>
      </c>
      <c r="K145" s="409"/>
      <c r="L145" s="409">
        <f>(Q49/$R49*100*($E49/366))+(Q50/$R50*100*($E50/366))</f>
        <v>100</v>
      </c>
      <c r="M145" s="409"/>
      <c r="N145" s="379">
        <f t="shared" si="31"/>
        <v>100</v>
      </c>
      <c r="O145" s="379"/>
      <c r="R145" s="1">
        <v>1996</v>
      </c>
      <c r="S145" s="5">
        <f>(O49*($E49/366))+(O50*($E50/366))</f>
        <v>0</v>
      </c>
      <c r="T145" s="5">
        <f>(P49*($E49/366))+(P50*($E50/366))</f>
        <v>0</v>
      </c>
      <c r="U145" s="5">
        <f>(Q49*($E49/366))+(Q50*($E50/366))</f>
        <v>48.7</v>
      </c>
      <c r="V145" s="5"/>
      <c r="W145" s="5">
        <f t="shared" si="33"/>
        <v>48.7</v>
      </c>
    </row>
    <row r="146" spans="1:23" x14ac:dyDescent="0.15">
      <c r="A146" s="1">
        <v>1997</v>
      </c>
      <c r="B146" s="5">
        <f>(K51*($E51/365))+(K52*($E52/365))</f>
        <v>0</v>
      </c>
      <c r="C146" s="5">
        <f>(L51*($E51/365))+(L52*($E52/365))</f>
        <v>0</v>
      </c>
      <c r="D146" s="5">
        <f>(M51*($E51/365))+(M52*($E52/365))</f>
        <v>77.066881547139388</v>
      </c>
      <c r="E146" s="18">
        <f t="shared" si="32"/>
        <v>77.066881547139388</v>
      </c>
      <c r="G146" s="1">
        <v>1997</v>
      </c>
      <c r="H146" s="409">
        <f>(O51/$R51*100*($E51/365))+(O52/$R52*100*($E52/365))</f>
        <v>0</v>
      </c>
      <c r="I146" s="409"/>
      <c r="J146" s="409">
        <f>(P51/$R51*100*($E51/365))+(P52/$R52*100*($E52/365))</f>
        <v>0</v>
      </c>
      <c r="K146" s="409"/>
      <c r="L146" s="409">
        <f>(Q51/$R51*100*($E51/365))+(Q52/$R52*100*($E52/365))</f>
        <v>100</v>
      </c>
      <c r="M146" s="409"/>
      <c r="N146" s="379">
        <f t="shared" si="31"/>
        <v>100</v>
      </c>
      <c r="O146" s="379"/>
      <c r="R146" s="1">
        <v>1997</v>
      </c>
      <c r="S146" s="5">
        <f>(O51*($E51/365))+(O52*($E52/365))</f>
        <v>0</v>
      </c>
      <c r="T146" s="5">
        <f>(P51*($E51/365))+(P52*($E52/365))</f>
        <v>0</v>
      </c>
      <c r="U146" s="5">
        <f>(Q51*($E51/365))+(Q52*($E52/365))</f>
        <v>48.7</v>
      </c>
      <c r="V146" s="5"/>
      <c r="W146" s="5">
        <f t="shared" si="33"/>
        <v>48.7</v>
      </c>
    </row>
    <row r="147" spans="1:23" x14ac:dyDescent="0.15">
      <c r="A147" s="1">
        <v>1998</v>
      </c>
      <c r="B147" s="5">
        <f>(K53*($E53/365))+(K54*($E54/365))</f>
        <v>0</v>
      </c>
      <c r="C147" s="5">
        <f>(L53*($E53/365))+(L54*($E54/365))</f>
        <v>0</v>
      </c>
      <c r="D147" s="5">
        <f>(M53*($E53/365))+(M54*($E54/365))</f>
        <v>82.35294117647058</v>
      </c>
      <c r="E147" s="18">
        <f t="shared" si="32"/>
        <v>82.35294117647058</v>
      </c>
      <c r="G147" s="1">
        <v>1998</v>
      </c>
      <c r="H147" s="409">
        <f>(O53/$R53*100*($E53/365))+(O54/$R54*100*($E54/365))</f>
        <v>0</v>
      </c>
      <c r="I147" s="409"/>
      <c r="J147" s="409">
        <f>(P53/$R53*100*($E53/365))+(P54/$R54*100*($E54/365))</f>
        <v>0</v>
      </c>
      <c r="K147" s="409"/>
      <c r="L147" s="409">
        <f>(Q53/$R53*100*($E53/365))+(Q54/$R54*100*($E54/365))</f>
        <v>100</v>
      </c>
      <c r="M147" s="409"/>
      <c r="N147" s="379">
        <f t="shared" si="31"/>
        <v>100</v>
      </c>
      <c r="O147" s="379"/>
      <c r="R147" s="1">
        <v>1998</v>
      </c>
      <c r="S147" s="5">
        <f>(O53*($E53/365))+(O54*($E54/365))</f>
        <v>0</v>
      </c>
      <c r="T147" s="5">
        <f>(P53*($E53/365))+(P54*($E54/365))</f>
        <v>0</v>
      </c>
      <c r="U147" s="5">
        <f>(Q53*($E53/365))+(Q54*($E54/365))</f>
        <v>48.7</v>
      </c>
      <c r="V147" s="5"/>
      <c r="W147" s="5">
        <f t="shared" si="33"/>
        <v>48.7</v>
      </c>
    </row>
    <row r="148" spans="1:23" x14ac:dyDescent="0.15">
      <c r="A148" s="1">
        <v>1999</v>
      </c>
      <c r="B148" s="5">
        <f>(K55*($E55/365))+(K56*($E56/365))</f>
        <v>0</v>
      </c>
      <c r="C148" s="5">
        <f>(L55*($E55/365))+(L56*($E56/365))</f>
        <v>0</v>
      </c>
      <c r="D148" s="5">
        <f>(M55*($E55/365))+(M56*($E56/365))</f>
        <v>84.795792866533773</v>
      </c>
      <c r="E148" s="18">
        <f t="shared" si="32"/>
        <v>84.795792866533773</v>
      </c>
      <c r="G148" s="1">
        <v>1999</v>
      </c>
      <c r="H148" s="409">
        <f>(O55/$R55*100*($E55/365))+(O56/$R56*100*($E56/365))</f>
        <v>0</v>
      </c>
      <c r="I148" s="409"/>
      <c r="J148" s="409">
        <f>(P55/$R55*100*($E55/365))+(P56/$R56*100*($E56/365))</f>
        <v>0</v>
      </c>
      <c r="K148" s="409"/>
      <c r="L148" s="409">
        <f>(Q55/$R55*100*($E55/365))+(Q56/$R56*100*($E56/365))</f>
        <v>100</v>
      </c>
      <c r="M148" s="409"/>
      <c r="N148" s="379">
        <f t="shared" si="31"/>
        <v>100</v>
      </c>
      <c r="O148" s="379"/>
      <c r="R148" s="1">
        <v>1999</v>
      </c>
      <c r="S148" s="5">
        <f>(O55*($E55/365))+(O56*($E56/365))</f>
        <v>0</v>
      </c>
      <c r="T148" s="5">
        <f>(P55*($E55/365))+(P56*($E56/365))</f>
        <v>0</v>
      </c>
      <c r="U148" s="5">
        <f>(Q55*($E55/365))+(Q56*($E56/365))</f>
        <v>48.956438356164384</v>
      </c>
      <c r="V148" s="5"/>
      <c r="W148" s="5">
        <f t="shared" si="33"/>
        <v>48.956438356164384</v>
      </c>
    </row>
    <row r="149" spans="1:23" x14ac:dyDescent="0.15">
      <c r="A149" s="1">
        <v>2000</v>
      </c>
      <c r="B149" s="5">
        <f>(K57*($E57/366))+(K58*($E58/366))</f>
        <v>0</v>
      </c>
      <c r="C149" s="5">
        <f>(L57*($E57/366))+(L58*($E58/366))</f>
        <v>0</v>
      </c>
      <c r="D149" s="5">
        <f>(M57*($E57/366))+(M58*($E58/366))</f>
        <v>69.672131147540981</v>
      </c>
      <c r="E149" s="18">
        <f t="shared" si="32"/>
        <v>69.672131147540981</v>
      </c>
      <c r="G149" s="1">
        <v>2000</v>
      </c>
      <c r="H149" s="409">
        <f>(O57/$R57*100*($E57/366))+(O58/$R58*100*($E58/366))</f>
        <v>0</v>
      </c>
      <c r="I149" s="409"/>
      <c r="J149" s="409">
        <f>(P57/$R57*100*($E57/366))+(P58/$R58*100*($E58/366))</f>
        <v>0</v>
      </c>
      <c r="K149" s="409"/>
      <c r="L149" s="409">
        <f>(Q57/$R57*100*($E57/366))+(Q58/$R58*100*($E58/366))</f>
        <v>100</v>
      </c>
      <c r="M149" s="409"/>
      <c r="N149" s="379">
        <f t="shared" si="31"/>
        <v>100</v>
      </c>
      <c r="O149" s="379"/>
      <c r="R149" s="1">
        <v>2000</v>
      </c>
      <c r="S149" s="5">
        <f>(O57*($E57/366))+(O58*($E58/366))</f>
        <v>0</v>
      </c>
      <c r="T149" s="5">
        <f>(P57*($E57/366))+(P58*($E58/366))</f>
        <v>0</v>
      </c>
      <c r="U149" s="5">
        <f>(Q57*($E57/366))+(Q58*($E58/366))</f>
        <v>50</v>
      </c>
      <c r="V149" s="5"/>
      <c r="W149" s="5">
        <f t="shared" si="33"/>
        <v>50</v>
      </c>
    </row>
    <row r="150" spans="1:23" x14ac:dyDescent="0.15">
      <c r="A150" s="1">
        <v>2001</v>
      </c>
      <c r="B150" s="5">
        <f>(K59*($E59/365))+(K60*($E60/365))</f>
        <v>0</v>
      </c>
      <c r="C150" s="5">
        <f>(L59*($E59/365))+(L60*($E60/365))</f>
        <v>0</v>
      </c>
      <c r="D150" s="5">
        <f>(M59*($E59/365))+(M60*($E60/365))</f>
        <v>57.894736842105267</v>
      </c>
      <c r="E150" s="18">
        <f t="shared" si="32"/>
        <v>57.894736842105267</v>
      </c>
      <c r="G150" s="1">
        <v>2001</v>
      </c>
      <c r="H150" s="409">
        <f>(O59/$R59*100*($E59/365))+(O60/$R60*100*($E60/365))</f>
        <v>0</v>
      </c>
      <c r="I150" s="409"/>
      <c r="J150" s="409">
        <f>(P59/$R59*100*($E59/365))+(P60/$R60*100*($E60/365))</f>
        <v>0</v>
      </c>
      <c r="K150" s="409"/>
      <c r="L150" s="409">
        <f>(Q59/$R59*100*($E59/365))+(Q60/$R60*100*($E60/365))</f>
        <v>100</v>
      </c>
      <c r="M150" s="409"/>
      <c r="N150" s="379">
        <f t="shared" si="31"/>
        <v>100</v>
      </c>
      <c r="O150" s="379"/>
      <c r="R150" s="1">
        <v>2001</v>
      </c>
      <c r="S150" s="5">
        <f>(O59*($E59/365))+(O60*($E60/365))</f>
        <v>0</v>
      </c>
      <c r="T150" s="5">
        <f>(P59*($E59/365))+(P60*($E60/365))</f>
        <v>0</v>
      </c>
      <c r="U150" s="5">
        <f>(Q59*($E59/365))+(Q60*($E60/365))</f>
        <v>50</v>
      </c>
      <c r="V150" s="5"/>
      <c r="W150" s="5">
        <f t="shared" si="33"/>
        <v>50</v>
      </c>
    </row>
    <row r="151" spans="1:23" x14ac:dyDescent="0.15">
      <c r="A151" s="1">
        <v>2002</v>
      </c>
      <c r="B151" s="5">
        <f>(K61*($E61/365))+(K62*($E62/365))</f>
        <v>69.345509893455102</v>
      </c>
      <c r="C151" s="5">
        <f>(L61*($E61/365))+(L62*($E62/365))</f>
        <v>0</v>
      </c>
      <c r="D151" s="5">
        <f>(M61*($E61/365))+(M62*($E62/365))</f>
        <v>15.385724585436195</v>
      </c>
      <c r="E151" s="18">
        <f t="shared" si="32"/>
        <v>84.731234478891295</v>
      </c>
      <c r="G151" s="1">
        <v>2002</v>
      </c>
      <c r="H151" s="409">
        <f>(O61/$R61*100*($E61/365))+(O62/$R62*100*($E62/365))</f>
        <v>73.424657534246577</v>
      </c>
      <c r="I151" s="409"/>
      <c r="J151" s="409">
        <f>(P61/$R61*100*($E61/365))+(P62/$R62*100*($E62/365))</f>
        <v>0</v>
      </c>
      <c r="K151" s="409"/>
      <c r="L151" s="409">
        <f>(Q61/$R61*100*($E61/365))+(Q62/$R62*100*($E62/365))</f>
        <v>26.575342465753426</v>
      </c>
      <c r="M151" s="409"/>
      <c r="N151" s="379">
        <f t="shared" si="31"/>
        <v>100</v>
      </c>
      <c r="O151" s="379"/>
      <c r="R151" s="1">
        <v>2002</v>
      </c>
      <c r="S151" s="5">
        <f>(O61*($E61/365))+(O62*($E62/365))</f>
        <v>38.033972602739723</v>
      </c>
      <c r="T151" s="5">
        <f>(P61*($E61/365))+(P62*($E62/365))</f>
        <v>0</v>
      </c>
      <c r="U151" s="5">
        <f>(Q61*($E61/365))+(Q62*($E62/365))</f>
        <v>13.287671232876713</v>
      </c>
      <c r="V151" s="5"/>
      <c r="W151" s="5">
        <f t="shared" si="33"/>
        <v>51.321643835616435</v>
      </c>
    </row>
    <row r="152" spans="1:23" x14ac:dyDescent="0.15">
      <c r="A152" s="1">
        <v>2003</v>
      </c>
      <c r="B152" s="5">
        <f>(K63*($E63/365))+(K64*($E64/365))</f>
        <v>94.444444444444443</v>
      </c>
      <c r="C152" s="5">
        <f>(L63*($E63/365))+(L64*($E64/365))</f>
        <v>0</v>
      </c>
      <c r="D152" s="5">
        <f>(M63*($E63/365))+(M64*($E64/365))</f>
        <v>0</v>
      </c>
      <c r="E152" s="18">
        <f t="shared" si="32"/>
        <v>94.444444444444443</v>
      </c>
      <c r="G152" s="1">
        <v>2003</v>
      </c>
      <c r="H152" s="409">
        <f>(O63/$R63*100*($E63/365))+(O64/$R64*100*($E64/365))</f>
        <v>100</v>
      </c>
      <c r="I152" s="409"/>
      <c r="J152" s="409">
        <f>(P63/$R63*100*($E63/365))+(P64/$R64*100*($E64/365))</f>
        <v>0</v>
      </c>
      <c r="K152" s="409"/>
      <c r="L152" s="409">
        <f>(Q63/$R63*100*($E63/365))+(Q64/$R64*100*($E64/365))</f>
        <v>0</v>
      </c>
      <c r="M152" s="409"/>
      <c r="N152" s="379">
        <f t="shared" si="31"/>
        <v>100</v>
      </c>
      <c r="O152" s="379"/>
      <c r="R152" s="1">
        <v>2003</v>
      </c>
      <c r="S152" s="5">
        <f>(O63*($E63/365))+(O64*($E64/365))</f>
        <v>51.8</v>
      </c>
      <c r="T152" s="5">
        <f>(P63*($E63/365))+(P64*($E64/365))</f>
        <v>0</v>
      </c>
      <c r="U152" s="5">
        <f>(Q63*($E63/365))+(Q64*($E64/365))</f>
        <v>0</v>
      </c>
      <c r="V152" s="5"/>
      <c r="W152" s="5">
        <f t="shared" si="33"/>
        <v>51.8</v>
      </c>
    </row>
    <row r="153" spans="1:23" x14ac:dyDescent="0.15">
      <c r="A153" s="1">
        <v>2004</v>
      </c>
      <c r="B153" s="5">
        <f>(K65*($E65/366))+(K66*($E66/366))</f>
        <v>94.690346083788711</v>
      </c>
      <c r="C153" s="5">
        <f>(L65*($E65/366))+(L66*($E66/366))</f>
        <v>0</v>
      </c>
      <c r="D153" s="5">
        <f>(M65*($E65/366))+(M66*($E66/366))</f>
        <v>0</v>
      </c>
      <c r="E153" s="18">
        <f t="shared" si="32"/>
        <v>94.690346083788711</v>
      </c>
      <c r="G153" s="1">
        <v>2004</v>
      </c>
      <c r="H153" s="409">
        <f>(O65/$R65*100*($E65/366))+(O66/$R66*100*($E66/366))</f>
        <v>100</v>
      </c>
      <c r="I153" s="409"/>
      <c r="J153" s="409">
        <f>(P65/$R65*100*($E65/366))+(P66/$R66*100*($E66/366))</f>
        <v>0</v>
      </c>
      <c r="K153" s="409"/>
      <c r="L153" s="409">
        <f>(Q65/$R65*100*($E65/366))+(Q66/$R66*100*($E66/366))</f>
        <v>0</v>
      </c>
      <c r="M153" s="409"/>
      <c r="N153" s="379">
        <f t="shared" si="31"/>
        <v>100</v>
      </c>
      <c r="O153" s="379"/>
      <c r="R153" s="1">
        <v>2004</v>
      </c>
      <c r="S153" s="5">
        <f>(O65*($E65/366))+(O66*($E66/366))</f>
        <v>51.8</v>
      </c>
      <c r="T153" s="5">
        <f>(P65*($E65/366))+(P66*($E66/366))</f>
        <v>0</v>
      </c>
      <c r="U153" s="5">
        <f>(Q65*($E65/366))+(Q66*($E66/366))</f>
        <v>0</v>
      </c>
      <c r="V153" s="5"/>
      <c r="W153" s="5">
        <f t="shared" si="33"/>
        <v>51.8</v>
      </c>
    </row>
    <row r="154" spans="1:23" x14ac:dyDescent="0.15">
      <c r="A154" s="1">
        <v>2005</v>
      </c>
      <c r="B154" s="5">
        <f>(K67*($E67/365))+(K68*($E68/365))</f>
        <v>18.219178082191778</v>
      </c>
      <c r="C154" s="5">
        <f>(L67*($E67/365))+(L68*($E68/365))</f>
        <v>0</v>
      </c>
      <c r="D154" s="5">
        <f>(M67*($E67/365))+(M68*($E68/365))</f>
        <v>42.788074133763097</v>
      </c>
      <c r="E154" s="18">
        <f t="shared" si="32"/>
        <v>61.007252215954878</v>
      </c>
      <c r="G154" s="1">
        <v>2005</v>
      </c>
      <c r="H154" s="409">
        <f>(O67/$R67*100*($E67/365))+(O68/$R68*100*($E68/365))</f>
        <v>19.17808219178082</v>
      </c>
      <c r="I154" s="409"/>
      <c r="J154" s="409">
        <f>(P67/$R67*100*($E67/365))+(P68/$R68*100*($E68/365))</f>
        <v>0</v>
      </c>
      <c r="K154" s="409"/>
      <c r="L154" s="409">
        <f>(Q67/$R67*100*($E67/365))+(Q68/$R68*100*($E68/365))</f>
        <v>80.821917808219183</v>
      </c>
      <c r="M154" s="409"/>
      <c r="N154" s="379">
        <f t="shared" si="31"/>
        <v>100</v>
      </c>
      <c r="O154" s="379"/>
      <c r="R154" s="1">
        <v>2005</v>
      </c>
      <c r="S154" s="5">
        <f>(O67*($E67/365))+(O68*($E68/365))</f>
        <v>9.9342465753424651</v>
      </c>
      <c r="T154" s="5">
        <f>(P67*($E67/365))+(P68*($E68/365))</f>
        <v>0</v>
      </c>
      <c r="U154" s="5">
        <f>(Q67*($E67/365))+(Q68*($E68/365))</f>
        <v>42.512328767123286</v>
      </c>
      <c r="V154" s="5"/>
      <c r="W154" s="5">
        <f t="shared" si="33"/>
        <v>52.446575342465749</v>
      </c>
    </row>
    <row r="155" spans="1:23" x14ac:dyDescent="0.15">
      <c r="A155" s="1">
        <v>2006</v>
      </c>
      <c r="B155" s="5">
        <f>(K69*($E69/365))+(K70*($E70/365))</f>
        <v>0</v>
      </c>
      <c r="C155" s="5">
        <f>(L69*($E69/365))+(L70*($E70/365))</f>
        <v>0</v>
      </c>
      <c r="D155" s="5">
        <f>(M69*($E69/365))+(M70*($E70/365))</f>
        <v>55.874294923448844</v>
      </c>
      <c r="E155" s="18">
        <f t="shared" si="32"/>
        <v>55.874294923448844</v>
      </c>
      <c r="G155" s="1">
        <v>2006</v>
      </c>
      <c r="H155" s="409">
        <f>(O69/$R69*100*($E69/365))+(O70/$R70*100*($E70/365))</f>
        <v>0</v>
      </c>
      <c r="I155" s="409"/>
      <c r="J155" s="409">
        <f>(P69/$R69*100*($E69/365))+(P70/$R70*100*($E70/365))</f>
        <v>0</v>
      </c>
      <c r="K155" s="409"/>
      <c r="L155" s="409">
        <f>(Q69/$R69*100*($E69/365))+(Q70/$R70*100*($E70/365))</f>
        <v>100</v>
      </c>
      <c r="M155" s="409"/>
      <c r="N155" s="379">
        <f t="shared" si="31"/>
        <v>100</v>
      </c>
      <c r="O155" s="379"/>
      <c r="R155" s="1">
        <v>2006</v>
      </c>
      <c r="S155" s="5">
        <f>(O69*($E69/365))+(O70*($E70/365))</f>
        <v>0</v>
      </c>
      <c r="T155" s="5">
        <f>(P69*($E69/365))+(P70*($E70/365))</f>
        <v>0</v>
      </c>
      <c r="U155" s="5">
        <f>(Q69*($E69/365))+(Q70*($E70/365))</f>
        <v>52.600000000000009</v>
      </c>
      <c r="V155" s="5"/>
      <c r="W155" s="5">
        <f t="shared" si="33"/>
        <v>52.600000000000009</v>
      </c>
    </row>
    <row r="156" spans="1:23" x14ac:dyDescent="0.15">
      <c r="A156" s="1">
        <v>2007</v>
      </c>
      <c r="B156" s="5">
        <f>(K71*($E71/365))+(K72*($E72/365))</f>
        <v>0</v>
      </c>
      <c r="C156" s="5">
        <f>(L71*($E71/365))+(L72*($E72/365))</f>
        <v>0</v>
      </c>
      <c r="D156" s="5">
        <f>(M71*($E71/365))+(M72*($E72/365))</f>
        <v>55.132957292506049</v>
      </c>
      <c r="E156" s="18">
        <f t="shared" si="32"/>
        <v>55.132957292506049</v>
      </c>
      <c r="G156" s="1">
        <v>2007</v>
      </c>
      <c r="H156" s="409">
        <f>(O71/$R71*100*($E71/365))+(O72/$R72*100*($E72/365))</f>
        <v>0</v>
      </c>
      <c r="I156" s="409"/>
      <c r="J156" s="409">
        <f>(P71/$R71*100*($E71/365))+(P72/$R72*100*($E72/365))</f>
        <v>0</v>
      </c>
      <c r="K156" s="409"/>
      <c r="L156" s="409">
        <f>(Q71/$R71*100*($E71/365))+(Q72/$R72*100*($E72/365))</f>
        <v>100</v>
      </c>
      <c r="M156" s="409"/>
      <c r="N156" s="379">
        <f t="shared" si="31"/>
        <v>100</v>
      </c>
      <c r="O156" s="379"/>
      <c r="R156" s="1">
        <v>2007</v>
      </c>
      <c r="S156" s="5">
        <f>(O71*($E71/365))+(O72*($E72/365))</f>
        <v>0</v>
      </c>
      <c r="T156" s="5">
        <f>(P71*($E71/365))+(P72*($E72/365))</f>
        <v>0</v>
      </c>
      <c r="U156" s="5">
        <f>(Q71*($E71/365))+(Q72*($E72/365))</f>
        <v>52.6</v>
      </c>
      <c r="V156" s="5"/>
      <c r="W156" s="5">
        <f t="shared" si="33"/>
        <v>52.6</v>
      </c>
    </row>
    <row r="157" spans="1:23" x14ac:dyDescent="0.15">
      <c r="A157" s="1">
        <v>2008</v>
      </c>
      <c r="B157" s="5">
        <f>(K73*($E73/366))+(K74*($E74/366))</f>
        <v>0</v>
      </c>
      <c r="C157" s="5">
        <f>(L73*($E73/366))+(L74*($E74/366))</f>
        <v>0</v>
      </c>
      <c r="D157" s="5">
        <f>(M73*($E73/366))+(M74*($E74/366))</f>
        <v>58.357441337190622</v>
      </c>
      <c r="E157" s="18">
        <f t="shared" si="32"/>
        <v>58.357441337190622</v>
      </c>
      <c r="G157" s="1">
        <v>2008</v>
      </c>
      <c r="H157" s="409">
        <f>(O73/$R73*100*($E73/366))+(O74/$R74*100*($E74/366))</f>
        <v>0</v>
      </c>
      <c r="I157" s="409"/>
      <c r="J157" s="409">
        <f>(P73/$R73*100*($E73/366))+(P74/$R74*100*($E74/366))</f>
        <v>0</v>
      </c>
      <c r="K157" s="409"/>
      <c r="L157" s="409">
        <f>(Q73/$R73*100*($E73/366))+(Q74/$R74*100*($E74/366))</f>
        <v>100</v>
      </c>
      <c r="M157" s="409"/>
      <c r="N157" s="379">
        <f t="shared" si="31"/>
        <v>100</v>
      </c>
      <c r="O157" s="379"/>
      <c r="R157" s="1">
        <v>2008</v>
      </c>
      <c r="S157" s="5">
        <f>(O73*($E73/366))+(O74*($E74/366))</f>
        <v>0</v>
      </c>
      <c r="T157" s="5">
        <f>(P73*($E73/366))+(P74*($E74/366))</f>
        <v>0</v>
      </c>
      <c r="U157" s="5">
        <f>(Q73*($E73/366))+(Q74*($E74/366))</f>
        <v>52.6</v>
      </c>
      <c r="V157" s="5"/>
      <c r="W157" s="5">
        <f t="shared" si="33"/>
        <v>52.6</v>
      </c>
    </row>
    <row r="158" spans="1:23" x14ac:dyDescent="0.15">
      <c r="A158" s="1">
        <v>2009</v>
      </c>
      <c r="B158" s="5">
        <f>(K75*($E75/365))+(K76*($E76/365))</f>
        <v>0</v>
      </c>
      <c r="C158" s="5">
        <f>(L75*($E75/365))+(L76*($E76/365))</f>
        <v>0</v>
      </c>
      <c r="D158" s="5">
        <f>(M75*($E75/365))+(M76*($E76/365))</f>
        <v>58.82352941176471</v>
      </c>
      <c r="E158" s="18">
        <f t="shared" si="32"/>
        <v>58.82352941176471</v>
      </c>
      <c r="G158" s="1">
        <v>2009</v>
      </c>
      <c r="H158" s="409">
        <f>(O75/$R75*100*($E75/365))+(O76/$R76*100*($E76/365))</f>
        <v>0</v>
      </c>
      <c r="I158" s="409"/>
      <c r="J158" s="409">
        <f>(P75/$R75*100*($E75/365))+(P76/$R76*100*($E76/365))</f>
        <v>0</v>
      </c>
      <c r="K158" s="409"/>
      <c r="L158" s="409">
        <f>(Q75/$R75*100*($E75/365))+(Q76/$R76*100*($E76/365))</f>
        <v>100</v>
      </c>
      <c r="M158" s="409"/>
      <c r="N158" s="379">
        <f t="shared" si="31"/>
        <v>100</v>
      </c>
      <c r="O158" s="379"/>
      <c r="R158" s="1">
        <v>2009</v>
      </c>
      <c r="S158" s="5">
        <f>(O75*($E75/365))+(O76*($E76/365))</f>
        <v>0</v>
      </c>
      <c r="T158" s="5">
        <f>(P75*($E75/365))+(P76*($E76/365))</f>
        <v>0</v>
      </c>
      <c r="U158" s="5">
        <f>(Q75*($E75/365))+(Q76*($E76/365))</f>
        <v>50.690958904109586</v>
      </c>
      <c r="V158" s="5"/>
      <c r="W158" s="5">
        <f t="shared" si="33"/>
        <v>50.690958904109586</v>
      </c>
    </row>
    <row r="159" spans="1:23" x14ac:dyDescent="0.15">
      <c r="A159" s="1">
        <v>2010</v>
      </c>
      <c r="B159" s="5">
        <f>(K77*($E77/365))+(K78*($E78/365))</f>
        <v>0</v>
      </c>
      <c r="C159" s="5">
        <f>(L77*($E77/365))+(L78*($E78/365))</f>
        <v>0</v>
      </c>
      <c r="D159" s="5">
        <f>(M77*($E77/365))+(M78*($E78/365))</f>
        <v>58.82352941176471</v>
      </c>
      <c r="E159" s="18">
        <f t="shared" si="32"/>
        <v>58.82352941176471</v>
      </c>
      <c r="G159" s="1">
        <v>2010</v>
      </c>
      <c r="H159" s="409">
        <f>(O77/$R77*100*($E77/365))+(O78/$R78*100*($E78/365))</f>
        <v>0</v>
      </c>
      <c r="I159" s="409"/>
      <c r="J159" s="409">
        <f>(P77/$R77*100*($E77/365))+(P78/$R78*100*($E78/365))</f>
        <v>0</v>
      </c>
      <c r="K159" s="409"/>
      <c r="L159" s="409">
        <f>(Q77/$R77*100*($E77/365))+(Q78/$R78*100*($E78/365))</f>
        <v>100</v>
      </c>
      <c r="M159" s="409"/>
      <c r="N159" s="379">
        <f t="shared" si="31"/>
        <v>100</v>
      </c>
      <c r="O159" s="379"/>
      <c r="R159" s="1">
        <v>2010</v>
      </c>
      <c r="S159" s="5">
        <f>(O77*($E77/365))+(O78*($E78/365))</f>
        <v>0</v>
      </c>
      <c r="T159" s="5">
        <f>(P77*($E77/365))+(P78*($E78/365))</f>
        <v>0</v>
      </c>
      <c r="U159" s="5">
        <f>(Q77*($E77/365))+(Q78*($E78/365))</f>
        <v>42.2</v>
      </c>
      <c r="V159" s="5"/>
      <c r="W159" s="5">
        <f t="shared" si="33"/>
        <v>42.2</v>
      </c>
    </row>
    <row r="160" spans="1:23" x14ac:dyDescent="0.15">
      <c r="A160" s="1">
        <v>2011</v>
      </c>
      <c r="B160" s="5">
        <f>(K79*($E79/365))+(K80*($E80/365))</f>
        <v>35.433789954337897</v>
      </c>
      <c r="C160" s="5">
        <f>(L79*($E79/365))+(L80*($E80/365))</f>
        <v>0</v>
      </c>
      <c r="D160" s="5">
        <f>(M79*($E79/365))+(M80*($E80/365))</f>
        <v>27.558420628525386</v>
      </c>
      <c r="E160" s="18">
        <f t="shared" si="32"/>
        <v>62.992210582863279</v>
      </c>
      <c r="G160" s="1">
        <v>2011</v>
      </c>
      <c r="H160" s="409">
        <f>(O79/$R79*100*($E79/365))+(O80/$R80*100*($E80/365))</f>
        <v>53.150684931506852</v>
      </c>
      <c r="I160" s="409"/>
      <c r="J160" s="409">
        <f>(P79/$R79*100*($E79/365))+(P80/$R80*100*($E80/365))</f>
        <v>0</v>
      </c>
      <c r="K160" s="409"/>
      <c r="L160" s="409">
        <f>(Q79/$R79*100*($E79/365))+(Q80/$R80*100*($E80/365))</f>
        <v>46.849315068493155</v>
      </c>
      <c r="M160" s="409"/>
      <c r="N160" s="379">
        <f t="shared" si="31"/>
        <v>100</v>
      </c>
      <c r="O160" s="379"/>
      <c r="R160" s="1">
        <v>2011</v>
      </c>
      <c r="S160" s="5">
        <f>(O79*($E79/365))+(O80*($E80/365))</f>
        <v>30.503178082191784</v>
      </c>
      <c r="T160" s="5">
        <f>(P79*($E79/365))+(P80*($E80/365))</f>
        <v>0</v>
      </c>
      <c r="U160" s="5">
        <f>(Q79*($E79/365))+(Q80*($E80/365))</f>
        <v>19.770410958904112</v>
      </c>
      <c r="V160" s="5"/>
      <c r="W160" s="5">
        <f t="shared" si="33"/>
        <v>50.273589041095896</v>
      </c>
    </row>
    <row r="161" spans="1:23" x14ac:dyDescent="0.15">
      <c r="A161" s="1">
        <v>2012</v>
      </c>
      <c r="B161" s="5">
        <f>(K81*($E81/366))+(K82*($E82/366))</f>
        <v>66.666666666666657</v>
      </c>
      <c r="C161" s="5">
        <f>(L81*($E81/366))+(L82*($E82/366))</f>
        <v>0</v>
      </c>
      <c r="D161" s="5">
        <f>(M81*($E81/366))+(M82*($E82/366))</f>
        <v>0</v>
      </c>
      <c r="E161" s="18">
        <f t="shared" ref="E161:E166" si="34">B161+C161+D161</f>
        <v>66.666666666666657</v>
      </c>
      <c r="G161" s="1">
        <v>2012</v>
      </c>
      <c r="H161" s="409">
        <f>(O81/$R81*100*($E81/366))+(O82/$R82*100*($E82/366))</f>
        <v>100</v>
      </c>
      <c r="I161" s="409"/>
      <c r="J161" s="409">
        <f>(P81/$R81*100*($E81/366))+(P82/$R82*100*($E82/366))</f>
        <v>0</v>
      </c>
      <c r="K161" s="409"/>
      <c r="L161" s="409">
        <f>(Q81/$R81*100*($E81/366))+(Q82/$R82*100*($E82/366))</f>
        <v>0</v>
      </c>
      <c r="M161" s="409"/>
      <c r="N161" s="379">
        <f t="shared" si="31"/>
        <v>100</v>
      </c>
      <c r="O161" s="379"/>
      <c r="R161" s="1">
        <v>2012</v>
      </c>
      <c r="S161" s="5">
        <f>(O81*($E81/366))+(O82*($E82/366))</f>
        <v>57.39</v>
      </c>
      <c r="T161" s="5">
        <f>(P81*($E81/366))+(P82*($E82/366))</f>
        <v>0</v>
      </c>
      <c r="U161" s="5">
        <f>(Q81*($E81/366))+(Q82*($E82/366))</f>
        <v>0</v>
      </c>
      <c r="V161" s="5"/>
      <c r="W161" s="5">
        <f t="shared" ref="W161:W166" si="35">S161+T161+U161</f>
        <v>57.39</v>
      </c>
    </row>
    <row r="162" spans="1:23" x14ac:dyDescent="0.15">
      <c r="A162" s="1">
        <v>2013</v>
      </c>
      <c r="B162" s="5">
        <f>(K83*($E83/365))+(K84*($E84/365))+(K85*($E85/365))</f>
        <v>73.264488935721801</v>
      </c>
      <c r="C162" s="5">
        <f>(L83*($E83/365))+(L84*($E84/365))+(L85*($E85/365))</f>
        <v>0</v>
      </c>
      <c r="D162" s="5">
        <f>(M83*($E83/365))+(M84*($E84/365))+(M85*($E85/365))</f>
        <v>0</v>
      </c>
      <c r="E162" s="18">
        <f t="shared" si="34"/>
        <v>73.264488935721801</v>
      </c>
      <c r="G162" s="1">
        <v>2013</v>
      </c>
      <c r="H162" s="409">
        <f>(O83/$R83*100*($E83/365))+(O84/$R84*100*($E84/365))+(O85/$R85*100*($E85/365))</f>
        <v>100</v>
      </c>
      <c r="I162" s="409"/>
      <c r="J162" s="409">
        <f>(P83/$R83*100*($E83/365))+(P84/$R84*100*($E84/365))+(P85/$R85*100*($E85/365))</f>
        <v>0</v>
      </c>
      <c r="K162" s="409"/>
      <c r="L162" s="409">
        <f>(Q83/$R83*100*($E83/365))+(Q84/$R84*100*($E84/365))+(Q85/$R85*100*($E85/365))</f>
        <v>0</v>
      </c>
      <c r="M162" s="409"/>
      <c r="N162" s="379">
        <f>H162+J162+L162</f>
        <v>100</v>
      </c>
      <c r="O162" s="379"/>
      <c r="R162" s="1">
        <v>2013</v>
      </c>
      <c r="S162" s="5">
        <f>(O83*($E83/365))+(O84*($E84/365))+(O85*($E85/365))</f>
        <v>57.39</v>
      </c>
      <c r="T162" s="5">
        <f>(P83*($E83/365))+(P84*($E84/365))+(P85*($E85/365))</f>
        <v>0</v>
      </c>
      <c r="U162" s="5">
        <f>(Q83*($E83/365))+(Q84*($E84/365))+(Q85*($E85/365))</f>
        <v>0</v>
      </c>
      <c r="W162" s="5">
        <f t="shared" si="35"/>
        <v>57.39</v>
      </c>
    </row>
    <row r="163" spans="1:23" x14ac:dyDescent="0.15">
      <c r="A163" s="1">
        <v>2014</v>
      </c>
      <c r="B163" s="5">
        <f>(K86*($E86/365))+(K87*($E87/365))</f>
        <v>79.214611872146122</v>
      </c>
      <c r="C163" s="5">
        <f>(L86*($E86/365))+(L87*($E87/365))</f>
        <v>0</v>
      </c>
      <c r="D163" s="5">
        <f>(M86*($E86/365))+(M87*($E87/365))</f>
        <v>0</v>
      </c>
      <c r="E163" s="18">
        <f t="shared" si="34"/>
        <v>79.214611872146122</v>
      </c>
      <c r="G163" s="1">
        <v>2014</v>
      </c>
      <c r="H163" s="409">
        <f>(O86/$R86*100*($E86/365))+(O87/$R87*100*($E87/365))</f>
        <v>100.00000000000001</v>
      </c>
      <c r="I163" s="409"/>
      <c r="J163" s="409">
        <f>(P86/$R86*100*($E86/365))+(P87/$R87*100*($E87/365))</f>
        <v>0</v>
      </c>
      <c r="K163" s="409"/>
      <c r="L163" s="409">
        <f>(Q86/$R86*100*($E86/365))+(Q87/$R87*100*($E87/365))</f>
        <v>0</v>
      </c>
      <c r="M163" s="409"/>
      <c r="N163" s="379">
        <f>H163+J163+L163</f>
        <v>100.00000000000001</v>
      </c>
      <c r="O163" s="379"/>
      <c r="R163" s="1">
        <v>2014</v>
      </c>
      <c r="S163" s="5">
        <f>(O86*($E86/365))+(O87*($E87/365))</f>
        <v>57.39</v>
      </c>
      <c r="T163" s="5">
        <f>(P86*($E86/365))+(P87*($E87/365))</f>
        <v>0</v>
      </c>
      <c r="U163" s="5">
        <f>(Q86*($E86/365))+(Q87*($E87/365))</f>
        <v>0</v>
      </c>
      <c r="W163" s="5">
        <f t="shared" si="35"/>
        <v>57.39</v>
      </c>
    </row>
    <row r="164" spans="1:23" x14ac:dyDescent="0.15">
      <c r="A164" s="1">
        <v>2015</v>
      </c>
      <c r="B164" s="5">
        <f>(K88*($E88/365))+(K89*($E89/365))+(K90*($E90/365))</f>
        <v>66.767660488853068</v>
      </c>
      <c r="C164" s="5">
        <f>(L88*($E88/365))+(L89*($E89/365))+(L90*($E90/365))</f>
        <v>0</v>
      </c>
      <c r="D164" s="5">
        <f>(M88*($E88/365))+(M89*($E89/365))+(M90*($E90/365))</f>
        <v>6.0273972602739727</v>
      </c>
      <c r="E164" s="18">
        <f t="shared" si="34"/>
        <v>72.795057749127039</v>
      </c>
      <c r="G164" s="1">
        <v>2015</v>
      </c>
      <c r="H164" s="409">
        <f>(O88/$R88*100*($E88/365))+(O89/$R89*100*($E89/365))+(O90/$R90*100*($E90/365))</f>
        <v>90.136986301369873</v>
      </c>
      <c r="I164" s="409"/>
      <c r="J164" s="409">
        <f>(P88/$R88*100*($E88/365))+(P89/$R89*100*($E89/365))+(P90/$R90*100*($E90/365))</f>
        <v>0</v>
      </c>
      <c r="K164" s="409"/>
      <c r="L164" s="409">
        <f>(Q88/$R88*100*($E88/365))+(Q89/$R89*100*($E89/365))+(Q90/$R90*100*($E90/365))</f>
        <v>9.8630136986301373</v>
      </c>
      <c r="M164" s="409"/>
      <c r="N164" s="379">
        <f>H164+J164+L164</f>
        <v>100.00000000000001</v>
      </c>
      <c r="O164" s="379"/>
      <c r="R164" s="1">
        <v>2015</v>
      </c>
      <c r="S164" s="5">
        <f>(O88*($E88/365))+(O89*($E89/365))+(O90*($E90/365))</f>
        <v>50.924054794520551</v>
      </c>
      <c r="T164" s="5">
        <f>(P88*($E88/365))+(P89*($E89/365))+(P90*($E90/365))</f>
        <v>0</v>
      </c>
      <c r="U164" s="5">
        <f>(Q88*($E88/365))+(Q89*($E89/365))+(Q90*($E90/365))</f>
        <v>3.6789041095890407</v>
      </c>
      <c r="W164" s="5">
        <f t="shared" si="35"/>
        <v>54.602958904109592</v>
      </c>
    </row>
    <row r="165" spans="1:23" x14ac:dyDescent="0.15">
      <c r="A165" s="1">
        <v>2016</v>
      </c>
      <c r="B165" s="5">
        <f>(K91*($E91/366))+(K92*($E92/366))</f>
        <v>0</v>
      </c>
      <c r="C165" s="5">
        <f t="shared" ref="C165" si="36">(L91*($E91/366))+(L92*($E92/366))</f>
        <v>0</v>
      </c>
      <c r="D165" s="5">
        <f>(M91*($E91/366))+(M92*($E92/366))</f>
        <v>57.134183363691562</v>
      </c>
      <c r="E165" s="18">
        <f t="shared" si="34"/>
        <v>57.134183363691562</v>
      </c>
      <c r="G165" s="1">
        <v>2016</v>
      </c>
      <c r="H165" s="409">
        <f>(O91/$R91*100*($E91/366))+(O92/$R92*100*($E92/366))</f>
        <v>0</v>
      </c>
      <c r="I165" s="409"/>
      <c r="J165" s="409">
        <f>(P91/$R91*100*($E91/366))+(P92/$R92*100*($E92/366))</f>
        <v>0</v>
      </c>
      <c r="K165" s="409"/>
      <c r="L165" s="409">
        <f>(Q91/$R91*100*($E91/366))+(Q92/$R92*100*($E92/366))</f>
        <v>100</v>
      </c>
      <c r="M165" s="409"/>
      <c r="N165" s="379">
        <f>H165+J165+L165</f>
        <v>100</v>
      </c>
      <c r="O165" s="379"/>
      <c r="R165" s="1">
        <v>2016</v>
      </c>
      <c r="S165" s="5">
        <f>(O91*($E91/366))+(O92*($E92/366))</f>
        <v>0</v>
      </c>
      <c r="T165" s="5">
        <f>(P91*($E91/366))+(P92*($E92/366))</f>
        <v>0</v>
      </c>
      <c r="U165" s="5">
        <f>(Q91*($E91/366))+(Q92*($E92/366))</f>
        <v>37.299999999999997</v>
      </c>
      <c r="W165" s="5">
        <f t="shared" si="35"/>
        <v>37.299999999999997</v>
      </c>
    </row>
    <row r="166" spans="1:23" x14ac:dyDescent="0.15">
      <c r="A166" s="1">
        <v>2017</v>
      </c>
      <c r="B166" s="5">
        <f>(K93*($E93/365))+(K94*($E94/365))</f>
        <v>0</v>
      </c>
      <c r="C166" s="5">
        <f t="shared" ref="C166:D166" si="37">(L93*($E93/365))+(L94*($E94/365))</f>
        <v>0</v>
      </c>
      <c r="D166" s="5">
        <f t="shared" si="37"/>
        <v>55.555555555555557</v>
      </c>
      <c r="E166" s="18">
        <f t="shared" si="34"/>
        <v>55.555555555555557</v>
      </c>
      <c r="G166" s="1">
        <v>2017</v>
      </c>
      <c r="H166" s="409">
        <f>(O93/$R93*100*($E93/365))+(O94/$R94*100*($E94/365))</f>
        <v>0</v>
      </c>
      <c r="I166" s="409"/>
      <c r="J166" s="409">
        <f>(P93/$R93*100*($E93/365))+(P94/$R94*100*($E94/365))</f>
        <v>0</v>
      </c>
      <c r="K166" s="409"/>
      <c r="L166" s="409">
        <f>(Q93/$R93*100*($E93/365))+(Q94/$R94*100*($E94/365))</f>
        <v>100</v>
      </c>
      <c r="M166" s="409"/>
      <c r="N166" s="379">
        <f>H166+J166+L166</f>
        <v>100</v>
      </c>
      <c r="O166" s="379"/>
      <c r="R166" s="1">
        <v>2017</v>
      </c>
      <c r="S166" s="5">
        <f>(O93*($E93/365))+(O94*($E94/365))</f>
        <v>0</v>
      </c>
      <c r="T166" s="5">
        <f>(P93*($E93/365))+(P94*($E94/365))</f>
        <v>0</v>
      </c>
      <c r="U166" s="5">
        <f>(Q93*($E93/365))+(Q94*($E94/365))</f>
        <v>37.299999999999997</v>
      </c>
      <c r="W166" s="5">
        <f t="shared" si="35"/>
        <v>37.299999999999997</v>
      </c>
    </row>
    <row r="167" spans="1:23" x14ac:dyDescent="0.15">
      <c r="A167" s="1">
        <v>2018</v>
      </c>
      <c r="B167" s="5">
        <f>(K95*($E95/365))+(K96*($E96/365))</f>
        <v>0</v>
      </c>
      <c r="C167" s="5">
        <f>(L95*($E95/365))+(L96*($E96/365))</f>
        <v>0</v>
      </c>
      <c r="D167" s="5">
        <f>(M95*($E95/365))+(M96*($E96/365))</f>
        <v>58.76801862297431</v>
      </c>
      <c r="E167" s="18">
        <f t="shared" ref="E167" si="38">B167+C167+D167</f>
        <v>58.76801862297431</v>
      </c>
      <c r="G167" s="1">
        <v>2018</v>
      </c>
      <c r="H167" s="409">
        <f>(O95/$R95*100*($E95/365))+(O96/$R96*100*($E96/365))</f>
        <v>0</v>
      </c>
      <c r="I167" s="409"/>
      <c r="J167" s="409">
        <f>(P95/$R95*100*($E95/365))+(P96/$R96*100*($E96/365))</f>
        <v>0</v>
      </c>
      <c r="K167" s="409"/>
      <c r="L167" s="409">
        <f>(Q95/$R95*100*($E95/365))+(Q96/$R96*100*($E96/365))</f>
        <v>100</v>
      </c>
      <c r="M167" s="409"/>
      <c r="N167" s="379">
        <f t="shared" ref="N167" si="39">H167+J167+L167</f>
        <v>100</v>
      </c>
      <c r="O167" s="379"/>
      <c r="R167" s="1">
        <v>2018</v>
      </c>
      <c r="S167" s="5">
        <f>(O95*($E95/365))+(O96*($E96/365))</f>
        <v>0</v>
      </c>
      <c r="T167" s="5">
        <f>(P95*($E95/365))+(P96*($E96/365))</f>
        <v>0</v>
      </c>
      <c r="U167" s="5">
        <f>(Q95*($E95/365))+(Q96*($E96/365))</f>
        <v>37.299999999999997</v>
      </c>
      <c r="W167" s="5">
        <f t="shared" ref="W167" si="40">S167+T167+U167</f>
        <v>37.299999999999997</v>
      </c>
    </row>
    <row r="168" spans="1:23" x14ac:dyDescent="0.15">
      <c r="A168" s="1">
        <v>2019</v>
      </c>
      <c r="B168" s="5">
        <f>(K97*($E97/365))+(K98*($E98/365))+(K99*(E99/365))</f>
        <v>0</v>
      </c>
      <c r="C168" s="5">
        <f>(L97*($E97/365))+(L98*($E98/365))+(L99*(E99/365))</f>
        <v>0</v>
      </c>
      <c r="D168" s="5">
        <f>(M97*($E97/365))+(M98*($E98/365))+(M99*(E99/365))</f>
        <v>79.617691825588679</v>
      </c>
      <c r="E168" s="18">
        <f t="shared" ref="E168:E169" si="41">B168+C168+D168</f>
        <v>79.617691825588679</v>
      </c>
      <c r="G168" s="1">
        <v>2019</v>
      </c>
      <c r="H168" s="409">
        <f>(O97/$R97*100*($E97/365))+(O98/$R98*100*($E98/365))+(O99/R99*100*(E99/365))</f>
        <v>0</v>
      </c>
      <c r="I168" s="409"/>
      <c r="J168" s="409">
        <f>(P97/$R97*100*($E97/365))+(P98/$R98*100*($E98/365))+(P99/R99*100*(E99/365))</f>
        <v>0</v>
      </c>
      <c r="K168" s="409"/>
      <c r="L168" s="409">
        <f>(Q97/$R97*100*($E97/365))+(Q98/$R98*100*($E98/365))+(Q99/R99*100*(E99/365))</f>
        <v>100</v>
      </c>
      <c r="M168" s="409"/>
      <c r="N168" s="379">
        <f t="shared" ref="N168" si="42">H168+J168+L168</f>
        <v>100</v>
      </c>
      <c r="O168" s="379"/>
      <c r="R168" s="1">
        <v>2019</v>
      </c>
      <c r="S168" s="5">
        <f>(O97*($E97/365))+(O98*($E98/365))+(O99*(E99/365))</f>
        <v>0</v>
      </c>
      <c r="T168" s="5">
        <f>(P97*($E97/365))+(P98*($E98/365))+(P99*(E99/365))</f>
        <v>0</v>
      </c>
      <c r="U168" s="5">
        <f>(Q97*($E97/365))+(Q98*($E98/365))+(Q99*(E99/365))</f>
        <v>39.080547945205474</v>
      </c>
      <c r="W168" s="5">
        <f t="shared" ref="W168:W169" si="43">S168+T168+U168</f>
        <v>39.080547945205474</v>
      </c>
    </row>
    <row r="169" spans="1:23" x14ac:dyDescent="0.15">
      <c r="A169" s="1">
        <v>2020</v>
      </c>
      <c r="B169" s="5">
        <f>(K100*($E100/366))+(K101*($E101/366))</f>
        <v>0</v>
      </c>
      <c r="C169" s="5">
        <f>(L100*($E100/366))+(L101*($E101/366))</f>
        <v>0</v>
      </c>
      <c r="D169" s="5">
        <f>(M100*($E100/366))+(M101*($E101/366))</f>
        <v>72.222222222222214</v>
      </c>
      <c r="E169" s="18">
        <f t="shared" si="41"/>
        <v>72.222222222222214</v>
      </c>
      <c r="G169" s="1">
        <v>2020</v>
      </c>
      <c r="H169" s="409">
        <f>(O100/$R100*100*($E100/366))+(O101/$R101*100*($E101/366))</f>
        <v>0</v>
      </c>
      <c r="I169" s="409"/>
      <c r="J169" s="409">
        <f>(P100/$R100*100*($E100/366))+(P101/$R101*100*($E101/366))</f>
        <v>0</v>
      </c>
      <c r="K169" s="409"/>
      <c r="L169" s="409">
        <f>(Q100/$R100*100*($E100/366))+(Q101/$R101*100*($E101/366))</f>
        <v>100</v>
      </c>
      <c r="M169" s="409"/>
      <c r="N169" s="379">
        <f t="shared" ref="N169" si="44">H169+J169+L169</f>
        <v>100</v>
      </c>
      <c r="O169" s="379"/>
      <c r="R169" s="1">
        <v>2020</v>
      </c>
      <c r="S169" s="5">
        <f>(O100*($E100/366))+(O101*($E101/366))</f>
        <v>0</v>
      </c>
      <c r="T169" s="5">
        <f>(P100*($E100/366))+(P101*($E101/366))</f>
        <v>0</v>
      </c>
      <c r="U169" s="5">
        <f>(Q100*($E100/366))+(Q101*($E101/366))</f>
        <v>47</v>
      </c>
      <c r="W169" s="5">
        <f t="shared" si="43"/>
        <v>47</v>
      </c>
    </row>
  </sheetData>
  <mergeCells count="302">
    <mergeCell ref="N143:O143"/>
    <mergeCell ref="N134:O134"/>
    <mergeCell ref="C99:D99"/>
    <mergeCell ref="C97:D97"/>
    <mergeCell ref="C98:D98"/>
    <mergeCell ref="J168:K168"/>
    <mergeCell ref="L168:M168"/>
    <mergeCell ref="H168:I168"/>
    <mergeCell ref="N168:O168"/>
    <mergeCell ref="H108:I108"/>
    <mergeCell ref="J108:K108"/>
    <mergeCell ref="L108:M108"/>
    <mergeCell ref="N108:O108"/>
    <mergeCell ref="H126:I126"/>
    <mergeCell ref="J126:K126"/>
    <mergeCell ref="N126:O126"/>
    <mergeCell ref="L126:M126"/>
    <mergeCell ref="H125:I125"/>
    <mergeCell ref="L135:M135"/>
    <mergeCell ref="L136:M136"/>
    <mergeCell ref="J135:K135"/>
    <mergeCell ref="J136:K136"/>
    <mergeCell ref="H135:I135"/>
    <mergeCell ref="J141:K141"/>
    <mergeCell ref="N141:O141"/>
    <mergeCell ref="C63:D63"/>
    <mergeCell ref="C64:D64"/>
    <mergeCell ref="C65:D65"/>
    <mergeCell ref="C66:D66"/>
    <mergeCell ref="C67:D67"/>
    <mergeCell ref="C68:D68"/>
    <mergeCell ref="C69:D69"/>
    <mergeCell ref="C70:D70"/>
    <mergeCell ref="N130:O130"/>
    <mergeCell ref="H127:I127"/>
    <mergeCell ref="J127:K127"/>
    <mergeCell ref="L127:M127"/>
    <mergeCell ref="N127:O127"/>
    <mergeCell ref="H128:I128"/>
    <mergeCell ref="J128:K128"/>
    <mergeCell ref="L128:M128"/>
    <mergeCell ref="N128:O128"/>
    <mergeCell ref="H129:I129"/>
    <mergeCell ref="J129:K129"/>
    <mergeCell ref="L129:M129"/>
    <mergeCell ref="N129:O129"/>
    <mergeCell ref="J125:K125"/>
    <mergeCell ref="L125:M125"/>
    <mergeCell ref="N125:O125"/>
    <mergeCell ref="C75:D75"/>
    <mergeCell ref="C95:D95"/>
    <mergeCell ref="C96:D96"/>
    <mergeCell ref="C88:D88"/>
    <mergeCell ref="C89:D89"/>
    <mergeCell ref="C90:D90"/>
    <mergeCell ref="C86:D86"/>
    <mergeCell ref="C87:D87"/>
    <mergeCell ref="C83:D83"/>
    <mergeCell ref="C76:D76"/>
    <mergeCell ref="C77:D77"/>
    <mergeCell ref="C78:D78"/>
    <mergeCell ref="C79:D79"/>
    <mergeCell ref="C80:D80"/>
    <mergeCell ref="C81:D81"/>
    <mergeCell ref="C82:D82"/>
    <mergeCell ref="C100:D100"/>
    <mergeCell ref="C101:D101"/>
    <mergeCell ref="C49:D49"/>
    <mergeCell ref="C50:D50"/>
    <mergeCell ref="C51:D51"/>
    <mergeCell ref="C93:D93"/>
    <mergeCell ref="C94:D94"/>
    <mergeCell ref="C91:D91"/>
    <mergeCell ref="C92:D92"/>
    <mergeCell ref="C85:D85"/>
    <mergeCell ref="C84:D84"/>
    <mergeCell ref="C52:D52"/>
    <mergeCell ref="C53:D53"/>
    <mergeCell ref="C54:D54"/>
    <mergeCell ref="C55:D55"/>
    <mergeCell ref="C71:D71"/>
    <mergeCell ref="C72:D72"/>
    <mergeCell ref="C73:D73"/>
    <mergeCell ref="C74:D74"/>
    <mergeCell ref="C56:D56"/>
    <mergeCell ref="C57:D57"/>
    <mergeCell ref="C58:D58"/>
    <mergeCell ref="C59:D59"/>
    <mergeCell ref="C60:D60"/>
    <mergeCell ref="C61:D61"/>
    <mergeCell ref="C62:D62"/>
    <mergeCell ref="C6:D6"/>
    <mergeCell ref="Z4:AC4"/>
    <mergeCell ref="AD4:AG4"/>
    <mergeCell ref="AH4:AK4"/>
    <mergeCell ref="AL4:AO4"/>
    <mergeCell ref="C7:D7"/>
    <mergeCell ref="C31:D31"/>
    <mergeCell ref="C24:D24"/>
    <mergeCell ref="C25:D25"/>
    <mergeCell ref="C26:D26"/>
    <mergeCell ref="C27:D27"/>
    <mergeCell ref="C28:D28"/>
    <mergeCell ref="C29:D29"/>
    <mergeCell ref="C30:D30"/>
    <mergeCell ref="C8:D8"/>
    <mergeCell ref="C9:D9"/>
    <mergeCell ref="C10:D10"/>
    <mergeCell ref="C11:D11"/>
    <mergeCell ref="C12:D12"/>
    <mergeCell ref="C13:D13"/>
    <mergeCell ref="C14:D14"/>
    <mergeCell ref="C15:D15"/>
    <mergeCell ref="C16:D16"/>
    <mergeCell ref="C17:D17"/>
    <mergeCell ref="A4:A5"/>
    <mergeCell ref="B4:B5"/>
    <mergeCell ref="C4:D5"/>
    <mergeCell ref="E4:E5"/>
    <mergeCell ref="F4:F5"/>
    <mergeCell ref="G4:J4"/>
    <mergeCell ref="K4:N4"/>
    <mergeCell ref="O4:R4"/>
    <mergeCell ref="S4:S5"/>
    <mergeCell ref="G3:M3"/>
    <mergeCell ref="O3:Q3"/>
    <mergeCell ref="N132:O132"/>
    <mergeCell ref="H133:I133"/>
    <mergeCell ref="H137:I137"/>
    <mergeCell ref="H138:I138"/>
    <mergeCell ref="H139:I139"/>
    <mergeCell ref="H140:I140"/>
    <mergeCell ref="N136:O136"/>
    <mergeCell ref="L132:M132"/>
    <mergeCell ref="J139:K139"/>
    <mergeCell ref="J140:K140"/>
    <mergeCell ref="H132:I132"/>
    <mergeCell ref="L137:M137"/>
    <mergeCell ref="L138:M138"/>
    <mergeCell ref="L139:M139"/>
    <mergeCell ref="J132:K132"/>
    <mergeCell ref="L140:M140"/>
    <mergeCell ref="J133:K133"/>
    <mergeCell ref="L133:M133"/>
    <mergeCell ref="N133:O133"/>
    <mergeCell ref="H134:I134"/>
    <mergeCell ref="J134:K134"/>
    <mergeCell ref="L134:M134"/>
    <mergeCell ref="C18:D18"/>
    <mergeCell ref="C19:D19"/>
    <mergeCell ref="C20:D20"/>
    <mergeCell ref="C21:D21"/>
    <mergeCell ref="C22:D22"/>
    <mergeCell ref="C23:D23"/>
    <mergeCell ref="H144:I144"/>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L145:M145"/>
    <mergeCell ref="L146:M146"/>
    <mergeCell ref="L141:M141"/>
    <mergeCell ref="L144:M144"/>
    <mergeCell ref="L131:M131"/>
    <mergeCell ref="H131:I131"/>
    <mergeCell ref="J131:K131"/>
    <mergeCell ref="H130:I130"/>
    <mergeCell ref="J130:K130"/>
    <mergeCell ref="L130:M130"/>
    <mergeCell ref="L143:M143"/>
    <mergeCell ref="J143:K143"/>
    <mergeCell ref="J144:K144"/>
    <mergeCell ref="H143:I143"/>
    <mergeCell ref="J142:K142"/>
    <mergeCell ref="H150:I150"/>
    <mergeCell ref="J151:K151"/>
    <mergeCell ref="J152:K152"/>
    <mergeCell ref="H149:I149"/>
    <mergeCell ref="H148:I148"/>
    <mergeCell ref="AX4:BA4"/>
    <mergeCell ref="J145:K145"/>
    <mergeCell ref="H152:I152"/>
    <mergeCell ref="J137:K137"/>
    <mergeCell ref="J138:K138"/>
    <mergeCell ref="H136:I136"/>
    <mergeCell ref="AP4:AS4"/>
    <mergeCell ref="J146:K146"/>
    <mergeCell ref="J148:K148"/>
    <mergeCell ref="H145:I145"/>
    <mergeCell ref="H146:I146"/>
    <mergeCell ref="H147:I147"/>
    <mergeCell ref="J147:K147"/>
    <mergeCell ref="H141:I141"/>
    <mergeCell ref="H142:I142"/>
    <mergeCell ref="L142:M142"/>
    <mergeCell ref="AT4:AW4"/>
    <mergeCell ref="N131:O131"/>
    <mergeCell ref="N135:O135"/>
    <mergeCell ref="R106:W106"/>
    <mergeCell ref="N158:O158"/>
    <mergeCell ref="N159:O159"/>
    <mergeCell ref="N152:O152"/>
    <mergeCell ref="N153:O153"/>
    <mergeCell ref="N154:O154"/>
    <mergeCell ref="N145:O145"/>
    <mergeCell ref="V4:Y4"/>
    <mergeCell ref="N161:O161"/>
    <mergeCell ref="N150:O150"/>
    <mergeCell ref="N151:O151"/>
    <mergeCell ref="N140:O140"/>
    <mergeCell ref="N160:O160"/>
    <mergeCell ref="N144:O144"/>
    <mergeCell ref="N137:O137"/>
    <mergeCell ref="N138:O138"/>
    <mergeCell ref="N139:O139"/>
    <mergeCell ref="T4:T5"/>
    <mergeCell ref="U4:U5"/>
    <mergeCell ref="N156:O156"/>
    <mergeCell ref="N157:O157"/>
    <mergeCell ref="N146:O146"/>
    <mergeCell ref="N147:O147"/>
    <mergeCell ref="N142:O142"/>
    <mergeCell ref="N162:O162"/>
    <mergeCell ref="N148:O148"/>
    <mergeCell ref="N149:O149"/>
    <mergeCell ref="N155:O155"/>
    <mergeCell ref="J153:K153"/>
    <mergeCell ref="J154:K154"/>
    <mergeCell ref="L147:M147"/>
    <mergeCell ref="L148:M148"/>
    <mergeCell ref="L156:M156"/>
    <mergeCell ref="L157:M157"/>
    <mergeCell ref="L150:M150"/>
    <mergeCell ref="L151:M151"/>
    <mergeCell ref="L152:M152"/>
    <mergeCell ref="J156:K156"/>
    <mergeCell ref="J157:K157"/>
    <mergeCell ref="L149:M149"/>
    <mergeCell ref="J150:K150"/>
    <mergeCell ref="J149:K149"/>
    <mergeCell ref="L153:M153"/>
    <mergeCell ref="L154:M154"/>
    <mergeCell ref="J166:K166"/>
    <mergeCell ref="L166:M166"/>
    <mergeCell ref="N166:O166"/>
    <mergeCell ref="H165:I165"/>
    <mergeCell ref="J165:K165"/>
    <mergeCell ref="L165:M165"/>
    <mergeCell ref="N165:O165"/>
    <mergeCell ref="H163:I163"/>
    <mergeCell ref="J163:K163"/>
    <mergeCell ref="L163:M163"/>
    <mergeCell ref="N163:O163"/>
    <mergeCell ref="H151:I151"/>
    <mergeCell ref="H157:I157"/>
    <mergeCell ref="H158:I158"/>
    <mergeCell ref="L155:M155"/>
    <mergeCell ref="H160:I160"/>
    <mergeCell ref="J160:K160"/>
    <mergeCell ref="J155:K155"/>
    <mergeCell ref="H153:I153"/>
    <mergeCell ref="H155:I155"/>
    <mergeCell ref="H156:I156"/>
    <mergeCell ref="H154:I154"/>
    <mergeCell ref="L159:M159"/>
    <mergeCell ref="H169:I169"/>
    <mergeCell ref="J169:K169"/>
    <mergeCell ref="L169:M169"/>
    <mergeCell ref="N169:O169"/>
    <mergeCell ref="H161:I161"/>
    <mergeCell ref="J161:K161"/>
    <mergeCell ref="L161:M161"/>
    <mergeCell ref="L158:M158"/>
    <mergeCell ref="H159:I159"/>
    <mergeCell ref="L160:M160"/>
    <mergeCell ref="J158:K158"/>
    <mergeCell ref="J159:K159"/>
    <mergeCell ref="H167:I167"/>
    <mergeCell ref="J167:K167"/>
    <mergeCell ref="L167:M167"/>
    <mergeCell ref="N167:O167"/>
    <mergeCell ref="L164:M164"/>
    <mergeCell ref="N164:O164"/>
    <mergeCell ref="H162:I162"/>
    <mergeCell ref="J162:K162"/>
    <mergeCell ref="L162:M162"/>
    <mergeCell ref="H164:I164"/>
    <mergeCell ref="J164:K164"/>
    <mergeCell ref="H166:I166"/>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A135"/>
  <sheetViews>
    <sheetView zoomScale="163" zoomScaleNormal="120" workbookViewId="0">
      <pane ySplit="5" topLeftCell="A51" activePane="bottomLeft" state="frozen"/>
      <selection pane="bottomLeft" activeCell="I100" sqref="I100"/>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144</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1990</v>
      </c>
      <c r="B6" s="295"/>
      <c r="C6" s="421" t="s">
        <v>1263</v>
      </c>
      <c r="D6" s="421"/>
      <c r="E6" s="29">
        <v>178</v>
      </c>
      <c r="G6" s="30"/>
      <c r="H6" s="31"/>
      <c r="I6" s="31"/>
      <c r="J6" s="32"/>
      <c r="K6" s="33"/>
      <c r="L6" s="33"/>
      <c r="M6" s="33"/>
      <c r="N6" s="34"/>
      <c r="O6" s="35"/>
      <c r="P6" s="33"/>
      <c r="Q6" s="33"/>
      <c r="R6" s="36"/>
      <c r="T6" s="286"/>
      <c r="U6" s="295"/>
      <c r="V6" s="38"/>
      <c r="Y6" s="39"/>
      <c r="AD6" s="38"/>
      <c r="AG6" s="39"/>
      <c r="AL6" s="38"/>
      <c r="AO6" s="39"/>
      <c r="AP6" s="38"/>
      <c r="AS6" s="39"/>
      <c r="AW6" s="39"/>
      <c r="BA6" s="40"/>
    </row>
    <row r="7" spans="1:53" s="171" customFormat="1" x14ac:dyDescent="0.15">
      <c r="A7" s="171">
        <v>1990</v>
      </c>
      <c r="B7" s="283">
        <v>33052</v>
      </c>
      <c r="C7" s="410" t="s">
        <v>904</v>
      </c>
      <c r="D7" s="410"/>
      <c r="E7" s="171">
        <v>187</v>
      </c>
      <c r="F7" s="171" t="s">
        <v>335</v>
      </c>
      <c r="G7" s="172"/>
      <c r="H7" s="117"/>
      <c r="I7" s="117">
        <v>21</v>
      </c>
      <c r="J7" s="173">
        <v>23</v>
      </c>
      <c r="K7" s="174">
        <f t="shared" ref="K7:K55" si="0">G7/J7*100</f>
        <v>0</v>
      </c>
      <c r="L7" s="174">
        <f t="shared" ref="L7:L55" si="1">H7/J7*100</f>
        <v>0</v>
      </c>
      <c r="M7" s="174">
        <f t="shared" ref="M7:M55" si="2">I7/J7*100</f>
        <v>91.304347826086953</v>
      </c>
      <c r="N7" s="175">
        <f t="shared" ref="N7:N70" si="3">SUM(K7:M7)</f>
        <v>91.304347826086953</v>
      </c>
      <c r="O7" s="176"/>
      <c r="P7" s="174"/>
      <c r="Q7" s="174">
        <v>66.400000000000006</v>
      </c>
      <c r="R7" s="177">
        <f t="shared" ref="R7:R64" si="4">SUM(O7:Q7)</f>
        <v>66.400000000000006</v>
      </c>
      <c r="S7" s="171">
        <v>1</v>
      </c>
      <c r="T7" s="285">
        <v>33013</v>
      </c>
      <c r="U7" s="283">
        <v>33052</v>
      </c>
      <c r="V7" s="178" t="s">
        <v>906</v>
      </c>
      <c r="W7" s="171" t="s">
        <v>20</v>
      </c>
      <c r="X7" s="171" t="s">
        <v>12</v>
      </c>
      <c r="Y7" s="179">
        <v>66.400000000000006</v>
      </c>
      <c r="AD7" s="178"/>
      <c r="AG7" s="179"/>
      <c r="AL7" s="178"/>
      <c r="AO7" s="179"/>
      <c r="AP7" s="178"/>
      <c r="AS7" s="179"/>
      <c r="AW7" s="179"/>
      <c r="BA7" s="180"/>
    </row>
    <row r="8" spans="1:53" s="171" customFormat="1" x14ac:dyDescent="0.15">
      <c r="A8" s="171">
        <v>1991</v>
      </c>
      <c r="B8" s="283"/>
      <c r="C8" s="410" t="s">
        <v>904</v>
      </c>
      <c r="D8" s="410"/>
      <c r="E8" s="171">
        <v>288</v>
      </c>
      <c r="G8" s="172"/>
      <c r="H8" s="117"/>
      <c r="I8" s="117">
        <v>21</v>
      </c>
      <c r="J8" s="173">
        <v>23</v>
      </c>
      <c r="K8" s="174">
        <f t="shared" si="0"/>
        <v>0</v>
      </c>
      <c r="L8" s="174">
        <f t="shared" si="1"/>
        <v>0</v>
      </c>
      <c r="M8" s="174">
        <f t="shared" si="2"/>
        <v>91.304347826086953</v>
      </c>
      <c r="N8" s="175">
        <f t="shared" si="3"/>
        <v>91.304347826086953</v>
      </c>
      <c r="O8" s="176"/>
      <c r="P8" s="174"/>
      <c r="Q8" s="174">
        <v>66.400000000000006</v>
      </c>
      <c r="R8" s="177">
        <f t="shared" si="4"/>
        <v>66.400000000000006</v>
      </c>
      <c r="S8" s="171">
        <v>1</v>
      </c>
      <c r="T8" s="285"/>
      <c r="U8" s="283"/>
      <c r="V8" s="178" t="s">
        <v>906</v>
      </c>
      <c r="W8" s="171" t="s">
        <v>20</v>
      </c>
      <c r="X8" s="171" t="s">
        <v>12</v>
      </c>
      <c r="Y8" s="179">
        <v>66.400000000000006</v>
      </c>
      <c r="AD8" s="178"/>
      <c r="AG8" s="179"/>
      <c r="AL8" s="178"/>
      <c r="AO8" s="179"/>
      <c r="AP8" s="178"/>
      <c r="AS8" s="179"/>
      <c r="AW8" s="179"/>
      <c r="BA8" s="180"/>
    </row>
    <row r="9" spans="1:53" s="29" customFormat="1" x14ac:dyDescent="0.15">
      <c r="A9" s="29">
        <v>1991</v>
      </c>
      <c r="B9" s="295">
        <v>33527</v>
      </c>
      <c r="C9" s="411" t="s">
        <v>905</v>
      </c>
      <c r="D9" s="411"/>
      <c r="E9" s="29">
        <f>365-E8</f>
        <v>77</v>
      </c>
      <c r="F9" s="29">
        <v>2</v>
      </c>
      <c r="G9" s="30">
        <v>3</v>
      </c>
      <c r="H9" s="31"/>
      <c r="I9" s="31">
        <v>13</v>
      </c>
      <c r="J9" s="32">
        <v>19</v>
      </c>
      <c r="K9" s="33">
        <f t="shared" si="0"/>
        <v>15.789473684210526</v>
      </c>
      <c r="L9" s="33">
        <f t="shared" si="1"/>
        <v>0</v>
      </c>
      <c r="M9" s="33">
        <f t="shared" si="2"/>
        <v>68.421052631578945</v>
      </c>
      <c r="N9" s="34">
        <f t="shared" si="3"/>
        <v>84.210526315789465</v>
      </c>
      <c r="O9" s="35">
        <v>7.3</v>
      </c>
      <c r="P9" s="33"/>
      <c r="Q9" s="33">
        <v>71.7</v>
      </c>
      <c r="R9" s="36">
        <f t="shared" si="4"/>
        <v>79</v>
      </c>
      <c r="S9" s="29">
        <v>3</v>
      </c>
      <c r="T9" s="286"/>
      <c r="U9" s="295">
        <v>33527</v>
      </c>
      <c r="V9" s="38" t="s">
        <v>906</v>
      </c>
      <c r="W9" s="29" t="s">
        <v>20</v>
      </c>
      <c r="X9" s="29" t="s">
        <v>12</v>
      </c>
      <c r="Y9" s="39">
        <v>66.400000000000006</v>
      </c>
      <c r="Z9" s="29" t="s">
        <v>907</v>
      </c>
      <c r="AA9" s="29" t="s">
        <v>22</v>
      </c>
      <c r="AB9" s="29" t="s">
        <v>11</v>
      </c>
      <c r="AC9" s="29">
        <v>7.3</v>
      </c>
      <c r="AD9" s="38" t="s">
        <v>908</v>
      </c>
      <c r="AE9" s="29" t="s">
        <v>216</v>
      </c>
      <c r="AF9" s="29" t="s">
        <v>12</v>
      </c>
      <c r="AG9" s="39">
        <v>3</v>
      </c>
      <c r="AH9" s="29" t="s">
        <v>909</v>
      </c>
      <c r="AI9" s="29" t="s">
        <v>869</v>
      </c>
      <c r="AJ9" s="29" t="s">
        <v>12</v>
      </c>
      <c r="AK9" s="29">
        <v>2.2999999999999998</v>
      </c>
      <c r="AL9" s="38"/>
      <c r="AO9" s="39"/>
      <c r="AP9" s="38"/>
      <c r="AS9" s="39"/>
      <c r="AW9" s="39"/>
      <c r="BA9" s="40"/>
    </row>
    <row r="10" spans="1:53" s="29" customFormat="1" x14ac:dyDescent="0.15">
      <c r="A10" s="29">
        <v>1992</v>
      </c>
      <c r="B10" s="295"/>
      <c r="C10" s="411" t="s">
        <v>905</v>
      </c>
      <c r="D10" s="411"/>
      <c r="E10" s="29">
        <v>317</v>
      </c>
      <c r="G10" s="30">
        <v>3</v>
      </c>
      <c r="H10" s="31"/>
      <c r="I10" s="31">
        <v>13</v>
      </c>
      <c r="J10" s="32">
        <v>19</v>
      </c>
      <c r="K10" s="33">
        <f t="shared" si="0"/>
        <v>15.789473684210526</v>
      </c>
      <c r="L10" s="33">
        <f t="shared" si="1"/>
        <v>0</v>
      </c>
      <c r="M10" s="33">
        <f t="shared" si="2"/>
        <v>68.421052631578945</v>
      </c>
      <c r="N10" s="34">
        <f t="shared" si="3"/>
        <v>84.210526315789465</v>
      </c>
      <c r="O10" s="35">
        <v>7.3</v>
      </c>
      <c r="P10" s="33"/>
      <c r="Q10" s="33">
        <v>71.7</v>
      </c>
      <c r="R10" s="36">
        <f t="shared" si="4"/>
        <v>79</v>
      </c>
      <c r="S10" s="29">
        <v>3</v>
      </c>
      <c r="T10" s="286"/>
      <c r="U10" s="295"/>
      <c r="V10" s="38" t="s">
        <v>906</v>
      </c>
      <c r="W10" s="29" t="s">
        <v>20</v>
      </c>
      <c r="X10" s="29" t="s">
        <v>12</v>
      </c>
      <c r="Y10" s="39">
        <v>66.400000000000006</v>
      </c>
      <c r="Z10" s="29" t="s">
        <v>907</v>
      </c>
      <c r="AA10" s="29" t="s">
        <v>22</v>
      </c>
      <c r="AB10" s="29" t="s">
        <v>11</v>
      </c>
      <c r="AC10" s="29">
        <v>7.3</v>
      </c>
      <c r="AD10" s="38" t="s">
        <v>908</v>
      </c>
      <c r="AE10" s="29" t="s">
        <v>216</v>
      </c>
      <c r="AF10" s="29" t="s">
        <v>12</v>
      </c>
      <c r="AG10" s="39">
        <v>3</v>
      </c>
      <c r="AH10" s="29" t="s">
        <v>909</v>
      </c>
      <c r="AI10" s="29" t="s">
        <v>869</v>
      </c>
      <c r="AJ10" s="29" t="s">
        <v>12</v>
      </c>
      <c r="AK10" s="29">
        <v>2.2999999999999998</v>
      </c>
      <c r="AL10" s="38"/>
      <c r="AO10" s="39"/>
      <c r="AP10" s="38"/>
      <c r="AS10" s="39"/>
      <c r="AW10" s="39"/>
      <c r="BA10" s="40"/>
    </row>
    <row r="11" spans="1:53" s="171" customFormat="1" x14ac:dyDescent="0.15">
      <c r="A11" s="171">
        <v>1992</v>
      </c>
      <c r="B11" s="283">
        <v>33921</v>
      </c>
      <c r="C11" s="410" t="s">
        <v>1158</v>
      </c>
      <c r="D11" s="410"/>
      <c r="E11" s="171">
        <f xml:space="preserve"> 366-E10</f>
        <v>49</v>
      </c>
      <c r="F11" s="171">
        <v>1</v>
      </c>
      <c r="G11" s="172"/>
      <c r="H11" s="117"/>
      <c r="I11" s="117">
        <v>19</v>
      </c>
      <c r="J11" s="173">
        <v>20</v>
      </c>
      <c r="K11" s="174">
        <f t="shared" si="0"/>
        <v>0</v>
      </c>
      <c r="L11" s="174">
        <f t="shared" si="1"/>
        <v>0</v>
      </c>
      <c r="M11" s="174">
        <f t="shared" si="2"/>
        <v>95</v>
      </c>
      <c r="N11" s="175">
        <f t="shared" si="3"/>
        <v>95</v>
      </c>
      <c r="O11" s="176"/>
      <c r="P11" s="174"/>
      <c r="Q11" s="174">
        <v>34.299999999999997</v>
      </c>
      <c r="R11" s="177">
        <f t="shared" si="4"/>
        <v>34.299999999999997</v>
      </c>
      <c r="S11" s="171">
        <v>4</v>
      </c>
      <c r="T11" s="285">
        <v>33874</v>
      </c>
      <c r="U11" s="283">
        <v>33921</v>
      </c>
      <c r="V11" s="178" t="s">
        <v>906</v>
      </c>
      <c r="W11" s="171" t="s">
        <v>20</v>
      </c>
      <c r="X11" s="171" t="s">
        <v>12</v>
      </c>
      <c r="Y11" s="179">
        <v>34.299999999999997</v>
      </c>
      <c r="AD11" s="178"/>
      <c r="AG11" s="179"/>
      <c r="AL11" s="178"/>
      <c r="AO11" s="179"/>
      <c r="AP11" s="178"/>
      <c r="AS11" s="179"/>
      <c r="AW11" s="179"/>
      <c r="BA11" s="180"/>
    </row>
    <row r="12" spans="1:53" s="171" customFormat="1" x14ac:dyDescent="0.15">
      <c r="A12" s="171">
        <v>1993</v>
      </c>
      <c r="B12" s="283"/>
      <c r="C12" s="410" t="s">
        <v>1158</v>
      </c>
      <c r="D12" s="410"/>
      <c r="E12" s="171">
        <v>0</v>
      </c>
      <c r="G12" s="172"/>
      <c r="H12" s="117"/>
      <c r="I12" s="117">
        <v>19</v>
      </c>
      <c r="J12" s="173">
        <v>20</v>
      </c>
      <c r="K12" s="174">
        <f t="shared" si="0"/>
        <v>0</v>
      </c>
      <c r="L12" s="174">
        <f t="shared" si="1"/>
        <v>0</v>
      </c>
      <c r="M12" s="174">
        <f t="shared" si="2"/>
        <v>95</v>
      </c>
      <c r="N12" s="175">
        <f t="shared" si="3"/>
        <v>95</v>
      </c>
      <c r="O12" s="176"/>
      <c r="P12" s="174"/>
      <c r="Q12" s="174">
        <v>34.299999999999997</v>
      </c>
      <c r="R12" s="177">
        <f t="shared" si="4"/>
        <v>34.299999999999997</v>
      </c>
      <c r="S12" s="171">
        <v>4</v>
      </c>
      <c r="T12" s="285"/>
      <c r="U12" s="283"/>
      <c r="V12" s="178" t="s">
        <v>906</v>
      </c>
      <c r="W12" s="171" t="s">
        <v>20</v>
      </c>
      <c r="X12" s="171" t="s">
        <v>12</v>
      </c>
      <c r="Y12" s="179">
        <v>34.299999999999997</v>
      </c>
      <c r="AD12" s="178"/>
      <c r="AG12" s="179"/>
      <c r="AL12" s="178"/>
      <c r="AO12" s="179"/>
      <c r="AP12" s="178"/>
      <c r="AS12" s="179"/>
      <c r="AW12" s="179"/>
      <c r="BA12" s="180"/>
    </row>
    <row r="13" spans="1:53" s="171" customFormat="1" x14ac:dyDescent="0.15">
      <c r="A13" s="171">
        <v>1993</v>
      </c>
      <c r="B13" s="283"/>
      <c r="C13" s="410" t="s">
        <v>1158</v>
      </c>
      <c r="D13" s="410"/>
      <c r="E13" s="171">
        <v>365</v>
      </c>
      <c r="G13" s="172"/>
      <c r="H13" s="117"/>
      <c r="I13" s="117">
        <v>19</v>
      </c>
      <c r="J13" s="173">
        <v>20</v>
      </c>
      <c r="K13" s="174">
        <f t="shared" si="0"/>
        <v>0</v>
      </c>
      <c r="L13" s="174">
        <f t="shared" si="1"/>
        <v>0</v>
      </c>
      <c r="M13" s="174">
        <f t="shared" si="2"/>
        <v>95</v>
      </c>
      <c r="N13" s="175">
        <f t="shared" si="3"/>
        <v>95</v>
      </c>
      <c r="O13" s="176"/>
      <c r="P13" s="174"/>
      <c r="Q13" s="174">
        <v>34.299999999999997</v>
      </c>
      <c r="R13" s="177">
        <f t="shared" si="4"/>
        <v>34.299999999999997</v>
      </c>
      <c r="S13" s="171">
        <v>4</v>
      </c>
      <c r="T13" s="285"/>
      <c r="U13" s="283"/>
      <c r="V13" s="178" t="s">
        <v>906</v>
      </c>
      <c r="W13" s="171" t="s">
        <v>20</v>
      </c>
      <c r="X13" s="171" t="s">
        <v>12</v>
      </c>
      <c r="Y13" s="179">
        <v>34.299999999999997</v>
      </c>
      <c r="AD13" s="178"/>
      <c r="AG13" s="179"/>
      <c r="AL13" s="178"/>
      <c r="AO13" s="179"/>
      <c r="AP13" s="178"/>
      <c r="AS13" s="179"/>
      <c r="AW13" s="179"/>
      <c r="BA13" s="180"/>
    </row>
    <row r="14" spans="1:53" s="171" customFormat="1" x14ac:dyDescent="0.15">
      <c r="A14" s="171">
        <v>1994</v>
      </c>
      <c r="B14" s="283"/>
      <c r="C14" s="410" t="s">
        <v>1158</v>
      </c>
      <c r="D14" s="410"/>
      <c r="E14" s="171">
        <v>229</v>
      </c>
      <c r="G14" s="172"/>
      <c r="H14" s="117"/>
      <c r="I14" s="117">
        <v>19</v>
      </c>
      <c r="J14" s="173">
        <v>20</v>
      </c>
      <c r="K14" s="174">
        <f t="shared" si="0"/>
        <v>0</v>
      </c>
      <c r="L14" s="174">
        <f t="shared" si="1"/>
        <v>0</v>
      </c>
      <c r="M14" s="174">
        <f t="shared" si="2"/>
        <v>95</v>
      </c>
      <c r="N14" s="175">
        <f t="shared" si="3"/>
        <v>95</v>
      </c>
      <c r="O14" s="176"/>
      <c r="P14" s="174"/>
      <c r="Q14" s="174">
        <v>34.299999999999997</v>
      </c>
      <c r="R14" s="177">
        <f t="shared" si="4"/>
        <v>34.299999999999997</v>
      </c>
      <c r="S14" s="171">
        <v>4</v>
      </c>
      <c r="T14" s="285"/>
      <c r="U14" s="283"/>
      <c r="V14" s="178" t="s">
        <v>906</v>
      </c>
      <c r="W14" s="171" t="s">
        <v>20</v>
      </c>
      <c r="X14" s="171" t="s">
        <v>12</v>
      </c>
      <c r="Y14" s="179">
        <v>34.299999999999997</v>
      </c>
      <c r="AD14" s="178"/>
      <c r="AG14" s="179"/>
      <c r="AL14" s="178"/>
      <c r="AO14" s="179"/>
      <c r="AP14" s="178"/>
      <c r="AS14" s="179"/>
      <c r="AW14" s="179"/>
      <c r="BA14" s="180"/>
    </row>
    <row r="15" spans="1:53" s="29" customFormat="1" x14ac:dyDescent="0.15">
      <c r="A15" s="29">
        <v>1994</v>
      </c>
      <c r="B15" s="295">
        <v>34564</v>
      </c>
      <c r="C15" s="411" t="s">
        <v>1159</v>
      </c>
      <c r="D15" s="411"/>
      <c r="E15" s="29">
        <f>365-E14</f>
        <v>136</v>
      </c>
      <c r="F15" s="29">
        <v>7</v>
      </c>
      <c r="G15" s="30">
        <v>2</v>
      </c>
      <c r="H15" s="31"/>
      <c r="I15" s="31">
        <v>16</v>
      </c>
      <c r="J15" s="32">
        <v>22</v>
      </c>
      <c r="K15" s="33">
        <f t="shared" si="0"/>
        <v>9.0909090909090917</v>
      </c>
      <c r="L15" s="33">
        <f t="shared" si="1"/>
        <v>0</v>
      </c>
      <c r="M15" s="33">
        <f t="shared" si="2"/>
        <v>72.727272727272734</v>
      </c>
      <c r="N15" s="34">
        <f t="shared" si="3"/>
        <v>81.818181818181827</v>
      </c>
      <c r="O15" s="35">
        <v>8.8000000000000007</v>
      </c>
      <c r="P15" s="33"/>
      <c r="Q15" s="33">
        <v>34.299999999999997</v>
      </c>
      <c r="R15" s="36">
        <f t="shared" si="4"/>
        <v>43.099999999999994</v>
      </c>
      <c r="S15" s="29">
        <v>5</v>
      </c>
      <c r="T15" s="286"/>
      <c r="U15" s="295">
        <v>34399</v>
      </c>
      <c r="V15" s="38" t="s">
        <v>910</v>
      </c>
      <c r="W15" s="29" t="s">
        <v>20</v>
      </c>
      <c r="X15" s="29" t="s">
        <v>12</v>
      </c>
      <c r="Y15" s="39">
        <v>34.299999999999997</v>
      </c>
      <c r="Z15" s="29" t="s">
        <v>911</v>
      </c>
      <c r="AA15" s="29" t="s">
        <v>294</v>
      </c>
      <c r="AB15" s="29" t="s">
        <v>11</v>
      </c>
      <c r="AC15" s="29">
        <v>8.8000000000000007</v>
      </c>
      <c r="AD15" s="38"/>
      <c r="AG15" s="39"/>
      <c r="AL15" s="38"/>
      <c r="AO15" s="39"/>
      <c r="AP15" s="38"/>
      <c r="AS15" s="39"/>
      <c r="AW15" s="39"/>
      <c r="BA15" s="40"/>
    </row>
    <row r="16" spans="1:53" s="29" customFormat="1" x14ac:dyDescent="0.15">
      <c r="A16" s="29">
        <v>1995</v>
      </c>
      <c r="B16" s="295"/>
      <c r="C16" s="411" t="s">
        <v>1159</v>
      </c>
      <c r="D16" s="411"/>
      <c r="E16" s="29">
        <v>292</v>
      </c>
      <c r="G16" s="30">
        <v>2</v>
      </c>
      <c r="H16" s="31"/>
      <c r="I16" s="31">
        <v>16</v>
      </c>
      <c r="J16" s="32">
        <v>22</v>
      </c>
      <c r="K16" s="33">
        <f t="shared" si="0"/>
        <v>9.0909090909090917</v>
      </c>
      <c r="L16" s="33">
        <f t="shared" si="1"/>
        <v>0</v>
      </c>
      <c r="M16" s="33">
        <f t="shared" si="2"/>
        <v>72.727272727272734</v>
      </c>
      <c r="N16" s="34">
        <f t="shared" si="3"/>
        <v>81.818181818181827</v>
      </c>
      <c r="O16" s="35">
        <v>8.8000000000000007</v>
      </c>
      <c r="P16" s="33"/>
      <c r="Q16" s="33">
        <v>34.299999999999997</v>
      </c>
      <c r="R16" s="36">
        <f t="shared" si="4"/>
        <v>43.099999999999994</v>
      </c>
      <c r="S16" s="29">
        <v>5</v>
      </c>
      <c r="T16" s="286"/>
      <c r="U16" s="295"/>
      <c r="V16" s="38" t="s">
        <v>910</v>
      </c>
      <c r="W16" s="29" t="s">
        <v>20</v>
      </c>
      <c r="X16" s="29" t="s">
        <v>12</v>
      </c>
      <c r="Y16" s="39">
        <v>34.299999999999997</v>
      </c>
      <c r="Z16" s="29" t="s">
        <v>911</v>
      </c>
      <c r="AA16" s="29" t="s">
        <v>294</v>
      </c>
      <c r="AB16" s="29" t="s">
        <v>11</v>
      </c>
      <c r="AC16" s="29">
        <v>8.8000000000000007</v>
      </c>
      <c r="AD16" s="38"/>
      <c r="AG16" s="39"/>
      <c r="AL16" s="38"/>
      <c r="AO16" s="39"/>
      <c r="AP16" s="38"/>
      <c r="AS16" s="39"/>
      <c r="AW16" s="39"/>
      <c r="BA16" s="40"/>
    </row>
    <row r="17" spans="1:53" s="29" customFormat="1" x14ac:dyDescent="0.15">
      <c r="A17" s="29">
        <v>1995</v>
      </c>
      <c r="B17" s="303">
        <v>34992</v>
      </c>
      <c r="C17" s="411" t="s">
        <v>1185</v>
      </c>
      <c r="D17" s="411"/>
      <c r="E17" s="29">
        <f xml:space="preserve"> 365-E16</f>
        <v>73</v>
      </c>
      <c r="F17" s="84">
        <v>0</v>
      </c>
      <c r="G17" s="30">
        <v>2</v>
      </c>
      <c r="H17" s="31"/>
      <c r="I17" s="31">
        <v>21</v>
      </c>
      <c r="J17" s="32">
        <v>24</v>
      </c>
      <c r="K17" s="33">
        <f t="shared" si="0"/>
        <v>8.3333333333333321</v>
      </c>
      <c r="L17" s="33">
        <f t="shared" si="1"/>
        <v>0</v>
      </c>
      <c r="M17" s="33">
        <f t="shared" si="2"/>
        <v>87.5</v>
      </c>
      <c r="N17" s="34">
        <f t="shared" si="3"/>
        <v>95.833333333333329</v>
      </c>
      <c r="O17" s="35">
        <v>8.8000000000000007</v>
      </c>
      <c r="P17" s="33"/>
      <c r="Q17" s="33">
        <v>34.299999999999997</v>
      </c>
      <c r="R17" s="36">
        <f t="shared" si="4"/>
        <v>43.099999999999994</v>
      </c>
      <c r="S17" s="29">
        <v>5</v>
      </c>
      <c r="T17" s="286"/>
      <c r="U17" s="295"/>
      <c r="V17" s="38" t="s">
        <v>910</v>
      </c>
      <c r="W17" s="29" t="s">
        <v>20</v>
      </c>
      <c r="X17" s="29" t="s">
        <v>12</v>
      </c>
      <c r="Y17" s="39">
        <v>34.299999999999997</v>
      </c>
      <c r="Z17" s="29" t="s">
        <v>911</v>
      </c>
      <c r="AA17" s="29" t="s">
        <v>294</v>
      </c>
      <c r="AB17" s="29" t="s">
        <v>11</v>
      </c>
      <c r="AC17" s="29">
        <v>8.8000000000000007</v>
      </c>
      <c r="AD17" s="38"/>
      <c r="AG17" s="39"/>
      <c r="AL17" s="38"/>
      <c r="AO17" s="39"/>
      <c r="AP17" s="38"/>
      <c r="AS17" s="39"/>
      <c r="AW17" s="39"/>
      <c r="BA17" s="40"/>
    </row>
    <row r="18" spans="1:53" s="29" customFormat="1" x14ac:dyDescent="0.15">
      <c r="A18" s="29">
        <v>1996</v>
      </c>
      <c r="B18" s="295"/>
      <c r="C18" s="411" t="s">
        <v>1185</v>
      </c>
      <c r="D18" s="411"/>
      <c r="E18" s="29">
        <v>246</v>
      </c>
      <c r="G18" s="30">
        <v>2</v>
      </c>
      <c r="H18" s="31"/>
      <c r="I18" s="31">
        <v>21</v>
      </c>
      <c r="J18" s="32">
        <v>24</v>
      </c>
      <c r="K18" s="33">
        <f t="shared" si="0"/>
        <v>8.3333333333333321</v>
      </c>
      <c r="L18" s="33">
        <f t="shared" si="1"/>
        <v>0</v>
      </c>
      <c r="M18" s="33">
        <f t="shared" si="2"/>
        <v>87.5</v>
      </c>
      <c r="N18" s="34">
        <f t="shared" si="3"/>
        <v>95.833333333333329</v>
      </c>
      <c r="O18" s="35">
        <v>8.8000000000000007</v>
      </c>
      <c r="P18" s="33"/>
      <c r="Q18" s="33">
        <v>34.299999999999997</v>
      </c>
      <c r="R18" s="36">
        <f t="shared" si="4"/>
        <v>43.099999999999994</v>
      </c>
      <c r="S18" s="29">
        <v>5</v>
      </c>
      <c r="T18" s="286"/>
      <c r="U18" s="295"/>
      <c r="V18" s="38" t="s">
        <v>910</v>
      </c>
      <c r="W18" s="29" t="s">
        <v>20</v>
      </c>
      <c r="X18" s="29" t="s">
        <v>12</v>
      </c>
      <c r="Y18" s="39">
        <v>34.299999999999997</v>
      </c>
      <c r="Z18" s="29" t="s">
        <v>911</v>
      </c>
      <c r="AA18" s="29" t="s">
        <v>294</v>
      </c>
      <c r="AB18" s="29" t="s">
        <v>11</v>
      </c>
      <c r="AC18" s="29">
        <v>8.8000000000000007</v>
      </c>
      <c r="AD18" s="38"/>
      <c r="AG18" s="39"/>
      <c r="AL18" s="38"/>
      <c r="AO18" s="39"/>
      <c r="AP18" s="38"/>
      <c r="AS18" s="39"/>
      <c r="AW18" s="39"/>
      <c r="BA18" s="40"/>
    </row>
    <row r="19" spans="1:53" s="171" customFormat="1" x14ac:dyDescent="0.15">
      <c r="A19" s="171">
        <v>1996</v>
      </c>
      <c r="B19" s="283">
        <v>35311</v>
      </c>
      <c r="C19" s="410" t="s">
        <v>1200</v>
      </c>
      <c r="D19" s="410"/>
      <c r="E19" s="171">
        <v>100</v>
      </c>
      <c r="F19" s="171">
        <v>4</v>
      </c>
      <c r="G19" s="172"/>
      <c r="H19" s="117"/>
      <c r="I19" s="117">
        <v>26</v>
      </c>
      <c r="J19" s="173">
        <v>26</v>
      </c>
      <c r="K19" s="174">
        <f t="shared" si="0"/>
        <v>0</v>
      </c>
      <c r="L19" s="174">
        <f t="shared" si="1"/>
        <v>0</v>
      </c>
      <c r="M19" s="174">
        <f t="shared" si="2"/>
        <v>100</v>
      </c>
      <c r="N19" s="175">
        <f t="shared" si="3"/>
        <v>100</v>
      </c>
      <c r="O19" s="176"/>
      <c r="P19" s="174"/>
      <c r="Q19" s="174">
        <v>34.299999999999997</v>
      </c>
      <c r="R19" s="177">
        <f t="shared" si="4"/>
        <v>34.299999999999997</v>
      </c>
      <c r="S19" s="171">
        <v>4</v>
      </c>
      <c r="T19" s="285"/>
      <c r="U19" s="283">
        <v>35311</v>
      </c>
      <c r="V19" s="178" t="s">
        <v>910</v>
      </c>
      <c r="W19" s="171" t="s">
        <v>20</v>
      </c>
      <c r="X19" s="171" t="s">
        <v>12</v>
      </c>
      <c r="Y19" s="179">
        <v>34.299999999999997</v>
      </c>
      <c r="AD19" s="178"/>
      <c r="AG19" s="179"/>
      <c r="AL19" s="178"/>
      <c r="AO19" s="179"/>
      <c r="AP19" s="178"/>
      <c r="AS19" s="179"/>
      <c r="AW19" s="179"/>
      <c r="BA19" s="180"/>
    </row>
    <row r="20" spans="1:53" s="29" customFormat="1" x14ac:dyDescent="0.15">
      <c r="A20" s="29">
        <v>1996</v>
      </c>
      <c r="B20" s="295">
        <v>35411</v>
      </c>
      <c r="C20" s="411" t="s">
        <v>916</v>
      </c>
      <c r="D20" s="411"/>
      <c r="E20" s="29">
        <f>366-E19-E18</f>
        <v>20</v>
      </c>
      <c r="F20" s="29">
        <v>1</v>
      </c>
      <c r="G20" s="30">
        <v>13</v>
      </c>
      <c r="H20" s="31">
        <v>1</v>
      </c>
      <c r="I20" s="31">
        <v>5</v>
      </c>
      <c r="J20" s="32">
        <v>20</v>
      </c>
      <c r="K20" s="33">
        <f t="shared" si="0"/>
        <v>65</v>
      </c>
      <c r="L20" s="33">
        <f t="shared" si="1"/>
        <v>5</v>
      </c>
      <c r="M20" s="33">
        <f t="shared" si="2"/>
        <v>25</v>
      </c>
      <c r="N20" s="34">
        <f t="shared" si="3"/>
        <v>95</v>
      </c>
      <c r="O20" s="35">
        <v>35.6</v>
      </c>
      <c r="P20" s="33">
        <v>7.3</v>
      </c>
      <c r="Q20" s="33">
        <v>15.5</v>
      </c>
      <c r="R20" s="36">
        <f t="shared" si="4"/>
        <v>58.4</v>
      </c>
      <c r="S20" s="29">
        <v>3</v>
      </c>
      <c r="T20" s="286">
        <v>35376</v>
      </c>
      <c r="U20" s="295">
        <v>35411</v>
      </c>
      <c r="V20" s="38" t="s">
        <v>912</v>
      </c>
      <c r="W20" s="29" t="s">
        <v>913</v>
      </c>
      <c r="X20" s="29" t="s">
        <v>11</v>
      </c>
      <c r="Y20" s="39">
        <v>35.6</v>
      </c>
      <c r="Z20" s="29" t="s">
        <v>914</v>
      </c>
      <c r="AA20" s="29" t="s">
        <v>97</v>
      </c>
      <c r="AB20" s="29" t="s">
        <v>12</v>
      </c>
      <c r="AC20" s="29">
        <v>15.5</v>
      </c>
      <c r="AD20" s="38" t="s">
        <v>915</v>
      </c>
      <c r="AE20" s="29" t="s">
        <v>89</v>
      </c>
      <c r="AF20" s="29" t="s">
        <v>18</v>
      </c>
      <c r="AG20" s="39">
        <v>7.3</v>
      </c>
      <c r="AL20" s="38"/>
      <c r="AO20" s="39"/>
      <c r="AP20" s="38"/>
      <c r="AS20" s="39"/>
      <c r="AW20" s="39"/>
      <c r="BA20" s="40"/>
    </row>
    <row r="21" spans="1:53" s="29" customFormat="1" x14ac:dyDescent="0.15">
      <c r="A21" s="29">
        <v>1997</v>
      </c>
      <c r="B21" s="295"/>
      <c r="C21" s="411" t="s">
        <v>916</v>
      </c>
      <c r="D21" s="411"/>
      <c r="E21" s="29">
        <v>0</v>
      </c>
      <c r="G21" s="30">
        <v>13</v>
      </c>
      <c r="H21" s="31">
        <v>1</v>
      </c>
      <c r="I21" s="31">
        <v>5</v>
      </c>
      <c r="J21" s="32">
        <v>20</v>
      </c>
      <c r="K21" s="33">
        <f t="shared" si="0"/>
        <v>65</v>
      </c>
      <c r="L21" s="33">
        <f t="shared" si="1"/>
        <v>5</v>
      </c>
      <c r="M21" s="33">
        <f t="shared" si="2"/>
        <v>25</v>
      </c>
      <c r="N21" s="34">
        <f t="shared" si="3"/>
        <v>95</v>
      </c>
      <c r="O21" s="35">
        <v>35.6</v>
      </c>
      <c r="P21" s="33">
        <v>7.3</v>
      </c>
      <c r="Q21" s="33">
        <v>15.5</v>
      </c>
      <c r="R21" s="36">
        <f t="shared" si="4"/>
        <v>58.4</v>
      </c>
      <c r="S21" s="29">
        <v>3</v>
      </c>
      <c r="T21" s="286"/>
      <c r="U21" s="295"/>
      <c r="V21" s="38" t="s">
        <v>912</v>
      </c>
      <c r="W21" s="29" t="s">
        <v>913</v>
      </c>
      <c r="X21" s="29" t="s">
        <v>11</v>
      </c>
      <c r="Y21" s="39">
        <v>35.6</v>
      </c>
      <c r="Z21" s="29" t="s">
        <v>914</v>
      </c>
      <c r="AA21" s="29" t="s">
        <v>97</v>
      </c>
      <c r="AB21" s="29" t="s">
        <v>12</v>
      </c>
      <c r="AC21" s="29">
        <v>15.5</v>
      </c>
      <c r="AD21" s="38" t="s">
        <v>915</v>
      </c>
      <c r="AE21" s="29" t="s">
        <v>89</v>
      </c>
      <c r="AF21" s="29" t="s">
        <v>18</v>
      </c>
      <c r="AG21" s="39">
        <v>7.3</v>
      </c>
      <c r="AL21" s="38"/>
      <c r="AO21" s="39"/>
      <c r="AP21" s="38"/>
      <c r="AS21" s="39"/>
      <c r="AW21" s="39"/>
      <c r="BA21" s="40"/>
    </row>
    <row r="22" spans="1:53" s="29" customFormat="1" x14ac:dyDescent="0.15">
      <c r="A22" s="29">
        <v>1997</v>
      </c>
      <c r="B22" s="295"/>
      <c r="C22" s="411" t="s">
        <v>916</v>
      </c>
      <c r="D22" s="411"/>
      <c r="E22" s="29">
        <v>365</v>
      </c>
      <c r="G22" s="30">
        <v>13</v>
      </c>
      <c r="H22" s="31">
        <v>1</v>
      </c>
      <c r="I22" s="31">
        <v>5</v>
      </c>
      <c r="J22" s="32">
        <v>20</v>
      </c>
      <c r="K22" s="33">
        <f t="shared" si="0"/>
        <v>65</v>
      </c>
      <c r="L22" s="33">
        <f t="shared" si="1"/>
        <v>5</v>
      </c>
      <c r="M22" s="33">
        <f t="shared" si="2"/>
        <v>25</v>
      </c>
      <c r="N22" s="34">
        <f t="shared" si="3"/>
        <v>95</v>
      </c>
      <c r="O22" s="35">
        <v>35.6</v>
      </c>
      <c r="P22" s="33">
        <v>7.3</v>
      </c>
      <c r="Q22" s="33">
        <v>15.5</v>
      </c>
      <c r="R22" s="36">
        <f t="shared" si="4"/>
        <v>58.4</v>
      </c>
      <c r="S22" s="29">
        <v>3</v>
      </c>
      <c r="T22" s="286"/>
      <c r="U22" s="295"/>
      <c r="V22" s="38" t="s">
        <v>912</v>
      </c>
      <c r="W22" s="29" t="s">
        <v>913</v>
      </c>
      <c r="X22" s="29" t="s">
        <v>11</v>
      </c>
      <c r="Y22" s="39">
        <v>35.6</v>
      </c>
      <c r="Z22" s="29" t="s">
        <v>914</v>
      </c>
      <c r="AA22" s="29" t="s">
        <v>97</v>
      </c>
      <c r="AB22" s="29" t="s">
        <v>12</v>
      </c>
      <c r="AC22" s="29">
        <v>15.5</v>
      </c>
      <c r="AD22" s="38" t="s">
        <v>915</v>
      </c>
      <c r="AE22" s="29" t="s">
        <v>89</v>
      </c>
      <c r="AF22" s="29" t="s">
        <v>18</v>
      </c>
      <c r="AG22" s="39">
        <v>7.3</v>
      </c>
      <c r="AL22" s="38"/>
      <c r="AO22" s="39"/>
      <c r="AP22" s="38"/>
      <c r="AS22" s="39"/>
      <c r="AW22" s="39"/>
      <c r="BA22" s="40"/>
    </row>
    <row r="23" spans="1:53" s="29" customFormat="1" x14ac:dyDescent="0.15">
      <c r="A23" s="29">
        <v>1998</v>
      </c>
      <c r="B23" s="295"/>
      <c r="C23" s="411" t="s">
        <v>916</v>
      </c>
      <c r="D23" s="411"/>
      <c r="E23" s="29">
        <v>88</v>
      </c>
      <c r="G23" s="30">
        <v>13</v>
      </c>
      <c r="H23" s="31">
        <v>1</v>
      </c>
      <c r="I23" s="31">
        <v>5</v>
      </c>
      <c r="J23" s="32">
        <v>20</v>
      </c>
      <c r="K23" s="33">
        <f t="shared" si="0"/>
        <v>65</v>
      </c>
      <c r="L23" s="33">
        <f t="shared" si="1"/>
        <v>5</v>
      </c>
      <c r="M23" s="33">
        <f t="shared" si="2"/>
        <v>25</v>
      </c>
      <c r="N23" s="34">
        <f t="shared" si="3"/>
        <v>95</v>
      </c>
      <c r="O23" s="35">
        <v>35.6</v>
      </c>
      <c r="P23" s="33">
        <v>7.3</v>
      </c>
      <c r="Q23" s="33">
        <v>15.5</v>
      </c>
      <c r="R23" s="36">
        <f t="shared" si="4"/>
        <v>58.4</v>
      </c>
      <c r="S23" s="29">
        <v>3</v>
      </c>
      <c r="T23" s="286"/>
      <c r="U23" s="295"/>
      <c r="V23" s="38" t="s">
        <v>912</v>
      </c>
      <c r="W23" s="29" t="s">
        <v>913</v>
      </c>
      <c r="X23" s="29" t="s">
        <v>11</v>
      </c>
      <c r="Y23" s="39">
        <v>35.6</v>
      </c>
      <c r="Z23" s="29" t="s">
        <v>914</v>
      </c>
      <c r="AA23" s="29" t="s">
        <v>97</v>
      </c>
      <c r="AB23" s="29" t="s">
        <v>12</v>
      </c>
      <c r="AC23" s="29">
        <v>15.5</v>
      </c>
      <c r="AD23" s="38" t="s">
        <v>915</v>
      </c>
      <c r="AE23" s="29" t="s">
        <v>89</v>
      </c>
      <c r="AF23" s="29" t="s">
        <v>18</v>
      </c>
      <c r="AG23" s="39">
        <v>7.3</v>
      </c>
      <c r="AL23" s="38"/>
      <c r="AO23" s="39"/>
      <c r="AP23" s="38"/>
      <c r="AS23" s="39"/>
      <c r="AW23" s="39"/>
      <c r="BA23" s="40"/>
    </row>
    <row r="24" spans="1:53" s="171" customFormat="1" x14ac:dyDescent="0.15">
      <c r="A24" s="171">
        <v>1998</v>
      </c>
      <c r="B24" s="283">
        <v>35884</v>
      </c>
      <c r="C24" s="410" t="s">
        <v>1160</v>
      </c>
      <c r="D24" s="410"/>
      <c r="E24" s="171">
        <v>16</v>
      </c>
      <c r="F24" s="171">
        <v>2</v>
      </c>
      <c r="G24" s="172">
        <v>11</v>
      </c>
      <c r="H24" s="117">
        <v>1</v>
      </c>
      <c r="I24" s="117">
        <v>6</v>
      </c>
      <c r="J24" s="173">
        <v>21</v>
      </c>
      <c r="K24" s="174">
        <f t="shared" si="0"/>
        <v>52.380952380952387</v>
      </c>
      <c r="L24" s="174">
        <f t="shared" si="1"/>
        <v>4.7619047619047619</v>
      </c>
      <c r="M24" s="174">
        <f t="shared" si="2"/>
        <v>28.571428571428569</v>
      </c>
      <c r="N24" s="175">
        <f t="shared" si="3"/>
        <v>85.714285714285722</v>
      </c>
      <c r="O24" s="176">
        <v>35.6</v>
      </c>
      <c r="P24" s="174">
        <v>7.3</v>
      </c>
      <c r="Q24" s="174">
        <v>15.5</v>
      </c>
      <c r="R24" s="177">
        <f t="shared" si="4"/>
        <v>58.4</v>
      </c>
      <c r="S24" s="171">
        <v>6</v>
      </c>
      <c r="T24" s="285"/>
      <c r="U24" s="283">
        <v>35884</v>
      </c>
      <c r="V24" s="178" t="s">
        <v>912</v>
      </c>
      <c r="W24" s="171" t="s">
        <v>913</v>
      </c>
      <c r="X24" s="171" t="s">
        <v>11</v>
      </c>
      <c r="Y24" s="179">
        <v>35.6</v>
      </c>
      <c r="Z24" s="171" t="s">
        <v>555</v>
      </c>
      <c r="AA24" s="171" t="s">
        <v>97</v>
      </c>
      <c r="AB24" s="171" t="s">
        <v>12</v>
      </c>
      <c r="AC24" s="171">
        <v>15.5</v>
      </c>
      <c r="AD24" s="178" t="s">
        <v>915</v>
      </c>
      <c r="AE24" s="171" t="s">
        <v>89</v>
      </c>
      <c r="AF24" s="171" t="s">
        <v>18</v>
      </c>
      <c r="AG24" s="179">
        <v>7.3</v>
      </c>
      <c r="AL24" s="178"/>
      <c r="AO24" s="179"/>
      <c r="AP24" s="178"/>
      <c r="AS24" s="179"/>
      <c r="AW24" s="179"/>
      <c r="BA24" s="180"/>
    </row>
    <row r="25" spans="1:53" s="29" customFormat="1" x14ac:dyDescent="0.15">
      <c r="A25" s="29">
        <v>1998</v>
      </c>
      <c r="B25" s="295">
        <v>35900</v>
      </c>
      <c r="C25" s="411" t="s">
        <v>917</v>
      </c>
      <c r="D25" s="411"/>
      <c r="E25" s="29">
        <f xml:space="preserve"> 365-E24-E23</f>
        <v>261</v>
      </c>
      <c r="F25" s="29">
        <v>6</v>
      </c>
      <c r="G25" s="30">
        <v>11</v>
      </c>
      <c r="H25" s="31">
        <v>1</v>
      </c>
      <c r="I25" s="31">
        <v>7</v>
      </c>
      <c r="J25" s="32">
        <v>21</v>
      </c>
      <c r="K25" s="33">
        <f t="shared" si="0"/>
        <v>52.380952380952387</v>
      </c>
      <c r="L25" s="33">
        <f t="shared" si="1"/>
        <v>4.7619047619047619</v>
      </c>
      <c r="M25" s="33">
        <f t="shared" si="2"/>
        <v>33.333333333333329</v>
      </c>
      <c r="N25" s="34">
        <f t="shared" si="3"/>
        <v>90.476190476190482</v>
      </c>
      <c r="O25" s="35">
        <v>35.6</v>
      </c>
      <c r="P25" s="33">
        <v>7.3</v>
      </c>
      <c r="Q25" s="33">
        <v>26.6</v>
      </c>
      <c r="R25" s="36">
        <f t="shared" si="4"/>
        <v>69.5</v>
      </c>
      <c r="S25" s="29">
        <v>3</v>
      </c>
      <c r="T25" s="286"/>
      <c r="U25" s="295">
        <v>35900</v>
      </c>
      <c r="V25" s="38" t="s">
        <v>912</v>
      </c>
      <c r="W25" s="29" t="s">
        <v>913</v>
      </c>
      <c r="X25" s="29" t="s">
        <v>11</v>
      </c>
      <c r="Y25" s="39">
        <v>35.6</v>
      </c>
      <c r="Z25" s="29" t="s">
        <v>910</v>
      </c>
      <c r="AA25" s="29" t="s">
        <v>20</v>
      </c>
      <c r="AB25" s="29" t="s">
        <v>12</v>
      </c>
      <c r="AC25" s="29">
        <v>26.6</v>
      </c>
      <c r="AD25" s="38" t="s">
        <v>915</v>
      </c>
      <c r="AE25" s="29" t="s">
        <v>89</v>
      </c>
      <c r="AF25" s="29" t="s">
        <v>18</v>
      </c>
      <c r="AG25" s="39">
        <v>7.3</v>
      </c>
      <c r="AL25" s="38"/>
      <c r="AO25" s="39"/>
      <c r="AP25" s="38"/>
      <c r="AS25" s="39"/>
      <c r="AW25" s="39"/>
      <c r="BA25" s="40"/>
    </row>
    <row r="26" spans="1:53" s="29" customFormat="1" x14ac:dyDescent="0.15">
      <c r="A26" s="29">
        <v>1999</v>
      </c>
      <c r="B26" s="295"/>
      <c r="C26" s="411" t="s">
        <v>917</v>
      </c>
      <c r="D26" s="411"/>
      <c r="E26" s="29">
        <v>345</v>
      </c>
      <c r="G26" s="30">
        <v>11</v>
      </c>
      <c r="H26" s="31">
        <v>1</v>
      </c>
      <c r="I26" s="31">
        <v>7</v>
      </c>
      <c r="J26" s="32">
        <v>21</v>
      </c>
      <c r="K26" s="33">
        <f t="shared" si="0"/>
        <v>52.380952380952387</v>
      </c>
      <c r="L26" s="33">
        <f t="shared" si="1"/>
        <v>4.7619047619047619</v>
      </c>
      <c r="M26" s="33">
        <f t="shared" si="2"/>
        <v>33.333333333333329</v>
      </c>
      <c r="N26" s="34">
        <f t="shared" si="3"/>
        <v>90.476190476190482</v>
      </c>
      <c r="O26" s="35">
        <v>35.6</v>
      </c>
      <c r="P26" s="33">
        <v>7.3</v>
      </c>
      <c r="Q26" s="33">
        <v>26.6</v>
      </c>
      <c r="R26" s="36">
        <f t="shared" si="4"/>
        <v>69.5</v>
      </c>
      <c r="S26" s="29">
        <v>3</v>
      </c>
      <c r="T26" s="286"/>
      <c r="U26" s="295"/>
      <c r="V26" s="38" t="s">
        <v>912</v>
      </c>
      <c r="W26" s="29" t="s">
        <v>913</v>
      </c>
      <c r="X26" s="29" t="s">
        <v>11</v>
      </c>
      <c r="Y26" s="39">
        <v>35.6</v>
      </c>
      <c r="Z26" s="29" t="s">
        <v>910</v>
      </c>
      <c r="AA26" s="29" t="s">
        <v>20</v>
      </c>
      <c r="AB26" s="29" t="s">
        <v>12</v>
      </c>
      <c r="AC26" s="29">
        <v>26.6</v>
      </c>
      <c r="AD26" s="38" t="s">
        <v>915</v>
      </c>
      <c r="AE26" s="29" t="s">
        <v>89</v>
      </c>
      <c r="AF26" s="29" t="s">
        <v>18</v>
      </c>
      <c r="AG26" s="39">
        <v>7.3</v>
      </c>
      <c r="AL26" s="38"/>
      <c r="AO26" s="39"/>
      <c r="AP26" s="38"/>
      <c r="AS26" s="39"/>
      <c r="AW26" s="39"/>
      <c r="BA26" s="40"/>
    </row>
    <row r="27" spans="1:53" s="171" customFormat="1" x14ac:dyDescent="0.15">
      <c r="A27" s="171">
        <v>1999</v>
      </c>
      <c r="B27" s="283">
        <v>36506</v>
      </c>
      <c r="C27" s="410" t="s">
        <v>1161</v>
      </c>
      <c r="D27" s="410"/>
      <c r="E27" s="171">
        <f xml:space="preserve"> 365-E26</f>
        <v>20</v>
      </c>
      <c r="F27" s="171">
        <v>6</v>
      </c>
      <c r="G27" s="172">
        <v>11</v>
      </c>
      <c r="H27" s="117">
        <v>1</v>
      </c>
      <c r="I27" s="117">
        <v>6</v>
      </c>
      <c r="J27" s="173">
        <v>18</v>
      </c>
      <c r="K27" s="174">
        <f t="shared" si="0"/>
        <v>61.111111111111114</v>
      </c>
      <c r="L27" s="174">
        <f t="shared" si="1"/>
        <v>5.5555555555555554</v>
      </c>
      <c r="M27" s="174">
        <f t="shared" si="2"/>
        <v>33.333333333333329</v>
      </c>
      <c r="N27" s="175">
        <f t="shared" si="3"/>
        <v>100</v>
      </c>
      <c r="O27" s="176">
        <v>35.6</v>
      </c>
      <c r="P27" s="174">
        <v>7.3</v>
      </c>
      <c r="Q27" s="174">
        <v>15.5</v>
      </c>
      <c r="R27" s="177">
        <f t="shared" si="4"/>
        <v>58.4</v>
      </c>
      <c r="S27" s="171">
        <v>3</v>
      </c>
      <c r="T27" s="285"/>
      <c r="U27" s="283">
        <v>36506</v>
      </c>
      <c r="V27" s="178" t="s">
        <v>912</v>
      </c>
      <c r="W27" s="171" t="s">
        <v>913</v>
      </c>
      <c r="X27" s="171" t="s">
        <v>11</v>
      </c>
      <c r="Y27" s="179">
        <v>35.6</v>
      </c>
      <c r="Z27" s="171" t="s">
        <v>555</v>
      </c>
      <c r="AA27" s="171" t="s">
        <v>97</v>
      </c>
      <c r="AB27" s="171" t="s">
        <v>12</v>
      </c>
      <c r="AC27" s="171">
        <v>15.5</v>
      </c>
      <c r="AD27" s="178" t="s">
        <v>915</v>
      </c>
      <c r="AE27" s="171" t="s">
        <v>89</v>
      </c>
      <c r="AF27" s="171" t="s">
        <v>18</v>
      </c>
      <c r="AG27" s="179">
        <v>7.3</v>
      </c>
      <c r="AL27" s="178"/>
      <c r="AO27" s="179"/>
      <c r="AP27" s="178"/>
      <c r="AS27" s="179"/>
      <c r="AW27" s="179"/>
      <c r="BA27" s="180"/>
    </row>
    <row r="28" spans="1:53" s="171" customFormat="1" x14ac:dyDescent="0.15">
      <c r="A28" s="171">
        <v>2000</v>
      </c>
      <c r="B28" s="283"/>
      <c r="C28" s="410" t="s">
        <v>1161</v>
      </c>
      <c r="D28" s="410"/>
      <c r="E28" s="171">
        <v>362</v>
      </c>
      <c r="G28" s="172">
        <v>11</v>
      </c>
      <c r="H28" s="117">
        <v>1</v>
      </c>
      <c r="I28" s="117">
        <v>6</v>
      </c>
      <c r="J28" s="173">
        <v>18</v>
      </c>
      <c r="K28" s="174">
        <f t="shared" si="0"/>
        <v>61.111111111111114</v>
      </c>
      <c r="L28" s="174">
        <f t="shared" si="1"/>
        <v>5.5555555555555554</v>
      </c>
      <c r="M28" s="174">
        <f t="shared" si="2"/>
        <v>33.333333333333329</v>
      </c>
      <c r="N28" s="175">
        <f t="shared" si="3"/>
        <v>100</v>
      </c>
      <c r="O28" s="176">
        <v>35.6</v>
      </c>
      <c r="P28" s="174">
        <v>7.3</v>
      </c>
      <c r="Q28" s="174">
        <v>15.5</v>
      </c>
      <c r="R28" s="177">
        <f t="shared" si="4"/>
        <v>58.4</v>
      </c>
      <c r="S28" s="171">
        <v>3</v>
      </c>
      <c r="T28" s="285"/>
      <c r="U28" s="283"/>
      <c r="V28" s="178" t="s">
        <v>912</v>
      </c>
      <c r="W28" s="171" t="s">
        <v>913</v>
      </c>
      <c r="X28" s="171" t="s">
        <v>11</v>
      </c>
      <c r="Y28" s="179">
        <v>35.6</v>
      </c>
      <c r="Z28" s="171" t="s">
        <v>555</v>
      </c>
      <c r="AA28" s="171" t="s">
        <v>97</v>
      </c>
      <c r="AB28" s="171" t="s">
        <v>12</v>
      </c>
      <c r="AC28" s="171">
        <v>15.5</v>
      </c>
      <c r="AD28" s="178" t="s">
        <v>915</v>
      </c>
      <c r="AE28" s="171" t="s">
        <v>89</v>
      </c>
      <c r="AF28" s="171" t="s">
        <v>18</v>
      </c>
      <c r="AG28" s="179">
        <v>7.3</v>
      </c>
      <c r="AL28" s="178"/>
      <c r="AO28" s="179"/>
      <c r="AP28" s="178"/>
      <c r="AS28" s="179"/>
      <c r="AW28" s="179"/>
      <c r="BA28" s="180"/>
    </row>
    <row r="29" spans="1:53" s="29" customFormat="1" x14ac:dyDescent="0.15">
      <c r="A29" s="29">
        <v>2000</v>
      </c>
      <c r="B29" s="295">
        <v>36888</v>
      </c>
      <c r="C29" s="411" t="s">
        <v>1162</v>
      </c>
      <c r="D29" s="411"/>
      <c r="E29" s="29">
        <f xml:space="preserve"> 366-E28</f>
        <v>4</v>
      </c>
      <c r="F29" s="29">
        <v>1</v>
      </c>
      <c r="G29" s="30"/>
      <c r="H29" s="31"/>
      <c r="I29" s="31">
        <v>23</v>
      </c>
      <c r="J29" s="32">
        <v>23</v>
      </c>
      <c r="K29" s="33">
        <f t="shared" si="0"/>
        <v>0</v>
      </c>
      <c r="L29" s="33">
        <f t="shared" si="1"/>
        <v>0</v>
      </c>
      <c r="M29" s="33">
        <f t="shared" si="2"/>
        <v>100</v>
      </c>
      <c r="N29" s="34">
        <f t="shared" si="3"/>
        <v>100</v>
      </c>
      <c r="O29" s="35"/>
      <c r="P29" s="33"/>
      <c r="Q29" s="33">
        <v>44.9</v>
      </c>
      <c r="R29" s="36">
        <f t="shared" si="4"/>
        <v>44.9</v>
      </c>
      <c r="S29" s="29">
        <v>4</v>
      </c>
      <c r="T29" s="286">
        <v>36856</v>
      </c>
      <c r="U29" s="295">
        <v>36888</v>
      </c>
      <c r="V29" s="38" t="s">
        <v>910</v>
      </c>
      <c r="W29" s="29" t="s">
        <v>20</v>
      </c>
      <c r="X29" s="29" t="s">
        <v>12</v>
      </c>
      <c r="Y29" s="39">
        <v>44.9</v>
      </c>
      <c r="AD29" s="38"/>
      <c r="AG29" s="39"/>
      <c r="AL29" s="38"/>
      <c r="AO29" s="39"/>
      <c r="AP29" s="38"/>
      <c r="AS29" s="39"/>
      <c r="AW29" s="39"/>
      <c r="BA29" s="40"/>
    </row>
    <row r="30" spans="1:53" s="29" customFormat="1" x14ac:dyDescent="0.15">
      <c r="A30" s="29">
        <v>2001</v>
      </c>
      <c r="B30" s="295"/>
      <c r="C30" s="411" t="s">
        <v>1162</v>
      </c>
      <c r="D30" s="411"/>
      <c r="E30" s="29">
        <v>0</v>
      </c>
      <c r="G30" s="30"/>
      <c r="H30" s="31"/>
      <c r="I30" s="31">
        <v>23</v>
      </c>
      <c r="J30" s="32">
        <v>23</v>
      </c>
      <c r="K30" s="33">
        <f t="shared" si="0"/>
        <v>0</v>
      </c>
      <c r="L30" s="33">
        <f t="shared" si="1"/>
        <v>0</v>
      </c>
      <c r="M30" s="33">
        <f t="shared" si="2"/>
        <v>100</v>
      </c>
      <c r="N30" s="34">
        <f t="shared" si="3"/>
        <v>100</v>
      </c>
      <c r="O30" s="35"/>
      <c r="P30" s="33"/>
      <c r="Q30" s="33">
        <v>44.9</v>
      </c>
      <c r="R30" s="36">
        <f t="shared" si="4"/>
        <v>44.9</v>
      </c>
      <c r="S30" s="29">
        <v>4</v>
      </c>
      <c r="T30" s="286"/>
      <c r="U30" s="295"/>
      <c r="V30" s="38" t="s">
        <v>910</v>
      </c>
      <c r="W30" s="29" t="s">
        <v>20</v>
      </c>
      <c r="X30" s="29" t="s">
        <v>12</v>
      </c>
      <c r="Y30" s="39">
        <v>44.9</v>
      </c>
      <c r="AD30" s="38"/>
      <c r="AG30" s="39"/>
      <c r="AL30" s="38"/>
      <c r="AO30" s="39"/>
      <c r="AP30" s="38"/>
      <c r="AS30" s="39"/>
      <c r="AW30" s="39"/>
      <c r="BA30" s="40"/>
    </row>
    <row r="31" spans="1:53" s="29" customFormat="1" x14ac:dyDescent="0.15">
      <c r="A31" s="29">
        <v>2001</v>
      </c>
      <c r="B31" s="295"/>
      <c r="C31" s="411" t="s">
        <v>1162</v>
      </c>
      <c r="D31" s="411"/>
      <c r="E31" s="29">
        <v>365</v>
      </c>
      <c r="G31" s="30"/>
      <c r="H31" s="31"/>
      <c r="I31" s="31">
        <v>23</v>
      </c>
      <c r="J31" s="32">
        <v>23</v>
      </c>
      <c r="K31" s="33">
        <f t="shared" si="0"/>
        <v>0</v>
      </c>
      <c r="L31" s="33">
        <f t="shared" si="1"/>
        <v>0</v>
      </c>
      <c r="M31" s="33">
        <f t="shared" si="2"/>
        <v>100</v>
      </c>
      <c r="N31" s="34">
        <f t="shared" si="3"/>
        <v>100</v>
      </c>
      <c r="O31" s="35"/>
      <c r="P31" s="33"/>
      <c r="Q31" s="33">
        <v>44.9</v>
      </c>
      <c r="R31" s="36">
        <f t="shared" si="4"/>
        <v>44.9</v>
      </c>
      <c r="S31" s="29">
        <v>4</v>
      </c>
      <c r="T31" s="286"/>
      <c r="U31" s="295"/>
      <c r="V31" s="38" t="s">
        <v>910</v>
      </c>
      <c r="W31" s="29" t="s">
        <v>20</v>
      </c>
      <c r="X31" s="29" t="s">
        <v>12</v>
      </c>
      <c r="Y31" s="39">
        <v>44.9</v>
      </c>
      <c r="AD31" s="38"/>
      <c r="AG31" s="39"/>
      <c r="AL31" s="38"/>
      <c r="AO31" s="39"/>
      <c r="AP31" s="38"/>
      <c r="AS31" s="39"/>
      <c r="AW31" s="39"/>
      <c r="BA31" s="40"/>
    </row>
    <row r="32" spans="1:53" s="29" customFormat="1" x14ac:dyDescent="0.15">
      <c r="A32" s="29">
        <v>2002</v>
      </c>
      <c r="B32" s="295"/>
      <c r="C32" s="411" t="s">
        <v>1162</v>
      </c>
      <c r="D32" s="411"/>
      <c r="E32" s="29">
        <v>0</v>
      </c>
      <c r="G32" s="30"/>
      <c r="H32" s="31"/>
      <c r="I32" s="31">
        <v>23</v>
      </c>
      <c r="J32" s="32">
        <v>23</v>
      </c>
      <c r="K32" s="33">
        <f t="shared" si="0"/>
        <v>0</v>
      </c>
      <c r="L32" s="33">
        <f t="shared" si="1"/>
        <v>0</v>
      </c>
      <c r="M32" s="33">
        <f t="shared" si="2"/>
        <v>100</v>
      </c>
      <c r="N32" s="34">
        <f t="shared" si="3"/>
        <v>100</v>
      </c>
      <c r="O32" s="35"/>
      <c r="P32" s="33"/>
      <c r="Q32" s="33">
        <v>44.9</v>
      </c>
      <c r="R32" s="36">
        <f t="shared" si="4"/>
        <v>44.9</v>
      </c>
      <c r="S32" s="29">
        <v>4</v>
      </c>
      <c r="T32" s="286"/>
      <c r="U32" s="295"/>
      <c r="V32" s="38" t="s">
        <v>910</v>
      </c>
      <c r="W32" s="29" t="s">
        <v>20</v>
      </c>
      <c r="X32" s="29" t="s">
        <v>12</v>
      </c>
      <c r="Y32" s="39">
        <v>44.9</v>
      </c>
      <c r="AD32" s="38"/>
      <c r="AG32" s="39"/>
      <c r="AL32" s="38"/>
      <c r="AO32" s="39"/>
      <c r="AP32" s="38"/>
      <c r="AS32" s="39"/>
      <c r="AW32" s="39"/>
      <c r="BA32" s="40"/>
    </row>
    <row r="33" spans="1:53" s="29" customFormat="1" x14ac:dyDescent="0.15">
      <c r="A33" s="29">
        <v>2002</v>
      </c>
      <c r="B33" s="295"/>
      <c r="C33" s="411" t="s">
        <v>1162</v>
      </c>
      <c r="D33" s="411"/>
      <c r="E33" s="29">
        <v>365</v>
      </c>
      <c r="G33" s="30"/>
      <c r="H33" s="31"/>
      <c r="I33" s="31">
        <v>23</v>
      </c>
      <c r="J33" s="32">
        <v>23</v>
      </c>
      <c r="K33" s="33">
        <f t="shared" si="0"/>
        <v>0</v>
      </c>
      <c r="L33" s="33">
        <f t="shared" si="1"/>
        <v>0</v>
      </c>
      <c r="M33" s="33">
        <f t="shared" si="2"/>
        <v>100</v>
      </c>
      <c r="N33" s="34">
        <f t="shared" si="3"/>
        <v>100</v>
      </c>
      <c r="O33" s="35"/>
      <c r="P33" s="33"/>
      <c r="Q33" s="33">
        <v>44.9</v>
      </c>
      <c r="R33" s="36">
        <f t="shared" si="4"/>
        <v>44.9</v>
      </c>
      <c r="S33" s="29">
        <v>4</v>
      </c>
      <c r="T33" s="286"/>
      <c r="U33" s="295"/>
      <c r="V33" s="38" t="s">
        <v>910</v>
      </c>
      <c r="W33" s="29" t="s">
        <v>20</v>
      </c>
      <c r="X33" s="29" t="s">
        <v>12</v>
      </c>
      <c r="Y33" s="39">
        <v>44.9</v>
      </c>
      <c r="AD33" s="38"/>
      <c r="AG33" s="39"/>
      <c r="AL33" s="38"/>
      <c r="AO33" s="39"/>
      <c r="AP33" s="38"/>
      <c r="AS33" s="39"/>
      <c r="AW33" s="39"/>
      <c r="BA33" s="40"/>
    </row>
    <row r="34" spans="1:53" s="29" customFormat="1" x14ac:dyDescent="0.15">
      <c r="A34" s="29">
        <v>2003</v>
      </c>
      <c r="B34" s="295"/>
      <c r="C34" s="411" t="s">
        <v>1162</v>
      </c>
      <c r="D34" s="411"/>
      <c r="E34" s="29">
        <v>0</v>
      </c>
      <c r="G34" s="30"/>
      <c r="H34" s="31"/>
      <c r="I34" s="31">
        <v>23</v>
      </c>
      <c r="J34" s="32">
        <v>23</v>
      </c>
      <c r="K34" s="33">
        <f t="shared" si="0"/>
        <v>0</v>
      </c>
      <c r="L34" s="33">
        <f t="shared" si="1"/>
        <v>0</v>
      </c>
      <c r="M34" s="33">
        <f t="shared" si="2"/>
        <v>100</v>
      </c>
      <c r="N34" s="34">
        <f t="shared" si="3"/>
        <v>100</v>
      </c>
      <c r="O34" s="35"/>
      <c r="P34" s="33"/>
      <c r="Q34" s="33">
        <v>44.9</v>
      </c>
      <c r="R34" s="36">
        <f t="shared" si="4"/>
        <v>44.9</v>
      </c>
      <c r="S34" s="29">
        <v>4</v>
      </c>
      <c r="T34" s="286"/>
      <c r="U34" s="295"/>
      <c r="V34" s="38" t="s">
        <v>910</v>
      </c>
      <c r="W34" s="29" t="s">
        <v>20</v>
      </c>
      <c r="X34" s="29" t="s">
        <v>12</v>
      </c>
      <c r="Y34" s="39">
        <v>44.9</v>
      </c>
      <c r="AD34" s="38"/>
      <c r="AG34" s="39"/>
      <c r="AL34" s="38"/>
      <c r="AO34" s="39"/>
      <c r="AP34" s="38"/>
      <c r="AS34" s="39"/>
      <c r="AW34" s="39"/>
      <c r="BA34" s="40"/>
    </row>
    <row r="35" spans="1:53" s="29" customFormat="1" x14ac:dyDescent="0.15">
      <c r="A35" s="29">
        <v>2003</v>
      </c>
      <c r="B35" s="295"/>
      <c r="C35" s="411" t="s">
        <v>1162</v>
      </c>
      <c r="D35" s="411"/>
      <c r="E35" s="29">
        <v>365</v>
      </c>
      <c r="G35" s="30"/>
      <c r="H35" s="31"/>
      <c r="I35" s="31">
        <v>23</v>
      </c>
      <c r="J35" s="32">
        <v>23</v>
      </c>
      <c r="K35" s="33">
        <f t="shared" si="0"/>
        <v>0</v>
      </c>
      <c r="L35" s="33">
        <f t="shared" si="1"/>
        <v>0</v>
      </c>
      <c r="M35" s="33">
        <f t="shared" si="2"/>
        <v>100</v>
      </c>
      <c r="N35" s="34">
        <f t="shared" si="3"/>
        <v>100</v>
      </c>
      <c r="O35" s="35"/>
      <c r="P35" s="33"/>
      <c r="Q35" s="33">
        <v>44.9</v>
      </c>
      <c r="R35" s="36">
        <f t="shared" si="4"/>
        <v>44.9</v>
      </c>
      <c r="S35" s="29">
        <v>4</v>
      </c>
      <c r="T35" s="286"/>
      <c r="U35" s="295"/>
      <c r="V35" s="38" t="s">
        <v>910</v>
      </c>
      <c r="W35" s="29" t="s">
        <v>20</v>
      </c>
      <c r="X35" s="29" t="s">
        <v>12</v>
      </c>
      <c r="Y35" s="39">
        <v>44.9</v>
      </c>
      <c r="AD35" s="38"/>
      <c r="AG35" s="39"/>
      <c r="AL35" s="38"/>
      <c r="AO35" s="39"/>
      <c r="AP35" s="38"/>
      <c r="AS35" s="39"/>
      <c r="AW35" s="39"/>
      <c r="BA35" s="40"/>
    </row>
    <row r="36" spans="1:53" s="29" customFormat="1" x14ac:dyDescent="0.15">
      <c r="A36" s="29">
        <v>2004</v>
      </c>
      <c r="B36" s="295"/>
      <c r="C36" s="411" t="s">
        <v>1162</v>
      </c>
      <c r="D36" s="411"/>
      <c r="E36" s="29">
        <v>363</v>
      </c>
      <c r="G36" s="30"/>
      <c r="H36" s="31"/>
      <c r="I36" s="31">
        <v>23</v>
      </c>
      <c r="J36" s="32">
        <v>23</v>
      </c>
      <c r="K36" s="33">
        <f t="shared" si="0"/>
        <v>0</v>
      </c>
      <c r="L36" s="33">
        <f t="shared" si="1"/>
        <v>0</v>
      </c>
      <c r="M36" s="33">
        <f t="shared" si="2"/>
        <v>100</v>
      </c>
      <c r="N36" s="34">
        <f t="shared" si="3"/>
        <v>100</v>
      </c>
      <c r="O36" s="35"/>
      <c r="P36" s="33"/>
      <c r="Q36" s="33">
        <v>44.9</v>
      </c>
      <c r="R36" s="36">
        <f t="shared" si="4"/>
        <v>44.9</v>
      </c>
      <c r="S36" s="29">
        <v>4</v>
      </c>
      <c r="T36" s="286"/>
      <c r="U36" s="295"/>
      <c r="V36" s="38" t="s">
        <v>910</v>
      </c>
      <c r="W36" s="29" t="s">
        <v>20</v>
      </c>
      <c r="X36" s="29" t="s">
        <v>12</v>
      </c>
      <c r="Y36" s="39">
        <v>44.9</v>
      </c>
      <c r="AD36" s="38"/>
      <c r="AG36" s="39"/>
      <c r="AL36" s="38"/>
      <c r="AO36" s="39"/>
      <c r="AP36" s="38"/>
      <c r="AS36" s="39"/>
      <c r="AW36" s="39"/>
      <c r="BA36" s="40"/>
    </row>
    <row r="37" spans="1:53" s="171" customFormat="1" x14ac:dyDescent="0.15">
      <c r="A37" s="171">
        <v>2004</v>
      </c>
      <c r="B37" s="306">
        <v>38350</v>
      </c>
      <c r="C37" s="410" t="s">
        <v>1163</v>
      </c>
      <c r="D37" s="410"/>
      <c r="E37" s="171">
        <f xml:space="preserve"> 366-E36</f>
        <v>3</v>
      </c>
      <c r="F37" s="171">
        <v>1</v>
      </c>
      <c r="G37" s="172">
        <v>10</v>
      </c>
      <c r="H37" s="117">
        <v>7</v>
      </c>
      <c r="I37" s="117">
        <v>7</v>
      </c>
      <c r="J37" s="173">
        <v>25</v>
      </c>
      <c r="K37" s="174">
        <f t="shared" si="0"/>
        <v>40</v>
      </c>
      <c r="L37" s="174">
        <f t="shared" si="1"/>
        <v>28.000000000000004</v>
      </c>
      <c r="M37" s="174">
        <f t="shared" si="2"/>
        <v>28.000000000000004</v>
      </c>
      <c r="N37" s="175">
        <f t="shared" si="3"/>
        <v>96</v>
      </c>
      <c r="O37" s="176">
        <v>19.2</v>
      </c>
      <c r="P37" s="174">
        <v>12.3</v>
      </c>
      <c r="Q37" s="174">
        <v>14.5</v>
      </c>
      <c r="R37" s="177">
        <f t="shared" si="4"/>
        <v>46</v>
      </c>
      <c r="S37" s="171">
        <v>5</v>
      </c>
      <c r="T37" s="285">
        <v>38319</v>
      </c>
      <c r="U37" s="306">
        <v>38350</v>
      </c>
      <c r="V37" s="178" t="s">
        <v>907</v>
      </c>
      <c r="W37" s="171" t="s">
        <v>22</v>
      </c>
      <c r="X37" s="171" t="s">
        <v>11</v>
      </c>
      <c r="Y37" s="179">
        <v>19.2</v>
      </c>
      <c r="Z37" s="171" t="s">
        <v>555</v>
      </c>
      <c r="AA37" s="171" t="s">
        <v>97</v>
      </c>
      <c r="AB37" s="171" t="s">
        <v>12</v>
      </c>
      <c r="AC37" s="171">
        <v>14.5</v>
      </c>
      <c r="AD37" s="178" t="s">
        <v>915</v>
      </c>
      <c r="AE37" s="171" t="s">
        <v>89</v>
      </c>
      <c r="AF37" s="171" t="s">
        <v>18</v>
      </c>
      <c r="AG37" s="179">
        <v>6.6</v>
      </c>
      <c r="AH37" s="171" t="s">
        <v>918</v>
      </c>
      <c r="AI37" s="171" t="s">
        <v>327</v>
      </c>
      <c r="AJ37" s="171" t="s">
        <v>18</v>
      </c>
      <c r="AK37" s="171">
        <v>5.7</v>
      </c>
      <c r="AL37" s="178"/>
      <c r="AO37" s="179"/>
      <c r="AP37" s="178"/>
      <c r="AS37" s="179"/>
      <c r="AW37" s="179"/>
      <c r="BA37" s="180"/>
    </row>
    <row r="38" spans="1:53" s="171" customFormat="1" x14ac:dyDescent="0.15">
      <c r="A38" s="171">
        <v>2005</v>
      </c>
      <c r="B38" s="306"/>
      <c r="C38" s="410" t="s">
        <v>1163</v>
      </c>
      <c r="D38" s="410"/>
      <c r="E38" s="171">
        <v>20</v>
      </c>
      <c r="G38" s="172">
        <v>10</v>
      </c>
      <c r="H38" s="117">
        <v>7</v>
      </c>
      <c r="I38" s="117">
        <v>7</v>
      </c>
      <c r="J38" s="173">
        <v>25</v>
      </c>
      <c r="K38" s="174">
        <f t="shared" si="0"/>
        <v>40</v>
      </c>
      <c r="L38" s="174">
        <f t="shared" si="1"/>
        <v>28.000000000000004</v>
      </c>
      <c r="M38" s="174">
        <f t="shared" si="2"/>
        <v>28.000000000000004</v>
      </c>
      <c r="N38" s="175">
        <f t="shared" si="3"/>
        <v>96</v>
      </c>
      <c r="O38" s="176">
        <v>19.2</v>
      </c>
      <c r="P38" s="174">
        <v>12.3</v>
      </c>
      <c r="Q38" s="174">
        <v>14.5</v>
      </c>
      <c r="R38" s="177">
        <f t="shared" si="4"/>
        <v>46</v>
      </c>
      <c r="S38" s="171">
        <v>5</v>
      </c>
      <c r="T38" s="285"/>
      <c r="U38" s="283"/>
      <c r="V38" s="178" t="s">
        <v>907</v>
      </c>
      <c r="W38" s="171" t="s">
        <v>22</v>
      </c>
      <c r="X38" s="171" t="s">
        <v>11</v>
      </c>
      <c r="Y38" s="179">
        <v>19.2</v>
      </c>
      <c r="Z38" s="171" t="s">
        <v>555</v>
      </c>
      <c r="AA38" s="171" t="s">
        <v>97</v>
      </c>
      <c r="AB38" s="171" t="s">
        <v>12</v>
      </c>
      <c r="AC38" s="171">
        <v>14.5</v>
      </c>
      <c r="AD38" s="178" t="s">
        <v>915</v>
      </c>
      <c r="AE38" s="171" t="s">
        <v>89</v>
      </c>
      <c r="AF38" s="171" t="s">
        <v>18</v>
      </c>
      <c r="AG38" s="179">
        <v>6.6</v>
      </c>
      <c r="AH38" s="171" t="s">
        <v>918</v>
      </c>
      <c r="AI38" s="171" t="s">
        <v>327</v>
      </c>
      <c r="AJ38" s="171" t="s">
        <v>18</v>
      </c>
      <c r="AK38" s="171">
        <v>5.7</v>
      </c>
      <c r="AL38" s="178"/>
      <c r="AO38" s="179"/>
      <c r="AP38" s="178"/>
      <c r="AS38" s="179"/>
      <c r="AW38" s="179"/>
      <c r="BA38" s="180"/>
    </row>
    <row r="39" spans="1:53" s="171" customFormat="1" x14ac:dyDescent="0.15">
      <c r="A39" s="171">
        <v>2005</v>
      </c>
      <c r="B39" s="305">
        <v>38373</v>
      </c>
      <c r="C39" s="410" t="s">
        <v>1163</v>
      </c>
      <c r="D39" s="410"/>
      <c r="E39" s="171">
        <f>365-E38</f>
        <v>345</v>
      </c>
      <c r="F39" s="244">
        <v>0</v>
      </c>
      <c r="G39" s="172">
        <v>10</v>
      </c>
      <c r="H39" s="117">
        <v>6</v>
      </c>
      <c r="I39" s="117">
        <v>7</v>
      </c>
      <c r="J39" s="173">
        <v>24</v>
      </c>
      <c r="K39" s="174">
        <f t="shared" si="0"/>
        <v>41.666666666666671</v>
      </c>
      <c r="L39" s="174">
        <f t="shared" si="1"/>
        <v>25</v>
      </c>
      <c r="M39" s="174">
        <f t="shared" si="2"/>
        <v>29.166666666666668</v>
      </c>
      <c r="N39" s="175">
        <f t="shared" si="3"/>
        <v>95.833333333333343</v>
      </c>
      <c r="O39" s="176">
        <v>19.2</v>
      </c>
      <c r="P39" s="174">
        <v>12.3</v>
      </c>
      <c r="Q39" s="174">
        <v>14.5</v>
      </c>
      <c r="R39" s="177">
        <f t="shared" si="4"/>
        <v>46</v>
      </c>
      <c r="S39" s="171">
        <v>5</v>
      </c>
      <c r="T39" s="285"/>
      <c r="U39" s="283"/>
      <c r="V39" s="178" t="s">
        <v>907</v>
      </c>
      <c r="W39" s="171" t="s">
        <v>22</v>
      </c>
      <c r="X39" s="171" t="s">
        <v>11</v>
      </c>
      <c r="Y39" s="179">
        <v>19.2</v>
      </c>
      <c r="Z39" s="171" t="s">
        <v>555</v>
      </c>
      <c r="AA39" s="171" t="s">
        <v>97</v>
      </c>
      <c r="AB39" s="171" t="s">
        <v>12</v>
      </c>
      <c r="AC39" s="171">
        <v>14.5</v>
      </c>
      <c r="AD39" s="178" t="s">
        <v>915</v>
      </c>
      <c r="AE39" s="171" t="s">
        <v>89</v>
      </c>
      <c r="AF39" s="171" t="s">
        <v>18</v>
      </c>
      <c r="AG39" s="179">
        <v>6.6</v>
      </c>
      <c r="AH39" s="171" t="s">
        <v>918</v>
      </c>
      <c r="AI39" s="171" t="s">
        <v>327</v>
      </c>
      <c r="AJ39" s="171" t="s">
        <v>18</v>
      </c>
      <c r="AK39" s="171">
        <v>5.7</v>
      </c>
      <c r="AL39" s="178"/>
      <c r="AO39" s="179"/>
      <c r="AP39" s="178"/>
      <c r="AS39" s="179"/>
      <c r="AW39" s="179"/>
      <c r="BA39" s="180"/>
    </row>
    <row r="40" spans="1:53" s="171" customFormat="1" x14ac:dyDescent="0.15">
      <c r="A40" s="171">
        <v>2006</v>
      </c>
      <c r="B40" s="306"/>
      <c r="C40" s="410" t="s">
        <v>1163</v>
      </c>
      <c r="D40" s="410"/>
      <c r="E40" s="171">
        <v>162</v>
      </c>
      <c r="G40" s="172">
        <v>10</v>
      </c>
      <c r="H40" s="117">
        <v>6</v>
      </c>
      <c r="I40" s="117">
        <v>7</v>
      </c>
      <c r="J40" s="173">
        <v>24</v>
      </c>
      <c r="K40" s="174">
        <f>G40/J40*100</f>
        <v>41.666666666666671</v>
      </c>
      <c r="L40" s="174">
        <f>H40/J40*100</f>
        <v>25</v>
      </c>
      <c r="M40" s="174">
        <f>I40/J40*100</f>
        <v>29.166666666666668</v>
      </c>
      <c r="N40" s="175">
        <f t="shared" si="3"/>
        <v>95.833333333333343</v>
      </c>
      <c r="O40" s="176">
        <v>19.2</v>
      </c>
      <c r="P40" s="174">
        <v>12.3</v>
      </c>
      <c r="Q40" s="174">
        <v>14.5</v>
      </c>
      <c r="R40" s="177">
        <f t="shared" si="4"/>
        <v>46</v>
      </c>
      <c r="S40" s="171">
        <v>5</v>
      </c>
      <c r="T40" s="285"/>
      <c r="U40" s="283"/>
      <c r="V40" s="178" t="s">
        <v>907</v>
      </c>
      <c r="W40" s="171" t="s">
        <v>22</v>
      </c>
      <c r="X40" s="171" t="s">
        <v>11</v>
      </c>
      <c r="Y40" s="179">
        <v>19.2</v>
      </c>
      <c r="Z40" s="171" t="s">
        <v>555</v>
      </c>
      <c r="AA40" s="171" t="s">
        <v>97</v>
      </c>
      <c r="AB40" s="171" t="s">
        <v>12</v>
      </c>
      <c r="AC40" s="171">
        <v>14.5</v>
      </c>
      <c r="AD40" s="178" t="s">
        <v>915</v>
      </c>
      <c r="AE40" s="171" t="s">
        <v>89</v>
      </c>
      <c r="AF40" s="171" t="s">
        <v>18</v>
      </c>
      <c r="AG40" s="179">
        <v>6.6</v>
      </c>
      <c r="AH40" s="171" t="s">
        <v>918</v>
      </c>
      <c r="AI40" s="171" t="s">
        <v>327</v>
      </c>
      <c r="AJ40" s="171" t="s">
        <v>18</v>
      </c>
      <c r="AK40" s="171">
        <v>5.7</v>
      </c>
      <c r="AL40" s="178"/>
      <c r="AO40" s="179"/>
      <c r="AP40" s="178"/>
      <c r="AS40" s="179"/>
      <c r="AW40" s="179"/>
      <c r="BA40" s="180"/>
    </row>
    <row r="41" spans="1:53" s="171" customFormat="1" x14ac:dyDescent="0.15">
      <c r="A41" s="171">
        <v>2006</v>
      </c>
      <c r="B41" s="305">
        <v>38880</v>
      </c>
      <c r="C41" s="410" t="s">
        <v>1163</v>
      </c>
      <c r="D41" s="410"/>
      <c r="E41" s="171">
        <v>136</v>
      </c>
      <c r="F41" s="244">
        <v>0</v>
      </c>
      <c r="G41" s="172">
        <v>10</v>
      </c>
      <c r="H41" s="117">
        <v>6</v>
      </c>
      <c r="I41" s="117">
        <v>6</v>
      </c>
      <c r="J41" s="173">
        <v>23</v>
      </c>
      <c r="K41" s="174">
        <f>G41/J41*100</f>
        <v>43.478260869565219</v>
      </c>
      <c r="L41" s="174">
        <f>H41/J41*100</f>
        <v>26.086956521739129</v>
      </c>
      <c r="M41" s="174">
        <f>I41/J41*100</f>
        <v>26.086956521739129</v>
      </c>
      <c r="N41" s="175">
        <f t="shared" si="3"/>
        <v>95.65217391304347</v>
      </c>
      <c r="O41" s="176">
        <v>19.2</v>
      </c>
      <c r="P41" s="174">
        <v>12.3</v>
      </c>
      <c r="Q41" s="174">
        <v>14.5</v>
      </c>
      <c r="R41" s="177">
        <f t="shared" si="4"/>
        <v>46</v>
      </c>
      <c r="S41" s="171">
        <v>5</v>
      </c>
      <c r="T41" s="285"/>
      <c r="U41" s="283"/>
      <c r="V41" s="178" t="s">
        <v>907</v>
      </c>
      <c r="W41" s="171" t="s">
        <v>22</v>
      </c>
      <c r="X41" s="171" t="s">
        <v>11</v>
      </c>
      <c r="Y41" s="179">
        <v>19.2</v>
      </c>
      <c r="Z41" s="171" t="s">
        <v>555</v>
      </c>
      <c r="AA41" s="171" t="s">
        <v>97</v>
      </c>
      <c r="AB41" s="171" t="s">
        <v>12</v>
      </c>
      <c r="AC41" s="171">
        <v>14.5</v>
      </c>
      <c r="AD41" s="178" t="s">
        <v>915</v>
      </c>
      <c r="AE41" s="171" t="s">
        <v>89</v>
      </c>
      <c r="AF41" s="171" t="s">
        <v>18</v>
      </c>
      <c r="AG41" s="179">
        <v>6.6</v>
      </c>
      <c r="AH41" s="171" t="s">
        <v>918</v>
      </c>
      <c r="AI41" s="171" t="s">
        <v>327</v>
      </c>
      <c r="AJ41" s="171" t="s">
        <v>18</v>
      </c>
      <c r="AK41" s="171">
        <v>5.7</v>
      </c>
      <c r="AL41" s="178"/>
      <c r="AO41" s="179"/>
      <c r="AP41" s="178"/>
      <c r="AS41" s="179"/>
      <c r="AW41" s="179"/>
      <c r="BA41" s="180"/>
    </row>
    <row r="42" spans="1:53" s="171" customFormat="1" x14ac:dyDescent="0.15">
      <c r="A42" s="171">
        <v>2006</v>
      </c>
      <c r="B42" s="305">
        <v>39016</v>
      </c>
      <c r="C42" s="410" t="s">
        <v>1163</v>
      </c>
      <c r="D42" s="410"/>
      <c r="E42" s="171">
        <v>46</v>
      </c>
      <c r="F42" s="244">
        <v>0</v>
      </c>
      <c r="G42" s="172">
        <v>9</v>
      </c>
      <c r="H42" s="117">
        <v>6</v>
      </c>
      <c r="I42" s="117">
        <v>7</v>
      </c>
      <c r="J42" s="173">
        <v>23</v>
      </c>
      <c r="K42" s="174">
        <f t="shared" si="0"/>
        <v>39.130434782608695</v>
      </c>
      <c r="L42" s="174">
        <f t="shared" si="1"/>
        <v>26.086956521739129</v>
      </c>
      <c r="M42" s="174">
        <f t="shared" si="2"/>
        <v>30.434782608695656</v>
      </c>
      <c r="N42" s="175">
        <f t="shared" si="3"/>
        <v>95.652173913043484</v>
      </c>
      <c r="O42" s="176">
        <v>19.2</v>
      </c>
      <c r="P42" s="174">
        <v>12.3</v>
      </c>
      <c r="Q42" s="174">
        <v>14.5</v>
      </c>
      <c r="R42" s="177">
        <f t="shared" si="4"/>
        <v>46</v>
      </c>
      <c r="S42" s="171">
        <v>5</v>
      </c>
      <c r="T42" s="285"/>
      <c r="U42" s="283"/>
      <c r="V42" s="178" t="s">
        <v>907</v>
      </c>
      <c r="W42" s="171" t="s">
        <v>22</v>
      </c>
      <c r="X42" s="171" t="s">
        <v>11</v>
      </c>
      <c r="Y42" s="179">
        <v>19.2</v>
      </c>
      <c r="Z42" s="171" t="s">
        <v>555</v>
      </c>
      <c r="AA42" s="171" t="s">
        <v>97</v>
      </c>
      <c r="AB42" s="171" t="s">
        <v>12</v>
      </c>
      <c r="AC42" s="171">
        <v>14.5</v>
      </c>
      <c r="AD42" s="178" t="s">
        <v>915</v>
      </c>
      <c r="AE42" s="171" t="s">
        <v>89</v>
      </c>
      <c r="AF42" s="171" t="s">
        <v>18</v>
      </c>
      <c r="AG42" s="179">
        <v>6.6</v>
      </c>
      <c r="AH42" s="171" t="s">
        <v>918</v>
      </c>
      <c r="AI42" s="171" t="s">
        <v>327</v>
      </c>
      <c r="AJ42" s="171" t="s">
        <v>18</v>
      </c>
      <c r="AK42" s="171">
        <v>5.7</v>
      </c>
      <c r="AL42" s="178"/>
      <c r="AO42" s="179"/>
      <c r="AP42" s="178"/>
      <c r="AS42" s="179"/>
      <c r="AW42" s="179"/>
      <c r="BA42" s="180"/>
    </row>
    <row r="43" spans="1:53" s="171" customFormat="1" x14ac:dyDescent="0.15">
      <c r="A43" s="171">
        <v>2006</v>
      </c>
      <c r="B43" s="305">
        <v>39062</v>
      </c>
      <c r="C43" s="410" t="s">
        <v>1163</v>
      </c>
      <c r="D43" s="410"/>
      <c r="E43" s="171">
        <f xml:space="preserve"> 365-E42-E41-E40</f>
        <v>21</v>
      </c>
      <c r="F43" s="244">
        <v>0</v>
      </c>
      <c r="G43" s="172">
        <v>10</v>
      </c>
      <c r="H43" s="117">
        <v>5</v>
      </c>
      <c r="I43" s="117">
        <v>7</v>
      </c>
      <c r="J43" s="173">
        <v>23</v>
      </c>
      <c r="K43" s="174">
        <f t="shared" si="0"/>
        <v>43.478260869565219</v>
      </c>
      <c r="L43" s="174">
        <f t="shared" si="1"/>
        <v>21.739130434782609</v>
      </c>
      <c r="M43" s="174">
        <f t="shared" si="2"/>
        <v>30.434782608695656</v>
      </c>
      <c r="N43" s="175">
        <f t="shared" si="3"/>
        <v>95.652173913043484</v>
      </c>
      <c r="O43" s="176">
        <v>19.2</v>
      </c>
      <c r="P43" s="174">
        <v>12.3</v>
      </c>
      <c r="Q43" s="174">
        <v>14.5</v>
      </c>
      <c r="R43" s="177">
        <f t="shared" si="4"/>
        <v>46</v>
      </c>
      <c r="S43" s="171">
        <v>5</v>
      </c>
      <c r="T43" s="285"/>
      <c r="U43" s="283"/>
      <c r="V43" s="178" t="s">
        <v>907</v>
      </c>
      <c r="W43" s="171" t="s">
        <v>22</v>
      </c>
      <c r="X43" s="171" t="s">
        <v>11</v>
      </c>
      <c r="Y43" s="179">
        <v>19.2</v>
      </c>
      <c r="Z43" s="171" t="s">
        <v>555</v>
      </c>
      <c r="AA43" s="171" t="s">
        <v>97</v>
      </c>
      <c r="AB43" s="171" t="s">
        <v>12</v>
      </c>
      <c r="AC43" s="171">
        <v>14.5</v>
      </c>
      <c r="AD43" s="178" t="s">
        <v>915</v>
      </c>
      <c r="AE43" s="171" t="s">
        <v>89</v>
      </c>
      <c r="AF43" s="171" t="s">
        <v>18</v>
      </c>
      <c r="AG43" s="179">
        <v>6.6</v>
      </c>
      <c r="AH43" s="171" t="s">
        <v>918</v>
      </c>
      <c r="AI43" s="171" t="s">
        <v>327</v>
      </c>
      <c r="AJ43" s="171" t="s">
        <v>18</v>
      </c>
      <c r="AK43" s="171">
        <v>5.7</v>
      </c>
      <c r="AL43" s="178"/>
      <c r="AO43" s="179"/>
      <c r="AP43" s="178"/>
      <c r="AS43" s="179"/>
      <c r="AW43" s="179"/>
      <c r="BA43" s="180"/>
    </row>
    <row r="44" spans="1:53" s="171" customFormat="1" x14ac:dyDescent="0.15">
      <c r="A44" s="171">
        <v>2007</v>
      </c>
      <c r="B44" s="306"/>
      <c r="C44" s="410" t="s">
        <v>1163</v>
      </c>
      <c r="D44" s="410"/>
      <c r="E44" s="171">
        <v>94</v>
      </c>
      <c r="G44" s="172">
        <v>10</v>
      </c>
      <c r="H44" s="117">
        <v>5</v>
      </c>
      <c r="I44" s="117">
        <v>7</v>
      </c>
      <c r="J44" s="173">
        <v>23</v>
      </c>
      <c r="K44" s="174">
        <f t="shared" si="0"/>
        <v>43.478260869565219</v>
      </c>
      <c r="L44" s="174">
        <f t="shared" si="1"/>
        <v>21.739130434782609</v>
      </c>
      <c r="M44" s="174">
        <f t="shared" si="2"/>
        <v>30.434782608695656</v>
      </c>
      <c r="N44" s="175">
        <f t="shared" si="3"/>
        <v>95.652173913043484</v>
      </c>
      <c r="O44" s="176">
        <v>19.2</v>
      </c>
      <c r="P44" s="174">
        <v>12.3</v>
      </c>
      <c r="Q44" s="174">
        <v>14.5</v>
      </c>
      <c r="R44" s="177">
        <f t="shared" si="4"/>
        <v>46</v>
      </c>
      <c r="S44" s="171">
        <v>5</v>
      </c>
      <c r="T44" s="285"/>
      <c r="U44" s="283"/>
      <c r="V44" s="178" t="s">
        <v>907</v>
      </c>
      <c r="W44" s="171" t="s">
        <v>22</v>
      </c>
      <c r="X44" s="171" t="s">
        <v>11</v>
      </c>
      <c r="Y44" s="179">
        <v>19.2</v>
      </c>
      <c r="Z44" s="171" t="s">
        <v>555</v>
      </c>
      <c r="AA44" s="171" t="s">
        <v>97</v>
      </c>
      <c r="AB44" s="171" t="s">
        <v>12</v>
      </c>
      <c r="AC44" s="171">
        <v>14.5</v>
      </c>
      <c r="AD44" s="178" t="s">
        <v>915</v>
      </c>
      <c r="AE44" s="171" t="s">
        <v>89</v>
      </c>
      <c r="AF44" s="171" t="s">
        <v>18</v>
      </c>
      <c r="AG44" s="179">
        <v>6.6</v>
      </c>
      <c r="AH44" s="171" t="s">
        <v>918</v>
      </c>
      <c r="AI44" s="171" t="s">
        <v>327</v>
      </c>
      <c r="AJ44" s="171" t="s">
        <v>18</v>
      </c>
      <c r="AK44" s="171">
        <v>5.7</v>
      </c>
      <c r="AL44" s="178"/>
      <c r="AO44" s="179"/>
      <c r="AP44" s="178"/>
      <c r="AS44" s="179"/>
      <c r="AW44" s="179"/>
      <c r="BA44" s="180"/>
    </row>
    <row r="45" spans="1:53" s="29" customFormat="1" x14ac:dyDescent="0.15">
      <c r="A45" s="29">
        <v>2007</v>
      </c>
      <c r="B45" s="277">
        <v>39177</v>
      </c>
      <c r="C45" s="411" t="s">
        <v>1164</v>
      </c>
      <c r="D45" s="411"/>
      <c r="E45" s="29">
        <v>89</v>
      </c>
      <c r="F45" s="29">
        <v>4</v>
      </c>
      <c r="G45" s="30">
        <v>14</v>
      </c>
      <c r="H45" s="31">
        <v>4</v>
      </c>
      <c r="I45" s="31"/>
      <c r="J45" s="32">
        <v>18</v>
      </c>
      <c r="K45" s="33">
        <f>G45/J45*100</f>
        <v>77.777777777777786</v>
      </c>
      <c r="L45" s="33">
        <f>H45/J45*100</f>
        <v>22.222222222222221</v>
      </c>
      <c r="M45" s="33">
        <f>I45/J45*100</f>
        <v>0</v>
      </c>
      <c r="N45" s="34">
        <f>SUM(K45:M45)</f>
        <v>100</v>
      </c>
      <c r="O45" s="35">
        <v>16.899999999999999</v>
      </c>
      <c r="P45" s="33">
        <v>6.6</v>
      </c>
      <c r="Q45" s="33"/>
      <c r="R45" s="36">
        <f>SUM(O45:Q45)</f>
        <v>23.5</v>
      </c>
      <c r="S45" s="29">
        <v>5</v>
      </c>
      <c r="T45" s="286"/>
      <c r="U45" s="277">
        <v>39177</v>
      </c>
      <c r="V45" s="38" t="s">
        <v>907</v>
      </c>
      <c r="W45" s="29" t="s">
        <v>22</v>
      </c>
      <c r="X45" s="29" t="s">
        <v>11</v>
      </c>
      <c r="Y45" s="39">
        <v>19.2</v>
      </c>
      <c r="Z45" s="38" t="s">
        <v>915</v>
      </c>
      <c r="AA45" s="29" t="s">
        <v>89</v>
      </c>
      <c r="AB45" s="29" t="s">
        <v>18</v>
      </c>
      <c r="AC45" s="39">
        <v>6.6</v>
      </c>
      <c r="AD45" s="38"/>
      <c r="AG45" s="39"/>
      <c r="AL45" s="38"/>
      <c r="AO45" s="39"/>
      <c r="AP45" s="38"/>
      <c r="AS45" s="39"/>
      <c r="AW45" s="39"/>
      <c r="BA45" s="40"/>
    </row>
    <row r="46" spans="1:53" s="29" customFormat="1" x14ac:dyDescent="0.15">
      <c r="A46" s="29">
        <v>2007</v>
      </c>
      <c r="B46" s="303">
        <v>39266</v>
      </c>
      <c r="C46" s="411" t="s">
        <v>1164</v>
      </c>
      <c r="D46" s="411"/>
      <c r="E46" s="29">
        <v>100</v>
      </c>
      <c r="F46" s="84">
        <v>0</v>
      </c>
      <c r="G46" s="30">
        <v>14</v>
      </c>
      <c r="H46" s="31">
        <v>3</v>
      </c>
      <c r="I46" s="31"/>
      <c r="J46" s="32">
        <v>17</v>
      </c>
      <c r="K46" s="33">
        <f>G46/J46*100</f>
        <v>82.35294117647058</v>
      </c>
      <c r="L46" s="33">
        <f>H46/J46*100</f>
        <v>17.647058823529413</v>
      </c>
      <c r="M46" s="33">
        <f>I46/J46*100</f>
        <v>0</v>
      </c>
      <c r="N46" s="34">
        <f>SUM(K46:M46)</f>
        <v>100</v>
      </c>
      <c r="O46" s="35">
        <v>16.899999999999999</v>
      </c>
      <c r="P46" s="33">
        <v>6.6</v>
      </c>
      <c r="Q46" s="33"/>
      <c r="R46" s="36">
        <f>SUM(O46:Q46)</f>
        <v>23.5</v>
      </c>
      <c r="S46" s="29">
        <v>5</v>
      </c>
      <c r="T46" s="286"/>
      <c r="U46" s="277"/>
      <c r="V46" s="38" t="s">
        <v>907</v>
      </c>
      <c r="W46" s="29" t="s">
        <v>22</v>
      </c>
      <c r="X46" s="29" t="s">
        <v>11</v>
      </c>
      <c r="Y46" s="39">
        <v>19.2</v>
      </c>
      <c r="Z46" s="38" t="s">
        <v>915</v>
      </c>
      <c r="AA46" s="29" t="s">
        <v>89</v>
      </c>
      <c r="AB46" s="29" t="s">
        <v>18</v>
      </c>
      <c r="AC46" s="39">
        <v>6.6</v>
      </c>
      <c r="AD46" s="38"/>
      <c r="AG46" s="39"/>
      <c r="AL46" s="38"/>
      <c r="AO46" s="39"/>
      <c r="AP46" s="38"/>
      <c r="AS46" s="39"/>
      <c r="AW46" s="39"/>
      <c r="BA46" s="40"/>
    </row>
    <row r="47" spans="1:53" s="29" customFormat="1" x14ac:dyDescent="0.15">
      <c r="A47" s="29">
        <v>2007</v>
      </c>
      <c r="B47" s="303">
        <v>39366</v>
      </c>
      <c r="C47" s="411" t="s">
        <v>1164</v>
      </c>
      <c r="D47" s="411"/>
      <c r="E47" s="29">
        <v>82</v>
      </c>
      <c r="F47" s="84">
        <v>0</v>
      </c>
      <c r="G47" s="30">
        <v>13</v>
      </c>
      <c r="H47" s="31">
        <v>3</v>
      </c>
      <c r="I47" s="31"/>
      <c r="J47" s="32">
        <v>17</v>
      </c>
      <c r="K47" s="33">
        <f>G47/J47*100</f>
        <v>76.470588235294116</v>
      </c>
      <c r="L47" s="33">
        <f>H47/J47*100</f>
        <v>17.647058823529413</v>
      </c>
      <c r="M47" s="33">
        <f>I47/J47*100</f>
        <v>0</v>
      </c>
      <c r="N47" s="34">
        <f>SUM(K47:M47)</f>
        <v>94.117647058823536</v>
      </c>
      <c r="O47" s="35">
        <v>16.899999999999999</v>
      </c>
      <c r="P47" s="33">
        <v>6.6</v>
      </c>
      <c r="Q47" s="33"/>
      <c r="R47" s="36">
        <f>SUM(O47:Q47)</f>
        <v>23.5</v>
      </c>
      <c r="S47" s="29">
        <v>5</v>
      </c>
      <c r="T47" s="286"/>
      <c r="U47" s="277"/>
      <c r="V47" s="38" t="s">
        <v>907</v>
      </c>
      <c r="W47" s="29" t="s">
        <v>22</v>
      </c>
      <c r="X47" s="29" t="s">
        <v>11</v>
      </c>
      <c r="Y47" s="39">
        <v>19.2</v>
      </c>
      <c r="Z47" s="38" t="s">
        <v>915</v>
      </c>
      <c r="AA47" s="29" t="s">
        <v>89</v>
      </c>
      <c r="AB47" s="29" t="s">
        <v>18</v>
      </c>
      <c r="AC47" s="39">
        <v>6.6</v>
      </c>
      <c r="AD47" s="38"/>
      <c r="AG47" s="39"/>
      <c r="AL47" s="38"/>
      <c r="AO47" s="39"/>
      <c r="AP47" s="38"/>
      <c r="AS47" s="39"/>
      <c r="AW47" s="39"/>
      <c r="BA47" s="40"/>
    </row>
    <row r="48" spans="1:53" s="29" customFormat="1" x14ac:dyDescent="0.15">
      <c r="A48" s="29">
        <v>2008</v>
      </c>
      <c r="B48" s="277"/>
      <c r="C48" s="411" t="s">
        <v>1164</v>
      </c>
      <c r="D48" s="411"/>
      <c r="E48" s="29">
        <v>356</v>
      </c>
      <c r="G48" s="30">
        <v>13</v>
      </c>
      <c r="H48" s="31">
        <v>3</v>
      </c>
      <c r="I48" s="31"/>
      <c r="J48" s="32">
        <v>17</v>
      </c>
      <c r="K48" s="33">
        <f t="shared" si="0"/>
        <v>76.470588235294116</v>
      </c>
      <c r="L48" s="33">
        <f t="shared" si="1"/>
        <v>17.647058823529413</v>
      </c>
      <c r="M48" s="33">
        <f t="shared" si="2"/>
        <v>0</v>
      </c>
      <c r="N48" s="34">
        <f t="shared" si="3"/>
        <v>94.117647058823536</v>
      </c>
      <c r="O48" s="35">
        <v>16.899999999999999</v>
      </c>
      <c r="P48" s="33">
        <v>6.6</v>
      </c>
      <c r="Q48" s="33"/>
      <c r="R48" s="36">
        <f t="shared" si="4"/>
        <v>23.5</v>
      </c>
      <c r="S48" s="29">
        <v>5</v>
      </c>
      <c r="T48" s="286"/>
      <c r="U48" s="295"/>
      <c r="V48" s="38" t="s">
        <v>907</v>
      </c>
      <c r="W48" s="29" t="s">
        <v>22</v>
      </c>
      <c r="X48" s="29" t="s">
        <v>11</v>
      </c>
      <c r="Y48" s="39">
        <v>19.2</v>
      </c>
      <c r="Z48" s="38" t="s">
        <v>915</v>
      </c>
      <c r="AA48" s="29" t="s">
        <v>89</v>
      </c>
      <c r="AB48" s="29" t="s">
        <v>18</v>
      </c>
      <c r="AC48" s="39">
        <v>6.6</v>
      </c>
      <c r="AD48" s="38"/>
      <c r="AG48" s="39"/>
      <c r="AL48" s="38"/>
      <c r="AO48" s="39"/>
      <c r="AP48" s="38"/>
      <c r="AS48" s="39"/>
      <c r="AW48" s="39"/>
      <c r="BA48" s="40"/>
    </row>
    <row r="49" spans="1:53" s="171" customFormat="1" x14ac:dyDescent="0.15">
      <c r="A49" s="171">
        <v>2008</v>
      </c>
      <c r="B49" s="306">
        <v>39804</v>
      </c>
      <c r="C49" s="410" t="s">
        <v>920</v>
      </c>
      <c r="D49" s="410"/>
      <c r="E49" s="171">
        <f>366-E48</f>
        <v>10</v>
      </c>
      <c r="F49" s="171">
        <v>1</v>
      </c>
      <c r="G49" s="172">
        <v>10</v>
      </c>
      <c r="H49" s="117"/>
      <c r="I49" s="117">
        <v>10</v>
      </c>
      <c r="J49" s="173">
        <v>21</v>
      </c>
      <c r="K49" s="174">
        <f t="shared" si="0"/>
        <v>47.619047619047613</v>
      </c>
      <c r="L49" s="174">
        <f t="shared" si="1"/>
        <v>0</v>
      </c>
      <c r="M49" s="174">
        <f t="shared" si="2"/>
        <v>47.619047619047613</v>
      </c>
      <c r="N49" s="175">
        <f t="shared" si="3"/>
        <v>95.238095238095227</v>
      </c>
      <c r="O49" s="176">
        <v>34.4</v>
      </c>
      <c r="P49" s="174"/>
      <c r="Q49" s="117">
        <v>32.9</v>
      </c>
      <c r="R49" s="177">
        <f t="shared" si="4"/>
        <v>67.3</v>
      </c>
      <c r="S49" s="171">
        <v>2</v>
      </c>
      <c r="T49" s="285">
        <v>39782</v>
      </c>
      <c r="U49" s="306">
        <v>39804</v>
      </c>
      <c r="V49" s="178" t="s">
        <v>921</v>
      </c>
      <c r="W49" s="171" t="s">
        <v>99</v>
      </c>
      <c r="X49" s="171" t="s">
        <v>11</v>
      </c>
      <c r="Y49" s="179">
        <v>34.4</v>
      </c>
      <c r="Z49" s="171" t="s">
        <v>919</v>
      </c>
      <c r="AA49" s="171" t="s">
        <v>20</v>
      </c>
      <c r="AB49" s="171" t="s">
        <v>12</v>
      </c>
      <c r="AC49" s="171">
        <v>32.9</v>
      </c>
      <c r="AD49" s="178"/>
      <c r="AG49" s="179"/>
      <c r="AL49" s="178"/>
      <c r="AO49" s="179"/>
      <c r="AP49" s="178"/>
      <c r="AS49" s="179"/>
      <c r="AW49" s="179"/>
      <c r="BA49" s="180"/>
    </row>
    <row r="50" spans="1:53" s="171" customFormat="1" x14ac:dyDescent="0.15">
      <c r="A50" s="171">
        <v>2009</v>
      </c>
      <c r="B50" s="306"/>
      <c r="C50" s="410" t="s">
        <v>920</v>
      </c>
      <c r="D50" s="410"/>
      <c r="E50" s="171">
        <v>273</v>
      </c>
      <c r="G50" s="172">
        <v>10</v>
      </c>
      <c r="H50" s="117"/>
      <c r="I50" s="117">
        <v>10</v>
      </c>
      <c r="J50" s="173">
        <v>21</v>
      </c>
      <c r="K50" s="174">
        <f>G50/J50*100</f>
        <v>47.619047619047613</v>
      </c>
      <c r="L50" s="174">
        <f>H50/J50*100</f>
        <v>0</v>
      </c>
      <c r="M50" s="174">
        <f>I50/J50*100</f>
        <v>47.619047619047613</v>
      </c>
      <c r="N50" s="175">
        <f t="shared" si="3"/>
        <v>95.238095238095227</v>
      </c>
      <c r="O50" s="176">
        <v>34.4</v>
      </c>
      <c r="P50" s="174"/>
      <c r="Q50" s="117">
        <v>32.9</v>
      </c>
      <c r="R50" s="177">
        <f t="shared" si="4"/>
        <v>67.3</v>
      </c>
      <c r="S50" s="171">
        <v>2</v>
      </c>
      <c r="T50" s="285"/>
      <c r="U50" s="283"/>
      <c r="V50" s="178" t="s">
        <v>921</v>
      </c>
      <c r="W50" s="171" t="s">
        <v>99</v>
      </c>
      <c r="X50" s="171" t="s">
        <v>11</v>
      </c>
      <c r="Y50" s="179">
        <v>34.4</v>
      </c>
      <c r="Z50" s="171" t="s">
        <v>919</v>
      </c>
      <c r="AA50" s="171" t="s">
        <v>20</v>
      </c>
      <c r="AB50" s="171" t="s">
        <v>12</v>
      </c>
      <c r="AC50" s="171">
        <v>32.9</v>
      </c>
      <c r="AD50" s="178"/>
      <c r="AG50" s="179"/>
      <c r="AL50" s="178"/>
      <c r="AO50" s="179"/>
      <c r="AP50" s="178"/>
      <c r="AS50" s="179"/>
      <c r="AW50" s="179"/>
      <c r="BA50" s="180"/>
    </row>
    <row r="51" spans="1:53" s="29" customFormat="1" x14ac:dyDescent="0.15">
      <c r="A51" s="29">
        <v>2009</v>
      </c>
      <c r="B51" s="277">
        <v>40087</v>
      </c>
      <c r="C51" s="411" t="s">
        <v>922</v>
      </c>
      <c r="D51" s="411"/>
      <c r="E51" s="29">
        <v>83</v>
      </c>
      <c r="F51" s="29">
        <v>4</v>
      </c>
      <c r="G51" s="30">
        <v>18</v>
      </c>
      <c r="H51" s="31"/>
      <c r="I51" s="31"/>
      <c r="J51" s="32">
        <v>20</v>
      </c>
      <c r="K51" s="33">
        <f t="shared" si="0"/>
        <v>90</v>
      </c>
      <c r="L51" s="33">
        <f t="shared" si="1"/>
        <v>0</v>
      </c>
      <c r="M51" s="33">
        <f t="shared" si="2"/>
        <v>0</v>
      </c>
      <c r="N51" s="34">
        <f t="shared" si="3"/>
        <v>90</v>
      </c>
      <c r="O51" s="35">
        <v>34.4</v>
      </c>
      <c r="P51" s="33"/>
      <c r="Q51" s="33"/>
      <c r="R51" s="36">
        <f t="shared" si="4"/>
        <v>34.4</v>
      </c>
      <c r="S51" s="29">
        <v>4</v>
      </c>
      <c r="T51" s="286"/>
      <c r="U51" s="277">
        <v>40087</v>
      </c>
      <c r="V51" s="38" t="s">
        <v>921</v>
      </c>
      <c r="W51" s="29" t="s">
        <v>99</v>
      </c>
      <c r="X51" s="29" t="s">
        <v>11</v>
      </c>
      <c r="Y51" s="39">
        <v>34.4</v>
      </c>
      <c r="AD51" s="38"/>
      <c r="AG51" s="39"/>
      <c r="AL51" s="38"/>
      <c r="AO51" s="39"/>
      <c r="AP51" s="38"/>
      <c r="AS51" s="39"/>
      <c r="AW51" s="39"/>
      <c r="BA51" s="40"/>
    </row>
    <row r="52" spans="1:53" s="171" customFormat="1" x14ac:dyDescent="0.15">
      <c r="A52" s="171">
        <v>2009</v>
      </c>
      <c r="B52" s="306">
        <v>40170</v>
      </c>
      <c r="C52" s="410" t="s">
        <v>923</v>
      </c>
      <c r="D52" s="410"/>
      <c r="E52" s="171">
        <f xml:space="preserve"> 365-E51-E50</f>
        <v>9</v>
      </c>
      <c r="F52" s="171">
        <v>5</v>
      </c>
      <c r="G52" s="172">
        <v>8</v>
      </c>
      <c r="H52" s="117">
        <v>4</v>
      </c>
      <c r="I52" s="117"/>
      <c r="J52" s="173">
        <v>17</v>
      </c>
      <c r="K52" s="174">
        <f t="shared" si="0"/>
        <v>47.058823529411761</v>
      </c>
      <c r="L52" s="174">
        <f t="shared" si="1"/>
        <v>23.52941176470588</v>
      </c>
      <c r="M52" s="174">
        <f t="shared" si="2"/>
        <v>0</v>
      </c>
      <c r="N52" s="175">
        <f t="shared" si="3"/>
        <v>70.588235294117638</v>
      </c>
      <c r="O52" s="176">
        <v>34.4</v>
      </c>
      <c r="P52" s="174">
        <v>6.6</v>
      </c>
      <c r="Q52" s="174"/>
      <c r="R52" s="177">
        <f t="shared" si="4"/>
        <v>41</v>
      </c>
      <c r="S52" s="171">
        <v>5</v>
      </c>
      <c r="T52" s="285"/>
      <c r="U52" s="306">
        <v>40170</v>
      </c>
      <c r="V52" s="178" t="s">
        <v>921</v>
      </c>
      <c r="W52" s="171" t="s">
        <v>99</v>
      </c>
      <c r="X52" s="171" t="s">
        <v>11</v>
      </c>
      <c r="Y52" s="179">
        <v>34.4</v>
      </c>
      <c r="Z52" s="178" t="s">
        <v>915</v>
      </c>
      <c r="AA52" s="171" t="s">
        <v>89</v>
      </c>
      <c r="AB52" s="171" t="s">
        <v>18</v>
      </c>
      <c r="AC52" s="179">
        <v>6.6</v>
      </c>
      <c r="AD52" s="178"/>
      <c r="AG52" s="179"/>
      <c r="AL52" s="178"/>
      <c r="AO52" s="179"/>
      <c r="AP52" s="178"/>
      <c r="AS52" s="179"/>
      <c r="AW52" s="179"/>
      <c r="BA52" s="180"/>
    </row>
    <row r="53" spans="1:53" s="171" customFormat="1" x14ac:dyDescent="0.15">
      <c r="A53" s="171">
        <v>2010</v>
      </c>
      <c r="B53" s="306"/>
      <c r="C53" s="410" t="s">
        <v>923</v>
      </c>
      <c r="D53" s="410"/>
      <c r="E53" s="171">
        <v>245</v>
      </c>
      <c r="G53" s="172">
        <v>8</v>
      </c>
      <c r="H53" s="117">
        <v>4</v>
      </c>
      <c r="I53" s="117"/>
      <c r="J53" s="173">
        <v>17</v>
      </c>
      <c r="K53" s="174">
        <f>G53/J53*100</f>
        <v>47.058823529411761</v>
      </c>
      <c r="L53" s="174">
        <f>H53/J53*100</f>
        <v>23.52941176470588</v>
      </c>
      <c r="M53" s="174">
        <f>I53/J53*100</f>
        <v>0</v>
      </c>
      <c r="N53" s="175">
        <f t="shared" si="3"/>
        <v>70.588235294117638</v>
      </c>
      <c r="O53" s="176">
        <v>34.4</v>
      </c>
      <c r="P53" s="174">
        <v>6.6</v>
      </c>
      <c r="Q53" s="174"/>
      <c r="R53" s="177">
        <f t="shared" si="4"/>
        <v>41</v>
      </c>
      <c r="S53" s="171">
        <v>5</v>
      </c>
      <c r="T53" s="285"/>
      <c r="U53" s="283"/>
      <c r="V53" s="178" t="s">
        <v>921</v>
      </c>
      <c r="W53" s="171" t="s">
        <v>99</v>
      </c>
      <c r="X53" s="171" t="s">
        <v>11</v>
      </c>
      <c r="Y53" s="179">
        <v>34.4</v>
      </c>
      <c r="Z53" s="178" t="s">
        <v>915</v>
      </c>
      <c r="AA53" s="171" t="s">
        <v>89</v>
      </c>
      <c r="AB53" s="171" t="s">
        <v>18</v>
      </c>
      <c r="AC53" s="179">
        <v>6.6</v>
      </c>
      <c r="AD53" s="178"/>
      <c r="AG53" s="179"/>
      <c r="AL53" s="178"/>
      <c r="AO53" s="179"/>
      <c r="AP53" s="178"/>
      <c r="AS53" s="179"/>
      <c r="AW53" s="179"/>
      <c r="BA53" s="180"/>
    </row>
    <row r="54" spans="1:53" s="29" customFormat="1" x14ac:dyDescent="0.15">
      <c r="A54" s="29">
        <v>2010</v>
      </c>
      <c r="B54" s="277">
        <v>40424</v>
      </c>
      <c r="C54" s="411" t="s">
        <v>924</v>
      </c>
      <c r="D54" s="411"/>
      <c r="E54" s="29">
        <v>25</v>
      </c>
      <c r="F54" s="29">
        <v>7</v>
      </c>
      <c r="G54" s="30">
        <v>10</v>
      </c>
      <c r="H54" s="31">
        <v>4</v>
      </c>
      <c r="I54" s="31">
        <v>1</v>
      </c>
      <c r="J54" s="32">
        <v>17</v>
      </c>
      <c r="K54" s="33">
        <f t="shared" si="0"/>
        <v>58.82352941176471</v>
      </c>
      <c r="L54" s="33">
        <f t="shared" si="1"/>
        <v>23.52941176470588</v>
      </c>
      <c r="M54" s="33">
        <f t="shared" si="2"/>
        <v>5.8823529411764701</v>
      </c>
      <c r="N54" s="34">
        <f t="shared" si="3"/>
        <v>88.235294117647058</v>
      </c>
      <c r="O54" s="35">
        <v>37.1</v>
      </c>
      <c r="P54" s="33">
        <v>6.6</v>
      </c>
      <c r="Q54" s="33">
        <v>4.5</v>
      </c>
      <c r="R54" s="36">
        <f t="shared" si="4"/>
        <v>48.2</v>
      </c>
      <c r="S54" s="29">
        <v>5</v>
      </c>
      <c r="T54" s="286"/>
      <c r="U54" s="277">
        <v>40424</v>
      </c>
      <c r="V54" s="38" t="s">
        <v>921</v>
      </c>
      <c r="W54" s="29" t="s">
        <v>99</v>
      </c>
      <c r="X54" s="29" t="s">
        <v>11</v>
      </c>
      <c r="Y54" s="39">
        <v>37.1</v>
      </c>
      <c r="Z54" s="38" t="s">
        <v>915</v>
      </c>
      <c r="AA54" s="29" t="s">
        <v>89</v>
      </c>
      <c r="AB54" s="29" t="s">
        <v>18</v>
      </c>
      <c r="AC54" s="39">
        <v>6.6</v>
      </c>
      <c r="AD54" s="38" t="s">
        <v>925</v>
      </c>
      <c r="AE54" s="29" t="s">
        <v>327</v>
      </c>
      <c r="AF54" s="29" t="s">
        <v>12</v>
      </c>
      <c r="AG54" s="39">
        <v>4.5</v>
      </c>
      <c r="AL54" s="38"/>
      <c r="AO54" s="39"/>
      <c r="AP54" s="38"/>
      <c r="AS54" s="39"/>
      <c r="AW54" s="39"/>
      <c r="BA54" s="40"/>
    </row>
    <row r="55" spans="1:53" s="29" customFormat="1" x14ac:dyDescent="0.15">
      <c r="A55" s="29">
        <v>2010</v>
      </c>
      <c r="B55" s="303">
        <v>40449</v>
      </c>
      <c r="C55" s="411" t="s">
        <v>924</v>
      </c>
      <c r="D55" s="411"/>
      <c r="E55" s="29">
        <f xml:space="preserve"> 365-E54-E53</f>
        <v>95</v>
      </c>
      <c r="F55" s="84">
        <v>0</v>
      </c>
      <c r="G55" s="30">
        <v>11</v>
      </c>
      <c r="H55" s="31">
        <v>4</v>
      </c>
      <c r="I55" s="31">
        <v>1</v>
      </c>
      <c r="J55" s="32">
        <v>17</v>
      </c>
      <c r="K55" s="33">
        <f t="shared" si="0"/>
        <v>64.705882352941174</v>
      </c>
      <c r="L55" s="33">
        <f t="shared" si="1"/>
        <v>23.52941176470588</v>
      </c>
      <c r="M55" s="33">
        <f t="shared" si="2"/>
        <v>5.8823529411764701</v>
      </c>
      <c r="N55" s="34">
        <f t="shared" si="3"/>
        <v>94.117647058823522</v>
      </c>
      <c r="O55" s="35">
        <v>37.1</v>
      </c>
      <c r="P55" s="33">
        <v>6.6</v>
      </c>
      <c r="Q55" s="33">
        <v>4.5</v>
      </c>
      <c r="R55" s="36">
        <f t="shared" si="4"/>
        <v>48.2</v>
      </c>
      <c r="S55" s="29">
        <v>5</v>
      </c>
      <c r="T55" s="286"/>
      <c r="U55" s="295"/>
      <c r="V55" s="38" t="s">
        <v>921</v>
      </c>
      <c r="W55" s="29" t="s">
        <v>99</v>
      </c>
      <c r="X55" s="29" t="s">
        <v>11</v>
      </c>
      <c r="Y55" s="39">
        <v>37.1</v>
      </c>
      <c r="Z55" s="38" t="s">
        <v>915</v>
      </c>
      <c r="AA55" s="29" t="s">
        <v>89</v>
      </c>
      <c r="AB55" s="29" t="s">
        <v>18</v>
      </c>
      <c r="AC55" s="39">
        <v>6.6</v>
      </c>
      <c r="AD55" s="38" t="s">
        <v>925</v>
      </c>
      <c r="AE55" s="29" t="s">
        <v>327</v>
      </c>
      <c r="AF55" s="29" t="s">
        <v>12</v>
      </c>
      <c r="AG55" s="39">
        <v>4.5</v>
      </c>
      <c r="AL55" s="38"/>
      <c r="AO55" s="39"/>
      <c r="AP55" s="38"/>
      <c r="AS55" s="39"/>
      <c r="AW55" s="39"/>
      <c r="BA55" s="40"/>
    </row>
    <row r="56" spans="1:53" s="29" customFormat="1" x14ac:dyDescent="0.15">
      <c r="A56" s="29">
        <v>2011</v>
      </c>
      <c r="B56" s="277"/>
      <c r="C56" s="411" t="s">
        <v>924</v>
      </c>
      <c r="D56" s="411"/>
      <c r="E56" s="29">
        <v>153</v>
      </c>
      <c r="G56" s="30">
        <v>11</v>
      </c>
      <c r="H56" s="31">
        <v>4</v>
      </c>
      <c r="I56" s="31">
        <v>1</v>
      </c>
      <c r="J56" s="32">
        <v>17</v>
      </c>
      <c r="K56" s="33">
        <f t="shared" ref="K56:K70" si="5">G56/J56*100</f>
        <v>64.705882352941174</v>
      </c>
      <c r="L56" s="33">
        <f t="shared" ref="L56:L70" si="6">H56/J56*100</f>
        <v>23.52941176470588</v>
      </c>
      <c r="M56" s="33">
        <f t="shared" ref="M56:M70" si="7">I56/J56*100</f>
        <v>5.8823529411764701</v>
      </c>
      <c r="N56" s="34">
        <f t="shared" si="3"/>
        <v>94.117647058823522</v>
      </c>
      <c r="O56" s="35">
        <v>37.1</v>
      </c>
      <c r="P56" s="33">
        <v>6.6</v>
      </c>
      <c r="Q56" s="33">
        <v>4.5</v>
      </c>
      <c r="R56" s="36">
        <f t="shared" si="4"/>
        <v>48.2</v>
      </c>
      <c r="S56" s="29">
        <v>5</v>
      </c>
      <c r="T56" s="286"/>
      <c r="U56" s="295"/>
      <c r="V56" s="38" t="s">
        <v>921</v>
      </c>
      <c r="W56" s="29" t="s">
        <v>99</v>
      </c>
      <c r="X56" s="29" t="s">
        <v>11</v>
      </c>
      <c r="Y56" s="39">
        <v>37.1</v>
      </c>
      <c r="Z56" s="38" t="s">
        <v>915</v>
      </c>
      <c r="AA56" s="29" t="s">
        <v>89</v>
      </c>
      <c r="AB56" s="29" t="s">
        <v>18</v>
      </c>
      <c r="AC56" s="39">
        <v>6.6</v>
      </c>
      <c r="AD56" s="38" t="s">
        <v>925</v>
      </c>
      <c r="AE56" s="29" t="s">
        <v>327</v>
      </c>
      <c r="AF56" s="29" t="s">
        <v>12</v>
      </c>
      <c r="AG56" s="39">
        <v>4.5</v>
      </c>
      <c r="AL56" s="38"/>
      <c r="AO56" s="39"/>
      <c r="AP56" s="38"/>
      <c r="AS56" s="39"/>
      <c r="AW56" s="39"/>
      <c r="BA56" s="40"/>
    </row>
    <row r="57" spans="1:53" s="29" customFormat="1" x14ac:dyDescent="0.15">
      <c r="A57" s="29">
        <v>2011</v>
      </c>
      <c r="B57" s="303">
        <v>40697</v>
      </c>
      <c r="C57" s="411" t="s">
        <v>924</v>
      </c>
      <c r="D57" s="411"/>
      <c r="E57" s="29">
        <v>108</v>
      </c>
      <c r="F57" s="84">
        <v>0</v>
      </c>
      <c r="G57" s="30">
        <v>10</v>
      </c>
      <c r="H57" s="31">
        <v>4</v>
      </c>
      <c r="I57" s="31">
        <v>1</v>
      </c>
      <c r="J57" s="32">
        <v>17</v>
      </c>
      <c r="K57" s="33">
        <f t="shared" si="5"/>
        <v>58.82352941176471</v>
      </c>
      <c r="L57" s="33">
        <f t="shared" si="6"/>
        <v>23.52941176470588</v>
      </c>
      <c r="M57" s="33">
        <f t="shared" si="7"/>
        <v>5.8823529411764701</v>
      </c>
      <c r="N57" s="34">
        <f t="shared" si="3"/>
        <v>88.235294117647058</v>
      </c>
      <c r="O57" s="35">
        <v>37.1</v>
      </c>
      <c r="P57" s="33">
        <v>6.6</v>
      </c>
      <c r="Q57" s="33">
        <v>4.5</v>
      </c>
      <c r="R57" s="36">
        <f t="shared" si="4"/>
        <v>48.2</v>
      </c>
      <c r="S57" s="29">
        <v>5</v>
      </c>
      <c r="T57" s="286"/>
      <c r="U57" s="295"/>
      <c r="V57" s="38" t="s">
        <v>921</v>
      </c>
      <c r="W57" s="29" t="s">
        <v>99</v>
      </c>
      <c r="X57" s="29" t="s">
        <v>11</v>
      </c>
      <c r="Y57" s="39">
        <v>37.1</v>
      </c>
      <c r="Z57" s="38" t="s">
        <v>915</v>
      </c>
      <c r="AA57" s="29" t="s">
        <v>89</v>
      </c>
      <c r="AB57" s="29" t="s">
        <v>18</v>
      </c>
      <c r="AC57" s="39">
        <v>6.6</v>
      </c>
      <c r="AD57" s="38" t="s">
        <v>925</v>
      </c>
      <c r="AE57" s="29" t="s">
        <v>327</v>
      </c>
      <c r="AF57" s="29" t="s">
        <v>12</v>
      </c>
      <c r="AG57" s="39">
        <v>4.5</v>
      </c>
      <c r="AL57" s="38"/>
      <c r="AO57" s="39"/>
      <c r="AP57" s="38"/>
      <c r="AS57" s="39"/>
      <c r="AW57" s="39"/>
      <c r="BA57" s="40"/>
    </row>
    <row r="58" spans="1:53" s="29" customFormat="1" x14ac:dyDescent="0.15">
      <c r="A58" s="29">
        <v>2011</v>
      </c>
      <c r="B58" s="303">
        <v>40805</v>
      </c>
      <c r="C58" s="411" t="s">
        <v>924</v>
      </c>
      <c r="D58" s="411"/>
      <c r="E58" s="29">
        <v>1</v>
      </c>
      <c r="F58" s="84">
        <v>0</v>
      </c>
      <c r="G58" s="30">
        <v>11</v>
      </c>
      <c r="H58" s="31">
        <v>4</v>
      </c>
      <c r="I58" s="31">
        <v>1</v>
      </c>
      <c r="J58" s="32">
        <v>17</v>
      </c>
      <c r="K58" s="33">
        <f t="shared" si="5"/>
        <v>64.705882352941174</v>
      </c>
      <c r="L58" s="33">
        <f t="shared" si="6"/>
        <v>23.52941176470588</v>
      </c>
      <c r="M58" s="33">
        <f t="shared" si="7"/>
        <v>5.8823529411764701</v>
      </c>
      <c r="N58" s="34">
        <f t="shared" si="3"/>
        <v>94.117647058823522</v>
      </c>
      <c r="O58" s="35">
        <v>37.1</v>
      </c>
      <c r="P58" s="33">
        <v>6.6</v>
      </c>
      <c r="Q58" s="33">
        <v>4.5</v>
      </c>
      <c r="R58" s="36">
        <f t="shared" si="4"/>
        <v>48.2</v>
      </c>
      <c r="S58" s="29">
        <v>5</v>
      </c>
      <c r="T58" s="286"/>
      <c r="U58" s="295"/>
      <c r="V58" s="38" t="s">
        <v>921</v>
      </c>
      <c r="W58" s="29" t="s">
        <v>99</v>
      </c>
      <c r="X58" s="29" t="s">
        <v>11</v>
      </c>
      <c r="Y58" s="39">
        <v>37.1</v>
      </c>
      <c r="Z58" s="38" t="s">
        <v>915</v>
      </c>
      <c r="AA58" s="29" t="s">
        <v>89</v>
      </c>
      <c r="AB58" s="29" t="s">
        <v>18</v>
      </c>
      <c r="AC58" s="39">
        <v>6.6</v>
      </c>
      <c r="AD58" s="38" t="s">
        <v>925</v>
      </c>
      <c r="AE58" s="29" t="s">
        <v>327</v>
      </c>
      <c r="AF58" s="29" t="s">
        <v>12</v>
      </c>
      <c r="AG58" s="39">
        <v>4.5</v>
      </c>
      <c r="AL58" s="38"/>
      <c r="AO58" s="39"/>
      <c r="AP58" s="38"/>
      <c r="AS58" s="39"/>
      <c r="AW58" s="39"/>
      <c r="BA58" s="40"/>
    </row>
    <row r="59" spans="1:53" s="29" customFormat="1" x14ac:dyDescent="0.15">
      <c r="A59" s="29">
        <v>2011</v>
      </c>
      <c r="B59" s="303">
        <v>40806</v>
      </c>
      <c r="C59" s="411" t="s">
        <v>924</v>
      </c>
      <c r="D59" s="411"/>
      <c r="E59" s="29">
        <f xml:space="preserve"> 365-E58-E57-E56</f>
        <v>103</v>
      </c>
      <c r="F59" s="84">
        <v>0</v>
      </c>
      <c r="G59" s="30">
        <v>11</v>
      </c>
      <c r="H59" s="31">
        <v>4</v>
      </c>
      <c r="I59" s="31">
        <v>1</v>
      </c>
      <c r="J59" s="32">
        <v>18</v>
      </c>
      <c r="K59" s="33">
        <f t="shared" si="5"/>
        <v>61.111111111111114</v>
      </c>
      <c r="L59" s="33">
        <f t="shared" si="6"/>
        <v>22.222222222222221</v>
      </c>
      <c r="M59" s="33">
        <f t="shared" si="7"/>
        <v>5.5555555555555554</v>
      </c>
      <c r="N59" s="34">
        <f t="shared" si="3"/>
        <v>88.8888888888889</v>
      </c>
      <c r="O59" s="35">
        <v>37.1</v>
      </c>
      <c r="P59" s="33">
        <v>6.6</v>
      </c>
      <c r="Q59" s="33">
        <v>4.5</v>
      </c>
      <c r="R59" s="36">
        <f t="shared" si="4"/>
        <v>48.2</v>
      </c>
      <c r="S59" s="29">
        <v>5</v>
      </c>
      <c r="T59" s="286"/>
      <c r="U59" s="295"/>
      <c r="V59" s="38" t="s">
        <v>921</v>
      </c>
      <c r="W59" s="29" t="s">
        <v>99</v>
      </c>
      <c r="X59" s="29" t="s">
        <v>11</v>
      </c>
      <c r="Y59" s="39">
        <v>37.1</v>
      </c>
      <c r="Z59" s="38" t="s">
        <v>915</v>
      </c>
      <c r="AA59" s="29" t="s">
        <v>89</v>
      </c>
      <c r="AB59" s="29" t="s">
        <v>18</v>
      </c>
      <c r="AC59" s="39">
        <v>6.6</v>
      </c>
      <c r="AD59" s="38" t="s">
        <v>925</v>
      </c>
      <c r="AE59" s="29" t="s">
        <v>327</v>
      </c>
      <c r="AF59" s="29" t="s">
        <v>12</v>
      </c>
      <c r="AG59" s="39">
        <v>4.5</v>
      </c>
      <c r="AL59" s="38"/>
      <c r="AO59" s="39"/>
      <c r="AP59" s="38"/>
      <c r="AS59" s="39"/>
      <c r="AW59" s="39"/>
      <c r="BA59" s="40"/>
    </row>
    <row r="60" spans="1:53" s="29" customFormat="1" x14ac:dyDescent="0.15">
      <c r="A60" s="29">
        <v>2012</v>
      </c>
      <c r="B60" s="277"/>
      <c r="C60" s="411" t="s">
        <v>924</v>
      </c>
      <c r="D60" s="411"/>
      <c r="E60" s="29">
        <v>39</v>
      </c>
      <c r="G60" s="30">
        <v>11</v>
      </c>
      <c r="H60" s="31">
        <v>4</v>
      </c>
      <c r="I60" s="31">
        <v>1</v>
      </c>
      <c r="J60" s="32">
        <v>18</v>
      </c>
      <c r="K60" s="33">
        <f t="shared" si="5"/>
        <v>61.111111111111114</v>
      </c>
      <c r="L60" s="33">
        <f t="shared" si="6"/>
        <v>22.222222222222221</v>
      </c>
      <c r="M60" s="33">
        <f t="shared" si="7"/>
        <v>5.5555555555555554</v>
      </c>
      <c r="N60" s="34">
        <f t="shared" si="3"/>
        <v>88.8888888888889</v>
      </c>
      <c r="O60" s="35">
        <v>37.1</v>
      </c>
      <c r="P60" s="33">
        <v>6.6</v>
      </c>
      <c r="Q60" s="33">
        <v>4.5</v>
      </c>
      <c r="R60" s="36">
        <f t="shared" si="4"/>
        <v>48.2</v>
      </c>
      <c r="S60" s="29">
        <v>5</v>
      </c>
      <c r="T60" s="286"/>
      <c r="U60" s="295"/>
      <c r="V60" s="38" t="s">
        <v>921</v>
      </c>
      <c r="W60" s="29" t="s">
        <v>99</v>
      </c>
      <c r="X60" s="29" t="s">
        <v>11</v>
      </c>
      <c r="Y60" s="39">
        <v>37.1</v>
      </c>
      <c r="Z60" s="38" t="s">
        <v>915</v>
      </c>
      <c r="AA60" s="29" t="s">
        <v>89</v>
      </c>
      <c r="AB60" s="29" t="s">
        <v>18</v>
      </c>
      <c r="AC60" s="39">
        <v>6.6</v>
      </c>
      <c r="AD60" s="38" t="s">
        <v>925</v>
      </c>
      <c r="AE60" s="29" t="s">
        <v>327</v>
      </c>
      <c r="AF60" s="29" t="s">
        <v>12</v>
      </c>
      <c r="AG60" s="39">
        <v>4.5</v>
      </c>
      <c r="AL60" s="38"/>
      <c r="AO60" s="39"/>
      <c r="AP60" s="38"/>
      <c r="AS60" s="39"/>
      <c r="AW60" s="39"/>
      <c r="BA60" s="40"/>
    </row>
    <row r="61" spans="1:53" s="171" customFormat="1" x14ac:dyDescent="0.15">
      <c r="A61" s="171">
        <v>2012</v>
      </c>
      <c r="B61" s="306">
        <v>40948</v>
      </c>
      <c r="C61" s="438" t="s">
        <v>927</v>
      </c>
      <c r="D61" s="438"/>
      <c r="E61" s="171">
        <v>88</v>
      </c>
      <c r="F61" s="171">
        <v>2</v>
      </c>
      <c r="G61" s="172">
        <v>9</v>
      </c>
      <c r="H61" s="117">
        <v>3</v>
      </c>
      <c r="I61" s="117">
        <v>2</v>
      </c>
      <c r="J61" s="173">
        <v>17</v>
      </c>
      <c r="K61" s="174">
        <f t="shared" si="5"/>
        <v>52.941176470588239</v>
      </c>
      <c r="L61" s="174">
        <f t="shared" si="6"/>
        <v>17.647058823529413</v>
      </c>
      <c r="M61" s="174">
        <f t="shared" si="7"/>
        <v>11.76470588235294</v>
      </c>
      <c r="N61" s="175">
        <f t="shared" si="3"/>
        <v>82.352941176470594</v>
      </c>
      <c r="O61" s="176">
        <v>37.1</v>
      </c>
      <c r="P61" s="174">
        <v>6.6</v>
      </c>
      <c r="Q61" s="174">
        <v>4.5</v>
      </c>
      <c r="R61" s="177">
        <f t="shared" si="4"/>
        <v>48.2</v>
      </c>
      <c r="S61" s="171">
        <v>5</v>
      </c>
      <c r="T61" s="285"/>
      <c r="U61" s="306">
        <v>40948</v>
      </c>
      <c r="V61" s="178" t="s">
        <v>921</v>
      </c>
      <c r="W61" s="171" t="s">
        <v>99</v>
      </c>
      <c r="X61" s="171" t="s">
        <v>11</v>
      </c>
      <c r="Y61" s="179">
        <v>37.1</v>
      </c>
      <c r="Z61" s="178" t="s">
        <v>915</v>
      </c>
      <c r="AA61" s="171" t="s">
        <v>89</v>
      </c>
      <c r="AB61" s="171" t="s">
        <v>18</v>
      </c>
      <c r="AC61" s="179">
        <v>6.6</v>
      </c>
      <c r="AD61" s="178" t="s">
        <v>925</v>
      </c>
      <c r="AE61" s="171" t="s">
        <v>327</v>
      </c>
      <c r="AF61" s="171" t="s">
        <v>12</v>
      </c>
      <c r="AG61" s="179">
        <v>4.5</v>
      </c>
      <c r="AL61" s="178"/>
      <c r="AO61" s="179"/>
      <c r="AP61" s="178"/>
      <c r="AS61" s="179"/>
      <c r="AW61" s="179"/>
      <c r="BA61" s="180"/>
    </row>
    <row r="62" spans="1:53" s="29" customFormat="1" x14ac:dyDescent="0.15">
      <c r="A62" s="29">
        <v>2012</v>
      </c>
      <c r="B62" s="277">
        <v>41036</v>
      </c>
      <c r="C62" s="411" t="s">
        <v>926</v>
      </c>
      <c r="D62" s="411"/>
      <c r="E62" s="29">
        <v>91</v>
      </c>
      <c r="F62" s="29">
        <v>5</v>
      </c>
      <c r="G62" s="30">
        <v>6</v>
      </c>
      <c r="H62" s="31">
        <v>1</v>
      </c>
      <c r="I62" s="31">
        <v>12</v>
      </c>
      <c r="J62" s="32">
        <v>23</v>
      </c>
      <c r="K62" s="33">
        <f t="shared" si="5"/>
        <v>26.086956521739129</v>
      </c>
      <c r="L62" s="33">
        <v>3.4</v>
      </c>
      <c r="M62" s="33">
        <f t="shared" si="7"/>
        <v>52.173913043478258</v>
      </c>
      <c r="N62" s="34">
        <f t="shared" si="3"/>
        <v>81.660869565217382</v>
      </c>
      <c r="O62" s="35">
        <v>19.5</v>
      </c>
      <c r="P62" s="33">
        <v>1.2</v>
      </c>
      <c r="Q62" s="33">
        <v>32.9</v>
      </c>
      <c r="R62" s="36">
        <f t="shared" si="4"/>
        <v>53.599999999999994</v>
      </c>
      <c r="S62" s="29">
        <v>3</v>
      </c>
      <c r="T62" s="286"/>
      <c r="U62" s="277">
        <v>41036</v>
      </c>
      <c r="V62" s="38" t="s">
        <v>919</v>
      </c>
      <c r="W62" s="29" t="s">
        <v>20</v>
      </c>
      <c r="X62" s="29" t="s">
        <v>12</v>
      </c>
      <c r="Y62" s="29">
        <v>32.9</v>
      </c>
      <c r="Z62" s="38" t="s">
        <v>907</v>
      </c>
      <c r="AA62" s="29" t="s">
        <v>22</v>
      </c>
      <c r="AB62" s="29" t="s">
        <v>11</v>
      </c>
      <c r="AC62" s="29">
        <v>19.5</v>
      </c>
      <c r="AD62" s="38" t="s">
        <v>100</v>
      </c>
      <c r="AE62" s="29" t="s">
        <v>327</v>
      </c>
      <c r="AF62" s="29" t="s">
        <v>18</v>
      </c>
      <c r="AG62" s="39">
        <v>1.2</v>
      </c>
      <c r="AL62" s="38"/>
      <c r="AO62" s="39"/>
      <c r="AP62" s="38"/>
      <c r="AS62" s="39"/>
      <c r="AW62" s="39"/>
      <c r="BA62" s="40"/>
    </row>
    <row r="63" spans="1:53" s="29" customFormat="1" x14ac:dyDescent="0.15">
      <c r="A63" s="29">
        <v>2012</v>
      </c>
      <c r="B63" s="303">
        <v>41127</v>
      </c>
      <c r="C63" s="411" t="s">
        <v>926</v>
      </c>
      <c r="D63" s="411"/>
      <c r="E63" s="29">
        <v>137</v>
      </c>
      <c r="F63" s="84">
        <v>0</v>
      </c>
      <c r="G63" s="30">
        <v>8</v>
      </c>
      <c r="H63" s="31">
        <v>1</v>
      </c>
      <c r="I63" s="31">
        <v>10</v>
      </c>
      <c r="J63" s="32">
        <v>23</v>
      </c>
      <c r="K63" s="33">
        <f t="shared" si="5"/>
        <v>34.782608695652172</v>
      </c>
      <c r="L63" s="33">
        <v>3.4</v>
      </c>
      <c r="M63" s="33">
        <f t="shared" si="7"/>
        <v>43.478260869565219</v>
      </c>
      <c r="N63" s="34">
        <f t="shared" si="3"/>
        <v>81.660869565217382</v>
      </c>
      <c r="O63" s="35">
        <v>19.5</v>
      </c>
      <c r="P63" s="33">
        <v>1.2</v>
      </c>
      <c r="Q63" s="33">
        <v>32.9</v>
      </c>
      <c r="R63" s="36">
        <f t="shared" si="4"/>
        <v>53.599999999999994</v>
      </c>
      <c r="S63" s="29">
        <v>3</v>
      </c>
      <c r="T63" s="286"/>
      <c r="U63" s="295"/>
      <c r="V63" s="38" t="s">
        <v>919</v>
      </c>
      <c r="W63" s="29" t="s">
        <v>20</v>
      </c>
      <c r="X63" s="29" t="s">
        <v>12</v>
      </c>
      <c r="Y63" s="29">
        <v>32.9</v>
      </c>
      <c r="Z63" s="38" t="s">
        <v>907</v>
      </c>
      <c r="AA63" s="29" t="s">
        <v>22</v>
      </c>
      <c r="AB63" s="29" t="s">
        <v>11</v>
      </c>
      <c r="AC63" s="29">
        <v>19.5</v>
      </c>
      <c r="AD63" s="38" t="s">
        <v>100</v>
      </c>
      <c r="AE63" s="29" t="s">
        <v>327</v>
      </c>
      <c r="AF63" s="29" t="s">
        <v>18</v>
      </c>
      <c r="AG63" s="39">
        <v>1.2</v>
      </c>
      <c r="AL63" s="38"/>
      <c r="AO63" s="39"/>
      <c r="AP63" s="38"/>
      <c r="AS63" s="39"/>
      <c r="AW63" s="39"/>
      <c r="BA63" s="40"/>
    </row>
    <row r="64" spans="1:53" s="171" customFormat="1" x14ac:dyDescent="0.15">
      <c r="A64" s="171">
        <v>2012</v>
      </c>
      <c r="B64" s="306">
        <v>41264</v>
      </c>
      <c r="C64" s="410" t="s">
        <v>928</v>
      </c>
      <c r="D64" s="410"/>
      <c r="E64" s="171">
        <f xml:space="preserve"> 366-E63-E62-E61-E60</f>
        <v>11</v>
      </c>
      <c r="F64" s="171">
        <v>1</v>
      </c>
      <c r="G64" s="172">
        <v>10</v>
      </c>
      <c r="H64" s="117">
        <v>1</v>
      </c>
      <c r="I64" s="117">
        <v>14</v>
      </c>
      <c r="J64" s="173">
        <v>25</v>
      </c>
      <c r="K64" s="174">
        <f t="shared" si="5"/>
        <v>40</v>
      </c>
      <c r="L64" s="174">
        <f t="shared" si="6"/>
        <v>4</v>
      </c>
      <c r="M64" s="174">
        <f t="shared" si="7"/>
        <v>56.000000000000007</v>
      </c>
      <c r="N64" s="175">
        <f t="shared" si="3"/>
        <v>100</v>
      </c>
      <c r="O64" s="176">
        <v>25.5</v>
      </c>
      <c r="P64" s="174">
        <v>3.4</v>
      </c>
      <c r="Q64" s="174">
        <v>38.1</v>
      </c>
      <c r="R64" s="177">
        <f t="shared" si="4"/>
        <v>67</v>
      </c>
      <c r="S64" s="171">
        <v>3</v>
      </c>
      <c r="T64" s="285">
        <v>41252</v>
      </c>
      <c r="U64" s="306">
        <v>41264</v>
      </c>
      <c r="V64" s="178" t="s">
        <v>919</v>
      </c>
      <c r="W64" s="171" t="s">
        <v>20</v>
      </c>
      <c r="X64" s="171" t="s">
        <v>12</v>
      </c>
      <c r="Y64" s="179">
        <v>36.4</v>
      </c>
      <c r="Z64" s="178" t="s">
        <v>907</v>
      </c>
      <c r="AA64" s="171" t="s">
        <v>22</v>
      </c>
      <c r="AB64" s="171" t="s">
        <v>11</v>
      </c>
      <c r="AC64" s="171">
        <v>25.5</v>
      </c>
      <c r="AD64" s="178" t="s">
        <v>100</v>
      </c>
      <c r="AE64" s="171" t="s">
        <v>327</v>
      </c>
      <c r="AF64" s="171" t="s">
        <v>18</v>
      </c>
      <c r="AG64" s="179">
        <v>3.4</v>
      </c>
      <c r="AH64" s="178" t="s">
        <v>925</v>
      </c>
      <c r="AI64" s="171" t="s">
        <v>327</v>
      </c>
      <c r="AJ64" s="171" t="s">
        <v>12</v>
      </c>
      <c r="AK64" s="171">
        <v>1.7</v>
      </c>
      <c r="AL64" s="178"/>
      <c r="AO64" s="179"/>
      <c r="AP64" s="178"/>
      <c r="AS64" s="179"/>
      <c r="AW64" s="179"/>
      <c r="BA64" s="180"/>
    </row>
    <row r="65" spans="1:53" s="171" customFormat="1" x14ac:dyDescent="0.15">
      <c r="A65" s="171">
        <v>2013</v>
      </c>
      <c r="B65" s="306"/>
      <c r="C65" s="410" t="s">
        <v>928</v>
      </c>
      <c r="D65" s="410"/>
      <c r="E65" s="171">
        <v>104</v>
      </c>
      <c r="G65" s="172">
        <v>10</v>
      </c>
      <c r="H65" s="117">
        <v>1</v>
      </c>
      <c r="I65" s="117">
        <v>14</v>
      </c>
      <c r="J65" s="173">
        <v>25</v>
      </c>
      <c r="K65" s="174">
        <f t="shared" si="5"/>
        <v>40</v>
      </c>
      <c r="L65" s="174">
        <f t="shared" si="6"/>
        <v>4</v>
      </c>
      <c r="M65" s="174">
        <f t="shared" si="7"/>
        <v>56.000000000000007</v>
      </c>
      <c r="N65" s="175">
        <f t="shared" si="3"/>
        <v>100</v>
      </c>
      <c r="O65" s="176">
        <v>25.5</v>
      </c>
      <c r="P65" s="174">
        <v>3.4</v>
      </c>
      <c r="Q65" s="174">
        <v>38.1</v>
      </c>
      <c r="R65" s="177">
        <f>SUM(O65:Q65)</f>
        <v>67</v>
      </c>
      <c r="S65" s="171">
        <v>3</v>
      </c>
      <c r="T65" s="285"/>
      <c r="U65" s="306"/>
      <c r="V65" s="178" t="s">
        <v>919</v>
      </c>
      <c r="W65" s="171" t="s">
        <v>20</v>
      </c>
      <c r="X65" s="171" t="s">
        <v>12</v>
      </c>
      <c r="Y65" s="179">
        <v>36.4</v>
      </c>
      <c r="Z65" s="178" t="s">
        <v>907</v>
      </c>
      <c r="AA65" s="171" t="s">
        <v>22</v>
      </c>
      <c r="AB65" s="171" t="s">
        <v>11</v>
      </c>
      <c r="AC65" s="171">
        <v>25.5</v>
      </c>
      <c r="AD65" s="178" t="s">
        <v>100</v>
      </c>
      <c r="AE65" s="171" t="s">
        <v>327</v>
      </c>
      <c r="AF65" s="171" t="s">
        <v>18</v>
      </c>
      <c r="AG65" s="179">
        <v>3.4</v>
      </c>
      <c r="AH65" s="178" t="s">
        <v>925</v>
      </c>
      <c r="AI65" s="171" t="s">
        <v>327</v>
      </c>
      <c r="AJ65" s="171" t="s">
        <v>12</v>
      </c>
      <c r="AK65" s="171">
        <v>1.7</v>
      </c>
      <c r="AL65" s="178"/>
      <c r="AO65" s="179"/>
      <c r="AP65" s="178"/>
      <c r="AS65" s="179"/>
      <c r="AW65" s="179"/>
      <c r="BA65" s="180"/>
    </row>
    <row r="66" spans="1:53" s="171" customFormat="1" x14ac:dyDescent="0.15">
      <c r="A66" s="171">
        <v>2013</v>
      </c>
      <c r="B66" s="305">
        <v>41379</v>
      </c>
      <c r="C66" s="410" t="s">
        <v>928</v>
      </c>
      <c r="D66" s="410"/>
      <c r="E66" s="171">
        <f>365-E65</f>
        <v>261</v>
      </c>
      <c r="F66" s="244">
        <v>0</v>
      </c>
      <c r="G66" s="172">
        <v>10</v>
      </c>
      <c r="H66" s="117">
        <v>1</v>
      </c>
      <c r="I66" s="117">
        <v>13</v>
      </c>
      <c r="J66" s="173">
        <v>25</v>
      </c>
      <c r="K66" s="174">
        <f t="shared" si="5"/>
        <v>40</v>
      </c>
      <c r="L66" s="174">
        <f t="shared" si="6"/>
        <v>4</v>
      </c>
      <c r="M66" s="174">
        <f t="shared" si="7"/>
        <v>52</v>
      </c>
      <c r="N66" s="175">
        <f t="shared" si="3"/>
        <v>96</v>
      </c>
      <c r="O66" s="176">
        <v>25.5</v>
      </c>
      <c r="P66" s="174">
        <v>3.4</v>
      </c>
      <c r="Q66" s="174">
        <v>38.1</v>
      </c>
      <c r="R66" s="177">
        <f>SUM(O66:Q66)</f>
        <v>67</v>
      </c>
      <c r="S66" s="171">
        <v>3</v>
      </c>
      <c r="T66" s="285"/>
      <c r="U66" s="283"/>
      <c r="V66" s="178" t="s">
        <v>919</v>
      </c>
      <c r="W66" s="171" t="s">
        <v>20</v>
      </c>
      <c r="X66" s="171" t="s">
        <v>12</v>
      </c>
      <c r="Y66" s="179">
        <v>36.4</v>
      </c>
      <c r="Z66" s="171" t="s">
        <v>907</v>
      </c>
      <c r="AA66" s="171" t="s">
        <v>22</v>
      </c>
      <c r="AB66" s="171" t="s">
        <v>11</v>
      </c>
      <c r="AC66" s="171">
        <v>25.5</v>
      </c>
      <c r="AD66" s="178" t="s">
        <v>100</v>
      </c>
      <c r="AE66" s="171" t="s">
        <v>327</v>
      </c>
      <c r="AF66" s="171" t="s">
        <v>18</v>
      </c>
      <c r="AG66" s="179">
        <v>3.4</v>
      </c>
      <c r="AH66" s="171" t="s">
        <v>925</v>
      </c>
      <c r="AI66" s="171" t="s">
        <v>327</v>
      </c>
      <c r="AJ66" s="171" t="s">
        <v>12</v>
      </c>
      <c r="AK66" s="171">
        <v>1.7</v>
      </c>
      <c r="AL66" s="178"/>
      <c r="AO66" s="179"/>
      <c r="AP66" s="178"/>
      <c r="AS66" s="179"/>
      <c r="AW66" s="179"/>
      <c r="BA66" s="180"/>
    </row>
    <row r="67" spans="1:53" s="171" customFormat="1" x14ac:dyDescent="0.15">
      <c r="A67" s="171">
        <v>2014</v>
      </c>
      <c r="B67" s="306"/>
      <c r="C67" s="410" t="s">
        <v>928</v>
      </c>
      <c r="D67" s="410"/>
      <c r="E67" s="171">
        <v>22</v>
      </c>
      <c r="G67" s="172">
        <v>10</v>
      </c>
      <c r="H67" s="117">
        <v>1</v>
      </c>
      <c r="I67" s="117">
        <v>13</v>
      </c>
      <c r="J67" s="173">
        <v>25</v>
      </c>
      <c r="K67" s="174">
        <f t="shared" si="5"/>
        <v>40</v>
      </c>
      <c r="L67" s="174">
        <f t="shared" si="6"/>
        <v>4</v>
      </c>
      <c r="M67" s="174">
        <f t="shared" si="7"/>
        <v>52</v>
      </c>
      <c r="N67" s="175">
        <f t="shared" si="3"/>
        <v>96</v>
      </c>
      <c r="O67" s="176">
        <v>25.5</v>
      </c>
      <c r="P67" s="174">
        <v>3.4</v>
      </c>
      <c r="Q67" s="174">
        <v>38.1</v>
      </c>
      <c r="R67" s="177">
        <f>SUM(O67:Q67)</f>
        <v>67</v>
      </c>
      <c r="S67" s="171">
        <v>3</v>
      </c>
      <c r="T67" s="285"/>
      <c r="U67" s="306"/>
      <c r="V67" s="178" t="s">
        <v>919</v>
      </c>
      <c r="W67" s="171" t="s">
        <v>20</v>
      </c>
      <c r="X67" s="171" t="s">
        <v>12</v>
      </c>
      <c r="Y67" s="179">
        <v>36.4</v>
      </c>
      <c r="Z67" s="171" t="s">
        <v>907</v>
      </c>
      <c r="AA67" s="171" t="s">
        <v>22</v>
      </c>
      <c r="AB67" s="171" t="s">
        <v>11</v>
      </c>
      <c r="AC67" s="171">
        <v>25.5</v>
      </c>
      <c r="AD67" s="178" t="s">
        <v>100</v>
      </c>
      <c r="AE67" s="171" t="s">
        <v>327</v>
      </c>
      <c r="AF67" s="171" t="s">
        <v>18</v>
      </c>
      <c r="AG67" s="179">
        <v>3.4</v>
      </c>
      <c r="AH67" s="171" t="s">
        <v>925</v>
      </c>
      <c r="AI67" s="171" t="s">
        <v>327</v>
      </c>
      <c r="AJ67" s="171" t="s">
        <v>12</v>
      </c>
      <c r="AK67" s="171">
        <v>1.7</v>
      </c>
      <c r="AL67" s="178"/>
      <c r="AO67" s="179"/>
      <c r="AP67" s="178"/>
      <c r="AS67" s="179"/>
      <c r="AW67" s="179"/>
      <c r="BA67" s="180"/>
    </row>
    <row r="68" spans="1:53" s="171" customFormat="1" x14ac:dyDescent="0.15">
      <c r="A68" s="171">
        <v>2014</v>
      </c>
      <c r="B68" s="305">
        <v>41662</v>
      </c>
      <c r="C68" s="410" t="s">
        <v>928</v>
      </c>
      <c r="D68" s="410"/>
      <c r="E68" s="171">
        <v>14</v>
      </c>
      <c r="F68" s="244">
        <v>0</v>
      </c>
      <c r="G68" s="172">
        <v>9</v>
      </c>
      <c r="H68" s="117">
        <v>1</v>
      </c>
      <c r="I68" s="117">
        <v>14</v>
      </c>
      <c r="J68" s="173">
        <v>25</v>
      </c>
      <c r="K68" s="174">
        <f t="shared" si="5"/>
        <v>36</v>
      </c>
      <c r="L68" s="174">
        <f t="shared" si="6"/>
        <v>4</v>
      </c>
      <c r="M68" s="174">
        <f t="shared" si="7"/>
        <v>56.000000000000007</v>
      </c>
      <c r="N68" s="175">
        <f t="shared" si="3"/>
        <v>96</v>
      </c>
      <c r="O68" s="176">
        <v>25.5</v>
      </c>
      <c r="P68" s="174">
        <v>3.4</v>
      </c>
      <c r="Q68" s="174">
        <v>38.1</v>
      </c>
      <c r="R68" s="177">
        <f>SUM(O68:Q68)</f>
        <v>67</v>
      </c>
      <c r="S68" s="171">
        <v>3</v>
      </c>
      <c r="T68" s="285"/>
      <c r="U68" s="306"/>
      <c r="V68" s="178" t="s">
        <v>919</v>
      </c>
      <c r="W68" s="171" t="s">
        <v>20</v>
      </c>
      <c r="X68" s="171" t="s">
        <v>12</v>
      </c>
      <c r="Y68" s="179">
        <v>36.4</v>
      </c>
      <c r="Z68" s="171" t="s">
        <v>907</v>
      </c>
      <c r="AA68" s="171" t="s">
        <v>22</v>
      </c>
      <c r="AB68" s="171" t="s">
        <v>11</v>
      </c>
      <c r="AC68" s="171">
        <v>25.5</v>
      </c>
      <c r="AD68" s="178" t="s">
        <v>100</v>
      </c>
      <c r="AE68" s="171" t="s">
        <v>327</v>
      </c>
      <c r="AF68" s="171" t="s">
        <v>18</v>
      </c>
      <c r="AG68" s="179">
        <v>3.4</v>
      </c>
      <c r="AH68" s="171" t="s">
        <v>925</v>
      </c>
      <c r="AI68" s="171" t="s">
        <v>327</v>
      </c>
      <c r="AJ68" s="171" t="s">
        <v>12</v>
      </c>
      <c r="AK68" s="171">
        <v>1.7</v>
      </c>
      <c r="AL68" s="178"/>
      <c r="AO68" s="179"/>
      <c r="AP68" s="178"/>
      <c r="AS68" s="179"/>
      <c r="AW68" s="179"/>
      <c r="BA68" s="180"/>
    </row>
    <row r="69" spans="1:53" s="171" customFormat="1" x14ac:dyDescent="0.15">
      <c r="A69" s="171">
        <v>2014</v>
      </c>
      <c r="B69" s="305">
        <v>41676</v>
      </c>
      <c r="C69" s="410" t="s">
        <v>928</v>
      </c>
      <c r="D69" s="410"/>
      <c r="E69" s="171">
        <v>1</v>
      </c>
      <c r="F69" s="244">
        <v>0</v>
      </c>
      <c r="G69" s="172">
        <v>8</v>
      </c>
      <c r="H69" s="117">
        <v>1</v>
      </c>
      <c r="I69" s="117">
        <v>15</v>
      </c>
      <c r="J69" s="173">
        <v>25</v>
      </c>
      <c r="K69" s="174">
        <f t="shared" si="5"/>
        <v>32</v>
      </c>
      <c r="L69" s="174">
        <f t="shared" si="6"/>
        <v>4</v>
      </c>
      <c r="M69" s="174">
        <f t="shared" si="7"/>
        <v>60</v>
      </c>
      <c r="N69" s="175">
        <f t="shared" si="3"/>
        <v>96</v>
      </c>
      <c r="O69" s="176">
        <v>25.5</v>
      </c>
      <c r="P69" s="174">
        <v>3.4</v>
      </c>
      <c r="Q69" s="174">
        <v>38.1</v>
      </c>
      <c r="R69" s="177">
        <f t="shared" ref="R69:R74" si="8">SUM(O69:Q69)</f>
        <v>67</v>
      </c>
      <c r="S69" s="171">
        <v>3</v>
      </c>
      <c r="T69" s="285"/>
      <c r="U69" s="306"/>
      <c r="V69" s="178" t="s">
        <v>919</v>
      </c>
      <c r="W69" s="171" t="s">
        <v>20</v>
      </c>
      <c r="X69" s="171" t="s">
        <v>12</v>
      </c>
      <c r="Y69" s="179">
        <v>36.4</v>
      </c>
      <c r="Z69" s="171" t="s">
        <v>907</v>
      </c>
      <c r="AA69" s="171" t="s">
        <v>22</v>
      </c>
      <c r="AB69" s="171" t="s">
        <v>11</v>
      </c>
      <c r="AC69" s="171">
        <v>25.5</v>
      </c>
      <c r="AD69" s="178" t="s">
        <v>100</v>
      </c>
      <c r="AE69" s="171" t="s">
        <v>327</v>
      </c>
      <c r="AF69" s="171" t="s">
        <v>18</v>
      </c>
      <c r="AG69" s="179">
        <v>3.4</v>
      </c>
      <c r="AH69" s="171" t="s">
        <v>925</v>
      </c>
      <c r="AI69" s="171" t="s">
        <v>327</v>
      </c>
      <c r="AJ69" s="171" t="s">
        <v>12</v>
      </c>
      <c r="AK69" s="171">
        <v>1.7</v>
      </c>
      <c r="AL69" s="178"/>
      <c r="AO69" s="179"/>
      <c r="AP69" s="178"/>
      <c r="AS69" s="179"/>
      <c r="AW69" s="179"/>
      <c r="BA69" s="180"/>
    </row>
    <row r="70" spans="1:53" s="171" customFormat="1" x14ac:dyDescent="0.15">
      <c r="A70" s="171">
        <v>2014</v>
      </c>
      <c r="B70" s="305">
        <v>41677</v>
      </c>
      <c r="C70" s="410" t="s">
        <v>928</v>
      </c>
      <c r="D70" s="410"/>
      <c r="E70" s="171">
        <v>19</v>
      </c>
      <c r="F70" s="244">
        <v>0</v>
      </c>
      <c r="G70" s="172">
        <v>7</v>
      </c>
      <c r="H70" s="117">
        <v>1</v>
      </c>
      <c r="I70" s="117">
        <v>16</v>
      </c>
      <c r="J70" s="173">
        <v>25</v>
      </c>
      <c r="K70" s="174">
        <f t="shared" si="5"/>
        <v>28.000000000000004</v>
      </c>
      <c r="L70" s="174">
        <f t="shared" si="6"/>
        <v>4</v>
      </c>
      <c r="M70" s="174">
        <f t="shared" si="7"/>
        <v>64</v>
      </c>
      <c r="N70" s="175">
        <f t="shared" si="3"/>
        <v>96</v>
      </c>
      <c r="O70" s="176">
        <v>25.5</v>
      </c>
      <c r="P70" s="174">
        <v>3.4</v>
      </c>
      <c r="Q70" s="174">
        <v>38.1</v>
      </c>
      <c r="R70" s="177">
        <f t="shared" si="8"/>
        <v>67</v>
      </c>
      <c r="S70" s="171">
        <v>3</v>
      </c>
      <c r="T70" s="285"/>
      <c r="U70" s="306"/>
      <c r="V70" s="178" t="s">
        <v>919</v>
      </c>
      <c r="W70" s="171" t="s">
        <v>20</v>
      </c>
      <c r="X70" s="171" t="s">
        <v>12</v>
      </c>
      <c r="Y70" s="179">
        <v>36.4</v>
      </c>
      <c r="Z70" s="171" t="s">
        <v>907</v>
      </c>
      <c r="AA70" s="171" t="s">
        <v>22</v>
      </c>
      <c r="AB70" s="171" t="s">
        <v>11</v>
      </c>
      <c r="AC70" s="171">
        <v>25.5</v>
      </c>
      <c r="AD70" s="178" t="s">
        <v>100</v>
      </c>
      <c r="AE70" s="171" t="s">
        <v>327</v>
      </c>
      <c r="AF70" s="171" t="s">
        <v>18</v>
      </c>
      <c r="AG70" s="179">
        <v>3.4</v>
      </c>
      <c r="AH70" s="171" t="s">
        <v>925</v>
      </c>
      <c r="AI70" s="171" t="s">
        <v>327</v>
      </c>
      <c r="AJ70" s="171" t="s">
        <v>12</v>
      </c>
      <c r="AK70" s="171">
        <v>1.7</v>
      </c>
      <c r="AL70" s="178"/>
      <c r="AO70" s="179"/>
      <c r="AP70" s="178"/>
      <c r="AS70" s="179"/>
      <c r="AW70" s="179"/>
      <c r="BA70" s="180"/>
    </row>
    <row r="71" spans="1:53" s="171" customFormat="1" x14ac:dyDescent="0.15">
      <c r="A71" s="171">
        <v>2014</v>
      </c>
      <c r="B71" s="305">
        <v>41696</v>
      </c>
      <c r="C71" s="410" t="s">
        <v>928</v>
      </c>
      <c r="D71" s="410"/>
      <c r="E71" s="171">
        <v>7</v>
      </c>
      <c r="F71" s="244">
        <v>0</v>
      </c>
      <c r="G71" s="172"/>
      <c r="H71" s="117">
        <v>1</v>
      </c>
      <c r="I71" s="117">
        <v>23</v>
      </c>
      <c r="J71" s="173">
        <v>25</v>
      </c>
      <c r="K71" s="174">
        <f t="shared" ref="K71:K78" si="9">G71/J71*100</f>
        <v>0</v>
      </c>
      <c r="L71" s="174">
        <f t="shared" ref="L71:L78" si="10">H71/J71*100</f>
        <v>4</v>
      </c>
      <c r="M71" s="174">
        <f t="shared" ref="M71:M78" si="11">I71/J71*100</f>
        <v>92</v>
      </c>
      <c r="N71" s="175">
        <f t="shared" ref="N71:N78" si="12">SUM(K71:M71)</f>
        <v>96</v>
      </c>
      <c r="O71" s="176"/>
      <c r="P71" s="174">
        <v>3.4</v>
      </c>
      <c r="Q71" s="174">
        <v>38.1</v>
      </c>
      <c r="R71" s="177">
        <f t="shared" si="8"/>
        <v>41.5</v>
      </c>
      <c r="S71" s="171">
        <v>5</v>
      </c>
      <c r="T71" s="285"/>
      <c r="U71" s="306"/>
      <c r="V71" s="178" t="s">
        <v>919</v>
      </c>
      <c r="W71" s="171" t="s">
        <v>20</v>
      </c>
      <c r="X71" s="171" t="s">
        <v>12</v>
      </c>
      <c r="Y71" s="179">
        <v>36.4</v>
      </c>
      <c r="Z71" s="171" t="s">
        <v>100</v>
      </c>
      <c r="AA71" s="171" t="s">
        <v>327</v>
      </c>
      <c r="AB71" s="171" t="s">
        <v>18</v>
      </c>
      <c r="AC71" s="171">
        <v>3.4</v>
      </c>
      <c r="AD71" s="178" t="s">
        <v>925</v>
      </c>
      <c r="AE71" s="171" t="s">
        <v>327</v>
      </c>
      <c r="AF71" s="171" t="s">
        <v>12</v>
      </c>
      <c r="AG71" s="179">
        <v>1.7</v>
      </c>
      <c r="AL71" s="178"/>
      <c r="AO71" s="179"/>
      <c r="AP71" s="178"/>
      <c r="AS71" s="179"/>
      <c r="AW71" s="179"/>
      <c r="BA71" s="180"/>
    </row>
    <row r="72" spans="1:53" s="29" customFormat="1" x14ac:dyDescent="0.15">
      <c r="A72" s="29">
        <v>2014</v>
      </c>
      <c r="B72" s="277">
        <v>41703</v>
      </c>
      <c r="C72" s="411" t="s">
        <v>1301</v>
      </c>
      <c r="D72" s="411"/>
      <c r="E72" s="29">
        <v>264</v>
      </c>
      <c r="F72" s="29">
        <v>4</v>
      </c>
      <c r="G72" s="30"/>
      <c r="H72" s="31">
        <v>3</v>
      </c>
      <c r="I72" s="31">
        <v>17</v>
      </c>
      <c r="J72" s="32">
        <v>26</v>
      </c>
      <c r="K72" s="33">
        <f t="shared" si="9"/>
        <v>0</v>
      </c>
      <c r="L72" s="33">
        <f t="shared" si="10"/>
        <v>11.538461538461538</v>
      </c>
      <c r="M72" s="33">
        <f t="shared" si="11"/>
        <v>65.384615384615387</v>
      </c>
      <c r="N72" s="34">
        <f t="shared" si="12"/>
        <v>76.92307692307692</v>
      </c>
      <c r="O72" s="35"/>
      <c r="P72" s="33">
        <v>8.3000000000000007</v>
      </c>
      <c r="Q72" s="33">
        <v>42.5</v>
      </c>
      <c r="R72" s="36">
        <f t="shared" si="8"/>
        <v>50.8</v>
      </c>
      <c r="S72" s="29">
        <v>2</v>
      </c>
      <c r="T72" s="286"/>
      <c r="U72" s="277">
        <v>41703</v>
      </c>
      <c r="V72" s="38" t="s">
        <v>919</v>
      </c>
      <c r="W72" s="29" t="s">
        <v>20</v>
      </c>
      <c r="X72" s="29" t="s">
        <v>12</v>
      </c>
      <c r="Y72" s="29">
        <v>37.6</v>
      </c>
      <c r="Z72" s="38" t="s">
        <v>100</v>
      </c>
      <c r="AA72" s="29" t="s">
        <v>327</v>
      </c>
      <c r="AB72" s="29" t="s">
        <v>18</v>
      </c>
      <c r="AC72" s="29">
        <v>3.9</v>
      </c>
      <c r="AD72" s="38" t="s">
        <v>925</v>
      </c>
      <c r="AE72" s="29" t="s">
        <v>327</v>
      </c>
      <c r="AF72" s="29" t="s">
        <v>12</v>
      </c>
      <c r="AG72" s="39">
        <v>4.9000000000000004</v>
      </c>
      <c r="AH72" s="29" t="s">
        <v>915</v>
      </c>
      <c r="AI72" s="29" t="s">
        <v>89</v>
      </c>
      <c r="AJ72" s="29" t="s">
        <v>18</v>
      </c>
      <c r="AK72" s="29">
        <v>4.4000000000000004</v>
      </c>
      <c r="AL72" s="38"/>
      <c r="AO72" s="39"/>
      <c r="AP72" s="38"/>
      <c r="AS72" s="39"/>
      <c r="AW72" s="39"/>
      <c r="BA72" s="40"/>
    </row>
    <row r="73" spans="1:53" s="29" customFormat="1" x14ac:dyDescent="0.15">
      <c r="A73" s="29">
        <v>2014</v>
      </c>
      <c r="B73" s="303">
        <v>41967</v>
      </c>
      <c r="C73" s="411" t="s">
        <v>1301</v>
      </c>
      <c r="D73" s="411"/>
      <c r="E73" s="29">
        <v>23</v>
      </c>
      <c r="F73" s="84">
        <v>0</v>
      </c>
      <c r="G73" s="30"/>
      <c r="H73" s="31">
        <v>3</v>
      </c>
      <c r="I73" s="31">
        <v>16</v>
      </c>
      <c r="J73" s="32">
        <v>26</v>
      </c>
      <c r="K73" s="33">
        <f t="shared" si="9"/>
        <v>0</v>
      </c>
      <c r="L73" s="33">
        <f t="shared" si="10"/>
        <v>11.538461538461538</v>
      </c>
      <c r="M73" s="33">
        <f t="shared" si="11"/>
        <v>61.53846153846154</v>
      </c>
      <c r="N73" s="34">
        <f t="shared" si="12"/>
        <v>73.07692307692308</v>
      </c>
      <c r="O73" s="35"/>
      <c r="P73" s="33">
        <v>8.3000000000000007</v>
      </c>
      <c r="Q73" s="33">
        <v>42.5</v>
      </c>
      <c r="R73" s="36">
        <f t="shared" si="8"/>
        <v>50.8</v>
      </c>
      <c r="S73" s="29">
        <v>2</v>
      </c>
      <c r="T73" s="286"/>
      <c r="U73" s="295"/>
      <c r="V73" s="38" t="s">
        <v>919</v>
      </c>
      <c r="W73" s="29" t="s">
        <v>20</v>
      </c>
      <c r="X73" s="29" t="s">
        <v>12</v>
      </c>
      <c r="Y73" s="29">
        <v>37.6</v>
      </c>
      <c r="Z73" s="38" t="s">
        <v>100</v>
      </c>
      <c r="AA73" s="29" t="s">
        <v>327</v>
      </c>
      <c r="AB73" s="29" t="s">
        <v>18</v>
      </c>
      <c r="AC73" s="29">
        <v>3.9</v>
      </c>
      <c r="AD73" s="38" t="s">
        <v>925</v>
      </c>
      <c r="AE73" s="29" t="s">
        <v>327</v>
      </c>
      <c r="AF73" s="29" t="s">
        <v>12</v>
      </c>
      <c r="AG73" s="39">
        <v>4.9000000000000004</v>
      </c>
      <c r="AH73" s="29" t="s">
        <v>915</v>
      </c>
      <c r="AI73" s="29" t="s">
        <v>89</v>
      </c>
      <c r="AJ73" s="29" t="s">
        <v>18</v>
      </c>
      <c r="AK73" s="29">
        <v>4.4000000000000004</v>
      </c>
      <c r="AL73" s="38"/>
      <c r="AO73" s="39"/>
      <c r="AP73" s="38"/>
      <c r="AS73" s="39"/>
      <c r="AW73" s="39"/>
      <c r="BA73" s="40"/>
    </row>
    <row r="74" spans="1:53" s="171" customFormat="1" x14ac:dyDescent="0.15">
      <c r="A74" s="171">
        <v>2014</v>
      </c>
      <c r="B74" s="306">
        <v>41990</v>
      </c>
      <c r="C74" s="438" t="s">
        <v>1302</v>
      </c>
      <c r="D74" s="438"/>
      <c r="E74" s="171">
        <v>15</v>
      </c>
      <c r="F74" s="171">
        <v>4</v>
      </c>
      <c r="G74" s="172">
        <v>2</v>
      </c>
      <c r="H74" s="117">
        <v>2</v>
      </c>
      <c r="I74" s="117">
        <v>16</v>
      </c>
      <c r="J74" s="173">
        <v>22</v>
      </c>
      <c r="K74" s="174">
        <f t="shared" si="9"/>
        <v>9.0909090909090917</v>
      </c>
      <c r="L74" s="174">
        <f t="shared" si="10"/>
        <v>9.0909090909090917</v>
      </c>
      <c r="M74" s="174">
        <f t="shared" si="11"/>
        <v>72.727272727272734</v>
      </c>
      <c r="N74" s="175">
        <f t="shared" si="12"/>
        <v>90.909090909090921</v>
      </c>
      <c r="O74" s="176">
        <v>4</v>
      </c>
      <c r="P74" s="174">
        <v>3.2</v>
      </c>
      <c r="Q74" s="174">
        <v>45.1</v>
      </c>
      <c r="R74" s="177">
        <f t="shared" si="8"/>
        <v>52.300000000000004</v>
      </c>
      <c r="S74" s="171">
        <v>2</v>
      </c>
      <c r="T74" s="285"/>
      <c r="U74" s="306">
        <v>41990</v>
      </c>
      <c r="V74" s="178" t="s">
        <v>919</v>
      </c>
      <c r="W74" s="171" t="s">
        <v>20</v>
      </c>
      <c r="X74" s="171" t="s">
        <v>12</v>
      </c>
      <c r="Y74" s="179">
        <v>36.6</v>
      </c>
      <c r="Z74" s="178" t="s">
        <v>100</v>
      </c>
      <c r="AA74" s="171" t="s">
        <v>327</v>
      </c>
      <c r="AB74" s="171" t="s">
        <v>18</v>
      </c>
      <c r="AC74" s="179">
        <v>3.2</v>
      </c>
      <c r="AD74" s="178" t="s">
        <v>925</v>
      </c>
      <c r="AE74" s="171" t="s">
        <v>327</v>
      </c>
      <c r="AF74" s="171" t="s">
        <v>12</v>
      </c>
      <c r="AG74" s="179">
        <v>8.5</v>
      </c>
      <c r="AH74" s="171" t="s">
        <v>1303</v>
      </c>
      <c r="AI74" s="171" t="s">
        <v>327</v>
      </c>
      <c r="AJ74" s="171" t="s">
        <v>11</v>
      </c>
      <c r="AK74" s="171">
        <v>4</v>
      </c>
      <c r="AL74" s="178"/>
      <c r="AO74" s="179"/>
      <c r="AP74" s="178"/>
      <c r="AS74" s="179"/>
      <c r="AW74" s="179"/>
      <c r="BA74" s="180"/>
    </row>
    <row r="75" spans="1:53" s="171" customFormat="1" x14ac:dyDescent="0.15">
      <c r="A75" s="171">
        <v>2015</v>
      </c>
      <c r="B75" s="306"/>
      <c r="C75" s="438" t="s">
        <v>1302</v>
      </c>
      <c r="D75" s="438"/>
      <c r="E75" s="171">
        <v>308</v>
      </c>
      <c r="G75" s="172">
        <v>2</v>
      </c>
      <c r="H75" s="117">
        <v>2</v>
      </c>
      <c r="I75" s="117">
        <v>16</v>
      </c>
      <c r="J75" s="173">
        <v>22</v>
      </c>
      <c r="K75" s="174">
        <f t="shared" si="9"/>
        <v>9.0909090909090917</v>
      </c>
      <c r="L75" s="174">
        <f t="shared" si="10"/>
        <v>9.0909090909090917</v>
      </c>
      <c r="M75" s="174">
        <f t="shared" si="11"/>
        <v>72.727272727272734</v>
      </c>
      <c r="N75" s="175">
        <f t="shared" si="12"/>
        <v>90.909090909090921</v>
      </c>
      <c r="O75" s="176">
        <v>4</v>
      </c>
      <c r="P75" s="174">
        <v>3.2</v>
      </c>
      <c r="Q75" s="174">
        <v>45.1</v>
      </c>
      <c r="R75" s="177">
        <f t="shared" ref="R75" si="13">SUM(O75:Q75)</f>
        <v>52.300000000000004</v>
      </c>
      <c r="S75" s="171">
        <v>2</v>
      </c>
      <c r="T75" s="285"/>
      <c r="U75" s="306"/>
      <c r="V75" s="178" t="s">
        <v>919</v>
      </c>
      <c r="W75" s="171" t="s">
        <v>20</v>
      </c>
      <c r="X75" s="171" t="s">
        <v>12</v>
      </c>
      <c r="Y75" s="179">
        <v>36.6</v>
      </c>
      <c r="Z75" s="178" t="s">
        <v>100</v>
      </c>
      <c r="AA75" s="171" t="s">
        <v>327</v>
      </c>
      <c r="AB75" s="171" t="s">
        <v>18</v>
      </c>
      <c r="AC75" s="179">
        <v>3.2</v>
      </c>
      <c r="AD75" s="178" t="s">
        <v>925</v>
      </c>
      <c r="AE75" s="171" t="s">
        <v>327</v>
      </c>
      <c r="AF75" s="171" t="s">
        <v>12</v>
      </c>
      <c r="AG75" s="179">
        <v>8.5</v>
      </c>
      <c r="AH75" s="171" t="s">
        <v>1303</v>
      </c>
      <c r="AI75" s="171" t="s">
        <v>327</v>
      </c>
      <c r="AJ75" s="171" t="s">
        <v>11</v>
      </c>
      <c r="AK75" s="171">
        <v>4</v>
      </c>
      <c r="AL75" s="178"/>
      <c r="AO75" s="179"/>
      <c r="AP75" s="178"/>
      <c r="AS75" s="179"/>
      <c r="AW75" s="179"/>
      <c r="BA75" s="180"/>
    </row>
    <row r="76" spans="1:53" s="29" customFormat="1" x14ac:dyDescent="0.15">
      <c r="A76" s="29">
        <v>2015</v>
      </c>
      <c r="B76" s="277">
        <v>42313</v>
      </c>
      <c r="C76" s="411" t="s">
        <v>1329</v>
      </c>
      <c r="D76" s="411"/>
      <c r="E76" s="29">
        <v>4</v>
      </c>
      <c r="F76" s="29">
        <v>2</v>
      </c>
      <c r="G76" s="30">
        <v>2</v>
      </c>
      <c r="H76" s="31">
        <v>2</v>
      </c>
      <c r="I76" s="31">
        <v>15</v>
      </c>
      <c r="J76" s="32">
        <v>21</v>
      </c>
      <c r="K76" s="33">
        <f t="shared" si="9"/>
        <v>9.5238095238095237</v>
      </c>
      <c r="L76" s="33">
        <f t="shared" si="10"/>
        <v>9.5238095238095237</v>
      </c>
      <c r="M76" s="33">
        <f t="shared" si="11"/>
        <v>71.428571428571431</v>
      </c>
      <c r="N76" s="34">
        <f t="shared" si="12"/>
        <v>90.476190476190482</v>
      </c>
      <c r="O76" s="35">
        <v>4</v>
      </c>
      <c r="P76" s="33">
        <v>3.2</v>
      </c>
      <c r="Q76" s="33">
        <v>45.1</v>
      </c>
      <c r="R76" s="36">
        <v>52.300000000000004</v>
      </c>
      <c r="S76" s="29">
        <v>6</v>
      </c>
      <c r="T76" s="286"/>
      <c r="U76" s="277">
        <v>42313</v>
      </c>
      <c r="V76" s="89" t="s">
        <v>1328</v>
      </c>
      <c r="Z76" s="38" t="s">
        <v>919</v>
      </c>
      <c r="AA76" s="29" t="s">
        <v>20</v>
      </c>
      <c r="AB76" s="29" t="s">
        <v>12</v>
      </c>
      <c r="AC76" s="29">
        <v>36.6</v>
      </c>
      <c r="AD76" s="38" t="s">
        <v>100</v>
      </c>
      <c r="AE76" s="29" t="s">
        <v>327</v>
      </c>
      <c r="AF76" s="29" t="s">
        <v>18</v>
      </c>
      <c r="AG76" s="39">
        <v>3.2</v>
      </c>
      <c r="AH76" s="29" t="s">
        <v>925</v>
      </c>
      <c r="AI76" s="29" t="s">
        <v>327</v>
      </c>
      <c r="AJ76" s="29" t="s">
        <v>12</v>
      </c>
      <c r="AK76" s="29">
        <v>8.5</v>
      </c>
      <c r="AL76" s="38" t="s">
        <v>1303</v>
      </c>
      <c r="AM76" s="29" t="s">
        <v>327</v>
      </c>
      <c r="AN76" s="29" t="s">
        <v>11</v>
      </c>
      <c r="AO76" s="39">
        <v>4</v>
      </c>
      <c r="AP76" s="38"/>
      <c r="AS76" s="39"/>
      <c r="AW76" s="39"/>
      <c r="BA76" s="40"/>
    </row>
    <row r="77" spans="1:53" s="29" customFormat="1" x14ac:dyDescent="0.15">
      <c r="A77" s="29">
        <v>2015</v>
      </c>
      <c r="B77" s="303">
        <v>42317</v>
      </c>
      <c r="C77" s="411" t="s">
        <v>1329</v>
      </c>
      <c r="D77" s="411"/>
      <c r="E77" s="29">
        <v>8</v>
      </c>
      <c r="F77" s="84">
        <v>0</v>
      </c>
      <c r="G77" s="30">
        <v>2</v>
      </c>
      <c r="H77" s="31">
        <v>2</v>
      </c>
      <c r="I77" s="31">
        <v>14</v>
      </c>
      <c r="J77" s="32">
        <v>20</v>
      </c>
      <c r="K77" s="33">
        <f t="shared" si="9"/>
        <v>10</v>
      </c>
      <c r="L77" s="33">
        <f t="shared" si="10"/>
        <v>10</v>
      </c>
      <c r="M77" s="33">
        <f t="shared" si="11"/>
        <v>70</v>
      </c>
      <c r="N77" s="34">
        <f t="shared" si="12"/>
        <v>90</v>
      </c>
      <c r="O77" s="35">
        <v>4</v>
      </c>
      <c r="P77" s="33">
        <v>3.2</v>
      </c>
      <c r="Q77" s="33">
        <v>45.1</v>
      </c>
      <c r="R77" s="36">
        <v>52.300000000000004</v>
      </c>
      <c r="S77" s="29">
        <v>6</v>
      </c>
      <c r="T77" s="286"/>
      <c r="U77" s="277"/>
      <c r="V77" s="89" t="s">
        <v>1328</v>
      </c>
      <c r="Z77" s="38" t="s">
        <v>919</v>
      </c>
      <c r="AA77" s="29" t="s">
        <v>20</v>
      </c>
      <c r="AB77" s="29" t="s">
        <v>12</v>
      </c>
      <c r="AC77" s="29">
        <v>36.6</v>
      </c>
      <c r="AD77" s="38" t="s">
        <v>100</v>
      </c>
      <c r="AE77" s="29" t="s">
        <v>327</v>
      </c>
      <c r="AF77" s="29" t="s">
        <v>18</v>
      </c>
      <c r="AG77" s="39">
        <v>3.2</v>
      </c>
      <c r="AH77" s="29" t="s">
        <v>925</v>
      </c>
      <c r="AI77" s="29" t="s">
        <v>327</v>
      </c>
      <c r="AJ77" s="29" t="s">
        <v>12</v>
      </c>
      <c r="AK77" s="29">
        <v>8.5</v>
      </c>
      <c r="AL77" s="38" t="s">
        <v>1303</v>
      </c>
      <c r="AM77" s="29" t="s">
        <v>327</v>
      </c>
      <c r="AN77" s="29" t="s">
        <v>11</v>
      </c>
      <c r="AO77" s="39">
        <v>4</v>
      </c>
      <c r="AP77" s="38"/>
      <c r="AS77" s="39"/>
      <c r="AW77" s="39"/>
      <c r="BA77" s="40"/>
    </row>
    <row r="78" spans="1:53" s="171" customFormat="1" x14ac:dyDescent="0.15">
      <c r="A78" s="171">
        <v>2015</v>
      </c>
      <c r="B78" s="306">
        <v>42325</v>
      </c>
      <c r="C78" s="438" t="s">
        <v>1330</v>
      </c>
      <c r="D78" s="438"/>
      <c r="E78" s="171">
        <v>45</v>
      </c>
      <c r="F78" s="171">
        <v>2</v>
      </c>
      <c r="G78" s="172">
        <v>0</v>
      </c>
      <c r="H78" s="117">
        <v>0</v>
      </c>
      <c r="I78" s="117">
        <v>0</v>
      </c>
      <c r="J78" s="173">
        <v>23</v>
      </c>
      <c r="K78" s="174">
        <f t="shared" si="9"/>
        <v>0</v>
      </c>
      <c r="L78" s="174">
        <f t="shared" si="10"/>
        <v>0</v>
      </c>
      <c r="M78" s="174">
        <f t="shared" si="11"/>
        <v>0</v>
      </c>
      <c r="N78" s="175">
        <f t="shared" si="12"/>
        <v>0</v>
      </c>
      <c r="O78" s="176">
        <v>0</v>
      </c>
      <c r="P78" s="174">
        <v>0</v>
      </c>
      <c r="Q78" s="174">
        <v>0</v>
      </c>
      <c r="R78" s="177">
        <v>0</v>
      </c>
      <c r="S78" s="171">
        <v>7</v>
      </c>
      <c r="T78" s="285"/>
      <c r="U78" s="306">
        <v>42325</v>
      </c>
      <c r="V78" s="242" t="s">
        <v>798</v>
      </c>
      <c r="Y78" s="179"/>
      <c r="Z78" s="178"/>
      <c r="AC78" s="179"/>
      <c r="AD78" s="178"/>
      <c r="AG78" s="179"/>
      <c r="AL78" s="178"/>
      <c r="AO78" s="179"/>
      <c r="AP78" s="178"/>
      <c r="AS78" s="179"/>
      <c r="AW78" s="179"/>
      <c r="BA78" s="180"/>
    </row>
    <row r="79" spans="1:53" s="171" customFormat="1" x14ac:dyDescent="0.15">
      <c r="A79" s="171">
        <v>2016</v>
      </c>
      <c r="B79" s="306"/>
      <c r="C79" s="438" t="s">
        <v>1330</v>
      </c>
      <c r="D79" s="438"/>
      <c r="E79" s="171">
        <v>0</v>
      </c>
      <c r="G79" s="172">
        <v>0</v>
      </c>
      <c r="H79" s="117">
        <v>0</v>
      </c>
      <c r="I79" s="117">
        <v>0</v>
      </c>
      <c r="J79" s="173">
        <v>23</v>
      </c>
      <c r="K79" s="174">
        <f t="shared" ref="K79:K85" si="14">G79/J79*100</f>
        <v>0</v>
      </c>
      <c r="L79" s="174">
        <f t="shared" ref="L79:L85" si="15">H79/J79*100</f>
        <v>0</v>
      </c>
      <c r="M79" s="174">
        <f t="shared" ref="M79:M85" si="16">I79/J79*100</f>
        <v>0</v>
      </c>
      <c r="N79" s="175">
        <f t="shared" ref="N79:N85" si="17">SUM(K79:M79)</f>
        <v>0</v>
      </c>
      <c r="O79" s="176">
        <v>0</v>
      </c>
      <c r="P79" s="174">
        <v>0</v>
      </c>
      <c r="Q79" s="174">
        <v>0</v>
      </c>
      <c r="R79" s="177">
        <v>0</v>
      </c>
      <c r="S79" s="171">
        <v>7</v>
      </c>
      <c r="T79" s="285"/>
      <c r="U79" s="306"/>
      <c r="V79" s="242" t="s">
        <v>798</v>
      </c>
      <c r="Y79" s="179"/>
      <c r="Z79" s="178"/>
      <c r="AC79" s="179"/>
      <c r="AD79" s="178"/>
      <c r="AG79" s="179"/>
      <c r="AL79" s="178"/>
      <c r="AO79" s="179"/>
      <c r="AP79" s="178"/>
      <c r="AS79" s="179"/>
      <c r="AW79" s="179"/>
      <c r="BA79" s="180"/>
    </row>
    <row r="80" spans="1:53" s="171" customFormat="1" x14ac:dyDescent="0.15">
      <c r="A80" s="171">
        <v>2016</v>
      </c>
      <c r="B80" s="306"/>
      <c r="C80" s="438" t="s">
        <v>1330</v>
      </c>
      <c r="D80" s="438"/>
      <c r="E80" s="171">
        <v>366</v>
      </c>
      <c r="G80" s="172">
        <v>0</v>
      </c>
      <c r="H80" s="117">
        <v>0</v>
      </c>
      <c r="I80" s="117">
        <v>0</v>
      </c>
      <c r="J80" s="173">
        <v>23</v>
      </c>
      <c r="K80" s="174">
        <f t="shared" si="14"/>
        <v>0</v>
      </c>
      <c r="L80" s="174">
        <f t="shared" si="15"/>
        <v>0</v>
      </c>
      <c r="M80" s="174">
        <f t="shared" si="16"/>
        <v>0</v>
      </c>
      <c r="N80" s="175">
        <f t="shared" si="17"/>
        <v>0</v>
      </c>
      <c r="O80" s="176">
        <v>0</v>
      </c>
      <c r="P80" s="174">
        <v>0</v>
      </c>
      <c r="Q80" s="174">
        <v>0</v>
      </c>
      <c r="R80" s="177">
        <v>0</v>
      </c>
      <c r="S80" s="171">
        <v>7</v>
      </c>
      <c r="T80" s="285"/>
      <c r="U80" s="306"/>
      <c r="V80" s="242" t="s">
        <v>798</v>
      </c>
      <c r="Y80" s="179"/>
      <c r="Z80" s="178"/>
      <c r="AC80" s="179"/>
      <c r="AD80" s="178"/>
      <c r="AG80" s="179"/>
      <c r="AL80" s="178"/>
      <c r="AO80" s="179"/>
      <c r="AP80" s="178"/>
      <c r="AS80" s="179"/>
      <c r="AW80" s="179"/>
      <c r="BA80" s="180"/>
    </row>
    <row r="81" spans="1:53" s="171" customFormat="1" x14ac:dyDescent="0.15">
      <c r="A81" s="171">
        <v>2017</v>
      </c>
      <c r="B81" s="283"/>
      <c r="C81" s="438" t="s">
        <v>1330</v>
      </c>
      <c r="D81" s="438"/>
      <c r="E81" s="171">
        <v>3</v>
      </c>
      <c r="G81" s="172">
        <v>0</v>
      </c>
      <c r="H81" s="117">
        <v>0</v>
      </c>
      <c r="I81" s="117">
        <v>0</v>
      </c>
      <c r="J81" s="173">
        <v>23</v>
      </c>
      <c r="K81" s="174">
        <f t="shared" si="14"/>
        <v>0</v>
      </c>
      <c r="L81" s="174">
        <f t="shared" si="15"/>
        <v>0</v>
      </c>
      <c r="M81" s="174">
        <f t="shared" si="16"/>
        <v>0</v>
      </c>
      <c r="N81" s="175">
        <f t="shared" si="17"/>
        <v>0</v>
      </c>
      <c r="O81" s="176">
        <v>0</v>
      </c>
      <c r="P81" s="174">
        <v>0</v>
      </c>
      <c r="Q81" s="174">
        <v>0</v>
      </c>
      <c r="R81" s="177">
        <v>0</v>
      </c>
      <c r="S81" s="171">
        <v>7</v>
      </c>
      <c r="T81" s="285"/>
      <c r="U81" s="306"/>
      <c r="V81" s="242" t="s">
        <v>798</v>
      </c>
      <c r="Y81" s="179"/>
      <c r="Z81" s="178"/>
      <c r="AC81" s="179"/>
      <c r="AD81" s="178"/>
      <c r="AG81" s="179"/>
      <c r="AL81" s="178"/>
      <c r="AO81" s="179"/>
      <c r="AP81" s="178"/>
      <c r="AS81" s="179"/>
      <c r="AW81" s="179"/>
      <c r="BA81" s="180"/>
    </row>
    <row r="82" spans="1:53" s="29" customFormat="1" x14ac:dyDescent="0.15">
      <c r="A82" s="29">
        <v>2017</v>
      </c>
      <c r="B82" s="277">
        <v>42739</v>
      </c>
      <c r="C82" s="434" t="s">
        <v>1382</v>
      </c>
      <c r="D82" s="434"/>
      <c r="E82" s="29">
        <v>29</v>
      </c>
      <c r="F82" s="29">
        <v>1</v>
      </c>
      <c r="G82" s="30">
        <v>4</v>
      </c>
      <c r="H82" s="31">
        <v>0</v>
      </c>
      <c r="I82" s="31">
        <v>22</v>
      </c>
      <c r="J82" s="32">
        <v>27</v>
      </c>
      <c r="K82" s="33">
        <f t="shared" si="14"/>
        <v>14.814814814814813</v>
      </c>
      <c r="L82" s="33">
        <f t="shared" si="15"/>
        <v>0</v>
      </c>
      <c r="M82" s="33">
        <f t="shared" si="16"/>
        <v>81.481481481481481</v>
      </c>
      <c r="N82" s="34">
        <f t="shared" si="17"/>
        <v>96.296296296296291</v>
      </c>
      <c r="O82" s="35">
        <v>6.1</v>
      </c>
      <c r="P82" s="33">
        <v>0</v>
      </c>
      <c r="Q82" s="33">
        <v>46.8</v>
      </c>
      <c r="R82" s="36">
        <v>52.9</v>
      </c>
      <c r="S82" s="29">
        <v>2</v>
      </c>
      <c r="T82" s="286">
        <v>42715</v>
      </c>
      <c r="U82" s="277">
        <v>42739</v>
      </c>
      <c r="V82" s="91" t="s">
        <v>919</v>
      </c>
      <c r="W82" s="29" t="s">
        <v>20</v>
      </c>
      <c r="X82" s="29" t="s">
        <v>12</v>
      </c>
      <c r="Y82" s="39">
        <v>46.8</v>
      </c>
      <c r="Z82" s="38" t="s">
        <v>1384</v>
      </c>
      <c r="AA82" s="29" t="s">
        <v>106</v>
      </c>
      <c r="AB82" s="29" t="s">
        <v>11</v>
      </c>
      <c r="AC82" s="39">
        <v>6.1</v>
      </c>
      <c r="AD82" s="38"/>
      <c r="AG82" s="39"/>
      <c r="AL82" s="38"/>
      <c r="AO82" s="39"/>
      <c r="AP82" s="38"/>
      <c r="AS82" s="39"/>
      <c r="AW82" s="39"/>
      <c r="BA82" s="40"/>
    </row>
    <row r="83" spans="1:53" s="29" customFormat="1" x14ac:dyDescent="0.15">
      <c r="A83" s="29">
        <v>2017</v>
      </c>
      <c r="B83" s="303">
        <v>42768</v>
      </c>
      <c r="C83" s="434" t="s">
        <v>1382</v>
      </c>
      <c r="D83" s="434"/>
      <c r="E83" s="29">
        <v>7</v>
      </c>
      <c r="F83" s="84">
        <v>0</v>
      </c>
      <c r="G83" s="30">
        <v>4</v>
      </c>
      <c r="H83" s="31">
        <v>0</v>
      </c>
      <c r="I83" s="31">
        <v>23</v>
      </c>
      <c r="J83" s="32">
        <v>27</v>
      </c>
      <c r="K83" s="33">
        <f t="shared" si="14"/>
        <v>14.814814814814813</v>
      </c>
      <c r="L83" s="33">
        <f t="shared" si="15"/>
        <v>0</v>
      </c>
      <c r="M83" s="33">
        <f t="shared" si="16"/>
        <v>85.18518518518519</v>
      </c>
      <c r="N83" s="34">
        <f t="shared" si="17"/>
        <v>100</v>
      </c>
      <c r="O83" s="35">
        <v>6.1</v>
      </c>
      <c r="P83" s="33">
        <v>0</v>
      </c>
      <c r="Q83" s="33">
        <v>46.8</v>
      </c>
      <c r="R83" s="36">
        <v>52.9</v>
      </c>
      <c r="S83" s="29">
        <v>2</v>
      </c>
      <c r="T83" s="286"/>
      <c r="U83" s="277"/>
      <c r="V83" s="91" t="s">
        <v>919</v>
      </c>
      <c r="W83" s="29" t="s">
        <v>20</v>
      </c>
      <c r="X83" s="29" t="s">
        <v>12</v>
      </c>
      <c r="Y83" s="39">
        <v>46.8</v>
      </c>
      <c r="Z83" s="38" t="s">
        <v>1384</v>
      </c>
      <c r="AA83" s="29" t="s">
        <v>106</v>
      </c>
      <c r="AB83" s="29" t="s">
        <v>11</v>
      </c>
      <c r="AC83" s="39">
        <v>6.1</v>
      </c>
      <c r="AD83" s="38"/>
      <c r="AG83" s="39"/>
      <c r="AL83" s="38"/>
      <c r="AO83" s="39"/>
      <c r="AP83" s="38"/>
      <c r="AS83" s="39"/>
      <c r="AW83" s="39"/>
      <c r="BA83" s="40"/>
    </row>
    <row r="84" spans="1:53" s="29" customFormat="1" x14ac:dyDescent="0.15">
      <c r="A84" s="29">
        <v>2017</v>
      </c>
      <c r="B84" s="303">
        <v>42775</v>
      </c>
      <c r="C84" s="434" t="s">
        <v>1382</v>
      </c>
      <c r="D84" s="434"/>
      <c r="E84" s="29">
        <v>140</v>
      </c>
      <c r="F84" s="84">
        <v>0</v>
      </c>
      <c r="G84" s="30">
        <v>4</v>
      </c>
      <c r="H84" s="31">
        <v>0</v>
      </c>
      <c r="I84" s="31">
        <v>22</v>
      </c>
      <c r="J84" s="32">
        <v>27</v>
      </c>
      <c r="K84" s="33">
        <f t="shared" si="14"/>
        <v>14.814814814814813</v>
      </c>
      <c r="L84" s="33">
        <f t="shared" si="15"/>
        <v>0</v>
      </c>
      <c r="M84" s="33">
        <f t="shared" si="16"/>
        <v>81.481481481481481</v>
      </c>
      <c r="N84" s="34">
        <f t="shared" si="17"/>
        <v>96.296296296296291</v>
      </c>
      <c r="O84" s="35">
        <v>6.1</v>
      </c>
      <c r="P84" s="33">
        <v>0</v>
      </c>
      <c r="Q84" s="33">
        <v>46.8</v>
      </c>
      <c r="R84" s="36">
        <v>52.9</v>
      </c>
      <c r="S84" s="29">
        <v>2</v>
      </c>
      <c r="T84" s="286"/>
      <c r="U84" s="277"/>
      <c r="V84" s="91" t="s">
        <v>919</v>
      </c>
      <c r="W84" s="29" t="s">
        <v>20</v>
      </c>
      <c r="X84" s="29" t="s">
        <v>12</v>
      </c>
      <c r="Y84" s="39">
        <v>46.8</v>
      </c>
      <c r="Z84" s="38" t="s">
        <v>1384</v>
      </c>
      <c r="AA84" s="29" t="s">
        <v>106</v>
      </c>
      <c r="AB84" s="29" t="s">
        <v>11</v>
      </c>
      <c r="AC84" s="39">
        <v>6.1</v>
      </c>
      <c r="AD84" s="38"/>
      <c r="AG84" s="39"/>
      <c r="AL84" s="38"/>
      <c r="AO84" s="39"/>
      <c r="AP84" s="38"/>
      <c r="AS84" s="39"/>
      <c r="AW84" s="39"/>
      <c r="BA84" s="40"/>
    </row>
    <row r="85" spans="1:53" s="171" customFormat="1" x14ac:dyDescent="0.15">
      <c r="A85" s="171">
        <v>2017</v>
      </c>
      <c r="B85" s="306">
        <v>42915</v>
      </c>
      <c r="C85" s="438" t="s">
        <v>1383</v>
      </c>
      <c r="D85" s="438"/>
      <c r="E85" s="171">
        <v>105</v>
      </c>
      <c r="F85" s="171">
        <v>5</v>
      </c>
      <c r="G85" s="172">
        <v>4</v>
      </c>
      <c r="H85" s="117">
        <v>0</v>
      </c>
      <c r="I85" s="117">
        <v>23</v>
      </c>
      <c r="J85" s="173">
        <v>28</v>
      </c>
      <c r="K85" s="174">
        <f t="shared" si="14"/>
        <v>14.285714285714285</v>
      </c>
      <c r="L85" s="174">
        <f t="shared" si="15"/>
        <v>0</v>
      </c>
      <c r="M85" s="174">
        <f t="shared" si="16"/>
        <v>82.142857142857139</v>
      </c>
      <c r="N85" s="175">
        <f t="shared" si="17"/>
        <v>96.428571428571416</v>
      </c>
      <c r="O85" s="176">
        <v>4.5999999999999996</v>
      </c>
      <c r="P85" s="174">
        <v>0</v>
      </c>
      <c r="Q85" s="174">
        <v>46.8</v>
      </c>
      <c r="R85" s="177">
        <v>51.4</v>
      </c>
      <c r="S85" s="171">
        <v>2</v>
      </c>
      <c r="T85" s="285"/>
      <c r="U85" s="306">
        <v>42915</v>
      </c>
      <c r="V85" s="251" t="s">
        <v>919</v>
      </c>
      <c r="W85" s="171" t="s">
        <v>20</v>
      </c>
      <c r="X85" s="171" t="s">
        <v>12</v>
      </c>
      <c r="Y85" s="179">
        <v>46.8</v>
      </c>
      <c r="Z85" s="178" t="s">
        <v>1384</v>
      </c>
      <c r="AA85" s="171" t="s">
        <v>106</v>
      </c>
      <c r="AB85" s="171" t="s">
        <v>11</v>
      </c>
      <c r="AC85" s="179">
        <v>4.5999999999999996</v>
      </c>
      <c r="AD85" s="178"/>
      <c r="AG85" s="179"/>
      <c r="AL85" s="178"/>
      <c r="AO85" s="179"/>
      <c r="AP85" s="178"/>
      <c r="AS85" s="179"/>
      <c r="AW85" s="179"/>
      <c r="BA85" s="180"/>
    </row>
    <row r="86" spans="1:53" s="171" customFormat="1" x14ac:dyDescent="0.15">
      <c r="A86" s="171">
        <v>2017</v>
      </c>
      <c r="B86" s="305">
        <v>43020</v>
      </c>
      <c r="C86" s="438" t="s">
        <v>1383</v>
      </c>
      <c r="D86" s="438"/>
      <c r="E86" s="171">
        <v>81</v>
      </c>
      <c r="F86" s="244">
        <v>0</v>
      </c>
      <c r="G86" s="172">
        <v>4</v>
      </c>
      <c r="H86" s="117">
        <v>0</v>
      </c>
      <c r="I86" s="117">
        <v>22</v>
      </c>
      <c r="J86" s="173">
        <v>27</v>
      </c>
      <c r="K86" s="174">
        <f t="shared" ref="K86" si="18">G86/J86*100</f>
        <v>14.814814814814813</v>
      </c>
      <c r="L86" s="174">
        <f t="shared" ref="L86" si="19">H86/J86*100</f>
        <v>0</v>
      </c>
      <c r="M86" s="174">
        <f t="shared" ref="M86" si="20">I86/J86*100</f>
        <v>81.481481481481481</v>
      </c>
      <c r="N86" s="175">
        <f t="shared" ref="N86" si="21">SUM(K86:M86)</f>
        <v>96.296296296296291</v>
      </c>
      <c r="O86" s="176">
        <v>4.5999999999999996</v>
      </c>
      <c r="P86" s="174">
        <v>0</v>
      </c>
      <c r="Q86" s="174">
        <v>46.8</v>
      </c>
      <c r="R86" s="177">
        <v>51.4</v>
      </c>
      <c r="S86" s="171">
        <v>2</v>
      </c>
      <c r="T86" s="285"/>
      <c r="U86" s="306"/>
      <c r="V86" s="251" t="s">
        <v>919</v>
      </c>
      <c r="W86" s="171" t="s">
        <v>20</v>
      </c>
      <c r="X86" s="171" t="s">
        <v>12</v>
      </c>
      <c r="Y86" s="179">
        <v>46.8</v>
      </c>
      <c r="Z86" s="178" t="s">
        <v>1384</v>
      </c>
      <c r="AA86" s="171" t="s">
        <v>106</v>
      </c>
      <c r="AB86" s="171" t="s">
        <v>11</v>
      </c>
      <c r="AC86" s="179">
        <v>4.5999999999999996</v>
      </c>
      <c r="AD86" s="178"/>
      <c r="AG86" s="179"/>
      <c r="AL86" s="178"/>
      <c r="AO86" s="179"/>
      <c r="AP86" s="178"/>
      <c r="AS86" s="179"/>
      <c r="AW86" s="179"/>
      <c r="BA86" s="180"/>
    </row>
    <row r="87" spans="1:53" s="171" customFormat="1" x14ac:dyDescent="0.15">
      <c r="A87" s="171">
        <v>2018</v>
      </c>
      <c r="B87" s="305"/>
      <c r="C87" s="438" t="s">
        <v>1383</v>
      </c>
      <c r="D87" s="438"/>
      <c r="E87" s="171">
        <v>28</v>
      </c>
      <c r="F87" s="244"/>
      <c r="G87" s="172">
        <v>4</v>
      </c>
      <c r="H87" s="117">
        <v>0</v>
      </c>
      <c r="I87" s="117">
        <v>22</v>
      </c>
      <c r="J87" s="173">
        <v>27</v>
      </c>
      <c r="K87" s="174">
        <f t="shared" ref="K87:K89" si="22">G87/J87*100</f>
        <v>14.814814814814813</v>
      </c>
      <c r="L87" s="174">
        <f t="shared" ref="L87:L89" si="23">H87/J87*100</f>
        <v>0</v>
      </c>
      <c r="M87" s="174">
        <f t="shared" ref="M87:M89" si="24">I87/J87*100</f>
        <v>81.481481481481481</v>
      </c>
      <c r="N87" s="175">
        <f t="shared" ref="N87:N89" si="25">SUM(K87:M87)</f>
        <v>96.296296296296291</v>
      </c>
      <c r="O87" s="176">
        <v>4.5999999999999996</v>
      </c>
      <c r="P87" s="174">
        <v>0</v>
      </c>
      <c r="Q87" s="174">
        <v>46.8</v>
      </c>
      <c r="R87" s="177">
        <v>51.4</v>
      </c>
      <c r="S87" s="171">
        <v>2</v>
      </c>
      <c r="T87" s="285"/>
      <c r="U87" s="306"/>
      <c r="V87" s="251" t="s">
        <v>919</v>
      </c>
      <c r="W87" s="171" t="s">
        <v>20</v>
      </c>
      <c r="X87" s="171" t="s">
        <v>12</v>
      </c>
      <c r="Y87" s="179">
        <v>46.8</v>
      </c>
      <c r="Z87" s="178" t="s">
        <v>1384</v>
      </c>
      <c r="AA87" s="171" t="s">
        <v>106</v>
      </c>
      <c r="AB87" s="171" t="s">
        <v>11</v>
      </c>
      <c r="AC87" s="179">
        <v>4.5999999999999996</v>
      </c>
      <c r="AD87" s="178"/>
      <c r="AG87" s="179"/>
      <c r="AL87" s="178"/>
      <c r="AO87" s="179"/>
      <c r="AP87" s="178"/>
      <c r="AS87" s="179"/>
      <c r="AW87" s="179"/>
      <c r="BA87" s="180"/>
    </row>
    <row r="88" spans="1:53" s="29" customFormat="1" x14ac:dyDescent="0.15">
      <c r="A88" s="29">
        <v>2018</v>
      </c>
      <c r="B88" s="277">
        <v>43129</v>
      </c>
      <c r="C88" s="434" t="s">
        <v>1401</v>
      </c>
      <c r="D88" s="434"/>
      <c r="E88" s="29">
        <v>295</v>
      </c>
      <c r="F88" s="29">
        <v>2</v>
      </c>
      <c r="G88" s="30">
        <v>4</v>
      </c>
      <c r="H88" s="31">
        <v>0</v>
      </c>
      <c r="I88" s="31">
        <v>22</v>
      </c>
      <c r="J88" s="32">
        <v>28</v>
      </c>
      <c r="K88" s="33">
        <f t="shared" si="22"/>
        <v>14.285714285714285</v>
      </c>
      <c r="L88" s="33">
        <f t="shared" si="23"/>
        <v>0</v>
      </c>
      <c r="M88" s="33">
        <f t="shared" si="24"/>
        <v>78.571428571428569</v>
      </c>
      <c r="N88" s="34">
        <f t="shared" si="25"/>
        <v>92.857142857142861</v>
      </c>
      <c r="O88" s="35">
        <v>4.5999999999999996</v>
      </c>
      <c r="P88" s="33">
        <v>0</v>
      </c>
      <c r="Q88" s="33">
        <v>46.8</v>
      </c>
      <c r="R88" s="36">
        <v>51.4</v>
      </c>
      <c r="S88" s="29">
        <v>2</v>
      </c>
      <c r="T88" s="286"/>
      <c r="U88" s="277">
        <v>43129</v>
      </c>
      <c r="V88" s="91" t="s">
        <v>919</v>
      </c>
      <c r="W88" s="29" t="s">
        <v>20</v>
      </c>
      <c r="X88" s="29" t="s">
        <v>12</v>
      </c>
      <c r="Y88" s="39">
        <v>46.8</v>
      </c>
      <c r="Z88" s="38" t="s">
        <v>1384</v>
      </c>
      <c r="AA88" s="29" t="s">
        <v>106</v>
      </c>
      <c r="AB88" s="29" t="s">
        <v>11</v>
      </c>
      <c r="AC88" s="39">
        <v>4.5999999999999996</v>
      </c>
      <c r="AD88" s="38"/>
      <c r="AG88" s="39"/>
      <c r="AL88" s="38"/>
      <c r="AO88" s="39"/>
      <c r="AP88" s="38"/>
      <c r="AS88" s="39"/>
      <c r="AW88" s="39"/>
      <c r="BA88" s="40"/>
    </row>
    <row r="89" spans="1:53" s="29" customFormat="1" x14ac:dyDescent="0.15">
      <c r="A89" s="29">
        <v>2018</v>
      </c>
      <c r="B89" s="303">
        <v>43424</v>
      </c>
      <c r="C89" s="434" t="s">
        <v>1401</v>
      </c>
      <c r="D89" s="434"/>
      <c r="E89" s="29">
        <v>42</v>
      </c>
      <c r="F89" s="84">
        <v>0</v>
      </c>
      <c r="G89" s="30">
        <v>4</v>
      </c>
      <c r="H89" s="31">
        <v>0</v>
      </c>
      <c r="I89" s="31">
        <v>21</v>
      </c>
      <c r="J89" s="32">
        <v>26</v>
      </c>
      <c r="K89" s="33">
        <f t="shared" si="22"/>
        <v>15.384615384615385</v>
      </c>
      <c r="L89" s="33">
        <f t="shared" si="23"/>
        <v>0</v>
      </c>
      <c r="M89" s="33">
        <f t="shared" si="24"/>
        <v>80.769230769230774</v>
      </c>
      <c r="N89" s="34">
        <f t="shared" si="25"/>
        <v>96.15384615384616</v>
      </c>
      <c r="O89" s="35">
        <v>4.5999999999999996</v>
      </c>
      <c r="P89" s="33">
        <v>0</v>
      </c>
      <c r="Q89" s="33">
        <v>46.8</v>
      </c>
      <c r="R89" s="36">
        <v>51.4</v>
      </c>
      <c r="S89" s="29">
        <v>2</v>
      </c>
      <c r="T89" s="286"/>
      <c r="U89" s="277"/>
      <c r="V89" s="91" t="s">
        <v>919</v>
      </c>
      <c r="W89" s="29" t="s">
        <v>20</v>
      </c>
      <c r="X89" s="29" t="s">
        <v>12</v>
      </c>
      <c r="Y89" s="39">
        <v>46.8</v>
      </c>
      <c r="Z89" s="38" t="s">
        <v>1384</v>
      </c>
      <c r="AA89" s="29" t="s">
        <v>106</v>
      </c>
      <c r="AB89" s="29" t="s">
        <v>11</v>
      </c>
      <c r="AC89" s="39">
        <v>4.5999999999999996</v>
      </c>
      <c r="AD89" s="38"/>
      <c r="AG89" s="39"/>
      <c r="AL89" s="38"/>
      <c r="AO89" s="39"/>
      <c r="AP89" s="38"/>
      <c r="AS89" s="39"/>
      <c r="AW89" s="39"/>
      <c r="BA89" s="40"/>
    </row>
    <row r="90" spans="1:53" s="29" customFormat="1" x14ac:dyDescent="0.15">
      <c r="A90" s="29">
        <v>2019</v>
      </c>
      <c r="B90" s="295"/>
      <c r="C90" s="434" t="s">
        <v>1401</v>
      </c>
      <c r="D90" s="434"/>
      <c r="E90" s="29">
        <v>113</v>
      </c>
      <c r="G90" s="30">
        <v>4</v>
      </c>
      <c r="H90" s="31">
        <v>0</v>
      </c>
      <c r="I90" s="31">
        <v>21</v>
      </c>
      <c r="J90" s="32">
        <v>26</v>
      </c>
      <c r="K90" s="33">
        <f t="shared" ref="K90:K97" si="26">G90/J90*100</f>
        <v>15.384615384615385</v>
      </c>
      <c r="L90" s="33">
        <f t="shared" ref="L90:L97" si="27">H90/J90*100</f>
        <v>0</v>
      </c>
      <c r="M90" s="33">
        <f t="shared" ref="M90:M97" si="28">I90/J90*100</f>
        <v>80.769230769230774</v>
      </c>
      <c r="N90" s="34">
        <f t="shared" ref="N90:N97" si="29">SUM(K90:M90)</f>
        <v>96.15384615384616</v>
      </c>
      <c r="O90" s="35">
        <v>4.5999999999999996</v>
      </c>
      <c r="P90" s="33">
        <v>0</v>
      </c>
      <c r="Q90" s="33">
        <v>46.8</v>
      </c>
      <c r="R90" s="36">
        <v>51.4</v>
      </c>
      <c r="S90" s="29">
        <v>2</v>
      </c>
      <c r="T90" s="286"/>
      <c r="U90" s="277"/>
      <c r="V90" s="91" t="s">
        <v>919</v>
      </c>
      <c r="W90" s="29" t="s">
        <v>20</v>
      </c>
      <c r="X90" s="29" t="s">
        <v>12</v>
      </c>
      <c r="Y90" s="39">
        <v>46.8</v>
      </c>
      <c r="Z90" s="38" t="s">
        <v>1384</v>
      </c>
      <c r="AA90" s="29" t="s">
        <v>106</v>
      </c>
      <c r="AB90" s="29" t="s">
        <v>11</v>
      </c>
      <c r="AC90" s="39">
        <v>4.5999999999999996</v>
      </c>
      <c r="AD90" s="38"/>
      <c r="AG90" s="39"/>
      <c r="AL90" s="38"/>
      <c r="AO90" s="39"/>
      <c r="AP90" s="38"/>
      <c r="AS90" s="39"/>
      <c r="AW90" s="39"/>
      <c r="BA90" s="40"/>
    </row>
    <row r="91" spans="1:53" s="29" customFormat="1" x14ac:dyDescent="0.15">
      <c r="A91" s="29">
        <v>2019</v>
      </c>
      <c r="B91" s="303">
        <v>43579</v>
      </c>
      <c r="C91" s="434" t="s">
        <v>1401</v>
      </c>
      <c r="D91" s="434"/>
      <c r="E91" s="29">
        <v>82</v>
      </c>
      <c r="F91" s="84">
        <v>0</v>
      </c>
      <c r="G91" s="30">
        <v>4</v>
      </c>
      <c r="H91" s="31">
        <v>0</v>
      </c>
      <c r="I91" s="31">
        <v>22</v>
      </c>
      <c r="J91" s="32">
        <v>26</v>
      </c>
      <c r="K91" s="33">
        <f t="shared" si="26"/>
        <v>15.384615384615385</v>
      </c>
      <c r="L91" s="33">
        <f t="shared" si="27"/>
        <v>0</v>
      </c>
      <c r="M91" s="33">
        <f t="shared" si="28"/>
        <v>84.615384615384613</v>
      </c>
      <c r="N91" s="34">
        <f t="shared" si="29"/>
        <v>100</v>
      </c>
      <c r="O91" s="35">
        <v>4.5999999999999996</v>
      </c>
      <c r="P91" s="33">
        <v>0</v>
      </c>
      <c r="Q91" s="33">
        <v>46.8</v>
      </c>
      <c r="R91" s="36">
        <v>51.4</v>
      </c>
      <c r="S91" s="29">
        <v>2</v>
      </c>
      <c r="T91" s="286"/>
      <c r="U91" s="277"/>
      <c r="V91" s="91" t="s">
        <v>919</v>
      </c>
      <c r="W91" s="29" t="s">
        <v>20</v>
      </c>
      <c r="X91" s="29" t="s">
        <v>12</v>
      </c>
      <c r="Y91" s="39">
        <v>46.8</v>
      </c>
      <c r="Z91" s="38" t="s">
        <v>1384</v>
      </c>
      <c r="AA91" s="29" t="s">
        <v>106</v>
      </c>
      <c r="AB91" s="29" t="s">
        <v>11</v>
      </c>
      <c r="AC91" s="39">
        <v>4.5999999999999996</v>
      </c>
      <c r="AD91" s="38"/>
      <c r="AG91" s="39"/>
      <c r="AL91" s="38"/>
      <c r="AO91" s="39"/>
      <c r="AP91" s="38"/>
      <c r="AS91" s="39"/>
      <c r="AW91" s="39"/>
      <c r="BA91" s="40"/>
    </row>
    <row r="92" spans="1:53" s="29" customFormat="1" x14ac:dyDescent="0.15">
      <c r="A92" s="29">
        <v>2019</v>
      </c>
      <c r="B92" s="303">
        <v>43661</v>
      </c>
      <c r="C92" s="434" t="s">
        <v>1401</v>
      </c>
      <c r="D92" s="434"/>
      <c r="E92" s="29">
        <v>43</v>
      </c>
      <c r="F92" s="84">
        <v>0</v>
      </c>
      <c r="G92" s="30">
        <v>3</v>
      </c>
      <c r="H92" s="31">
        <v>0</v>
      </c>
      <c r="I92" s="31">
        <v>21</v>
      </c>
      <c r="J92" s="32">
        <v>25</v>
      </c>
      <c r="K92" s="33">
        <f t="shared" si="26"/>
        <v>12</v>
      </c>
      <c r="L92" s="33">
        <f t="shared" si="27"/>
        <v>0</v>
      </c>
      <c r="M92" s="33">
        <f t="shared" si="28"/>
        <v>84</v>
      </c>
      <c r="N92" s="34">
        <f t="shared" si="29"/>
        <v>96</v>
      </c>
      <c r="O92" s="35">
        <v>4.5999999999999996</v>
      </c>
      <c r="P92" s="33">
        <v>0</v>
      </c>
      <c r="Q92" s="33">
        <v>46.8</v>
      </c>
      <c r="R92" s="36">
        <v>51.4</v>
      </c>
      <c r="S92" s="29">
        <v>2</v>
      </c>
      <c r="T92" s="286"/>
      <c r="U92" s="277"/>
      <c r="V92" s="91" t="s">
        <v>919</v>
      </c>
      <c r="W92" s="29" t="s">
        <v>20</v>
      </c>
      <c r="X92" s="29" t="s">
        <v>12</v>
      </c>
      <c r="Y92" s="39">
        <v>46.8</v>
      </c>
      <c r="Z92" s="38" t="s">
        <v>1384</v>
      </c>
      <c r="AA92" s="29" t="s">
        <v>106</v>
      </c>
      <c r="AB92" s="29" t="s">
        <v>11</v>
      </c>
      <c r="AC92" s="39">
        <v>4.5999999999999996</v>
      </c>
      <c r="AD92" s="38"/>
      <c r="AG92" s="39"/>
      <c r="AL92" s="38"/>
      <c r="AO92" s="39"/>
      <c r="AP92" s="38"/>
      <c r="AS92" s="39"/>
      <c r="AW92" s="39"/>
      <c r="BA92" s="40"/>
    </row>
    <row r="93" spans="1:53" s="29" customFormat="1" x14ac:dyDescent="0.15">
      <c r="A93" s="29">
        <v>2019</v>
      </c>
      <c r="B93" s="277">
        <v>43704</v>
      </c>
      <c r="C93" s="434" t="s">
        <v>1401</v>
      </c>
      <c r="D93" s="434"/>
      <c r="E93" s="29">
        <v>69</v>
      </c>
      <c r="F93" s="29">
        <v>4</v>
      </c>
      <c r="G93" s="30">
        <v>0</v>
      </c>
      <c r="H93" s="31">
        <v>0</v>
      </c>
      <c r="I93" s="31">
        <v>21</v>
      </c>
      <c r="J93" s="32">
        <v>22</v>
      </c>
      <c r="K93" s="33">
        <f t="shared" si="26"/>
        <v>0</v>
      </c>
      <c r="L93" s="33">
        <f t="shared" si="27"/>
        <v>0</v>
      </c>
      <c r="M93" s="33">
        <f t="shared" si="28"/>
        <v>95.454545454545453</v>
      </c>
      <c r="N93" s="34">
        <f t="shared" si="29"/>
        <v>95.454545454545453</v>
      </c>
      <c r="O93" s="35">
        <v>0</v>
      </c>
      <c r="P93" s="33">
        <v>0</v>
      </c>
      <c r="Q93" s="33">
        <v>46.8</v>
      </c>
      <c r="R93" s="36">
        <f>SUM(O93:Q93)</f>
        <v>46.8</v>
      </c>
      <c r="S93" s="29">
        <v>4</v>
      </c>
      <c r="T93" s="286"/>
      <c r="U93" s="277"/>
      <c r="V93" s="91" t="s">
        <v>919</v>
      </c>
      <c r="W93" s="29" t="s">
        <v>20</v>
      </c>
      <c r="X93" s="29" t="s">
        <v>12</v>
      </c>
      <c r="Y93" s="39">
        <v>46.8</v>
      </c>
      <c r="Z93" s="38"/>
      <c r="AC93" s="39"/>
      <c r="AD93" s="38"/>
      <c r="AG93" s="39"/>
      <c r="AL93" s="38"/>
      <c r="AO93" s="39"/>
      <c r="AP93" s="38"/>
      <c r="AS93" s="39"/>
      <c r="AW93" s="39"/>
      <c r="BA93" s="40"/>
    </row>
    <row r="94" spans="1:53" s="171" customFormat="1" x14ac:dyDescent="0.15">
      <c r="A94" s="171">
        <v>2019</v>
      </c>
      <c r="B94" s="306">
        <v>43773</v>
      </c>
      <c r="C94" s="438" t="s">
        <v>1428</v>
      </c>
      <c r="D94" s="438"/>
      <c r="E94" s="171">
        <v>58</v>
      </c>
      <c r="F94" s="171">
        <v>5</v>
      </c>
      <c r="G94" s="172">
        <v>16</v>
      </c>
      <c r="H94" s="117">
        <v>0</v>
      </c>
      <c r="I94" s="117">
        <v>0</v>
      </c>
      <c r="J94" s="173">
        <v>18</v>
      </c>
      <c r="K94" s="174">
        <f t="shared" si="26"/>
        <v>88.888888888888886</v>
      </c>
      <c r="L94" s="174">
        <f t="shared" si="27"/>
        <v>0</v>
      </c>
      <c r="M94" s="174">
        <f t="shared" si="28"/>
        <v>0</v>
      </c>
      <c r="N94" s="175">
        <f t="shared" si="29"/>
        <v>88.888888888888886</v>
      </c>
      <c r="O94" s="176">
        <v>20.9</v>
      </c>
      <c r="P94" s="174">
        <v>0</v>
      </c>
      <c r="Q94" s="174">
        <v>0</v>
      </c>
      <c r="R94" s="177">
        <f>SUM(O94:Q94)</f>
        <v>20.9</v>
      </c>
      <c r="S94" s="190">
        <v>4</v>
      </c>
      <c r="T94" s="285"/>
      <c r="U94" s="341">
        <v>43773</v>
      </c>
      <c r="V94" s="253" t="s">
        <v>907</v>
      </c>
      <c r="W94" s="171" t="s">
        <v>22</v>
      </c>
      <c r="X94" s="171" t="s">
        <v>11</v>
      </c>
      <c r="Y94" s="179">
        <v>20.9</v>
      </c>
      <c r="Z94" s="178"/>
      <c r="AC94" s="179"/>
      <c r="AD94" s="178"/>
      <c r="AG94" s="179"/>
      <c r="AL94" s="178"/>
      <c r="AO94" s="179"/>
      <c r="AP94" s="178"/>
      <c r="AS94" s="179"/>
      <c r="AW94" s="179"/>
      <c r="BA94" s="180"/>
    </row>
    <row r="95" spans="1:53" s="171" customFormat="1" x14ac:dyDescent="0.15">
      <c r="A95" s="171">
        <v>2020</v>
      </c>
      <c r="B95" s="306"/>
      <c r="C95" s="438" t="s">
        <v>1428</v>
      </c>
      <c r="D95" s="438"/>
      <c r="E95" s="171">
        <v>74</v>
      </c>
      <c r="F95" s="180"/>
      <c r="G95" s="117">
        <v>16</v>
      </c>
      <c r="H95" s="117">
        <v>0</v>
      </c>
      <c r="I95" s="117">
        <v>0</v>
      </c>
      <c r="J95" s="173">
        <v>18</v>
      </c>
      <c r="K95" s="174">
        <f t="shared" si="26"/>
        <v>88.888888888888886</v>
      </c>
      <c r="L95" s="174">
        <f t="shared" si="27"/>
        <v>0</v>
      </c>
      <c r="M95" s="174">
        <f t="shared" si="28"/>
        <v>0</v>
      </c>
      <c r="N95" s="177">
        <f t="shared" si="29"/>
        <v>88.888888888888886</v>
      </c>
      <c r="O95" s="174">
        <v>20.9</v>
      </c>
      <c r="P95" s="174">
        <v>0</v>
      </c>
      <c r="Q95" s="174">
        <v>0</v>
      </c>
      <c r="R95" s="177">
        <f t="shared" ref="R95:R97" si="30">SUM(O95:Q95)</f>
        <v>20.9</v>
      </c>
      <c r="S95" s="190">
        <v>4</v>
      </c>
      <c r="T95" s="285"/>
      <c r="U95" s="341"/>
      <c r="V95" s="253" t="s">
        <v>907</v>
      </c>
      <c r="W95" s="171" t="s">
        <v>22</v>
      </c>
      <c r="X95" s="171" t="s">
        <v>11</v>
      </c>
      <c r="Y95" s="179">
        <v>20.9</v>
      </c>
      <c r="AC95" s="179"/>
      <c r="AG95" s="179"/>
      <c r="AK95" s="179"/>
      <c r="AO95" s="179"/>
      <c r="AS95" s="179"/>
      <c r="AW95" s="179"/>
      <c r="BA95" s="180"/>
    </row>
    <row r="96" spans="1:53" s="29" customFormat="1" x14ac:dyDescent="0.15">
      <c r="A96" s="29">
        <v>2020</v>
      </c>
      <c r="B96" s="277">
        <v>43904</v>
      </c>
      <c r="C96" s="434" t="s">
        <v>1475</v>
      </c>
      <c r="D96" s="434"/>
      <c r="E96" s="29">
        <v>275</v>
      </c>
      <c r="F96" s="40">
        <v>5</v>
      </c>
      <c r="G96" s="31">
        <v>16</v>
      </c>
      <c r="H96" s="31">
        <v>0</v>
      </c>
      <c r="I96" s="31">
        <v>0</v>
      </c>
      <c r="J96" s="32">
        <v>18</v>
      </c>
      <c r="K96" s="33">
        <f t="shared" si="26"/>
        <v>88.888888888888886</v>
      </c>
      <c r="L96" s="33">
        <f t="shared" si="27"/>
        <v>0</v>
      </c>
      <c r="M96" s="33">
        <f t="shared" si="28"/>
        <v>0</v>
      </c>
      <c r="N96" s="36">
        <f t="shared" si="29"/>
        <v>88.888888888888886</v>
      </c>
      <c r="O96" s="33">
        <v>20.9</v>
      </c>
      <c r="P96" s="33">
        <v>0</v>
      </c>
      <c r="Q96" s="33">
        <v>0</v>
      </c>
      <c r="R96" s="36">
        <f t="shared" si="30"/>
        <v>20.9</v>
      </c>
      <c r="S96" s="37">
        <v>4</v>
      </c>
      <c r="T96" s="286"/>
      <c r="U96" s="345">
        <v>43904</v>
      </c>
      <c r="V96" s="94" t="s">
        <v>907</v>
      </c>
      <c r="W96" s="29" t="s">
        <v>22</v>
      </c>
      <c r="X96" s="29" t="s">
        <v>11</v>
      </c>
      <c r="Y96" s="39">
        <v>20.9</v>
      </c>
      <c r="AC96" s="39"/>
      <c r="AG96" s="39"/>
      <c r="AK96" s="39"/>
      <c r="AO96" s="39"/>
      <c r="AS96" s="39"/>
      <c r="AW96" s="39"/>
      <c r="BA96" s="40"/>
    </row>
    <row r="97" spans="1:53" s="171" customFormat="1" x14ac:dyDescent="0.15">
      <c r="A97" s="171">
        <v>2020</v>
      </c>
      <c r="B97" s="306">
        <v>44188</v>
      </c>
      <c r="C97" s="438" t="s">
        <v>1477</v>
      </c>
      <c r="D97" s="438"/>
      <c r="E97" s="171">
        <v>9</v>
      </c>
      <c r="F97" s="180">
        <v>1</v>
      </c>
      <c r="G97" s="117">
        <v>16</v>
      </c>
      <c r="H97" s="117">
        <v>4</v>
      </c>
      <c r="I97" s="117">
        <v>0</v>
      </c>
      <c r="J97" s="173">
        <v>21</v>
      </c>
      <c r="K97" s="174">
        <f t="shared" si="26"/>
        <v>76.19047619047619</v>
      </c>
      <c r="L97" s="174">
        <f t="shared" si="27"/>
        <v>19.047619047619047</v>
      </c>
      <c r="M97" s="174">
        <f t="shared" si="28"/>
        <v>0</v>
      </c>
      <c r="N97" s="177">
        <f t="shared" si="29"/>
        <v>95.238095238095241</v>
      </c>
      <c r="O97" s="174">
        <v>45</v>
      </c>
      <c r="P97" s="174">
        <v>6.4</v>
      </c>
      <c r="Q97" s="174">
        <v>0</v>
      </c>
      <c r="R97" s="177">
        <f t="shared" si="30"/>
        <v>51.4</v>
      </c>
      <c r="S97" s="190">
        <v>2</v>
      </c>
      <c r="T97" s="285">
        <v>44171</v>
      </c>
      <c r="U97" s="341">
        <v>44188</v>
      </c>
      <c r="V97" s="253" t="s">
        <v>907</v>
      </c>
      <c r="W97" s="171" t="s">
        <v>22</v>
      </c>
      <c r="X97" s="171" t="s">
        <v>11</v>
      </c>
      <c r="Y97" s="179">
        <v>28.3</v>
      </c>
      <c r="Z97" s="171" t="s">
        <v>1476</v>
      </c>
      <c r="AA97" s="171" t="s">
        <v>306</v>
      </c>
      <c r="AB97" s="171" t="s">
        <v>11</v>
      </c>
      <c r="AC97" s="179">
        <v>16.7</v>
      </c>
      <c r="AD97" s="171" t="s">
        <v>915</v>
      </c>
      <c r="AE97" s="171" t="s">
        <v>89</v>
      </c>
      <c r="AF97" s="171" t="s">
        <v>18</v>
      </c>
      <c r="AG97" s="179">
        <v>6.4</v>
      </c>
      <c r="AK97" s="179"/>
      <c r="AO97" s="179"/>
      <c r="AS97" s="179"/>
      <c r="AW97" s="179"/>
      <c r="BA97" s="180"/>
    </row>
    <row r="98" spans="1:53" x14ac:dyDescent="0.15">
      <c r="B98" s="339"/>
      <c r="C98" s="365"/>
      <c r="D98" s="365"/>
      <c r="G98" s="9"/>
      <c r="H98" s="9"/>
      <c r="I98" s="9"/>
      <c r="J98" s="115"/>
      <c r="K98" s="377"/>
      <c r="L98" s="377"/>
      <c r="M98" s="377"/>
      <c r="N98" s="378"/>
      <c r="O98" s="377"/>
      <c r="P98" s="377"/>
      <c r="Q98" s="377"/>
      <c r="R98" s="378"/>
      <c r="T98" s="340"/>
      <c r="U98" s="339"/>
      <c r="V98" s="23"/>
    </row>
    <row r="100" spans="1:53" ht="18" customHeight="1" x14ac:dyDescent="0.15">
      <c r="B100" s="16" t="s">
        <v>1264</v>
      </c>
    </row>
    <row r="101" spans="1:53" ht="9" customHeight="1" x14ac:dyDescent="0.15"/>
    <row r="102" spans="1:53" s="195" customFormat="1" ht="9" customHeight="1" x14ac:dyDescent="0.15">
      <c r="A102" s="193"/>
      <c r="B102" s="194" t="s">
        <v>1215</v>
      </c>
      <c r="C102" s="194"/>
      <c r="D102" s="194"/>
      <c r="E102" s="194"/>
      <c r="F102" s="194"/>
      <c r="G102" s="194" t="s">
        <v>1216</v>
      </c>
      <c r="H102" s="194"/>
      <c r="I102" s="194"/>
      <c r="J102" s="194"/>
      <c r="K102" s="194"/>
      <c r="L102" s="194"/>
      <c r="M102" s="194"/>
      <c r="N102" s="194"/>
      <c r="R102" s="388" t="s">
        <v>1217</v>
      </c>
      <c r="S102" s="388"/>
      <c r="T102" s="388"/>
      <c r="U102" s="388"/>
      <c r="V102" s="388"/>
      <c r="W102" s="388"/>
      <c r="X102" s="196"/>
      <c r="Y102" s="196"/>
      <c r="AA102" s="196"/>
      <c r="AB102" s="196"/>
      <c r="AC102" s="196"/>
      <c r="AD102" s="196"/>
    </row>
    <row r="103" spans="1:53" s="200" customFormat="1" ht="9" customHeight="1" x14ac:dyDescent="0.15">
      <c r="A103" s="197"/>
      <c r="B103" s="198" t="s">
        <v>1219</v>
      </c>
      <c r="C103" s="199"/>
      <c r="D103" s="199"/>
      <c r="E103" s="199"/>
      <c r="F103" s="199"/>
      <c r="G103" s="198" t="s">
        <v>1218</v>
      </c>
      <c r="H103" s="199"/>
      <c r="I103" s="199"/>
      <c r="J103" s="199"/>
      <c r="K103" s="199"/>
      <c r="L103" s="199"/>
      <c r="M103" s="199"/>
      <c r="N103" s="199"/>
      <c r="R103" s="201" t="s">
        <v>1220</v>
      </c>
      <c r="S103" s="202"/>
      <c r="T103" s="203"/>
      <c r="U103" s="203"/>
      <c r="V103" s="203"/>
      <c r="W103" s="201" t="s">
        <v>1221</v>
      </c>
      <c r="X103" s="203"/>
      <c r="Y103" s="203"/>
      <c r="AA103" s="203"/>
      <c r="AB103" s="203"/>
      <c r="AC103" s="203"/>
      <c r="AD103" s="203"/>
    </row>
    <row r="104" spans="1:53" s="186" customFormat="1" ht="12" customHeight="1" x14ac:dyDescent="0.15">
      <c r="A104" s="204" t="s">
        <v>3</v>
      </c>
      <c r="B104" s="205" t="s">
        <v>8</v>
      </c>
      <c r="C104" s="205" t="s">
        <v>9</v>
      </c>
      <c r="D104" s="205" t="s">
        <v>10</v>
      </c>
      <c r="E104" s="206" t="s">
        <v>1195</v>
      </c>
      <c r="F104" s="205"/>
      <c r="G104" s="186" t="s">
        <v>3</v>
      </c>
      <c r="H104" s="389" t="s">
        <v>0</v>
      </c>
      <c r="I104" s="389"/>
      <c r="J104" s="389" t="s">
        <v>1</v>
      </c>
      <c r="K104" s="389"/>
      <c r="L104" s="389" t="s">
        <v>2</v>
      </c>
      <c r="M104" s="389"/>
      <c r="N104" s="390" t="s">
        <v>1195</v>
      </c>
      <c r="O104" s="390"/>
      <c r="P104" s="207"/>
      <c r="Q104" s="207"/>
      <c r="R104" s="208" t="s">
        <v>3</v>
      </c>
      <c r="S104" s="209" t="s">
        <v>135</v>
      </c>
      <c r="T104" s="207" t="s">
        <v>133</v>
      </c>
      <c r="U104" s="205" t="s">
        <v>134</v>
      </c>
      <c r="V104" s="207"/>
      <c r="W104" s="210" t="s">
        <v>26</v>
      </c>
    </row>
    <row r="105" spans="1:53" x14ac:dyDescent="0.15">
      <c r="A105" s="1">
        <v>1990</v>
      </c>
      <c r="B105" s="5">
        <f>(K7*($E7/187))</f>
        <v>0</v>
      </c>
      <c r="C105" s="5">
        <f>(L7*($E7/187))</f>
        <v>0</v>
      </c>
      <c r="D105" s="5">
        <f>(M7*($E7/187))</f>
        <v>91.304347826086953</v>
      </c>
      <c r="E105" s="24">
        <f t="shared" ref="E105:E131" si="31">B105+C105+D105</f>
        <v>91.304347826086953</v>
      </c>
      <c r="F105" s="9"/>
      <c r="G105" s="9">
        <v>1990</v>
      </c>
      <c r="H105" s="409">
        <f>(O7/$R7*100*($E7/187))</f>
        <v>0</v>
      </c>
      <c r="I105" s="409"/>
      <c r="J105" s="409">
        <f>(P7/$R7*100*($E7/187))</f>
        <v>0</v>
      </c>
      <c r="K105" s="409"/>
      <c r="L105" s="419">
        <f>(Q7/$R7*100*($E7/187))</f>
        <v>100</v>
      </c>
      <c r="M105" s="419"/>
      <c r="N105" s="424">
        <f t="shared" ref="N105:N127" si="32">H105+J105+L105</f>
        <v>100</v>
      </c>
      <c r="O105" s="424"/>
      <c r="P105" s="9"/>
      <c r="Q105" s="9"/>
      <c r="R105" s="9">
        <v>1990</v>
      </c>
      <c r="S105" s="5">
        <f>(O7*($E7/187))</f>
        <v>0</v>
      </c>
      <c r="T105" s="5">
        <f>(P7*($E7/187))</f>
        <v>0</v>
      </c>
      <c r="U105" s="5">
        <f>(Q7*($E7/187))</f>
        <v>66.400000000000006</v>
      </c>
      <c r="V105" s="9"/>
      <c r="W105" s="5">
        <f>S105+T105+U105</f>
        <v>66.400000000000006</v>
      </c>
      <c r="X105" s="25"/>
      <c r="Y105" s="125" t="s">
        <v>1201</v>
      </c>
      <c r="Z105" s="25"/>
      <c r="AA105" s="25"/>
    </row>
    <row r="106" spans="1:53" x14ac:dyDescent="0.15">
      <c r="A106" s="1">
        <v>1991</v>
      </c>
      <c r="B106" s="5">
        <f>(K8*($E8/365))+(K9*($E9/365))</f>
        <v>3.3309300648882476</v>
      </c>
      <c r="C106" s="5">
        <f>(L8*($E8/365))+(L9*($E9/365))</f>
        <v>0</v>
      </c>
      <c r="D106" s="5">
        <f>(M8*($E8/365))+(M9*($E9/365))</f>
        <v>86.476912949437306</v>
      </c>
      <c r="E106" s="24">
        <f t="shared" si="31"/>
        <v>89.807843014325556</v>
      </c>
      <c r="F106" s="9"/>
      <c r="G106" s="9">
        <v>1991</v>
      </c>
      <c r="H106" s="409">
        <f>(O8/$R8*100*($E8/365))+(O9/$R9*100*($E9/365))</f>
        <v>1.9493670886075947</v>
      </c>
      <c r="I106" s="409"/>
      <c r="J106" s="409">
        <f>(P8/$R8*100*($E8/365))+(P9/$R9*100*($E9/365))</f>
        <v>0</v>
      </c>
      <c r="K106" s="409"/>
      <c r="L106" s="409">
        <f>(Q8/$R8*100*($E8/365))+(Q9/$R9*100*($E9/365))</f>
        <v>98.050632911392412</v>
      </c>
      <c r="M106" s="409"/>
      <c r="N106" s="424">
        <f t="shared" si="32"/>
        <v>100</v>
      </c>
      <c r="O106" s="424"/>
      <c r="P106" s="9"/>
      <c r="Q106" s="9"/>
      <c r="R106" s="9">
        <v>1991</v>
      </c>
      <c r="S106" s="5">
        <f>(O8*($E8/365))+(O9*($E9/365))</f>
        <v>1.5399999999999998</v>
      </c>
      <c r="T106" s="5">
        <f>(P8*($E8/365))+(P9*($E9/365))</f>
        <v>0</v>
      </c>
      <c r="U106" s="5">
        <f>(Q8*($E8/365))+(Q9*($E9/365))</f>
        <v>67.51808219178082</v>
      </c>
      <c r="V106" s="9"/>
      <c r="W106" s="5">
        <f t="shared" ref="W106:W128" si="33">S106+T106+U106</f>
        <v>69.058082191780827</v>
      </c>
    </row>
    <row r="107" spans="1:53" x14ac:dyDescent="0.15">
      <c r="A107" s="1">
        <v>1992</v>
      </c>
      <c r="B107" s="5">
        <f>(K10*($E10/366))+(K11*($E11/366))</f>
        <v>13.675582398619499</v>
      </c>
      <c r="C107" s="5">
        <f>(L10*($E10/366))+(L11*($E11/366))</f>
        <v>0</v>
      </c>
      <c r="D107" s="5">
        <f>(M10*($E10/366))+(M11*($E11/366))</f>
        <v>71.979436295657166</v>
      </c>
      <c r="E107" s="24">
        <f t="shared" si="31"/>
        <v>85.655018694276663</v>
      </c>
      <c r="F107" s="9"/>
      <c r="G107" s="9">
        <v>1992</v>
      </c>
      <c r="H107" s="409">
        <f>(O10/$R10*100*($E10/366))+(O11/$R11*100*($E11/366))</f>
        <v>8.0033893615549552</v>
      </c>
      <c r="I107" s="409"/>
      <c r="J107" s="409">
        <f>(P10/$R10*100*($E10/366))+(P11/$R11*100*($E11/366))</f>
        <v>0</v>
      </c>
      <c r="K107" s="409"/>
      <c r="L107" s="409">
        <f>(Q10/$R10*100*($E10/366))+(Q11/$R11*100*($E11/366))</f>
        <v>91.996610638445048</v>
      </c>
      <c r="M107" s="409"/>
      <c r="N107" s="424">
        <f t="shared" si="32"/>
        <v>100</v>
      </c>
      <c r="O107" s="424"/>
      <c r="P107" s="9"/>
      <c r="Q107" s="9"/>
      <c r="R107" s="9">
        <v>1992</v>
      </c>
      <c r="S107" s="5">
        <f>(O10*($E10/366))+(O11*($E11/366))</f>
        <v>6.3226775956284147</v>
      </c>
      <c r="T107" s="5">
        <f>(P10*($E10/366))+(P11*($E11/366))</f>
        <v>0</v>
      </c>
      <c r="U107" s="5">
        <f>(Q10*($E10/366))+(Q11*($E11/366))</f>
        <v>66.692896174863392</v>
      </c>
      <c r="V107" s="9"/>
      <c r="W107" s="5">
        <f t="shared" si="33"/>
        <v>73.015573770491812</v>
      </c>
    </row>
    <row r="108" spans="1:53" x14ac:dyDescent="0.15">
      <c r="A108" s="1">
        <v>1993</v>
      </c>
      <c r="B108" s="5">
        <f>(K12*($E12/365))+(K13*($E13/365))</f>
        <v>0</v>
      </c>
      <c r="C108" s="5">
        <f>(L12*($E12/365))+(L13*($E13/365))</f>
        <v>0</v>
      </c>
      <c r="D108" s="5">
        <f>(M12*($E12/365))+(M13*($E13/365))</f>
        <v>95</v>
      </c>
      <c r="E108" s="24">
        <f t="shared" si="31"/>
        <v>95</v>
      </c>
      <c r="F108" s="9"/>
      <c r="G108" s="9">
        <v>1993</v>
      </c>
      <c r="H108" s="409">
        <f>(O12/$R12*100*($E12/365))+(O13/$R13*100*($E13/365))</f>
        <v>0</v>
      </c>
      <c r="I108" s="409"/>
      <c r="J108" s="409">
        <f>(P12/$R12*100*($E12/365))+(P13/$R13*100*($E13/365))</f>
        <v>0</v>
      </c>
      <c r="K108" s="409"/>
      <c r="L108" s="409">
        <f>(Q12/$R12*100*($E12/365))+(Q13/$R13*100*($E13/365))</f>
        <v>100</v>
      </c>
      <c r="M108" s="409"/>
      <c r="N108" s="424">
        <f t="shared" si="32"/>
        <v>100</v>
      </c>
      <c r="O108" s="424"/>
      <c r="P108" s="9"/>
      <c r="Q108" s="9"/>
      <c r="R108" s="9">
        <v>1993</v>
      </c>
      <c r="S108" s="5">
        <f>(O12*($E12/365))+(O13*($E13/365))</f>
        <v>0</v>
      </c>
      <c r="T108" s="5">
        <f>(P12*($E12/365))+(P13*($E13/365))</f>
        <v>0</v>
      </c>
      <c r="U108" s="5">
        <f>(Q12*($E12/365))+(Q13*($E13/365))</f>
        <v>34.299999999999997</v>
      </c>
      <c r="V108" s="9"/>
      <c r="W108" s="5">
        <f t="shared" si="33"/>
        <v>34.299999999999997</v>
      </c>
    </row>
    <row r="109" spans="1:53" x14ac:dyDescent="0.15">
      <c r="A109" s="1">
        <v>1994</v>
      </c>
      <c r="B109" s="5">
        <f>(K14*($E14/365))+(K15*($E15/365))</f>
        <v>3.387297633872977</v>
      </c>
      <c r="C109" s="5">
        <f>(L14*($E14/365))+(L15*($E15/365))</f>
        <v>0</v>
      </c>
      <c r="D109" s="5">
        <f>(M14*($E14/365))+(M15*($E15/365))</f>
        <v>86.701120797011214</v>
      </c>
      <c r="E109" s="24">
        <f t="shared" si="31"/>
        <v>90.08841843088419</v>
      </c>
      <c r="F109" s="9"/>
      <c r="G109" s="9">
        <v>1994</v>
      </c>
      <c r="H109" s="409">
        <f>(O14/$R14*100*($E14/365))+(O15/$R15*100*($E15/365))</f>
        <v>7.6076661475383807</v>
      </c>
      <c r="I109" s="409"/>
      <c r="J109" s="409">
        <f>(P14/$R14*100*($E14/365))+(P15/$R15*100*($E15/365))</f>
        <v>0</v>
      </c>
      <c r="K109" s="409"/>
      <c r="L109" s="409">
        <f>(Q14/$R14*100*($E14/365))+(Q15/$R15*100*($E15/365))</f>
        <v>92.392333852461633</v>
      </c>
      <c r="M109" s="409"/>
      <c r="N109" s="424">
        <f t="shared" si="32"/>
        <v>100.00000000000001</v>
      </c>
      <c r="O109" s="424"/>
      <c r="P109" s="9"/>
      <c r="Q109" s="9"/>
      <c r="R109" s="9">
        <v>1994</v>
      </c>
      <c r="S109" s="5">
        <f>(O14*($E14/365))+(O15*($E15/365))</f>
        <v>3.2789041095890417</v>
      </c>
      <c r="T109" s="5">
        <f>(P14*($E14/365))+(P15*($E15/365))</f>
        <v>0</v>
      </c>
      <c r="U109" s="5">
        <f>(Q14*($E14/365))+(Q15*($E15/365))</f>
        <v>34.299999999999997</v>
      </c>
      <c r="V109" s="9"/>
      <c r="W109" s="5">
        <f t="shared" si="33"/>
        <v>37.57890410958904</v>
      </c>
    </row>
    <row r="110" spans="1:53" x14ac:dyDescent="0.15">
      <c r="A110" s="1">
        <v>1995</v>
      </c>
      <c r="B110" s="5">
        <f>(K16*($E16/365))+(K17*($E17/365))</f>
        <v>8.9393939393939394</v>
      </c>
      <c r="C110" s="5">
        <f>(L16*($E16/365))+(L17*($E17/365))</f>
        <v>0</v>
      </c>
      <c r="D110" s="5">
        <f>(M16*($E16/365))+(M17*($E17/365))</f>
        <v>75.681818181818187</v>
      </c>
      <c r="E110" s="24">
        <f t="shared" si="31"/>
        <v>84.621212121212125</v>
      </c>
      <c r="F110" s="9"/>
      <c r="G110" s="9">
        <v>1995</v>
      </c>
      <c r="H110" s="409">
        <f>(O16/$R16*100*($E16/365))+(O17/$R17*100*($E17/365))</f>
        <v>20.41763341067286</v>
      </c>
      <c r="I110" s="409"/>
      <c r="J110" s="409">
        <f>(P16/$R16*100*($E16/365))+(P17/$R17*100*($E17/365))</f>
        <v>0</v>
      </c>
      <c r="K110" s="409"/>
      <c r="L110" s="409">
        <f>(Q16/$R16*100*($E16/365))+(Q17/$R17*100*($E17/365))</f>
        <v>79.582366589327165</v>
      </c>
      <c r="M110" s="409"/>
      <c r="N110" s="424">
        <f t="shared" si="32"/>
        <v>100.00000000000003</v>
      </c>
      <c r="O110" s="424"/>
      <c r="P110" s="9"/>
      <c r="Q110" s="9"/>
      <c r="R110" s="9">
        <v>1995</v>
      </c>
      <c r="S110" s="5">
        <f>(O16*($E16/365))+(O17*($E17/365))</f>
        <v>8.8000000000000007</v>
      </c>
      <c r="T110" s="5">
        <f>(P16*($E16/365))+(P17*($E17/365))</f>
        <v>0</v>
      </c>
      <c r="U110" s="5">
        <f>(Q16*($E16/365))+(Q17*($E17/365))</f>
        <v>34.299999999999997</v>
      </c>
      <c r="V110" s="9"/>
      <c r="W110" s="5">
        <f t="shared" si="33"/>
        <v>43.099999999999994</v>
      </c>
    </row>
    <row r="111" spans="1:53" x14ac:dyDescent="0.15">
      <c r="A111" s="1">
        <v>1996</v>
      </c>
      <c r="B111" s="5">
        <f>(K18*($E18/366))+(K19*($E19/366))+(K20*($E20/366))</f>
        <v>9.1530054644808736</v>
      </c>
      <c r="C111" s="5">
        <f>(L18*($E18/366))+(L19*($E19/366))+(L20*($E20/366))</f>
        <v>0.27322404371584696</v>
      </c>
      <c r="D111" s="5">
        <f>(M18*($E18/366))+(M19*($E19/366))+(M20*($E20/366))</f>
        <v>87.500000000000014</v>
      </c>
      <c r="E111" s="24">
        <f t="shared" si="31"/>
        <v>96.926229508196741</v>
      </c>
      <c r="F111" s="9"/>
      <c r="G111" s="9">
        <v>1996</v>
      </c>
      <c r="H111" s="409">
        <f>(O18/$R18*100*($E18/366))+(O19/$R19*100*($E19/366))+(O20/$R20*100*($E20/366))</f>
        <v>17.054415030648371</v>
      </c>
      <c r="I111" s="409"/>
      <c r="J111" s="409">
        <f>(P18/$R18*100*($E18/366))+(P19/$R19*100*($E19/366))+(P20/$R20*100*($E20/366))</f>
        <v>0.68306010928961747</v>
      </c>
      <c r="K111" s="409"/>
      <c r="L111" s="409">
        <f>(Q18/$R18*100*($E18/366))+(Q19/$R19*100*($E19/366))+(Q20/$R20*100*($E20/366))</f>
        <v>82.262524860062001</v>
      </c>
      <c r="M111" s="409"/>
      <c r="N111" s="424">
        <f t="shared" si="32"/>
        <v>99.999999999999986</v>
      </c>
      <c r="O111" s="424"/>
      <c r="P111" s="9"/>
      <c r="Q111" s="9"/>
      <c r="R111" s="9">
        <v>1996</v>
      </c>
      <c r="S111" s="5">
        <f>(O18*($E18/366))+(O19*($E19/366))+(O20*($E20/366))</f>
        <v>7.8601092896174869</v>
      </c>
      <c r="T111" s="5">
        <f>(P18*($E18/366))+(P19*($E19/366))+(P20*($E20/366))</f>
        <v>0.39890710382513661</v>
      </c>
      <c r="U111" s="5">
        <f>(Q18*($E18/366))+(Q19*($E19/366))+(Q20*($E20/366))</f>
        <v>33.272677595628409</v>
      </c>
      <c r="V111" s="9"/>
      <c r="W111" s="5">
        <f t="shared" si="33"/>
        <v>41.53169398907103</v>
      </c>
    </row>
    <row r="112" spans="1:53" x14ac:dyDescent="0.15">
      <c r="A112" s="1">
        <v>1997</v>
      </c>
      <c r="B112" s="5">
        <f>(K21*($E21/365))+(K22*($E22/365))</f>
        <v>65</v>
      </c>
      <c r="C112" s="5">
        <f>(L21*($E21/365))+(L22*($E22/365))</f>
        <v>5</v>
      </c>
      <c r="D112" s="5">
        <f>(M21*($E21/365))+(M22*($E22/365))</f>
        <v>25</v>
      </c>
      <c r="E112" s="24">
        <f t="shared" si="31"/>
        <v>95</v>
      </c>
      <c r="F112" s="9"/>
      <c r="G112" s="9">
        <v>1997</v>
      </c>
      <c r="H112" s="409">
        <f>(O21/$R21*100*($E21/365))+(O22/$R22*100*($E22/365))</f>
        <v>60.958904109589042</v>
      </c>
      <c r="I112" s="409"/>
      <c r="J112" s="409">
        <f>(P21/$R21*100*($E21/365))+(P22/$R22*100*($E22/365))</f>
        <v>12.5</v>
      </c>
      <c r="K112" s="409"/>
      <c r="L112" s="409">
        <f>(Q21/$R21*100*($E21/365))+(Q22/$R22*100*($E22/365))</f>
        <v>26.541095890410958</v>
      </c>
      <c r="M112" s="409"/>
      <c r="N112" s="424">
        <f t="shared" si="32"/>
        <v>100</v>
      </c>
      <c r="O112" s="424"/>
      <c r="P112" s="9"/>
      <c r="Q112" s="9"/>
      <c r="R112" s="9">
        <v>1997</v>
      </c>
      <c r="S112" s="5">
        <f>(O21*($E21/365))+(O22*($E22/365))</f>
        <v>35.6</v>
      </c>
      <c r="T112" s="5">
        <f>(P21*($E21/365))+(P22*($E22/365))</f>
        <v>7.3</v>
      </c>
      <c r="U112" s="5">
        <f>(Q21*($E21/365))+(Q22*($E22/365))</f>
        <v>15.5</v>
      </c>
      <c r="V112" s="9"/>
      <c r="W112" s="5">
        <f t="shared" si="33"/>
        <v>58.4</v>
      </c>
    </row>
    <row r="113" spans="1:23" x14ac:dyDescent="0.15">
      <c r="A113" s="1">
        <v>1998</v>
      </c>
      <c r="B113" s="5">
        <f>(K23*($E23/365))+(K24*($E24/365))+(K25*($E25/365))</f>
        <v>55.423352902804965</v>
      </c>
      <c r="C113" s="5">
        <f>(L23*($E23/365))+(L24*($E24/365))+(L25*($E25/365))</f>
        <v>4.8193085453359421</v>
      </c>
      <c r="D113" s="5">
        <f>(M23*($E23/365))+(M24*($E24/365))+(M25*($E25/365))</f>
        <v>31.115459882583163</v>
      </c>
      <c r="E113" s="24">
        <f t="shared" si="31"/>
        <v>91.358121330724074</v>
      </c>
      <c r="F113" s="9"/>
      <c r="G113" s="9">
        <v>1998</v>
      </c>
      <c r="H113" s="409">
        <f>(O23/$R23*100*($E23/365))+(O24/$R24*100*($E24/365))+(O25/$R25*100*($E25/365))</f>
        <v>53.997081261618597</v>
      </c>
      <c r="I113" s="409"/>
      <c r="J113" s="409">
        <f>(P23/$R23*100*($E23/365))+(P24/$R24*100*($E24/365))+(P25/$R25*100*($E25/365))</f>
        <v>11.072435202522913</v>
      </c>
      <c r="K113" s="409"/>
      <c r="L113" s="409">
        <f>(Q23/$R23*100*($E23/365))+(Q24/$R24*100*($E24/365))+(Q25/$R25*100*($E25/365))</f>
        <v>34.9304835358585</v>
      </c>
      <c r="M113" s="409"/>
      <c r="N113" s="424">
        <f t="shared" si="32"/>
        <v>100.00000000000001</v>
      </c>
      <c r="O113" s="424"/>
      <c r="P113" s="9"/>
      <c r="Q113" s="9"/>
      <c r="R113" s="9">
        <v>1998</v>
      </c>
      <c r="S113" s="5">
        <f>(O23*($E23/365))+(O24*($E24/365))+(O25*($E25/365))</f>
        <v>35.6</v>
      </c>
      <c r="T113" s="5">
        <f>(P23*($E23/365))+(P24*($E24/365))+(P25*($E25/365))</f>
        <v>7.3</v>
      </c>
      <c r="U113" s="5">
        <f>(Q23*($E23/365))+(Q24*($E24/365))+(Q25*($E25/365))</f>
        <v>23.437260273972605</v>
      </c>
      <c r="V113" s="9"/>
      <c r="W113" s="5">
        <f t="shared" si="33"/>
        <v>66.337260273972603</v>
      </c>
    </row>
    <row r="114" spans="1:23" x14ac:dyDescent="0.15">
      <c r="A114" s="1">
        <v>1999</v>
      </c>
      <c r="B114" s="5">
        <f>(K26*($E26/365))+(K27*($E27/365))</f>
        <v>52.859317242878895</v>
      </c>
      <c r="C114" s="5">
        <f>(L26*($E26/365))+(L27*($E27/365))</f>
        <v>4.8053924766253537</v>
      </c>
      <c r="D114" s="5">
        <f>(M26*($E26/365))+(M27*($E27/365))</f>
        <v>33.333333333333329</v>
      </c>
      <c r="E114" s="24">
        <f t="shared" si="31"/>
        <v>90.998043052837573</v>
      </c>
      <c r="F114" s="9"/>
      <c r="G114" s="9">
        <v>1999</v>
      </c>
      <c r="H114" s="409">
        <f>(O26/$R26*100*($E26/365))+(O27/$R27*100*($E27/365))</f>
        <v>51.756494597903966</v>
      </c>
      <c r="I114" s="409"/>
      <c r="J114" s="409">
        <f>(P26/$R26*100*($E26/365))+(P27/$R27*100*($E27/365))</f>
        <v>10.61298906080615</v>
      </c>
      <c r="K114" s="409"/>
      <c r="L114" s="409">
        <f>(Q26/$R26*100*($E26/365))+(Q27/$R27*100*($E27/365))</f>
        <v>37.630516341289891</v>
      </c>
      <c r="M114" s="409"/>
      <c r="N114" s="424">
        <f t="shared" si="32"/>
        <v>100</v>
      </c>
      <c r="O114" s="424"/>
      <c r="P114" s="9"/>
      <c r="Q114" s="9"/>
      <c r="R114" s="9">
        <v>1999</v>
      </c>
      <c r="S114" s="5">
        <f>(O26*($E26/365))+(O27*($E27/365))</f>
        <v>35.6</v>
      </c>
      <c r="T114" s="5">
        <f>(P26*($E26/365))+(P27*($E27/365))</f>
        <v>7.3</v>
      </c>
      <c r="U114" s="5">
        <f>(Q26*($E26/365))+(Q27*($E27/365))</f>
        <v>25.991780821917811</v>
      </c>
      <c r="V114" s="9"/>
      <c r="W114" s="5">
        <f t="shared" si="33"/>
        <v>68.891780821917806</v>
      </c>
    </row>
    <row r="115" spans="1:23" x14ac:dyDescent="0.15">
      <c r="A115" s="1">
        <v>2000</v>
      </c>
      <c r="B115" s="5">
        <f>(K28*($E28/366))+(K29*($E29/366))</f>
        <v>60.443230115361267</v>
      </c>
      <c r="C115" s="5">
        <f>(L28*($E28/366))+(L29*($E29/366))</f>
        <v>5.4948391013964786</v>
      </c>
      <c r="D115" s="5">
        <f>(M28*($E28/366))+(M29*($E29/366))</f>
        <v>34.061930783242254</v>
      </c>
      <c r="E115" s="24">
        <f t="shared" si="31"/>
        <v>100</v>
      </c>
      <c r="F115" s="9"/>
      <c r="G115" s="9">
        <v>2000</v>
      </c>
      <c r="H115" s="409">
        <f>(O28/$R28*100*($E28/366))+(O29/$R29*100*($E29/366))</f>
        <v>60.292686578336699</v>
      </c>
      <c r="I115" s="409"/>
      <c r="J115" s="409">
        <f>(P28/$R28*100*($E28/366))+(P29/$R29*100*($E29/366))</f>
        <v>12.363387978142077</v>
      </c>
      <c r="K115" s="409"/>
      <c r="L115" s="409">
        <f>(Q28/$R28*100*($E28/366))+(Q29/$R29*100*($E29/366))</f>
        <v>27.343925443521218</v>
      </c>
      <c r="M115" s="409"/>
      <c r="N115" s="424">
        <f t="shared" si="32"/>
        <v>99.999999999999986</v>
      </c>
      <c r="O115" s="424"/>
      <c r="P115" s="9"/>
      <c r="Q115" s="9"/>
      <c r="R115" s="9">
        <v>2000</v>
      </c>
      <c r="S115" s="5">
        <f>(O28*($E28/366))+(O29*($E29/366))</f>
        <v>35.210928961748635</v>
      </c>
      <c r="T115" s="5">
        <f>(P28*($E28/366))+(P29*($E29/366))</f>
        <v>7.220218579234972</v>
      </c>
      <c r="U115" s="5">
        <f>(Q28*($E28/366))+(Q29*($E29/366))</f>
        <v>15.821311475409836</v>
      </c>
      <c r="V115" s="9"/>
      <c r="W115" s="5">
        <f t="shared" si="33"/>
        <v>58.252459016393445</v>
      </c>
    </row>
    <row r="116" spans="1:23" x14ac:dyDescent="0.15">
      <c r="A116" s="1">
        <v>2001</v>
      </c>
      <c r="B116" s="5">
        <f>(K30*($E30/365))+(K31*($E31/365))</f>
        <v>0</v>
      </c>
      <c r="C116" s="5">
        <f>(L30*($E30/365))+(L31*($E31/365))</f>
        <v>0</v>
      </c>
      <c r="D116" s="5">
        <f>(M30*($E30/365))+(M31*($E31/365))</f>
        <v>100</v>
      </c>
      <c r="E116" s="24">
        <f t="shared" si="31"/>
        <v>100</v>
      </c>
      <c r="F116" s="9"/>
      <c r="G116" s="9">
        <v>2001</v>
      </c>
      <c r="H116" s="409">
        <f>(O30/$R30*100*($E30/365))+(O31/$R31*100*($E31/365))</f>
        <v>0</v>
      </c>
      <c r="I116" s="409"/>
      <c r="J116" s="409">
        <f>(P30/$R30*100*($E30/365))+(P31/$R31*100*($E31/365))</f>
        <v>0</v>
      </c>
      <c r="K116" s="409"/>
      <c r="L116" s="409">
        <f>(Q30/$R30*100*($E30/365))+(Q31/$R31*100*($E31/365))</f>
        <v>100</v>
      </c>
      <c r="M116" s="409"/>
      <c r="N116" s="424">
        <f t="shared" si="32"/>
        <v>100</v>
      </c>
      <c r="O116" s="424"/>
      <c r="P116" s="9"/>
      <c r="Q116" s="9"/>
      <c r="R116" s="9">
        <v>2001</v>
      </c>
      <c r="S116" s="5">
        <f>(O30*($E30/365))+(O31*($E31/365))</f>
        <v>0</v>
      </c>
      <c r="T116" s="5">
        <f>(P30*($E30/365))+(P31*($E31/365))</f>
        <v>0</v>
      </c>
      <c r="U116" s="5">
        <f>(Q30*($E30/365))+(Q31*($E31/365))</f>
        <v>44.9</v>
      </c>
      <c r="V116" s="9"/>
      <c r="W116" s="5">
        <f t="shared" si="33"/>
        <v>44.9</v>
      </c>
    </row>
    <row r="117" spans="1:23" x14ac:dyDescent="0.15">
      <c r="A117" s="1">
        <v>2002</v>
      </c>
      <c r="B117" s="5">
        <f>(K32*($E32/365))+(K33*($E33/365))</f>
        <v>0</v>
      </c>
      <c r="C117" s="5">
        <f>(L32*($E32/365))+(L33*($E33/365))</f>
        <v>0</v>
      </c>
      <c r="D117" s="5">
        <f>(M32*($E32/365))+(M33*($E33/365))</f>
        <v>100</v>
      </c>
      <c r="E117" s="24">
        <f t="shared" si="31"/>
        <v>100</v>
      </c>
      <c r="F117" s="9"/>
      <c r="G117" s="9">
        <v>2002</v>
      </c>
      <c r="H117" s="409">
        <f>(O32/$R32*100*($E32/365))+(O33/$R33*100*($E33/365))</f>
        <v>0</v>
      </c>
      <c r="I117" s="409"/>
      <c r="J117" s="409">
        <f>(P32/$R32*100*($E32/365))+(P33/$R33*100*($E33/365))</f>
        <v>0</v>
      </c>
      <c r="K117" s="409"/>
      <c r="L117" s="409">
        <f>(Q32/$R32*100*($E32/365))+(Q33/$R33*100*($E33/365))</f>
        <v>100</v>
      </c>
      <c r="M117" s="409"/>
      <c r="N117" s="424">
        <f t="shared" si="32"/>
        <v>100</v>
      </c>
      <c r="O117" s="424"/>
      <c r="P117" s="9"/>
      <c r="Q117" s="9"/>
      <c r="R117" s="9">
        <v>2002</v>
      </c>
      <c r="S117" s="5">
        <f>(O32*($E32/365))+(O33*($E33/365))</f>
        <v>0</v>
      </c>
      <c r="T117" s="5">
        <f>(P32*($E32/365))+(P33*($E33/365))</f>
        <v>0</v>
      </c>
      <c r="U117" s="5">
        <f>(Q32*($E32/365))+(Q33*($E33/365))</f>
        <v>44.9</v>
      </c>
      <c r="V117" s="9"/>
      <c r="W117" s="5">
        <f t="shared" si="33"/>
        <v>44.9</v>
      </c>
    </row>
    <row r="118" spans="1:23" x14ac:dyDescent="0.15">
      <c r="A118" s="1">
        <v>2003</v>
      </c>
      <c r="B118" s="5">
        <f>(K34*($E34/365))+(K35*($E35/365))</f>
        <v>0</v>
      </c>
      <c r="C118" s="5">
        <f>(L34*($E34/365))+(L35*($E35/365))</f>
        <v>0</v>
      </c>
      <c r="D118" s="5">
        <f>(M34*($E34/365))+(M35*($E35/365))</f>
        <v>100</v>
      </c>
      <c r="E118" s="24">
        <f t="shared" si="31"/>
        <v>100</v>
      </c>
      <c r="F118" s="9"/>
      <c r="G118" s="9">
        <v>2003</v>
      </c>
      <c r="H118" s="409">
        <f>(O34/$R34*100*($E34/365))+(O35/$R35*100*($E35/365))</f>
        <v>0</v>
      </c>
      <c r="I118" s="409"/>
      <c r="J118" s="409">
        <f>(P34/$R34*100*($E34/365))+(P35/$R35*100*($E35/365))</f>
        <v>0</v>
      </c>
      <c r="K118" s="409"/>
      <c r="L118" s="409">
        <f>(Q34/$R34*100*($E34/365))+(Q35/$R35*100*($E35/365))</f>
        <v>100</v>
      </c>
      <c r="M118" s="409"/>
      <c r="N118" s="424">
        <f t="shared" si="32"/>
        <v>100</v>
      </c>
      <c r="O118" s="424"/>
      <c r="P118" s="9"/>
      <c r="Q118" s="9"/>
      <c r="R118" s="9">
        <v>2003</v>
      </c>
      <c r="S118" s="5">
        <f>(O34*($E34/365))+(O35*($E35/365))</f>
        <v>0</v>
      </c>
      <c r="T118" s="5">
        <f>(P34*($E34/365))+(P35*($E35/365))</f>
        <v>0</v>
      </c>
      <c r="U118" s="5">
        <f>(Q34*($E34/365))+(Q35*($E35/365))</f>
        <v>44.9</v>
      </c>
      <c r="V118" s="9"/>
      <c r="W118" s="5">
        <f t="shared" si="33"/>
        <v>44.9</v>
      </c>
    </row>
    <row r="119" spans="1:23" x14ac:dyDescent="0.15">
      <c r="A119" s="1">
        <v>2004</v>
      </c>
      <c r="B119" s="5">
        <f>(K36*($E36/366))+(K37*($E37/366))</f>
        <v>0.32786885245901642</v>
      </c>
      <c r="C119" s="5">
        <f>(L36*($E36/366))+(L37*($E37/366))</f>
        <v>0.22950819672131151</v>
      </c>
      <c r="D119" s="5">
        <f>(M36*($E36/366))+(M37*($E37/366))</f>
        <v>99.409836065573771</v>
      </c>
      <c r="E119" s="24">
        <f t="shared" si="31"/>
        <v>99.967213114754102</v>
      </c>
      <c r="F119" s="9"/>
      <c r="G119" s="9">
        <v>2004</v>
      </c>
      <c r="H119" s="409">
        <f>(O36/$R36*100*($E36/366))+(O37/$R37*100*($E37/366))</f>
        <v>0.34212401995723452</v>
      </c>
      <c r="I119" s="409"/>
      <c r="J119" s="409">
        <f>(P36/$R36*100*($E36/366))+(P37/$R37*100*($E37/366))</f>
        <v>0.21917320028510337</v>
      </c>
      <c r="K119" s="409"/>
      <c r="L119" s="409">
        <f>(Q36/$R36*100*($E36/366))+(Q37/$R37*100*($E37/366))</f>
        <v>99.438702779757662</v>
      </c>
      <c r="M119" s="409"/>
      <c r="N119" s="424">
        <f t="shared" si="32"/>
        <v>100</v>
      </c>
      <c r="O119" s="424"/>
      <c r="P119" s="9"/>
      <c r="Q119" s="9"/>
      <c r="R119" s="9">
        <v>2004</v>
      </c>
      <c r="S119" s="5">
        <f>(O36*($E36/366))+(O37*($E37/366))</f>
        <v>0.15737704918032788</v>
      </c>
      <c r="T119" s="5">
        <f>(P36*($E36/366))+(P37*($E37/366))</f>
        <v>0.10081967213114755</v>
      </c>
      <c r="U119" s="5">
        <f>(Q36*($E36/366))+(Q37*($E37/366))</f>
        <v>44.650819672131149</v>
      </c>
      <c r="V119" s="9"/>
      <c r="W119" s="5">
        <f t="shared" si="33"/>
        <v>44.909016393442627</v>
      </c>
    </row>
    <row r="120" spans="1:23" x14ac:dyDescent="0.15">
      <c r="A120" s="1">
        <v>2005</v>
      </c>
      <c r="B120" s="5">
        <f>(K38*($E38/365))+(K39*($E39/365))</f>
        <v>41.57534246575343</v>
      </c>
      <c r="C120" s="5">
        <f>(L38*($E38/365))+(L39*($E39/365))</f>
        <v>25.164383561643834</v>
      </c>
      <c r="D120" s="5">
        <f>(M38*($E38/365))+(M39*($E39/365))</f>
        <v>29.102739726027398</v>
      </c>
      <c r="E120" s="24">
        <f t="shared" si="31"/>
        <v>95.842465753424662</v>
      </c>
      <c r="F120" s="9"/>
      <c r="G120" s="9">
        <v>2005</v>
      </c>
      <c r="H120" s="409">
        <f>(O38/$R38*100*($E38/365))+(O39/$R39*100*($E39/365))</f>
        <v>41.739130434782609</v>
      </c>
      <c r="I120" s="409"/>
      <c r="J120" s="409">
        <f>(P38/$R38*100*($E38/365))+(P39/$R39*100*($E39/365))</f>
        <v>26.739130434782609</v>
      </c>
      <c r="K120" s="409"/>
      <c r="L120" s="409">
        <f>(Q38/$R38*100*($E38/365))+(Q39/$R39*100*($E39/365))</f>
        <v>31.521739130434785</v>
      </c>
      <c r="M120" s="409"/>
      <c r="N120" s="424">
        <f t="shared" si="32"/>
        <v>100</v>
      </c>
      <c r="O120" s="424"/>
      <c r="P120" s="9"/>
      <c r="Q120" s="9"/>
      <c r="R120" s="9">
        <v>2005</v>
      </c>
      <c r="S120" s="5">
        <f>(O38*($E38/365))+(O39*($E39/365))</f>
        <v>19.2</v>
      </c>
      <c r="T120" s="5">
        <f>(P38*($E38/365))+(P39*($E39/365))</f>
        <v>12.3</v>
      </c>
      <c r="U120" s="5">
        <f>(Q38*($E38/365))+(Q39*($E39/365))</f>
        <v>14.5</v>
      </c>
      <c r="V120" s="9"/>
      <c r="W120" s="5">
        <f t="shared" si="33"/>
        <v>46</v>
      </c>
    </row>
    <row r="121" spans="1:23" x14ac:dyDescent="0.15">
      <c r="A121" s="1">
        <v>2006</v>
      </c>
      <c r="B121" s="5">
        <f>(K40*($E40/365))+(K41*($E41/365))+(K42*($E42/365))+(K43*($E43/365))</f>
        <v>42.126265634306144</v>
      </c>
      <c r="C121" s="5">
        <f>(L40*($E40/365))+(L41*($E41/365))+(L42*($E42/365))+(L43*($E43/365))</f>
        <v>25.354377605717691</v>
      </c>
      <c r="D121" s="5">
        <f>(M40*($E40/365))+(M41*($E41/365))+(M42*($E42/365))+(M43*($E43/365))</f>
        <v>28.251935675997622</v>
      </c>
      <c r="E121" s="24">
        <f t="shared" si="31"/>
        <v>95.732578916021453</v>
      </c>
      <c r="F121" s="9"/>
      <c r="G121" s="9">
        <v>2006</v>
      </c>
      <c r="H121" s="409">
        <f>(O40/$R40*100*($E40/365))+(O41/$R41*100*($E41/365))+(O42/$R42*100*($E42/365))+(O43/$R43*100*($E43/365))</f>
        <v>41.739130434782609</v>
      </c>
      <c r="I121" s="409"/>
      <c r="J121" s="409">
        <f>(P40/$R40*100*($E40/365))+(P41/$R41*100*($E41/365))+(P42/$R42*100*($E42/365))+(P43/$R43*100*($E43/365))</f>
        <v>26.739130434782609</v>
      </c>
      <c r="K121" s="409"/>
      <c r="L121" s="409">
        <f>(Q40/$R40*100*($E40/365))+(Q41/$R41*100*($E41/365))+(Q42/$R42*100*($E42/365))+(Q43/$R43*100*($E43/365))</f>
        <v>31.521739130434785</v>
      </c>
      <c r="M121" s="409"/>
      <c r="N121" s="424">
        <f t="shared" si="32"/>
        <v>100</v>
      </c>
      <c r="O121" s="424"/>
      <c r="P121" s="9"/>
      <c r="Q121" s="9"/>
      <c r="R121" s="9">
        <v>2006</v>
      </c>
      <c r="S121" s="5">
        <f>(O40*($E40/365))+(O41*($E41/365))+(O42*($E42/365))+(O43*($E43/365))</f>
        <v>19.2</v>
      </c>
      <c r="T121" s="5">
        <f>(P40*($E40/365))+(P41*($E41/365))+(P42*($E42/365))+(P43*($E43/365))</f>
        <v>12.300000000000002</v>
      </c>
      <c r="U121" s="5">
        <f>(Q40*($E40/365))+(Q41*($E41/365))+(Q42*($E42/365))+(Q43*($E43/365))</f>
        <v>14.5</v>
      </c>
      <c r="V121" s="9"/>
      <c r="W121" s="5">
        <f t="shared" si="33"/>
        <v>46</v>
      </c>
    </row>
    <row r="122" spans="1:23" x14ac:dyDescent="0.15">
      <c r="A122" s="1">
        <v>2007</v>
      </c>
      <c r="B122" s="5">
        <f>(K44*($E44/365))+(K45*($E45/365))+(K46*($E46/365))+(K47*($E47/365))</f>
        <v>69.904276977815144</v>
      </c>
      <c r="C122" s="5">
        <f>(L44*($E44/365))+(L45*($E45/365))+(L46*($E46/365))+(L47*($E47/365))</f>
        <v>19.816495190492319</v>
      </c>
      <c r="D122" s="5">
        <f>(M44*($E44/365))+(M45*($E45/365))+(M46*($E46/365))+(M47*($E47/365))</f>
        <v>7.8379988088147714</v>
      </c>
      <c r="E122" s="24">
        <f t="shared" si="31"/>
        <v>97.558770977122236</v>
      </c>
      <c r="F122" s="9"/>
      <c r="G122" s="9">
        <v>2007</v>
      </c>
      <c r="H122" s="409">
        <f>(O44/$R44*100*($E44/365))+(O45/$R45*100*($E45/365))+(O46/$R46*100*($E46/365))+(O47/$R47*100*($E47/365))</f>
        <v>64.143601181047472</v>
      </c>
      <c r="I122" s="409"/>
      <c r="J122" s="409">
        <f>(P44/$R44*100*($E44/365))+(P45/$R45*100*($E45/365))+(P46/$R46*100*($E46/365))+(P47/$R47*100*($E47/365))</f>
        <v>27.738471481251501</v>
      </c>
      <c r="K122" s="409"/>
      <c r="L122" s="409">
        <f>(Q44/$R44*100*($E44/365))+(Q45/$R45*100*($E45/365))+(Q46/$R46*100*($E46/365))+(Q47/$R47*100*($E47/365))</f>
        <v>8.1179273377010137</v>
      </c>
      <c r="M122" s="409"/>
      <c r="N122" s="424">
        <f t="shared" si="32"/>
        <v>100</v>
      </c>
      <c r="O122" s="424"/>
      <c r="P122" s="9"/>
      <c r="Q122" s="9"/>
      <c r="R122" s="9">
        <v>2007</v>
      </c>
      <c r="S122" s="5">
        <f>(O44*($E44/365))+(O45*($E45/365))+(O46*($E46/365))+(O47*($E47/365))</f>
        <v>17.492328767123286</v>
      </c>
      <c r="T122" s="5">
        <f>(P44*($E44/365))+(P45*($E45/365))+(P46*($E46/365))+(P47*($E47/365))</f>
        <v>8.067945205479452</v>
      </c>
      <c r="U122" s="5">
        <f>(Q44*($E44/365))+(Q45*($E45/365))+(Q46*($E46/365))+(Q47*($E47/365))</f>
        <v>3.7342465753424658</v>
      </c>
      <c r="V122" s="9"/>
      <c r="W122" s="5">
        <f t="shared" si="33"/>
        <v>29.294520547945204</v>
      </c>
    </row>
    <row r="123" spans="1:23" x14ac:dyDescent="0.15">
      <c r="A123" s="1">
        <v>2008</v>
      </c>
      <c r="B123" s="5">
        <f>(K48*($E48/366))+(K49*($E49/366))</f>
        <v>75.682294775833824</v>
      </c>
      <c r="C123" s="5">
        <f>(L48*($E48/366))+(L49*($E49/366))</f>
        <v>17.164898746383802</v>
      </c>
      <c r="D123" s="5">
        <f>(M48*($E48/366))+(M49*($E49/366))</f>
        <v>1.3010668748373664</v>
      </c>
      <c r="E123" s="24">
        <f t="shared" si="31"/>
        <v>94.148260397054983</v>
      </c>
      <c r="F123" s="9"/>
      <c r="G123" s="9">
        <v>2008</v>
      </c>
      <c r="H123" s="409">
        <f>(O48/$R48*100*($E48/366))+(O49/$R49*100*($E49/366))</f>
        <v>71.346574476550188</v>
      </c>
      <c r="I123" s="409"/>
      <c r="J123" s="409">
        <f>(P48/$R48*100*($E48/366))+(P49/$R49*100*($E49/366))</f>
        <v>27.317753749563998</v>
      </c>
      <c r="K123" s="409"/>
      <c r="L123" s="409">
        <f>(Q48/$R48*100*($E48/366))+(Q49/$R49*100*($E49/366))</f>
        <v>1.3356717738857897</v>
      </c>
      <c r="M123" s="409"/>
      <c r="N123" s="424">
        <f t="shared" si="32"/>
        <v>99.999999999999972</v>
      </c>
      <c r="O123" s="424"/>
      <c r="P123" s="9"/>
      <c r="Q123" s="9"/>
      <c r="R123" s="9">
        <v>2008</v>
      </c>
      <c r="S123" s="5">
        <f>(O48*($E48/366))+(O49*($E49/366))</f>
        <v>17.37814207650273</v>
      </c>
      <c r="T123" s="5">
        <f>(P48*($E48/366))+(P49*($E49/366))</f>
        <v>6.4196721311475402</v>
      </c>
      <c r="U123" s="5">
        <f>(Q48*($E48/366))+(Q49*($E49/366))</f>
        <v>0.8989071038251365</v>
      </c>
      <c r="V123" s="9"/>
      <c r="W123" s="5">
        <f t="shared" si="33"/>
        <v>24.696721311475407</v>
      </c>
    </row>
    <row r="124" spans="1:23" x14ac:dyDescent="0.15">
      <c r="A124" s="1">
        <v>2009</v>
      </c>
      <c r="B124" s="5">
        <f>(K50*($E50/365))+(K51*($E51/365))+(K52*($E52/365))</f>
        <v>57.242546333601929</v>
      </c>
      <c r="C124" s="5">
        <f>(L50*($E50/365))+(L51*($E51/365))+(L52*($E52/365))</f>
        <v>0.58017727639000805</v>
      </c>
      <c r="D124" s="5">
        <f>(M50*($E50/365))+(M51*($E51/365))+(M52*($E52/365))</f>
        <v>35.61643835616438</v>
      </c>
      <c r="E124" s="24">
        <f t="shared" si="31"/>
        <v>93.43916196615632</v>
      </c>
      <c r="F124" s="9"/>
      <c r="G124" s="9">
        <v>2009</v>
      </c>
      <c r="H124" s="409">
        <f>(O50/$R50*100*($E50/365))+(O51/$R51*100*($E51/365))+(O52/$R52*100*($E52/365))</f>
        <v>63.039333481938286</v>
      </c>
      <c r="I124" s="409"/>
      <c r="J124" s="409">
        <f>(P50/$R50*100*($E50/365))+(P51/$R51*100*($E51/365))+(P52/$R52*100*($E52/365))</f>
        <v>0.39692616104243233</v>
      </c>
      <c r="K124" s="409"/>
      <c r="L124" s="409">
        <f>(Q50/$R50*100*($E50/365))+(Q51/$R51*100*($E51/365))+(Q52/$R52*100*($E52/365))</f>
        <v>36.563740357019277</v>
      </c>
      <c r="M124" s="409"/>
      <c r="N124" s="424">
        <f t="shared" si="32"/>
        <v>100</v>
      </c>
      <c r="O124" s="424"/>
      <c r="P124" s="9"/>
      <c r="Q124" s="9"/>
      <c r="R124" s="9">
        <v>2009</v>
      </c>
      <c r="S124" s="5">
        <f>(O50*($E50/365))+(O51*($E51/365))+(O52*($E52/365))</f>
        <v>34.4</v>
      </c>
      <c r="T124" s="5">
        <f>(P50*($E50/365))+(P51*($E51/365))+(P52*($E52/365))</f>
        <v>0.16273972602739725</v>
      </c>
      <c r="U124" s="5">
        <f>(Q50*($E50/365))+(Q51*($E51/365))+(Q52*($E52/365))</f>
        <v>24.607397260273974</v>
      </c>
      <c r="V124" s="9"/>
      <c r="W124" s="5">
        <f t="shared" si="33"/>
        <v>59.170136986301372</v>
      </c>
    </row>
    <row r="125" spans="1:23" x14ac:dyDescent="0.15">
      <c r="A125" s="1">
        <v>2010</v>
      </c>
      <c r="B125" s="5">
        <f>(K53*($E53/365))+(K54*($E54/365))+(K55*($E55/365))</f>
        <v>52.457695406929886</v>
      </c>
      <c r="C125" s="5">
        <f>(L53*($E53/365))+(L54*($E54/365))+(L55*($E55/365))</f>
        <v>23.52941176470588</v>
      </c>
      <c r="D125" s="5">
        <f>(M53*($E53/365))+(M54*($E54/365))+(M55*($E55/365))</f>
        <v>1.9339242546333599</v>
      </c>
      <c r="E125" s="24">
        <f t="shared" si="31"/>
        <v>77.921031426269124</v>
      </c>
      <c r="F125" s="9"/>
      <c r="G125" s="9">
        <v>2010</v>
      </c>
      <c r="H125" s="409">
        <f>(O53/$R53*100*($E53/365))+(O54/$R54*100*($E54/365))+(O55/$R55*100*($E55/365))</f>
        <v>81.623594750129286</v>
      </c>
      <c r="I125" s="409"/>
      <c r="J125" s="409">
        <f>(P53/$R53*100*($E53/365))+(P54/$R54*100*($E54/365))+(P55/$R55*100*($E55/365))</f>
        <v>15.307002646562587</v>
      </c>
      <c r="K125" s="409"/>
      <c r="L125" s="409">
        <f>(Q53/$R53*100*($E53/365))+(Q54/$R54*100*($E54/365))+(Q55/$R55*100*($E55/365))</f>
        <v>3.0694026033081343</v>
      </c>
      <c r="M125" s="409"/>
      <c r="N125" s="424">
        <f t="shared" si="32"/>
        <v>100</v>
      </c>
      <c r="O125" s="424"/>
      <c r="P125" s="9"/>
      <c r="Q125" s="9"/>
      <c r="R125" s="9">
        <v>2010</v>
      </c>
      <c r="S125" s="5">
        <f>(O53*($E53/365))+(O54*($E54/365))+(O55*($E55/365))</f>
        <v>35.287671232876711</v>
      </c>
      <c r="T125" s="5">
        <f>(P53*($E53/365))+(P54*($E54/365))+(P55*($E55/365))</f>
        <v>6.5999999999999988</v>
      </c>
      <c r="U125" s="5">
        <f>(Q53*($E53/365))+(Q54*($E54/365))+(Q55*($E55/365))</f>
        <v>1.4794520547945207</v>
      </c>
      <c r="V125" s="9"/>
      <c r="W125" s="5">
        <f t="shared" si="33"/>
        <v>43.367123287671234</v>
      </c>
    </row>
    <row r="126" spans="1:23" x14ac:dyDescent="0.15">
      <c r="A126" s="1">
        <v>2011</v>
      </c>
      <c r="B126" s="5">
        <f>(K56*($E56/365))+(K57*($E57/365))+(K58*($E58/365))+(K59*($E59/365))</f>
        <v>61.950935625391715</v>
      </c>
      <c r="C126" s="5">
        <f>(L56*($E56/365))+(L57*($E57/365))+(L58*($E58/365))+(L59*($E59/365))</f>
        <v>23.160533619840628</v>
      </c>
      <c r="D126" s="5">
        <f>(M56*($E56/365))+(M57*($E57/365))+(M58*($E58/365))+(M59*($E59/365))</f>
        <v>5.7901334049601569</v>
      </c>
      <c r="E126" s="24">
        <f t="shared" si="31"/>
        <v>90.901602650192501</v>
      </c>
      <c r="F126" s="9"/>
      <c r="G126" s="9">
        <v>2011</v>
      </c>
      <c r="H126" s="409">
        <f>(O56/$R56*100*($E56/365))+(O57/$R57*100*($E57/365))+(O58/$R58*100*($E58/365))+(O59/$R59*100*($E59/365))</f>
        <v>76.970954356846462</v>
      </c>
      <c r="I126" s="409"/>
      <c r="J126" s="409">
        <f>(P56/$R56*100*($E56/365))+(P57/$R57*100*($E57/365))+(P58/$R58*100*($E58/365))+(P59/$R59*100*($E59/365))</f>
        <v>13.692946058091286</v>
      </c>
      <c r="K126" s="409"/>
      <c r="L126" s="409">
        <f>(Q56/$R56*100*($E56/365))+(Q57/$R57*100*($E57/365))+(Q58/$R58*100*($E58/365))+(Q59/$R59*100*($E59/365))</f>
        <v>9.3360995850622412</v>
      </c>
      <c r="M126" s="409"/>
      <c r="N126" s="424">
        <f t="shared" si="32"/>
        <v>99.999999999999986</v>
      </c>
      <c r="O126" s="424"/>
      <c r="P126" s="9"/>
      <c r="Q126" s="9"/>
      <c r="R126" s="9">
        <v>2011</v>
      </c>
      <c r="S126" s="5">
        <f>(O56*($E56/365))+(O57*($E57/365))+(O58*($E58/365))+(O59*($E59/365))</f>
        <v>37.1</v>
      </c>
      <c r="T126" s="5">
        <f>(P56*($E56/365))+(P57*($E57/365))+(P58*($E58/365))+(P59*($E59/365))</f>
        <v>6.6</v>
      </c>
      <c r="U126" s="5">
        <f>(Q56*($E56/365))+(Q57*($E57/365))+(Q58*($E58/365))+(Q59*($E59/365))</f>
        <v>4.5</v>
      </c>
      <c r="V126" s="9"/>
      <c r="W126" s="5">
        <f t="shared" si="33"/>
        <v>48.2</v>
      </c>
    </row>
    <row r="127" spans="1:23" x14ac:dyDescent="0.15">
      <c r="A127" s="1">
        <v>2012</v>
      </c>
      <c r="B127" s="5">
        <f>(K60*($E60/366))+(K61*($E61/366))+(K62*($E62/366))+(K63*($E63/366))+(K64*($E64/366))</f>
        <v>39.948872397616682</v>
      </c>
      <c r="C127" s="5">
        <f>(L60*($E60/366))+(L61*($E61/366))+(L62*($E62/366))+(L63*($E63/366))+(L64*($E64/366))</f>
        <v>8.8492017572056145</v>
      </c>
      <c r="D127" s="5">
        <f>(M60*($E60/366))+(M61*($E61/366))+(M62*($E62/366))+(M63*($E63/366))+(M64*($E64/366))</f>
        <v>34.350569973772359</v>
      </c>
      <c r="E127" s="24">
        <f t="shared" si="31"/>
        <v>83.148644128594654</v>
      </c>
      <c r="F127" s="9"/>
      <c r="G127" s="9">
        <v>2012</v>
      </c>
      <c r="H127" s="409">
        <f>(O60/$R60*100*($E60/366))+(O61/$R61*100*($E61/366))+(O62/$R62*100*($E62/366))+(O63/$R63*100*($E63/366))+(O64/$R64*100*($E64/366))</f>
        <v>50.515694096012012</v>
      </c>
      <c r="I127" s="409"/>
      <c r="J127" s="409">
        <f>(P60/$R60*100*($E60/366))+(P61/$R61*100*($E61/366))+(P62/$R62*100*($E62/366))+(P63/$R63*100*($E63/366))+(P64/$R64*100*($E64/366))</f>
        <v>6.2985595794918341</v>
      </c>
      <c r="K127" s="409"/>
      <c r="L127" s="409">
        <f>(Q60/$R60*100*($E60/366))+(Q61/$R61*100*($E61/366))+(Q62/$R62*100*($E62/366))+(Q63/$R63*100*($E63/366))+(Q64/$R64*100*($E64/366))</f>
        <v>43.185746324496158</v>
      </c>
      <c r="M127" s="409"/>
      <c r="N127" s="424">
        <f t="shared" si="32"/>
        <v>100</v>
      </c>
      <c r="O127" s="424"/>
      <c r="P127" s="9"/>
      <c r="Q127" s="9"/>
      <c r="R127" s="9">
        <v>2012</v>
      </c>
      <c r="S127" s="5">
        <f>(O60*($E60/366))+(O61*($E61/366))+(O62*($E62/366))+(O63*($E63/366))+(O64*($E64/366))</f>
        <v>25.787431693989074</v>
      </c>
      <c r="T127" s="5">
        <f>(P60*($E60/366))+(P61*($E61/366))+(P62*($E62/366))+(P63*($E63/366))+(P64*($E64/366))</f>
        <v>3.1398907103825136</v>
      </c>
      <c r="U127" s="5">
        <f>(Q60*($E60/366))+(Q61*($E61/366))+(Q62*($E62/366))+(Q63*($E63/366))+(Q64*($E64/366))</f>
        <v>23.201639344262297</v>
      </c>
      <c r="V127" s="9"/>
      <c r="W127" s="5">
        <f t="shared" si="33"/>
        <v>52.128961748633884</v>
      </c>
    </row>
    <row r="128" spans="1:23" x14ac:dyDescent="0.15">
      <c r="A128" s="1">
        <v>2013</v>
      </c>
      <c r="B128" s="5">
        <f>(K65*($E65/365))+(K66*($E66/365))</f>
        <v>40</v>
      </c>
      <c r="C128" s="5">
        <f>(L65*($E65/365))+(L66*($E66/365))</f>
        <v>4</v>
      </c>
      <c r="D128" s="5">
        <f>(M65*($E65/365))+(M66*($E66/365))</f>
        <v>53.139726027397259</v>
      </c>
      <c r="E128" s="24">
        <f t="shared" si="31"/>
        <v>97.139726027397259</v>
      </c>
      <c r="F128" s="9"/>
      <c r="G128" s="9">
        <v>2013</v>
      </c>
      <c r="H128" s="409">
        <f>(O65/$R65*100*($E65/365))+(O66/$R66*100*($E66/365))</f>
        <v>38.059701492537314</v>
      </c>
      <c r="I128" s="409"/>
      <c r="J128" s="409">
        <f>(P65/$R65*100*($E65/365))+(P66/$R66*100*($E66/365))</f>
        <v>5.0746268656716413</v>
      </c>
      <c r="K128" s="409"/>
      <c r="L128" s="409">
        <f>(Q65/$R65*100*($E65/365))+(Q66/$R66*100*($E66/365))</f>
        <v>56.865671641791039</v>
      </c>
      <c r="M128" s="409"/>
      <c r="N128" s="424">
        <f t="shared" ref="N128:N133" si="34">H128+J128+L128</f>
        <v>100</v>
      </c>
      <c r="O128" s="424"/>
      <c r="P128" s="9"/>
      <c r="Q128" s="9"/>
      <c r="R128" s="9">
        <v>2013</v>
      </c>
      <c r="S128" s="5">
        <f>(O65*($E65/365))+(O66*($E66/365))</f>
        <v>25.5</v>
      </c>
      <c r="T128" s="5">
        <f>(P65*($E65/365))+(P66*($E66/365))</f>
        <v>3.4</v>
      </c>
      <c r="U128" s="5">
        <f>(Q65*($E65/365))+(Q66*($E66/365))</f>
        <v>38.1</v>
      </c>
      <c r="V128" s="9"/>
      <c r="W128" s="5">
        <f t="shared" si="33"/>
        <v>67</v>
      </c>
    </row>
    <row r="129" spans="1:23" x14ac:dyDescent="0.15">
      <c r="A129" s="1">
        <v>2014</v>
      </c>
      <c r="B129" s="5">
        <f>(K67*($E67/365))+(K68*($E68/365))+(K69*($E69/365))+(K70*($E70/365))+(K71*($E71/365))+(K72*($E72/365))+(K73*($E73/365))+(K74*($E74/365))</f>
        <v>5.7105853051058535</v>
      </c>
      <c r="C129" s="5">
        <f>(L67*($E67/365))+(L68*($E68/365))+(L69*($E69/365))+(L70*($E70/365))+(L71*($E71/365))+(L72*($E72/365))+(L73*($E73/365))+(L74*($E74/365))</f>
        <v>10.136718076444103</v>
      </c>
      <c r="D129" s="5">
        <f>(M67*($E67/365))+(M68*($E68/365))+(M69*($E69/365))+(M70*($E70/365))+(M71*($E71/365))+(M72*($E72/365))+(M73*($E73/365))+(M74*($E74/365))</f>
        <v>64.700910048855263</v>
      </c>
      <c r="E129" s="24">
        <f t="shared" si="31"/>
        <v>80.548213430405212</v>
      </c>
      <c r="F129" s="9"/>
      <c r="G129" s="9">
        <v>2014</v>
      </c>
      <c r="H129" s="409">
        <f>(O67/$R67*100*($E67/365))+(O68/$R68*100*($E68/365))+(O69/$R69*100*($E69/365))+(O70/$R70*100*($E70/365))+(O71/$R71*100*($E71/365))+(O72/$R72*100*($E72/365))+(O73/$R73*100*($E73/365))+(O74/$R74*100*($E74/365))</f>
        <v>6.153605580625122</v>
      </c>
      <c r="I129" s="409"/>
      <c r="J129" s="409">
        <f>(P67/$R67*100*($E67/365))+(P68/$R68*100*($E68/365))+(P69/$R69*100*($E69/365))+(P70/$R70*100*($E70/365))+(P71/$R71*100*($E71/365))+(P72/$R72*100*($E72/365))+(P73/$R73*100*($E73/365))+(P74/$R74*100*($E74/365))</f>
        <v>14.034191597510397</v>
      </c>
      <c r="K129" s="409"/>
      <c r="L129" s="409">
        <f>(Q67/$R67*100*($E67/365))+(Q68/$R68*100*($E68/365))+(Q69/$R69*100*($E69/365))+(Q70/$R70*100*($E70/365))+(Q71/$R71*100*($E71/365))+(Q72/$R72*100*($E72/365))+(Q73/$R73*100*($E73/365))+(Q74/$R74*100*($E74/365))</f>
        <v>79.812202821864489</v>
      </c>
      <c r="M129" s="409"/>
      <c r="N129" s="424">
        <f t="shared" si="34"/>
        <v>100</v>
      </c>
      <c r="O129" s="424"/>
      <c r="P129" s="9"/>
      <c r="Q129" s="9"/>
      <c r="R129" s="9">
        <v>2014</v>
      </c>
      <c r="S129" s="5">
        <f>(O67*($E67/365))+(O68*($E68/365))+(O69*($E69/365))+(O70*($E70/365))+(O71*($E71/365))+(O72*($E72/365))+(O73*($E73/365))+(O74*($E74/365))</f>
        <v>4.0767123287671234</v>
      </c>
      <c r="T129" s="5">
        <f>(P67*($E67/365))+(P68*($E68/365))+(P69*($E69/365))+(P70*($E70/365))+(P71*($E71/365))+(P72*($E72/365))+(P73*($E73/365))+(P74*($E74/365))</f>
        <v>7.2446575342465769</v>
      </c>
      <c r="U129" s="5">
        <f>(Q67*($E67/365))+(Q68*($E68/365))+(Q69*($E69/365))+(Q70*($E70/365))+(Q71*($E71/365))+(Q72*($E72/365))+(Q73*($E73/365))+(Q74*($E74/365))</f>
        <v>41.847397260273979</v>
      </c>
      <c r="V129" s="9"/>
      <c r="W129" s="5">
        <f>S129+T129+U129</f>
        <v>53.16876712328768</v>
      </c>
    </row>
    <row r="130" spans="1:23" x14ac:dyDescent="0.15">
      <c r="A130" s="1">
        <v>2015</v>
      </c>
      <c r="B130" s="5">
        <f>(K75*($E75/365))+(K76*($E76/365))+(K77*($E77/365))+(K78*($E78/365))</f>
        <v>7.9947814742335295</v>
      </c>
      <c r="C130" s="5">
        <f>(L75*($E75/365))+(L76*($E76/365))+(L77*($E77/365))+(L78*($E78/365))</f>
        <v>7.9947814742335295</v>
      </c>
      <c r="D130" s="5">
        <f>(M75*($E75/365))+(M76*($E76/365))+(M77*($E77/365))+(M78*($E78/365))</f>
        <v>63.686888454011743</v>
      </c>
      <c r="E130" s="24">
        <f t="shared" si="31"/>
        <v>79.676451402478804</v>
      </c>
      <c r="F130" s="9"/>
      <c r="G130" s="9">
        <v>2015</v>
      </c>
      <c r="H130" s="409">
        <f>(O75/$R75*100*($E75/365))+(O76/$R76*100*($E76/365))+(O77/$R77*100*($E77/365))</f>
        <v>6.7052568165745559</v>
      </c>
      <c r="I130" s="409"/>
      <c r="J130" s="409">
        <f>(P75/$R75*100*($E75/365))+(P76/$R76*100*($E76/365))+(P77/$R77*100*($E77/365))</f>
        <v>5.364205453259645</v>
      </c>
      <c r="K130" s="409"/>
      <c r="L130" s="409">
        <f>(Q75/$R75*100*($E75/365))+(Q76/$R76*100*($E76/365))+(Q77/$R77*100*($E77/365))</f>
        <v>75.601770606878119</v>
      </c>
      <c r="M130" s="409"/>
      <c r="N130" s="424">
        <f t="shared" si="34"/>
        <v>87.671232876712324</v>
      </c>
      <c r="O130" s="424"/>
      <c r="P130" s="9"/>
      <c r="Q130" s="9"/>
      <c r="R130" s="9">
        <v>2015</v>
      </c>
      <c r="S130" s="5">
        <f>(O75*($E75/365))+(O76*($E76/365))+(O77*($E77/365))+(O78*($E78/365))</f>
        <v>3.506849315068493</v>
      </c>
      <c r="T130" s="5">
        <f>(P75*($E75/365))+(P76*($E76/365))+(P77*($E77/365))+(P78*($E78/365))</f>
        <v>2.8054794520547945</v>
      </c>
      <c r="U130" s="5">
        <f>(Q75*($E75/365))+(Q76*($E76/365))+(Q77*($E77/365))+(Q78*($E78/365))</f>
        <v>39.539726027397258</v>
      </c>
      <c r="V130" s="9"/>
      <c r="W130" s="5">
        <f>S130+T130+U130</f>
        <v>45.852054794520548</v>
      </c>
    </row>
    <row r="131" spans="1:23" x14ac:dyDescent="0.15">
      <c r="A131" s="1">
        <v>2016</v>
      </c>
      <c r="B131" s="5">
        <f>(K79*($E79/366))+(K80*($E80/366))</f>
        <v>0</v>
      </c>
      <c r="C131" s="5">
        <f>(L79*($E79/366))+(L80*($E80/366))</f>
        <v>0</v>
      </c>
      <c r="D131" s="5">
        <f>(M79*($E79/366))+(M80*($E80/366))</f>
        <v>0</v>
      </c>
      <c r="E131" s="24">
        <f t="shared" si="31"/>
        <v>0</v>
      </c>
      <c r="G131" s="9">
        <v>2016</v>
      </c>
      <c r="H131" s="409">
        <v>0</v>
      </c>
      <c r="I131" s="409"/>
      <c r="J131" s="409">
        <v>0</v>
      </c>
      <c r="K131" s="409"/>
      <c r="L131" s="409">
        <v>0</v>
      </c>
      <c r="M131" s="409"/>
      <c r="N131" s="424">
        <f t="shared" si="34"/>
        <v>0</v>
      </c>
      <c r="O131" s="424"/>
      <c r="R131" s="9">
        <v>2016</v>
      </c>
      <c r="S131" s="5">
        <f>(O79*($E79/366))+(O80*($E80/366))</f>
        <v>0</v>
      </c>
      <c r="T131" s="5">
        <f>(P79*($E79/366))+(P80*($E80/366))</f>
        <v>0</v>
      </c>
      <c r="U131" s="5">
        <f>(Q79*($E79/366))+(Q80*($E80/366))</f>
        <v>0</v>
      </c>
      <c r="V131" s="9"/>
      <c r="W131" s="5">
        <f>S131+T131+U131</f>
        <v>0</v>
      </c>
    </row>
    <row r="132" spans="1:23" x14ac:dyDescent="0.15">
      <c r="A132" s="1">
        <v>2017</v>
      </c>
      <c r="B132" s="5">
        <f>(K81*($E81/365))+(K82*($E82/365))+(K83*($E83/365))+(K84*($E84/365))+(K85*($E85/365))+(K86*($E86/365))</f>
        <v>14.540842212075088</v>
      </c>
      <c r="C132" s="5">
        <f>(L81*($E81/365))+(L82*($E82/365))+(L83*($E83/365))+(L84*($E84/365))+(L85*($E85/365))+(L86*($E86/365))</f>
        <v>0</v>
      </c>
      <c r="D132" s="5">
        <f>(M81*($E81/365))+(M82*($E82/365))+(M83*($E83/365))+(M84*($E84/365))+(M85*($E85/365))+(M86*($E86/365))</f>
        <v>81.073059360730582</v>
      </c>
      <c r="E132" s="24">
        <f t="shared" ref="E132" si="35">B132+C132+D132</f>
        <v>95.613901572805673</v>
      </c>
      <c r="G132" s="9">
        <v>2017</v>
      </c>
      <c r="H132" s="409">
        <f>(O82/$R82*100*($E82/365))+(O83/$R83*100*($E83/365))+(O84/$R84*100*($E84/365))+(O85/$R85*100*($E85/365))+(O86/$R86*100*($E86/365))</f>
        <v>10.120769980036414</v>
      </c>
      <c r="I132" s="409"/>
      <c r="J132" s="409">
        <f>(P82/$R82*100*($E82/365))+(P83/$R83*100*($E83/365))+(P84/$R84*100*($E84/365))+(P85/$R85*100*($E85/365))+(P86/$R86*100*($E86/365))</f>
        <v>0</v>
      </c>
      <c r="K132" s="409"/>
      <c r="L132" s="409">
        <f>(Q82/$R82*100*($E82/365))+(Q83/$R83*100*($E83/365))+(Q84/$R84*100*($E84/365))+(Q85/$R85*100*($E85/365))+(Q86/$R86*100*($E86/365))</f>
        <v>89.057312211744403</v>
      </c>
      <c r="M132" s="409"/>
      <c r="N132" s="424">
        <f t="shared" si="34"/>
        <v>99.178082191780817</v>
      </c>
      <c r="O132" s="424"/>
      <c r="R132" s="9">
        <v>2017</v>
      </c>
      <c r="S132" s="5">
        <f>(O81*($E81/365))+(O82*($E82/365))+(O83*($E83/365))+(O84*($E84/365))+(O85*($E85/365))+(O86*($E86/365))</f>
        <v>5.285479452054795</v>
      </c>
      <c r="T132" s="5">
        <f>(P81*($E81/365))+(P82*($E82/365))+(P83*($E83/365))+(P84*($E84/365))+(P85*($E85/365))+(P86*($E86/365))</f>
        <v>0</v>
      </c>
      <c r="U132" s="5">
        <f>(Q81*($E81/365))+(Q82*($E82/365))+(Q83*($E83/365))+(Q84*($E84/365))+(Q85*($E85/365))+(Q86*($E86/365))</f>
        <v>46.415342465753426</v>
      </c>
      <c r="V132" s="9"/>
      <c r="W132" s="5">
        <f>S132+T132+U132</f>
        <v>51.70082191780822</v>
      </c>
    </row>
    <row r="133" spans="1:23" x14ac:dyDescent="0.15">
      <c r="A133" s="1">
        <v>2018</v>
      </c>
      <c r="B133" s="5">
        <f>(K87*($E87/365))+(K88*($E88/365))+(K89*($E89/365))</f>
        <v>14.452751713025684</v>
      </c>
      <c r="C133" s="5">
        <f>(L87*($E87/365))+(L88*($E88/365))+(L89*($E89/365))</f>
        <v>0</v>
      </c>
      <c r="D133" s="5">
        <f>(M87*($E87/365))+(M88*($E88/365))+(M89*($E89/365))</f>
        <v>79.047563294138641</v>
      </c>
      <c r="E133" s="24">
        <f t="shared" ref="E133" si="36">B133+C133+D133</f>
        <v>93.500315007164318</v>
      </c>
      <c r="G133" s="9">
        <v>2018</v>
      </c>
      <c r="H133" s="409">
        <f>(O87/$R87*100*($E87/365))+(O88/$R88*100*($E88/365))+(O89/$R89*100*($E89/365))</f>
        <v>8.9494163424124515</v>
      </c>
      <c r="I133" s="409"/>
      <c r="J133" s="409">
        <f>(P87/$R87*100*($E87/365))+(P88/$R88*100*($E88/365))+(P89/$R89*100*($E89/365))</f>
        <v>0</v>
      </c>
      <c r="K133" s="409"/>
      <c r="L133" s="409">
        <f>(Q87/$R87*100*($E87/365))+(Q88/$R88*100*($E88/365))+(Q89/$R89*100*($E89/365))</f>
        <v>91.050583657587552</v>
      </c>
      <c r="M133" s="409"/>
      <c r="N133" s="424">
        <f t="shared" si="34"/>
        <v>100</v>
      </c>
      <c r="O133" s="424"/>
      <c r="R133" s="9">
        <v>2018</v>
      </c>
      <c r="S133" s="5">
        <f>(O87*($E87/365))+(O88*($E88/365))+(O89*($E89/365))</f>
        <v>4.5999999999999996</v>
      </c>
      <c r="T133" s="5">
        <f>(P87*($E87/365))+(P88*($E88/365))+(P89*($E89/365))</f>
        <v>0</v>
      </c>
      <c r="U133" s="5">
        <f>(Q87*($E87/365))+(Q88*($E88/365))+(Q89*($E89/365))</f>
        <v>46.8</v>
      </c>
      <c r="V133" s="9"/>
      <c r="W133" s="5">
        <f>S133+T133+U133</f>
        <v>51.4</v>
      </c>
    </row>
    <row r="134" spans="1:23" x14ac:dyDescent="0.15">
      <c r="A134" s="1">
        <v>2019</v>
      </c>
      <c r="B134" s="5">
        <f>(K90*($E90/365))+(K91*($E91/365))+(K92*($E92/365))+(K93*(E93/365))+(K94*(E94/365))</f>
        <v>23.757686453576866</v>
      </c>
      <c r="C134" s="5">
        <f>(L90*($E90/365))+(L91*($E91/365))+(L92*($E92/365))+(L93*(E93/365))+(L94*(E94/365))</f>
        <v>0</v>
      </c>
      <c r="D134" s="5">
        <f>(M90*($E90/365))+(M91*($E91/365))+(M92*($E92/365))+(M93*(E93/365))+(M94*(E94/365))</f>
        <v>71.955474662323979</v>
      </c>
      <c r="E134" s="24">
        <f t="shared" ref="E134:E135" si="37">B134+C134+D134</f>
        <v>95.713161115900846</v>
      </c>
      <c r="G134" s="9">
        <v>2019</v>
      </c>
      <c r="H134" s="409">
        <f>(O90/$R90*100*($E90/365))+(O91/$R91*100*($E91/365))+(O92/$R92*100*($E92/365))+(O93/R93*100*(E93/365))+(O94/R94*100*(E94/365))</f>
        <v>21.725920793134698</v>
      </c>
      <c r="I134" s="409"/>
      <c r="J134" s="409">
        <f>(P90/$R90*100*($E90/365))+(P91/$R91*100*($E91/365))+(P92/$R92*100*($E92/365))+(P93/R93*100*(E93/365))+(P94/R94*100*(E94/365))</f>
        <v>0</v>
      </c>
      <c r="K134" s="409"/>
      <c r="L134" s="409">
        <f>(Q90/$R90*100*($E90/365))+(Q91/$R91*100*($E91/365))+(Q92/$R92*100*($E92/365))+(Q93/R93*100*(E93/365))+(Q94/R94*100*(E94/365))</f>
        <v>78.274079206865309</v>
      </c>
      <c r="M134" s="409"/>
      <c r="N134" s="424">
        <f t="shared" ref="N134" si="38">H134+J134+L134</f>
        <v>100</v>
      </c>
      <c r="O134" s="424"/>
      <c r="R134" s="9">
        <v>2019</v>
      </c>
      <c r="S134" s="5">
        <f>(O90*($E90/365))+(O91*($E91/365))+(O92*($E92/365))+(O93*(E93/365))+(O94*(E94/365))</f>
        <v>6.3205479452054796</v>
      </c>
      <c r="T134" s="5">
        <f>(P90*($E90/365))+(P91*($E91/365))+(P92*($E92/365))+(P93*(E93/365))+(P94*(E94/365))</f>
        <v>0</v>
      </c>
      <c r="U134" s="5">
        <f>(Q90*($E90/365))+(Q91*($E91/365))+(Q92*($E92/365))+(Q93*(E93/365))+(Q94*(E94/365))</f>
        <v>39.363287671232875</v>
      </c>
      <c r="V134" s="9"/>
      <c r="W134" s="5">
        <f t="shared" ref="W134:W135" si="39">S134+T134+U134</f>
        <v>45.683835616438358</v>
      </c>
    </row>
    <row r="135" spans="1:23" x14ac:dyDescent="0.15">
      <c r="A135" s="1">
        <v>2020</v>
      </c>
      <c r="B135" s="5">
        <f>(K95*($E95/366))+(K96*($E96/366))+(K97*($E97/366))</f>
        <v>86.633706305837435</v>
      </c>
      <c r="C135" s="5">
        <f>(L95*($E95/366))+(L96*($E96/366))+(L97*($E97/366))</f>
        <v>0.46838407494145196</v>
      </c>
      <c r="D135" s="5">
        <f>(M95*($E95/366))+(M96*($E96/366))+(M97*($E97/366))</f>
        <v>0</v>
      </c>
      <c r="E135" s="24">
        <f t="shared" si="37"/>
        <v>87.10209038077889</v>
      </c>
      <c r="G135" s="1">
        <v>2020</v>
      </c>
      <c r="H135" s="409">
        <f>(O95/$R95*100*($E95/366))+(O96/$R96*100*($E96/366)) + (O97/$R97*100*($E97/366))</f>
        <v>97.5080266207395</v>
      </c>
      <c r="I135" s="409"/>
      <c r="J135" s="409">
        <f>(P95/$R95*100*($E95/366))+(P96/$R96*100*($E96/366)) + (P97/$R97*100*($E97/366))</f>
        <v>0.30618102953371185</v>
      </c>
      <c r="K135" s="409"/>
      <c r="L135" s="409">
        <f>(Q95/$R95*100*($E95/366))+(Q96/$R96*100*($E96/366)) + (Q97/$R97*100*($E97/366))</f>
        <v>0</v>
      </c>
      <c r="M135" s="409"/>
      <c r="N135" s="424">
        <f t="shared" ref="N135" si="40">H135+J135+L135</f>
        <v>97.814207650273218</v>
      </c>
      <c r="O135" s="424"/>
      <c r="R135" s="1">
        <v>2020</v>
      </c>
      <c r="S135" s="5">
        <f>(O95*($E95/366))+(O96*($E96/366))+(O97*($E97/366))</f>
        <v>21.035792349726776</v>
      </c>
      <c r="T135" s="5">
        <f>(P95*($E95/366))+(P96*($E96/366))+(P97*($E97/366))</f>
        <v>0.15737704918032788</v>
      </c>
      <c r="U135" s="5">
        <f>(Q95*($E95/366))+(Q96*($E96/366))+(Q97*($E97/366))</f>
        <v>0</v>
      </c>
      <c r="W135" s="5">
        <f t="shared" si="39"/>
        <v>21.193169398907106</v>
      </c>
    </row>
  </sheetData>
  <mergeCells count="242">
    <mergeCell ref="H135:I135"/>
    <mergeCell ref="J135:K135"/>
    <mergeCell ref="L135:M135"/>
    <mergeCell ref="N135:O135"/>
    <mergeCell ref="C97:D97"/>
    <mergeCell ref="L134:M134"/>
    <mergeCell ref="J134:K134"/>
    <mergeCell ref="H134:I134"/>
    <mergeCell ref="N134:O134"/>
    <mergeCell ref="L127:M127"/>
    <mergeCell ref="N127:O127"/>
    <mergeCell ref="H126:I126"/>
    <mergeCell ref="J126:K126"/>
    <mergeCell ref="L126:M126"/>
    <mergeCell ref="N126:O126"/>
    <mergeCell ref="H123:I123"/>
    <mergeCell ref="J123:K123"/>
    <mergeCell ref="N124:O124"/>
    <mergeCell ref="H121:I121"/>
    <mergeCell ref="J121:K121"/>
    <mergeCell ref="L121:M121"/>
    <mergeCell ref="N121:O121"/>
    <mergeCell ref="H125:I125"/>
    <mergeCell ref="J125:K125"/>
    <mergeCell ref="C90:D90"/>
    <mergeCell ref="C92:D92"/>
    <mergeCell ref="C93:D93"/>
    <mergeCell ref="C94:D94"/>
    <mergeCell ref="C91:D91"/>
    <mergeCell ref="H132:I132"/>
    <mergeCell ref="J132:K132"/>
    <mergeCell ref="L132:M132"/>
    <mergeCell ref="N132:O132"/>
    <mergeCell ref="N131:O131"/>
    <mergeCell ref="N123:O123"/>
    <mergeCell ref="L124:M124"/>
    <mergeCell ref="H122:I122"/>
    <mergeCell ref="J122:K122"/>
    <mergeCell ref="L122:M122"/>
    <mergeCell ref="N122:O122"/>
    <mergeCell ref="H130:I130"/>
    <mergeCell ref="J130:K130"/>
    <mergeCell ref="L130:M130"/>
    <mergeCell ref="N130:O130"/>
    <mergeCell ref="L129:M129"/>
    <mergeCell ref="N129:O129"/>
    <mergeCell ref="H127:I127"/>
    <mergeCell ref="J127:K127"/>
    <mergeCell ref="C81:D81"/>
    <mergeCell ref="C82:D82"/>
    <mergeCell ref="C83:D83"/>
    <mergeCell ref="C85:D85"/>
    <mergeCell ref="C84:D84"/>
    <mergeCell ref="C86:D86"/>
    <mergeCell ref="H131:I131"/>
    <mergeCell ref="J131:K131"/>
    <mergeCell ref="L131:M131"/>
    <mergeCell ref="H117:I117"/>
    <mergeCell ref="J117:K117"/>
    <mergeCell ref="L117:M117"/>
    <mergeCell ref="H114:I114"/>
    <mergeCell ref="J114:K114"/>
    <mergeCell ref="L114:M114"/>
    <mergeCell ref="H107:I107"/>
    <mergeCell ref="J107:K107"/>
    <mergeCell ref="L107:M107"/>
    <mergeCell ref="H119:I119"/>
    <mergeCell ref="J119:K119"/>
    <mergeCell ref="L119:M119"/>
    <mergeCell ref="L115:M115"/>
    <mergeCell ref="H129:I129"/>
    <mergeCell ref="J129:K129"/>
    <mergeCell ref="L125:M125"/>
    <mergeCell ref="N125:O125"/>
    <mergeCell ref="L123:M123"/>
    <mergeCell ref="H124:I124"/>
    <mergeCell ref="J124:K124"/>
    <mergeCell ref="N120:O120"/>
    <mergeCell ref="H113:I113"/>
    <mergeCell ref="J113:K113"/>
    <mergeCell ref="L113:M113"/>
    <mergeCell ref="N113:O113"/>
    <mergeCell ref="N114:O114"/>
    <mergeCell ref="H115:I115"/>
    <mergeCell ref="J115:K115"/>
    <mergeCell ref="N115:O115"/>
    <mergeCell ref="H116:I116"/>
    <mergeCell ref="J116:K116"/>
    <mergeCell ref="L116:M116"/>
    <mergeCell ref="N116:O116"/>
    <mergeCell ref="N117:O117"/>
    <mergeCell ref="H118:I118"/>
    <mergeCell ref="J118:K118"/>
    <mergeCell ref="L118:M118"/>
    <mergeCell ref="N118:O118"/>
    <mergeCell ref="L110:M110"/>
    <mergeCell ref="N110:O110"/>
    <mergeCell ref="H111:I111"/>
    <mergeCell ref="J111:K111"/>
    <mergeCell ref="L111:M111"/>
    <mergeCell ref="N111:O111"/>
    <mergeCell ref="H112:I112"/>
    <mergeCell ref="J112:K112"/>
    <mergeCell ref="L112:M112"/>
    <mergeCell ref="N112:O112"/>
    <mergeCell ref="H110:I110"/>
    <mergeCell ref="R102:W102"/>
    <mergeCell ref="H104:I104"/>
    <mergeCell ref="J104:K104"/>
    <mergeCell ref="L104:M104"/>
    <mergeCell ref="N104:O104"/>
    <mergeCell ref="H106:I106"/>
    <mergeCell ref="J106:K106"/>
    <mergeCell ref="L106:M106"/>
    <mergeCell ref="N106:O106"/>
    <mergeCell ref="C59:D59"/>
    <mergeCell ref="H105:I105"/>
    <mergeCell ref="J105:K105"/>
    <mergeCell ref="C63:D63"/>
    <mergeCell ref="C60:D60"/>
    <mergeCell ref="L105:M105"/>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C79:D79"/>
    <mergeCell ref="C80:D80"/>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G3:M3"/>
    <mergeCell ref="O3:Q3"/>
    <mergeCell ref="A4:A5"/>
    <mergeCell ref="B4:B5"/>
    <mergeCell ref="C4:D5"/>
    <mergeCell ref="E4:E5"/>
    <mergeCell ref="F4:F5"/>
    <mergeCell ref="O4:R4"/>
    <mergeCell ref="AH4:AK4"/>
    <mergeCell ref="S4:S5"/>
    <mergeCell ref="T4:T5"/>
    <mergeCell ref="U4:U5"/>
    <mergeCell ref="V4:Y4"/>
    <mergeCell ref="AD4:AG4"/>
    <mergeCell ref="G4:J4"/>
    <mergeCell ref="K4:N4"/>
    <mergeCell ref="AT4:AW4"/>
    <mergeCell ref="AX4:BA4"/>
    <mergeCell ref="C65:D65"/>
    <mergeCell ref="H128:I128"/>
    <mergeCell ref="J128:K128"/>
    <mergeCell ref="L128:M128"/>
    <mergeCell ref="N128:O128"/>
    <mergeCell ref="Z4:AC4"/>
    <mergeCell ref="C9:D9"/>
    <mergeCell ref="C10:D10"/>
    <mergeCell ref="AL4:AO4"/>
    <mergeCell ref="AP4:AS4"/>
    <mergeCell ref="C7:D7"/>
    <mergeCell ref="C8:D8"/>
    <mergeCell ref="C13:D13"/>
    <mergeCell ref="C6:D6"/>
    <mergeCell ref="C14:D14"/>
    <mergeCell ref="C15:D15"/>
    <mergeCell ref="C11:D11"/>
    <mergeCell ref="C12:D12"/>
    <mergeCell ref="C16:D16"/>
    <mergeCell ref="C17:D17"/>
    <mergeCell ref="C18:D18"/>
    <mergeCell ref="C19:D19"/>
    <mergeCell ref="C95:D95"/>
    <mergeCell ref="C96:D96"/>
    <mergeCell ref="C87:D87"/>
    <mergeCell ref="C88:D88"/>
    <mergeCell ref="C89:D89"/>
    <mergeCell ref="H133:I133"/>
    <mergeCell ref="L133:M133"/>
    <mergeCell ref="N133:O133"/>
    <mergeCell ref="J133:K133"/>
    <mergeCell ref="N105:O105"/>
    <mergeCell ref="N107:O107"/>
    <mergeCell ref="H108:I108"/>
    <mergeCell ref="J108:K108"/>
    <mergeCell ref="L108:M108"/>
    <mergeCell ref="N108:O108"/>
    <mergeCell ref="H109:I109"/>
    <mergeCell ref="J109:K109"/>
    <mergeCell ref="L109:M109"/>
    <mergeCell ref="N109:O109"/>
    <mergeCell ref="N119:O119"/>
    <mergeCell ref="H120:I120"/>
    <mergeCell ref="J120:K120"/>
    <mergeCell ref="L120:M120"/>
    <mergeCell ref="J110:K110"/>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A134"/>
  <sheetViews>
    <sheetView zoomScale="150" zoomScaleNormal="120" workbookViewId="0">
      <pane xSplit="1" ySplit="5" topLeftCell="B6" activePane="bottomRight" state="frozen"/>
      <selection pane="topRight" activeCell="B1" sqref="B1"/>
      <selection pane="bottomLeft" activeCell="A6" sqref="A6"/>
      <selection pane="bottomRight" activeCell="W19" sqref="W19"/>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145</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29">
        <v>1990</v>
      </c>
      <c r="B6" s="295"/>
      <c r="C6" s="421" t="s">
        <v>1263</v>
      </c>
      <c r="D6" s="421"/>
      <c r="E6" s="29">
        <v>177</v>
      </c>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171">
        <v>1990</v>
      </c>
      <c r="B7" s="283">
        <v>33051</v>
      </c>
      <c r="C7" s="410" t="s">
        <v>1066</v>
      </c>
      <c r="D7" s="410"/>
      <c r="E7" s="171">
        <v>188</v>
      </c>
      <c r="F7" s="171" t="s">
        <v>335</v>
      </c>
      <c r="G7" s="233">
        <v>15</v>
      </c>
      <c r="H7" s="171">
        <v>8</v>
      </c>
      <c r="J7" s="241">
        <v>23</v>
      </c>
      <c r="K7" s="214">
        <f>G7/J7*100</f>
        <v>65.217391304347828</v>
      </c>
      <c r="L7" s="214">
        <f>H7/J7*100</f>
        <v>34.782608695652172</v>
      </c>
      <c r="M7" s="214">
        <f>I7/J7*100</f>
        <v>0</v>
      </c>
      <c r="N7" s="235">
        <f>K7+L7+M7</f>
        <v>100</v>
      </c>
      <c r="O7" s="213">
        <v>36.700000000000003</v>
      </c>
      <c r="P7" s="214">
        <v>20.7</v>
      </c>
      <c r="Q7" s="214"/>
      <c r="R7" s="215">
        <f t="shared" ref="R7:R60" si="0">SUM(O7:Q7)</f>
        <v>57.400000000000006</v>
      </c>
      <c r="S7" s="171">
        <v>3</v>
      </c>
      <c r="T7" s="285">
        <v>33033</v>
      </c>
      <c r="U7" s="283">
        <v>33051</v>
      </c>
      <c r="V7" s="178" t="s">
        <v>1051</v>
      </c>
      <c r="W7" s="171" t="s">
        <v>22</v>
      </c>
      <c r="X7" s="171" t="s">
        <v>11</v>
      </c>
      <c r="Y7" s="179">
        <v>32</v>
      </c>
      <c r="Z7" s="171" t="s">
        <v>883</v>
      </c>
      <c r="AA7" s="171" t="s">
        <v>17</v>
      </c>
      <c r="AB7" s="171" t="s">
        <v>18</v>
      </c>
      <c r="AC7" s="171">
        <v>20.7</v>
      </c>
      <c r="AD7" s="178" t="s">
        <v>1052</v>
      </c>
      <c r="AE7" s="171" t="s">
        <v>87</v>
      </c>
      <c r="AF7" s="171" t="s">
        <v>11</v>
      </c>
      <c r="AG7" s="179">
        <v>4.7</v>
      </c>
      <c r="AL7" s="178"/>
      <c r="AO7" s="179"/>
      <c r="AP7" s="178"/>
      <c r="AS7" s="179"/>
      <c r="AW7" s="179"/>
      <c r="BA7" s="180"/>
    </row>
    <row r="8" spans="1:53" s="171" customFormat="1" x14ac:dyDescent="0.15">
      <c r="A8" s="171">
        <v>1991</v>
      </c>
      <c r="B8" s="283"/>
      <c r="C8" s="410" t="s">
        <v>1066</v>
      </c>
      <c r="D8" s="410"/>
      <c r="E8" s="171">
        <v>112</v>
      </c>
      <c r="G8" s="233">
        <v>15</v>
      </c>
      <c r="H8" s="171">
        <v>8</v>
      </c>
      <c r="J8" s="241">
        <v>23</v>
      </c>
      <c r="K8" s="214">
        <f>G8/J8*100</f>
        <v>65.217391304347828</v>
      </c>
      <c r="L8" s="214">
        <f>H8/J8*100</f>
        <v>34.782608695652172</v>
      </c>
      <c r="M8" s="214">
        <f>I8/J8*100</f>
        <v>0</v>
      </c>
      <c r="N8" s="235">
        <f>K8+L8+M8</f>
        <v>100</v>
      </c>
      <c r="O8" s="213">
        <v>36.700000000000003</v>
      </c>
      <c r="P8" s="214">
        <v>20.7</v>
      </c>
      <c r="Q8" s="214"/>
      <c r="R8" s="215">
        <f t="shared" si="0"/>
        <v>57.400000000000006</v>
      </c>
      <c r="S8" s="171">
        <v>3</v>
      </c>
      <c r="T8" s="285"/>
      <c r="U8" s="283"/>
      <c r="V8" s="178" t="s">
        <v>1051</v>
      </c>
      <c r="W8" s="171" t="s">
        <v>22</v>
      </c>
      <c r="X8" s="171" t="s">
        <v>11</v>
      </c>
      <c r="Y8" s="179">
        <v>32</v>
      </c>
      <c r="Z8" s="171" t="s">
        <v>883</v>
      </c>
      <c r="AA8" s="171" t="s">
        <v>17</v>
      </c>
      <c r="AB8" s="171" t="s">
        <v>18</v>
      </c>
      <c r="AC8" s="171">
        <v>20.7</v>
      </c>
      <c r="AD8" s="178" t="s">
        <v>1052</v>
      </c>
      <c r="AE8" s="171" t="s">
        <v>87</v>
      </c>
      <c r="AF8" s="171" t="s">
        <v>11</v>
      </c>
      <c r="AG8" s="179">
        <v>4.7</v>
      </c>
      <c r="AL8" s="178"/>
      <c r="AO8" s="179"/>
      <c r="AP8" s="178"/>
      <c r="AS8" s="179"/>
      <c r="AW8" s="179"/>
      <c r="BA8" s="180"/>
    </row>
    <row r="9" spans="1:53" s="29" customFormat="1" x14ac:dyDescent="0.15">
      <c r="A9" s="29">
        <v>1991</v>
      </c>
      <c r="B9" s="295">
        <v>33351</v>
      </c>
      <c r="C9" s="411" t="s">
        <v>1067</v>
      </c>
      <c r="D9" s="411"/>
      <c r="E9" s="29">
        <v>253</v>
      </c>
      <c r="F9" s="29">
        <v>5</v>
      </c>
      <c r="G9" s="66">
        <v>14</v>
      </c>
      <c r="H9" s="29">
        <v>9</v>
      </c>
      <c r="J9" s="73">
        <v>23</v>
      </c>
      <c r="K9" s="47">
        <f>G9/J9*100</f>
        <v>60.869565217391312</v>
      </c>
      <c r="L9" s="47">
        <f>H9/J9*100</f>
        <v>39.130434782608695</v>
      </c>
      <c r="M9" s="47">
        <f>I9/J9*100</f>
        <v>0</v>
      </c>
      <c r="N9" s="68">
        <f>K9+L9+M9</f>
        <v>100</v>
      </c>
      <c r="O9" s="46">
        <v>36.700000000000003</v>
      </c>
      <c r="P9" s="47">
        <v>20.7</v>
      </c>
      <c r="Q9" s="47"/>
      <c r="R9" s="48">
        <f t="shared" si="0"/>
        <v>57.400000000000006</v>
      </c>
      <c r="S9" s="29">
        <v>3</v>
      </c>
      <c r="T9" s="286"/>
      <c r="U9" s="295">
        <v>33351</v>
      </c>
      <c r="V9" s="38" t="s">
        <v>1051</v>
      </c>
      <c r="W9" s="29" t="s">
        <v>22</v>
      </c>
      <c r="X9" s="29" t="s">
        <v>11</v>
      </c>
      <c r="Y9" s="39">
        <v>32</v>
      </c>
      <c r="Z9" s="29" t="s">
        <v>883</v>
      </c>
      <c r="AA9" s="29" t="s">
        <v>17</v>
      </c>
      <c r="AB9" s="29" t="s">
        <v>18</v>
      </c>
      <c r="AC9" s="29">
        <v>20.7</v>
      </c>
      <c r="AD9" s="38" t="s">
        <v>1052</v>
      </c>
      <c r="AE9" s="29" t="s">
        <v>87</v>
      </c>
      <c r="AF9" s="29" t="s">
        <v>11</v>
      </c>
      <c r="AG9" s="39">
        <v>4.7</v>
      </c>
      <c r="AL9" s="38"/>
      <c r="AO9" s="39"/>
      <c r="AP9" s="38"/>
      <c r="AS9" s="39"/>
      <c r="AW9" s="39"/>
      <c r="BA9" s="40"/>
    </row>
    <row r="10" spans="1:53" s="29" customFormat="1" x14ac:dyDescent="0.15">
      <c r="A10" s="29">
        <v>1992</v>
      </c>
      <c r="B10" s="295"/>
      <c r="C10" s="411" t="s">
        <v>1067</v>
      </c>
      <c r="D10" s="411"/>
      <c r="E10" s="29">
        <v>175</v>
      </c>
      <c r="G10" s="66">
        <v>14</v>
      </c>
      <c r="H10" s="29">
        <v>9</v>
      </c>
      <c r="J10" s="73">
        <v>23</v>
      </c>
      <c r="K10" s="47">
        <f>G10/J10*100</f>
        <v>60.869565217391312</v>
      </c>
      <c r="L10" s="47">
        <f>H10/J10*100</f>
        <v>39.130434782608695</v>
      </c>
      <c r="M10" s="47">
        <f>I10/J10*100</f>
        <v>0</v>
      </c>
      <c r="N10" s="68">
        <f>K10+L10+M10</f>
        <v>100</v>
      </c>
      <c r="O10" s="46">
        <v>36.700000000000003</v>
      </c>
      <c r="P10" s="47">
        <v>20.7</v>
      </c>
      <c r="Q10" s="47"/>
      <c r="R10" s="48">
        <f t="shared" si="0"/>
        <v>57.400000000000006</v>
      </c>
      <c r="S10" s="29">
        <v>3</v>
      </c>
      <c r="T10" s="286"/>
      <c r="U10" s="295"/>
      <c r="V10" s="38" t="s">
        <v>1051</v>
      </c>
      <c r="W10" s="29" t="s">
        <v>22</v>
      </c>
      <c r="X10" s="29" t="s">
        <v>11</v>
      </c>
      <c r="Y10" s="39">
        <v>32</v>
      </c>
      <c r="Z10" s="29" t="s">
        <v>883</v>
      </c>
      <c r="AA10" s="29" t="s">
        <v>17</v>
      </c>
      <c r="AB10" s="29" t="s">
        <v>18</v>
      </c>
      <c r="AC10" s="29">
        <v>20.7</v>
      </c>
      <c r="AD10" s="38" t="s">
        <v>1052</v>
      </c>
      <c r="AE10" s="29" t="s">
        <v>87</v>
      </c>
      <c r="AF10" s="29" t="s">
        <v>11</v>
      </c>
      <c r="AG10" s="39">
        <v>4.7</v>
      </c>
      <c r="AL10" s="38"/>
      <c r="AO10" s="39"/>
      <c r="AP10" s="38"/>
      <c r="AS10" s="39"/>
      <c r="AW10" s="39"/>
      <c r="BA10" s="40"/>
    </row>
    <row r="11" spans="1:53" s="171" customFormat="1" x14ac:dyDescent="0.15">
      <c r="A11" s="171">
        <v>1992</v>
      </c>
      <c r="B11" s="306">
        <v>33779</v>
      </c>
      <c r="C11" s="410" t="s">
        <v>879</v>
      </c>
      <c r="D11" s="410"/>
      <c r="E11" s="171">
        <v>191</v>
      </c>
      <c r="F11" s="171">
        <v>1</v>
      </c>
      <c r="G11" s="233">
        <v>17</v>
      </c>
      <c r="J11" s="241">
        <v>17</v>
      </c>
      <c r="K11" s="214">
        <f t="shared" ref="K11:K54" si="1">G11/J11*100</f>
        <v>100</v>
      </c>
      <c r="L11" s="214">
        <f>H11/J11*100</f>
        <v>0</v>
      </c>
      <c r="M11" s="214">
        <f t="shared" ref="M11:M54" si="2">I11/J11*100</f>
        <v>0</v>
      </c>
      <c r="N11" s="235">
        <f t="shared" ref="N11:N60" si="3">SUM(K11:M11)</f>
        <v>100</v>
      </c>
      <c r="O11" s="213">
        <v>59.3</v>
      </c>
      <c r="P11" s="214"/>
      <c r="Q11" s="214"/>
      <c r="R11" s="215">
        <f t="shared" si="0"/>
        <v>59.3</v>
      </c>
      <c r="S11" s="171">
        <v>2</v>
      </c>
      <c r="T11" s="285">
        <v>33761</v>
      </c>
      <c r="U11" s="306">
        <v>33779</v>
      </c>
      <c r="V11" s="178" t="s">
        <v>877</v>
      </c>
      <c r="W11" s="171" t="s">
        <v>294</v>
      </c>
      <c r="X11" s="171" t="s">
        <v>11</v>
      </c>
      <c r="Y11" s="179">
        <v>49.3</v>
      </c>
      <c r="Z11" s="171" t="s">
        <v>878</v>
      </c>
      <c r="AA11" s="171" t="s">
        <v>27</v>
      </c>
      <c r="AB11" s="171" t="s">
        <v>11</v>
      </c>
      <c r="AC11" s="171">
        <v>10</v>
      </c>
      <c r="AD11" s="178"/>
      <c r="AG11" s="179"/>
      <c r="AL11" s="178"/>
      <c r="AO11" s="179"/>
      <c r="AP11" s="178"/>
      <c r="AS11" s="179"/>
      <c r="AW11" s="179"/>
      <c r="BA11" s="180"/>
    </row>
    <row r="12" spans="1:53" s="171" customFormat="1" x14ac:dyDescent="0.15">
      <c r="A12" s="171">
        <v>1993</v>
      </c>
      <c r="B12" s="283"/>
      <c r="C12" s="410" t="s">
        <v>879</v>
      </c>
      <c r="D12" s="410"/>
      <c r="E12" s="171">
        <v>11</v>
      </c>
      <c r="G12" s="233">
        <v>17</v>
      </c>
      <c r="J12" s="241">
        <v>17</v>
      </c>
      <c r="K12" s="214">
        <f t="shared" si="1"/>
        <v>100</v>
      </c>
      <c r="L12" s="214">
        <f t="shared" ref="L12:L54" si="4">H12/J12*100</f>
        <v>0</v>
      </c>
      <c r="M12" s="214">
        <f t="shared" si="2"/>
        <v>0</v>
      </c>
      <c r="N12" s="235">
        <f t="shared" si="3"/>
        <v>100</v>
      </c>
      <c r="O12" s="213">
        <v>59.3</v>
      </c>
      <c r="P12" s="214"/>
      <c r="Q12" s="214"/>
      <c r="R12" s="215">
        <f t="shared" si="0"/>
        <v>59.3</v>
      </c>
      <c r="S12" s="171">
        <v>2</v>
      </c>
      <c r="T12" s="285"/>
      <c r="U12" s="283"/>
      <c r="V12" s="178" t="s">
        <v>877</v>
      </c>
      <c r="W12" s="171" t="s">
        <v>294</v>
      </c>
      <c r="X12" s="171" t="s">
        <v>11</v>
      </c>
      <c r="Y12" s="179">
        <v>49.3</v>
      </c>
      <c r="Z12" s="171" t="s">
        <v>878</v>
      </c>
      <c r="AA12" s="171" t="s">
        <v>27</v>
      </c>
      <c r="AB12" s="171" t="s">
        <v>11</v>
      </c>
      <c r="AC12" s="171">
        <v>10</v>
      </c>
      <c r="AD12" s="178"/>
      <c r="AG12" s="179"/>
      <c r="AL12" s="178"/>
      <c r="AO12" s="179"/>
      <c r="AP12" s="178"/>
      <c r="AS12" s="179"/>
      <c r="AW12" s="179"/>
      <c r="BA12" s="180"/>
    </row>
    <row r="13" spans="1:53" s="171" customFormat="1" x14ac:dyDescent="0.15">
      <c r="A13" s="171">
        <v>1993</v>
      </c>
      <c r="B13" s="305">
        <v>33981</v>
      </c>
      <c r="C13" s="410" t="s">
        <v>879</v>
      </c>
      <c r="D13" s="410"/>
      <c r="E13" s="171">
        <v>66</v>
      </c>
      <c r="F13" s="244">
        <v>0</v>
      </c>
      <c r="G13" s="233">
        <v>19</v>
      </c>
      <c r="J13" s="241">
        <v>19</v>
      </c>
      <c r="K13" s="214">
        <f t="shared" si="1"/>
        <v>100</v>
      </c>
      <c r="L13" s="214">
        <f t="shared" si="4"/>
        <v>0</v>
      </c>
      <c r="M13" s="214">
        <f t="shared" si="2"/>
        <v>0</v>
      </c>
      <c r="N13" s="235">
        <f t="shared" si="3"/>
        <v>100</v>
      </c>
      <c r="O13" s="213">
        <v>59.3</v>
      </c>
      <c r="P13" s="214"/>
      <c r="Q13" s="214"/>
      <c r="R13" s="215">
        <f t="shared" si="0"/>
        <v>59.3</v>
      </c>
      <c r="S13" s="171">
        <v>2</v>
      </c>
      <c r="T13" s="285"/>
      <c r="U13" s="306"/>
      <c r="V13" s="178" t="s">
        <v>877</v>
      </c>
      <c r="W13" s="171" t="s">
        <v>294</v>
      </c>
      <c r="X13" s="171" t="s">
        <v>11</v>
      </c>
      <c r="Y13" s="179">
        <v>49.3</v>
      </c>
      <c r="Z13" s="171" t="s">
        <v>878</v>
      </c>
      <c r="AA13" s="171" t="s">
        <v>27</v>
      </c>
      <c r="AB13" s="171" t="s">
        <v>11</v>
      </c>
      <c r="AC13" s="171">
        <v>10</v>
      </c>
      <c r="AD13" s="178"/>
      <c r="AG13" s="179"/>
      <c r="AL13" s="178"/>
      <c r="AO13" s="179"/>
      <c r="AP13" s="178"/>
      <c r="AS13" s="179"/>
      <c r="AW13" s="179"/>
      <c r="BA13" s="180"/>
    </row>
    <row r="14" spans="1:53" s="29" customFormat="1" x14ac:dyDescent="0.15">
      <c r="A14" s="29">
        <v>1993</v>
      </c>
      <c r="B14" s="277">
        <v>34047</v>
      </c>
      <c r="C14" s="411" t="s">
        <v>880</v>
      </c>
      <c r="D14" s="411"/>
      <c r="E14" s="29">
        <v>243</v>
      </c>
      <c r="F14" s="29">
        <v>4</v>
      </c>
      <c r="G14" s="66">
        <v>16</v>
      </c>
      <c r="J14" s="73">
        <v>16</v>
      </c>
      <c r="K14" s="47">
        <f t="shared" si="1"/>
        <v>100</v>
      </c>
      <c r="L14" s="47">
        <f t="shared" si="4"/>
        <v>0</v>
      </c>
      <c r="M14" s="47">
        <f t="shared" si="2"/>
        <v>0</v>
      </c>
      <c r="N14" s="68">
        <f t="shared" si="3"/>
        <v>100</v>
      </c>
      <c r="O14" s="46">
        <v>49.3</v>
      </c>
      <c r="P14" s="47"/>
      <c r="Q14" s="47"/>
      <c r="R14" s="48">
        <f t="shared" si="0"/>
        <v>49.3</v>
      </c>
      <c r="S14" s="29">
        <v>4</v>
      </c>
      <c r="T14" s="286"/>
      <c r="U14" s="277">
        <v>34047</v>
      </c>
      <c r="V14" s="38" t="s">
        <v>877</v>
      </c>
      <c r="W14" s="29" t="s">
        <v>294</v>
      </c>
      <c r="X14" s="29" t="s">
        <v>11</v>
      </c>
      <c r="Y14" s="39">
        <v>49.3</v>
      </c>
      <c r="AD14" s="38"/>
      <c r="AG14" s="39"/>
      <c r="AL14" s="38"/>
      <c r="AO14" s="39"/>
      <c r="AP14" s="38"/>
      <c r="AS14" s="39"/>
      <c r="AW14" s="39"/>
      <c r="BA14" s="40"/>
    </row>
    <row r="15" spans="1:53" s="171" customFormat="1" x14ac:dyDescent="0.15">
      <c r="A15" s="171">
        <v>1993</v>
      </c>
      <c r="B15" s="306">
        <v>34290</v>
      </c>
      <c r="C15" s="410" t="s">
        <v>881</v>
      </c>
      <c r="D15" s="410"/>
      <c r="E15" s="171">
        <f xml:space="preserve"> 365-E14-E13-E12</f>
        <v>45</v>
      </c>
      <c r="F15" s="171">
        <v>7</v>
      </c>
      <c r="G15" s="233">
        <v>19</v>
      </c>
      <c r="J15" s="241">
        <v>19</v>
      </c>
      <c r="K15" s="214">
        <f t="shared" si="1"/>
        <v>100</v>
      </c>
      <c r="L15" s="214">
        <f t="shared" si="4"/>
        <v>0</v>
      </c>
      <c r="M15" s="214">
        <f t="shared" si="2"/>
        <v>0</v>
      </c>
      <c r="N15" s="235">
        <f t="shared" si="3"/>
        <v>100</v>
      </c>
      <c r="O15" s="213">
        <v>59.3</v>
      </c>
      <c r="P15" s="214"/>
      <c r="Q15" s="214"/>
      <c r="R15" s="215">
        <f t="shared" si="0"/>
        <v>59.3</v>
      </c>
      <c r="S15" s="171">
        <v>2</v>
      </c>
      <c r="T15" s="285"/>
      <c r="U15" s="306">
        <v>34290</v>
      </c>
      <c r="V15" s="178" t="s">
        <v>877</v>
      </c>
      <c r="W15" s="171" t="s">
        <v>294</v>
      </c>
      <c r="X15" s="171" t="s">
        <v>11</v>
      </c>
      <c r="Y15" s="179">
        <v>49.3</v>
      </c>
      <c r="Z15" s="171" t="s">
        <v>878</v>
      </c>
      <c r="AA15" s="171" t="s">
        <v>27</v>
      </c>
      <c r="AB15" s="171" t="s">
        <v>11</v>
      </c>
      <c r="AC15" s="171">
        <v>10</v>
      </c>
      <c r="AD15" s="178"/>
      <c r="AG15" s="179"/>
      <c r="AL15" s="178"/>
      <c r="AO15" s="179"/>
      <c r="AP15" s="178"/>
      <c r="AS15" s="179"/>
      <c r="AW15" s="179"/>
      <c r="BA15" s="180"/>
    </row>
    <row r="16" spans="1:53" s="171" customFormat="1" x14ac:dyDescent="0.15">
      <c r="A16" s="171">
        <v>1994</v>
      </c>
      <c r="B16" s="306"/>
      <c r="C16" s="410" t="s">
        <v>881</v>
      </c>
      <c r="D16" s="410"/>
      <c r="E16" s="171">
        <v>74</v>
      </c>
      <c r="G16" s="233">
        <v>19</v>
      </c>
      <c r="J16" s="241">
        <v>19</v>
      </c>
      <c r="K16" s="214">
        <f t="shared" si="1"/>
        <v>100</v>
      </c>
      <c r="L16" s="214">
        <f t="shared" si="4"/>
        <v>0</v>
      </c>
      <c r="M16" s="214">
        <f t="shared" si="2"/>
        <v>0</v>
      </c>
      <c r="N16" s="235">
        <f t="shared" si="3"/>
        <v>100</v>
      </c>
      <c r="O16" s="213">
        <v>59.3</v>
      </c>
      <c r="P16" s="214"/>
      <c r="Q16" s="214"/>
      <c r="R16" s="215">
        <f t="shared" si="0"/>
        <v>59.3</v>
      </c>
      <c r="S16" s="171">
        <v>2</v>
      </c>
      <c r="T16" s="285"/>
      <c r="U16" s="306"/>
      <c r="V16" s="178" t="s">
        <v>877</v>
      </c>
      <c r="W16" s="171" t="s">
        <v>294</v>
      </c>
      <c r="X16" s="171" t="s">
        <v>11</v>
      </c>
      <c r="Y16" s="179">
        <v>49.3</v>
      </c>
      <c r="Z16" s="171" t="s">
        <v>878</v>
      </c>
      <c r="AA16" s="171" t="s">
        <v>27</v>
      </c>
      <c r="AB16" s="171" t="s">
        <v>11</v>
      </c>
      <c r="AC16" s="171">
        <v>10</v>
      </c>
      <c r="AD16" s="178"/>
      <c r="AG16" s="179"/>
      <c r="AL16" s="178"/>
      <c r="AO16" s="179"/>
      <c r="AP16" s="178"/>
      <c r="AS16" s="179"/>
      <c r="AW16" s="179"/>
      <c r="BA16" s="180"/>
    </row>
    <row r="17" spans="1:53" s="29" customFormat="1" x14ac:dyDescent="0.15">
      <c r="A17" s="29">
        <v>1994</v>
      </c>
      <c r="B17" s="277">
        <v>34409</v>
      </c>
      <c r="C17" s="411" t="s">
        <v>1202</v>
      </c>
      <c r="D17" s="411"/>
      <c r="E17" s="29">
        <v>271</v>
      </c>
      <c r="F17" s="29">
        <v>5</v>
      </c>
      <c r="G17" s="66">
        <v>6</v>
      </c>
      <c r="H17" s="29">
        <v>5</v>
      </c>
      <c r="I17" s="29">
        <v>7</v>
      </c>
      <c r="J17" s="73">
        <v>18</v>
      </c>
      <c r="K17" s="47">
        <f t="shared" si="1"/>
        <v>33.333333333333329</v>
      </c>
      <c r="L17" s="47">
        <f t="shared" si="4"/>
        <v>27.777777777777779</v>
      </c>
      <c r="M17" s="47">
        <f t="shared" si="2"/>
        <v>38.888888888888893</v>
      </c>
      <c r="N17" s="68">
        <f t="shared" si="3"/>
        <v>100</v>
      </c>
      <c r="O17" s="46">
        <v>13.3</v>
      </c>
      <c r="P17" s="47">
        <v>12</v>
      </c>
      <c r="Q17" s="47">
        <v>19.3</v>
      </c>
      <c r="R17" s="48">
        <f t="shared" si="0"/>
        <v>44.6</v>
      </c>
      <c r="S17" s="29">
        <v>5</v>
      </c>
      <c r="T17" s="286"/>
      <c r="U17" s="277">
        <v>34409</v>
      </c>
      <c r="V17" s="38" t="s">
        <v>882</v>
      </c>
      <c r="W17" s="29" t="s">
        <v>979</v>
      </c>
      <c r="X17" s="29" t="s">
        <v>12</v>
      </c>
      <c r="Y17" s="39">
        <v>19.3</v>
      </c>
      <c r="Z17" s="29" t="s">
        <v>883</v>
      </c>
      <c r="AA17" s="29" t="s">
        <v>17</v>
      </c>
      <c r="AB17" s="29" t="s">
        <v>18</v>
      </c>
      <c r="AC17" s="29">
        <v>12</v>
      </c>
      <c r="AD17" s="38" t="s">
        <v>1203</v>
      </c>
      <c r="AE17" s="29" t="s">
        <v>327</v>
      </c>
      <c r="AF17" s="29" t="s">
        <v>11</v>
      </c>
      <c r="AG17" s="39">
        <v>5.3</v>
      </c>
      <c r="AH17" s="29" t="s">
        <v>1053</v>
      </c>
      <c r="AI17" s="29" t="s">
        <v>106</v>
      </c>
      <c r="AJ17" s="29" t="s">
        <v>11</v>
      </c>
      <c r="AK17" s="29">
        <v>4.7</v>
      </c>
      <c r="AL17" s="38" t="s">
        <v>1204</v>
      </c>
      <c r="AM17" s="29" t="s">
        <v>327</v>
      </c>
      <c r="AN17" s="29" t="s">
        <v>11</v>
      </c>
      <c r="AO17" s="39">
        <v>3.3</v>
      </c>
      <c r="AP17" s="38"/>
      <c r="AS17" s="39"/>
      <c r="AW17" s="39"/>
      <c r="BA17" s="40"/>
    </row>
    <row r="18" spans="1:53" s="171" customFormat="1" x14ac:dyDescent="0.15">
      <c r="A18" s="171">
        <v>1994</v>
      </c>
      <c r="B18" s="306">
        <v>34680</v>
      </c>
      <c r="C18" s="410" t="s">
        <v>1205</v>
      </c>
      <c r="D18" s="410"/>
      <c r="E18" s="171">
        <f>365-E17-E16</f>
        <v>20</v>
      </c>
      <c r="F18" s="171">
        <v>1</v>
      </c>
      <c r="G18" s="233">
        <v>14</v>
      </c>
      <c r="I18" s="171">
        <v>4</v>
      </c>
      <c r="J18" s="241">
        <v>18</v>
      </c>
      <c r="K18" s="214">
        <f t="shared" si="1"/>
        <v>77.777777777777786</v>
      </c>
      <c r="L18" s="214">
        <f t="shared" si="4"/>
        <v>0</v>
      </c>
      <c r="M18" s="214">
        <f t="shared" si="2"/>
        <v>22.222222222222221</v>
      </c>
      <c r="N18" s="235">
        <f t="shared" si="3"/>
        <v>100</v>
      </c>
      <c r="O18" s="213">
        <v>46.5</v>
      </c>
      <c r="P18" s="214"/>
      <c r="Q18" s="214">
        <v>8.1</v>
      </c>
      <c r="R18" s="215">
        <f t="shared" si="0"/>
        <v>54.6</v>
      </c>
      <c r="S18" s="171">
        <v>2</v>
      </c>
      <c r="T18" s="285">
        <v>34608</v>
      </c>
      <c r="U18" s="306">
        <v>34680</v>
      </c>
      <c r="V18" s="178" t="s">
        <v>877</v>
      </c>
      <c r="W18" s="171" t="s">
        <v>294</v>
      </c>
      <c r="X18" s="171" t="s">
        <v>11</v>
      </c>
      <c r="Y18" s="179">
        <v>40.5</v>
      </c>
      <c r="Z18" s="171" t="s">
        <v>887</v>
      </c>
      <c r="AA18" s="171" t="s">
        <v>305</v>
      </c>
      <c r="AB18" s="171" t="s">
        <v>12</v>
      </c>
      <c r="AC18" s="171">
        <v>8.1</v>
      </c>
      <c r="AD18" s="178" t="s">
        <v>878</v>
      </c>
      <c r="AE18" s="171" t="s">
        <v>27</v>
      </c>
      <c r="AF18" s="171" t="s">
        <v>11</v>
      </c>
      <c r="AG18" s="179">
        <v>6</v>
      </c>
      <c r="AL18" s="178"/>
      <c r="AO18" s="179"/>
      <c r="AP18" s="178"/>
      <c r="AS18" s="179"/>
      <c r="AW18" s="179"/>
      <c r="BA18" s="180"/>
    </row>
    <row r="19" spans="1:53" s="171" customFormat="1" x14ac:dyDescent="0.15">
      <c r="A19" s="171">
        <v>1995</v>
      </c>
      <c r="B19" s="306"/>
      <c r="C19" s="410" t="s">
        <v>1205</v>
      </c>
      <c r="D19" s="410"/>
      <c r="E19" s="171">
        <v>0</v>
      </c>
      <c r="G19" s="233">
        <v>14</v>
      </c>
      <c r="I19" s="171">
        <v>4</v>
      </c>
      <c r="J19" s="241">
        <v>18</v>
      </c>
      <c r="K19" s="214">
        <f t="shared" si="1"/>
        <v>77.777777777777786</v>
      </c>
      <c r="L19" s="214">
        <f t="shared" si="4"/>
        <v>0</v>
      </c>
      <c r="M19" s="214">
        <f t="shared" si="2"/>
        <v>22.222222222222221</v>
      </c>
      <c r="N19" s="235">
        <f t="shared" si="3"/>
        <v>100</v>
      </c>
      <c r="O19" s="213">
        <v>46.5</v>
      </c>
      <c r="P19" s="214"/>
      <c r="Q19" s="214">
        <v>8.1</v>
      </c>
      <c r="R19" s="215">
        <f t="shared" si="0"/>
        <v>54.6</v>
      </c>
      <c r="S19" s="171">
        <v>2</v>
      </c>
      <c r="T19" s="285"/>
      <c r="U19" s="283"/>
      <c r="V19" s="178" t="s">
        <v>877</v>
      </c>
      <c r="W19" s="171" t="s">
        <v>294</v>
      </c>
      <c r="X19" s="171" t="s">
        <v>11</v>
      </c>
      <c r="Y19" s="179">
        <v>40.5</v>
      </c>
      <c r="Z19" s="171" t="s">
        <v>887</v>
      </c>
      <c r="AA19" s="171" t="s">
        <v>305</v>
      </c>
      <c r="AB19" s="171" t="s">
        <v>12</v>
      </c>
      <c r="AC19" s="171">
        <v>8.1</v>
      </c>
      <c r="AD19" s="178" t="s">
        <v>878</v>
      </c>
      <c r="AE19" s="171" t="s">
        <v>27</v>
      </c>
      <c r="AF19" s="171" t="s">
        <v>11</v>
      </c>
      <c r="AG19" s="179">
        <v>6</v>
      </c>
      <c r="AL19" s="178"/>
      <c r="AO19" s="179"/>
      <c r="AP19" s="178"/>
      <c r="AS19" s="179"/>
      <c r="AW19" s="179"/>
      <c r="BA19" s="180"/>
    </row>
    <row r="20" spans="1:53" s="171" customFormat="1" x14ac:dyDescent="0.15">
      <c r="A20" s="171">
        <v>1995</v>
      </c>
      <c r="B20" s="306"/>
      <c r="C20" s="410" t="s">
        <v>1205</v>
      </c>
      <c r="D20" s="410"/>
      <c r="E20" s="171">
        <v>365</v>
      </c>
      <c r="G20" s="233">
        <v>14</v>
      </c>
      <c r="I20" s="171">
        <v>4</v>
      </c>
      <c r="J20" s="241">
        <v>18</v>
      </c>
      <c r="K20" s="214">
        <f t="shared" si="1"/>
        <v>77.777777777777786</v>
      </c>
      <c r="L20" s="214">
        <f t="shared" si="4"/>
        <v>0</v>
      </c>
      <c r="M20" s="214">
        <f t="shared" si="2"/>
        <v>22.222222222222221</v>
      </c>
      <c r="N20" s="235">
        <f t="shared" si="3"/>
        <v>100</v>
      </c>
      <c r="O20" s="213">
        <v>46.5</v>
      </c>
      <c r="P20" s="214"/>
      <c r="Q20" s="214">
        <v>8.1</v>
      </c>
      <c r="R20" s="215">
        <f t="shared" si="0"/>
        <v>54.6</v>
      </c>
      <c r="S20" s="171">
        <v>2</v>
      </c>
      <c r="T20" s="285"/>
      <c r="U20" s="283"/>
      <c r="V20" s="178" t="s">
        <v>877</v>
      </c>
      <c r="W20" s="171" t="s">
        <v>294</v>
      </c>
      <c r="X20" s="171" t="s">
        <v>11</v>
      </c>
      <c r="Y20" s="179">
        <v>40.5</v>
      </c>
      <c r="Z20" s="171" t="s">
        <v>887</v>
      </c>
      <c r="AA20" s="171" t="s">
        <v>305</v>
      </c>
      <c r="AB20" s="171" t="s">
        <v>12</v>
      </c>
      <c r="AC20" s="171">
        <v>8.1</v>
      </c>
      <c r="AD20" s="178" t="s">
        <v>878</v>
      </c>
      <c r="AE20" s="171" t="s">
        <v>27</v>
      </c>
      <c r="AF20" s="171" t="s">
        <v>11</v>
      </c>
      <c r="AG20" s="179">
        <v>6</v>
      </c>
      <c r="AL20" s="178"/>
      <c r="AO20" s="179"/>
      <c r="AP20" s="178"/>
      <c r="AS20" s="179"/>
      <c r="AW20" s="179"/>
      <c r="BA20" s="180"/>
    </row>
    <row r="21" spans="1:53" s="171" customFormat="1" x14ac:dyDescent="0.15">
      <c r="A21" s="171">
        <v>1996</v>
      </c>
      <c r="B21" s="306"/>
      <c r="C21" s="410" t="s">
        <v>1205</v>
      </c>
      <c r="D21" s="410"/>
      <c r="E21" s="171">
        <v>0</v>
      </c>
      <c r="G21" s="233">
        <v>14</v>
      </c>
      <c r="I21" s="171">
        <v>4</v>
      </c>
      <c r="J21" s="241">
        <v>18</v>
      </c>
      <c r="K21" s="214">
        <f t="shared" si="1"/>
        <v>77.777777777777786</v>
      </c>
      <c r="L21" s="214">
        <f t="shared" si="4"/>
        <v>0</v>
      </c>
      <c r="M21" s="214">
        <f t="shared" si="2"/>
        <v>22.222222222222221</v>
      </c>
      <c r="N21" s="235">
        <f t="shared" si="3"/>
        <v>100</v>
      </c>
      <c r="O21" s="213">
        <v>46.5</v>
      </c>
      <c r="P21" s="214"/>
      <c r="Q21" s="214">
        <v>8.1</v>
      </c>
      <c r="R21" s="215">
        <f t="shared" si="0"/>
        <v>54.6</v>
      </c>
      <c r="S21" s="171">
        <v>2</v>
      </c>
      <c r="T21" s="285"/>
      <c r="U21" s="283"/>
      <c r="V21" s="178" t="s">
        <v>877</v>
      </c>
      <c r="W21" s="171" t="s">
        <v>294</v>
      </c>
      <c r="X21" s="171" t="s">
        <v>11</v>
      </c>
      <c r="Y21" s="179">
        <v>40.5</v>
      </c>
      <c r="Z21" s="171" t="s">
        <v>887</v>
      </c>
      <c r="AA21" s="171" t="s">
        <v>305</v>
      </c>
      <c r="AB21" s="171" t="s">
        <v>12</v>
      </c>
      <c r="AC21" s="171">
        <v>8.1</v>
      </c>
      <c r="AD21" s="178" t="s">
        <v>878</v>
      </c>
      <c r="AE21" s="171" t="s">
        <v>27</v>
      </c>
      <c r="AF21" s="171" t="s">
        <v>11</v>
      </c>
      <c r="AG21" s="179">
        <v>6</v>
      </c>
      <c r="AL21" s="178"/>
      <c r="AO21" s="179"/>
      <c r="AP21" s="178"/>
      <c r="AS21" s="179"/>
      <c r="AW21" s="179"/>
      <c r="BA21" s="180"/>
    </row>
    <row r="22" spans="1:53" s="171" customFormat="1" x14ac:dyDescent="0.15">
      <c r="A22" s="171">
        <v>1996</v>
      </c>
      <c r="B22" s="306"/>
      <c r="C22" s="410" t="s">
        <v>1205</v>
      </c>
      <c r="D22" s="410"/>
      <c r="E22" s="171">
        <v>366</v>
      </c>
      <c r="G22" s="233">
        <v>14</v>
      </c>
      <c r="I22" s="171">
        <v>4</v>
      </c>
      <c r="J22" s="241">
        <v>18</v>
      </c>
      <c r="K22" s="214">
        <f t="shared" si="1"/>
        <v>77.777777777777786</v>
      </c>
      <c r="L22" s="214">
        <f t="shared" si="4"/>
        <v>0</v>
      </c>
      <c r="M22" s="214">
        <f t="shared" si="2"/>
        <v>22.222222222222221</v>
      </c>
      <c r="N22" s="235">
        <f t="shared" si="3"/>
        <v>100</v>
      </c>
      <c r="O22" s="213">
        <v>46.5</v>
      </c>
      <c r="P22" s="214"/>
      <c r="Q22" s="214">
        <v>8.1</v>
      </c>
      <c r="R22" s="215">
        <f t="shared" si="0"/>
        <v>54.6</v>
      </c>
      <c r="S22" s="171">
        <v>2</v>
      </c>
      <c r="T22" s="285"/>
      <c r="U22" s="283"/>
      <c r="V22" s="178" t="s">
        <v>877</v>
      </c>
      <c r="W22" s="171" t="s">
        <v>294</v>
      </c>
      <c r="X22" s="171" t="s">
        <v>11</v>
      </c>
      <c r="Y22" s="179">
        <v>40.5</v>
      </c>
      <c r="Z22" s="171" t="s">
        <v>887</v>
      </c>
      <c r="AA22" s="171" t="s">
        <v>305</v>
      </c>
      <c r="AB22" s="171" t="s">
        <v>12</v>
      </c>
      <c r="AC22" s="171">
        <v>8.1</v>
      </c>
      <c r="AD22" s="178" t="s">
        <v>878</v>
      </c>
      <c r="AE22" s="171" t="s">
        <v>27</v>
      </c>
      <c r="AF22" s="171" t="s">
        <v>11</v>
      </c>
      <c r="AG22" s="179">
        <v>6</v>
      </c>
      <c r="AL22" s="178"/>
      <c r="AO22" s="179"/>
      <c r="AP22" s="178"/>
      <c r="AS22" s="179"/>
      <c r="AW22" s="179"/>
      <c r="BA22" s="180"/>
    </row>
    <row r="23" spans="1:53" s="171" customFormat="1" x14ac:dyDescent="0.15">
      <c r="A23" s="171">
        <v>1997</v>
      </c>
      <c r="B23" s="306"/>
      <c r="C23" s="410" t="s">
        <v>1205</v>
      </c>
      <c r="D23" s="410"/>
      <c r="E23" s="171">
        <v>0</v>
      </c>
      <c r="G23" s="233">
        <v>14</v>
      </c>
      <c r="I23" s="171">
        <v>4</v>
      </c>
      <c r="J23" s="241">
        <v>18</v>
      </c>
      <c r="K23" s="214">
        <f t="shared" si="1"/>
        <v>77.777777777777786</v>
      </c>
      <c r="L23" s="214">
        <f t="shared" si="4"/>
        <v>0</v>
      </c>
      <c r="M23" s="214">
        <f t="shared" si="2"/>
        <v>22.222222222222221</v>
      </c>
      <c r="N23" s="235">
        <f t="shared" si="3"/>
        <v>100</v>
      </c>
      <c r="O23" s="213">
        <v>46.5</v>
      </c>
      <c r="P23" s="214"/>
      <c r="Q23" s="214">
        <v>8.1</v>
      </c>
      <c r="R23" s="215">
        <f t="shared" si="0"/>
        <v>54.6</v>
      </c>
      <c r="S23" s="171">
        <v>2</v>
      </c>
      <c r="T23" s="285"/>
      <c r="U23" s="283"/>
      <c r="V23" s="178" t="s">
        <v>877</v>
      </c>
      <c r="W23" s="171" t="s">
        <v>294</v>
      </c>
      <c r="X23" s="171" t="s">
        <v>11</v>
      </c>
      <c r="Y23" s="179">
        <v>40.5</v>
      </c>
      <c r="Z23" s="171" t="s">
        <v>887</v>
      </c>
      <c r="AA23" s="171" t="s">
        <v>305</v>
      </c>
      <c r="AB23" s="171" t="s">
        <v>12</v>
      </c>
      <c r="AC23" s="171">
        <v>8.1</v>
      </c>
      <c r="AD23" s="178" t="s">
        <v>878</v>
      </c>
      <c r="AE23" s="171" t="s">
        <v>27</v>
      </c>
      <c r="AF23" s="171" t="s">
        <v>11</v>
      </c>
      <c r="AG23" s="179">
        <v>6</v>
      </c>
      <c r="AL23" s="178"/>
      <c r="AO23" s="179"/>
      <c r="AP23" s="178"/>
      <c r="AS23" s="179"/>
      <c r="AW23" s="179"/>
      <c r="BA23" s="180"/>
    </row>
    <row r="24" spans="1:53" s="171" customFormat="1" x14ac:dyDescent="0.15">
      <c r="A24" s="171">
        <v>1997</v>
      </c>
      <c r="B24" s="306"/>
      <c r="C24" s="410" t="s">
        <v>1205</v>
      </c>
      <c r="D24" s="410"/>
      <c r="E24" s="171">
        <v>365</v>
      </c>
      <c r="G24" s="233">
        <v>14</v>
      </c>
      <c r="I24" s="171">
        <v>4</v>
      </c>
      <c r="J24" s="241">
        <v>18</v>
      </c>
      <c r="K24" s="214">
        <f t="shared" si="1"/>
        <v>77.777777777777786</v>
      </c>
      <c r="L24" s="214">
        <f t="shared" si="4"/>
        <v>0</v>
      </c>
      <c r="M24" s="214">
        <f t="shared" si="2"/>
        <v>22.222222222222221</v>
      </c>
      <c r="N24" s="235">
        <f t="shared" si="3"/>
        <v>100</v>
      </c>
      <c r="O24" s="213">
        <v>46.5</v>
      </c>
      <c r="P24" s="214"/>
      <c r="Q24" s="214">
        <v>8.1</v>
      </c>
      <c r="R24" s="215">
        <f t="shared" si="0"/>
        <v>54.6</v>
      </c>
      <c r="S24" s="171">
        <v>2</v>
      </c>
      <c r="T24" s="285"/>
      <c r="U24" s="283"/>
      <c r="V24" s="178" t="s">
        <v>877</v>
      </c>
      <c r="W24" s="171" t="s">
        <v>294</v>
      </c>
      <c r="X24" s="171" t="s">
        <v>11</v>
      </c>
      <c r="Y24" s="179">
        <v>40.5</v>
      </c>
      <c r="Z24" s="171" t="s">
        <v>887</v>
      </c>
      <c r="AA24" s="171" t="s">
        <v>305</v>
      </c>
      <c r="AB24" s="171" t="s">
        <v>12</v>
      </c>
      <c r="AC24" s="171">
        <v>8.1</v>
      </c>
      <c r="AD24" s="178" t="s">
        <v>878</v>
      </c>
      <c r="AE24" s="171" t="s">
        <v>27</v>
      </c>
      <c r="AF24" s="171" t="s">
        <v>11</v>
      </c>
      <c r="AG24" s="179">
        <v>6</v>
      </c>
      <c r="AL24" s="178"/>
      <c r="AO24" s="179"/>
      <c r="AP24" s="178"/>
      <c r="AS24" s="179"/>
      <c r="AW24" s="179"/>
      <c r="BA24" s="180"/>
    </row>
    <row r="25" spans="1:53" s="171" customFormat="1" x14ac:dyDescent="0.15">
      <c r="A25" s="171">
        <v>1998</v>
      </c>
      <c r="B25" s="306"/>
      <c r="C25" s="410" t="s">
        <v>1205</v>
      </c>
      <c r="D25" s="410"/>
      <c r="E25" s="171">
        <v>57</v>
      </c>
      <c r="G25" s="233">
        <v>14</v>
      </c>
      <c r="I25" s="171">
        <v>4</v>
      </c>
      <c r="J25" s="241">
        <v>18</v>
      </c>
      <c r="K25" s="214">
        <f t="shared" si="1"/>
        <v>77.777777777777786</v>
      </c>
      <c r="L25" s="214">
        <f t="shared" si="4"/>
        <v>0</v>
      </c>
      <c r="M25" s="214">
        <f t="shared" si="2"/>
        <v>22.222222222222221</v>
      </c>
      <c r="N25" s="235">
        <f t="shared" si="3"/>
        <v>100</v>
      </c>
      <c r="O25" s="213">
        <v>46.5</v>
      </c>
      <c r="P25" s="214"/>
      <c r="Q25" s="214">
        <v>8.1</v>
      </c>
      <c r="R25" s="215">
        <f t="shared" si="0"/>
        <v>54.6</v>
      </c>
      <c r="S25" s="171">
        <v>2</v>
      </c>
      <c r="T25" s="285"/>
      <c r="U25" s="283"/>
      <c r="V25" s="178" t="s">
        <v>877</v>
      </c>
      <c r="W25" s="171" t="s">
        <v>294</v>
      </c>
      <c r="X25" s="171" t="s">
        <v>11</v>
      </c>
      <c r="Y25" s="179">
        <v>40.5</v>
      </c>
      <c r="Z25" s="171" t="s">
        <v>887</v>
      </c>
      <c r="AA25" s="171" t="s">
        <v>305</v>
      </c>
      <c r="AB25" s="171" t="s">
        <v>12</v>
      </c>
      <c r="AC25" s="171">
        <v>8.1</v>
      </c>
      <c r="AD25" s="178" t="s">
        <v>878</v>
      </c>
      <c r="AE25" s="171" t="s">
        <v>27</v>
      </c>
      <c r="AF25" s="171" t="s">
        <v>11</v>
      </c>
      <c r="AG25" s="179">
        <v>6</v>
      </c>
      <c r="AL25" s="178"/>
      <c r="AO25" s="179"/>
      <c r="AP25" s="178"/>
      <c r="AS25" s="179"/>
      <c r="AW25" s="179"/>
      <c r="BA25" s="180"/>
    </row>
    <row r="26" spans="1:53" s="171" customFormat="1" x14ac:dyDescent="0.15">
      <c r="A26" s="171">
        <v>1998</v>
      </c>
      <c r="B26" s="305">
        <v>35853</v>
      </c>
      <c r="C26" s="410" t="s">
        <v>1205</v>
      </c>
      <c r="D26" s="410"/>
      <c r="E26" s="171">
        <v>221</v>
      </c>
      <c r="F26" s="244">
        <v>0</v>
      </c>
      <c r="G26" s="233">
        <v>13</v>
      </c>
      <c r="I26" s="171">
        <v>4</v>
      </c>
      <c r="J26" s="241">
        <v>18</v>
      </c>
      <c r="K26" s="214">
        <f>G26/J26*100</f>
        <v>72.222222222222214</v>
      </c>
      <c r="L26" s="214">
        <f>H26/J26*100</f>
        <v>0</v>
      </c>
      <c r="M26" s="214">
        <f>I26/J26*100</f>
        <v>22.222222222222221</v>
      </c>
      <c r="N26" s="235">
        <f>SUM(K26:M26)</f>
        <v>94.444444444444429</v>
      </c>
      <c r="O26" s="213">
        <v>46.5</v>
      </c>
      <c r="P26" s="214"/>
      <c r="Q26" s="214">
        <v>8.1</v>
      </c>
      <c r="R26" s="215">
        <f>SUM(O26:Q26)</f>
        <v>54.6</v>
      </c>
      <c r="S26" s="171">
        <v>2</v>
      </c>
      <c r="T26" s="285"/>
      <c r="U26" s="283"/>
      <c r="V26" s="178" t="s">
        <v>877</v>
      </c>
      <c r="W26" s="171" t="s">
        <v>294</v>
      </c>
      <c r="X26" s="171" t="s">
        <v>11</v>
      </c>
      <c r="Y26" s="179">
        <v>40.5</v>
      </c>
      <c r="Z26" s="171" t="s">
        <v>887</v>
      </c>
      <c r="AA26" s="171" t="s">
        <v>305</v>
      </c>
      <c r="AB26" s="171" t="s">
        <v>12</v>
      </c>
      <c r="AC26" s="171">
        <v>8.1</v>
      </c>
      <c r="AD26" s="178" t="s">
        <v>878</v>
      </c>
      <c r="AE26" s="171" t="s">
        <v>27</v>
      </c>
      <c r="AF26" s="171" t="s">
        <v>11</v>
      </c>
      <c r="AG26" s="179">
        <v>6</v>
      </c>
      <c r="AL26" s="178"/>
      <c r="AO26" s="179"/>
      <c r="AP26" s="178"/>
      <c r="AS26" s="179"/>
      <c r="AW26" s="179"/>
      <c r="BA26" s="180"/>
    </row>
    <row r="27" spans="1:53" s="171" customFormat="1" x14ac:dyDescent="0.15">
      <c r="A27" s="171">
        <v>1998</v>
      </c>
      <c r="B27" s="305">
        <v>36074</v>
      </c>
      <c r="C27" s="410" t="s">
        <v>1205</v>
      </c>
      <c r="D27" s="410"/>
      <c r="E27" s="171">
        <v>55</v>
      </c>
      <c r="F27" s="244">
        <v>0</v>
      </c>
      <c r="G27" s="233">
        <v>12</v>
      </c>
      <c r="I27" s="171">
        <v>5</v>
      </c>
      <c r="J27" s="241">
        <v>18</v>
      </c>
      <c r="K27" s="214">
        <f t="shared" si="1"/>
        <v>66.666666666666657</v>
      </c>
      <c r="L27" s="214">
        <f t="shared" si="4"/>
        <v>0</v>
      </c>
      <c r="M27" s="214">
        <f t="shared" si="2"/>
        <v>27.777777777777779</v>
      </c>
      <c r="N27" s="235">
        <f t="shared" si="3"/>
        <v>94.444444444444429</v>
      </c>
      <c r="O27" s="213">
        <v>46.5</v>
      </c>
      <c r="P27" s="214"/>
      <c r="Q27" s="214">
        <v>8.1</v>
      </c>
      <c r="R27" s="215">
        <f t="shared" si="0"/>
        <v>54.6</v>
      </c>
      <c r="S27" s="171">
        <v>2</v>
      </c>
      <c r="T27" s="285"/>
      <c r="U27" s="283"/>
      <c r="V27" s="178" t="s">
        <v>877</v>
      </c>
      <c r="W27" s="171" t="s">
        <v>294</v>
      </c>
      <c r="X27" s="171" t="s">
        <v>11</v>
      </c>
      <c r="Y27" s="179">
        <v>40.5</v>
      </c>
      <c r="Z27" s="171" t="s">
        <v>887</v>
      </c>
      <c r="AA27" s="171" t="s">
        <v>305</v>
      </c>
      <c r="AB27" s="171" t="s">
        <v>12</v>
      </c>
      <c r="AC27" s="171">
        <v>8.1</v>
      </c>
      <c r="AD27" s="178" t="s">
        <v>878</v>
      </c>
      <c r="AE27" s="171" t="s">
        <v>27</v>
      </c>
      <c r="AF27" s="171" t="s">
        <v>11</v>
      </c>
      <c r="AG27" s="179">
        <v>6</v>
      </c>
      <c r="AL27" s="178"/>
      <c r="AO27" s="179"/>
      <c r="AP27" s="178"/>
      <c r="AS27" s="179"/>
      <c r="AW27" s="179"/>
      <c r="BA27" s="180"/>
    </row>
    <row r="28" spans="1:53" s="29" customFormat="1" x14ac:dyDescent="0.15">
      <c r="A28" s="29">
        <v>1998</v>
      </c>
      <c r="B28" s="277">
        <v>36129</v>
      </c>
      <c r="C28" s="411" t="s">
        <v>886</v>
      </c>
      <c r="D28" s="411"/>
      <c r="E28" s="29">
        <v>32</v>
      </c>
      <c r="F28" s="29">
        <v>1</v>
      </c>
      <c r="G28" s="66">
        <v>11</v>
      </c>
      <c r="H28" s="29">
        <v>3</v>
      </c>
      <c r="I28" s="29">
        <v>6</v>
      </c>
      <c r="J28" s="73">
        <v>20</v>
      </c>
      <c r="K28" s="47">
        <f t="shared" si="1"/>
        <v>55.000000000000007</v>
      </c>
      <c r="L28" s="47">
        <f t="shared" si="4"/>
        <v>15</v>
      </c>
      <c r="M28" s="47">
        <f t="shared" si="2"/>
        <v>30</v>
      </c>
      <c r="N28" s="68">
        <f t="shared" si="3"/>
        <v>100</v>
      </c>
      <c r="O28" s="46">
        <v>36.700000000000003</v>
      </c>
      <c r="P28" s="47">
        <v>10</v>
      </c>
      <c r="Q28" s="47">
        <v>15.3</v>
      </c>
      <c r="R28" s="48">
        <f t="shared" si="0"/>
        <v>62</v>
      </c>
      <c r="S28" s="29">
        <v>3</v>
      </c>
      <c r="T28" s="286">
        <v>36069</v>
      </c>
      <c r="U28" s="277">
        <v>36129</v>
      </c>
      <c r="V28" s="38" t="s">
        <v>884</v>
      </c>
      <c r="W28" s="29" t="s">
        <v>306</v>
      </c>
      <c r="X28" s="29" t="s">
        <v>11</v>
      </c>
      <c r="Y28" s="39">
        <v>28</v>
      </c>
      <c r="Z28" s="29" t="s">
        <v>882</v>
      </c>
      <c r="AA28" s="29" t="s">
        <v>115</v>
      </c>
      <c r="AB28" s="29" t="s">
        <v>12</v>
      </c>
      <c r="AC28" s="29">
        <v>15.3</v>
      </c>
      <c r="AD28" s="38" t="s">
        <v>891</v>
      </c>
      <c r="AE28" s="29" t="s">
        <v>93</v>
      </c>
      <c r="AF28" s="29" t="s">
        <v>18</v>
      </c>
      <c r="AG28" s="39">
        <v>10</v>
      </c>
      <c r="AH28" s="29" t="s">
        <v>888</v>
      </c>
      <c r="AI28" s="29" t="s">
        <v>892</v>
      </c>
      <c r="AJ28" s="29" t="s">
        <v>11</v>
      </c>
      <c r="AK28" s="29">
        <v>8.6999999999999993</v>
      </c>
      <c r="AL28" s="38"/>
      <c r="AO28" s="39"/>
      <c r="AP28" s="38"/>
      <c r="AS28" s="39"/>
      <c r="AW28" s="39"/>
      <c r="BA28" s="40"/>
    </row>
    <row r="29" spans="1:53" s="29" customFormat="1" x14ac:dyDescent="0.15">
      <c r="A29" s="29">
        <v>1999</v>
      </c>
      <c r="B29" s="277"/>
      <c r="C29" s="411" t="s">
        <v>886</v>
      </c>
      <c r="D29" s="411"/>
      <c r="E29" s="29">
        <v>0</v>
      </c>
      <c r="G29" s="66">
        <v>11</v>
      </c>
      <c r="H29" s="29">
        <v>3</v>
      </c>
      <c r="I29" s="29">
        <v>6</v>
      </c>
      <c r="J29" s="73">
        <v>20</v>
      </c>
      <c r="K29" s="47">
        <f t="shared" si="1"/>
        <v>55.000000000000007</v>
      </c>
      <c r="L29" s="47">
        <f t="shared" si="4"/>
        <v>15</v>
      </c>
      <c r="M29" s="47">
        <f t="shared" si="2"/>
        <v>30</v>
      </c>
      <c r="N29" s="68">
        <f t="shared" si="3"/>
        <v>100</v>
      </c>
      <c r="O29" s="46">
        <v>36.700000000000003</v>
      </c>
      <c r="P29" s="47">
        <v>10</v>
      </c>
      <c r="Q29" s="47">
        <v>15.3</v>
      </c>
      <c r="R29" s="48">
        <f t="shared" si="0"/>
        <v>62</v>
      </c>
      <c r="S29" s="29">
        <v>3</v>
      </c>
      <c r="T29" s="286"/>
      <c r="U29" s="295"/>
      <c r="V29" s="38" t="s">
        <v>884</v>
      </c>
      <c r="W29" s="29" t="s">
        <v>306</v>
      </c>
      <c r="X29" s="29" t="s">
        <v>11</v>
      </c>
      <c r="Y29" s="39">
        <v>28</v>
      </c>
      <c r="Z29" s="29" t="s">
        <v>882</v>
      </c>
      <c r="AA29" s="29" t="s">
        <v>115</v>
      </c>
      <c r="AB29" s="29" t="s">
        <v>12</v>
      </c>
      <c r="AC29" s="29">
        <v>15.3</v>
      </c>
      <c r="AD29" s="38" t="s">
        <v>891</v>
      </c>
      <c r="AE29" s="29" t="s">
        <v>93</v>
      </c>
      <c r="AF29" s="29" t="s">
        <v>18</v>
      </c>
      <c r="AG29" s="39">
        <v>10</v>
      </c>
      <c r="AH29" s="29" t="s">
        <v>888</v>
      </c>
      <c r="AI29" s="29" t="s">
        <v>892</v>
      </c>
      <c r="AJ29" s="29" t="s">
        <v>11</v>
      </c>
      <c r="AK29" s="29">
        <v>8.6999999999999993</v>
      </c>
      <c r="AL29" s="38"/>
      <c r="AO29" s="39"/>
      <c r="AP29" s="38"/>
      <c r="AS29" s="39"/>
      <c r="AW29" s="39"/>
      <c r="BA29" s="40"/>
    </row>
    <row r="30" spans="1:53" s="29" customFormat="1" x14ac:dyDescent="0.15">
      <c r="A30" s="29">
        <v>1999</v>
      </c>
      <c r="B30" s="277"/>
      <c r="C30" s="411" t="s">
        <v>886</v>
      </c>
      <c r="D30" s="411"/>
      <c r="E30" s="29">
        <v>365</v>
      </c>
      <c r="G30" s="66">
        <v>11</v>
      </c>
      <c r="H30" s="29">
        <v>3</v>
      </c>
      <c r="I30" s="29">
        <v>6</v>
      </c>
      <c r="J30" s="73">
        <v>20</v>
      </c>
      <c r="K30" s="47">
        <f t="shared" si="1"/>
        <v>55.000000000000007</v>
      </c>
      <c r="L30" s="47">
        <f t="shared" si="4"/>
        <v>15</v>
      </c>
      <c r="M30" s="47">
        <f t="shared" si="2"/>
        <v>30</v>
      </c>
      <c r="N30" s="68">
        <f t="shared" si="3"/>
        <v>100</v>
      </c>
      <c r="O30" s="46">
        <v>36.700000000000003</v>
      </c>
      <c r="P30" s="47">
        <v>10</v>
      </c>
      <c r="Q30" s="47">
        <v>15.3</v>
      </c>
      <c r="R30" s="48">
        <f t="shared" si="0"/>
        <v>62</v>
      </c>
      <c r="S30" s="29">
        <v>3</v>
      </c>
      <c r="T30" s="286"/>
      <c r="U30" s="295"/>
      <c r="V30" s="38" t="s">
        <v>884</v>
      </c>
      <c r="W30" s="29" t="s">
        <v>306</v>
      </c>
      <c r="X30" s="29" t="s">
        <v>11</v>
      </c>
      <c r="Y30" s="39">
        <v>28</v>
      </c>
      <c r="Z30" s="29" t="s">
        <v>882</v>
      </c>
      <c r="AA30" s="29" t="s">
        <v>115</v>
      </c>
      <c r="AB30" s="29" t="s">
        <v>12</v>
      </c>
      <c r="AC30" s="29">
        <v>15.3</v>
      </c>
      <c r="AD30" s="38" t="s">
        <v>891</v>
      </c>
      <c r="AE30" s="29" t="s">
        <v>93</v>
      </c>
      <c r="AF30" s="29" t="s">
        <v>18</v>
      </c>
      <c r="AG30" s="39">
        <v>10</v>
      </c>
      <c r="AH30" s="29" t="s">
        <v>888</v>
      </c>
      <c r="AI30" s="29" t="s">
        <v>892</v>
      </c>
      <c r="AJ30" s="29" t="s">
        <v>11</v>
      </c>
      <c r="AK30" s="29">
        <v>8.6999999999999993</v>
      </c>
      <c r="AL30" s="38"/>
      <c r="AO30" s="39"/>
      <c r="AP30" s="38"/>
      <c r="AS30" s="39"/>
      <c r="AW30" s="39"/>
      <c r="BA30" s="40"/>
    </row>
    <row r="31" spans="1:53" s="29" customFormat="1" x14ac:dyDescent="0.15">
      <c r="A31" s="29">
        <v>2000</v>
      </c>
      <c r="B31" s="277"/>
      <c r="C31" s="411" t="s">
        <v>886</v>
      </c>
      <c r="D31" s="411"/>
      <c r="E31" s="29">
        <v>0</v>
      </c>
      <c r="G31" s="66">
        <v>11</v>
      </c>
      <c r="H31" s="29">
        <v>3</v>
      </c>
      <c r="I31" s="29">
        <v>6</v>
      </c>
      <c r="J31" s="73">
        <v>20</v>
      </c>
      <c r="K31" s="47">
        <f t="shared" si="1"/>
        <v>55.000000000000007</v>
      </c>
      <c r="L31" s="47">
        <f t="shared" si="4"/>
        <v>15</v>
      </c>
      <c r="M31" s="47">
        <f t="shared" si="2"/>
        <v>30</v>
      </c>
      <c r="N31" s="68">
        <f t="shared" si="3"/>
        <v>100</v>
      </c>
      <c r="O31" s="46">
        <v>36.700000000000003</v>
      </c>
      <c r="P31" s="47">
        <v>10</v>
      </c>
      <c r="Q31" s="47">
        <v>15.3</v>
      </c>
      <c r="R31" s="48">
        <f t="shared" si="0"/>
        <v>62</v>
      </c>
      <c r="S31" s="29">
        <v>3</v>
      </c>
      <c r="T31" s="286"/>
      <c r="U31" s="295"/>
      <c r="V31" s="38" t="s">
        <v>884</v>
      </c>
      <c r="W31" s="29" t="s">
        <v>306</v>
      </c>
      <c r="X31" s="29" t="s">
        <v>11</v>
      </c>
      <c r="Y31" s="39">
        <v>28</v>
      </c>
      <c r="Z31" s="29" t="s">
        <v>882</v>
      </c>
      <c r="AA31" s="29" t="s">
        <v>115</v>
      </c>
      <c r="AB31" s="29" t="s">
        <v>12</v>
      </c>
      <c r="AC31" s="29">
        <v>15.3</v>
      </c>
      <c r="AD31" s="38" t="s">
        <v>891</v>
      </c>
      <c r="AE31" s="29" t="s">
        <v>93</v>
      </c>
      <c r="AF31" s="29" t="s">
        <v>18</v>
      </c>
      <c r="AG31" s="39">
        <v>10</v>
      </c>
      <c r="AH31" s="29" t="s">
        <v>888</v>
      </c>
      <c r="AI31" s="29" t="s">
        <v>892</v>
      </c>
      <c r="AJ31" s="29" t="s">
        <v>11</v>
      </c>
      <c r="AK31" s="29">
        <v>8.6999999999999993</v>
      </c>
      <c r="AL31" s="38"/>
      <c r="AO31" s="39"/>
      <c r="AP31" s="38"/>
      <c r="AS31" s="39"/>
      <c r="AW31" s="39"/>
      <c r="BA31" s="40"/>
    </row>
    <row r="32" spans="1:53" s="29" customFormat="1" x14ac:dyDescent="0.15">
      <c r="A32" s="29">
        <v>2000</v>
      </c>
      <c r="B32" s="277"/>
      <c r="C32" s="411" t="s">
        <v>886</v>
      </c>
      <c r="D32" s="411"/>
      <c r="E32" s="29">
        <v>366</v>
      </c>
      <c r="G32" s="66">
        <v>11</v>
      </c>
      <c r="H32" s="29">
        <v>3</v>
      </c>
      <c r="I32" s="29">
        <v>6</v>
      </c>
      <c r="J32" s="73">
        <v>20</v>
      </c>
      <c r="K32" s="47">
        <f t="shared" si="1"/>
        <v>55.000000000000007</v>
      </c>
      <c r="L32" s="47">
        <f t="shared" si="4"/>
        <v>15</v>
      </c>
      <c r="M32" s="47">
        <f t="shared" si="2"/>
        <v>30</v>
      </c>
      <c r="N32" s="68">
        <f t="shared" si="3"/>
        <v>100</v>
      </c>
      <c r="O32" s="46">
        <v>36.700000000000003</v>
      </c>
      <c r="P32" s="47">
        <v>10</v>
      </c>
      <c r="Q32" s="47">
        <v>15.3</v>
      </c>
      <c r="R32" s="48">
        <f t="shared" si="0"/>
        <v>62</v>
      </c>
      <c r="S32" s="29">
        <v>3</v>
      </c>
      <c r="T32" s="286"/>
      <c r="U32" s="295"/>
      <c r="V32" s="38" t="s">
        <v>884</v>
      </c>
      <c r="W32" s="29" t="s">
        <v>306</v>
      </c>
      <c r="X32" s="29" t="s">
        <v>11</v>
      </c>
      <c r="Y32" s="39">
        <v>28</v>
      </c>
      <c r="Z32" s="29" t="s">
        <v>882</v>
      </c>
      <c r="AA32" s="29" t="s">
        <v>115</v>
      </c>
      <c r="AB32" s="29" t="s">
        <v>12</v>
      </c>
      <c r="AC32" s="29">
        <v>15.3</v>
      </c>
      <c r="AD32" s="38" t="s">
        <v>891</v>
      </c>
      <c r="AE32" s="29" t="s">
        <v>93</v>
      </c>
      <c r="AF32" s="29" t="s">
        <v>18</v>
      </c>
      <c r="AG32" s="39">
        <v>10</v>
      </c>
      <c r="AH32" s="29" t="s">
        <v>888</v>
      </c>
      <c r="AI32" s="29" t="s">
        <v>892</v>
      </c>
      <c r="AJ32" s="29" t="s">
        <v>11</v>
      </c>
      <c r="AK32" s="29">
        <v>8.6999999999999993</v>
      </c>
      <c r="AL32" s="38"/>
      <c r="AO32" s="39"/>
      <c r="AP32" s="38"/>
      <c r="AS32" s="39"/>
      <c r="AW32" s="39"/>
      <c r="BA32" s="40"/>
    </row>
    <row r="33" spans="1:53" s="29" customFormat="1" x14ac:dyDescent="0.15">
      <c r="A33" s="29">
        <v>2001</v>
      </c>
      <c r="B33" s="277"/>
      <c r="C33" s="411" t="s">
        <v>886</v>
      </c>
      <c r="D33" s="411"/>
      <c r="E33" s="29">
        <v>0</v>
      </c>
      <c r="G33" s="66">
        <v>11</v>
      </c>
      <c r="H33" s="29">
        <v>3</v>
      </c>
      <c r="I33" s="29">
        <v>6</v>
      </c>
      <c r="J33" s="73">
        <v>20</v>
      </c>
      <c r="K33" s="47">
        <f t="shared" si="1"/>
        <v>55.000000000000007</v>
      </c>
      <c r="L33" s="47">
        <f t="shared" si="4"/>
        <v>15</v>
      </c>
      <c r="M33" s="47">
        <f t="shared" si="2"/>
        <v>30</v>
      </c>
      <c r="N33" s="68">
        <f t="shared" si="3"/>
        <v>100</v>
      </c>
      <c r="O33" s="46">
        <v>36.700000000000003</v>
      </c>
      <c r="P33" s="47">
        <v>10</v>
      </c>
      <c r="Q33" s="47">
        <v>15.3</v>
      </c>
      <c r="R33" s="48">
        <f t="shared" si="0"/>
        <v>62</v>
      </c>
      <c r="S33" s="29">
        <v>3</v>
      </c>
      <c r="T33" s="286"/>
      <c r="U33" s="295"/>
      <c r="V33" s="38" t="s">
        <v>884</v>
      </c>
      <c r="W33" s="29" t="s">
        <v>306</v>
      </c>
      <c r="X33" s="29" t="s">
        <v>11</v>
      </c>
      <c r="Y33" s="39">
        <v>28</v>
      </c>
      <c r="Z33" s="29" t="s">
        <v>882</v>
      </c>
      <c r="AA33" s="29" t="s">
        <v>115</v>
      </c>
      <c r="AB33" s="29" t="s">
        <v>12</v>
      </c>
      <c r="AC33" s="29">
        <v>15.3</v>
      </c>
      <c r="AD33" s="38" t="s">
        <v>891</v>
      </c>
      <c r="AE33" s="29" t="s">
        <v>93</v>
      </c>
      <c r="AF33" s="29" t="s">
        <v>18</v>
      </c>
      <c r="AG33" s="39">
        <v>10</v>
      </c>
      <c r="AH33" s="29" t="s">
        <v>888</v>
      </c>
      <c r="AI33" s="29" t="s">
        <v>892</v>
      </c>
      <c r="AJ33" s="29" t="s">
        <v>11</v>
      </c>
      <c r="AK33" s="29">
        <v>8.6999999999999993</v>
      </c>
      <c r="AL33" s="38"/>
      <c r="AO33" s="39"/>
      <c r="AP33" s="38"/>
      <c r="AS33" s="39"/>
      <c r="AW33" s="39"/>
      <c r="BA33" s="40"/>
    </row>
    <row r="34" spans="1:53" s="29" customFormat="1" x14ac:dyDescent="0.15">
      <c r="A34" s="29">
        <v>2001</v>
      </c>
      <c r="B34" s="277"/>
      <c r="C34" s="411" t="s">
        <v>886</v>
      </c>
      <c r="D34" s="411"/>
      <c r="E34" s="29">
        <v>365</v>
      </c>
      <c r="G34" s="66">
        <v>11</v>
      </c>
      <c r="H34" s="29">
        <v>3</v>
      </c>
      <c r="I34" s="29">
        <v>6</v>
      </c>
      <c r="J34" s="73">
        <v>20</v>
      </c>
      <c r="K34" s="47">
        <f t="shared" si="1"/>
        <v>55.000000000000007</v>
      </c>
      <c r="L34" s="47">
        <f t="shared" si="4"/>
        <v>15</v>
      </c>
      <c r="M34" s="47">
        <f t="shared" si="2"/>
        <v>30</v>
      </c>
      <c r="N34" s="68">
        <f t="shared" si="3"/>
        <v>100</v>
      </c>
      <c r="O34" s="46">
        <v>36.700000000000003</v>
      </c>
      <c r="P34" s="47">
        <v>10</v>
      </c>
      <c r="Q34" s="47">
        <v>15.3</v>
      </c>
      <c r="R34" s="48">
        <f t="shared" si="0"/>
        <v>62</v>
      </c>
      <c r="S34" s="29">
        <v>3</v>
      </c>
      <c r="T34" s="286"/>
      <c r="U34" s="295"/>
      <c r="V34" s="38" t="s">
        <v>884</v>
      </c>
      <c r="W34" s="29" t="s">
        <v>306</v>
      </c>
      <c r="X34" s="29" t="s">
        <v>11</v>
      </c>
      <c r="Y34" s="39">
        <v>28</v>
      </c>
      <c r="Z34" s="29" t="s">
        <v>882</v>
      </c>
      <c r="AA34" s="29" t="s">
        <v>115</v>
      </c>
      <c r="AB34" s="29" t="s">
        <v>12</v>
      </c>
      <c r="AC34" s="29">
        <v>15.3</v>
      </c>
      <c r="AD34" s="38" t="s">
        <v>891</v>
      </c>
      <c r="AE34" s="29" t="s">
        <v>93</v>
      </c>
      <c r="AF34" s="29" t="s">
        <v>18</v>
      </c>
      <c r="AG34" s="39">
        <v>10</v>
      </c>
      <c r="AH34" s="29" t="s">
        <v>888</v>
      </c>
      <c r="AI34" s="29" t="s">
        <v>892</v>
      </c>
      <c r="AJ34" s="29" t="s">
        <v>11</v>
      </c>
      <c r="AK34" s="29">
        <v>8.6999999999999993</v>
      </c>
      <c r="AL34" s="38"/>
      <c r="AO34" s="39"/>
      <c r="AP34" s="38"/>
      <c r="AS34" s="39"/>
      <c r="AW34" s="39"/>
      <c r="BA34" s="40"/>
    </row>
    <row r="35" spans="1:53" s="29" customFormat="1" x14ac:dyDescent="0.15">
      <c r="A35" s="29">
        <v>2002</v>
      </c>
      <c r="B35" s="277"/>
      <c r="C35" s="411" t="s">
        <v>886</v>
      </c>
      <c r="D35" s="411"/>
      <c r="E35" s="29">
        <v>319</v>
      </c>
      <c r="G35" s="66">
        <v>11</v>
      </c>
      <c r="H35" s="29">
        <v>3</v>
      </c>
      <c r="I35" s="29">
        <v>6</v>
      </c>
      <c r="J35" s="73">
        <v>20</v>
      </c>
      <c r="K35" s="47">
        <f t="shared" si="1"/>
        <v>55.000000000000007</v>
      </c>
      <c r="L35" s="47">
        <f t="shared" si="4"/>
        <v>15</v>
      </c>
      <c r="M35" s="47">
        <f t="shared" si="2"/>
        <v>30</v>
      </c>
      <c r="N35" s="68">
        <f t="shared" si="3"/>
        <v>100</v>
      </c>
      <c r="O35" s="46">
        <v>36.700000000000003</v>
      </c>
      <c r="P35" s="47">
        <v>10</v>
      </c>
      <c r="Q35" s="47">
        <v>15.3</v>
      </c>
      <c r="R35" s="48">
        <f t="shared" si="0"/>
        <v>62</v>
      </c>
      <c r="S35" s="29">
        <v>3</v>
      </c>
      <c r="T35" s="286"/>
      <c r="U35" s="295"/>
      <c r="V35" s="38" t="s">
        <v>884</v>
      </c>
      <c r="W35" s="29" t="s">
        <v>306</v>
      </c>
      <c r="X35" s="29" t="s">
        <v>11</v>
      </c>
      <c r="Y35" s="39">
        <v>28</v>
      </c>
      <c r="Z35" s="29" t="s">
        <v>882</v>
      </c>
      <c r="AA35" s="29" t="s">
        <v>115</v>
      </c>
      <c r="AB35" s="29" t="s">
        <v>12</v>
      </c>
      <c r="AC35" s="29">
        <v>15.3</v>
      </c>
      <c r="AD35" s="38" t="s">
        <v>891</v>
      </c>
      <c r="AE35" s="29" t="s">
        <v>93</v>
      </c>
      <c r="AF35" s="29" t="s">
        <v>18</v>
      </c>
      <c r="AG35" s="39">
        <v>10</v>
      </c>
      <c r="AH35" s="29" t="s">
        <v>888</v>
      </c>
      <c r="AI35" s="29" t="s">
        <v>892</v>
      </c>
      <c r="AJ35" s="29" t="s">
        <v>11</v>
      </c>
      <c r="AK35" s="29">
        <v>8.6999999999999993</v>
      </c>
      <c r="AL35" s="38"/>
      <c r="AO35" s="39"/>
      <c r="AP35" s="38"/>
      <c r="AS35" s="39"/>
      <c r="AW35" s="39"/>
      <c r="BA35" s="40"/>
    </row>
    <row r="36" spans="1:53" s="171" customFormat="1" x14ac:dyDescent="0.15">
      <c r="A36" s="171">
        <v>2002</v>
      </c>
      <c r="B36" s="306">
        <v>37576</v>
      </c>
      <c r="C36" s="410" t="s">
        <v>1206</v>
      </c>
      <c r="D36" s="410"/>
      <c r="E36" s="171">
        <f>365-E35</f>
        <v>46</v>
      </c>
      <c r="F36" s="171">
        <v>1</v>
      </c>
      <c r="G36" s="233">
        <v>3</v>
      </c>
      <c r="H36" s="171">
        <v>13</v>
      </c>
      <c r="J36" s="241">
        <v>16</v>
      </c>
      <c r="K36" s="214">
        <f t="shared" si="1"/>
        <v>18.75</v>
      </c>
      <c r="L36" s="214">
        <f t="shared" si="4"/>
        <v>81.25</v>
      </c>
      <c r="M36" s="214">
        <f t="shared" si="2"/>
        <v>0</v>
      </c>
      <c r="N36" s="235">
        <f t="shared" si="3"/>
        <v>100</v>
      </c>
      <c r="O36" s="213">
        <v>10</v>
      </c>
      <c r="P36" s="214">
        <v>42</v>
      </c>
      <c r="Q36" s="214"/>
      <c r="R36" s="215">
        <f t="shared" si="0"/>
        <v>52</v>
      </c>
      <c r="S36" s="171">
        <v>2</v>
      </c>
      <c r="T36" s="285">
        <v>37520</v>
      </c>
      <c r="U36" s="306">
        <v>37576</v>
      </c>
      <c r="V36" s="178" t="s">
        <v>889</v>
      </c>
      <c r="W36" s="171" t="s">
        <v>81</v>
      </c>
      <c r="X36" s="171" t="s">
        <v>18</v>
      </c>
      <c r="Y36" s="179">
        <v>18.7</v>
      </c>
      <c r="Z36" s="171" t="s">
        <v>891</v>
      </c>
      <c r="AA36" s="171" t="s">
        <v>93</v>
      </c>
      <c r="AB36" s="171" t="s">
        <v>18</v>
      </c>
      <c r="AC36" s="171">
        <v>13.3</v>
      </c>
      <c r="AD36" s="178" t="s">
        <v>883</v>
      </c>
      <c r="AE36" s="171" t="s">
        <v>17</v>
      </c>
      <c r="AF36" s="171" t="s">
        <v>18</v>
      </c>
      <c r="AG36" s="179">
        <v>10</v>
      </c>
      <c r="AH36" s="171" t="s">
        <v>890</v>
      </c>
      <c r="AI36" s="171" t="s">
        <v>893</v>
      </c>
      <c r="AJ36" s="171" t="s">
        <v>11</v>
      </c>
      <c r="AK36" s="171">
        <v>10</v>
      </c>
      <c r="AL36" s="178"/>
      <c r="AO36" s="179"/>
      <c r="AP36" s="178"/>
      <c r="AS36" s="179"/>
      <c r="AW36" s="179"/>
      <c r="BA36" s="180"/>
    </row>
    <row r="37" spans="1:53" s="171" customFormat="1" x14ac:dyDescent="0.15">
      <c r="A37" s="171">
        <v>2003</v>
      </c>
      <c r="B37" s="306"/>
      <c r="C37" s="410" t="s">
        <v>1206</v>
      </c>
      <c r="D37" s="410"/>
      <c r="E37" s="171">
        <v>0</v>
      </c>
      <c r="G37" s="233">
        <v>3</v>
      </c>
      <c r="H37" s="171">
        <v>13</v>
      </c>
      <c r="J37" s="241">
        <v>16</v>
      </c>
      <c r="K37" s="214">
        <f t="shared" si="1"/>
        <v>18.75</v>
      </c>
      <c r="L37" s="214">
        <f t="shared" si="4"/>
        <v>81.25</v>
      </c>
      <c r="M37" s="214">
        <f t="shared" si="2"/>
        <v>0</v>
      </c>
      <c r="N37" s="235">
        <f t="shared" si="3"/>
        <v>100</v>
      </c>
      <c r="O37" s="213">
        <v>10</v>
      </c>
      <c r="P37" s="214">
        <v>42</v>
      </c>
      <c r="Q37" s="214"/>
      <c r="R37" s="215">
        <f t="shared" si="0"/>
        <v>52</v>
      </c>
      <c r="S37" s="171">
        <v>2</v>
      </c>
      <c r="T37" s="285"/>
      <c r="U37" s="283"/>
      <c r="V37" s="178" t="s">
        <v>889</v>
      </c>
      <c r="W37" s="171" t="s">
        <v>81</v>
      </c>
      <c r="X37" s="171" t="s">
        <v>18</v>
      </c>
      <c r="Y37" s="179">
        <v>18.7</v>
      </c>
      <c r="Z37" s="171" t="s">
        <v>891</v>
      </c>
      <c r="AA37" s="171" t="s">
        <v>93</v>
      </c>
      <c r="AB37" s="171" t="s">
        <v>18</v>
      </c>
      <c r="AC37" s="171">
        <v>13.3</v>
      </c>
      <c r="AD37" s="178" t="s">
        <v>883</v>
      </c>
      <c r="AE37" s="171" t="s">
        <v>17</v>
      </c>
      <c r="AF37" s="171" t="s">
        <v>18</v>
      </c>
      <c r="AG37" s="179">
        <v>10</v>
      </c>
      <c r="AH37" s="171" t="s">
        <v>890</v>
      </c>
      <c r="AI37" s="171" t="s">
        <v>893</v>
      </c>
      <c r="AJ37" s="171" t="s">
        <v>11</v>
      </c>
      <c r="AK37" s="171">
        <v>10</v>
      </c>
      <c r="AL37" s="178"/>
      <c r="AO37" s="179"/>
      <c r="AP37" s="178"/>
      <c r="AS37" s="179"/>
      <c r="AW37" s="179"/>
      <c r="BA37" s="180"/>
    </row>
    <row r="38" spans="1:53" s="171" customFormat="1" x14ac:dyDescent="0.15">
      <c r="A38" s="171">
        <v>2003</v>
      </c>
      <c r="B38" s="306"/>
      <c r="C38" s="410" t="s">
        <v>1206</v>
      </c>
      <c r="D38" s="410"/>
      <c r="E38" s="171">
        <v>365</v>
      </c>
      <c r="G38" s="233">
        <v>3</v>
      </c>
      <c r="H38" s="171">
        <v>13</v>
      </c>
      <c r="J38" s="241">
        <v>16</v>
      </c>
      <c r="K38" s="214">
        <f t="shared" si="1"/>
        <v>18.75</v>
      </c>
      <c r="L38" s="214">
        <f t="shared" si="4"/>
        <v>81.25</v>
      </c>
      <c r="M38" s="214">
        <f t="shared" si="2"/>
        <v>0</v>
      </c>
      <c r="N38" s="235">
        <f t="shared" si="3"/>
        <v>100</v>
      </c>
      <c r="O38" s="213">
        <v>10</v>
      </c>
      <c r="P38" s="214">
        <v>42</v>
      </c>
      <c r="Q38" s="214"/>
      <c r="R38" s="215">
        <f t="shared" si="0"/>
        <v>52</v>
      </c>
      <c r="S38" s="171">
        <v>2</v>
      </c>
      <c r="T38" s="285"/>
      <c r="U38" s="283"/>
      <c r="V38" s="178" t="s">
        <v>889</v>
      </c>
      <c r="W38" s="171" t="s">
        <v>81</v>
      </c>
      <c r="X38" s="171" t="s">
        <v>18</v>
      </c>
      <c r="Y38" s="179">
        <v>18.7</v>
      </c>
      <c r="Z38" s="171" t="s">
        <v>891</v>
      </c>
      <c r="AA38" s="171" t="s">
        <v>93</v>
      </c>
      <c r="AB38" s="171" t="s">
        <v>18</v>
      </c>
      <c r="AC38" s="171">
        <v>13.3</v>
      </c>
      <c r="AD38" s="178" t="s">
        <v>883</v>
      </c>
      <c r="AE38" s="171" t="s">
        <v>17</v>
      </c>
      <c r="AF38" s="171" t="s">
        <v>18</v>
      </c>
      <c r="AG38" s="179">
        <v>10</v>
      </c>
      <c r="AH38" s="171" t="s">
        <v>890</v>
      </c>
      <c r="AI38" s="171" t="s">
        <v>893</v>
      </c>
      <c r="AJ38" s="171" t="s">
        <v>11</v>
      </c>
      <c r="AK38" s="171">
        <v>10</v>
      </c>
      <c r="AL38" s="178"/>
      <c r="AO38" s="179"/>
      <c r="AP38" s="178"/>
      <c r="AS38" s="179"/>
      <c r="AW38" s="179"/>
      <c r="BA38" s="180"/>
    </row>
    <row r="39" spans="1:53" s="171" customFormat="1" x14ac:dyDescent="0.15">
      <c r="A39" s="171">
        <v>2004</v>
      </c>
      <c r="B39" s="306"/>
      <c r="C39" s="410" t="s">
        <v>1206</v>
      </c>
      <c r="D39" s="410"/>
      <c r="E39" s="171">
        <v>0</v>
      </c>
      <c r="G39" s="233">
        <v>3</v>
      </c>
      <c r="H39" s="171">
        <v>13</v>
      </c>
      <c r="J39" s="241">
        <v>16</v>
      </c>
      <c r="K39" s="214">
        <f t="shared" si="1"/>
        <v>18.75</v>
      </c>
      <c r="L39" s="214">
        <f t="shared" si="4"/>
        <v>81.25</v>
      </c>
      <c r="M39" s="214">
        <f t="shared" si="2"/>
        <v>0</v>
      </c>
      <c r="N39" s="235">
        <f t="shared" si="3"/>
        <v>100</v>
      </c>
      <c r="O39" s="213">
        <v>10</v>
      </c>
      <c r="P39" s="214">
        <v>42</v>
      </c>
      <c r="Q39" s="214"/>
      <c r="R39" s="215">
        <f t="shared" si="0"/>
        <v>52</v>
      </c>
      <c r="S39" s="171">
        <v>2</v>
      </c>
      <c r="T39" s="285"/>
      <c r="U39" s="283"/>
      <c r="V39" s="178" t="s">
        <v>889</v>
      </c>
      <c r="W39" s="171" t="s">
        <v>81</v>
      </c>
      <c r="X39" s="171" t="s">
        <v>18</v>
      </c>
      <c r="Y39" s="179">
        <v>18.7</v>
      </c>
      <c r="Z39" s="171" t="s">
        <v>891</v>
      </c>
      <c r="AA39" s="171" t="s">
        <v>93</v>
      </c>
      <c r="AB39" s="171" t="s">
        <v>18</v>
      </c>
      <c r="AC39" s="171">
        <v>13.3</v>
      </c>
      <c r="AD39" s="178" t="s">
        <v>883</v>
      </c>
      <c r="AE39" s="171" t="s">
        <v>17</v>
      </c>
      <c r="AF39" s="171" t="s">
        <v>18</v>
      </c>
      <c r="AG39" s="179">
        <v>10</v>
      </c>
      <c r="AH39" s="171" t="s">
        <v>890</v>
      </c>
      <c r="AI39" s="171" t="s">
        <v>893</v>
      </c>
      <c r="AJ39" s="171" t="s">
        <v>11</v>
      </c>
      <c r="AK39" s="171">
        <v>10</v>
      </c>
      <c r="AL39" s="178"/>
      <c r="AO39" s="179"/>
      <c r="AP39" s="178"/>
      <c r="AS39" s="179"/>
      <c r="AW39" s="179"/>
      <c r="BA39" s="180"/>
    </row>
    <row r="40" spans="1:53" s="171" customFormat="1" x14ac:dyDescent="0.15">
      <c r="A40" s="171">
        <v>2004</v>
      </c>
      <c r="B40" s="306"/>
      <c r="C40" s="410" t="s">
        <v>1206</v>
      </c>
      <c r="D40" s="410"/>
      <c r="E40" s="171">
        <v>366</v>
      </c>
      <c r="G40" s="233">
        <v>3</v>
      </c>
      <c r="H40" s="171">
        <v>13</v>
      </c>
      <c r="J40" s="241">
        <v>16</v>
      </c>
      <c r="K40" s="214">
        <f t="shared" si="1"/>
        <v>18.75</v>
      </c>
      <c r="L40" s="214">
        <f t="shared" si="4"/>
        <v>81.25</v>
      </c>
      <c r="M40" s="214">
        <f t="shared" si="2"/>
        <v>0</v>
      </c>
      <c r="N40" s="235">
        <f t="shared" si="3"/>
        <v>100</v>
      </c>
      <c r="O40" s="213">
        <v>10</v>
      </c>
      <c r="P40" s="214">
        <v>42</v>
      </c>
      <c r="Q40" s="214"/>
      <c r="R40" s="215">
        <f t="shared" si="0"/>
        <v>52</v>
      </c>
      <c r="S40" s="171">
        <v>2</v>
      </c>
      <c r="T40" s="285"/>
      <c r="U40" s="283"/>
      <c r="V40" s="178" t="s">
        <v>889</v>
      </c>
      <c r="W40" s="171" t="s">
        <v>81</v>
      </c>
      <c r="X40" s="171" t="s">
        <v>18</v>
      </c>
      <c r="Y40" s="179">
        <v>18.7</v>
      </c>
      <c r="Z40" s="171" t="s">
        <v>891</v>
      </c>
      <c r="AA40" s="171" t="s">
        <v>93</v>
      </c>
      <c r="AB40" s="171" t="s">
        <v>18</v>
      </c>
      <c r="AC40" s="171">
        <v>13.3</v>
      </c>
      <c r="AD40" s="178" t="s">
        <v>883</v>
      </c>
      <c r="AE40" s="171" t="s">
        <v>17</v>
      </c>
      <c r="AF40" s="171" t="s">
        <v>18</v>
      </c>
      <c r="AG40" s="179">
        <v>10</v>
      </c>
      <c r="AH40" s="171" t="s">
        <v>890</v>
      </c>
      <c r="AI40" s="171" t="s">
        <v>893</v>
      </c>
      <c r="AJ40" s="171" t="s">
        <v>11</v>
      </c>
      <c r="AK40" s="171">
        <v>10</v>
      </c>
      <c r="AL40" s="178"/>
      <c r="AO40" s="179"/>
      <c r="AP40" s="178"/>
      <c r="AS40" s="179"/>
      <c r="AW40" s="179"/>
      <c r="BA40" s="180"/>
    </row>
    <row r="41" spans="1:53" s="171" customFormat="1" x14ac:dyDescent="0.15">
      <c r="A41" s="171">
        <v>2005</v>
      </c>
      <c r="B41" s="306"/>
      <c r="C41" s="410" t="s">
        <v>1206</v>
      </c>
      <c r="D41" s="410"/>
      <c r="E41" s="171">
        <v>0</v>
      </c>
      <c r="G41" s="233">
        <v>3</v>
      </c>
      <c r="H41" s="171">
        <v>13</v>
      </c>
      <c r="J41" s="241">
        <v>16</v>
      </c>
      <c r="K41" s="214">
        <f t="shared" si="1"/>
        <v>18.75</v>
      </c>
      <c r="L41" s="214">
        <f t="shared" si="4"/>
        <v>81.25</v>
      </c>
      <c r="M41" s="214">
        <f t="shared" si="2"/>
        <v>0</v>
      </c>
      <c r="N41" s="235">
        <f t="shared" si="3"/>
        <v>100</v>
      </c>
      <c r="O41" s="213">
        <v>10</v>
      </c>
      <c r="P41" s="214">
        <v>42</v>
      </c>
      <c r="Q41" s="214"/>
      <c r="R41" s="215">
        <f t="shared" si="0"/>
        <v>52</v>
      </c>
      <c r="S41" s="171">
        <v>2</v>
      </c>
      <c r="T41" s="285"/>
      <c r="U41" s="283"/>
      <c r="V41" s="178" t="s">
        <v>889</v>
      </c>
      <c r="W41" s="171" t="s">
        <v>81</v>
      </c>
      <c r="X41" s="171" t="s">
        <v>18</v>
      </c>
      <c r="Y41" s="179">
        <v>18.7</v>
      </c>
      <c r="Z41" s="171" t="s">
        <v>891</v>
      </c>
      <c r="AA41" s="171" t="s">
        <v>93</v>
      </c>
      <c r="AB41" s="171" t="s">
        <v>18</v>
      </c>
      <c r="AC41" s="171">
        <v>13.3</v>
      </c>
      <c r="AD41" s="178" t="s">
        <v>883</v>
      </c>
      <c r="AE41" s="171" t="s">
        <v>17</v>
      </c>
      <c r="AF41" s="171" t="s">
        <v>18</v>
      </c>
      <c r="AG41" s="179">
        <v>10</v>
      </c>
      <c r="AH41" s="171" t="s">
        <v>890</v>
      </c>
      <c r="AI41" s="171" t="s">
        <v>893</v>
      </c>
      <c r="AJ41" s="171" t="s">
        <v>11</v>
      </c>
      <c r="AK41" s="171">
        <v>10</v>
      </c>
      <c r="AL41" s="178"/>
      <c r="AO41" s="179"/>
      <c r="AP41" s="178"/>
      <c r="AS41" s="179"/>
      <c r="AW41" s="179"/>
      <c r="BA41" s="180"/>
    </row>
    <row r="42" spans="1:53" s="171" customFormat="1" x14ac:dyDescent="0.15">
      <c r="A42" s="171">
        <v>2005</v>
      </c>
      <c r="B42" s="306"/>
      <c r="C42" s="410" t="s">
        <v>1206</v>
      </c>
      <c r="D42" s="410"/>
      <c r="E42" s="171">
        <v>365</v>
      </c>
      <c r="G42" s="233">
        <v>3</v>
      </c>
      <c r="H42" s="171">
        <v>13</v>
      </c>
      <c r="J42" s="241">
        <v>16</v>
      </c>
      <c r="K42" s="214">
        <f t="shared" si="1"/>
        <v>18.75</v>
      </c>
      <c r="L42" s="214">
        <f t="shared" si="4"/>
        <v>81.25</v>
      </c>
      <c r="M42" s="214">
        <f t="shared" si="2"/>
        <v>0</v>
      </c>
      <c r="N42" s="235">
        <f t="shared" si="3"/>
        <v>100</v>
      </c>
      <c r="O42" s="213">
        <v>10</v>
      </c>
      <c r="P42" s="214">
        <v>42</v>
      </c>
      <c r="Q42" s="214"/>
      <c r="R42" s="215">
        <f t="shared" si="0"/>
        <v>52</v>
      </c>
      <c r="S42" s="171">
        <v>2</v>
      </c>
      <c r="T42" s="285"/>
      <c r="U42" s="283"/>
      <c r="V42" s="178" t="s">
        <v>889</v>
      </c>
      <c r="W42" s="171" t="s">
        <v>81</v>
      </c>
      <c r="X42" s="171" t="s">
        <v>18</v>
      </c>
      <c r="Y42" s="179">
        <v>18.7</v>
      </c>
      <c r="Z42" s="171" t="s">
        <v>891</v>
      </c>
      <c r="AA42" s="171" t="s">
        <v>93</v>
      </c>
      <c r="AB42" s="171" t="s">
        <v>18</v>
      </c>
      <c r="AC42" s="171">
        <v>13.3</v>
      </c>
      <c r="AD42" s="178" t="s">
        <v>883</v>
      </c>
      <c r="AE42" s="171" t="s">
        <v>17</v>
      </c>
      <c r="AF42" s="171" t="s">
        <v>18</v>
      </c>
      <c r="AG42" s="179">
        <v>10</v>
      </c>
      <c r="AH42" s="171" t="s">
        <v>890</v>
      </c>
      <c r="AI42" s="171" t="s">
        <v>893</v>
      </c>
      <c r="AJ42" s="171" t="s">
        <v>11</v>
      </c>
      <c r="AK42" s="171">
        <v>10</v>
      </c>
      <c r="AL42" s="178"/>
      <c r="AO42" s="179"/>
      <c r="AP42" s="178"/>
      <c r="AS42" s="179"/>
      <c r="AW42" s="179"/>
      <c r="BA42" s="180"/>
    </row>
    <row r="43" spans="1:53" s="171" customFormat="1" x14ac:dyDescent="0.15">
      <c r="A43" s="171">
        <v>2006</v>
      </c>
      <c r="B43" s="306"/>
      <c r="C43" s="410" t="s">
        <v>1206</v>
      </c>
      <c r="D43" s="410"/>
      <c r="E43" s="171">
        <v>38</v>
      </c>
      <c r="G43" s="233">
        <v>3</v>
      </c>
      <c r="H43" s="171">
        <v>13</v>
      </c>
      <c r="J43" s="241">
        <v>16</v>
      </c>
      <c r="K43" s="214">
        <f t="shared" si="1"/>
        <v>18.75</v>
      </c>
      <c r="L43" s="214">
        <f t="shared" si="4"/>
        <v>81.25</v>
      </c>
      <c r="M43" s="214">
        <f t="shared" si="2"/>
        <v>0</v>
      </c>
      <c r="N43" s="235">
        <f t="shared" si="3"/>
        <v>100</v>
      </c>
      <c r="O43" s="213">
        <v>10</v>
      </c>
      <c r="P43" s="214">
        <v>42</v>
      </c>
      <c r="Q43" s="214"/>
      <c r="R43" s="215">
        <f t="shared" si="0"/>
        <v>52</v>
      </c>
      <c r="S43" s="171">
        <v>2</v>
      </c>
      <c r="T43" s="285"/>
      <c r="U43" s="283"/>
      <c r="V43" s="178" t="s">
        <v>889</v>
      </c>
      <c r="W43" s="171" t="s">
        <v>81</v>
      </c>
      <c r="X43" s="171" t="s">
        <v>18</v>
      </c>
      <c r="Y43" s="179">
        <v>18.7</v>
      </c>
      <c r="Z43" s="171" t="s">
        <v>891</v>
      </c>
      <c r="AA43" s="171" t="s">
        <v>93</v>
      </c>
      <c r="AB43" s="171" t="s">
        <v>18</v>
      </c>
      <c r="AC43" s="171">
        <v>13.3</v>
      </c>
      <c r="AD43" s="178" t="s">
        <v>883</v>
      </c>
      <c r="AE43" s="171" t="s">
        <v>17</v>
      </c>
      <c r="AF43" s="171" t="s">
        <v>18</v>
      </c>
      <c r="AG43" s="179">
        <v>10</v>
      </c>
      <c r="AH43" s="171" t="s">
        <v>890</v>
      </c>
      <c r="AI43" s="171" t="s">
        <v>893</v>
      </c>
      <c r="AJ43" s="171" t="s">
        <v>11</v>
      </c>
      <c r="AK43" s="171">
        <v>10</v>
      </c>
      <c r="AL43" s="178"/>
      <c r="AO43" s="179"/>
      <c r="AP43" s="178"/>
      <c r="AS43" s="179"/>
      <c r="AW43" s="179"/>
      <c r="BA43" s="180"/>
    </row>
    <row r="44" spans="1:53" s="29" customFormat="1" x14ac:dyDescent="0.15">
      <c r="A44" s="29">
        <v>2006</v>
      </c>
      <c r="B44" s="277">
        <v>38756</v>
      </c>
      <c r="C44" s="411" t="s">
        <v>1208</v>
      </c>
      <c r="D44" s="411"/>
      <c r="E44" s="29">
        <v>50</v>
      </c>
      <c r="F44" s="29">
        <v>4</v>
      </c>
      <c r="G44" s="66">
        <v>3</v>
      </c>
      <c r="H44" s="29">
        <v>12</v>
      </c>
      <c r="J44" s="73">
        <v>16</v>
      </c>
      <c r="K44" s="47">
        <f>G44/J44*100</f>
        <v>18.75</v>
      </c>
      <c r="L44" s="47">
        <f>H44/J44*100</f>
        <v>75</v>
      </c>
      <c r="M44" s="47">
        <f>I44/J44*100</f>
        <v>0</v>
      </c>
      <c r="N44" s="68">
        <f>SUM(K44:M44)</f>
        <v>93.75</v>
      </c>
      <c r="O44" s="46">
        <v>10</v>
      </c>
      <c r="P44" s="47">
        <v>32</v>
      </c>
      <c r="Q44" s="47"/>
      <c r="R44" s="48">
        <f>SUM(O44:Q44)</f>
        <v>42</v>
      </c>
      <c r="S44" s="29">
        <v>5</v>
      </c>
      <c r="T44" s="286"/>
      <c r="U44" s="277">
        <v>38756</v>
      </c>
      <c r="V44" s="38" t="s">
        <v>894</v>
      </c>
      <c r="W44" s="29" t="s">
        <v>81</v>
      </c>
      <c r="X44" s="29" t="s">
        <v>18</v>
      </c>
      <c r="Y44" s="39">
        <v>18.7</v>
      </c>
      <c r="Z44" s="29" t="s">
        <v>891</v>
      </c>
      <c r="AA44" s="29" t="s">
        <v>93</v>
      </c>
      <c r="AB44" s="29" t="s">
        <v>18</v>
      </c>
      <c r="AC44" s="29">
        <v>13.3</v>
      </c>
      <c r="AD44" s="38" t="s">
        <v>885</v>
      </c>
      <c r="AE44" s="29" t="s">
        <v>893</v>
      </c>
      <c r="AF44" s="29" t="s">
        <v>11</v>
      </c>
      <c r="AG44" s="39">
        <v>10</v>
      </c>
      <c r="AL44" s="38"/>
      <c r="AO44" s="39"/>
      <c r="AP44" s="38"/>
      <c r="AS44" s="39"/>
      <c r="AW44" s="39"/>
      <c r="BA44" s="40"/>
    </row>
    <row r="45" spans="1:53" s="29" customFormat="1" x14ac:dyDescent="0.15">
      <c r="A45" s="29">
        <v>2006</v>
      </c>
      <c r="B45" s="303">
        <v>38806</v>
      </c>
      <c r="C45" s="411" t="s">
        <v>1208</v>
      </c>
      <c r="D45" s="411"/>
      <c r="E45" s="29">
        <v>96</v>
      </c>
      <c r="F45" s="84">
        <v>0</v>
      </c>
      <c r="G45" s="66">
        <v>2</v>
      </c>
      <c r="H45" s="29">
        <v>12</v>
      </c>
      <c r="J45" s="73">
        <v>16</v>
      </c>
      <c r="K45" s="47">
        <f>G45/J45*100</f>
        <v>12.5</v>
      </c>
      <c r="L45" s="47">
        <f>H45/J45*100</f>
        <v>75</v>
      </c>
      <c r="M45" s="47">
        <f>I45/J45*100</f>
        <v>0</v>
      </c>
      <c r="N45" s="68">
        <f t="shared" si="3"/>
        <v>87.5</v>
      </c>
      <c r="O45" s="46">
        <v>10</v>
      </c>
      <c r="P45" s="47">
        <v>32</v>
      </c>
      <c r="Q45" s="47"/>
      <c r="R45" s="48">
        <f t="shared" si="0"/>
        <v>42</v>
      </c>
      <c r="S45" s="29">
        <v>5</v>
      </c>
      <c r="T45" s="286"/>
      <c r="U45" s="277"/>
      <c r="V45" s="38" t="s">
        <v>894</v>
      </c>
      <c r="W45" s="29" t="s">
        <v>81</v>
      </c>
      <c r="X45" s="29" t="s">
        <v>18</v>
      </c>
      <c r="Y45" s="39">
        <v>18.7</v>
      </c>
      <c r="Z45" s="29" t="s">
        <v>891</v>
      </c>
      <c r="AA45" s="29" t="s">
        <v>93</v>
      </c>
      <c r="AB45" s="29" t="s">
        <v>18</v>
      </c>
      <c r="AC45" s="29">
        <v>13.3</v>
      </c>
      <c r="AD45" s="38" t="s">
        <v>885</v>
      </c>
      <c r="AE45" s="29" t="s">
        <v>893</v>
      </c>
      <c r="AF45" s="29" t="s">
        <v>11</v>
      </c>
      <c r="AG45" s="39">
        <v>10</v>
      </c>
      <c r="AL45" s="38"/>
      <c r="AO45" s="39"/>
      <c r="AP45" s="38"/>
      <c r="AS45" s="39"/>
      <c r="AW45" s="39"/>
      <c r="BA45" s="40"/>
    </row>
    <row r="46" spans="1:53" s="171" customFormat="1" x14ac:dyDescent="0.15">
      <c r="A46" s="171">
        <v>2006</v>
      </c>
      <c r="B46" s="306">
        <v>38902</v>
      </c>
      <c r="C46" s="410" t="s">
        <v>903</v>
      </c>
      <c r="D46" s="410"/>
      <c r="E46" s="171">
        <v>181</v>
      </c>
      <c r="F46" s="171">
        <v>1</v>
      </c>
      <c r="G46" s="233">
        <v>5</v>
      </c>
      <c r="I46" s="171">
        <v>11</v>
      </c>
      <c r="J46" s="241">
        <v>16</v>
      </c>
      <c r="K46" s="214">
        <f t="shared" si="1"/>
        <v>31.25</v>
      </c>
      <c r="L46" s="214">
        <f t="shared" si="4"/>
        <v>0</v>
      </c>
      <c r="M46" s="214">
        <f t="shared" si="2"/>
        <v>68.75</v>
      </c>
      <c r="N46" s="235">
        <f t="shared" si="3"/>
        <v>100</v>
      </c>
      <c r="O46" s="213">
        <v>23.33</v>
      </c>
      <c r="P46" s="214"/>
      <c r="Q46" s="214">
        <v>33.33</v>
      </c>
      <c r="R46" s="215">
        <f t="shared" si="0"/>
        <v>56.66</v>
      </c>
      <c r="S46" s="171">
        <v>2</v>
      </c>
      <c r="T46" s="285">
        <v>38885</v>
      </c>
      <c r="U46" s="306">
        <v>38902</v>
      </c>
      <c r="V46" s="178" t="s">
        <v>901</v>
      </c>
      <c r="W46" s="171" t="s">
        <v>96</v>
      </c>
      <c r="X46" s="171" t="s">
        <v>12</v>
      </c>
      <c r="Y46" s="179">
        <v>33.299999999999997</v>
      </c>
      <c r="Z46" s="171" t="s">
        <v>878</v>
      </c>
      <c r="AA46" s="171" t="s">
        <v>27</v>
      </c>
      <c r="AB46" s="171" t="s">
        <v>11</v>
      </c>
      <c r="AC46" s="171">
        <v>13.3</v>
      </c>
      <c r="AD46" s="178" t="s">
        <v>895</v>
      </c>
      <c r="AE46" s="171" t="s">
        <v>294</v>
      </c>
      <c r="AF46" s="171" t="s">
        <v>11</v>
      </c>
      <c r="AG46" s="179">
        <v>10</v>
      </c>
      <c r="AL46" s="178"/>
      <c r="AO46" s="179"/>
      <c r="AP46" s="178"/>
      <c r="AS46" s="179"/>
      <c r="AW46" s="179"/>
      <c r="BA46" s="180"/>
    </row>
    <row r="47" spans="1:53" s="171" customFormat="1" x14ac:dyDescent="0.15">
      <c r="A47" s="171">
        <v>2007</v>
      </c>
      <c r="B47" s="306"/>
      <c r="C47" s="410" t="s">
        <v>903</v>
      </c>
      <c r="D47" s="410"/>
      <c r="E47" s="171">
        <v>0</v>
      </c>
      <c r="G47" s="233">
        <v>5</v>
      </c>
      <c r="I47" s="171">
        <v>11</v>
      </c>
      <c r="J47" s="241">
        <v>16</v>
      </c>
      <c r="K47" s="214">
        <f t="shared" si="1"/>
        <v>31.25</v>
      </c>
      <c r="L47" s="214">
        <f t="shared" si="4"/>
        <v>0</v>
      </c>
      <c r="M47" s="214">
        <f t="shared" si="2"/>
        <v>68.75</v>
      </c>
      <c r="N47" s="235">
        <f t="shared" si="3"/>
        <v>100</v>
      </c>
      <c r="O47" s="213">
        <v>23.33</v>
      </c>
      <c r="P47" s="214"/>
      <c r="Q47" s="214">
        <v>33.33</v>
      </c>
      <c r="R47" s="215">
        <f t="shared" si="0"/>
        <v>56.66</v>
      </c>
      <c r="S47" s="171">
        <v>2</v>
      </c>
      <c r="T47" s="285"/>
      <c r="U47" s="306"/>
      <c r="V47" s="178" t="s">
        <v>901</v>
      </c>
      <c r="W47" s="171" t="s">
        <v>96</v>
      </c>
      <c r="X47" s="171" t="s">
        <v>12</v>
      </c>
      <c r="Y47" s="179">
        <v>33.299999999999997</v>
      </c>
      <c r="Z47" s="171" t="s">
        <v>878</v>
      </c>
      <c r="AA47" s="171" t="s">
        <v>27</v>
      </c>
      <c r="AB47" s="171" t="s">
        <v>11</v>
      </c>
      <c r="AC47" s="171">
        <v>13.3</v>
      </c>
      <c r="AD47" s="178" t="s">
        <v>895</v>
      </c>
      <c r="AE47" s="171" t="s">
        <v>294</v>
      </c>
      <c r="AF47" s="171" t="s">
        <v>11</v>
      </c>
      <c r="AG47" s="179">
        <v>10</v>
      </c>
      <c r="AL47" s="178"/>
      <c r="AO47" s="179"/>
      <c r="AP47" s="178"/>
      <c r="AS47" s="179"/>
      <c r="AW47" s="179"/>
      <c r="BA47" s="180"/>
    </row>
    <row r="48" spans="1:53" s="171" customFormat="1" x14ac:dyDescent="0.15">
      <c r="A48" s="171">
        <v>2007</v>
      </c>
      <c r="B48" s="306"/>
      <c r="C48" s="410" t="s">
        <v>903</v>
      </c>
      <c r="D48" s="410"/>
      <c r="E48" s="171">
        <v>365</v>
      </c>
      <c r="G48" s="233">
        <v>5</v>
      </c>
      <c r="I48" s="171">
        <v>11</v>
      </c>
      <c r="J48" s="241">
        <v>16</v>
      </c>
      <c r="K48" s="214">
        <f t="shared" si="1"/>
        <v>31.25</v>
      </c>
      <c r="L48" s="214">
        <f t="shared" si="4"/>
        <v>0</v>
      </c>
      <c r="M48" s="214">
        <f t="shared" si="2"/>
        <v>68.75</v>
      </c>
      <c r="N48" s="235">
        <f t="shared" si="3"/>
        <v>100</v>
      </c>
      <c r="O48" s="213">
        <v>23.33</v>
      </c>
      <c r="P48" s="214"/>
      <c r="Q48" s="214">
        <v>33.33</v>
      </c>
      <c r="R48" s="215">
        <f t="shared" si="0"/>
        <v>56.66</v>
      </c>
      <c r="S48" s="171">
        <v>2</v>
      </c>
      <c r="T48" s="285"/>
      <c r="U48" s="306"/>
      <c r="V48" s="178" t="s">
        <v>901</v>
      </c>
      <c r="W48" s="171" t="s">
        <v>96</v>
      </c>
      <c r="X48" s="171" t="s">
        <v>12</v>
      </c>
      <c r="Y48" s="179">
        <v>33.299999999999997</v>
      </c>
      <c r="Z48" s="171" t="s">
        <v>878</v>
      </c>
      <c r="AA48" s="171" t="s">
        <v>27</v>
      </c>
      <c r="AB48" s="171" t="s">
        <v>11</v>
      </c>
      <c r="AC48" s="171">
        <v>13.3</v>
      </c>
      <c r="AD48" s="178" t="s">
        <v>895</v>
      </c>
      <c r="AE48" s="171" t="s">
        <v>294</v>
      </c>
      <c r="AF48" s="171" t="s">
        <v>11</v>
      </c>
      <c r="AG48" s="179">
        <v>10</v>
      </c>
      <c r="AL48" s="178"/>
      <c r="AO48" s="179"/>
      <c r="AP48" s="178"/>
      <c r="AS48" s="179"/>
      <c r="AW48" s="179"/>
      <c r="BA48" s="180"/>
    </row>
    <row r="49" spans="1:53" s="171" customFormat="1" x14ac:dyDescent="0.15">
      <c r="A49" s="171">
        <v>2008</v>
      </c>
      <c r="B49" s="306"/>
      <c r="C49" s="410" t="s">
        <v>903</v>
      </c>
      <c r="D49" s="410"/>
      <c r="E49" s="171">
        <v>0</v>
      </c>
      <c r="G49" s="233">
        <v>5</v>
      </c>
      <c r="I49" s="171">
        <v>11</v>
      </c>
      <c r="J49" s="241">
        <v>16</v>
      </c>
      <c r="K49" s="214">
        <f t="shared" si="1"/>
        <v>31.25</v>
      </c>
      <c r="L49" s="214">
        <f t="shared" si="4"/>
        <v>0</v>
      </c>
      <c r="M49" s="214">
        <f t="shared" si="2"/>
        <v>68.75</v>
      </c>
      <c r="N49" s="235">
        <f t="shared" si="3"/>
        <v>100</v>
      </c>
      <c r="O49" s="213">
        <v>23.33</v>
      </c>
      <c r="P49" s="214"/>
      <c r="Q49" s="214">
        <v>33.33</v>
      </c>
      <c r="R49" s="215">
        <f t="shared" si="0"/>
        <v>56.66</v>
      </c>
      <c r="S49" s="171">
        <v>2</v>
      </c>
      <c r="T49" s="285"/>
      <c r="U49" s="306"/>
      <c r="V49" s="178" t="s">
        <v>901</v>
      </c>
      <c r="W49" s="171" t="s">
        <v>96</v>
      </c>
      <c r="X49" s="171" t="s">
        <v>12</v>
      </c>
      <c r="Y49" s="179">
        <v>33.299999999999997</v>
      </c>
      <c r="Z49" s="171" t="s">
        <v>878</v>
      </c>
      <c r="AA49" s="171" t="s">
        <v>27</v>
      </c>
      <c r="AB49" s="171" t="s">
        <v>11</v>
      </c>
      <c r="AC49" s="171">
        <v>13.3</v>
      </c>
      <c r="AD49" s="178" t="s">
        <v>895</v>
      </c>
      <c r="AE49" s="171" t="s">
        <v>294</v>
      </c>
      <c r="AF49" s="171" t="s">
        <v>11</v>
      </c>
      <c r="AG49" s="179">
        <v>10</v>
      </c>
      <c r="AL49" s="178"/>
      <c r="AO49" s="179"/>
      <c r="AP49" s="178"/>
      <c r="AS49" s="179"/>
      <c r="AW49" s="179"/>
      <c r="BA49" s="180"/>
    </row>
    <row r="50" spans="1:53" s="171" customFormat="1" x14ac:dyDescent="0.15">
      <c r="A50" s="171">
        <v>2008</v>
      </c>
      <c r="B50" s="306"/>
      <c r="C50" s="410" t="s">
        <v>903</v>
      </c>
      <c r="D50" s="410"/>
      <c r="E50" s="171">
        <v>366</v>
      </c>
      <c r="G50" s="233">
        <v>5</v>
      </c>
      <c r="I50" s="171">
        <v>11</v>
      </c>
      <c r="J50" s="241">
        <v>16</v>
      </c>
      <c r="K50" s="214">
        <f t="shared" si="1"/>
        <v>31.25</v>
      </c>
      <c r="L50" s="214">
        <f t="shared" si="4"/>
        <v>0</v>
      </c>
      <c r="M50" s="214">
        <f t="shared" si="2"/>
        <v>68.75</v>
      </c>
      <c r="N50" s="235">
        <f t="shared" si="3"/>
        <v>100</v>
      </c>
      <c r="O50" s="213">
        <v>23.33</v>
      </c>
      <c r="P50" s="214"/>
      <c r="Q50" s="214">
        <v>33.33</v>
      </c>
      <c r="R50" s="215">
        <f t="shared" si="0"/>
        <v>56.66</v>
      </c>
      <c r="S50" s="171">
        <v>2</v>
      </c>
      <c r="T50" s="285"/>
      <c r="U50" s="306"/>
      <c r="V50" s="178" t="s">
        <v>901</v>
      </c>
      <c r="W50" s="171" t="s">
        <v>96</v>
      </c>
      <c r="X50" s="171" t="s">
        <v>12</v>
      </c>
      <c r="Y50" s="179">
        <v>33.299999999999997</v>
      </c>
      <c r="Z50" s="171" t="s">
        <v>878</v>
      </c>
      <c r="AA50" s="171" t="s">
        <v>27</v>
      </c>
      <c r="AB50" s="171" t="s">
        <v>11</v>
      </c>
      <c r="AC50" s="171">
        <v>13.3</v>
      </c>
      <c r="AD50" s="178" t="s">
        <v>895</v>
      </c>
      <c r="AE50" s="171" t="s">
        <v>294</v>
      </c>
      <c r="AF50" s="171" t="s">
        <v>11</v>
      </c>
      <c r="AG50" s="179">
        <v>10</v>
      </c>
      <c r="AL50" s="178"/>
      <c r="AO50" s="179"/>
      <c r="AP50" s="178"/>
      <c r="AS50" s="179"/>
      <c r="AW50" s="179"/>
      <c r="BA50" s="180"/>
    </row>
    <row r="51" spans="1:53" s="171" customFormat="1" x14ac:dyDescent="0.15">
      <c r="A51" s="171">
        <v>2009</v>
      </c>
      <c r="B51" s="306"/>
      <c r="C51" s="410" t="s">
        <v>903</v>
      </c>
      <c r="D51" s="410"/>
      <c r="E51" s="171">
        <v>239</v>
      </c>
      <c r="G51" s="233">
        <v>5</v>
      </c>
      <c r="I51" s="171">
        <v>11</v>
      </c>
      <c r="J51" s="241">
        <v>16</v>
      </c>
      <c r="K51" s="214">
        <f t="shared" si="1"/>
        <v>31.25</v>
      </c>
      <c r="L51" s="214">
        <f t="shared" si="4"/>
        <v>0</v>
      </c>
      <c r="M51" s="214">
        <f t="shared" si="2"/>
        <v>68.75</v>
      </c>
      <c r="N51" s="235">
        <f t="shared" si="3"/>
        <v>100</v>
      </c>
      <c r="O51" s="213">
        <v>23.33</v>
      </c>
      <c r="P51" s="214"/>
      <c r="Q51" s="214">
        <v>33.33</v>
      </c>
      <c r="R51" s="215">
        <f t="shared" si="0"/>
        <v>56.66</v>
      </c>
      <c r="S51" s="171">
        <v>2</v>
      </c>
      <c r="T51" s="285"/>
      <c r="U51" s="306"/>
      <c r="V51" s="178" t="s">
        <v>901</v>
      </c>
      <c r="W51" s="171" t="s">
        <v>96</v>
      </c>
      <c r="X51" s="171" t="s">
        <v>12</v>
      </c>
      <c r="Y51" s="179">
        <v>33.299999999999997</v>
      </c>
      <c r="Z51" s="171" t="s">
        <v>878</v>
      </c>
      <c r="AA51" s="171" t="s">
        <v>27</v>
      </c>
      <c r="AB51" s="171" t="s">
        <v>11</v>
      </c>
      <c r="AC51" s="171">
        <v>13.3</v>
      </c>
      <c r="AD51" s="178" t="s">
        <v>895</v>
      </c>
      <c r="AE51" s="171" t="s">
        <v>294</v>
      </c>
      <c r="AF51" s="171" t="s">
        <v>11</v>
      </c>
      <c r="AG51" s="179">
        <v>10</v>
      </c>
      <c r="AL51" s="178"/>
      <c r="AO51" s="179"/>
      <c r="AP51" s="178"/>
      <c r="AS51" s="179"/>
      <c r="AW51" s="179"/>
      <c r="BA51" s="180"/>
    </row>
    <row r="52" spans="1:53" s="171" customFormat="1" x14ac:dyDescent="0.15">
      <c r="A52" s="171">
        <v>2009</v>
      </c>
      <c r="B52" s="305">
        <v>40053</v>
      </c>
      <c r="C52" s="410" t="s">
        <v>903</v>
      </c>
      <c r="D52" s="410"/>
      <c r="E52" s="171">
        <f>365-E51</f>
        <v>126</v>
      </c>
      <c r="F52" s="244">
        <v>0</v>
      </c>
      <c r="G52" s="233">
        <v>4</v>
      </c>
      <c r="I52" s="171">
        <v>12</v>
      </c>
      <c r="J52" s="241">
        <v>16</v>
      </c>
      <c r="K52" s="214">
        <f t="shared" si="1"/>
        <v>25</v>
      </c>
      <c r="L52" s="214">
        <f t="shared" si="4"/>
        <v>0</v>
      </c>
      <c r="M52" s="214">
        <f t="shared" si="2"/>
        <v>75</v>
      </c>
      <c r="N52" s="235">
        <f t="shared" si="3"/>
        <v>100</v>
      </c>
      <c r="O52" s="213">
        <v>23.33</v>
      </c>
      <c r="P52" s="214"/>
      <c r="Q52" s="214">
        <v>33.33</v>
      </c>
      <c r="R52" s="215">
        <f t="shared" si="0"/>
        <v>56.66</v>
      </c>
      <c r="S52" s="171">
        <v>2</v>
      </c>
      <c r="T52" s="285"/>
      <c r="U52" s="306"/>
      <c r="V52" s="178" t="s">
        <v>901</v>
      </c>
      <c r="W52" s="171" t="s">
        <v>96</v>
      </c>
      <c r="X52" s="171" t="s">
        <v>12</v>
      </c>
      <c r="Y52" s="179">
        <v>33.299999999999997</v>
      </c>
      <c r="Z52" s="171" t="s">
        <v>878</v>
      </c>
      <c r="AA52" s="171" t="s">
        <v>27</v>
      </c>
      <c r="AB52" s="171" t="s">
        <v>11</v>
      </c>
      <c r="AC52" s="171">
        <v>13.3</v>
      </c>
      <c r="AD52" s="178" t="s">
        <v>895</v>
      </c>
      <c r="AE52" s="171" t="s">
        <v>294</v>
      </c>
      <c r="AF52" s="171" t="s">
        <v>11</v>
      </c>
      <c r="AG52" s="179">
        <v>10</v>
      </c>
      <c r="AL52" s="178"/>
      <c r="AO52" s="179"/>
      <c r="AP52" s="178"/>
      <c r="AS52" s="179"/>
      <c r="AW52" s="179"/>
      <c r="BA52" s="180"/>
    </row>
    <row r="53" spans="1:53" s="171" customFormat="1" x14ac:dyDescent="0.15">
      <c r="A53" s="171">
        <v>2010</v>
      </c>
      <c r="B53" s="306"/>
      <c r="C53" s="410" t="s">
        <v>903</v>
      </c>
      <c r="D53" s="410"/>
      <c r="E53" s="171">
        <v>189</v>
      </c>
      <c r="G53" s="233">
        <v>4</v>
      </c>
      <c r="I53" s="171">
        <v>12</v>
      </c>
      <c r="J53" s="241">
        <v>16</v>
      </c>
      <c r="K53" s="214">
        <f t="shared" si="1"/>
        <v>25</v>
      </c>
      <c r="L53" s="214">
        <f t="shared" si="4"/>
        <v>0</v>
      </c>
      <c r="M53" s="214">
        <f t="shared" si="2"/>
        <v>75</v>
      </c>
      <c r="N53" s="235">
        <f t="shared" si="3"/>
        <v>100</v>
      </c>
      <c r="O53" s="213">
        <v>23.33</v>
      </c>
      <c r="P53" s="214"/>
      <c r="Q53" s="214">
        <v>33.33</v>
      </c>
      <c r="R53" s="215">
        <f t="shared" si="0"/>
        <v>56.66</v>
      </c>
      <c r="S53" s="171">
        <v>2</v>
      </c>
      <c r="T53" s="285"/>
      <c r="U53" s="306"/>
      <c r="V53" s="178" t="s">
        <v>901</v>
      </c>
      <c r="W53" s="171" t="s">
        <v>96</v>
      </c>
      <c r="X53" s="171" t="s">
        <v>12</v>
      </c>
      <c r="Y53" s="179">
        <v>33.299999999999997</v>
      </c>
      <c r="Z53" s="171" t="s">
        <v>878</v>
      </c>
      <c r="AA53" s="171" t="s">
        <v>27</v>
      </c>
      <c r="AB53" s="171" t="s">
        <v>11</v>
      </c>
      <c r="AC53" s="171">
        <v>13.3</v>
      </c>
      <c r="AD53" s="178" t="s">
        <v>895</v>
      </c>
      <c r="AE53" s="171" t="s">
        <v>294</v>
      </c>
      <c r="AF53" s="171" t="s">
        <v>11</v>
      </c>
      <c r="AG53" s="179">
        <v>10</v>
      </c>
      <c r="AL53" s="178"/>
      <c r="AO53" s="179"/>
      <c r="AP53" s="178"/>
      <c r="AS53" s="179"/>
      <c r="AW53" s="179"/>
      <c r="BA53" s="180"/>
    </row>
    <row r="54" spans="1:53" s="29" customFormat="1" x14ac:dyDescent="0.15">
      <c r="A54" s="29">
        <v>2010</v>
      </c>
      <c r="B54" s="277">
        <v>40368</v>
      </c>
      <c r="C54" s="411" t="s">
        <v>896</v>
      </c>
      <c r="D54" s="411"/>
      <c r="E54" s="29">
        <f xml:space="preserve"> 365-E53</f>
        <v>176</v>
      </c>
      <c r="F54" s="29">
        <v>1</v>
      </c>
      <c r="G54" s="66">
        <v>7</v>
      </c>
      <c r="H54" s="29">
        <v>8</v>
      </c>
      <c r="J54" s="73">
        <v>15</v>
      </c>
      <c r="K54" s="47">
        <f t="shared" si="1"/>
        <v>46.666666666666664</v>
      </c>
      <c r="L54" s="47">
        <f t="shared" si="4"/>
        <v>53.333333333333336</v>
      </c>
      <c r="M54" s="47">
        <f t="shared" si="2"/>
        <v>0</v>
      </c>
      <c r="N54" s="68">
        <f t="shared" si="3"/>
        <v>100</v>
      </c>
      <c r="O54" s="46">
        <v>24</v>
      </c>
      <c r="P54" s="47">
        <v>28.66</v>
      </c>
      <c r="Q54" s="47"/>
      <c r="R54" s="48">
        <f t="shared" si="0"/>
        <v>52.66</v>
      </c>
      <c r="S54" s="29">
        <v>2</v>
      </c>
      <c r="T54" s="286">
        <v>40341</v>
      </c>
      <c r="U54" s="277">
        <v>40368</v>
      </c>
      <c r="V54" s="38" t="s">
        <v>894</v>
      </c>
      <c r="W54" s="29" t="s">
        <v>81</v>
      </c>
      <c r="X54" s="29" t="s">
        <v>18</v>
      </c>
      <c r="Y54" s="39">
        <v>18.7</v>
      </c>
      <c r="Z54" s="29" t="s">
        <v>897</v>
      </c>
      <c r="AA54" s="29" t="s">
        <v>899</v>
      </c>
      <c r="AB54" s="29" t="s">
        <v>11</v>
      </c>
      <c r="AC54" s="29">
        <v>14.7</v>
      </c>
      <c r="AD54" s="38" t="s">
        <v>883</v>
      </c>
      <c r="AE54" s="29" t="s">
        <v>17</v>
      </c>
      <c r="AF54" s="29" t="s">
        <v>18</v>
      </c>
      <c r="AG54" s="39">
        <v>10</v>
      </c>
      <c r="AH54" s="29" t="s">
        <v>898</v>
      </c>
      <c r="AI54" s="29" t="s">
        <v>900</v>
      </c>
      <c r="AJ54" s="29" t="s">
        <v>11</v>
      </c>
      <c r="AK54" s="29">
        <v>9.3000000000000007</v>
      </c>
      <c r="AL54" s="38"/>
      <c r="AO54" s="39"/>
      <c r="AP54" s="38"/>
      <c r="AS54" s="39"/>
      <c r="AW54" s="39"/>
      <c r="BA54" s="40"/>
    </row>
    <row r="55" spans="1:53" s="29" customFormat="1" x14ac:dyDescent="0.15">
      <c r="A55" s="29">
        <v>2011</v>
      </c>
      <c r="B55" s="277"/>
      <c r="C55" s="411" t="s">
        <v>896</v>
      </c>
      <c r="D55" s="411"/>
      <c r="E55" s="29">
        <v>331</v>
      </c>
      <c r="G55" s="66">
        <v>7</v>
      </c>
      <c r="H55" s="29">
        <v>8</v>
      </c>
      <c r="J55" s="73">
        <v>15</v>
      </c>
      <c r="K55" s="47">
        <f t="shared" ref="K55:K60" si="5">G55/J55*100</f>
        <v>46.666666666666664</v>
      </c>
      <c r="L55" s="47">
        <f t="shared" ref="L55:L60" si="6">H55/J55*100</f>
        <v>53.333333333333336</v>
      </c>
      <c r="M55" s="47">
        <f t="shared" ref="M55:M60" si="7">I55/J55*100</f>
        <v>0</v>
      </c>
      <c r="N55" s="68">
        <f t="shared" si="3"/>
        <v>100</v>
      </c>
      <c r="O55" s="46">
        <v>24</v>
      </c>
      <c r="P55" s="47">
        <v>28.66</v>
      </c>
      <c r="Q55" s="47"/>
      <c r="R55" s="48">
        <f t="shared" si="0"/>
        <v>52.66</v>
      </c>
      <c r="S55" s="29">
        <v>2</v>
      </c>
      <c r="T55" s="286"/>
      <c r="U55" s="277"/>
      <c r="V55" s="38" t="s">
        <v>894</v>
      </c>
      <c r="W55" s="29" t="s">
        <v>81</v>
      </c>
      <c r="X55" s="29" t="s">
        <v>18</v>
      </c>
      <c r="Y55" s="39">
        <v>18.7</v>
      </c>
      <c r="Z55" s="29" t="s">
        <v>897</v>
      </c>
      <c r="AA55" s="29" t="s">
        <v>899</v>
      </c>
      <c r="AB55" s="29" t="s">
        <v>11</v>
      </c>
      <c r="AC55" s="29">
        <v>14.7</v>
      </c>
      <c r="AD55" s="38" t="s">
        <v>883</v>
      </c>
      <c r="AE55" s="29" t="s">
        <v>17</v>
      </c>
      <c r="AF55" s="29" t="s">
        <v>18</v>
      </c>
      <c r="AG55" s="39">
        <v>10</v>
      </c>
      <c r="AH55" s="29" t="s">
        <v>898</v>
      </c>
      <c r="AI55" s="29" t="s">
        <v>900</v>
      </c>
      <c r="AJ55" s="29" t="s">
        <v>11</v>
      </c>
      <c r="AK55" s="29">
        <v>9.3000000000000007</v>
      </c>
      <c r="AL55" s="38"/>
      <c r="AO55" s="39"/>
      <c r="AP55" s="38"/>
      <c r="AS55" s="39"/>
      <c r="AW55" s="39"/>
      <c r="BA55" s="40"/>
    </row>
    <row r="56" spans="1:53" s="29" customFormat="1" x14ac:dyDescent="0.15">
      <c r="A56" s="29">
        <v>2011</v>
      </c>
      <c r="B56" s="303">
        <v>40875</v>
      </c>
      <c r="C56" s="411" t="s">
        <v>896</v>
      </c>
      <c r="D56" s="411"/>
      <c r="E56" s="29">
        <f xml:space="preserve"> 365-E55</f>
        <v>34</v>
      </c>
      <c r="F56" s="70"/>
      <c r="G56" s="66">
        <v>6</v>
      </c>
      <c r="H56" s="29">
        <v>9</v>
      </c>
      <c r="J56" s="73">
        <v>15</v>
      </c>
      <c r="K56" s="47">
        <f t="shared" si="5"/>
        <v>40</v>
      </c>
      <c r="L56" s="47">
        <f t="shared" si="6"/>
        <v>60</v>
      </c>
      <c r="M56" s="47">
        <f t="shared" si="7"/>
        <v>0</v>
      </c>
      <c r="N56" s="68">
        <f t="shared" si="3"/>
        <v>100</v>
      </c>
      <c r="O56" s="46">
        <v>24</v>
      </c>
      <c r="P56" s="47">
        <v>28.66</v>
      </c>
      <c r="Q56" s="47"/>
      <c r="R56" s="48">
        <f t="shared" si="0"/>
        <v>52.66</v>
      </c>
      <c r="S56" s="29">
        <v>2</v>
      </c>
      <c r="T56" s="286"/>
      <c r="U56" s="277"/>
      <c r="V56" s="38" t="s">
        <v>894</v>
      </c>
      <c r="W56" s="29" t="s">
        <v>81</v>
      </c>
      <c r="X56" s="29" t="s">
        <v>18</v>
      </c>
      <c r="Y56" s="39">
        <v>18.7</v>
      </c>
      <c r="Z56" s="29" t="s">
        <v>897</v>
      </c>
      <c r="AA56" s="29" t="s">
        <v>899</v>
      </c>
      <c r="AB56" s="29" t="s">
        <v>11</v>
      </c>
      <c r="AC56" s="29">
        <v>14.7</v>
      </c>
      <c r="AD56" s="38" t="s">
        <v>883</v>
      </c>
      <c r="AE56" s="29" t="s">
        <v>17</v>
      </c>
      <c r="AF56" s="29" t="s">
        <v>18</v>
      </c>
      <c r="AG56" s="39">
        <v>10</v>
      </c>
      <c r="AH56" s="29" t="s">
        <v>898</v>
      </c>
      <c r="AI56" s="29" t="s">
        <v>900</v>
      </c>
      <c r="AJ56" s="29" t="s">
        <v>11</v>
      </c>
      <c r="AK56" s="29">
        <v>9.3000000000000007</v>
      </c>
      <c r="AL56" s="38"/>
      <c r="AO56" s="39"/>
      <c r="AP56" s="38"/>
      <c r="AS56" s="39"/>
      <c r="AW56" s="39"/>
      <c r="BA56" s="40"/>
    </row>
    <row r="57" spans="1:53" s="29" customFormat="1" x14ac:dyDescent="0.15">
      <c r="A57" s="29">
        <v>2012</v>
      </c>
      <c r="B57" s="277"/>
      <c r="C57" s="411" t="s">
        <v>896</v>
      </c>
      <c r="D57" s="411"/>
      <c r="E57" s="29">
        <v>94</v>
      </c>
      <c r="G57" s="66">
        <v>6</v>
      </c>
      <c r="H57" s="29">
        <v>9</v>
      </c>
      <c r="J57" s="73">
        <v>15</v>
      </c>
      <c r="K57" s="47">
        <f t="shared" si="5"/>
        <v>40</v>
      </c>
      <c r="L57" s="47">
        <f t="shared" si="6"/>
        <v>60</v>
      </c>
      <c r="M57" s="47">
        <f t="shared" si="7"/>
        <v>0</v>
      </c>
      <c r="N57" s="68">
        <f t="shared" si="3"/>
        <v>100</v>
      </c>
      <c r="O57" s="46">
        <v>24</v>
      </c>
      <c r="P57" s="47">
        <v>28.66</v>
      </c>
      <c r="Q57" s="47"/>
      <c r="R57" s="48">
        <f t="shared" si="0"/>
        <v>52.66</v>
      </c>
      <c r="S57" s="29">
        <v>2</v>
      </c>
      <c r="T57" s="286"/>
      <c r="U57" s="277"/>
      <c r="V57" s="38" t="s">
        <v>894</v>
      </c>
      <c r="W57" s="29" t="s">
        <v>81</v>
      </c>
      <c r="X57" s="29" t="s">
        <v>18</v>
      </c>
      <c r="Y57" s="39">
        <v>18.7</v>
      </c>
      <c r="Z57" s="29" t="s">
        <v>897</v>
      </c>
      <c r="AA57" s="29" t="s">
        <v>899</v>
      </c>
      <c r="AB57" s="29" t="s">
        <v>11</v>
      </c>
      <c r="AC57" s="29">
        <v>14.7</v>
      </c>
      <c r="AD57" s="38" t="s">
        <v>883</v>
      </c>
      <c r="AE57" s="29" t="s">
        <v>17</v>
      </c>
      <c r="AF57" s="29" t="s">
        <v>18</v>
      </c>
      <c r="AG57" s="39">
        <v>10</v>
      </c>
      <c r="AH57" s="29" t="s">
        <v>898</v>
      </c>
      <c r="AI57" s="29" t="s">
        <v>900</v>
      </c>
      <c r="AJ57" s="29" t="s">
        <v>11</v>
      </c>
      <c r="AK57" s="29">
        <v>9.3000000000000007</v>
      </c>
      <c r="AL57" s="38"/>
      <c r="AO57" s="39"/>
      <c r="AP57" s="38"/>
      <c r="AS57" s="39"/>
      <c r="AW57" s="39"/>
      <c r="BA57" s="40"/>
    </row>
    <row r="58" spans="1:53" s="171" customFormat="1" x14ac:dyDescent="0.15">
      <c r="A58" s="171">
        <v>2012</v>
      </c>
      <c r="B58" s="306">
        <v>41003</v>
      </c>
      <c r="C58" s="438" t="s">
        <v>902</v>
      </c>
      <c r="D58" s="438"/>
      <c r="E58" s="171">
        <f xml:space="preserve"> 366-E57</f>
        <v>272</v>
      </c>
      <c r="F58" s="171">
        <v>1</v>
      </c>
      <c r="G58" s="233"/>
      <c r="I58" s="171">
        <v>15</v>
      </c>
      <c r="J58" s="241">
        <v>15</v>
      </c>
      <c r="K58" s="214">
        <f t="shared" si="5"/>
        <v>0</v>
      </c>
      <c r="L58" s="214">
        <f t="shared" si="6"/>
        <v>0</v>
      </c>
      <c r="M58" s="214">
        <f t="shared" si="7"/>
        <v>100</v>
      </c>
      <c r="N58" s="235">
        <f t="shared" si="3"/>
        <v>100</v>
      </c>
      <c r="O58" s="213"/>
      <c r="P58" s="214"/>
      <c r="Q58" s="214">
        <v>55.3</v>
      </c>
      <c r="R58" s="215">
        <f t="shared" si="0"/>
        <v>55.3</v>
      </c>
      <c r="S58" s="171">
        <v>1</v>
      </c>
      <c r="T58" s="285">
        <v>40978</v>
      </c>
      <c r="U58" s="306">
        <v>41003</v>
      </c>
      <c r="V58" s="178" t="s">
        <v>901</v>
      </c>
      <c r="W58" s="171" t="s">
        <v>96</v>
      </c>
      <c r="X58" s="171" t="s">
        <v>12</v>
      </c>
      <c r="Y58" s="179">
        <v>55.3</v>
      </c>
      <c r="AD58" s="178"/>
      <c r="AG58" s="179"/>
      <c r="AL58" s="178"/>
      <c r="AO58" s="179"/>
      <c r="AP58" s="178"/>
      <c r="AS58" s="179"/>
      <c r="AW58" s="179"/>
      <c r="BA58" s="180"/>
    </row>
    <row r="59" spans="1:53" s="171" customFormat="1" x14ac:dyDescent="0.15">
      <c r="A59" s="171">
        <v>2013</v>
      </c>
      <c r="B59" s="306"/>
      <c r="C59" s="438" t="s">
        <v>902</v>
      </c>
      <c r="D59" s="438"/>
      <c r="E59" s="171">
        <v>0</v>
      </c>
      <c r="G59" s="233"/>
      <c r="I59" s="171">
        <v>15</v>
      </c>
      <c r="J59" s="241">
        <v>15</v>
      </c>
      <c r="K59" s="214">
        <f t="shared" si="5"/>
        <v>0</v>
      </c>
      <c r="L59" s="214">
        <f t="shared" si="6"/>
        <v>0</v>
      </c>
      <c r="M59" s="214">
        <f t="shared" si="7"/>
        <v>100</v>
      </c>
      <c r="N59" s="235">
        <f t="shared" si="3"/>
        <v>100</v>
      </c>
      <c r="O59" s="213"/>
      <c r="P59" s="214"/>
      <c r="Q59" s="214">
        <v>55.3</v>
      </c>
      <c r="R59" s="215">
        <f t="shared" si="0"/>
        <v>55.3</v>
      </c>
      <c r="S59" s="171">
        <v>1</v>
      </c>
      <c r="T59" s="285"/>
      <c r="U59" s="306"/>
      <c r="V59" s="178" t="s">
        <v>901</v>
      </c>
      <c r="W59" s="171" t="s">
        <v>96</v>
      </c>
      <c r="X59" s="171" t="s">
        <v>12</v>
      </c>
      <c r="Y59" s="179">
        <v>55.3</v>
      </c>
      <c r="AD59" s="178"/>
      <c r="AG59" s="179"/>
      <c r="AL59" s="178"/>
      <c r="AO59" s="179"/>
      <c r="AP59" s="178"/>
      <c r="AS59" s="179"/>
      <c r="AW59" s="179"/>
      <c r="BA59" s="180"/>
    </row>
    <row r="60" spans="1:53" s="171" customFormat="1" x14ac:dyDescent="0.15">
      <c r="A60" s="171">
        <v>2013</v>
      </c>
      <c r="B60" s="306"/>
      <c r="C60" s="438" t="s">
        <v>902</v>
      </c>
      <c r="D60" s="438"/>
      <c r="E60" s="171">
        <v>365</v>
      </c>
      <c r="G60" s="233"/>
      <c r="I60" s="171">
        <v>15</v>
      </c>
      <c r="J60" s="241">
        <v>15</v>
      </c>
      <c r="K60" s="214">
        <f t="shared" si="5"/>
        <v>0</v>
      </c>
      <c r="L60" s="214">
        <f t="shared" si="6"/>
        <v>0</v>
      </c>
      <c r="M60" s="214">
        <f t="shared" si="7"/>
        <v>100</v>
      </c>
      <c r="N60" s="235">
        <f t="shared" si="3"/>
        <v>100</v>
      </c>
      <c r="O60" s="213"/>
      <c r="P60" s="214"/>
      <c r="Q60" s="214">
        <v>55.3</v>
      </c>
      <c r="R60" s="215">
        <f t="shared" si="0"/>
        <v>55.3</v>
      </c>
      <c r="S60" s="171">
        <v>1</v>
      </c>
      <c r="T60" s="285"/>
      <c r="U60" s="306"/>
      <c r="V60" s="178" t="s">
        <v>901</v>
      </c>
      <c r="W60" s="171" t="s">
        <v>96</v>
      </c>
      <c r="X60" s="171" t="s">
        <v>12</v>
      </c>
      <c r="Y60" s="179">
        <v>55.3</v>
      </c>
      <c r="AD60" s="178"/>
      <c r="AG60" s="179"/>
      <c r="AL60" s="178"/>
      <c r="AO60" s="179"/>
      <c r="AP60" s="178"/>
      <c r="AS60" s="179"/>
      <c r="AW60" s="179"/>
      <c r="BA60" s="180"/>
    </row>
    <row r="61" spans="1:53" s="171" customFormat="1" x14ac:dyDescent="0.15">
      <c r="A61" s="171">
        <v>2014</v>
      </c>
      <c r="B61" s="306"/>
      <c r="C61" s="438" t="s">
        <v>902</v>
      </c>
      <c r="D61" s="438"/>
      <c r="E61" s="171">
        <v>0</v>
      </c>
      <c r="G61" s="233"/>
      <c r="I61" s="171">
        <v>15</v>
      </c>
      <c r="J61" s="241">
        <v>15</v>
      </c>
      <c r="K61" s="214">
        <f>G61/J61*100</f>
        <v>0</v>
      </c>
      <c r="L61" s="214">
        <f>H61/J61*100</f>
        <v>0</v>
      </c>
      <c r="M61" s="214">
        <f>I61/J61*100</f>
        <v>100</v>
      </c>
      <c r="N61" s="235">
        <f>SUM(K61:M61)</f>
        <v>100</v>
      </c>
      <c r="O61" s="213"/>
      <c r="P61" s="214"/>
      <c r="Q61" s="214">
        <v>55.3</v>
      </c>
      <c r="R61" s="215">
        <f>SUM(O61:Q61)</f>
        <v>55.3</v>
      </c>
      <c r="S61" s="171">
        <v>1</v>
      </c>
      <c r="T61" s="285"/>
      <c r="U61" s="306"/>
      <c r="V61" s="178" t="s">
        <v>901</v>
      </c>
      <c r="W61" s="171" t="s">
        <v>96</v>
      </c>
      <c r="X61" s="171" t="s">
        <v>12</v>
      </c>
      <c r="Y61" s="179">
        <v>55.3</v>
      </c>
      <c r="AD61" s="178"/>
      <c r="AG61" s="179"/>
      <c r="AL61" s="178"/>
      <c r="AO61" s="179"/>
      <c r="AP61" s="178"/>
      <c r="AS61" s="179"/>
      <c r="AW61" s="179"/>
      <c r="BA61" s="180"/>
    </row>
    <row r="62" spans="1:53" s="171" customFormat="1" x14ac:dyDescent="0.15">
      <c r="A62" s="171">
        <v>2014</v>
      </c>
      <c r="B62" s="306"/>
      <c r="C62" s="438" t="s">
        <v>902</v>
      </c>
      <c r="D62" s="438"/>
      <c r="E62" s="171">
        <v>365</v>
      </c>
      <c r="G62" s="233"/>
      <c r="I62" s="171">
        <v>15</v>
      </c>
      <c r="J62" s="241">
        <v>15</v>
      </c>
      <c r="K62" s="214">
        <f>G62/J62*100</f>
        <v>0</v>
      </c>
      <c r="L62" s="214">
        <f>H62/J62*100</f>
        <v>0</v>
      </c>
      <c r="M62" s="214">
        <f>I62/J62*100</f>
        <v>100</v>
      </c>
      <c r="N62" s="235">
        <f>SUM(K62:M62)</f>
        <v>100</v>
      </c>
      <c r="O62" s="213"/>
      <c r="P62" s="214"/>
      <c r="Q62" s="214">
        <v>55.3</v>
      </c>
      <c r="R62" s="215">
        <f>SUM(O62:Q62)</f>
        <v>55.3</v>
      </c>
      <c r="S62" s="171">
        <v>1</v>
      </c>
      <c r="T62" s="285"/>
      <c r="U62" s="306"/>
      <c r="V62" s="178" t="s">
        <v>901</v>
      </c>
      <c r="W62" s="171" t="s">
        <v>96</v>
      </c>
      <c r="X62" s="171" t="s">
        <v>12</v>
      </c>
      <c r="Y62" s="179">
        <v>55.3</v>
      </c>
      <c r="AD62" s="178"/>
      <c r="AG62" s="179"/>
      <c r="AL62" s="178"/>
      <c r="AO62" s="179"/>
      <c r="AP62" s="178"/>
      <c r="AS62" s="179"/>
      <c r="AW62" s="179"/>
      <c r="BA62" s="180"/>
    </row>
    <row r="63" spans="1:53" s="171" customFormat="1" x14ac:dyDescent="0.15">
      <c r="A63" s="171">
        <v>2015</v>
      </c>
      <c r="B63" s="306"/>
      <c r="C63" s="438" t="s">
        <v>902</v>
      </c>
      <c r="D63" s="438"/>
      <c r="E63" s="171">
        <v>0</v>
      </c>
      <c r="G63" s="233"/>
      <c r="I63" s="171">
        <v>15</v>
      </c>
      <c r="J63" s="241">
        <v>15</v>
      </c>
      <c r="K63" s="214">
        <f t="shared" ref="K63:K65" si="8">G63/J63*100</f>
        <v>0</v>
      </c>
      <c r="L63" s="214">
        <f t="shared" ref="L63:L65" si="9">H63/J63*100</f>
        <v>0</v>
      </c>
      <c r="M63" s="214">
        <f t="shared" ref="M63:M65" si="10">I63/J63*100</f>
        <v>100</v>
      </c>
      <c r="N63" s="235">
        <f t="shared" ref="N63:N65" si="11">SUM(K63:M63)</f>
        <v>100</v>
      </c>
      <c r="O63" s="213"/>
      <c r="P63" s="214"/>
      <c r="Q63" s="214">
        <v>55.3</v>
      </c>
      <c r="R63" s="215">
        <f t="shared" ref="R63:R66" si="12">SUM(O63:Q63)</f>
        <v>55.3</v>
      </c>
      <c r="S63" s="171">
        <v>1</v>
      </c>
      <c r="T63" s="285"/>
      <c r="U63" s="306"/>
      <c r="V63" s="178" t="s">
        <v>901</v>
      </c>
      <c r="W63" s="171" t="s">
        <v>96</v>
      </c>
      <c r="X63" s="171" t="s">
        <v>12</v>
      </c>
      <c r="Y63" s="179">
        <v>55.3</v>
      </c>
      <c r="AD63" s="178"/>
      <c r="AG63" s="179"/>
      <c r="AL63" s="178"/>
      <c r="AO63" s="179"/>
      <c r="AP63" s="178"/>
      <c r="AS63" s="179"/>
      <c r="AW63" s="179"/>
      <c r="BA63" s="180"/>
    </row>
    <row r="64" spans="1:53" s="171" customFormat="1" x14ac:dyDescent="0.15">
      <c r="A64" s="171">
        <v>2015</v>
      </c>
      <c r="B64" s="306"/>
      <c r="C64" s="438" t="s">
        <v>902</v>
      </c>
      <c r="D64" s="438"/>
      <c r="E64" s="171">
        <v>365</v>
      </c>
      <c r="G64" s="233"/>
      <c r="I64" s="171">
        <v>15</v>
      </c>
      <c r="J64" s="241">
        <v>15</v>
      </c>
      <c r="K64" s="214">
        <f t="shared" si="8"/>
        <v>0</v>
      </c>
      <c r="L64" s="214">
        <f t="shared" si="9"/>
        <v>0</v>
      </c>
      <c r="M64" s="214">
        <f t="shared" si="10"/>
        <v>100</v>
      </c>
      <c r="N64" s="235">
        <f t="shared" si="11"/>
        <v>100</v>
      </c>
      <c r="O64" s="213"/>
      <c r="P64" s="214"/>
      <c r="Q64" s="214">
        <v>55.3</v>
      </c>
      <c r="R64" s="215">
        <f t="shared" si="12"/>
        <v>55.3</v>
      </c>
      <c r="S64" s="171">
        <v>1</v>
      </c>
      <c r="T64" s="285"/>
      <c r="U64" s="306"/>
      <c r="V64" s="178" t="s">
        <v>901</v>
      </c>
      <c r="W64" s="171" t="s">
        <v>96</v>
      </c>
      <c r="X64" s="171" t="s">
        <v>12</v>
      </c>
      <c r="Y64" s="179">
        <v>55.3</v>
      </c>
      <c r="AD64" s="178"/>
      <c r="AG64" s="179"/>
      <c r="AL64" s="178"/>
      <c r="AO64" s="179"/>
      <c r="AP64" s="178"/>
      <c r="AS64" s="179"/>
      <c r="AW64" s="179"/>
      <c r="BA64" s="180"/>
    </row>
    <row r="65" spans="1:53" s="171" customFormat="1" x14ac:dyDescent="0.15">
      <c r="A65" s="171">
        <v>2016</v>
      </c>
      <c r="B65" s="306"/>
      <c r="C65" s="438" t="s">
        <v>902</v>
      </c>
      <c r="D65" s="438"/>
      <c r="E65" s="171">
        <v>82</v>
      </c>
      <c r="G65" s="233"/>
      <c r="I65" s="171">
        <v>15</v>
      </c>
      <c r="J65" s="241">
        <v>15</v>
      </c>
      <c r="K65" s="214">
        <f t="shared" si="8"/>
        <v>0</v>
      </c>
      <c r="L65" s="214">
        <f t="shared" si="9"/>
        <v>0</v>
      </c>
      <c r="M65" s="214">
        <f t="shared" si="10"/>
        <v>100</v>
      </c>
      <c r="N65" s="235">
        <f t="shared" si="11"/>
        <v>100</v>
      </c>
      <c r="O65" s="213"/>
      <c r="P65" s="214"/>
      <c r="Q65" s="214">
        <v>55.3</v>
      </c>
      <c r="R65" s="215">
        <f t="shared" si="12"/>
        <v>55.3</v>
      </c>
      <c r="S65" s="171">
        <v>1</v>
      </c>
      <c r="T65" s="285"/>
      <c r="U65" s="306"/>
      <c r="V65" s="178" t="s">
        <v>901</v>
      </c>
      <c r="W65" s="171" t="s">
        <v>96</v>
      </c>
      <c r="X65" s="171" t="s">
        <v>12</v>
      </c>
      <c r="Y65" s="179">
        <v>55.3</v>
      </c>
      <c r="AD65" s="178"/>
      <c r="AG65" s="179"/>
      <c r="AL65" s="178"/>
      <c r="AO65" s="179"/>
      <c r="AP65" s="178"/>
      <c r="AS65" s="179"/>
      <c r="AW65" s="179"/>
      <c r="BA65" s="180"/>
    </row>
    <row r="66" spans="1:53" s="29" customFormat="1" x14ac:dyDescent="0.15">
      <c r="A66" s="29">
        <v>2016</v>
      </c>
      <c r="B66" s="277">
        <v>42452</v>
      </c>
      <c r="C66" s="434" t="s">
        <v>1349</v>
      </c>
      <c r="D66" s="434"/>
      <c r="E66" s="29">
        <v>161</v>
      </c>
      <c r="F66" s="29">
        <v>1</v>
      </c>
      <c r="G66" s="66">
        <v>5</v>
      </c>
      <c r="H66" s="29">
        <v>1</v>
      </c>
      <c r="I66" s="29">
        <v>9</v>
      </c>
      <c r="J66" s="73">
        <v>15</v>
      </c>
      <c r="K66" s="47">
        <f t="shared" ref="K66" si="13">G66/J66*100</f>
        <v>33.333333333333329</v>
      </c>
      <c r="L66" s="47">
        <f t="shared" ref="L66" si="14">H66/J66*100</f>
        <v>6.666666666666667</v>
      </c>
      <c r="M66" s="47">
        <f t="shared" ref="M66" si="15">I66/J66*100</f>
        <v>60</v>
      </c>
      <c r="N66" s="68">
        <f t="shared" ref="N66" si="16">SUM(K66:M66)</f>
        <v>100</v>
      </c>
      <c r="O66" s="46">
        <v>32.700000000000003</v>
      </c>
      <c r="P66" s="47">
        <v>4.7</v>
      </c>
      <c r="Q66" s="47">
        <v>17.3</v>
      </c>
      <c r="R66" s="48">
        <f t="shared" si="12"/>
        <v>54.7</v>
      </c>
      <c r="S66" s="29">
        <v>2</v>
      </c>
      <c r="T66" s="286">
        <v>42434</v>
      </c>
      <c r="U66" s="277">
        <v>42452</v>
      </c>
      <c r="V66" s="38" t="s">
        <v>901</v>
      </c>
      <c r="W66" s="29" t="s">
        <v>304</v>
      </c>
      <c r="X66" s="29" t="s">
        <v>12</v>
      </c>
      <c r="Y66" s="39">
        <v>32.700000000000003</v>
      </c>
      <c r="Z66" s="29" t="s">
        <v>878</v>
      </c>
      <c r="AA66" s="29" t="s">
        <v>27</v>
      </c>
      <c r="AB66" s="29" t="s">
        <v>11</v>
      </c>
      <c r="AC66" s="29">
        <v>10</v>
      </c>
      <c r="AD66" s="38" t="s">
        <v>898</v>
      </c>
      <c r="AE66" s="29" t="s">
        <v>900</v>
      </c>
      <c r="AF66" s="29" t="s">
        <v>11</v>
      </c>
      <c r="AG66" s="39">
        <v>7.3</v>
      </c>
      <c r="AH66" s="29" t="s">
        <v>1350</v>
      </c>
      <c r="AI66" s="29" t="s">
        <v>75</v>
      </c>
      <c r="AJ66" s="29" t="s">
        <v>18</v>
      </c>
      <c r="AK66" s="29">
        <v>4.7</v>
      </c>
      <c r="AL66" s="38"/>
      <c r="AO66" s="39"/>
      <c r="AP66" s="38"/>
      <c r="AS66" s="39"/>
      <c r="AW66" s="39"/>
      <c r="BA66" s="40"/>
    </row>
    <row r="67" spans="1:53" s="171" customFormat="1" x14ac:dyDescent="0.15">
      <c r="A67" s="171">
        <v>2016</v>
      </c>
      <c r="B67" s="306">
        <v>42613</v>
      </c>
      <c r="C67" s="438" t="s">
        <v>1487</v>
      </c>
      <c r="D67" s="438"/>
      <c r="E67" s="171">
        <v>123</v>
      </c>
      <c r="F67" s="191">
        <v>4</v>
      </c>
      <c r="G67" s="233">
        <v>6</v>
      </c>
      <c r="I67" s="171">
        <v>9</v>
      </c>
      <c r="J67" s="241">
        <v>15</v>
      </c>
      <c r="K67" s="214">
        <f t="shared" ref="K67" si="17">G67/J67*100</f>
        <v>40</v>
      </c>
      <c r="L67" s="214">
        <f t="shared" ref="L67" si="18">H67/J67*100</f>
        <v>0</v>
      </c>
      <c r="M67" s="214">
        <f t="shared" ref="M67" si="19">I67/J67*100</f>
        <v>60</v>
      </c>
      <c r="N67" s="235">
        <f t="shared" ref="N67" si="20">SUM(K67:M67)</f>
        <v>100</v>
      </c>
      <c r="O67" s="213">
        <v>32.700000000000003</v>
      </c>
      <c r="P67" s="214"/>
      <c r="Q67" s="214">
        <v>17.3</v>
      </c>
      <c r="R67" s="215">
        <f t="shared" ref="R67" si="21">SUM(O67:Q67)</f>
        <v>50</v>
      </c>
      <c r="S67" s="171">
        <v>2</v>
      </c>
      <c r="T67" s="285"/>
      <c r="U67" s="306"/>
      <c r="V67" s="178" t="s">
        <v>901</v>
      </c>
      <c r="W67" s="171" t="s">
        <v>304</v>
      </c>
      <c r="X67" s="171" t="s">
        <v>12</v>
      </c>
      <c r="Y67" s="179">
        <v>32.700000000000003</v>
      </c>
      <c r="Z67" s="171" t="s">
        <v>878</v>
      </c>
      <c r="AA67" s="171" t="s">
        <v>27</v>
      </c>
      <c r="AB67" s="171" t="s">
        <v>11</v>
      </c>
      <c r="AC67" s="171">
        <v>10</v>
      </c>
      <c r="AD67" s="178" t="s">
        <v>898</v>
      </c>
      <c r="AE67" s="171" t="s">
        <v>900</v>
      </c>
      <c r="AF67" s="171" t="s">
        <v>11</v>
      </c>
      <c r="AG67" s="179">
        <v>7.3</v>
      </c>
      <c r="AL67" s="178"/>
      <c r="AO67" s="179"/>
      <c r="AP67" s="178"/>
      <c r="AS67" s="179"/>
      <c r="AW67" s="179"/>
      <c r="BA67" s="180"/>
    </row>
    <row r="68" spans="1:53" s="171" customFormat="1" x14ac:dyDescent="0.15">
      <c r="A68" s="171">
        <v>2017</v>
      </c>
      <c r="B68" s="305"/>
      <c r="C68" s="438" t="s">
        <v>1487</v>
      </c>
      <c r="D68" s="438"/>
      <c r="E68" s="171">
        <v>0</v>
      </c>
      <c r="F68" s="244"/>
      <c r="G68" s="233">
        <v>6</v>
      </c>
      <c r="I68" s="171">
        <v>9</v>
      </c>
      <c r="J68" s="241">
        <v>15</v>
      </c>
      <c r="K68" s="214">
        <f t="shared" ref="K68:K69" si="22">G68/J68*100</f>
        <v>40</v>
      </c>
      <c r="L68" s="214">
        <f t="shared" ref="L68:L69" si="23">H68/J68*100</f>
        <v>0</v>
      </c>
      <c r="M68" s="214">
        <f t="shared" ref="M68:M69" si="24">I68/J68*100</f>
        <v>60</v>
      </c>
      <c r="N68" s="235">
        <f t="shared" ref="N68:N69" si="25">SUM(K68:M68)</f>
        <v>100</v>
      </c>
      <c r="O68" s="213">
        <v>32.700000000000003</v>
      </c>
      <c r="P68" s="214"/>
      <c r="Q68" s="214">
        <v>17.3</v>
      </c>
      <c r="R68" s="215">
        <f t="shared" ref="R68:R69" si="26">SUM(O68:Q68)</f>
        <v>50</v>
      </c>
      <c r="S68" s="171">
        <v>2</v>
      </c>
      <c r="T68" s="285"/>
      <c r="U68" s="306"/>
      <c r="V68" s="178" t="s">
        <v>901</v>
      </c>
      <c r="W68" s="171" t="s">
        <v>304</v>
      </c>
      <c r="X68" s="171" t="s">
        <v>12</v>
      </c>
      <c r="Y68" s="179">
        <v>32.700000000000003</v>
      </c>
      <c r="Z68" s="171" t="s">
        <v>878</v>
      </c>
      <c r="AA68" s="171" t="s">
        <v>27</v>
      </c>
      <c r="AB68" s="171" t="s">
        <v>11</v>
      </c>
      <c r="AC68" s="171">
        <v>10</v>
      </c>
      <c r="AD68" s="178" t="s">
        <v>898</v>
      </c>
      <c r="AE68" s="171" t="s">
        <v>900</v>
      </c>
      <c r="AF68" s="171" t="s">
        <v>11</v>
      </c>
      <c r="AG68" s="179">
        <v>7.3</v>
      </c>
      <c r="AL68" s="178"/>
      <c r="AO68" s="179"/>
      <c r="AP68" s="178"/>
      <c r="AS68" s="179"/>
      <c r="AW68" s="179"/>
      <c r="BA68" s="180"/>
    </row>
    <row r="69" spans="1:53" s="171" customFormat="1" x14ac:dyDescent="0.15">
      <c r="A69" s="171">
        <v>2017</v>
      </c>
      <c r="B69" s="305"/>
      <c r="C69" s="438" t="s">
        <v>1487</v>
      </c>
      <c r="D69" s="438"/>
      <c r="E69" s="171">
        <v>365</v>
      </c>
      <c r="F69" s="244"/>
      <c r="G69" s="233">
        <v>6</v>
      </c>
      <c r="I69" s="171">
        <v>9</v>
      </c>
      <c r="J69" s="241">
        <v>15</v>
      </c>
      <c r="K69" s="214">
        <f t="shared" si="22"/>
        <v>40</v>
      </c>
      <c r="L69" s="214">
        <f t="shared" si="23"/>
        <v>0</v>
      </c>
      <c r="M69" s="214">
        <f t="shared" si="24"/>
        <v>60</v>
      </c>
      <c r="N69" s="235">
        <f t="shared" si="25"/>
        <v>100</v>
      </c>
      <c r="O69" s="213">
        <v>32.700000000000003</v>
      </c>
      <c r="P69" s="214"/>
      <c r="Q69" s="214">
        <v>17.3</v>
      </c>
      <c r="R69" s="215">
        <f t="shared" si="26"/>
        <v>50</v>
      </c>
      <c r="S69" s="171">
        <v>2</v>
      </c>
      <c r="T69" s="285"/>
      <c r="U69" s="306"/>
      <c r="V69" s="178" t="s">
        <v>901</v>
      </c>
      <c r="W69" s="171" t="s">
        <v>304</v>
      </c>
      <c r="X69" s="171" t="s">
        <v>12</v>
      </c>
      <c r="Y69" s="179">
        <v>32.700000000000003</v>
      </c>
      <c r="Z69" s="171" t="s">
        <v>878</v>
      </c>
      <c r="AA69" s="171" t="s">
        <v>27</v>
      </c>
      <c r="AB69" s="171" t="s">
        <v>11</v>
      </c>
      <c r="AC69" s="171">
        <v>10</v>
      </c>
      <c r="AD69" s="178" t="s">
        <v>898</v>
      </c>
      <c r="AE69" s="171" t="s">
        <v>900</v>
      </c>
      <c r="AF69" s="171" t="s">
        <v>11</v>
      </c>
      <c r="AG69" s="179">
        <v>7.3</v>
      </c>
      <c r="AL69" s="178"/>
      <c r="AO69" s="179"/>
      <c r="AP69" s="178"/>
      <c r="AS69" s="179"/>
      <c r="AW69" s="179"/>
      <c r="BA69" s="180"/>
    </row>
    <row r="70" spans="1:53" s="171" customFormat="1" x14ac:dyDescent="0.15">
      <c r="A70" s="171">
        <v>2018</v>
      </c>
      <c r="B70" s="305"/>
      <c r="C70" s="438" t="s">
        <v>1487</v>
      </c>
      <c r="D70" s="438"/>
      <c r="E70" s="171">
        <v>52</v>
      </c>
      <c r="F70" s="244"/>
      <c r="G70" s="233">
        <v>6</v>
      </c>
      <c r="I70" s="171">
        <v>9</v>
      </c>
      <c r="J70" s="241">
        <v>15</v>
      </c>
      <c r="K70" s="214">
        <f t="shared" ref="K70" si="27">G70/J70*100</f>
        <v>40</v>
      </c>
      <c r="L70" s="214">
        <f t="shared" ref="L70" si="28">H70/J70*100</f>
        <v>0</v>
      </c>
      <c r="M70" s="214">
        <f t="shared" ref="M70" si="29">I70/J70*100</f>
        <v>60</v>
      </c>
      <c r="N70" s="235">
        <f t="shared" ref="N70" si="30">SUM(K70:M70)</f>
        <v>100</v>
      </c>
      <c r="O70" s="213">
        <v>32.700000000000003</v>
      </c>
      <c r="P70" s="214"/>
      <c r="Q70" s="214">
        <v>17.3</v>
      </c>
      <c r="R70" s="215">
        <f t="shared" ref="R70:R71" si="31">SUM(O70:Q70)</f>
        <v>50</v>
      </c>
      <c r="S70" s="171">
        <v>2</v>
      </c>
      <c r="T70" s="285"/>
      <c r="U70" s="306"/>
      <c r="V70" s="178" t="s">
        <v>901</v>
      </c>
      <c r="W70" s="171" t="s">
        <v>304</v>
      </c>
      <c r="X70" s="171" t="s">
        <v>12</v>
      </c>
      <c r="Y70" s="179">
        <v>32.700000000000003</v>
      </c>
      <c r="Z70" s="171" t="s">
        <v>878</v>
      </c>
      <c r="AA70" s="171" t="s">
        <v>27</v>
      </c>
      <c r="AB70" s="171" t="s">
        <v>11</v>
      </c>
      <c r="AC70" s="171">
        <v>10</v>
      </c>
      <c r="AD70" s="178" t="s">
        <v>898</v>
      </c>
      <c r="AE70" s="171" t="s">
        <v>900</v>
      </c>
      <c r="AF70" s="171" t="s">
        <v>11</v>
      </c>
      <c r="AG70" s="179">
        <v>7.3</v>
      </c>
      <c r="AL70" s="178"/>
      <c r="AO70" s="179"/>
      <c r="AP70" s="178"/>
      <c r="AS70" s="179"/>
      <c r="AW70" s="179"/>
      <c r="BA70" s="180"/>
    </row>
    <row r="71" spans="1:53" s="29" customFormat="1" x14ac:dyDescent="0.15">
      <c r="A71" s="29">
        <v>2018</v>
      </c>
      <c r="B71" s="277">
        <v>43153</v>
      </c>
      <c r="C71" s="434" t="s">
        <v>1455</v>
      </c>
      <c r="D71" s="434"/>
      <c r="E71" s="29">
        <v>313</v>
      </c>
      <c r="F71" s="29">
        <v>2</v>
      </c>
      <c r="G71" s="66">
        <v>6</v>
      </c>
      <c r="I71" s="29">
        <v>9</v>
      </c>
      <c r="J71" s="73">
        <v>15</v>
      </c>
      <c r="K71" s="47">
        <f t="shared" ref="K71" si="32">G71/J71*100</f>
        <v>40</v>
      </c>
      <c r="L71" s="47">
        <f t="shared" ref="L71" si="33">H71/J71*100</f>
        <v>0</v>
      </c>
      <c r="M71" s="47">
        <f t="shared" ref="M71" si="34">I71/J71*100</f>
        <v>60</v>
      </c>
      <c r="N71" s="68">
        <f t="shared" ref="N71" si="35">SUM(K71:M71)</f>
        <v>100</v>
      </c>
      <c r="O71" s="46">
        <v>32.700000000000003</v>
      </c>
      <c r="P71" s="47"/>
      <c r="Q71" s="47">
        <v>17.3</v>
      </c>
      <c r="R71" s="48">
        <f t="shared" si="31"/>
        <v>50</v>
      </c>
      <c r="S71" s="29">
        <v>2</v>
      </c>
      <c r="T71" s="286"/>
      <c r="U71" s="277">
        <v>43153</v>
      </c>
      <c r="V71" s="38" t="s">
        <v>901</v>
      </c>
      <c r="W71" s="29" t="s">
        <v>304</v>
      </c>
      <c r="X71" s="29" t="s">
        <v>12</v>
      </c>
      <c r="Y71" s="39">
        <v>32.700000000000003</v>
      </c>
      <c r="Z71" s="29" t="s">
        <v>878</v>
      </c>
      <c r="AA71" s="29" t="s">
        <v>27</v>
      </c>
      <c r="AB71" s="29" t="s">
        <v>11</v>
      </c>
      <c r="AC71" s="29">
        <v>10</v>
      </c>
      <c r="AD71" s="38" t="s">
        <v>898</v>
      </c>
      <c r="AE71" s="29" t="s">
        <v>900</v>
      </c>
      <c r="AF71" s="29" t="s">
        <v>11</v>
      </c>
      <c r="AG71" s="39">
        <v>7.3</v>
      </c>
      <c r="AL71" s="38"/>
      <c r="AO71" s="39"/>
      <c r="AP71" s="38"/>
      <c r="AS71" s="39"/>
      <c r="AW71" s="39"/>
      <c r="BA71" s="40"/>
    </row>
    <row r="72" spans="1:53" s="29" customFormat="1" x14ac:dyDescent="0.15">
      <c r="A72" s="29">
        <v>2019</v>
      </c>
      <c r="B72" s="277"/>
      <c r="C72" s="434" t="s">
        <v>1455</v>
      </c>
      <c r="D72" s="434"/>
      <c r="E72" s="29">
        <v>0</v>
      </c>
      <c r="G72" s="66">
        <v>6</v>
      </c>
      <c r="I72" s="29">
        <v>9</v>
      </c>
      <c r="J72" s="73">
        <v>15</v>
      </c>
      <c r="K72" s="47">
        <f t="shared" ref="K72:K75" si="36">G72/J72*100</f>
        <v>40</v>
      </c>
      <c r="L72" s="47">
        <f t="shared" ref="L72:L75" si="37">H72/J72*100</f>
        <v>0</v>
      </c>
      <c r="M72" s="47">
        <f t="shared" ref="M72:M75" si="38">I72/J72*100</f>
        <v>60</v>
      </c>
      <c r="N72" s="48">
        <f t="shared" ref="N72:N75" si="39">SUM(K72:M72)</f>
        <v>100</v>
      </c>
      <c r="O72" s="47">
        <v>32.700000000000003</v>
      </c>
      <c r="P72" s="47"/>
      <c r="Q72" s="47">
        <v>17.3</v>
      </c>
      <c r="R72" s="48">
        <f t="shared" ref="R72:R75" si="40">SUM(O72:Q72)</f>
        <v>50</v>
      </c>
      <c r="S72" s="29">
        <v>2</v>
      </c>
      <c r="T72" s="286"/>
      <c r="U72" s="277"/>
      <c r="V72" s="38" t="s">
        <v>901</v>
      </c>
      <c r="W72" s="29" t="s">
        <v>304</v>
      </c>
      <c r="X72" s="29" t="s">
        <v>12</v>
      </c>
      <c r="Y72" s="39">
        <v>32.700000000000003</v>
      </c>
      <c r="Z72" s="29" t="s">
        <v>878</v>
      </c>
      <c r="AA72" s="29" t="s">
        <v>27</v>
      </c>
      <c r="AB72" s="29" t="s">
        <v>11</v>
      </c>
      <c r="AC72" s="29">
        <v>10</v>
      </c>
      <c r="AD72" s="38" t="s">
        <v>898</v>
      </c>
      <c r="AE72" s="29" t="s">
        <v>900</v>
      </c>
      <c r="AF72" s="29" t="s">
        <v>11</v>
      </c>
      <c r="AG72" s="39">
        <v>7.3</v>
      </c>
      <c r="AL72" s="38"/>
      <c r="AO72" s="39"/>
      <c r="AS72" s="39"/>
      <c r="AW72" s="39"/>
      <c r="BA72" s="40"/>
    </row>
    <row r="73" spans="1:53" s="29" customFormat="1" x14ac:dyDescent="0.15">
      <c r="A73" s="29">
        <v>2019</v>
      </c>
      <c r="B73" s="277"/>
      <c r="C73" s="434" t="s">
        <v>1455</v>
      </c>
      <c r="D73" s="434"/>
      <c r="E73" s="29">
        <v>365</v>
      </c>
      <c r="F73" s="40"/>
      <c r="G73" s="29">
        <v>6</v>
      </c>
      <c r="I73" s="29">
        <v>9</v>
      </c>
      <c r="J73" s="73">
        <v>15</v>
      </c>
      <c r="K73" s="47">
        <f t="shared" si="36"/>
        <v>40</v>
      </c>
      <c r="L73" s="47">
        <f t="shared" si="37"/>
        <v>0</v>
      </c>
      <c r="M73" s="47">
        <f t="shared" si="38"/>
        <v>60</v>
      </c>
      <c r="N73" s="48">
        <f t="shared" si="39"/>
        <v>100</v>
      </c>
      <c r="O73" s="47">
        <v>32.700000000000003</v>
      </c>
      <c r="P73" s="47"/>
      <c r="Q73" s="47">
        <v>17.3</v>
      </c>
      <c r="R73" s="48">
        <f t="shared" si="40"/>
        <v>50</v>
      </c>
      <c r="S73" s="40">
        <v>2</v>
      </c>
      <c r="T73" s="321"/>
      <c r="U73" s="277"/>
      <c r="V73" s="38" t="s">
        <v>901</v>
      </c>
      <c r="W73" s="29" t="s">
        <v>304</v>
      </c>
      <c r="X73" s="29" t="s">
        <v>12</v>
      </c>
      <c r="Y73" s="39">
        <v>32.700000000000003</v>
      </c>
      <c r="Z73" s="29" t="s">
        <v>878</v>
      </c>
      <c r="AA73" s="29" t="s">
        <v>27</v>
      </c>
      <c r="AB73" s="29" t="s">
        <v>11</v>
      </c>
      <c r="AC73" s="39">
        <v>10</v>
      </c>
      <c r="AD73" s="29" t="s">
        <v>898</v>
      </c>
      <c r="AE73" s="29" t="s">
        <v>900</v>
      </c>
      <c r="AF73" s="29" t="s">
        <v>11</v>
      </c>
      <c r="AG73" s="39">
        <v>7.3</v>
      </c>
      <c r="AK73" s="39"/>
      <c r="AO73" s="39"/>
      <c r="AS73" s="39"/>
      <c r="AW73" s="39"/>
      <c r="BA73" s="40"/>
    </row>
    <row r="74" spans="1:53" s="29" customFormat="1" x14ac:dyDescent="0.15">
      <c r="A74" s="29">
        <v>2020</v>
      </c>
      <c r="B74" s="277"/>
      <c r="C74" s="434" t="s">
        <v>1455</v>
      </c>
      <c r="D74" s="434"/>
      <c r="E74" s="29">
        <v>80</v>
      </c>
      <c r="F74" s="40"/>
      <c r="G74" s="29">
        <v>6</v>
      </c>
      <c r="I74" s="29">
        <v>9</v>
      </c>
      <c r="J74" s="73">
        <v>15</v>
      </c>
      <c r="K74" s="47">
        <f t="shared" si="36"/>
        <v>40</v>
      </c>
      <c r="L74" s="47">
        <f t="shared" si="37"/>
        <v>0</v>
      </c>
      <c r="M74" s="47">
        <f t="shared" si="38"/>
        <v>60</v>
      </c>
      <c r="N74" s="48">
        <f t="shared" si="39"/>
        <v>100</v>
      </c>
      <c r="O74" s="47">
        <v>32.700000000000003</v>
      </c>
      <c r="P74" s="47"/>
      <c r="Q74" s="47">
        <v>17.3</v>
      </c>
      <c r="R74" s="48">
        <f t="shared" si="40"/>
        <v>50</v>
      </c>
      <c r="S74" s="40">
        <v>2</v>
      </c>
      <c r="T74" s="321"/>
      <c r="U74" s="345"/>
      <c r="V74" s="29" t="s">
        <v>901</v>
      </c>
      <c r="W74" s="29" t="s">
        <v>304</v>
      </c>
      <c r="X74" s="29" t="s">
        <v>12</v>
      </c>
      <c r="Y74" s="39">
        <v>32.700000000000003</v>
      </c>
      <c r="Z74" s="29" t="s">
        <v>878</v>
      </c>
      <c r="AA74" s="29" t="s">
        <v>27</v>
      </c>
      <c r="AB74" s="29" t="s">
        <v>11</v>
      </c>
      <c r="AC74" s="39">
        <v>10</v>
      </c>
      <c r="AD74" s="29" t="s">
        <v>898</v>
      </c>
      <c r="AE74" s="29" t="s">
        <v>900</v>
      </c>
      <c r="AF74" s="29" t="s">
        <v>11</v>
      </c>
      <c r="AG74" s="39">
        <v>7.3</v>
      </c>
      <c r="AK74" s="39"/>
      <c r="AO74" s="39"/>
      <c r="AS74" s="39"/>
      <c r="AW74" s="39"/>
      <c r="BA74" s="40"/>
    </row>
    <row r="75" spans="1:53" s="171" customFormat="1" x14ac:dyDescent="0.15">
      <c r="A75" s="171">
        <v>2020</v>
      </c>
      <c r="B75" s="306">
        <v>43911</v>
      </c>
      <c r="C75" s="438" t="s">
        <v>1478</v>
      </c>
      <c r="D75" s="438"/>
      <c r="E75" s="171">
        <v>286</v>
      </c>
      <c r="F75" s="180">
        <v>1</v>
      </c>
      <c r="G75" s="171">
        <v>15</v>
      </c>
      <c r="J75" s="241">
        <v>15</v>
      </c>
      <c r="K75" s="214">
        <f t="shared" si="36"/>
        <v>100</v>
      </c>
      <c r="L75" s="214">
        <f t="shared" si="37"/>
        <v>0</v>
      </c>
      <c r="M75" s="214">
        <f t="shared" si="38"/>
        <v>0</v>
      </c>
      <c r="N75" s="215">
        <f t="shared" si="39"/>
        <v>100</v>
      </c>
      <c r="O75" s="214">
        <v>63.3</v>
      </c>
      <c r="P75" s="214"/>
      <c r="Q75" s="214"/>
      <c r="R75" s="215">
        <f t="shared" si="40"/>
        <v>63.3</v>
      </c>
      <c r="S75" s="180">
        <v>3</v>
      </c>
      <c r="T75" s="351">
        <v>43890</v>
      </c>
      <c r="U75" s="341">
        <v>43911</v>
      </c>
      <c r="V75" s="171" t="s">
        <v>1479</v>
      </c>
      <c r="W75" s="171" t="s">
        <v>74</v>
      </c>
      <c r="X75" s="171" t="s">
        <v>11</v>
      </c>
      <c r="Y75" s="179">
        <v>35.299999999999997</v>
      </c>
      <c r="Z75" s="171" t="s">
        <v>897</v>
      </c>
      <c r="AA75" s="171" t="s">
        <v>899</v>
      </c>
      <c r="AB75" s="171" t="s">
        <v>11</v>
      </c>
      <c r="AC75" s="179">
        <v>8.6999999999999993</v>
      </c>
      <c r="AD75" s="171" t="s">
        <v>1488</v>
      </c>
      <c r="AE75" s="171" t="s">
        <v>1490</v>
      </c>
      <c r="AF75" s="171" t="s">
        <v>11</v>
      </c>
      <c r="AG75" s="179">
        <v>11.3</v>
      </c>
      <c r="AH75" s="171" t="s">
        <v>1480</v>
      </c>
      <c r="AI75" s="171" t="s">
        <v>1310</v>
      </c>
      <c r="AJ75" s="171" t="s">
        <v>11</v>
      </c>
      <c r="AK75" s="179">
        <v>8</v>
      </c>
      <c r="AO75" s="179"/>
      <c r="AS75" s="179"/>
      <c r="AW75" s="179"/>
      <c r="BA75" s="180"/>
    </row>
    <row r="76" spans="1:53" x14ac:dyDescent="0.15">
      <c r="B76" s="273"/>
      <c r="C76" s="365"/>
      <c r="D76" s="365"/>
      <c r="F76" s="366"/>
      <c r="J76" s="26"/>
      <c r="K76" s="12"/>
      <c r="L76" s="12"/>
      <c r="M76" s="12"/>
      <c r="N76" s="20"/>
      <c r="O76" s="12"/>
      <c r="P76" s="12"/>
      <c r="Q76" s="12"/>
      <c r="R76" s="20"/>
      <c r="T76" s="367"/>
      <c r="U76" s="368"/>
    </row>
    <row r="79" spans="1:53" ht="18" customHeight="1" x14ac:dyDescent="0.15">
      <c r="B79" s="16" t="s">
        <v>1264</v>
      </c>
    </row>
    <row r="80" spans="1:53" ht="9" customHeight="1" x14ac:dyDescent="0.15"/>
    <row r="81" spans="1:30" s="195" customFormat="1" ht="9" customHeight="1" x14ac:dyDescent="0.15">
      <c r="A81" s="193"/>
      <c r="B81" s="194" t="s">
        <v>1215</v>
      </c>
      <c r="C81" s="194"/>
      <c r="D81" s="194"/>
      <c r="E81" s="194"/>
      <c r="F81" s="194"/>
      <c r="G81" s="194" t="s">
        <v>1216</v>
      </c>
      <c r="H81" s="194"/>
      <c r="I81" s="194"/>
      <c r="J81" s="194"/>
      <c r="K81" s="194"/>
      <c r="L81" s="194"/>
      <c r="M81" s="194"/>
      <c r="N81" s="194"/>
      <c r="R81" s="388" t="s">
        <v>1217</v>
      </c>
      <c r="S81" s="388"/>
      <c r="T81" s="388"/>
      <c r="U81" s="388"/>
      <c r="V81" s="388"/>
      <c r="W81" s="388"/>
      <c r="X81" s="196"/>
      <c r="Y81" s="196"/>
      <c r="AA81" s="196"/>
      <c r="AB81" s="196"/>
      <c r="AC81" s="196"/>
      <c r="AD81" s="196"/>
    </row>
    <row r="82" spans="1:30" s="200" customFormat="1" ht="9" customHeight="1" x14ac:dyDescent="0.15">
      <c r="A82" s="197"/>
      <c r="B82" s="198" t="s">
        <v>1219</v>
      </c>
      <c r="C82" s="199"/>
      <c r="D82" s="199"/>
      <c r="E82" s="199"/>
      <c r="F82" s="199"/>
      <c r="G82" s="198" t="s">
        <v>1218</v>
      </c>
      <c r="H82" s="199"/>
      <c r="I82" s="199"/>
      <c r="J82" s="199"/>
      <c r="K82" s="199"/>
      <c r="L82" s="199"/>
      <c r="M82" s="199"/>
      <c r="N82" s="199"/>
      <c r="R82" s="201" t="s">
        <v>1220</v>
      </c>
      <c r="S82" s="202"/>
      <c r="T82" s="203"/>
      <c r="U82" s="203"/>
      <c r="V82" s="203"/>
      <c r="W82" s="201" t="s">
        <v>1221</v>
      </c>
      <c r="X82" s="203"/>
      <c r="Y82" s="203"/>
      <c r="AA82" s="203"/>
      <c r="AB82" s="203"/>
      <c r="AC82" s="203"/>
      <c r="AD82" s="203"/>
    </row>
    <row r="83" spans="1:30" s="186" customFormat="1" ht="12" customHeight="1" x14ac:dyDescent="0.15">
      <c r="A83" s="204" t="s">
        <v>3</v>
      </c>
      <c r="B83" s="205" t="s">
        <v>8</v>
      </c>
      <c r="C83" s="205" t="s">
        <v>9</v>
      </c>
      <c r="D83" s="205" t="s">
        <v>10</v>
      </c>
      <c r="E83" s="206" t="s">
        <v>1195</v>
      </c>
      <c r="F83" s="205"/>
      <c r="G83" s="186" t="s">
        <v>3</v>
      </c>
      <c r="H83" s="389" t="s">
        <v>0</v>
      </c>
      <c r="I83" s="389"/>
      <c r="J83" s="389" t="s">
        <v>1</v>
      </c>
      <c r="K83" s="389"/>
      <c r="L83" s="389" t="s">
        <v>2</v>
      </c>
      <c r="M83" s="389"/>
      <c r="N83" s="390" t="s">
        <v>1195</v>
      </c>
      <c r="O83" s="390"/>
      <c r="P83" s="207"/>
      <c r="Q83" s="207"/>
      <c r="R83" s="208" t="s">
        <v>3</v>
      </c>
      <c r="S83" s="209" t="s">
        <v>135</v>
      </c>
      <c r="T83" s="207" t="s">
        <v>133</v>
      </c>
      <c r="U83" s="205" t="s">
        <v>134</v>
      </c>
      <c r="V83" s="207"/>
      <c r="W83" s="210" t="s">
        <v>26</v>
      </c>
    </row>
    <row r="84" spans="1:30" x14ac:dyDescent="0.15">
      <c r="A84" s="1">
        <v>1990</v>
      </c>
      <c r="B84" s="5">
        <f>(K7*($E7/188))</f>
        <v>65.217391304347828</v>
      </c>
      <c r="C84" s="5">
        <f>(L7*($E7/188))</f>
        <v>34.782608695652172</v>
      </c>
      <c r="D84" s="5">
        <f>(M7*($E7/188))</f>
        <v>0</v>
      </c>
      <c r="E84" s="24">
        <f>B84+C84+D84</f>
        <v>100</v>
      </c>
      <c r="F84" s="9"/>
      <c r="G84" s="9">
        <v>1990</v>
      </c>
      <c r="H84" s="409">
        <f>((O7/$R7*100*($E7/188)))</f>
        <v>63.937282229965156</v>
      </c>
      <c r="I84" s="409"/>
      <c r="J84" s="409">
        <f>((P7/$R7*100*($E7/188)))</f>
        <v>36.062717770034844</v>
      </c>
      <c r="K84" s="409"/>
      <c r="L84" s="409">
        <f>((Q7/$R7*100*($E7/188)))</f>
        <v>0</v>
      </c>
      <c r="M84" s="409"/>
      <c r="N84" s="424">
        <f>H84+J84+L84</f>
        <v>100</v>
      </c>
      <c r="O84" s="424"/>
      <c r="P84" s="9"/>
      <c r="Q84" s="9"/>
      <c r="R84" s="9">
        <v>1990</v>
      </c>
      <c r="S84" s="5">
        <f>(O7*($E7/188))</f>
        <v>36.700000000000003</v>
      </c>
      <c r="T84" s="5">
        <f>(P7*($E7/188))</f>
        <v>20.7</v>
      </c>
      <c r="U84" s="5">
        <f>(Q7*($E7/188))</f>
        <v>0</v>
      </c>
      <c r="V84" s="9"/>
      <c r="W84" s="5">
        <f>S84+T84+U84</f>
        <v>57.400000000000006</v>
      </c>
      <c r="X84" s="25"/>
      <c r="Y84" s="125" t="s">
        <v>1207</v>
      </c>
      <c r="Z84" s="25"/>
    </row>
    <row r="85" spans="1:30" x14ac:dyDescent="0.15">
      <c r="A85" s="1">
        <v>1991</v>
      </c>
      <c r="B85" s="5">
        <f>(K8*($E8/365))+(K9*($E9/365))</f>
        <v>62.203692674210849</v>
      </c>
      <c r="C85" s="5">
        <f>(L8*($E8/365))+(L9*($E9/365))</f>
        <v>37.796307325789158</v>
      </c>
      <c r="D85" s="5">
        <f>(M8*($E8/365))+(M9*($E9/365))</f>
        <v>0</v>
      </c>
      <c r="E85" s="24">
        <f>B85+C85+D85</f>
        <v>100</v>
      </c>
      <c r="F85" s="9"/>
      <c r="G85" s="9">
        <v>1991</v>
      </c>
      <c r="H85" s="409">
        <f>(O8/$R8*100*($E8/365))+(O9/$R9*100*($E9/365))</f>
        <v>63.937282229965163</v>
      </c>
      <c r="I85" s="409"/>
      <c r="J85" s="409">
        <f>(P8/$R8*100*($E8/365))+(P9/$R9*100*($E9/365))</f>
        <v>36.062717770034844</v>
      </c>
      <c r="K85" s="409"/>
      <c r="L85" s="409">
        <f>(Q8/$R8*100*($E8/365))+(Q9/$R9*100*($E9/365))</f>
        <v>0</v>
      </c>
      <c r="M85" s="409"/>
      <c r="N85" s="424">
        <f>H85+J85+L85</f>
        <v>100</v>
      </c>
      <c r="O85" s="424"/>
      <c r="P85" s="9"/>
      <c r="Q85" s="9"/>
      <c r="R85" s="9">
        <v>1991</v>
      </c>
      <c r="S85" s="5">
        <f>(O8*($E8/365))+(O9*($E9/365))</f>
        <v>36.700000000000003</v>
      </c>
      <c r="T85" s="5">
        <f>(P8*($E8/365))+(P9*($E9/365))</f>
        <v>20.700000000000003</v>
      </c>
      <c r="U85" s="5">
        <f>(Q8*($E8/365))+(Q9*($E9/365))</f>
        <v>0</v>
      </c>
      <c r="V85" s="9"/>
      <c r="W85" s="5">
        <f>S85+T85+U85</f>
        <v>57.400000000000006</v>
      </c>
      <c r="X85" s="25"/>
      <c r="Y85" s="25"/>
      <c r="Z85" s="25"/>
    </row>
    <row r="86" spans="1:30" x14ac:dyDescent="0.15">
      <c r="A86" s="1">
        <v>1992</v>
      </c>
      <c r="B86" s="5">
        <f>(K10*($E10/366))+(K11*($E11/366))</f>
        <v>81.290092658588748</v>
      </c>
      <c r="C86" s="5">
        <f>(L10*($E10/366))+(L11*($E11/366))</f>
        <v>18.70990734141126</v>
      </c>
      <c r="D86" s="5">
        <f>(M10*($E10/366))+(M11*($E11/366))</f>
        <v>0</v>
      </c>
      <c r="E86" s="24">
        <f>B86+C86+D86</f>
        <v>100</v>
      </c>
      <c r="F86" s="9"/>
      <c r="G86" s="9">
        <v>1992</v>
      </c>
      <c r="H86" s="409">
        <f>(O10/$R10*100*($E10/366))+(O11/$R11*100*($E11/366))</f>
        <v>82.756897241103559</v>
      </c>
      <c r="I86" s="409"/>
      <c r="J86" s="409">
        <f>(P10/$R10*100*($E10/366))+(P11/$R11*100*($E11/366))</f>
        <v>17.243102758896441</v>
      </c>
      <c r="K86" s="409"/>
      <c r="L86" s="409">
        <f>(Q10/$R10*100*($E10/366))+(Q11/$R11*100*($E11/366))</f>
        <v>0</v>
      </c>
      <c r="M86" s="409"/>
      <c r="N86" s="424">
        <f>H86+J86+L86</f>
        <v>100</v>
      </c>
      <c r="O86" s="424"/>
      <c r="P86" s="9"/>
      <c r="Q86" s="9"/>
      <c r="R86" s="9">
        <v>1992</v>
      </c>
      <c r="S86" s="5">
        <f>(O10*($E10/366))+(O11*($E11/366))</f>
        <v>48.49398907103825</v>
      </c>
      <c r="T86" s="5">
        <f>(P10*($E10/366))+(P11*($E11/366))</f>
        <v>9.8975409836065573</v>
      </c>
      <c r="U86" s="5">
        <f>(Q10*($E10/366))+(Q11*($E11/366))</f>
        <v>0</v>
      </c>
      <c r="V86" s="9"/>
      <c r="W86" s="5">
        <f>S86+T86+U86</f>
        <v>58.391530054644804</v>
      </c>
    </row>
    <row r="87" spans="1:30" x14ac:dyDescent="0.15">
      <c r="A87" s="1">
        <v>1993</v>
      </c>
      <c r="B87" s="5">
        <f>(K12*($E12/365))+(K13*($E13/365))+(K14*($E14/365))+(K15*($E15/365))</f>
        <v>100</v>
      </c>
      <c r="C87" s="5">
        <f>(L12*($E12/365))+(L13*($E13/365))+(L14*($E14/365))+(L15*($E15/365))</f>
        <v>0</v>
      </c>
      <c r="D87" s="5">
        <f>(M12*($E12/365))+(M13*($E13/365))+(M14*($E14/365))+(M15*($E15/365))</f>
        <v>0</v>
      </c>
      <c r="E87" s="24">
        <f t="shared" ref="E87:E106" si="41">B87+C87+D87</f>
        <v>100</v>
      </c>
      <c r="F87" s="9"/>
      <c r="G87" s="9">
        <v>1993</v>
      </c>
      <c r="H87" s="409">
        <f>(O12/$R12*100*($E12/365))+(O13/$R13*100*($E13/365))+(O14/$R14*100*($E14/365))+(O15/$R15*100*($E15/365))</f>
        <v>100</v>
      </c>
      <c r="I87" s="409"/>
      <c r="J87" s="409">
        <f>(P12/$R12*100*($E12/365))+(P13/$R13*100*($E13/365))+(P14/$R14*100*($E14/365))+(P15/$R15*100*($E15/365))</f>
        <v>0</v>
      </c>
      <c r="K87" s="409"/>
      <c r="L87" s="409">
        <f>(Q12/$R12*100*($E12/365))+(Q13/$R13*100*($E13/365))+(Q14/$R14*100*($E14/365))+(Q15/$R15*100*($E15/365))</f>
        <v>0</v>
      </c>
      <c r="M87" s="409"/>
      <c r="N87" s="424">
        <f t="shared" ref="N87:N106" si="42">H87+J87+L87</f>
        <v>100</v>
      </c>
      <c r="O87" s="424"/>
      <c r="P87" s="9"/>
      <c r="Q87" s="9"/>
      <c r="R87" s="9">
        <v>1993</v>
      </c>
      <c r="S87" s="5">
        <f>(O12*($E12/365))+(O13*($E13/365))+(O14*($E14/365))+(O15*($E15/365))</f>
        <v>52.642465753424666</v>
      </c>
      <c r="T87" s="5">
        <f>(P12*($E12/365))+(P13*($E13/365))+(P14*($E14/365))+(P15*($E15/365))</f>
        <v>0</v>
      </c>
      <c r="U87" s="5">
        <f>(Q12*($E12/365))+(Q13*($E13/365))+(Q14*($E14/365))+(Q15*($E15/365))</f>
        <v>0</v>
      </c>
      <c r="V87" s="9"/>
      <c r="W87" s="5">
        <f t="shared" ref="W87:W106" si="43">S87+T87+U87</f>
        <v>52.642465753424666</v>
      </c>
    </row>
    <row r="88" spans="1:30" x14ac:dyDescent="0.15">
      <c r="A88" s="1">
        <v>1994</v>
      </c>
      <c r="B88" s="5">
        <f>(K16*($E16/365))+(K17*($E17/365))+(K18*($E18/365))</f>
        <v>49.284627092846264</v>
      </c>
      <c r="C88" s="5">
        <f>(L16*($E16/365))+(L17*($E17/365))+(L18*($E18/365))</f>
        <v>20.624048706240487</v>
      </c>
      <c r="D88" s="5">
        <f>(M16*($E16/365))+(M17*($E17/365))+(M18*($E18/365))</f>
        <v>30.091324200913242</v>
      </c>
      <c r="E88" s="24">
        <f t="shared" si="41"/>
        <v>100</v>
      </c>
      <c r="F88" s="9"/>
      <c r="G88" s="9">
        <v>1994</v>
      </c>
      <c r="H88" s="409">
        <f>(O16/$R16*100*($E16/365))+(O17/$R17*100*($E17/365))+(O18/$R18*100*($E18/365))</f>
        <v>47.081333802262606</v>
      </c>
      <c r="I88" s="409"/>
      <c r="J88" s="409">
        <f>(P16/$R16*100*($E16/365))+(P17/$R17*100*($E17/365))+(P18/$R18*100*($E18/365))</f>
        <v>19.976657042815894</v>
      </c>
      <c r="K88" s="409"/>
      <c r="L88" s="409">
        <f>(Q16/$R16*100*($E16/365))+(Q17/$R17*100*($E17/365))+(Q18/$R18*100*($E18/365))</f>
        <v>32.942009154921493</v>
      </c>
      <c r="M88" s="409"/>
      <c r="N88" s="424">
        <f t="shared" si="42"/>
        <v>100</v>
      </c>
      <c r="O88" s="424"/>
      <c r="P88" s="9"/>
      <c r="Q88" s="9"/>
      <c r="R88" s="9">
        <v>1994</v>
      </c>
      <c r="S88" s="5">
        <f>(O16*($E16/365))+(O17*($E17/365))+(O18*($E18/365))</f>
        <v>24.445205479452053</v>
      </c>
      <c r="T88" s="5">
        <f>(P16*($E16/365))+(P17*($E17/365))+(P18*($E18/365))</f>
        <v>8.9095890410958898</v>
      </c>
      <c r="U88" s="5">
        <f>(Q16*($E16/365))+(Q17*($E17/365))+(Q18*($E18/365))</f>
        <v>14.773424657534246</v>
      </c>
      <c r="V88" s="9"/>
      <c r="W88" s="5">
        <f t="shared" si="43"/>
        <v>48.12821917808219</v>
      </c>
    </row>
    <row r="89" spans="1:30" x14ac:dyDescent="0.15">
      <c r="A89" s="1">
        <v>1995</v>
      </c>
      <c r="B89" s="5">
        <f>(K19*($E19/365))+(K20*($E20/365))</f>
        <v>77.777777777777786</v>
      </c>
      <c r="C89" s="5">
        <f>(L19*($E19/365))+(L20*($E20/365))</f>
        <v>0</v>
      </c>
      <c r="D89" s="5">
        <f>(M19*($E19/365))+(M20*($E20/365))</f>
        <v>22.222222222222221</v>
      </c>
      <c r="E89" s="24">
        <f t="shared" si="41"/>
        <v>100</v>
      </c>
      <c r="F89" s="9"/>
      <c r="G89" s="9">
        <v>1995</v>
      </c>
      <c r="H89" s="409">
        <f>(O19/$R19*100*($E19/365))+(O20/$R20*100*($E20/365))</f>
        <v>85.164835164835168</v>
      </c>
      <c r="I89" s="409"/>
      <c r="J89" s="409">
        <f>(P19/$R19*100*($E19/365))+(P20/$R20*100*($E20/365))</f>
        <v>0</v>
      </c>
      <c r="K89" s="409"/>
      <c r="L89" s="409">
        <f>(Q19/$R19*100*($E19/365))+(Q20/$R20*100*($E20/365))</f>
        <v>14.835164835164836</v>
      </c>
      <c r="M89" s="409"/>
      <c r="N89" s="424">
        <f t="shared" si="42"/>
        <v>100</v>
      </c>
      <c r="O89" s="424"/>
      <c r="P89" s="9"/>
      <c r="Q89" s="9"/>
      <c r="R89" s="9">
        <v>1995</v>
      </c>
      <c r="S89" s="5">
        <f>(O19*($E19/365))+(O20*($E20/365))</f>
        <v>46.5</v>
      </c>
      <c r="T89" s="5">
        <f>(P19*($E19/365))+(P20*($E20/365))</f>
        <v>0</v>
      </c>
      <c r="U89" s="5">
        <f>(Q19*($E19/365))+(Q20*($E20/365))</f>
        <v>8.1</v>
      </c>
      <c r="V89" s="9"/>
      <c r="W89" s="5">
        <f t="shared" si="43"/>
        <v>54.6</v>
      </c>
    </row>
    <row r="90" spans="1:30" x14ac:dyDescent="0.15">
      <c r="A90" s="1">
        <v>1996</v>
      </c>
      <c r="B90" s="5">
        <f>(K21*($E21/366))+(K22*($E22/366))</f>
        <v>77.777777777777786</v>
      </c>
      <c r="C90" s="5">
        <f>(L21*($E21/366))+(L22*($E22/366))</f>
        <v>0</v>
      </c>
      <c r="D90" s="5">
        <f>(M21*($E21/366))+(M22*($E22/366))</f>
        <v>22.222222222222221</v>
      </c>
      <c r="E90" s="24">
        <f t="shared" si="41"/>
        <v>100</v>
      </c>
      <c r="F90" s="9"/>
      <c r="G90" s="9">
        <v>1996</v>
      </c>
      <c r="H90" s="409">
        <f>(O21/$R21*100*($E21/366))+(O22/$R22*100*($E22/366))</f>
        <v>85.164835164835168</v>
      </c>
      <c r="I90" s="409"/>
      <c r="J90" s="409">
        <f>(P21/$R21*100*($E21/366))+(P22/$R22*100*($E22/366))</f>
        <v>0</v>
      </c>
      <c r="K90" s="409"/>
      <c r="L90" s="409">
        <f>(Q21/$R21*100*($E21/366))+(Q22/$R22*100*($E22/366))</f>
        <v>14.835164835164836</v>
      </c>
      <c r="M90" s="409"/>
      <c r="N90" s="424">
        <f t="shared" si="42"/>
        <v>100</v>
      </c>
      <c r="O90" s="424"/>
      <c r="P90" s="9"/>
      <c r="Q90" s="9"/>
      <c r="R90" s="9">
        <v>1996</v>
      </c>
      <c r="S90" s="5">
        <f>(O21*($E21/366))+(O22*($E22/366))</f>
        <v>46.5</v>
      </c>
      <c r="T90" s="5">
        <f>(P21*($E21/366))+(P22*($E22/366))</f>
        <v>0</v>
      </c>
      <c r="U90" s="5">
        <f>(Q21*($E21/366))+(Q22*($E22/366))</f>
        <v>8.1</v>
      </c>
      <c r="V90" s="9"/>
      <c r="W90" s="5">
        <f t="shared" si="43"/>
        <v>54.6</v>
      </c>
    </row>
    <row r="91" spans="1:30" x14ac:dyDescent="0.15">
      <c r="A91" s="1">
        <v>1997</v>
      </c>
      <c r="B91" s="5">
        <f>(K23*($E23/365))+(K24*($E24/365))</f>
        <v>77.777777777777786</v>
      </c>
      <c r="C91" s="5">
        <f>(L23*($E23/365))+(L24*($E24/365))</f>
        <v>0</v>
      </c>
      <c r="D91" s="5">
        <f>(M23*($E23/365))+(M24*($E24/365))</f>
        <v>22.222222222222221</v>
      </c>
      <c r="E91" s="24">
        <f t="shared" si="41"/>
        <v>100</v>
      </c>
      <c r="F91" s="9"/>
      <c r="G91" s="9">
        <v>1997</v>
      </c>
      <c r="H91" s="409">
        <f>(O23/$R23*100*($E23/365))+(O24/$R24*100*($E24/365))</f>
        <v>85.164835164835168</v>
      </c>
      <c r="I91" s="409"/>
      <c r="J91" s="409">
        <f>(P23/$R23*100*($E23/365))+(P24/$R24*100*($E24/365))</f>
        <v>0</v>
      </c>
      <c r="K91" s="409"/>
      <c r="L91" s="409">
        <f>(Q23/$R23*100*($E23/365))+(Q24/$R24*100*($E24/365))</f>
        <v>14.835164835164836</v>
      </c>
      <c r="M91" s="409"/>
      <c r="N91" s="424">
        <f t="shared" si="42"/>
        <v>100</v>
      </c>
      <c r="O91" s="424"/>
      <c r="P91" s="9"/>
      <c r="Q91" s="9"/>
      <c r="R91" s="9">
        <v>1997</v>
      </c>
      <c r="S91" s="5">
        <f>(O23*($E23/365))+(O24*($E24/365))</f>
        <v>46.5</v>
      </c>
      <c r="T91" s="5">
        <f>(P23*($E23/365))+(P24*($E24/365))</f>
        <v>0</v>
      </c>
      <c r="U91" s="5">
        <f>(Q23*($E23/365))+(Q24*($E24/365))</f>
        <v>8.1</v>
      </c>
      <c r="V91" s="9"/>
      <c r="W91" s="5">
        <f t="shared" si="43"/>
        <v>54.6</v>
      </c>
    </row>
    <row r="92" spans="1:30" x14ac:dyDescent="0.15">
      <c r="A92" s="1">
        <v>1998</v>
      </c>
      <c r="B92" s="5">
        <f>(K25*($E25/365))+(K26*($E26/365))+(K27*($E27/365))+(K28*($E28/365))</f>
        <v>70.742770167427707</v>
      </c>
      <c r="C92" s="5">
        <f>(L25*($E25/365))+(L26*($E26/365))+(L27*($E27/365))+(L28*($E28/365))</f>
        <v>1.3150684931506849</v>
      </c>
      <c r="D92" s="5">
        <f>(M25*($E25/365))+(M26*($E26/365))+(M27*($E27/365))+(M28*($E28/365))</f>
        <v>23.741248097412477</v>
      </c>
      <c r="E92" s="24">
        <f t="shared" si="41"/>
        <v>95.799086757990878</v>
      </c>
      <c r="F92" s="9"/>
      <c r="G92" s="9">
        <v>1998</v>
      </c>
      <c r="H92" s="409">
        <f>(O25/$R25*100*($E25/365))+(O26/$R26*100*($E26/365))+(O27/$R27*100*($E27/365))+(O28/$R28*100*($E28/365))</f>
        <v>82.887900433636176</v>
      </c>
      <c r="I92" s="409"/>
      <c r="J92" s="409">
        <f>(P25/$R25*100*($E25/365))+(P26/$R26*100*($E26/365))+(P27/$R27*100*($E27/365))+(P28/$R28*100*($E28/365))</f>
        <v>1.4140521431727795</v>
      </c>
      <c r="K92" s="409"/>
      <c r="L92" s="409">
        <f>(Q25/$R25*100*($E25/365))+(Q26/$R26*100*($E26/365))+(Q27/$R27*100*($E27/365))+(Q28/$R28*100*($E28/365))</f>
        <v>15.69804742319104</v>
      </c>
      <c r="M92" s="409"/>
      <c r="N92" s="424">
        <f t="shared" si="42"/>
        <v>100</v>
      </c>
      <c r="O92" s="424"/>
      <c r="P92" s="9"/>
      <c r="Q92" s="9"/>
      <c r="R92" s="9">
        <v>1998</v>
      </c>
      <c r="S92" s="5">
        <f>(O25*($E25/365))+(O26*($E26/365))+(O27*($E27/365))+(O28*($E28/365))</f>
        <v>45.640821917808211</v>
      </c>
      <c r="T92" s="5">
        <f>(P25*($E25/365))+(P26*($E26/365))+(P27*($E27/365))+(P28*($E28/365))</f>
        <v>0.87671232876712324</v>
      </c>
      <c r="U92" s="5">
        <f>(Q25*($E25/365))+(Q26*($E26/365))+(Q27*($E27/365))+(Q28*($E28/365))</f>
        <v>8.731232876712328</v>
      </c>
      <c r="V92" s="9"/>
      <c r="W92" s="5">
        <f t="shared" si="43"/>
        <v>55.248767123287664</v>
      </c>
    </row>
    <row r="93" spans="1:30" x14ac:dyDescent="0.15">
      <c r="A93" s="1">
        <v>1999</v>
      </c>
      <c r="B93" s="5">
        <f>(K29*($E29/365))+(K30*($E30/365))</f>
        <v>55.000000000000007</v>
      </c>
      <c r="C93" s="5">
        <f>(L29*($E29/365))+(L30*($E30/365))</f>
        <v>15</v>
      </c>
      <c r="D93" s="5">
        <f>(M29*($E29/365))+(M30*($E30/365))</f>
        <v>30</v>
      </c>
      <c r="E93" s="24">
        <f t="shared" si="41"/>
        <v>100</v>
      </c>
      <c r="F93" s="9"/>
      <c r="G93" s="9">
        <v>1999</v>
      </c>
      <c r="H93" s="409">
        <f>(O29/$R29*100*($E29/365))+(O30/$R30*100*($E30/365))</f>
        <v>59.193548387096783</v>
      </c>
      <c r="I93" s="409"/>
      <c r="J93" s="409">
        <f>(P29/$R29*100*($E29/365))+(P30/$R30*100*($E30/365))</f>
        <v>16.129032258064516</v>
      </c>
      <c r="K93" s="409"/>
      <c r="L93" s="409">
        <f>(Q29/$R29*100*($E29/365))+(Q30/$R30*100*($E30/365))</f>
        <v>24.677419354838712</v>
      </c>
      <c r="M93" s="409"/>
      <c r="N93" s="424">
        <f t="shared" si="42"/>
        <v>100</v>
      </c>
      <c r="O93" s="424"/>
      <c r="P93" s="9"/>
      <c r="Q93" s="9"/>
      <c r="R93" s="9">
        <v>1999</v>
      </c>
      <c r="S93" s="5">
        <f>(O29*($E29/365))+(O30*($E30/365))</f>
        <v>36.700000000000003</v>
      </c>
      <c r="T93" s="5">
        <f>(P29*($E29/365))+(P30*($E30/365))</f>
        <v>10</v>
      </c>
      <c r="U93" s="5">
        <f>(Q29*($E29/365))+(Q30*($E30/365))</f>
        <v>15.3</v>
      </c>
      <c r="V93" s="9"/>
      <c r="W93" s="5">
        <f t="shared" si="43"/>
        <v>62</v>
      </c>
    </row>
    <row r="94" spans="1:30" x14ac:dyDescent="0.15">
      <c r="A94" s="1">
        <v>2000</v>
      </c>
      <c r="B94" s="5">
        <f>(K31*($E31/366))+(K32*($E32/366))</f>
        <v>55.000000000000007</v>
      </c>
      <c r="C94" s="5">
        <f>(L31*($E31/366))+(L32*($E32/366))</f>
        <v>15</v>
      </c>
      <c r="D94" s="5">
        <f>(M31*($E31/366))+(M32*($E32/366))</f>
        <v>30</v>
      </c>
      <c r="E94" s="24">
        <f t="shared" si="41"/>
        <v>100</v>
      </c>
      <c r="F94" s="9"/>
      <c r="G94" s="9">
        <v>2000</v>
      </c>
      <c r="H94" s="409">
        <f>(O31/$R31*100*($E31/366))+(O32/$R32*100*($E32/366))</f>
        <v>59.193548387096783</v>
      </c>
      <c r="I94" s="409"/>
      <c r="J94" s="409">
        <f>(P31/$R31*100*($E31/366))+(P32/$R32*100*($E32/366))</f>
        <v>16.129032258064516</v>
      </c>
      <c r="K94" s="409"/>
      <c r="L94" s="409">
        <f>(Q31/$R31*100*($E31/366))+(Q32/$R32*100*($E32/366))</f>
        <v>24.677419354838712</v>
      </c>
      <c r="M94" s="409"/>
      <c r="N94" s="424">
        <f t="shared" si="42"/>
        <v>100</v>
      </c>
      <c r="O94" s="424"/>
      <c r="P94" s="9"/>
      <c r="Q94" s="9"/>
      <c r="R94" s="9">
        <v>2000</v>
      </c>
      <c r="S94" s="5">
        <f>(O31*($E31/366))+(O32*($E32/366))</f>
        <v>36.700000000000003</v>
      </c>
      <c r="T94" s="5">
        <f>(P31*($E31/366))+(P32*($E32/366))</f>
        <v>10</v>
      </c>
      <c r="U94" s="5">
        <f>(Q31*($E31/366))+(Q32*($E32/366))</f>
        <v>15.3</v>
      </c>
      <c r="V94" s="9"/>
      <c r="W94" s="5">
        <f t="shared" si="43"/>
        <v>62</v>
      </c>
    </row>
    <row r="95" spans="1:30" x14ac:dyDescent="0.15">
      <c r="A95" s="1">
        <v>2001</v>
      </c>
      <c r="B95" s="5">
        <f>(K33*($E33/365))+(K34*($E34/365))</f>
        <v>55.000000000000007</v>
      </c>
      <c r="C95" s="5">
        <f>(L33*($E33/365))+(L34*($E34/365))</f>
        <v>15</v>
      </c>
      <c r="D95" s="5">
        <f>(M33*($E33/365))+(M34*($E34/365))</f>
        <v>30</v>
      </c>
      <c r="E95" s="24">
        <f t="shared" si="41"/>
        <v>100</v>
      </c>
      <c r="F95" s="9"/>
      <c r="G95" s="9">
        <v>2001</v>
      </c>
      <c r="H95" s="409">
        <f>(O33/$R33*100*($E33/365))+(O34/$R34*100*($E34/365))</f>
        <v>59.193548387096783</v>
      </c>
      <c r="I95" s="409"/>
      <c r="J95" s="409">
        <f>(P33/$R33*100*($E33/365))+(P34/$R34*100*($E34/365))</f>
        <v>16.129032258064516</v>
      </c>
      <c r="K95" s="409"/>
      <c r="L95" s="409">
        <f>(Q33/$R33*100*($E33/365))+(Q34/$R34*100*($E34/365))</f>
        <v>24.677419354838712</v>
      </c>
      <c r="M95" s="409"/>
      <c r="N95" s="424">
        <f t="shared" si="42"/>
        <v>100</v>
      </c>
      <c r="O95" s="424"/>
      <c r="P95" s="9"/>
      <c r="Q95" s="9"/>
      <c r="R95" s="9">
        <v>2001</v>
      </c>
      <c r="S95" s="5">
        <f>(O33*($E33/365))+(O34*($E34/365))</f>
        <v>36.700000000000003</v>
      </c>
      <c r="T95" s="5">
        <f>(P33*($E33/365))+(P34*($E34/365))</f>
        <v>10</v>
      </c>
      <c r="U95" s="5">
        <f>(Q33*($E33/365))+(Q34*($E34/365))</f>
        <v>15.3</v>
      </c>
      <c r="V95" s="9"/>
      <c r="W95" s="5">
        <f t="shared" si="43"/>
        <v>62</v>
      </c>
    </row>
    <row r="96" spans="1:30" x14ac:dyDescent="0.15">
      <c r="A96" s="1">
        <v>2002</v>
      </c>
      <c r="B96" s="5">
        <f>(K35*($E35/365))+(K36*($E36/365))</f>
        <v>50.43150684931507</v>
      </c>
      <c r="C96" s="5">
        <f>(L35*($E35/365))+(L36*($E36/365))</f>
        <v>23.349315068493148</v>
      </c>
      <c r="D96" s="5">
        <f>(M35*($E35/365))+(M36*($E36/365))</f>
        <v>26.219178082191778</v>
      </c>
      <c r="E96" s="24">
        <f t="shared" si="41"/>
        <v>100</v>
      </c>
      <c r="F96" s="9"/>
      <c r="G96" s="9">
        <v>2002</v>
      </c>
      <c r="H96" s="409">
        <f>(O35/$R35*100*($E35/365))+(O36/$R36*100*($E36/365))</f>
        <v>54.157143342737697</v>
      </c>
      <c r="I96" s="409"/>
      <c r="J96" s="409">
        <f>(P35/$R35*100*($E35/365))+(P36/$R36*100*($E36/365))</f>
        <v>24.275468234814234</v>
      </c>
      <c r="K96" s="409"/>
      <c r="L96" s="409">
        <f>(Q35/$R35*100*($E35/365))+(Q36/$R36*100*($E36/365))</f>
        <v>21.567388422448079</v>
      </c>
      <c r="M96" s="409"/>
      <c r="N96" s="424">
        <f t="shared" si="42"/>
        <v>100.00000000000001</v>
      </c>
      <c r="O96" s="424"/>
      <c r="P96" s="9"/>
      <c r="Q96" s="9"/>
      <c r="R96" s="9">
        <v>2002</v>
      </c>
      <c r="S96" s="5">
        <f>(O35*($E35/365))+(O36*($E36/365))</f>
        <v>33.335068493150686</v>
      </c>
      <c r="T96" s="5">
        <f>(P35*($E35/365))+(P36*($E36/365))</f>
        <v>14.032876712328768</v>
      </c>
      <c r="U96" s="5">
        <f>(Q35*($E35/365))+(Q36*($E36/365))</f>
        <v>13.371780821917808</v>
      </c>
      <c r="V96" s="9"/>
      <c r="W96" s="5">
        <f t="shared" si="43"/>
        <v>60.739726027397268</v>
      </c>
    </row>
    <row r="97" spans="1:23" x14ac:dyDescent="0.15">
      <c r="A97" s="1">
        <v>2003</v>
      </c>
      <c r="B97" s="5">
        <f>(K37*($E37/365))+(K38*($E38/365))</f>
        <v>18.75</v>
      </c>
      <c r="C97" s="5">
        <f>(L37*($E37/365))+(L38*($E38/365))</f>
        <v>81.25</v>
      </c>
      <c r="D97" s="5">
        <f>(M37*($E37/365))+(M38*($E38/365))</f>
        <v>0</v>
      </c>
      <c r="E97" s="24">
        <f t="shared" si="41"/>
        <v>100</v>
      </c>
      <c r="F97" s="9"/>
      <c r="G97" s="9">
        <v>2003</v>
      </c>
      <c r="H97" s="409">
        <f>(O37/$R37*100*($E37/365))+(O38/$R38*100*($E38/365))</f>
        <v>19.230769230769234</v>
      </c>
      <c r="I97" s="409"/>
      <c r="J97" s="409">
        <f>(P37/$R37*100*($E37/365))+(P38/$R38*100*($E38/365))</f>
        <v>80.769230769230774</v>
      </c>
      <c r="K97" s="409"/>
      <c r="L97" s="409">
        <f>(Q37/$R37*100*($E37/365))+(Q38/$R38*100*($E38/365))</f>
        <v>0</v>
      </c>
      <c r="M97" s="409"/>
      <c r="N97" s="424">
        <f t="shared" si="42"/>
        <v>100</v>
      </c>
      <c r="O97" s="424"/>
      <c r="P97" s="9"/>
      <c r="Q97" s="9"/>
      <c r="R97" s="9">
        <v>2003</v>
      </c>
      <c r="S97" s="5">
        <f>(O37*($E37/365))+(O38*($E38/365))</f>
        <v>10</v>
      </c>
      <c r="T97" s="5">
        <f>(P37*($E37/365))+(P38*($E38/365))</f>
        <v>42</v>
      </c>
      <c r="U97" s="5">
        <f>(Q37*($E37/365))+(Q38*($E38/365))</f>
        <v>0</v>
      </c>
      <c r="V97" s="9"/>
      <c r="W97" s="5">
        <f t="shared" si="43"/>
        <v>52</v>
      </c>
    </row>
    <row r="98" spans="1:23" x14ac:dyDescent="0.15">
      <c r="A98" s="1">
        <v>2004</v>
      </c>
      <c r="B98" s="5">
        <f>(K39*($E39/366))+(K40*($E40/366))</f>
        <v>18.75</v>
      </c>
      <c r="C98" s="5">
        <f>(L39*($E39/366))+(L40*($E40/366))</f>
        <v>81.25</v>
      </c>
      <c r="D98" s="5">
        <f>(M39*($E39/366))+(M40*($E40/366))</f>
        <v>0</v>
      </c>
      <c r="E98" s="24">
        <f t="shared" si="41"/>
        <v>100</v>
      </c>
      <c r="F98" s="9"/>
      <c r="G98" s="9">
        <v>2004</v>
      </c>
      <c r="H98" s="409">
        <f>(O39/$R39*100*($E39/366))+(O40/$R40*100*($E40/366))</f>
        <v>19.230769230769234</v>
      </c>
      <c r="I98" s="409"/>
      <c r="J98" s="409">
        <f>(P39/$R39*100*($E39/366))+(P40/$R40*100*($E40/366))</f>
        <v>80.769230769230774</v>
      </c>
      <c r="K98" s="409"/>
      <c r="L98" s="409">
        <f>(Q39/$R39*100*($E39/366))+(Q40/$R40*100*($E40/366))</f>
        <v>0</v>
      </c>
      <c r="M98" s="409"/>
      <c r="N98" s="424">
        <f t="shared" si="42"/>
        <v>100</v>
      </c>
      <c r="O98" s="424"/>
      <c r="P98" s="9"/>
      <c r="Q98" s="9"/>
      <c r="R98" s="9">
        <v>2004</v>
      </c>
      <c r="S98" s="5">
        <f>(O39*($E39/366))+(O40*($E40/366))</f>
        <v>10</v>
      </c>
      <c r="T98" s="5">
        <f>(P39*($E39/366))+(P40*($E40/366))</f>
        <v>42</v>
      </c>
      <c r="U98" s="5">
        <f>(Q39*($E39/366))+(Q40*($E40/366))</f>
        <v>0</v>
      </c>
      <c r="V98" s="9"/>
      <c r="W98" s="5">
        <f t="shared" si="43"/>
        <v>52</v>
      </c>
    </row>
    <row r="99" spans="1:23" x14ac:dyDescent="0.15">
      <c r="A99" s="1">
        <v>2005</v>
      </c>
      <c r="B99" s="5">
        <f>(K41*($E41/365))+(K42*($E42/365))</f>
        <v>18.75</v>
      </c>
      <c r="C99" s="5">
        <f>(L41*($E41/365))+(L42*($E42/365))</f>
        <v>81.25</v>
      </c>
      <c r="D99" s="5">
        <f>(M41*($E41/365))+(M42*($E42/365))</f>
        <v>0</v>
      </c>
      <c r="E99" s="24">
        <f t="shared" si="41"/>
        <v>100</v>
      </c>
      <c r="F99" s="9"/>
      <c r="G99" s="9">
        <v>2005</v>
      </c>
      <c r="H99" s="409">
        <f>(O41/$R41*100*($E41/365))+(O42/$R42*100*($E42/365))</f>
        <v>19.230769230769234</v>
      </c>
      <c r="I99" s="409"/>
      <c r="J99" s="409">
        <f>(P41/$R41*100*($E41/365))+(P42/$R42*100*($E42/365))</f>
        <v>80.769230769230774</v>
      </c>
      <c r="K99" s="409"/>
      <c r="L99" s="409">
        <f>(Q41/$R41*100*($E41/365))+(Q42/$R42*100*($E42/365))</f>
        <v>0</v>
      </c>
      <c r="M99" s="409"/>
      <c r="N99" s="424">
        <f t="shared" si="42"/>
        <v>100</v>
      </c>
      <c r="O99" s="424"/>
      <c r="P99" s="9"/>
      <c r="Q99" s="9"/>
      <c r="R99" s="9">
        <v>2005</v>
      </c>
      <c r="S99" s="5">
        <f>(O41*($E41/365))+(O42*($E42/365))</f>
        <v>10</v>
      </c>
      <c r="T99" s="5">
        <f>(P41*($E41/365))+(P42*($E42/365))</f>
        <v>42</v>
      </c>
      <c r="U99" s="5">
        <f>(Q41*($E41/365))+(Q42*($E42/365))</f>
        <v>0</v>
      </c>
      <c r="V99" s="9"/>
      <c r="W99" s="5">
        <f t="shared" si="43"/>
        <v>52</v>
      </c>
    </row>
    <row r="100" spans="1:23" x14ac:dyDescent="0.15">
      <c r="A100" s="1">
        <v>2006</v>
      </c>
      <c r="B100" s="5">
        <f>(K43*($E43/365))+(K44*($E44/365))+(K45*($E45/365))+(K46*($E46/365))</f>
        <v>23.304794520547944</v>
      </c>
      <c r="C100" s="5">
        <f>(L43*($E43/365))+(L44*($E44/365))+(L45*($E45/365))+(L46*($E46/365))</f>
        <v>38.458904109589042</v>
      </c>
      <c r="D100" s="5">
        <f>(M43*($E43/365))+(M44*($E44/365))+(M45*($E45/365))+(M46*($E46/365))</f>
        <v>34.092465753424662</v>
      </c>
      <c r="E100" s="24">
        <f t="shared" si="41"/>
        <v>95.856164383561648</v>
      </c>
      <c r="F100" s="9"/>
      <c r="G100" s="9">
        <v>2006</v>
      </c>
      <c r="H100" s="409">
        <f>(O43/$R43*100*($E43/365))+(O44/$R44*100*($E44/365))+(O45/$R45*100*($E45/365))+(O46/$R46*100*($E46/365))</f>
        <v>31.944419101506075</v>
      </c>
      <c r="I100" s="409"/>
      <c r="J100" s="409">
        <f>(P43/$R43*100*($E43/365))+(P44/$R44*100*($E44/365))+(P45/$R45*100*($E45/365))+(P46/$R46*100*($E46/365))</f>
        <v>38.885041898740525</v>
      </c>
      <c r="K100" s="409"/>
      <c r="L100" s="409">
        <f>(Q43/$R43*100*($E43/365))+(Q44/$R44*100*($E44/365))+(Q45/$R45*100*($E45/365))+(Q46/$R46*100*($E46/365))</f>
        <v>29.170538999753393</v>
      </c>
      <c r="M100" s="409"/>
      <c r="N100" s="424">
        <f t="shared" si="42"/>
        <v>99.999999999999986</v>
      </c>
      <c r="O100" s="424"/>
      <c r="P100" s="9"/>
      <c r="Q100" s="9"/>
      <c r="R100" s="9">
        <v>2006</v>
      </c>
      <c r="S100" s="5">
        <f>(O43*($E43/365))+(O44*($E44/365))+(O45*($E45/365))+(O46*($E46/365))</f>
        <v>16.61021917808219</v>
      </c>
      <c r="T100" s="5">
        <f>(P43*($E43/365))+(P44*($E44/365))+(P45*($E45/365))+(P46*($E46/365))</f>
        <v>17.172602739726024</v>
      </c>
      <c r="U100" s="5">
        <f>(Q43*($E43/365))+(Q44*($E44/365))+(Q45*($E45/365))+(Q46*($E46/365))</f>
        <v>16.528027397260274</v>
      </c>
      <c r="V100" s="9"/>
      <c r="W100" s="5">
        <f t="shared" si="43"/>
        <v>50.310849315068488</v>
      </c>
    </row>
    <row r="101" spans="1:23" x14ac:dyDescent="0.15">
      <c r="A101" s="1">
        <v>2007</v>
      </c>
      <c r="B101" s="5">
        <f>(K47*($E47/365))+(K48*($E48/365))</f>
        <v>31.25</v>
      </c>
      <c r="C101" s="5">
        <f>(L47*($E47/365))+(L48*($E48/365))</f>
        <v>0</v>
      </c>
      <c r="D101" s="5">
        <f>(M47*($E47/365))+(M48*($E48/365))</f>
        <v>68.75</v>
      </c>
      <c r="E101" s="24">
        <f t="shared" si="41"/>
        <v>100</v>
      </c>
      <c r="F101" s="9"/>
      <c r="G101" s="9">
        <v>2007</v>
      </c>
      <c r="H101" s="409">
        <f>(O47/$R47*100*($E47/365))+(O48/$R48*100*($E48/365))</f>
        <v>41.175432403812209</v>
      </c>
      <c r="I101" s="409"/>
      <c r="J101" s="409">
        <f>(P47/$R47*100*($E47/365))+(P48/$R48*100*($E48/365))</f>
        <v>0</v>
      </c>
      <c r="K101" s="409"/>
      <c r="L101" s="409">
        <f>(Q47/$R47*100*($E47/365))+(Q48/$R48*100*($E48/365))</f>
        <v>58.824567596187784</v>
      </c>
      <c r="M101" s="409"/>
      <c r="N101" s="424">
        <f t="shared" si="42"/>
        <v>100</v>
      </c>
      <c r="O101" s="424"/>
      <c r="P101" s="9"/>
      <c r="Q101" s="9"/>
      <c r="R101" s="9">
        <v>2007</v>
      </c>
      <c r="S101" s="5">
        <f>(O47*($E47/365))+(O48*($E48/365))</f>
        <v>23.33</v>
      </c>
      <c r="T101" s="5">
        <f>(P47*($E47/365))+(P48*($E48/365))</f>
        <v>0</v>
      </c>
      <c r="U101" s="5">
        <f>(Q47*($E47/365))+(Q48*($E48/365))</f>
        <v>33.33</v>
      </c>
      <c r="V101" s="9"/>
      <c r="W101" s="5">
        <f t="shared" si="43"/>
        <v>56.66</v>
      </c>
    </row>
    <row r="102" spans="1:23" x14ac:dyDescent="0.15">
      <c r="A102" s="1">
        <v>2008</v>
      </c>
      <c r="B102" s="5">
        <f>(K49*($E49/366))+(K50*($E50/366))</f>
        <v>31.25</v>
      </c>
      <c r="C102" s="5">
        <f>(L49*($E49/366))+(L50*($E50/366))</f>
        <v>0</v>
      </c>
      <c r="D102" s="5">
        <f>(M49*($E49/366))+(M50*($E50/366))</f>
        <v>68.75</v>
      </c>
      <c r="E102" s="24">
        <f t="shared" si="41"/>
        <v>100</v>
      </c>
      <c r="F102" s="9"/>
      <c r="G102" s="9">
        <v>2008</v>
      </c>
      <c r="H102" s="409">
        <f>(O49/$R49*100*($E49/366))+(O50/$R50*100*($E50/366))</f>
        <v>41.175432403812209</v>
      </c>
      <c r="I102" s="409"/>
      <c r="J102" s="409">
        <f>(P49/$R49*100*($E49/366))+(P50/$R50*100*($E50/366))</f>
        <v>0</v>
      </c>
      <c r="K102" s="409"/>
      <c r="L102" s="409">
        <f>(Q49/$R49*100*($E49/366))+(Q50/$R50*100*($E50/366))</f>
        <v>58.824567596187784</v>
      </c>
      <c r="M102" s="409"/>
      <c r="N102" s="424">
        <f t="shared" si="42"/>
        <v>100</v>
      </c>
      <c r="O102" s="424"/>
      <c r="P102" s="9"/>
      <c r="Q102" s="9"/>
      <c r="R102" s="9">
        <v>2008</v>
      </c>
      <c r="S102" s="5">
        <f>(O49*($E49/366))+(O50*($E50/366))</f>
        <v>23.33</v>
      </c>
      <c r="T102" s="5">
        <f>(P49*($E49/366))+(P50*($E50/366))</f>
        <v>0</v>
      </c>
      <c r="U102" s="5">
        <f>(Q49*($E49/366))+(Q50*($E50/366))</f>
        <v>33.33</v>
      </c>
      <c r="V102" s="9"/>
      <c r="W102" s="5">
        <f t="shared" si="43"/>
        <v>56.66</v>
      </c>
    </row>
    <row r="103" spans="1:23" x14ac:dyDescent="0.15">
      <c r="A103" s="1">
        <v>2009</v>
      </c>
      <c r="B103" s="5">
        <f>(K51*($E51/365))+(K52*($E52/365))</f>
        <v>29.092465753424655</v>
      </c>
      <c r="C103" s="5">
        <f>(L51*($E51/365))+(L52*($E52/365))</f>
        <v>0</v>
      </c>
      <c r="D103" s="5">
        <f>(M51*($E51/365))+(M52*($E52/365))</f>
        <v>70.907534246575352</v>
      </c>
      <c r="E103" s="24">
        <f t="shared" si="41"/>
        <v>100</v>
      </c>
      <c r="F103" s="9"/>
      <c r="G103" s="9">
        <v>2009</v>
      </c>
      <c r="H103" s="409">
        <f>(O51/$R51*100*($E51/365))+(O52/$R52*100*($E52/365))</f>
        <v>41.175432403812209</v>
      </c>
      <c r="I103" s="409"/>
      <c r="J103" s="409">
        <f>(P51/$R51*100*($E51/365))+(P52/$R52*100*($E52/365))</f>
        <v>0</v>
      </c>
      <c r="K103" s="409"/>
      <c r="L103" s="409">
        <f>(Q51/$R51*100*($E51/365))+(Q52/$R52*100*($E52/365))</f>
        <v>58.824567596187784</v>
      </c>
      <c r="M103" s="409"/>
      <c r="N103" s="424">
        <f t="shared" si="42"/>
        <v>100</v>
      </c>
      <c r="O103" s="424"/>
      <c r="P103" s="9"/>
      <c r="Q103" s="9"/>
      <c r="R103" s="9">
        <v>2009</v>
      </c>
      <c r="S103" s="5">
        <f>(O51*($E51/365))+(O52*($E52/365))</f>
        <v>23.33</v>
      </c>
      <c r="T103" s="5">
        <f>(P51*($E51/365))+(P52*($E52/365))</f>
        <v>0</v>
      </c>
      <c r="U103" s="5">
        <f>(Q51*($E51/365))+(Q52*($E52/365))</f>
        <v>33.33</v>
      </c>
      <c r="V103" s="9"/>
      <c r="W103" s="5">
        <f t="shared" si="43"/>
        <v>56.66</v>
      </c>
    </row>
    <row r="104" spans="1:23" x14ac:dyDescent="0.15">
      <c r="A104" s="1">
        <v>2010</v>
      </c>
      <c r="B104" s="5">
        <f>(K53*($E53/365))+(K54*($E54/365))</f>
        <v>35.447488584474883</v>
      </c>
      <c r="C104" s="5">
        <f>(L53*($E53/365))+(L54*($E54/365))</f>
        <v>25.716894977168952</v>
      </c>
      <c r="D104" s="5">
        <f>(M53*($E53/365))+(M54*($E54/365))</f>
        <v>38.835616438356162</v>
      </c>
      <c r="E104" s="24">
        <f t="shared" si="41"/>
        <v>100</v>
      </c>
      <c r="F104" s="9"/>
      <c r="G104" s="9">
        <v>2010</v>
      </c>
      <c r="H104" s="409">
        <f>(O53/$R53*100*($E53/365))+(O54/$R54*100*($E54/365))</f>
        <v>43.297055450198371</v>
      </c>
      <c r="I104" s="409"/>
      <c r="J104" s="409">
        <f>(P53/$R53*100*($E53/365))+(P54/$R54*100*($E54/365))</f>
        <v>26.243099958898913</v>
      </c>
      <c r="K104" s="409"/>
      <c r="L104" s="409">
        <f>(Q53/$R53*100*($E53/365))+(Q54/$R54*100*($E54/365))</f>
        <v>30.459844590902716</v>
      </c>
      <c r="M104" s="409"/>
      <c r="N104" s="424">
        <f t="shared" si="42"/>
        <v>100</v>
      </c>
      <c r="O104" s="424"/>
      <c r="P104" s="9"/>
      <c r="Q104" s="9"/>
      <c r="R104" s="9">
        <v>2010</v>
      </c>
      <c r="S104" s="5">
        <f>(O53*($E53/365))+(O54*($E54/365))</f>
        <v>23.653068493150684</v>
      </c>
      <c r="T104" s="5">
        <f>(P53*($E53/365))+(P54*($E54/365))</f>
        <v>13.819616438356165</v>
      </c>
      <c r="U104" s="5">
        <f>(Q53*($E53/365))+(Q54*($E54/365))</f>
        <v>17.258547945205478</v>
      </c>
      <c r="V104" s="9"/>
      <c r="W104" s="5">
        <f t="shared" si="43"/>
        <v>54.731232876712326</v>
      </c>
    </row>
    <row r="105" spans="1:23" x14ac:dyDescent="0.15">
      <c r="A105" s="1">
        <v>2011</v>
      </c>
      <c r="B105" s="5">
        <f>(K55*($E55/365))+(K56*($E56/365))</f>
        <v>46.045662100456624</v>
      </c>
      <c r="C105" s="5">
        <f>(L55*($E55/365))+(L56*($E56/365))</f>
        <v>53.954337899543383</v>
      </c>
      <c r="D105" s="5">
        <f>(M55*($E55/365))+(M56*($E56/365))</f>
        <v>0</v>
      </c>
      <c r="E105" s="24">
        <f t="shared" si="41"/>
        <v>100</v>
      </c>
      <c r="F105" s="9"/>
      <c r="G105" s="9">
        <v>2011</v>
      </c>
      <c r="H105" s="409">
        <f>(O55/$R55*100*($E55/365))+(O56/$R56*100*($E56/365))</f>
        <v>45.575389289783523</v>
      </c>
      <c r="I105" s="409"/>
      <c r="J105" s="409">
        <f>(P55/$R55*100*($E55/365))+(P56/$R56*100*($E56/365))</f>
        <v>54.424610710216498</v>
      </c>
      <c r="K105" s="409"/>
      <c r="L105" s="409">
        <f>(Q55/$R55*100*($E55/365))+(Q56/$R56*100*($E56/365))</f>
        <v>0</v>
      </c>
      <c r="M105" s="409"/>
      <c r="N105" s="424">
        <f t="shared" si="42"/>
        <v>100.00000000000003</v>
      </c>
      <c r="O105" s="424"/>
      <c r="P105" s="9"/>
      <c r="Q105" s="9"/>
      <c r="R105" s="9">
        <v>2011</v>
      </c>
      <c r="S105" s="5">
        <f>(O55*($E55/365))+(O56*($E56/365))</f>
        <v>24</v>
      </c>
      <c r="T105" s="5">
        <f>(P55*($E55/365))+(P56*($E56/365))</f>
        <v>28.660000000000004</v>
      </c>
      <c r="U105" s="5">
        <f>(Q55*($E55/365))+(Q56*($E56/365))</f>
        <v>0</v>
      </c>
      <c r="V105" s="9"/>
      <c r="W105" s="5">
        <f t="shared" si="43"/>
        <v>52.660000000000004</v>
      </c>
    </row>
    <row r="106" spans="1:23" x14ac:dyDescent="0.15">
      <c r="A106" s="1">
        <v>2012</v>
      </c>
      <c r="B106" s="5">
        <f>(K57*($E57/366))+(K58*($E58/366))</f>
        <v>10.273224043715848</v>
      </c>
      <c r="C106" s="5">
        <f>(L57*($E57/366))+(L58*($E58/366))</f>
        <v>15.409836065573771</v>
      </c>
      <c r="D106" s="5">
        <f>(M57*($E57/366))+(M58*($E58/366))</f>
        <v>74.316939890710387</v>
      </c>
      <c r="E106" s="24">
        <f t="shared" si="41"/>
        <v>100</v>
      </c>
      <c r="F106" s="9"/>
      <c r="G106" s="9">
        <v>2012</v>
      </c>
      <c r="H106" s="409">
        <f>(O57/$R57*100*($E57/366))+(O58/$R58*100*($E58/366))</f>
        <v>11.705154626337842</v>
      </c>
      <c r="I106" s="409"/>
      <c r="J106" s="409">
        <f>(P57/$R57*100*($E57/366))+(P58/$R58*100*($E58/366))</f>
        <v>13.977905482951776</v>
      </c>
      <c r="K106" s="409"/>
      <c r="L106" s="409">
        <f>(Q57/$R57*100*($E57/366))+(Q58/$R58*100*($E58/366))</f>
        <v>74.316939890710387</v>
      </c>
      <c r="M106" s="409"/>
      <c r="N106" s="424">
        <f t="shared" si="42"/>
        <v>100</v>
      </c>
      <c r="O106" s="424"/>
      <c r="P106" s="9"/>
      <c r="Q106" s="9"/>
      <c r="R106" s="9">
        <v>2012</v>
      </c>
      <c r="S106" s="5">
        <f>(O57*($E57/366))+(O58*($E58/366))</f>
        <v>6.1639344262295079</v>
      </c>
      <c r="T106" s="5">
        <f>(P57*($E57/366))+(P58*($E58/366))</f>
        <v>7.3607650273224046</v>
      </c>
      <c r="U106" s="5">
        <f>(Q57*($E57/366))+(Q58*($E58/366))</f>
        <v>41.09726775956284</v>
      </c>
      <c r="V106" s="9"/>
      <c r="W106" s="5">
        <f t="shared" si="43"/>
        <v>54.62196721311475</v>
      </c>
    </row>
    <row r="107" spans="1:23" x14ac:dyDescent="0.15">
      <c r="A107" s="1">
        <v>2013</v>
      </c>
      <c r="B107" s="5">
        <f>(K59*($E59/365))+(K60*($E60/365))</f>
        <v>0</v>
      </c>
      <c r="C107" s="5">
        <f>(L59*($E59/365))+(L60*($E60/365))</f>
        <v>0</v>
      </c>
      <c r="D107" s="5">
        <f>(M59*($E59/365))+(M60*($E60/365))</f>
        <v>100</v>
      </c>
      <c r="E107" s="24">
        <f>B107+C107+D107</f>
        <v>100</v>
      </c>
      <c r="G107" s="9">
        <v>2013</v>
      </c>
      <c r="H107" s="409">
        <f>(O59/$R59*100*($E59/365))+(O60/$R60*100*($E60/365))</f>
        <v>0</v>
      </c>
      <c r="I107" s="409"/>
      <c r="J107" s="409">
        <f>(P59/$R59*100*($E59/365))+(P60/$R60*100*($E60/365))</f>
        <v>0</v>
      </c>
      <c r="K107" s="409"/>
      <c r="L107" s="409">
        <f>(Q59/$R59*100*($E59/365))+(Q60/$R60*100*($E60/365))</f>
        <v>100</v>
      </c>
      <c r="M107" s="409"/>
      <c r="N107" s="424">
        <f>H107+J107+L107</f>
        <v>100</v>
      </c>
      <c r="O107" s="424"/>
      <c r="R107" s="9">
        <v>2013</v>
      </c>
      <c r="S107" s="5">
        <f>(O59*($E59/365))+(O60*($E60/365))</f>
        <v>0</v>
      </c>
      <c r="T107" s="5">
        <f>(P59*($E59/365))+(P60*($E60/365))</f>
        <v>0</v>
      </c>
      <c r="U107" s="5">
        <f>(Q59*($E59/365))+(Q60*($E60/365))</f>
        <v>55.3</v>
      </c>
      <c r="V107" s="9"/>
      <c r="W107" s="5">
        <f t="shared" ref="W107:W112" si="44">S107+T107+U107</f>
        <v>55.3</v>
      </c>
    </row>
    <row r="108" spans="1:23" x14ac:dyDescent="0.15">
      <c r="A108" s="1">
        <v>2014</v>
      </c>
      <c r="B108" s="5">
        <f>(K61*($E61/365))+(K62*($E62/365))</f>
        <v>0</v>
      </c>
      <c r="C108" s="5">
        <f>(L61*($E61/365))+(L62*($E62/365))</f>
        <v>0</v>
      </c>
      <c r="D108" s="5">
        <f>(M61*($E61/365))+(M62*($E62/365))</f>
        <v>100</v>
      </c>
      <c r="E108" s="24">
        <f>B108+C108+D108</f>
        <v>100</v>
      </c>
      <c r="G108" s="9">
        <v>2014</v>
      </c>
      <c r="H108" s="409">
        <f>(O61/$R61*100*($E61/365))+(O62/$R62*100*($E62/365))</f>
        <v>0</v>
      </c>
      <c r="I108" s="409"/>
      <c r="J108" s="409">
        <f>(P61/$R61*100*($E61/365))+(P62/$R62*100*($E62/365))</f>
        <v>0</v>
      </c>
      <c r="K108" s="409"/>
      <c r="L108" s="409">
        <f>(Q61/$R61*100*($E61/365))+(Q62/$R62*100*($E62/365))</f>
        <v>100</v>
      </c>
      <c r="M108" s="409"/>
      <c r="N108" s="424">
        <f>H108+J108+L108</f>
        <v>100</v>
      </c>
      <c r="O108" s="424"/>
      <c r="R108" s="9">
        <v>2014</v>
      </c>
      <c r="S108" s="5">
        <f>(O61*($E61/365))+(O62*($E62/365))</f>
        <v>0</v>
      </c>
      <c r="T108" s="5">
        <f>(P61*($E61/365))+(P62*($E62/365))</f>
        <v>0</v>
      </c>
      <c r="U108" s="5">
        <f>(Q61*($E61/365))+(Q62*($E62/365))</f>
        <v>55.3</v>
      </c>
      <c r="V108" s="9"/>
      <c r="W108" s="5">
        <f t="shared" si="44"/>
        <v>55.3</v>
      </c>
    </row>
    <row r="109" spans="1:23" x14ac:dyDescent="0.15">
      <c r="A109" s="1">
        <v>2015</v>
      </c>
      <c r="B109" s="5">
        <f>(K63*($E63/365))+(K64*($E64/365))</f>
        <v>0</v>
      </c>
      <c r="C109" s="5">
        <f>(L63*($E63/365))+(L64*($E64/365))</f>
        <v>0</v>
      </c>
      <c r="D109" s="5">
        <f>(M63*($E63/365))+(M64*($E64/365))</f>
        <v>100</v>
      </c>
      <c r="E109" s="24">
        <f>B109+C109+D109</f>
        <v>100</v>
      </c>
      <c r="G109" s="9">
        <v>2015</v>
      </c>
      <c r="H109" s="409">
        <f>(O63/$R63*100*($E63/365))+(O64/$R64*100*($E64/365))</f>
        <v>0</v>
      </c>
      <c r="I109" s="409"/>
      <c r="J109" s="409">
        <f>(P63/$R63*100*($E63/365))+(P64/$R64*100*($E64/365))</f>
        <v>0</v>
      </c>
      <c r="K109" s="409"/>
      <c r="L109" s="409">
        <f>(Q63/$R63*100*($E63/365))+(Q64/$R64*100*($E64/365))</f>
        <v>100</v>
      </c>
      <c r="M109" s="409"/>
      <c r="N109" s="424">
        <f>H109+J109+L109</f>
        <v>100</v>
      </c>
      <c r="O109" s="424"/>
      <c r="R109" s="9">
        <v>2015</v>
      </c>
      <c r="S109" s="5">
        <f>(O63*($E63/365))+(O64*($E64/365))</f>
        <v>0</v>
      </c>
      <c r="T109" s="5">
        <f>(P63*($E63/365))+(P64*($E64/365))</f>
        <v>0</v>
      </c>
      <c r="U109" s="5">
        <f>(Q63*($E63/365))+(Q64*($E64/365))</f>
        <v>55.3</v>
      </c>
      <c r="V109" s="9"/>
      <c r="W109" s="5">
        <f t="shared" si="44"/>
        <v>55.3</v>
      </c>
    </row>
    <row r="110" spans="1:23" s="274" customFormat="1" x14ac:dyDescent="0.15">
      <c r="A110" s="1">
        <v>2016</v>
      </c>
      <c r="B110" s="5">
        <f>(K65*($E65/366))+(K66*($E66/366))+(K67*($E67/366))</f>
        <v>28.105646630236791</v>
      </c>
      <c r="C110" s="5">
        <f t="shared" ref="C110:D110" si="45">(L65*($E65/366))+(L66*($E66/366))+(L67*($E67/366))</f>
        <v>2.9326047358834244</v>
      </c>
      <c r="D110" s="5">
        <f t="shared" si="45"/>
        <v>68.961748633879779</v>
      </c>
      <c r="E110" s="24">
        <f>B110+C110+D110</f>
        <v>100</v>
      </c>
      <c r="F110" s="1"/>
      <c r="G110" s="9">
        <v>2016</v>
      </c>
      <c r="H110" s="409">
        <f>(O65/$R65*100*($E65/366))+(O66/$R66*100*($E66/366))+(O67/$R67*100*($E67/366))</f>
        <v>48.275628615098753</v>
      </c>
      <c r="I110" s="409"/>
      <c r="J110" s="409">
        <f>(P65/$R65*100*($E65/366))+(P66/$R66*100*($E66/366))+(P67/$R67*100*($E67/366))</f>
        <v>3.7796825206541391</v>
      </c>
      <c r="K110" s="409"/>
      <c r="L110" s="409">
        <f>(Q65/$R65*100*($E65/366))+(Q66/$R66*100*($E66/366))+(Q67/$R67*100*($E67/366))</f>
        <v>47.944688864247112</v>
      </c>
      <c r="M110" s="409"/>
      <c r="N110" s="424">
        <f>H110+J110+L110</f>
        <v>100</v>
      </c>
      <c r="O110" s="424"/>
      <c r="P110" s="1"/>
      <c r="Q110" s="1"/>
      <c r="R110" s="9">
        <v>2016</v>
      </c>
      <c r="S110" s="5">
        <f>(O65*($E65/366))+(O66*($E66/366))+(O67*($E67/366))</f>
        <v>25.373770491803278</v>
      </c>
      <c r="T110" s="5">
        <f>(P65*($E65/366))+(P66*($E66/366))+(P67*($E67/366))</f>
        <v>2.0674863387978144</v>
      </c>
      <c r="U110" s="5">
        <f>(Q65*($E65/366))+(Q66*($E66/366))+(Q67*($E67/367))</f>
        <v>25.797819419008054</v>
      </c>
      <c r="V110" s="9"/>
      <c r="W110" s="5">
        <f t="shared" si="44"/>
        <v>53.239076249609141</v>
      </c>
    </row>
    <row r="111" spans="1:23" x14ac:dyDescent="0.15">
      <c r="A111" s="1">
        <v>2017</v>
      </c>
      <c r="B111" s="5">
        <f>(K68*($E68/365))+(K69*($E69/365))</f>
        <v>40</v>
      </c>
      <c r="C111" s="5">
        <f t="shared" ref="C111:D111" si="46">(L68*($E68/365))+(L69*($E69/365))</f>
        <v>0</v>
      </c>
      <c r="D111" s="5">
        <f t="shared" si="46"/>
        <v>60</v>
      </c>
      <c r="E111" s="24">
        <f>B111+C111+D111</f>
        <v>100</v>
      </c>
      <c r="G111" s="9">
        <v>2017</v>
      </c>
      <c r="H111" s="409">
        <f>(O68/$R68*100*($E68/365))+(O69/$R69*100*($E69/365))</f>
        <v>65.400000000000006</v>
      </c>
      <c r="I111" s="409"/>
      <c r="J111" s="409">
        <f>(P68/$R68*100*($E68/365))+(P69/$R69*100*($E69/365))</f>
        <v>0</v>
      </c>
      <c r="K111" s="409"/>
      <c r="L111" s="409">
        <f>(Q68/$R68*100*($E68/365))+(Q69/$R69*100*($E69/365))</f>
        <v>34.6</v>
      </c>
      <c r="M111" s="409"/>
      <c r="N111" s="424">
        <f>H111+J111+L111</f>
        <v>100</v>
      </c>
      <c r="O111" s="424"/>
      <c r="R111" s="9">
        <v>2017</v>
      </c>
      <c r="S111" s="5">
        <f>(O68*($E68/365))+(O69*($E69/365))</f>
        <v>32.700000000000003</v>
      </c>
      <c r="T111" s="5">
        <f t="shared" ref="T111:U111" si="47">(P68*($E68/365))+(P69*($E69/365))</f>
        <v>0</v>
      </c>
      <c r="U111" s="5">
        <f t="shared" si="47"/>
        <v>17.3</v>
      </c>
      <c r="V111" s="9"/>
      <c r="W111" s="5">
        <f t="shared" si="44"/>
        <v>50</v>
      </c>
    </row>
    <row r="112" spans="1:23" x14ac:dyDescent="0.15">
      <c r="A112" s="1">
        <v>2018</v>
      </c>
      <c r="B112" s="5">
        <f>(K70*($E70/365))+(K71*($E71/365))</f>
        <v>40</v>
      </c>
      <c r="C112" s="5">
        <f>(L70*($E70/365))+(L71*($E71/365))</f>
        <v>0</v>
      </c>
      <c r="D112" s="5">
        <f>(M70*($E70/365))+(M71*($E71/365))</f>
        <v>60</v>
      </c>
      <c r="E112" s="24">
        <f t="shared" ref="E112" si="48">B112+C112+D112</f>
        <v>100</v>
      </c>
      <c r="G112" s="9">
        <v>2018</v>
      </c>
      <c r="H112" s="409">
        <f>(O70/$R70*100*($E70/365))+(O71/$R71*100*($E71/365))</f>
        <v>65.400000000000006</v>
      </c>
      <c r="I112" s="409"/>
      <c r="J112" s="409">
        <f>(P70/$R70*100*($E70/365))+(P71/$R71*100*($E71/365))</f>
        <v>0</v>
      </c>
      <c r="K112" s="409"/>
      <c r="L112" s="409">
        <f>(Q70/$R70*100*($E70/365))+(Q71/$R71*100*($E71/365))</f>
        <v>34.6</v>
      </c>
      <c r="M112" s="409"/>
      <c r="N112" s="424">
        <f t="shared" ref="N112" si="49">H112+J112+L112</f>
        <v>100</v>
      </c>
      <c r="O112" s="424"/>
      <c r="R112" s="9">
        <v>2018</v>
      </c>
      <c r="S112" s="5">
        <f>(O70*($E70/365))+(O71*($E71/365))</f>
        <v>32.700000000000003</v>
      </c>
      <c r="T112" s="5">
        <f>(P70*($E70/365))+(P71*($E71/365))</f>
        <v>0</v>
      </c>
      <c r="U112" s="5">
        <f>(Q70*($E70/365))+(Q71*($E71/365))</f>
        <v>17.3</v>
      </c>
      <c r="V112" s="9"/>
      <c r="W112" s="5">
        <f t="shared" si="44"/>
        <v>50</v>
      </c>
    </row>
    <row r="113" spans="1:23" x14ac:dyDescent="0.15">
      <c r="A113" s="1">
        <v>2019</v>
      </c>
      <c r="B113" s="5">
        <f>(K72*($E72/365))+(K73*($E73/365))</f>
        <v>40</v>
      </c>
      <c r="C113" s="5">
        <f>(L72*($E72/365))+(L73*($E73/365))</f>
        <v>0</v>
      </c>
      <c r="D113" s="5">
        <f>(M72*($E72/365))+(M73*($E73/365))</f>
        <v>60</v>
      </c>
      <c r="E113" s="24">
        <f t="shared" ref="E113:E114" si="50">B113+C113+D113</f>
        <v>100</v>
      </c>
      <c r="G113" s="9">
        <v>2019</v>
      </c>
      <c r="H113" s="409">
        <f>(O72/$R72*100*($E72/365))+(O73/$R73*100*($E73/365))</f>
        <v>65.400000000000006</v>
      </c>
      <c r="I113" s="409"/>
      <c r="J113" s="409">
        <f>(P72/$R72*100*($E72/365))+(P73/$R73*100*($E73/365))</f>
        <v>0</v>
      </c>
      <c r="K113" s="409"/>
      <c r="L113" s="409">
        <f>(Q72/$R72*100*($E72/365))+(Q73/$R73*100*($E73/365))</f>
        <v>34.6</v>
      </c>
      <c r="M113" s="409"/>
      <c r="N113" s="424">
        <f t="shared" ref="N113" si="51">H113+J113+L113</f>
        <v>100</v>
      </c>
      <c r="O113" s="424"/>
      <c r="R113" s="9">
        <v>2019</v>
      </c>
      <c r="S113" s="5">
        <f t="shared" ref="S113:T113" si="52">(O72*($E72/365))+(O73*($E73/365))</f>
        <v>32.700000000000003</v>
      </c>
      <c r="T113" s="5">
        <f t="shared" si="52"/>
        <v>0</v>
      </c>
      <c r="U113" s="5">
        <f>(Q72*($E72/365))+(Q73*($E73/365))</f>
        <v>17.3</v>
      </c>
      <c r="V113" s="9"/>
      <c r="W113" s="5">
        <f t="shared" ref="W113:W114" si="53">S113+T113+U113</f>
        <v>50</v>
      </c>
    </row>
    <row r="114" spans="1:23" x14ac:dyDescent="0.15">
      <c r="A114" s="1">
        <v>2020</v>
      </c>
      <c r="B114" s="5">
        <f>(K74*($E74/366))+(K75*($E75/366))</f>
        <v>86.885245901639337</v>
      </c>
      <c r="C114" s="5">
        <f>(L74*($E74/366))+(L75*($E75/366))</f>
        <v>0</v>
      </c>
      <c r="D114" s="5">
        <f>(M74*($E74/366))+(M75*($E75/366))</f>
        <v>13.114754098360656</v>
      </c>
      <c r="E114" s="24">
        <f t="shared" si="50"/>
        <v>100</v>
      </c>
      <c r="G114" s="9">
        <v>2020</v>
      </c>
      <c r="H114" s="409">
        <f>(O74/$R74*100*($E74/366))+(O75/$R75*100*($E75/366))</f>
        <v>92.437158469945359</v>
      </c>
      <c r="I114" s="409"/>
      <c r="J114" s="409">
        <f>(P74/$R74*100*($E74/366))+(P75/$R75*100*($E75/366))</f>
        <v>0</v>
      </c>
      <c r="K114" s="409"/>
      <c r="L114" s="409">
        <f>(Q74/$R74*100*($E74/366))+(Q75/$R75*100*($E75/366))</f>
        <v>7.5628415300546452</v>
      </c>
      <c r="M114" s="409"/>
      <c r="N114" s="424">
        <f t="shared" ref="N114" si="54">H114+J114+L114</f>
        <v>100</v>
      </c>
      <c r="O114" s="424"/>
      <c r="R114" s="9">
        <v>2020</v>
      </c>
      <c r="S114" s="5">
        <f>(O74*($E74/366))+(O75*($E75/366))</f>
        <v>56.611475409836068</v>
      </c>
      <c r="T114" s="5">
        <f>(P74*($E74/366))+(P75*($E75/366))</f>
        <v>0</v>
      </c>
      <c r="U114" s="5">
        <f>(Q74*($E74/366))+(Q75*($E75/366))</f>
        <v>3.7814207650273226</v>
      </c>
      <c r="W114" s="5">
        <f t="shared" si="53"/>
        <v>60.392896174863388</v>
      </c>
    </row>
    <row r="115" spans="1:23" x14ac:dyDescent="0.15">
      <c r="B115" s="5"/>
      <c r="C115" s="5"/>
      <c r="D115" s="5"/>
      <c r="H115" s="4"/>
      <c r="I115" s="4"/>
      <c r="J115" s="4"/>
    </row>
    <row r="116" spans="1:23" x14ac:dyDescent="0.15">
      <c r="B116" s="5"/>
      <c r="C116" s="5"/>
      <c r="D116" s="5"/>
      <c r="H116" s="4"/>
      <c r="I116" s="4"/>
      <c r="J116" s="4"/>
    </row>
    <row r="117" spans="1:23" x14ac:dyDescent="0.15">
      <c r="B117" s="5"/>
      <c r="C117" s="5"/>
      <c r="D117" s="5"/>
      <c r="H117" s="4"/>
      <c r="I117" s="4"/>
      <c r="J117" s="4"/>
    </row>
    <row r="118" spans="1:23" x14ac:dyDescent="0.15">
      <c r="B118" s="5"/>
      <c r="C118" s="5"/>
      <c r="D118" s="5"/>
      <c r="H118" s="4"/>
      <c r="I118" s="4"/>
      <c r="J118" s="4"/>
    </row>
    <row r="119" spans="1:23" x14ac:dyDescent="0.15">
      <c r="B119" s="5"/>
      <c r="C119" s="5"/>
      <c r="D119" s="5"/>
      <c r="H119" s="4"/>
      <c r="I119" s="4"/>
      <c r="J119" s="4"/>
    </row>
    <row r="120" spans="1:23" x14ac:dyDescent="0.15">
      <c r="B120" s="5"/>
      <c r="C120" s="5"/>
      <c r="D120" s="5"/>
      <c r="H120" s="4"/>
      <c r="I120" s="4"/>
      <c r="J120" s="4"/>
    </row>
    <row r="121" spans="1:23" x14ac:dyDescent="0.15">
      <c r="B121" s="5"/>
      <c r="C121" s="5"/>
      <c r="D121" s="5"/>
      <c r="H121" s="4"/>
      <c r="I121" s="4"/>
      <c r="J121" s="4"/>
    </row>
    <row r="122" spans="1:23" x14ac:dyDescent="0.15">
      <c r="B122" s="5"/>
      <c r="C122" s="5"/>
      <c r="D122" s="5"/>
      <c r="H122" s="4"/>
      <c r="I122" s="4"/>
      <c r="J122" s="4"/>
    </row>
    <row r="123" spans="1:23" x14ac:dyDescent="0.15">
      <c r="B123" s="5"/>
      <c r="C123" s="5"/>
      <c r="D123" s="5"/>
      <c r="H123" s="4"/>
      <c r="I123" s="4"/>
      <c r="J123" s="4"/>
    </row>
    <row r="124" spans="1:23" x14ac:dyDescent="0.15">
      <c r="B124" s="5"/>
      <c r="C124" s="5"/>
      <c r="D124" s="5"/>
      <c r="H124" s="4"/>
      <c r="I124" s="4"/>
      <c r="J124" s="4"/>
    </row>
    <row r="125" spans="1:23" x14ac:dyDescent="0.15">
      <c r="B125" s="5"/>
      <c r="C125" s="5"/>
      <c r="D125" s="5"/>
      <c r="H125" s="4"/>
      <c r="I125" s="4"/>
      <c r="J125" s="4"/>
    </row>
    <row r="126" spans="1:23" x14ac:dyDescent="0.15">
      <c r="B126" s="5"/>
      <c r="C126" s="5"/>
      <c r="D126" s="5"/>
      <c r="H126" s="4"/>
      <c r="I126" s="4"/>
      <c r="J126" s="4"/>
    </row>
    <row r="127" spans="1:23" x14ac:dyDescent="0.15">
      <c r="B127" s="5"/>
      <c r="C127" s="5"/>
      <c r="D127" s="5"/>
      <c r="H127" s="4"/>
      <c r="I127" s="4"/>
      <c r="J127" s="4"/>
    </row>
    <row r="128" spans="1:23" x14ac:dyDescent="0.15">
      <c r="B128" s="5"/>
      <c r="C128" s="5"/>
      <c r="D128" s="5"/>
      <c r="H128" s="4"/>
      <c r="I128" s="4"/>
      <c r="J128" s="4"/>
    </row>
    <row r="129" spans="2:10" x14ac:dyDescent="0.15">
      <c r="B129" s="5"/>
      <c r="C129" s="5"/>
      <c r="D129" s="5"/>
      <c r="H129" s="4"/>
      <c r="I129" s="4"/>
      <c r="J129" s="4"/>
    </row>
    <row r="130" spans="2:10" x14ac:dyDescent="0.15">
      <c r="B130" s="5"/>
      <c r="C130" s="5"/>
      <c r="D130" s="5"/>
      <c r="H130" s="4"/>
      <c r="I130" s="4"/>
      <c r="J130" s="4"/>
    </row>
    <row r="131" spans="2:10" x14ac:dyDescent="0.15">
      <c r="B131" s="5"/>
      <c r="C131" s="5"/>
      <c r="D131" s="5"/>
      <c r="H131" s="4"/>
      <c r="I131" s="4"/>
      <c r="J131" s="4"/>
    </row>
    <row r="132" spans="2:10" x14ac:dyDescent="0.15">
      <c r="B132" s="5"/>
      <c r="C132" s="5"/>
      <c r="D132" s="5"/>
      <c r="H132" s="4"/>
      <c r="I132" s="4"/>
      <c r="J132" s="4"/>
    </row>
    <row r="133" spans="2:10" x14ac:dyDescent="0.15">
      <c r="B133" s="5"/>
      <c r="C133" s="5"/>
      <c r="D133" s="5"/>
      <c r="H133" s="4"/>
      <c r="I133" s="4"/>
      <c r="J133" s="4"/>
    </row>
    <row r="134" spans="2:10" x14ac:dyDescent="0.15">
      <c r="B134" s="5"/>
      <c r="C134" s="5"/>
      <c r="D134" s="5"/>
      <c r="H134" s="4"/>
      <c r="I134" s="4"/>
      <c r="J134" s="4"/>
    </row>
  </sheetData>
  <mergeCells count="220">
    <mergeCell ref="H114:I114"/>
    <mergeCell ref="J114:K114"/>
    <mergeCell ref="L114:M114"/>
    <mergeCell ref="N114:O114"/>
    <mergeCell ref="C74:D74"/>
    <mergeCell ref="C75:D75"/>
    <mergeCell ref="C73:D73"/>
    <mergeCell ref="H113:I113"/>
    <mergeCell ref="J113:K113"/>
    <mergeCell ref="L113:M113"/>
    <mergeCell ref="N113:O113"/>
    <mergeCell ref="H111:I111"/>
    <mergeCell ref="J111:K111"/>
    <mergeCell ref="L111:M111"/>
    <mergeCell ref="N111:O111"/>
    <mergeCell ref="H110:I110"/>
    <mergeCell ref="J110:K110"/>
    <mergeCell ref="L110:M110"/>
    <mergeCell ref="N110:O110"/>
    <mergeCell ref="H109:I109"/>
    <mergeCell ref="J109:K109"/>
    <mergeCell ref="L109:M109"/>
    <mergeCell ref="N109:O109"/>
    <mergeCell ref="N96:O96"/>
    <mergeCell ref="H108:I108"/>
    <mergeCell ref="J108:K108"/>
    <mergeCell ref="N98:O98"/>
    <mergeCell ref="J98:K98"/>
    <mergeCell ref="H106:I106"/>
    <mergeCell ref="J106:K106"/>
    <mergeCell ref="L106:M106"/>
    <mergeCell ref="H102:I102"/>
    <mergeCell ref="J102:K102"/>
    <mergeCell ref="H104:I104"/>
    <mergeCell ref="J104:K104"/>
    <mergeCell ref="N105:O105"/>
    <mergeCell ref="N106:O106"/>
    <mergeCell ref="N102:O102"/>
    <mergeCell ref="H103:I103"/>
    <mergeCell ref="N108:O108"/>
    <mergeCell ref="J101:K101"/>
    <mergeCell ref="L108:M108"/>
    <mergeCell ref="L104:M104"/>
    <mergeCell ref="N104:O104"/>
    <mergeCell ref="N99:O99"/>
    <mergeCell ref="J100:K100"/>
    <mergeCell ref="N103:O103"/>
    <mergeCell ref="N100:O100"/>
    <mergeCell ref="N101:O101"/>
    <mergeCell ref="L102:M102"/>
    <mergeCell ref="L105:M105"/>
    <mergeCell ref="J103:K103"/>
    <mergeCell ref="L103:M103"/>
    <mergeCell ref="J96:K96"/>
    <mergeCell ref="H100:I100"/>
    <mergeCell ref="H101:I101"/>
    <mergeCell ref="H98:I98"/>
    <mergeCell ref="H105:I105"/>
    <mergeCell ref="J105:K105"/>
    <mergeCell ref="L99:M99"/>
    <mergeCell ref="L100:M100"/>
    <mergeCell ref="L98:M98"/>
    <mergeCell ref="H99:I99"/>
    <mergeCell ref="J99:K99"/>
    <mergeCell ref="L101:M101"/>
    <mergeCell ref="H96:I96"/>
    <mergeCell ref="L96:M96"/>
    <mergeCell ref="H97:I97"/>
    <mergeCell ref="J97:K97"/>
    <mergeCell ref="L97:M97"/>
    <mergeCell ref="N97:O97"/>
    <mergeCell ref="H95:I95"/>
    <mergeCell ref="J95:K95"/>
    <mergeCell ref="L95:M95"/>
    <mergeCell ref="N95:O95"/>
    <mergeCell ref="H92:I92"/>
    <mergeCell ref="J92:K92"/>
    <mergeCell ref="L92:M92"/>
    <mergeCell ref="N92:O92"/>
    <mergeCell ref="H93:I93"/>
    <mergeCell ref="N93:O93"/>
    <mergeCell ref="L93:M93"/>
    <mergeCell ref="H94:I94"/>
    <mergeCell ref="J94:K94"/>
    <mergeCell ref="L94:M94"/>
    <mergeCell ref="J90:K90"/>
    <mergeCell ref="L90:M90"/>
    <mergeCell ref="N90:O90"/>
    <mergeCell ref="H91:I91"/>
    <mergeCell ref="J91:K91"/>
    <mergeCell ref="L91:M91"/>
    <mergeCell ref="N91:O91"/>
    <mergeCell ref="J93:K93"/>
    <mergeCell ref="N94:O94"/>
    <mergeCell ref="C50:D50"/>
    <mergeCell ref="C51:D51"/>
    <mergeCell ref="C55:D55"/>
    <mergeCell ref="C52:D52"/>
    <mergeCell ref="C53:D53"/>
    <mergeCell ref="C54:D54"/>
    <mergeCell ref="C57:D57"/>
    <mergeCell ref="C58:D58"/>
    <mergeCell ref="H84:I84"/>
    <mergeCell ref="C56:D56"/>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41:D41"/>
    <mergeCell ref="C42:D42"/>
    <mergeCell ref="C43:D43"/>
    <mergeCell ref="C47:D47"/>
    <mergeCell ref="C48:D48"/>
    <mergeCell ref="C49:D49"/>
    <mergeCell ref="C44:D44"/>
    <mergeCell ref="C46:D46"/>
    <mergeCell ref="C45:D45"/>
    <mergeCell ref="C38:D38"/>
    <mergeCell ref="C39:D39"/>
    <mergeCell ref="C40:D40"/>
    <mergeCell ref="C24:D24"/>
    <mergeCell ref="C27:D27"/>
    <mergeCell ref="C28:D28"/>
    <mergeCell ref="C29:D29"/>
    <mergeCell ref="C30:D30"/>
    <mergeCell ref="C31:D31"/>
    <mergeCell ref="C26:D26"/>
    <mergeCell ref="C32:D32"/>
    <mergeCell ref="C33:D33"/>
    <mergeCell ref="C34:D34"/>
    <mergeCell ref="C35:D35"/>
    <mergeCell ref="C36:D36"/>
    <mergeCell ref="C37:D37"/>
    <mergeCell ref="C10:D10"/>
    <mergeCell ref="C11:D11"/>
    <mergeCell ref="C12:D12"/>
    <mergeCell ref="C13:D13"/>
    <mergeCell ref="C16:D16"/>
    <mergeCell ref="C14:D14"/>
    <mergeCell ref="C15:D15"/>
    <mergeCell ref="C25:D25"/>
    <mergeCell ref="C17:D17"/>
    <mergeCell ref="C19:D19"/>
    <mergeCell ref="C20:D20"/>
    <mergeCell ref="C21:D21"/>
    <mergeCell ref="C22:D22"/>
    <mergeCell ref="C23:D23"/>
    <mergeCell ref="C18:D18"/>
    <mergeCell ref="G3:M3"/>
    <mergeCell ref="O3:Q3"/>
    <mergeCell ref="A4:A5"/>
    <mergeCell ref="B4:B5"/>
    <mergeCell ref="C4:D5"/>
    <mergeCell ref="E4:E5"/>
    <mergeCell ref="F4:F5"/>
    <mergeCell ref="G4:J4"/>
    <mergeCell ref="C9:D9"/>
    <mergeCell ref="C6:D6"/>
    <mergeCell ref="C7:D7"/>
    <mergeCell ref="K4:N4"/>
    <mergeCell ref="O4:R4"/>
    <mergeCell ref="C8:D8"/>
    <mergeCell ref="Z4:AC4"/>
    <mergeCell ref="AD4:AG4"/>
    <mergeCell ref="S4:S5"/>
    <mergeCell ref="T4:T5"/>
    <mergeCell ref="U4:U5"/>
    <mergeCell ref="V4:Y4"/>
    <mergeCell ref="AT4:AW4"/>
    <mergeCell ref="AX4:BA4"/>
    <mergeCell ref="H107:I107"/>
    <mergeCell ref="J107:K107"/>
    <mergeCell ref="L107:M107"/>
    <mergeCell ref="N107:O107"/>
    <mergeCell ref="AH4:AK4"/>
    <mergeCell ref="AL4:AO4"/>
    <mergeCell ref="AP4:AS4"/>
    <mergeCell ref="R81:W81"/>
    <mergeCell ref="J85:K85"/>
    <mergeCell ref="L85:M85"/>
    <mergeCell ref="N85:O85"/>
    <mergeCell ref="H83:I83"/>
    <mergeCell ref="J83:K83"/>
    <mergeCell ref="L83:M83"/>
    <mergeCell ref="N83:O83"/>
    <mergeCell ref="N84:O84"/>
    <mergeCell ref="H112:I112"/>
    <mergeCell ref="J112:K112"/>
    <mergeCell ref="L112:M112"/>
    <mergeCell ref="N112:O112"/>
    <mergeCell ref="H85:I85"/>
    <mergeCell ref="J84:K84"/>
    <mergeCell ref="L84:M84"/>
    <mergeCell ref="H86:I86"/>
    <mergeCell ref="J86:K86"/>
    <mergeCell ref="L86:M86"/>
    <mergeCell ref="N86:O86"/>
    <mergeCell ref="H87:I87"/>
    <mergeCell ref="J87:K87"/>
    <mergeCell ref="L87:M87"/>
    <mergeCell ref="N87:O87"/>
    <mergeCell ref="L88:M88"/>
    <mergeCell ref="N88:O88"/>
    <mergeCell ref="H89:I89"/>
    <mergeCell ref="J89:K89"/>
    <mergeCell ref="L89:M89"/>
    <mergeCell ref="N89:O89"/>
    <mergeCell ref="H88:I88"/>
    <mergeCell ref="J88:K88"/>
    <mergeCell ref="H90:I90"/>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A110"/>
  <sheetViews>
    <sheetView zoomScale="160" zoomScaleNormal="160" workbookViewId="0">
      <pane xSplit="1" ySplit="5" topLeftCell="B6" activePane="bottomRight" state="frozen"/>
      <selection pane="topRight" activeCell="B1" sqref="B1"/>
      <selection pane="bottomLeft" activeCell="A6" sqref="A6"/>
      <selection pane="bottomRight" activeCell="AM67" sqref="AM67:AM70"/>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146</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ht="9" customHeight="1" x14ac:dyDescent="0.15">
      <c r="A6" s="29">
        <v>1993</v>
      </c>
      <c r="B6" s="295"/>
      <c r="C6" s="421" t="s">
        <v>1263</v>
      </c>
      <c r="D6" s="421"/>
      <c r="E6" s="29">
        <v>11</v>
      </c>
      <c r="F6" s="72"/>
      <c r="G6" s="66"/>
      <c r="J6" s="73"/>
      <c r="K6" s="47"/>
      <c r="L6" s="47"/>
      <c r="M6" s="47"/>
      <c r="N6" s="68"/>
      <c r="O6" s="46"/>
      <c r="P6" s="47"/>
      <c r="Q6" s="47"/>
      <c r="R6" s="48"/>
      <c r="T6" s="286">
        <v>33944</v>
      </c>
      <c r="U6" s="295"/>
      <c r="V6" s="38"/>
      <c r="Y6" s="39"/>
      <c r="AD6" s="38"/>
      <c r="AG6" s="39"/>
      <c r="AL6" s="38"/>
      <c r="AO6" s="39"/>
      <c r="AP6" s="38"/>
      <c r="AS6" s="39"/>
      <c r="AW6" s="39"/>
      <c r="BA6" s="40"/>
    </row>
    <row r="7" spans="1:53" s="171" customFormat="1" x14ac:dyDescent="0.15">
      <c r="A7" s="171">
        <v>1993</v>
      </c>
      <c r="B7" s="283">
        <v>33981</v>
      </c>
      <c r="C7" s="410" t="s">
        <v>856</v>
      </c>
      <c r="D7" s="410"/>
      <c r="E7" s="171">
        <v>354</v>
      </c>
      <c r="F7" s="171" t="s">
        <v>335</v>
      </c>
      <c r="G7" s="233">
        <v>7</v>
      </c>
      <c r="H7" s="171">
        <v>4</v>
      </c>
      <c r="I7" s="171">
        <v>5</v>
      </c>
      <c r="J7" s="241">
        <v>16</v>
      </c>
      <c r="K7" s="214">
        <f t="shared" ref="K7:K45" si="0">G7/J7*100</f>
        <v>43.75</v>
      </c>
      <c r="L7" s="214">
        <f t="shared" ref="L7:L45" si="1">H7/J7*100</f>
        <v>25</v>
      </c>
      <c r="M7" s="214">
        <f t="shared" ref="M7:M45" si="2">I7/J7*100</f>
        <v>31.25</v>
      </c>
      <c r="N7" s="235">
        <f>K7+L7+M7</f>
        <v>100</v>
      </c>
      <c r="O7" s="213">
        <v>28.9</v>
      </c>
      <c r="P7" s="214">
        <v>16.7</v>
      </c>
      <c r="Q7" s="214">
        <v>21.2</v>
      </c>
      <c r="R7" s="215">
        <f>O7+P7+Q7</f>
        <v>66.8</v>
      </c>
      <c r="S7" s="171">
        <v>3</v>
      </c>
      <c r="T7" s="285"/>
      <c r="U7" s="283">
        <v>33981</v>
      </c>
      <c r="V7" s="178" t="s">
        <v>863</v>
      </c>
      <c r="W7" s="171" t="s">
        <v>22</v>
      </c>
      <c r="X7" s="171" t="s">
        <v>11</v>
      </c>
      <c r="Y7" s="179">
        <v>24.5</v>
      </c>
      <c r="Z7" s="171" t="s">
        <v>864</v>
      </c>
      <c r="AA7" s="171" t="s">
        <v>17</v>
      </c>
      <c r="AB7" s="171" t="s">
        <v>18</v>
      </c>
      <c r="AC7" s="171">
        <v>16.7</v>
      </c>
      <c r="AD7" s="178" t="s">
        <v>865</v>
      </c>
      <c r="AE7" s="171" t="s">
        <v>97</v>
      </c>
      <c r="AF7" s="171" t="s">
        <v>12</v>
      </c>
      <c r="AG7" s="179">
        <v>15.6</v>
      </c>
      <c r="AH7" s="171" t="s">
        <v>866</v>
      </c>
      <c r="AI7" s="171" t="s">
        <v>216</v>
      </c>
      <c r="AJ7" s="171" t="s">
        <v>12</v>
      </c>
      <c r="AK7" s="171">
        <v>5.6</v>
      </c>
      <c r="AL7" s="178" t="s">
        <v>867</v>
      </c>
      <c r="AM7" s="171" t="s">
        <v>294</v>
      </c>
      <c r="AN7" s="171" t="s">
        <v>11</v>
      </c>
      <c r="AO7" s="179">
        <v>4.4000000000000004</v>
      </c>
      <c r="AP7" s="178"/>
      <c r="AS7" s="179"/>
      <c r="AW7" s="179"/>
      <c r="BA7" s="180"/>
    </row>
    <row r="8" spans="1:53" s="171" customFormat="1" x14ac:dyDescent="0.15">
      <c r="A8" s="171">
        <v>1994</v>
      </c>
      <c r="B8" s="283"/>
      <c r="C8" s="410" t="s">
        <v>856</v>
      </c>
      <c r="D8" s="410"/>
      <c r="E8" s="171">
        <v>87</v>
      </c>
      <c r="G8" s="233">
        <v>7</v>
      </c>
      <c r="H8" s="171">
        <v>4</v>
      </c>
      <c r="I8" s="171">
        <v>5</v>
      </c>
      <c r="J8" s="241">
        <v>16</v>
      </c>
      <c r="K8" s="214">
        <f t="shared" si="0"/>
        <v>43.75</v>
      </c>
      <c r="L8" s="214">
        <f t="shared" si="1"/>
        <v>25</v>
      </c>
      <c r="M8" s="214">
        <f t="shared" si="2"/>
        <v>31.25</v>
      </c>
      <c r="N8" s="235">
        <f t="shared" ref="N8:N51" si="3">K8+L8+M8</f>
        <v>100</v>
      </c>
      <c r="O8" s="213">
        <v>28.9</v>
      </c>
      <c r="P8" s="214">
        <v>16.7</v>
      </c>
      <c r="Q8" s="214">
        <v>21.2</v>
      </c>
      <c r="R8" s="215">
        <f t="shared" ref="R8:R51" si="4">O8+P8+Q8</f>
        <v>66.8</v>
      </c>
      <c r="S8" s="171">
        <v>3</v>
      </c>
      <c r="T8" s="285"/>
      <c r="U8" s="283"/>
      <c r="V8" s="178" t="s">
        <v>863</v>
      </c>
      <c r="W8" s="171" t="s">
        <v>22</v>
      </c>
      <c r="X8" s="171" t="s">
        <v>11</v>
      </c>
      <c r="Y8" s="179">
        <v>24.5</v>
      </c>
      <c r="Z8" s="171" t="s">
        <v>864</v>
      </c>
      <c r="AA8" s="171" t="s">
        <v>17</v>
      </c>
      <c r="AB8" s="171" t="s">
        <v>18</v>
      </c>
      <c r="AC8" s="171">
        <v>16.7</v>
      </c>
      <c r="AD8" s="178" t="s">
        <v>865</v>
      </c>
      <c r="AE8" s="171" t="s">
        <v>97</v>
      </c>
      <c r="AF8" s="171" t="s">
        <v>12</v>
      </c>
      <c r="AG8" s="179">
        <v>15.6</v>
      </c>
      <c r="AH8" s="171" t="s">
        <v>866</v>
      </c>
      <c r="AI8" s="171" t="s">
        <v>216</v>
      </c>
      <c r="AJ8" s="171" t="s">
        <v>12</v>
      </c>
      <c r="AK8" s="171">
        <v>5.6</v>
      </c>
      <c r="AL8" s="178" t="s">
        <v>867</v>
      </c>
      <c r="AM8" s="171" t="s">
        <v>294</v>
      </c>
      <c r="AN8" s="171" t="s">
        <v>11</v>
      </c>
      <c r="AO8" s="179">
        <v>4.4000000000000004</v>
      </c>
      <c r="AP8" s="178"/>
      <c r="AS8" s="179"/>
      <c r="AW8" s="179"/>
      <c r="BA8" s="180"/>
    </row>
    <row r="9" spans="1:53" s="29" customFormat="1" x14ac:dyDescent="0.15">
      <c r="A9" s="29">
        <v>1994</v>
      </c>
      <c r="B9" s="295">
        <v>34422</v>
      </c>
      <c r="C9" s="411" t="s">
        <v>857</v>
      </c>
      <c r="D9" s="411"/>
      <c r="E9" s="29">
        <f>365-E8</f>
        <v>278</v>
      </c>
      <c r="F9" s="29">
        <v>4</v>
      </c>
      <c r="G9" s="66">
        <v>8</v>
      </c>
      <c r="H9" s="29">
        <v>3</v>
      </c>
      <c r="I9" s="29">
        <v>4</v>
      </c>
      <c r="J9" s="73">
        <v>16</v>
      </c>
      <c r="K9" s="47">
        <f t="shared" si="0"/>
        <v>50</v>
      </c>
      <c r="L9" s="47">
        <f t="shared" si="1"/>
        <v>18.75</v>
      </c>
      <c r="M9" s="47">
        <f t="shared" si="2"/>
        <v>25</v>
      </c>
      <c r="N9" s="68">
        <f t="shared" si="3"/>
        <v>93.75</v>
      </c>
      <c r="O9" s="46">
        <v>24.5</v>
      </c>
      <c r="P9" s="47">
        <v>16.7</v>
      </c>
      <c r="Q9" s="47">
        <v>15.6</v>
      </c>
      <c r="R9" s="48">
        <f t="shared" si="4"/>
        <v>56.800000000000004</v>
      </c>
      <c r="S9" s="29">
        <v>2</v>
      </c>
      <c r="T9" s="286"/>
      <c r="U9" s="295">
        <v>34422</v>
      </c>
      <c r="V9" s="38" t="s">
        <v>863</v>
      </c>
      <c r="W9" s="29" t="s">
        <v>22</v>
      </c>
      <c r="X9" s="29" t="s">
        <v>11</v>
      </c>
      <c r="Y9" s="39">
        <v>24.5</v>
      </c>
      <c r="Z9" s="29" t="s">
        <v>864</v>
      </c>
      <c r="AA9" s="29" t="s">
        <v>17</v>
      </c>
      <c r="AB9" s="29" t="s">
        <v>18</v>
      </c>
      <c r="AC9" s="29">
        <v>16.7</v>
      </c>
      <c r="AD9" s="38" t="s">
        <v>865</v>
      </c>
      <c r="AE9" s="29" t="s">
        <v>97</v>
      </c>
      <c r="AF9" s="29" t="s">
        <v>12</v>
      </c>
      <c r="AG9" s="39">
        <v>15.6</v>
      </c>
      <c r="AL9" s="38"/>
      <c r="AO9" s="39"/>
      <c r="AP9" s="38"/>
      <c r="AS9" s="39"/>
      <c r="AW9" s="39"/>
      <c r="BA9" s="40"/>
    </row>
    <row r="10" spans="1:53" s="29" customFormat="1" x14ac:dyDescent="0.15">
      <c r="A10" s="29">
        <v>1995</v>
      </c>
      <c r="B10" s="295"/>
      <c r="C10" s="411" t="s">
        <v>857</v>
      </c>
      <c r="D10" s="411"/>
      <c r="E10" s="29">
        <v>0</v>
      </c>
      <c r="G10" s="66">
        <v>8</v>
      </c>
      <c r="H10" s="29">
        <v>3</v>
      </c>
      <c r="I10" s="29">
        <v>4</v>
      </c>
      <c r="J10" s="73">
        <v>16</v>
      </c>
      <c r="K10" s="47">
        <f t="shared" si="0"/>
        <v>50</v>
      </c>
      <c r="L10" s="47">
        <f t="shared" si="1"/>
        <v>18.75</v>
      </c>
      <c r="M10" s="47">
        <f t="shared" si="2"/>
        <v>25</v>
      </c>
      <c r="N10" s="68">
        <f t="shared" si="3"/>
        <v>93.75</v>
      </c>
      <c r="O10" s="46">
        <v>24.5</v>
      </c>
      <c r="P10" s="47">
        <v>16.7</v>
      </c>
      <c r="Q10" s="47">
        <v>15.6</v>
      </c>
      <c r="R10" s="48">
        <f t="shared" si="4"/>
        <v>56.800000000000004</v>
      </c>
      <c r="S10" s="29">
        <v>2</v>
      </c>
      <c r="T10" s="286"/>
      <c r="U10" s="295"/>
      <c r="V10" s="38" t="s">
        <v>863</v>
      </c>
      <c r="W10" s="29" t="s">
        <v>22</v>
      </c>
      <c r="X10" s="29" t="s">
        <v>11</v>
      </c>
      <c r="Y10" s="39">
        <v>24.5</v>
      </c>
      <c r="Z10" s="29" t="s">
        <v>864</v>
      </c>
      <c r="AA10" s="29" t="s">
        <v>17</v>
      </c>
      <c r="AB10" s="29" t="s">
        <v>18</v>
      </c>
      <c r="AC10" s="29">
        <v>16.7</v>
      </c>
      <c r="AD10" s="38" t="s">
        <v>865</v>
      </c>
      <c r="AE10" s="29" t="s">
        <v>97</v>
      </c>
      <c r="AF10" s="29" t="s">
        <v>12</v>
      </c>
      <c r="AG10" s="39">
        <v>15.6</v>
      </c>
      <c r="AL10" s="38"/>
      <c r="AO10" s="39"/>
      <c r="AP10" s="38"/>
      <c r="AS10" s="39"/>
      <c r="AW10" s="39"/>
      <c r="BA10" s="40"/>
    </row>
    <row r="11" spans="1:53" s="29" customFormat="1" x14ac:dyDescent="0.15">
      <c r="A11" s="29">
        <v>1995</v>
      </c>
      <c r="B11" s="295"/>
      <c r="C11" s="411" t="s">
        <v>857</v>
      </c>
      <c r="D11" s="411"/>
      <c r="E11" s="29">
        <v>365</v>
      </c>
      <c r="G11" s="66">
        <v>8</v>
      </c>
      <c r="H11" s="29">
        <v>3</v>
      </c>
      <c r="I11" s="29">
        <v>4</v>
      </c>
      <c r="J11" s="73">
        <v>16</v>
      </c>
      <c r="K11" s="47">
        <f t="shared" si="0"/>
        <v>50</v>
      </c>
      <c r="L11" s="47">
        <f t="shared" si="1"/>
        <v>18.75</v>
      </c>
      <c r="M11" s="47">
        <f t="shared" si="2"/>
        <v>25</v>
      </c>
      <c r="N11" s="68">
        <f t="shared" si="3"/>
        <v>93.75</v>
      </c>
      <c r="O11" s="46">
        <v>24.5</v>
      </c>
      <c r="P11" s="47">
        <v>16.7</v>
      </c>
      <c r="Q11" s="47">
        <v>15.6</v>
      </c>
      <c r="R11" s="48">
        <f t="shared" si="4"/>
        <v>56.800000000000004</v>
      </c>
      <c r="S11" s="29">
        <v>2</v>
      </c>
      <c r="T11" s="286"/>
      <c r="U11" s="295"/>
      <c r="V11" s="38" t="s">
        <v>863</v>
      </c>
      <c r="W11" s="29" t="s">
        <v>22</v>
      </c>
      <c r="X11" s="29" t="s">
        <v>11</v>
      </c>
      <c r="Y11" s="39">
        <v>24.5</v>
      </c>
      <c r="Z11" s="29" t="s">
        <v>864</v>
      </c>
      <c r="AA11" s="29" t="s">
        <v>17</v>
      </c>
      <c r="AB11" s="29" t="s">
        <v>18</v>
      </c>
      <c r="AC11" s="29">
        <v>16.7</v>
      </c>
      <c r="AD11" s="38" t="s">
        <v>865</v>
      </c>
      <c r="AE11" s="29" t="s">
        <v>97</v>
      </c>
      <c r="AF11" s="29" t="s">
        <v>12</v>
      </c>
      <c r="AG11" s="39">
        <v>15.6</v>
      </c>
      <c r="AL11" s="38"/>
      <c r="AO11" s="39"/>
      <c r="AP11" s="38"/>
      <c r="AS11" s="39"/>
      <c r="AW11" s="39"/>
      <c r="BA11" s="40"/>
    </row>
    <row r="12" spans="1:53" s="29" customFormat="1" x14ac:dyDescent="0.15">
      <c r="A12" s="29">
        <v>1996</v>
      </c>
      <c r="B12" s="295"/>
      <c r="C12" s="411" t="s">
        <v>857</v>
      </c>
      <c r="D12" s="411"/>
      <c r="E12" s="29">
        <v>37</v>
      </c>
      <c r="G12" s="66">
        <v>8</v>
      </c>
      <c r="H12" s="29">
        <v>3</v>
      </c>
      <c r="I12" s="29">
        <v>4</v>
      </c>
      <c r="J12" s="73">
        <v>16</v>
      </c>
      <c r="K12" s="47">
        <f t="shared" si="0"/>
        <v>50</v>
      </c>
      <c r="L12" s="47">
        <f t="shared" si="1"/>
        <v>18.75</v>
      </c>
      <c r="M12" s="47">
        <f t="shared" si="2"/>
        <v>25</v>
      </c>
      <c r="N12" s="68">
        <f t="shared" si="3"/>
        <v>93.75</v>
      </c>
      <c r="O12" s="46">
        <v>24.5</v>
      </c>
      <c r="P12" s="47">
        <v>16.7</v>
      </c>
      <c r="Q12" s="47">
        <v>15.6</v>
      </c>
      <c r="R12" s="48">
        <f t="shared" si="4"/>
        <v>56.800000000000004</v>
      </c>
      <c r="S12" s="29">
        <v>2</v>
      </c>
      <c r="T12" s="286"/>
      <c r="U12" s="295"/>
      <c r="V12" s="38" t="s">
        <v>863</v>
      </c>
      <c r="W12" s="29" t="s">
        <v>22</v>
      </c>
      <c r="X12" s="29" t="s">
        <v>11</v>
      </c>
      <c r="Y12" s="39">
        <v>24.5</v>
      </c>
      <c r="Z12" s="29" t="s">
        <v>864</v>
      </c>
      <c r="AA12" s="29" t="s">
        <v>17</v>
      </c>
      <c r="AB12" s="29" t="s">
        <v>18</v>
      </c>
      <c r="AC12" s="29">
        <v>16.7</v>
      </c>
      <c r="AD12" s="38" t="s">
        <v>865</v>
      </c>
      <c r="AE12" s="29" t="s">
        <v>97</v>
      </c>
      <c r="AF12" s="29" t="s">
        <v>12</v>
      </c>
      <c r="AG12" s="39">
        <v>15.6</v>
      </c>
      <c r="AL12" s="38"/>
      <c r="AO12" s="39"/>
      <c r="AP12" s="38"/>
      <c r="AS12" s="39"/>
      <c r="AW12" s="39"/>
      <c r="BA12" s="40"/>
    </row>
    <row r="13" spans="1:53" s="171" customFormat="1" x14ac:dyDescent="0.15">
      <c r="A13" s="171">
        <v>1996</v>
      </c>
      <c r="B13" s="283">
        <v>35102</v>
      </c>
      <c r="C13" s="410" t="s">
        <v>858</v>
      </c>
      <c r="D13" s="410"/>
      <c r="E13" s="171">
        <f>366-E12</f>
        <v>329</v>
      </c>
      <c r="F13" s="171">
        <v>4</v>
      </c>
      <c r="G13" s="233">
        <v>9</v>
      </c>
      <c r="H13" s="171">
        <v>6</v>
      </c>
      <c r="J13" s="241">
        <v>18</v>
      </c>
      <c r="K13" s="214">
        <f t="shared" si="0"/>
        <v>50</v>
      </c>
      <c r="L13" s="214">
        <f t="shared" si="1"/>
        <v>33.333333333333329</v>
      </c>
      <c r="M13" s="214">
        <f t="shared" si="2"/>
        <v>0</v>
      </c>
      <c r="N13" s="235">
        <f t="shared" si="3"/>
        <v>83.333333333333329</v>
      </c>
      <c r="O13" s="213">
        <v>24.5</v>
      </c>
      <c r="P13" s="214">
        <v>16.7</v>
      </c>
      <c r="Q13" s="214"/>
      <c r="R13" s="215">
        <f t="shared" si="4"/>
        <v>41.2</v>
      </c>
      <c r="S13" s="171">
        <v>5</v>
      </c>
      <c r="T13" s="285"/>
      <c r="U13" s="283">
        <v>35102</v>
      </c>
      <c r="V13" s="178" t="s">
        <v>863</v>
      </c>
      <c r="W13" s="171" t="s">
        <v>22</v>
      </c>
      <c r="X13" s="171" t="s">
        <v>11</v>
      </c>
      <c r="Y13" s="179">
        <v>24.5</v>
      </c>
      <c r="Z13" s="171" t="s">
        <v>864</v>
      </c>
      <c r="AA13" s="171" t="s">
        <v>17</v>
      </c>
      <c r="AB13" s="171" t="s">
        <v>18</v>
      </c>
      <c r="AC13" s="171">
        <v>16.7</v>
      </c>
      <c r="AD13" s="178"/>
      <c r="AG13" s="179"/>
      <c r="AL13" s="178"/>
      <c r="AO13" s="179"/>
      <c r="AP13" s="178"/>
      <c r="AS13" s="179"/>
      <c r="AW13" s="179"/>
      <c r="BA13" s="180"/>
    </row>
    <row r="14" spans="1:53" s="171" customFormat="1" x14ac:dyDescent="0.15">
      <c r="A14" s="171">
        <v>1997</v>
      </c>
      <c r="B14" s="283"/>
      <c r="C14" s="410" t="s">
        <v>858</v>
      </c>
      <c r="D14" s="410"/>
      <c r="E14" s="171">
        <v>57</v>
      </c>
      <c r="G14" s="233">
        <v>9</v>
      </c>
      <c r="H14" s="171">
        <v>6</v>
      </c>
      <c r="J14" s="241">
        <v>18</v>
      </c>
      <c r="K14" s="214">
        <f t="shared" si="0"/>
        <v>50</v>
      </c>
      <c r="L14" s="214">
        <f t="shared" si="1"/>
        <v>33.333333333333329</v>
      </c>
      <c r="M14" s="214">
        <f t="shared" si="2"/>
        <v>0</v>
      </c>
      <c r="N14" s="235">
        <f t="shared" si="3"/>
        <v>83.333333333333329</v>
      </c>
      <c r="O14" s="213">
        <v>24.5</v>
      </c>
      <c r="P14" s="214">
        <v>16.7</v>
      </c>
      <c r="Q14" s="214"/>
      <c r="R14" s="215">
        <f t="shared" si="4"/>
        <v>41.2</v>
      </c>
      <c r="S14" s="171">
        <v>5</v>
      </c>
      <c r="T14" s="285">
        <v>35379</v>
      </c>
      <c r="U14" s="283"/>
      <c r="V14" s="178" t="s">
        <v>863</v>
      </c>
      <c r="W14" s="171" t="s">
        <v>22</v>
      </c>
      <c r="X14" s="171" t="s">
        <v>11</v>
      </c>
      <c r="Y14" s="179">
        <v>24.5</v>
      </c>
      <c r="Z14" s="171" t="s">
        <v>864</v>
      </c>
      <c r="AA14" s="171" t="s">
        <v>17</v>
      </c>
      <c r="AB14" s="171" t="s">
        <v>18</v>
      </c>
      <c r="AC14" s="171">
        <v>16.7</v>
      </c>
      <c r="AD14" s="178"/>
      <c r="AG14" s="179"/>
      <c r="AL14" s="178"/>
      <c r="AO14" s="179"/>
      <c r="AP14" s="178"/>
      <c r="AS14" s="179"/>
      <c r="AW14" s="179"/>
      <c r="BA14" s="180"/>
    </row>
    <row r="15" spans="1:53" s="29" customFormat="1" x14ac:dyDescent="0.15">
      <c r="A15" s="29">
        <v>1997</v>
      </c>
      <c r="B15" s="295">
        <v>35488</v>
      </c>
      <c r="C15" s="411" t="s">
        <v>859</v>
      </c>
      <c r="D15" s="411"/>
      <c r="E15" s="29">
        <f>365-E14</f>
        <v>308</v>
      </c>
      <c r="F15" s="29">
        <v>1</v>
      </c>
      <c r="G15" s="66">
        <v>8</v>
      </c>
      <c r="I15" s="29">
        <v>10</v>
      </c>
      <c r="J15" s="73">
        <v>19</v>
      </c>
      <c r="K15" s="47">
        <f t="shared" si="0"/>
        <v>42.105263157894733</v>
      </c>
      <c r="L15" s="47">
        <f t="shared" si="1"/>
        <v>0</v>
      </c>
      <c r="M15" s="47">
        <f t="shared" si="2"/>
        <v>52.631578947368418</v>
      </c>
      <c r="N15" s="68">
        <f t="shared" si="3"/>
        <v>94.73684210526315</v>
      </c>
      <c r="O15" s="46">
        <v>27.8</v>
      </c>
      <c r="P15" s="47"/>
      <c r="Q15" s="47">
        <v>26.7</v>
      </c>
      <c r="R15" s="48">
        <f t="shared" si="4"/>
        <v>54.5</v>
      </c>
      <c r="S15" s="29">
        <v>2</v>
      </c>
      <c r="T15" s="286"/>
      <c r="U15" s="295">
        <v>35488</v>
      </c>
      <c r="V15" s="38" t="s">
        <v>863</v>
      </c>
      <c r="W15" s="29" t="s">
        <v>22</v>
      </c>
      <c r="X15" s="29" t="s">
        <v>11</v>
      </c>
      <c r="Y15" s="39">
        <v>27.8</v>
      </c>
      <c r="Z15" s="29" t="s">
        <v>868</v>
      </c>
      <c r="AA15" s="29" t="s">
        <v>869</v>
      </c>
      <c r="AB15" s="29" t="s">
        <v>12</v>
      </c>
      <c r="AC15" s="29">
        <v>21.1</v>
      </c>
      <c r="AD15" s="38" t="s">
        <v>870</v>
      </c>
      <c r="AE15" s="29" t="s">
        <v>1493</v>
      </c>
      <c r="AF15" s="29" t="s">
        <v>12</v>
      </c>
      <c r="AG15" s="39">
        <v>5.6</v>
      </c>
      <c r="AL15" s="38"/>
      <c r="AO15" s="39"/>
      <c r="AP15" s="38"/>
      <c r="AS15" s="39"/>
      <c r="AW15" s="39"/>
      <c r="BA15" s="40"/>
    </row>
    <row r="16" spans="1:53" s="29" customFormat="1" x14ac:dyDescent="0.15">
      <c r="A16" s="29">
        <v>1998</v>
      </c>
      <c r="B16" s="295"/>
      <c r="C16" s="411" t="s">
        <v>859</v>
      </c>
      <c r="D16" s="411"/>
      <c r="E16" s="29">
        <v>0</v>
      </c>
      <c r="G16" s="66">
        <v>8</v>
      </c>
      <c r="I16" s="29">
        <v>10</v>
      </c>
      <c r="J16" s="73">
        <v>19</v>
      </c>
      <c r="K16" s="47">
        <f t="shared" si="0"/>
        <v>42.105263157894733</v>
      </c>
      <c r="L16" s="47">
        <f t="shared" si="1"/>
        <v>0</v>
      </c>
      <c r="M16" s="47">
        <f t="shared" si="2"/>
        <v>52.631578947368418</v>
      </c>
      <c r="N16" s="68">
        <f t="shared" si="3"/>
        <v>94.73684210526315</v>
      </c>
      <c r="O16" s="46">
        <v>27.8</v>
      </c>
      <c r="P16" s="47"/>
      <c r="Q16" s="47">
        <v>26.7</v>
      </c>
      <c r="R16" s="48">
        <f t="shared" si="4"/>
        <v>54.5</v>
      </c>
      <c r="S16" s="29">
        <v>2</v>
      </c>
      <c r="T16" s="286"/>
      <c r="U16" s="295"/>
      <c r="V16" s="38" t="s">
        <v>863</v>
      </c>
      <c r="W16" s="29" t="s">
        <v>22</v>
      </c>
      <c r="X16" s="29" t="s">
        <v>11</v>
      </c>
      <c r="Y16" s="39">
        <v>27.8</v>
      </c>
      <c r="Z16" s="29" t="s">
        <v>868</v>
      </c>
      <c r="AA16" s="29" t="s">
        <v>869</v>
      </c>
      <c r="AB16" s="29" t="s">
        <v>12</v>
      </c>
      <c r="AC16" s="29">
        <v>21.1</v>
      </c>
      <c r="AD16" s="38" t="s">
        <v>870</v>
      </c>
      <c r="AE16" s="29" t="s">
        <v>1493</v>
      </c>
      <c r="AF16" s="29" t="s">
        <v>12</v>
      </c>
      <c r="AG16" s="39">
        <v>5.6</v>
      </c>
      <c r="AL16" s="38"/>
      <c r="AO16" s="39"/>
      <c r="AP16" s="38"/>
      <c r="AS16" s="39"/>
      <c r="AW16" s="39"/>
      <c r="BA16" s="40"/>
    </row>
    <row r="17" spans="1:53" s="29" customFormat="1" x14ac:dyDescent="0.15">
      <c r="A17" s="29">
        <v>1998</v>
      </c>
      <c r="B17" s="295"/>
      <c r="C17" s="411" t="s">
        <v>859</v>
      </c>
      <c r="D17" s="411"/>
      <c r="E17" s="29">
        <v>365</v>
      </c>
      <c r="G17" s="66">
        <v>8</v>
      </c>
      <c r="I17" s="29">
        <v>10</v>
      </c>
      <c r="J17" s="73">
        <v>19</v>
      </c>
      <c r="K17" s="47">
        <f t="shared" si="0"/>
        <v>42.105263157894733</v>
      </c>
      <c r="L17" s="47">
        <f t="shared" si="1"/>
        <v>0</v>
      </c>
      <c r="M17" s="47">
        <f t="shared" si="2"/>
        <v>52.631578947368418</v>
      </c>
      <c r="N17" s="68">
        <f t="shared" si="3"/>
        <v>94.73684210526315</v>
      </c>
      <c r="O17" s="46">
        <v>27.8</v>
      </c>
      <c r="P17" s="47"/>
      <c r="Q17" s="47">
        <v>26.7</v>
      </c>
      <c r="R17" s="48">
        <f t="shared" si="4"/>
        <v>54.5</v>
      </c>
      <c r="S17" s="29">
        <v>2</v>
      </c>
      <c r="T17" s="286"/>
      <c r="U17" s="295"/>
      <c r="V17" s="38" t="s">
        <v>863</v>
      </c>
      <c r="W17" s="29" t="s">
        <v>22</v>
      </c>
      <c r="X17" s="29" t="s">
        <v>11</v>
      </c>
      <c r="Y17" s="39">
        <v>27.8</v>
      </c>
      <c r="Z17" s="29" t="s">
        <v>868</v>
      </c>
      <c r="AA17" s="29" t="s">
        <v>869</v>
      </c>
      <c r="AB17" s="29" t="s">
        <v>12</v>
      </c>
      <c r="AC17" s="29">
        <v>21.1</v>
      </c>
      <c r="AD17" s="38" t="s">
        <v>870</v>
      </c>
      <c r="AE17" s="29" t="s">
        <v>1493</v>
      </c>
      <c r="AF17" s="29" t="s">
        <v>12</v>
      </c>
      <c r="AG17" s="39">
        <v>5.6</v>
      </c>
      <c r="AL17" s="38"/>
      <c r="AO17" s="39"/>
      <c r="AP17" s="38"/>
      <c r="AS17" s="39"/>
      <c r="AW17" s="39"/>
      <c r="BA17" s="40"/>
    </row>
    <row r="18" spans="1:53" s="29" customFormat="1" x14ac:dyDescent="0.15">
      <c r="A18" s="29">
        <v>1999</v>
      </c>
      <c r="B18" s="295"/>
      <c r="C18" s="411" t="s">
        <v>859</v>
      </c>
      <c r="D18" s="411"/>
      <c r="E18" s="29">
        <v>0</v>
      </c>
      <c r="G18" s="66">
        <v>8</v>
      </c>
      <c r="I18" s="29">
        <v>10</v>
      </c>
      <c r="J18" s="73">
        <v>19</v>
      </c>
      <c r="K18" s="47">
        <f t="shared" si="0"/>
        <v>42.105263157894733</v>
      </c>
      <c r="L18" s="47">
        <f t="shared" si="1"/>
        <v>0</v>
      </c>
      <c r="M18" s="47">
        <f t="shared" si="2"/>
        <v>52.631578947368418</v>
      </c>
      <c r="N18" s="68">
        <f t="shared" si="3"/>
        <v>94.73684210526315</v>
      </c>
      <c r="O18" s="46">
        <v>27.8</v>
      </c>
      <c r="P18" s="47"/>
      <c r="Q18" s="47">
        <v>26.7</v>
      </c>
      <c r="R18" s="48">
        <f t="shared" si="4"/>
        <v>54.5</v>
      </c>
      <c r="S18" s="29">
        <v>2</v>
      </c>
      <c r="T18" s="286"/>
      <c r="U18" s="295"/>
      <c r="V18" s="38" t="s">
        <v>863</v>
      </c>
      <c r="W18" s="29" t="s">
        <v>22</v>
      </c>
      <c r="X18" s="29" t="s">
        <v>11</v>
      </c>
      <c r="Y18" s="39">
        <v>27.8</v>
      </c>
      <c r="Z18" s="29" t="s">
        <v>868</v>
      </c>
      <c r="AA18" s="29" t="s">
        <v>869</v>
      </c>
      <c r="AB18" s="29" t="s">
        <v>12</v>
      </c>
      <c r="AC18" s="29">
        <v>21.1</v>
      </c>
      <c r="AD18" s="38" t="s">
        <v>870</v>
      </c>
      <c r="AE18" s="29" t="s">
        <v>1493</v>
      </c>
      <c r="AF18" s="29" t="s">
        <v>12</v>
      </c>
      <c r="AG18" s="39">
        <v>5.6</v>
      </c>
      <c r="AL18" s="38"/>
      <c r="AO18" s="39"/>
      <c r="AP18" s="38"/>
      <c r="AS18" s="39"/>
      <c r="AW18" s="39"/>
      <c r="BA18" s="40"/>
    </row>
    <row r="19" spans="1:53" s="29" customFormat="1" x14ac:dyDescent="0.15">
      <c r="A19" s="29">
        <v>1999</v>
      </c>
      <c r="B19" s="295"/>
      <c r="C19" s="411" t="s">
        <v>859</v>
      </c>
      <c r="D19" s="411"/>
      <c r="E19" s="29">
        <v>365</v>
      </c>
      <c r="G19" s="66">
        <v>8</v>
      </c>
      <c r="I19" s="29">
        <v>10</v>
      </c>
      <c r="J19" s="73">
        <v>19</v>
      </c>
      <c r="K19" s="47">
        <f t="shared" si="0"/>
        <v>42.105263157894733</v>
      </c>
      <c r="L19" s="47">
        <f t="shared" si="1"/>
        <v>0</v>
      </c>
      <c r="M19" s="47">
        <f t="shared" si="2"/>
        <v>52.631578947368418</v>
      </c>
      <c r="N19" s="68">
        <f t="shared" si="3"/>
        <v>94.73684210526315</v>
      </c>
      <c r="O19" s="46">
        <v>27.8</v>
      </c>
      <c r="P19" s="47"/>
      <c r="Q19" s="47">
        <v>26.7</v>
      </c>
      <c r="R19" s="48">
        <f t="shared" si="4"/>
        <v>54.5</v>
      </c>
      <c r="S19" s="29">
        <v>2</v>
      </c>
      <c r="T19" s="286"/>
      <c r="U19" s="295"/>
      <c r="V19" s="38" t="s">
        <v>863</v>
      </c>
      <c r="W19" s="29" t="s">
        <v>22</v>
      </c>
      <c r="X19" s="29" t="s">
        <v>11</v>
      </c>
      <c r="Y19" s="39">
        <v>27.8</v>
      </c>
      <c r="Z19" s="29" t="s">
        <v>868</v>
      </c>
      <c r="AA19" s="29" t="s">
        <v>869</v>
      </c>
      <c r="AB19" s="29" t="s">
        <v>12</v>
      </c>
      <c r="AC19" s="29">
        <v>21.1</v>
      </c>
      <c r="AD19" s="38" t="s">
        <v>870</v>
      </c>
      <c r="AE19" s="29" t="s">
        <v>1493</v>
      </c>
      <c r="AF19" s="29" t="s">
        <v>12</v>
      </c>
      <c r="AG19" s="39">
        <v>5.6</v>
      </c>
      <c r="AL19" s="38"/>
      <c r="AO19" s="39"/>
      <c r="AP19" s="38"/>
      <c r="AS19" s="39"/>
      <c r="AW19" s="39"/>
      <c r="BA19" s="40"/>
    </row>
    <row r="20" spans="1:53" s="29" customFormat="1" x14ac:dyDescent="0.15">
      <c r="A20" s="29">
        <v>2000</v>
      </c>
      <c r="B20" s="295"/>
      <c r="C20" s="411" t="s">
        <v>859</v>
      </c>
      <c r="D20" s="411"/>
      <c r="E20" s="29">
        <v>158</v>
      </c>
      <c r="G20" s="66">
        <v>8</v>
      </c>
      <c r="I20" s="29">
        <v>10</v>
      </c>
      <c r="J20" s="73">
        <v>19</v>
      </c>
      <c r="K20" s="47">
        <f t="shared" si="0"/>
        <v>42.105263157894733</v>
      </c>
      <c r="L20" s="47">
        <f t="shared" si="1"/>
        <v>0</v>
      </c>
      <c r="M20" s="47">
        <f t="shared" si="2"/>
        <v>52.631578947368418</v>
      </c>
      <c r="N20" s="68">
        <f t="shared" si="3"/>
        <v>94.73684210526315</v>
      </c>
      <c r="O20" s="46">
        <v>27.8</v>
      </c>
      <c r="P20" s="47"/>
      <c r="Q20" s="47">
        <v>26.7</v>
      </c>
      <c r="R20" s="48">
        <f t="shared" si="4"/>
        <v>54.5</v>
      </c>
      <c r="S20" s="29">
        <v>2</v>
      </c>
      <c r="T20" s="286"/>
      <c r="U20" s="295"/>
      <c r="V20" s="38" t="s">
        <v>863</v>
      </c>
      <c r="W20" s="29" t="s">
        <v>22</v>
      </c>
      <c r="X20" s="29" t="s">
        <v>11</v>
      </c>
      <c r="Y20" s="39">
        <v>27.8</v>
      </c>
      <c r="Z20" s="29" t="s">
        <v>868</v>
      </c>
      <c r="AA20" s="29" t="s">
        <v>869</v>
      </c>
      <c r="AB20" s="29" t="s">
        <v>12</v>
      </c>
      <c r="AC20" s="29">
        <v>21.1</v>
      </c>
      <c r="AD20" s="38" t="s">
        <v>870</v>
      </c>
      <c r="AE20" s="29" t="s">
        <v>1493</v>
      </c>
      <c r="AF20" s="29" t="s">
        <v>12</v>
      </c>
      <c r="AG20" s="39">
        <v>5.6</v>
      </c>
      <c r="AL20" s="38"/>
      <c r="AO20" s="39"/>
      <c r="AP20" s="38"/>
      <c r="AS20" s="39"/>
      <c r="AW20" s="39"/>
      <c r="BA20" s="40"/>
    </row>
    <row r="21" spans="1:53" s="171" customFormat="1" x14ac:dyDescent="0.15">
      <c r="A21" s="171">
        <v>2000</v>
      </c>
      <c r="B21" s="283">
        <v>36684</v>
      </c>
      <c r="C21" s="410" t="s">
        <v>861</v>
      </c>
      <c r="D21" s="410"/>
      <c r="E21" s="171">
        <v>176</v>
      </c>
      <c r="F21" s="171">
        <v>5</v>
      </c>
      <c r="G21" s="233">
        <v>5</v>
      </c>
      <c r="H21" s="171">
        <v>3</v>
      </c>
      <c r="I21" s="171">
        <v>5</v>
      </c>
      <c r="J21" s="241">
        <v>17</v>
      </c>
      <c r="K21" s="214">
        <f t="shared" si="0"/>
        <v>29.411764705882355</v>
      </c>
      <c r="L21" s="214">
        <f t="shared" si="1"/>
        <v>17.647058823529413</v>
      </c>
      <c r="M21" s="214">
        <f t="shared" si="2"/>
        <v>29.411764705882355</v>
      </c>
      <c r="N21" s="235">
        <f t="shared" si="3"/>
        <v>76.470588235294116</v>
      </c>
      <c r="O21" s="213">
        <v>17.8</v>
      </c>
      <c r="P21" s="214">
        <v>11.1</v>
      </c>
      <c r="Q21" s="214">
        <v>21.1</v>
      </c>
      <c r="R21" s="215">
        <f t="shared" si="4"/>
        <v>50</v>
      </c>
      <c r="S21" s="171">
        <v>5</v>
      </c>
      <c r="T21" s="285"/>
      <c r="U21" s="283">
        <v>36684</v>
      </c>
      <c r="V21" s="178" t="s">
        <v>868</v>
      </c>
      <c r="W21" s="171" t="s">
        <v>869</v>
      </c>
      <c r="X21" s="171" t="s">
        <v>12</v>
      </c>
      <c r="Y21" s="179">
        <v>21.1</v>
      </c>
      <c r="Z21" s="178" t="s">
        <v>867</v>
      </c>
      <c r="AA21" s="171" t="s">
        <v>294</v>
      </c>
      <c r="AB21" s="171" t="s">
        <v>11</v>
      </c>
      <c r="AC21" s="171">
        <v>17.8</v>
      </c>
      <c r="AD21" s="178" t="s">
        <v>864</v>
      </c>
      <c r="AE21" s="171" t="s">
        <v>17</v>
      </c>
      <c r="AF21" s="171" t="s">
        <v>18</v>
      </c>
      <c r="AG21" s="179">
        <v>11.1</v>
      </c>
      <c r="AL21" s="178"/>
      <c r="AO21" s="179"/>
      <c r="AP21" s="178"/>
      <c r="AS21" s="179"/>
      <c r="AW21" s="179"/>
      <c r="BA21" s="180"/>
    </row>
    <row r="22" spans="1:53" s="29" customFormat="1" x14ac:dyDescent="0.15">
      <c r="A22" s="29">
        <v>2000</v>
      </c>
      <c r="B22" s="295">
        <v>36860</v>
      </c>
      <c r="C22" s="411" t="s">
        <v>1209</v>
      </c>
      <c r="D22" s="411"/>
      <c r="E22" s="29">
        <f>366-E21-E20</f>
        <v>32</v>
      </c>
      <c r="F22" s="29">
        <v>1</v>
      </c>
      <c r="G22" s="66">
        <v>10</v>
      </c>
      <c r="I22" s="29">
        <v>6</v>
      </c>
      <c r="J22" s="73">
        <v>16</v>
      </c>
      <c r="K22" s="47">
        <f t="shared" si="0"/>
        <v>62.5</v>
      </c>
      <c r="L22" s="47">
        <f t="shared" si="1"/>
        <v>0</v>
      </c>
      <c r="M22" s="47">
        <f t="shared" si="2"/>
        <v>37.5</v>
      </c>
      <c r="N22" s="68">
        <f t="shared" si="3"/>
        <v>100</v>
      </c>
      <c r="O22" s="46">
        <v>37.799999999999997</v>
      </c>
      <c r="P22" s="47"/>
      <c r="Q22" s="47">
        <v>22.2</v>
      </c>
      <c r="R22" s="48">
        <f t="shared" si="4"/>
        <v>60</v>
      </c>
      <c r="S22" s="29">
        <v>2</v>
      </c>
      <c r="T22" s="286">
        <v>36814</v>
      </c>
      <c r="U22" s="295">
        <v>36860</v>
      </c>
      <c r="V22" s="38" t="s">
        <v>863</v>
      </c>
      <c r="W22" s="29" t="s">
        <v>22</v>
      </c>
      <c r="X22" s="29" t="s">
        <v>11</v>
      </c>
      <c r="Y22" s="39">
        <v>37.799999999999997</v>
      </c>
      <c r="Z22" s="38" t="s">
        <v>865</v>
      </c>
      <c r="AA22" s="29" t="s">
        <v>97</v>
      </c>
      <c r="AB22" s="29" t="s">
        <v>12</v>
      </c>
      <c r="AC22" s="29">
        <v>12.2</v>
      </c>
      <c r="AD22" s="38" t="s">
        <v>875</v>
      </c>
      <c r="AE22" s="29" t="s">
        <v>876</v>
      </c>
      <c r="AF22" s="29" t="s">
        <v>12</v>
      </c>
      <c r="AG22" s="39">
        <v>10</v>
      </c>
      <c r="AL22" s="38"/>
      <c r="AO22" s="39"/>
      <c r="AP22" s="38"/>
      <c r="AS22" s="39"/>
      <c r="AW22" s="39"/>
      <c r="BA22" s="40"/>
    </row>
    <row r="23" spans="1:53" s="29" customFormat="1" x14ac:dyDescent="0.15">
      <c r="A23" s="29">
        <v>2001</v>
      </c>
      <c r="B23" s="295"/>
      <c r="C23" s="411" t="s">
        <v>1209</v>
      </c>
      <c r="D23" s="411"/>
      <c r="E23" s="29">
        <v>0</v>
      </c>
      <c r="G23" s="66">
        <v>10</v>
      </c>
      <c r="I23" s="29">
        <v>6</v>
      </c>
      <c r="J23" s="73">
        <v>16</v>
      </c>
      <c r="K23" s="47">
        <f t="shared" si="0"/>
        <v>62.5</v>
      </c>
      <c r="L23" s="47">
        <f t="shared" si="1"/>
        <v>0</v>
      </c>
      <c r="M23" s="47">
        <f t="shared" si="2"/>
        <v>37.5</v>
      </c>
      <c r="N23" s="68">
        <f t="shared" si="3"/>
        <v>100</v>
      </c>
      <c r="O23" s="46">
        <v>37.799999999999997</v>
      </c>
      <c r="P23" s="47"/>
      <c r="Q23" s="47">
        <v>22.2</v>
      </c>
      <c r="R23" s="48">
        <f t="shared" si="4"/>
        <v>60</v>
      </c>
      <c r="S23" s="29">
        <v>2</v>
      </c>
      <c r="T23" s="286"/>
      <c r="U23" s="295"/>
      <c r="V23" s="38" t="s">
        <v>863</v>
      </c>
      <c r="W23" s="29" t="s">
        <v>22</v>
      </c>
      <c r="X23" s="29" t="s">
        <v>11</v>
      </c>
      <c r="Y23" s="39">
        <v>37.799999999999997</v>
      </c>
      <c r="Z23" s="38" t="s">
        <v>865</v>
      </c>
      <c r="AA23" s="29" t="s">
        <v>97</v>
      </c>
      <c r="AB23" s="29" t="s">
        <v>12</v>
      </c>
      <c r="AC23" s="29">
        <v>12.2</v>
      </c>
      <c r="AD23" s="38" t="s">
        <v>875</v>
      </c>
      <c r="AE23" s="29" t="s">
        <v>876</v>
      </c>
      <c r="AF23" s="29" t="s">
        <v>12</v>
      </c>
      <c r="AG23" s="39">
        <v>10</v>
      </c>
      <c r="AL23" s="38"/>
      <c r="AO23" s="39"/>
      <c r="AP23" s="38"/>
      <c r="AS23" s="39"/>
      <c r="AW23" s="39"/>
      <c r="BA23" s="40"/>
    </row>
    <row r="24" spans="1:53" s="29" customFormat="1" x14ac:dyDescent="0.15">
      <c r="A24" s="29">
        <v>2001</v>
      </c>
      <c r="B24" s="295"/>
      <c r="C24" s="411" t="s">
        <v>1209</v>
      </c>
      <c r="D24" s="411"/>
      <c r="E24" s="29">
        <v>365</v>
      </c>
      <c r="G24" s="66">
        <v>10</v>
      </c>
      <c r="I24" s="29">
        <v>6</v>
      </c>
      <c r="J24" s="73">
        <v>16</v>
      </c>
      <c r="K24" s="47">
        <f t="shared" si="0"/>
        <v>62.5</v>
      </c>
      <c r="L24" s="47">
        <f t="shared" si="1"/>
        <v>0</v>
      </c>
      <c r="M24" s="47">
        <f t="shared" si="2"/>
        <v>37.5</v>
      </c>
      <c r="N24" s="68">
        <f t="shared" si="3"/>
        <v>100</v>
      </c>
      <c r="O24" s="46">
        <v>37.799999999999997</v>
      </c>
      <c r="P24" s="47"/>
      <c r="Q24" s="47">
        <v>22.2</v>
      </c>
      <c r="R24" s="48">
        <f t="shared" si="4"/>
        <v>60</v>
      </c>
      <c r="S24" s="29">
        <v>2</v>
      </c>
      <c r="T24" s="286"/>
      <c r="U24" s="295"/>
      <c r="V24" s="38" t="s">
        <v>863</v>
      </c>
      <c r="W24" s="29" t="s">
        <v>22</v>
      </c>
      <c r="X24" s="29" t="s">
        <v>11</v>
      </c>
      <c r="Y24" s="39">
        <v>37.799999999999997</v>
      </c>
      <c r="Z24" s="38" t="s">
        <v>865</v>
      </c>
      <c r="AA24" s="29" t="s">
        <v>97</v>
      </c>
      <c r="AB24" s="29" t="s">
        <v>12</v>
      </c>
      <c r="AC24" s="29">
        <v>12.2</v>
      </c>
      <c r="AD24" s="38" t="s">
        <v>875</v>
      </c>
      <c r="AE24" s="29" t="s">
        <v>876</v>
      </c>
      <c r="AF24" s="29" t="s">
        <v>12</v>
      </c>
      <c r="AG24" s="39">
        <v>10</v>
      </c>
      <c r="AL24" s="38"/>
      <c r="AO24" s="39"/>
      <c r="AP24" s="38"/>
      <c r="AS24" s="39"/>
      <c r="AW24" s="39"/>
      <c r="BA24" s="40"/>
    </row>
    <row r="25" spans="1:53" s="29" customFormat="1" x14ac:dyDescent="0.15">
      <c r="A25" s="29">
        <v>2002</v>
      </c>
      <c r="B25" s="295"/>
      <c r="C25" s="411" t="s">
        <v>1209</v>
      </c>
      <c r="D25" s="411"/>
      <c r="E25" s="29">
        <v>23</v>
      </c>
      <c r="G25" s="66">
        <v>10</v>
      </c>
      <c r="I25" s="29">
        <v>6</v>
      </c>
      <c r="J25" s="73">
        <v>16</v>
      </c>
      <c r="K25" s="47">
        <f>G25/J25*100</f>
        <v>62.5</v>
      </c>
      <c r="L25" s="47">
        <f>H25/J25*100</f>
        <v>0</v>
      </c>
      <c r="M25" s="47">
        <f>I25/J25*100</f>
        <v>37.5</v>
      </c>
      <c r="N25" s="68">
        <f>K25+L25+M25</f>
        <v>100</v>
      </c>
      <c r="O25" s="46">
        <v>37.799999999999997</v>
      </c>
      <c r="P25" s="47"/>
      <c r="Q25" s="47">
        <v>22.2</v>
      </c>
      <c r="R25" s="48">
        <f>O25+P25+Q25</f>
        <v>60</v>
      </c>
      <c r="S25" s="29">
        <v>2</v>
      </c>
      <c r="T25" s="286"/>
      <c r="U25" s="295"/>
      <c r="V25" s="38" t="s">
        <v>863</v>
      </c>
      <c r="W25" s="29" t="s">
        <v>22</v>
      </c>
      <c r="X25" s="29" t="s">
        <v>11</v>
      </c>
      <c r="Y25" s="39">
        <v>37.799999999999997</v>
      </c>
      <c r="Z25" s="38" t="s">
        <v>865</v>
      </c>
      <c r="AA25" s="29" t="s">
        <v>97</v>
      </c>
      <c r="AB25" s="29" t="s">
        <v>12</v>
      </c>
      <c r="AC25" s="29">
        <v>12.2</v>
      </c>
      <c r="AD25" s="38" t="s">
        <v>875</v>
      </c>
      <c r="AE25" s="29" t="s">
        <v>876</v>
      </c>
      <c r="AF25" s="29" t="s">
        <v>12</v>
      </c>
      <c r="AG25" s="39">
        <v>10</v>
      </c>
      <c r="AL25" s="38"/>
      <c r="AO25" s="39"/>
      <c r="AP25" s="38"/>
      <c r="AS25" s="39"/>
      <c r="AW25" s="39"/>
      <c r="BA25" s="40"/>
    </row>
    <row r="26" spans="1:53" s="29" customFormat="1" x14ac:dyDescent="0.15">
      <c r="A26" s="29">
        <v>2002</v>
      </c>
      <c r="B26" s="303">
        <v>37280</v>
      </c>
      <c r="C26" s="411" t="s">
        <v>1209</v>
      </c>
      <c r="D26" s="411"/>
      <c r="E26" s="29">
        <v>329</v>
      </c>
      <c r="F26" s="84">
        <v>0</v>
      </c>
      <c r="G26" s="66">
        <v>9</v>
      </c>
      <c r="I26" s="29">
        <v>6</v>
      </c>
      <c r="J26" s="73">
        <v>16</v>
      </c>
      <c r="K26" s="47">
        <f t="shared" si="0"/>
        <v>56.25</v>
      </c>
      <c r="L26" s="47">
        <f t="shared" si="1"/>
        <v>0</v>
      </c>
      <c r="M26" s="47">
        <f t="shared" si="2"/>
        <v>37.5</v>
      </c>
      <c r="N26" s="68">
        <f t="shared" si="3"/>
        <v>93.75</v>
      </c>
      <c r="O26" s="46">
        <v>37.799999999999997</v>
      </c>
      <c r="P26" s="47"/>
      <c r="Q26" s="47">
        <v>22.2</v>
      </c>
      <c r="R26" s="48">
        <f t="shared" si="4"/>
        <v>60</v>
      </c>
      <c r="S26" s="29">
        <v>2</v>
      </c>
      <c r="T26" s="286"/>
      <c r="U26" s="295"/>
      <c r="V26" s="38" t="s">
        <v>863</v>
      </c>
      <c r="W26" s="29" t="s">
        <v>22</v>
      </c>
      <c r="X26" s="29" t="s">
        <v>11</v>
      </c>
      <c r="Y26" s="39">
        <v>37.799999999999997</v>
      </c>
      <c r="Z26" s="38" t="s">
        <v>865</v>
      </c>
      <c r="AA26" s="29" t="s">
        <v>97</v>
      </c>
      <c r="AB26" s="29" t="s">
        <v>12</v>
      </c>
      <c r="AC26" s="29">
        <v>12.2</v>
      </c>
      <c r="AD26" s="38" t="s">
        <v>875</v>
      </c>
      <c r="AE26" s="29" t="s">
        <v>876</v>
      </c>
      <c r="AF26" s="29" t="s">
        <v>12</v>
      </c>
      <c r="AG26" s="39">
        <v>10</v>
      </c>
      <c r="AL26" s="38"/>
      <c r="AO26" s="39"/>
      <c r="AP26" s="38"/>
      <c r="AS26" s="39"/>
      <c r="AW26" s="39"/>
      <c r="BA26" s="40"/>
    </row>
    <row r="27" spans="1:53" s="171" customFormat="1" x14ac:dyDescent="0.15">
      <c r="A27" s="171">
        <v>2002</v>
      </c>
      <c r="B27" s="283">
        <v>37609</v>
      </c>
      <c r="C27" s="410" t="s">
        <v>860</v>
      </c>
      <c r="D27" s="410"/>
      <c r="E27" s="171">
        <v>13</v>
      </c>
      <c r="F27" s="171">
        <v>2</v>
      </c>
      <c r="G27" s="233">
        <v>10</v>
      </c>
      <c r="I27" s="171">
        <v>7</v>
      </c>
      <c r="J27" s="241">
        <v>17</v>
      </c>
      <c r="K27" s="214">
        <f t="shared" si="0"/>
        <v>58.82352941176471</v>
      </c>
      <c r="L27" s="214">
        <f t="shared" si="1"/>
        <v>0</v>
      </c>
      <c r="M27" s="214">
        <f t="shared" si="2"/>
        <v>41.17647058823529</v>
      </c>
      <c r="N27" s="235">
        <f t="shared" si="3"/>
        <v>100</v>
      </c>
      <c r="O27" s="213">
        <v>37.799999999999997</v>
      </c>
      <c r="P27" s="214"/>
      <c r="Q27" s="214">
        <v>26.6</v>
      </c>
      <c r="R27" s="215">
        <f t="shared" si="4"/>
        <v>64.400000000000006</v>
      </c>
      <c r="S27" s="171">
        <v>3</v>
      </c>
      <c r="T27" s="285"/>
      <c r="U27" s="283">
        <v>37609</v>
      </c>
      <c r="V27" s="178" t="s">
        <v>863</v>
      </c>
      <c r="W27" s="171" t="s">
        <v>22</v>
      </c>
      <c r="X27" s="171" t="s">
        <v>11</v>
      </c>
      <c r="Y27" s="179">
        <v>37.799999999999997</v>
      </c>
      <c r="Z27" s="178" t="s">
        <v>865</v>
      </c>
      <c r="AA27" s="171" t="s">
        <v>97</v>
      </c>
      <c r="AB27" s="171" t="s">
        <v>12</v>
      </c>
      <c r="AC27" s="171">
        <v>12.2</v>
      </c>
      <c r="AD27" s="178" t="s">
        <v>875</v>
      </c>
      <c r="AE27" s="171" t="s">
        <v>876</v>
      </c>
      <c r="AF27" s="171" t="s">
        <v>12</v>
      </c>
      <c r="AG27" s="179">
        <v>10</v>
      </c>
      <c r="AH27" s="178" t="s">
        <v>870</v>
      </c>
      <c r="AI27" s="171" t="s">
        <v>1493</v>
      </c>
      <c r="AJ27" s="171" t="s">
        <v>12</v>
      </c>
      <c r="AK27" s="171">
        <v>4.4000000000000004</v>
      </c>
      <c r="AL27" s="178"/>
      <c r="AO27" s="179"/>
      <c r="AP27" s="178"/>
      <c r="AS27" s="179"/>
      <c r="AW27" s="179"/>
      <c r="BA27" s="180"/>
    </row>
    <row r="28" spans="1:53" s="171" customFormat="1" x14ac:dyDescent="0.15">
      <c r="A28" s="171">
        <v>2003</v>
      </c>
      <c r="B28" s="283"/>
      <c r="C28" s="410" t="s">
        <v>860</v>
      </c>
      <c r="D28" s="410"/>
      <c r="E28" s="171">
        <v>0</v>
      </c>
      <c r="G28" s="233">
        <v>10</v>
      </c>
      <c r="I28" s="171">
        <v>7</v>
      </c>
      <c r="J28" s="241">
        <v>17</v>
      </c>
      <c r="K28" s="214">
        <f t="shared" si="0"/>
        <v>58.82352941176471</v>
      </c>
      <c r="L28" s="214">
        <f t="shared" si="1"/>
        <v>0</v>
      </c>
      <c r="M28" s="214">
        <f t="shared" si="2"/>
        <v>41.17647058823529</v>
      </c>
      <c r="N28" s="235">
        <f t="shared" si="3"/>
        <v>100</v>
      </c>
      <c r="O28" s="213">
        <v>37.799999999999997</v>
      </c>
      <c r="P28" s="214"/>
      <c r="Q28" s="214">
        <v>26.6</v>
      </c>
      <c r="R28" s="215">
        <f t="shared" si="4"/>
        <v>64.400000000000006</v>
      </c>
      <c r="S28" s="171">
        <v>3</v>
      </c>
      <c r="T28" s="285"/>
      <c r="U28" s="283"/>
      <c r="V28" s="178" t="s">
        <v>863</v>
      </c>
      <c r="W28" s="171" t="s">
        <v>22</v>
      </c>
      <c r="X28" s="171" t="s">
        <v>11</v>
      </c>
      <c r="Y28" s="179">
        <v>37.799999999999997</v>
      </c>
      <c r="Z28" s="178" t="s">
        <v>865</v>
      </c>
      <c r="AA28" s="171" t="s">
        <v>97</v>
      </c>
      <c r="AB28" s="171" t="s">
        <v>12</v>
      </c>
      <c r="AC28" s="171">
        <v>12.2</v>
      </c>
      <c r="AD28" s="178" t="s">
        <v>875</v>
      </c>
      <c r="AE28" s="171" t="s">
        <v>876</v>
      </c>
      <c r="AF28" s="171" t="s">
        <v>12</v>
      </c>
      <c r="AG28" s="179">
        <v>10</v>
      </c>
      <c r="AH28" s="178" t="s">
        <v>870</v>
      </c>
      <c r="AI28" s="171" t="s">
        <v>1493</v>
      </c>
      <c r="AJ28" s="171" t="s">
        <v>12</v>
      </c>
      <c r="AK28" s="171">
        <v>4.4000000000000004</v>
      </c>
      <c r="AL28" s="178"/>
      <c r="AO28" s="179"/>
      <c r="AP28" s="178"/>
      <c r="AS28" s="179"/>
      <c r="AW28" s="179"/>
      <c r="BA28" s="180"/>
    </row>
    <row r="29" spans="1:53" s="171" customFormat="1" x14ac:dyDescent="0.15">
      <c r="A29" s="171">
        <v>2003</v>
      </c>
      <c r="B29" s="283"/>
      <c r="C29" s="410" t="s">
        <v>860</v>
      </c>
      <c r="D29" s="410"/>
      <c r="E29" s="171">
        <v>365</v>
      </c>
      <c r="G29" s="233">
        <v>10</v>
      </c>
      <c r="I29" s="171">
        <v>7</v>
      </c>
      <c r="J29" s="241">
        <v>17</v>
      </c>
      <c r="K29" s="214">
        <f t="shared" si="0"/>
        <v>58.82352941176471</v>
      </c>
      <c r="L29" s="214">
        <f t="shared" si="1"/>
        <v>0</v>
      </c>
      <c r="M29" s="214">
        <f t="shared" si="2"/>
        <v>41.17647058823529</v>
      </c>
      <c r="N29" s="235">
        <f t="shared" si="3"/>
        <v>100</v>
      </c>
      <c r="O29" s="213">
        <v>37.799999999999997</v>
      </c>
      <c r="P29" s="214"/>
      <c r="Q29" s="214">
        <v>26.6</v>
      </c>
      <c r="R29" s="215">
        <f t="shared" si="4"/>
        <v>64.400000000000006</v>
      </c>
      <c r="S29" s="171">
        <v>3</v>
      </c>
      <c r="T29" s="285"/>
      <c r="U29" s="283"/>
      <c r="V29" s="178" t="s">
        <v>863</v>
      </c>
      <c r="W29" s="171" t="s">
        <v>22</v>
      </c>
      <c r="X29" s="171" t="s">
        <v>11</v>
      </c>
      <c r="Y29" s="179">
        <v>37.799999999999997</v>
      </c>
      <c r="Z29" s="178" t="s">
        <v>865</v>
      </c>
      <c r="AA29" s="171" t="s">
        <v>97</v>
      </c>
      <c r="AB29" s="171" t="s">
        <v>12</v>
      </c>
      <c r="AC29" s="171">
        <v>12.2</v>
      </c>
      <c r="AD29" s="178" t="s">
        <v>875</v>
      </c>
      <c r="AE29" s="171" t="s">
        <v>876</v>
      </c>
      <c r="AF29" s="171" t="s">
        <v>12</v>
      </c>
      <c r="AG29" s="179">
        <v>10</v>
      </c>
      <c r="AH29" s="178" t="s">
        <v>870</v>
      </c>
      <c r="AI29" s="171" t="s">
        <v>1493</v>
      </c>
      <c r="AJ29" s="171" t="s">
        <v>12</v>
      </c>
      <c r="AK29" s="171">
        <v>4.4000000000000004</v>
      </c>
      <c r="AL29" s="178"/>
      <c r="AO29" s="179"/>
      <c r="AP29" s="178"/>
      <c r="AS29" s="179"/>
      <c r="AW29" s="179"/>
      <c r="BA29" s="180"/>
    </row>
    <row r="30" spans="1:53" s="171" customFormat="1" x14ac:dyDescent="0.15">
      <c r="A30" s="171">
        <v>2004</v>
      </c>
      <c r="B30" s="283"/>
      <c r="C30" s="410" t="s">
        <v>860</v>
      </c>
      <c r="D30" s="410"/>
      <c r="E30" s="171">
        <v>110</v>
      </c>
      <c r="G30" s="233">
        <v>10</v>
      </c>
      <c r="I30" s="171">
        <v>7</v>
      </c>
      <c r="J30" s="241">
        <v>17</v>
      </c>
      <c r="K30" s="214">
        <f t="shared" si="0"/>
        <v>58.82352941176471</v>
      </c>
      <c r="L30" s="214">
        <f t="shared" si="1"/>
        <v>0</v>
      </c>
      <c r="M30" s="214">
        <f t="shared" si="2"/>
        <v>41.17647058823529</v>
      </c>
      <c r="N30" s="235">
        <f t="shared" si="3"/>
        <v>100</v>
      </c>
      <c r="O30" s="213">
        <v>37.799999999999997</v>
      </c>
      <c r="P30" s="214"/>
      <c r="Q30" s="214">
        <v>26.6</v>
      </c>
      <c r="R30" s="215">
        <f t="shared" si="4"/>
        <v>64.400000000000006</v>
      </c>
      <c r="S30" s="171">
        <v>3</v>
      </c>
      <c r="T30" s="285"/>
      <c r="U30" s="283"/>
      <c r="V30" s="178" t="s">
        <v>863</v>
      </c>
      <c r="W30" s="171" t="s">
        <v>22</v>
      </c>
      <c r="X30" s="171" t="s">
        <v>11</v>
      </c>
      <c r="Y30" s="179">
        <v>37.799999999999997</v>
      </c>
      <c r="Z30" s="178" t="s">
        <v>865</v>
      </c>
      <c r="AA30" s="171" t="s">
        <v>97</v>
      </c>
      <c r="AB30" s="171" t="s">
        <v>12</v>
      </c>
      <c r="AC30" s="171">
        <v>12.2</v>
      </c>
      <c r="AD30" s="178" t="s">
        <v>875</v>
      </c>
      <c r="AE30" s="171" t="s">
        <v>876</v>
      </c>
      <c r="AF30" s="171" t="s">
        <v>12</v>
      </c>
      <c r="AG30" s="179">
        <v>10</v>
      </c>
      <c r="AH30" s="178" t="s">
        <v>870</v>
      </c>
      <c r="AI30" s="171" t="s">
        <v>1493</v>
      </c>
      <c r="AJ30" s="171" t="s">
        <v>12</v>
      </c>
      <c r="AK30" s="171">
        <v>4.4000000000000004</v>
      </c>
      <c r="AL30" s="178"/>
      <c r="AO30" s="179"/>
      <c r="AP30" s="178"/>
      <c r="AS30" s="179"/>
      <c r="AW30" s="179"/>
      <c r="BA30" s="180"/>
    </row>
    <row r="31" spans="1:53" s="29" customFormat="1" x14ac:dyDescent="0.15">
      <c r="A31" s="29">
        <v>2004</v>
      </c>
      <c r="B31" s="295">
        <v>38097</v>
      </c>
      <c r="C31" s="411" t="s">
        <v>862</v>
      </c>
      <c r="D31" s="411"/>
      <c r="E31" s="29">
        <v>227</v>
      </c>
      <c r="F31" s="29">
        <v>4</v>
      </c>
      <c r="G31" s="66">
        <v>13</v>
      </c>
      <c r="I31" s="29">
        <v>4</v>
      </c>
      <c r="J31" s="73">
        <v>17</v>
      </c>
      <c r="K31" s="47">
        <f t="shared" si="0"/>
        <v>76.470588235294116</v>
      </c>
      <c r="L31" s="47">
        <f t="shared" si="1"/>
        <v>0</v>
      </c>
      <c r="M31" s="47">
        <f t="shared" si="2"/>
        <v>23.52941176470588</v>
      </c>
      <c r="N31" s="68">
        <f t="shared" si="3"/>
        <v>100</v>
      </c>
      <c r="O31" s="46">
        <v>37.799999999999997</v>
      </c>
      <c r="P31" s="47"/>
      <c r="Q31" s="47">
        <v>16.600000000000001</v>
      </c>
      <c r="R31" s="48">
        <f t="shared" si="4"/>
        <v>54.4</v>
      </c>
      <c r="S31" s="29">
        <v>2</v>
      </c>
      <c r="T31" s="286"/>
      <c r="U31" s="295">
        <v>38097</v>
      </c>
      <c r="V31" s="38" t="s">
        <v>863</v>
      </c>
      <c r="W31" s="29" t="s">
        <v>22</v>
      </c>
      <c r="X31" s="29" t="s">
        <v>11</v>
      </c>
      <c r="Y31" s="39">
        <v>37.799999999999997</v>
      </c>
      <c r="Z31" s="38" t="s">
        <v>865</v>
      </c>
      <c r="AA31" s="29" t="s">
        <v>97</v>
      </c>
      <c r="AB31" s="29" t="s">
        <v>12</v>
      </c>
      <c r="AC31" s="29">
        <v>12.2</v>
      </c>
      <c r="AD31" s="38" t="s">
        <v>870</v>
      </c>
      <c r="AE31" s="29" t="s">
        <v>1493</v>
      </c>
      <c r="AF31" s="29" t="s">
        <v>12</v>
      </c>
      <c r="AG31" s="39">
        <v>4.4000000000000004</v>
      </c>
      <c r="AL31" s="38"/>
      <c r="AO31" s="39"/>
      <c r="AP31" s="38"/>
      <c r="AS31" s="39"/>
      <c r="AW31" s="39"/>
      <c r="BA31" s="40"/>
    </row>
    <row r="32" spans="1:53" s="171" customFormat="1" x14ac:dyDescent="0.15">
      <c r="A32" s="171">
        <v>2004</v>
      </c>
      <c r="B32" s="283">
        <v>38324</v>
      </c>
      <c r="C32" s="410" t="s">
        <v>1211</v>
      </c>
      <c r="D32" s="410"/>
      <c r="E32" s="171">
        <f>366-E31-E30</f>
        <v>29</v>
      </c>
      <c r="F32" s="171">
        <v>1</v>
      </c>
      <c r="G32" s="233">
        <v>8</v>
      </c>
      <c r="H32" s="171">
        <v>4</v>
      </c>
      <c r="I32" s="171">
        <v>5</v>
      </c>
      <c r="J32" s="241">
        <v>17</v>
      </c>
      <c r="K32" s="214">
        <f t="shared" si="0"/>
        <v>47.058823529411761</v>
      </c>
      <c r="L32" s="214">
        <f t="shared" si="1"/>
        <v>23.52941176470588</v>
      </c>
      <c r="M32" s="214">
        <f t="shared" si="2"/>
        <v>29.411764705882355</v>
      </c>
      <c r="N32" s="235">
        <f t="shared" si="3"/>
        <v>100</v>
      </c>
      <c r="O32" s="213">
        <v>32.200000000000003</v>
      </c>
      <c r="P32" s="214">
        <v>10</v>
      </c>
      <c r="Q32" s="214">
        <v>12.2</v>
      </c>
      <c r="R32" s="215">
        <f t="shared" si="4"/>
        <v>54.400000000000006</v>
      </c>
      <c r="S32" s="171">
        <v>2</v>
      </c>
      <c r="T32" s="285">
        <v>38263</v>
      </c>
      <c r="U32" s="283">
        <v>38324</v>
      </c>
      <c r="V32" s="178" t="s">
        <v>867</v>
      </c>
      <c r="W32" s="171" t="s">
        <v>294</v>
      </c>
      <c r="X32" s="171" t="s">
        <v>11</v>
      </c>
      <c r="Y32" s="179">
        <v>32.200000000000003</v>
      </c>
      <c r="Z32" s="171" t="s">
        <v>871</v>
      </c>
      <c r="AA32" s="171" t="s">
        <v>81</v>
      </c>
      <c r="AB32" s="171" t="s">
        <v>18</v>
      </c>
      <c r="AC32" s="171">
        <v>10</v>
      </c>
      <c r="AD32" s="178" t="s">
        <v>868</v>
      </c>
      <c r="AE32" s="171" t="s">
        <v>869</v>
      </c>
      <c r="AF32" s="171" t="s">
        <v>12</v>
      </c>
      <c r="AG32" s="179">
        <v>7.8</v>
      </c>
      <c r="AH32" s="178" t="s">
        <v>870</v>
      </c>
      <c r="AI32" s="171" t="s">
        <v>1493</v>
      </c>
      <c r="AJ32" s="171" t="s">
        <v>12</v>
      </c>
      <c r="AK32" s="171">
        <v>4.4000000000000004</v>
      </c>
      <c r="AL32" s="178"/>
      <c r="AO32" s="179"/>
      <c r="AP32" s="178"/>
      <c r="AS32" s="179"/>
      <c r="AW32" s="179"/>
      <c r="BA32" s="180"/>
    </row>
    <row r="33" spans="1:53" s="171" customFormat="1" x14ac:dyDescent="0.15">
      <c r="A33" s="171">
        <v>2005</v>
      </c>
      <c r="B33" s="306"/>
      <c r="C33" s="410" t="s">
        <v>1211</v>
      </c>
      <c r="D33" s="410"/>
      <c r="E33" s="171">
        <v>353</v>
      </c>
      <c r="G33" s="233">
        <v>8</v>
      </c>
      <c r="H33" s="171">
        <v>4</v>
      </c>
      <c r="I33" s="171">
        <v>5</v>
      </c>
      <c r="J33" s="241">
        <v>17</v>
      </c>
      <c r="K33" s="214">
        <f t="shared" si="0"/>
        <v>47.058823529411761</v>
      </c>
      <c r="L33" s="214">
        <f t="shared" si="1"/>
        <v>23.52941176470588</v>
      </c>
      <c r="M33" s="214">
        <f t="shared" si="2"/>
        <v>29.411764705882355</v>
      </c>
      <c r="N33" s="235">
        <f t="shared" si="3"/>
        <v>100</v>
      </c>
      <c r="O33" s="213">
        <v>32.200000000000003</v>
      </c>
      <c r="P33" s="214">
        <v>10</v>
      </c>
      <c r="Q33" s="214">
        <v>12.2</v>
      </c>
      <c r="R33" s="215">
        <f t="shared" si="4"/>
        <v>54.400000000000006</v>
      </c>
      <c r="S33" s="171">
        <v>2</v>
      </c>
      <c r="T33" s="285"/>
      <c r="U33" s="283"/>
      <c r="V33" s="178" t="s">
        <v>867</v>
      </c>
      <c r="W33" s="171" t="s">
        <v>294</v>
      </c>
      <c r="X33" s="171" t="s">
        <v>11</v>
      </c>
      <c r="Y33" s="179">
        <v>32.200000000000003</v>
      </c>
      <c r="Z33" s="171" t="s">
        <v>871</v>
      </c>
      <c r="AA33" s="171" t="s">
        <v>81</v>
      </c>
      <c r="AB33" s="171" t="s">
        <v>18</v>
      </c>
      <c r="AC33" s="171">
        <v>10</v>
      </c>
      <c r="AD33" s="178" t="s">
        <v>868</v>
      </c>
      <c r="AE33" s="171" t="s">
        <v>869</v>
      </c>
      <c r="AF33" s="171" t="s">
        <v>12</v>
      </c>
      <c r="AG33" s="179">
        <v>7.8</v>
      </c>
      <c r="AH33" s="178" t="s">
        <v>870</v>
      </c>
      <c r="AI33" s="171" t="s">
        <v>1493</v>
      </c>
      <c r="AJ33" s="171" t="s">
        <v>12</v>
      </c>
      <c r="AK33" s="171">
        <v>4.4000000000000004</v>
      </c>
      <c r="AL33" s="178"/>
      <c r="AO33" s="179"/>
      <c r="AP33" s="178"/>
      <c r="AS33" s="179"/>
      <c r="AW33" s="179"/>
      <c r="BA33" s="180"/>
    </row>
    <row r="34" spans="1:53" s="171" customFormat="1" x14ac:dyDescent="0.15">
      <c r="A34" s="171">
        <v>2005</v>
      </c>
      <c r="B34" s="305">
        <v>38706</v>
      </c>
      <c r="C34" s="410" t="s">
        <v>1211</v>
      </c>
      <c r="D34" s="410"/>
      <c r="E34" s="171">
        <f>365-E33</f>
        <v>12</v>
      </c>
      <c r="F34" s="244">
        <v>0</v>
      </c>
      <c r="G34" s="233">
        <v>9</v>
      </c>
      <c r="H34" s="171">
        <v>4</v>
      </c>
      <c r="I34" s="171">
        <v>5</v>
      </c>
      <c r="J34" s="241">
        <v>18</v>
      </c>
      <c r="K34" s="214">
        <f t="shared" si="0"/>
        <v>50</v>
      </c>
      <c r="L34" s="214">
        <f t="shared" si="1"/>
        <v>22.222222222222221</v>
      </c>
      <c r="M34" s="214">
        <f t="shared" si="2"/>
        <v>27.777777777777779</v>
      </c>
      <c r="N34" s="235">
        <f t="shared" si="3"/>
        <v>100</v>
      </c>
      <c r="O34" s="213">
        <v>32.200000000000003</v>
      </c>
      <c r="P34" s="214">
        <v>10</v>
      </c>
      <c r="Q34" s="214">
        <v>12.2</v>
      </c>
      <c r="R34" s="215">
        <f t="shared" si="4"/>
        <v>54.400000000000006</v>
      </c>
      <c r="S34" s="171">
        <v>2</v>
      </c>
      <c r="T34" s="285"/>
      <c r="U34" s="283"/>
      <c r="V34" s="178" t="s">
        <v>867</v>
      </c>
      <c r="W34" s="171" t="s">
        <v>294</v>
      </c>
      <c r="X34" s="171" t="s">
        <v>11</v>
      </c>
      <c r="Y34" s="179">
        <v>32.200000000000003</v>
      </c>
      <c r="Z34" s="171" t="s">
        <v>871</v>
      </c>
      <c r="AA34" s="171" t="s">
        <v>81</v>
      </c>
      <c r="AB34" s="171" t="s">
        <v>18</v>
      </c>
      <c r="AC34" s="171">
        <v>10</v>
      </c>
      <c r="AD34" s="178" t="s">
        <v>868</v>
      </c>
      <c r="AE34" s="171" t="s">
        <v>869</v>
      </c>
      <c r="AF34" s="171" t="s">
        <v>12</v>
      </c>
      <c r="AG34" s="179">
        <v>7.8</v>
      </c>
      <c r="AH34" s="178" t="s">
        <v>870</v>
      </c>
      <c r="AI34" s="171" t="s">
        <v>1493</v>
      </c>
      <c r="AJ34" s="171" t="s">
        <v>12</v>
      </c>
      <c r="AK34" s="171">
        <v>4.4000000000000004</v>
      </c>
      <c r="AL34" s="178"/>
      <c r="AO34" s="179"/>
      <c r="AP34" s="178"/>
      <c r="AS34" s="179"/>
      <c r="AW34" s="179"/>
      <c r="BA34" s="180"/>
    </row>
    <row r="35" spans="1:53" s="171" customFormat="1" x14ac:dyDescent="0.15">
      <c r="A35" s="171">
        <v>2006</v>
      </c>
      <c r="B35" s="306"/>
      <c r="C35" s="410" t="s">
        <v>1211</v>
      </c>
      <c r="D35" s="410"/>
      <c r="E35" s="171">
        <v>79</v>
      </c>
      <c r="G35" s="233">
        <v>9</v>
      </c>
      <c r="H35" s="171">
        <v>4</v>
      </c>
      <c r="I35" s="171">
        <v>5</v>
      </c>
      <c r="J35" s="241">
        <v>18</v>
      </c>
      <c r="K35" s="214">
        <f t="shared" si="0"/>
        <v>50</v>
      </c>
      <c r="L35" s="214">
        <f t="shared" si="1"/>
        <v>22.222222222222221</v>
      </c>
      <c r="M35" s="214">
        <f t="shared" si="2"/>
        <v>27.777777777777779</v>
      </c>
      <c r="N35" s="235">
        <f t="shared" si="3"/>
        <v>100</v>
      </c>
      <c r="O35" s="213">
        <v>32.200000000000003</v>
      </c>
      <c r="P35" s="214">
        <v>10</v>
      </c>
      <c r="Q35" s="214">
        <v>12.2</v>
      </c>
      <c r="R35" s="215">
        <f t="shared" si="4"/>
        <v>54.400000000000006</v>
      </c>
      <c r="S35" s="171">
        <v>2</v>
      </c>
      <c r="T35" s="285"/>
      <c r="U35" s="283"/>
      <c r="V35" s="178" t="s">
        <v>867</v>
      </c>
      <c r="W35" s="171" t="s">
        <v>294</v>
      </c>
      <c r="X35" s="171" t="s">
        <v>11</v>
      </c>
      <c r="Y35" s="179">
        <v>32.200000000000003</v>
      </c>
      <c r="Z35" s="171" t="s">
        <v>871</v>
      </c>
      <c r="AA35" s="171" t="s">
        <v>81</v>
      </c>
      <c r="AB35" s="171" t="s">
        <v>18</v>
      </c>
      <c r="AC35" s="171">
        <v>10</v>
      </c>
      <c r="AD35" s="178" t="s">
        <v>868</v>
      </c>
      <c r="AE35" s="171" t="s">
        <v>869</v>
      </c>
      <c r="AF35" s="171" t="s">
        <v>12</v>
      </c>
      <c r="AG35" s="179">
        <v>7.8</v>
      </c>
      <c r="AH35" s="178" t="s">
        <v>870</v>
      </c>
      <c r="AI35" s="171" t="s">
        <v>1493</v>
      </c>
      <c r="AJ35" s="171" t="s">
        <v>12</v>
      </c>
      <c r="AK35" s="171">
        <v>4.4000000000000004</v>
      </c>
      <c r="AL35" s="178"/>
      <c r="AO35" s="179"/>
      <c r="AP35" s="178"/>
      <c r="AS35" s="179"/>
      <c r="AW35" s="179"/>
      <c r="BA35" s="180"/>
    </row>
    <row r="36" spans="1:53" s="171" customFormat="1" x14ac:dyDescent="0.15">
      <c r="A36" s="171">
        <v>2006</v>
      </c>
      <c r="B36" s="305">
        <v>38797</v>
      </c>
      <c r="C36" s="410" t="s">
        <v>1211</v>
      </c>
      <c r="D36" s="410"/>
      <c r="E36" s="171">
        <v>267</v>
      </c>
      <c r="F36" s="244">
        <v>0</v>
      </c>
      <c r="G36" s="233">
        <v>8</v>
      </c>
      <c r="H36" s="171">
        <v>4</v>
      </c>
      <c r="I36" s="171">
        <v>5</v>
      </c>
      <c r="J36" s="241">
        <v>17</v>
      </c>
      <c r="K36" s="214">
        <f>G36/J36*100</f>
        <v>47.058823529411761</v>
      </c>
      <c r="L36" s="214">
        <f>H36/J36*100</f>
        <v>23.52941176470588</v>
      </c>
      <c r="M36" s="214">
        <f>I36/J36*100</f>
        <v>29.411764705882355</v>
      </c>
      <c r="N36" s="235">
        <f t="shared" si="3"/>
        <v>100</v>
      </c>
      <c r="O36" s="213">
        <v>32.200000000000003</v>
      </c>
      <c r="P36" s="214">
        <v>10</v>
      </c>
      <c r="Q36" s="214">
        <v>12.2</v>
      </c>
      <c r="R36" s="215">
        <f t="shared" si="4"/>
        <v>54.400000000000006</v>
      </c>
      <c r="S36" s="171">
        <v>2</v>
      </c>
      <c r="T36" s="285"/>
      <c r="U36" s="283"/>
      <c r="V36" s="178" t="s">
        <v>867</v>
      </c>
      <c r="W36" s="171" t="s">
        <v>294</v>
      </c>
      <c r="X36" s="171" t="s">
        <v>11</v>
      </c>
      <c r="Y36" s="179">
        <v>32.200000000000003</v>
      </c>
      <c r="Z36" s="171" t="s">
        <v>871</v>
      </c>
      <c r="AA36" s="171" t="s">
        <v>81</v>
      </c>
      <c r="AB36" s="171" t="s">
        <v>18</v>
      </c>
      <c r="AC36" s="171">
        <v>10</v>
      </c>
      <c r="AD36" s="178" t="s">
        <v>868</v>
      </c>
      <c r="AE36" s="171" t="s">
        <v>869</v>
      </c>
      <c r="AF36" s="171" t="s">
        <v>12</v>
      </c>
      <c r="AG36" s="179">
        <v>7.8</v>
      </c>
      <c r="AH36" s="178" t="s">
        <v>870</v>
      </c>
      <c r="AI36" s="171" t="s">
        <v>1493</v>
      </c>
      <c r="AJ36" s="171" t="s">
        <v>12</v>
      </c>
      <c r="AK36" s="171">
        <v>4.4000000000000004</v>
      </c>
      <c r="AL36" s="178"/>
      <c r="AO36" s="179"/>
      <c r="AP36" s="178"/>
      <c r="AS36" s="179"/>
      <c r="AW36" s="179"/>
      <c r="BA36" s="180"/>
    </row>
    <row r="37" spans="1:53" s="171" customFormat="1" x14ac:dyDescent="0.15">
      <c r="A37" s="171">
        <v>2006</v>
      </c>
      <c r="B37" s="305">
        <v>39064</v>
      </c>
      <c r="C37" s="410" t="s">
        <v>1211</v>
      </c>
      <c r="D37" s="410"/>
      <c r="E37" s="171">
        <f>365-E36-E35</f>
        <v>19</v>
      </c>
      <c r="F37" s="244">
        <v>0</v>
      </c>
      <c r="G37" s="233">
        <v>9</v>
      </c>
      <c r="H37" s="171">
        <v>3</v>
      </c>
      <c r="I37" s="171">
        <v>5</v>
      </c>
      <c r="J37" s="241">
        <v>17</v>
      </c>
      <c r="K37" s="214">
        <f t="shared" si="0"/>
        <v>52.941176470588239</v>
      </c>
      <c r="L37" s="214">
        <f t="shared" si="1"/>
        <v>17.647058823529413</v>
      </c>
      <c r="M37" s="214">
        <f t="shared" si="2"/>
        <v>29.411764705882355</v>
      </c>
      <c r="N37" s="235">
        <f t="shared" si="3"/>
        <v>100</v>
      </c>
      <c r="O37" s="213">
        <v>32.200000000000003</v>
      </c>
      <c r="P37" s="214">
        <v>10</v>
      </c>
      <c r="Q37" s="214">
        <v>12.2</v>
      </c>
      <c r="R37" s="215">
        <f t="shared" si="4"/>
        <v>54.400000000000006</v>
      </c>
      <c r="S37" s="171">
        <v>2</v>
      </c>
      <c r="T37" s="285"/>
      <c r="U37" s="283"/>
      <c r="V37" s="178" t="s">
        <v>867</v>
      </c>
      <c r="W37" s="171" t="s">
        <v>294</v>
      </c>
      <c r="X37" s="171" t="s">
        <v>11</v>
      </c>
      <c r="Y37" s="179">
        <v>32.200000000000003</v>
      </c>
      <c r="Z37" s="171" t="s">
        <v>871</v>
      </c>
      <c r="AA37" s="171" t="s">
        <v>81</v>
      </c>
      <c r="AB37" s="171" t="s">
        <v>18</v>
      </c>
      <c r="AC37" s="171">
        <v>10</v>
      </c>
      <c r="AD37" s="178" t="s">
        <v>868</v>
      </c>
      <c r="AE37" s="171" t="s">
        <v>869</v>
      </c>
      <c r="AF37" s="171" t="s">
        <v>12</v>
      </c>
      <c r="AG37" s="179">
        <v>7.8</v>
      </c>
      <c r="AH37" s="178" t="s">
        <v>870</v>
      </c>
      <c r="AI37" s="171" t="s">
        <v>1493</v>
      </c>
      <c r="AJ37" s="171" t="s">
        <v>12</v>
      </c>
      <c r="AK37" s="171">
        <v>4.4000000000000004</v>
      </c>
      <c r="AL37" s="178"/>
      <c r="AO37" s="179"/>
      <c r="AP37" s="178"/>
      <c r="AS37" s="179"/>
      <c r="AW37" s="179"/>
      <c r="BA37" s="180"/>
    </row>
    <row r="38" spans="1:53" s="171" customFormat="1" x14ac:dyDescent="0.15">
      <c r="A38" s="171">
        <v>2007</v>
      </c>
      <c r="B38" s="306"/>
      <c r="C38" s="410" t="s">
        <v>1211</v>
      </c>
      <c r="D38" s="410"/>
      <c r="E38" s="171">
        <v>0</v>
      </c>
      <c r="G38" s="233">
        <v>9</v>
      </c>
      <c r="H38" s="171">
        <v>3</v>
      </c>
      <c r="I38" s="171">
        <v>5</v>
      </c>
      <c r="J38" s="241">
        <v>17</v>
      </c>
      <c r="K38" s="214">
        <f t="shared" si="0"/>
        <v>52.941176470588239</v>
      </c>
      <c r="L38" s="214">
        <f t="shared" si="1"/>
        <v>17.647058823529413</v>
      </c>
      <c r="M38" s="214">
        <f t="shared" si="2"/>
        <v>29.411764705882355</v>
      </c>
      <c r="N38" s="235">
        <f t="shared" si="3"/>
        <v>100</v>
      </c>
      <c r="O38" s="213">
        <v>32.200000000000003</v>
      </c>
      <c r="P38" s="214">
        <v>10</v>
      </c>
      <c r="Q38" s="214">
        <v>12.2</v>
      </c>
      <c r="R38" s="215">
        <f t="shared" si="4"/>
        <v>54.400000000000006</v>
      </c>
      <c r="S38" s="171">
        <v>2</v>
      </c>
      <c r="T38" s="285"/>
      <c r="U38" s="283"/>
      <c r="V38" s="178" t="s">
        <v>867</v>
      </c>
      <c r="W38" s="171" t="s">
        <v>294</v>
      </c>
      <c r="X38" s="171" t="s">
        <v>11</v>
      </c>
      <c r="Y38" s="179">
        <v>32.200000000000003</v>
      </c>
      <c r="Z38" s="171" t="s">
        <v>871</v>
      </c>
      <c r="AA38" s="171" t="s">
        <v>81</v>
      </c>
      <c r="AB38" s="171" t="s">
        <v>18</v>
      </c>
      <c r="AC38" s="171">
        <v>10</v>
      </c>
      <c r="AD38" s="178" t="s">
        <v>868</v>
      </c>
      <c r="AE38" s="171" t="s">
        <v>869</v>
      </c>
      <c r="AF38" s="171" t="s">
        <v>12</v>
      </c>
      <c r="AG38" s="179">
        <v>7.8</v>
      </c>
      <c r="AH38" s="178" t="s">
        <v>870</v>
      </c>
      <c r="AI38" s="171" t="s">
        <v>1493</v>
      </c>
      <c r="AJ38" s="171" t="s">
        <v>12</v>
      </c>
      <c r="AK38" s="171">
        <v>4.4000000000000004</v>
      </c>
      <c r="AL38" s="178"/>
      <c r="AO38" s="179"/>
      <c r="AP38" s="178"/>
      <c r="AS38" s="179"/>
      <c r="AW38" s="179"/>
      <c r="BA38" s="180"/>
    </row>
    <row r="39" spans="1:53" s="171" customFormat="1" x14ac:dyDescent="0.15">
      <c r="A39" s="171">
        <v>2007</v>
      </c>
      <c r="B39" s="306"/>
      <c r="C39" s="410" t="s">
        <v>1211</v>
      </c>
      <c r="D39" s="410"/>
      <c r="E39" s="171">
        <v>365</v>
      </c>
      <c r="G39" s="233">
        <v>9</v>
      </c>
      <c r="H39" s="171">
        <v>3</v>
      </c>
      <c r="I39" s="171">
        <v>5</v>
      </c>
      <c r="J39" s="241">
        <v>17</v>
      </c>
      <c r="K39" s="214">
        <f t="shared" si="0"/>
        <v>52.941176470588239</v>
      </c>
      <c r="L39" s="214">
        <f t="shared" si="1"/>
        <v>17.647058823529413</v>
      </c>
      <c r="M39" s="214">
        <f t="shared" si="2"/>
        <v>29.411764705882355</v>
      </c>
      <c r="N39" s="235">
        <f t="shared" si="3"/>
        <v>100</v>
      </c>
      <c r="O39" s="213">
        <v>32.200000000000003</v>
      </c>
      <c r="P39" s="214">
        <v>10</v>
      </c>
      <c r="Q39" s="214">
        <v>12.2</v>
      </c>
      <c r="R39" s="215">
        <f t="shared" si="4"/>
        <v>54.400000000000006</v>
      </c>
      <c r="S39" s="171">
        <v>2</v>
      </c>
      <c r="T39" s="285"/>
      <c r="U39" s="283"/>
      <c r="V39" s="178" t="s">
        <v>867</v>
      </c>
      <c r="W39" s="171" t="s">
        <v>294</v>
      </c>
      <c r="X39" s="171" t="s">
        <v>11</v>
      </c>
      <c r="Y39" s="179">
        <v>32.200000000000003</v>
      </c>
      <c r="Z39" s="171" t="s">
        <v>871</v>
      </c>
      <c r="AA39" s="171" t="s">
        <v>81</v>
      </c>
      <c r="AB39" s="171" t="s">
        <v>18</v>
      </c>
      <c r="AC39" s="171">
        <v>10</v>
      </c>
      <c r="AD39" s="178" t="s">
        <v>868</v>
      </c>
      <c r="AE39" s="171" t="s">
        <v>869</v>
      </c>
      <c r="AF39" s="171" t="s">
        <v>12</v>
      </c>
      <c r="AG39" s="179">
        <v>7.8</v>
      </c>
      <c r="AH39" s="178" t="s">
        <v>870</v>
      </c>
      <c r="AI39" s="171" t="s">
        <v>1493</v>
      </c>
      <c r="AJ39" s="171" t="s">
        <v>12</v>
      </c>
      <c r="AK39" s="171">
        <v>4.4000000000000004</v>
      </c>
      <c r="AL39" s="178"/>
      <c r="AO39" s="179"/>
      <c r="AP39" s="178"/>
      <c r="AS39" s="179"/>
      <c r="AW39" s="179"/>
      <c r="BA39" s="180"/>
    </row>
    <row r="40" spans="1:53" s="171" customFormat="1" x14ac:dyDescent="0.15">
      <c r="A40" s="171">
        <v>2008</v>
      </c>
      <c r="B40" s="306"/>
      <c r="C40" s="410" t="s">
        <v>1211</v>
      </c>
      <c r="D40" s="410"/>
      <c r="E40" s="171">
        <v>325</v>
      </c>
      <c r="G40" s="233">
        <v>9</v>
      </c>
      <c r="H40" s="171">
        <v>3</v>
      </c>
      <c r="I40" s="171">
        <v>5</v>
      </c>
      <c r="J40" s="241">
        <v>17</v>
      </c>
      <c r="K40" s="214">
        <f t="shared" si="0"/>
        <v>52.941176470588239</v>
      </c>
      <c r="L40" s="214">
        <f t="shared" si="1"/>
        <v>17.647058823529413</v>
      </c>
      <c r="M40" s="214">
        <f t="shared" si="2"/>
        <v>29.411764705882355</v>
      </c>
      <c r="N40" s="235">
        <f t="shared" si="3"/>
        <v>100</v>
      </c>
      <c r="O40" s="213">
        <v>32.200000000000003</v>
      </c>
      <c r="P40" s="214">
        <v>10</v>
      </c>
      <c r="Q40" s="214">
        <v>12.2</v>
      </c>
      <c r="R40" s="215">
        <f t="shared" si="4"/>
        <v>54.400000000000006</v>
      </c>
      <c r="S40" s="171">
        <v>2</v>
      </c>
      <c r="T40" s="285"/>
      <c r="U40" s="283"/>
      <c r="V40" s="178" t="s">
        <v>867</v>
      </c>
      <c r="W40" s="171" t="s">
        <v>294</v>
      </c>
      <c r="X40" s="171" t="s">
        <v>11</v>
      </c>
      <c r="Y40" s="179">
        <v>32.200000000000003</v>
      </c>
      <c r="Z40" s="171" t="s">
        <v>871</v>
      </c>
      <c r="AA40" s="171" t="s">
        <v>81</v>
      </c>
      <c r="AB40" s="171" t="s">
        <v>18</v>
      </c>
      <c r="AC40" s="171">
        <v>10</v>
      </c>
      <c r="AD40" s="178" t="s">
        <v>868</v>
      </c>
      <c r="AE40" s="171" t="s">
        <v>869</v>
      </c>
      <c r="AF40" s="171" t="s">
        <v>12</v>
      </c>
      <c r="AG40" s="179">
        <v>7.8</v>
      </c>
      <c r="AH40" s="178" t="s">
        <v>870</v>
      </c>
      <c r="AI40" s="171" t="s">
        <v>1493</v>
      </c>
      <c r="AJ40" s="171" t="s">
        <v>12</v>
      </c>
      <c r="AK40" s="171">
        <v>4.4000000000000004</v>
      </c>
      <c r="AL40" s="178"/>
      <c r="AO40" s="179"/>
      <c r="AP40" s="178"/>
      <c r="AS40" s="179"/>
      <c r="AW40" s="179"/>
      <c r="BA40" s="180"/>
    </row>
    <row r="41" spans="1:53" s="29" customFormat="1" x14ac:dyDescent="0.15">
      <c r="A41" s="29">
        <v>2008</v>
      </c>
      <c r="B41" s="277">
        <v>39773</v>
      </c>
      <c r="C41" s="411" t="s">
        <v>872</v>
      </c>
      <c r="D41" s="411"/>
      <c r="E41" s="29">
        <f>366-E40</f>
        <v>41</v>
      </c>
      <c r="F41" s="29">
        <v>1</v>
      </c>
      <c r="G41" s="66">
        <v>6</v>
      </c>
      <c r="I41" s="29">
        <v>13</v>
      </c>
      <c r="J41" s="73">
        <v>19</v>
      </c>
      <c r="K41" s="47">
        <f t="shared" si="0"/>
        <v>31.578947368421051</v>
      </c>
      <c r="L41" s="47">
        <f t="shared" si="1"/>
        <v>0</v>
      </c>
      <c r="M41" s="47">
        <f t="shared" si="2"/>
        <v>68.421052631578945</v>
      </c>
      <c r="N41" s="68">
        <f t="shared" si="3"/>
        <v>100</v>
      </c>
      <c r="O41" s="46">
        <v>15.6</v>
      </c>
      <c r="P41" s="47"/>
      <c r="Q41" s="47">
        <v>40</v>
      </c>
      <c r="R41" s="48">
        <f t="shared" si="4"/>
        <v>55.6</v>
      </c>
      <c r="S41" s="29">
        <v>2</v>
      </c>
      <c r="T41" s="286">
        <v>39712</v>
      </c>
      <c r="U41" s="277">
        <v>39773</v>
      </c>
      <c r="V41" s="38" t="s">
        <v>101</v>
      </c>
      <c r="W41" s="29" t="s">
        <v>97</v>
      </c>
      <c r="X41" s="29" t="s">
        <v>12</v>
      </c>
      <c r="Y41" s="39">
        <v>32.200000000000003</v>
      </c>
      <c r="Z41" s="29" t="s">
        <v>873</v>
      </c>
      <c r="AA41" s="29" t="s">
        <v>106</v>
      </c>
      <c r="AB41" s="29" t="s">
        <v>11</v>
      </c>
      <c r="AC41" s="29">
        <v>10</v>
      </c>
      <c r="AD41" s="38" t="s">
        <v>870</v>
      </c>
      <c r="AE41" s="29" t="s">
        <v>1493</v>
      </c>
      <c r="AF41" s="29" t="s">
        <v>12</v>
      </c>
      <c r="AG41" s="39">
        <v>7.8</v>
      </c>
      <c r="AH41" s="38" t="s">
        <v>863</v>
      </c>
      <c r="AI41" s="29" t="s">
        <v>22</v>
      </c>
      <c r="AJ41" s="29" t="s">
        <v>11</v>
      </c>
      <c r="AK41" s="29">
        <v>5.6</v>
      </c>
      <c r="AL41" s="38"/>
      <c r="AO41" s="39"/>
      <c r="AP41" s="38"/>
      <c r="AS41" s="39"/>
      <c r="AW41" s="39"/>
      <c r="BA41" s="40"/>
    </row>
    <row r="42" spans="1:53" s="29" customFormat="1" x14ac:dyDescent="0.15">
      <c r="A42" s="29">
        <v>2009</v>
      </c>
      <c r="B42" s="277"/>
      <c r="C42" s="411" t="s">
        <v>872</v>
      </c>
      <c r="D42" s="411"/>
      <c r="E42" s="29">
        <v>0</v>
      </c>
      <c r="G42" s="66">
        <v>6</v>
      </c>
      <c r="I42" s="29">
        <v>13</v>
      </c>
      <c r="J42" s="73">
        <v>19</v>
      </c>
      <c r="K42" s="47">
        <f t="shared" si="0"/>
        <v>31.578947368421051</v>
      </c>
      <c r="L42" s="47">
        <f t="shared" si="1"/>
        <v>0</v>
      </c>
      <c r="M42" s="47">
        <f t="shared" si="2"/>
        <v>68.421052631578945</v>
      </c>
      <c r="N42" s="68">
        <f t="shared" si="3"/>
        <v>100</v>
      </c>
      <c r="O42" s="46">
        <v>15.6</v>
      </c>
      <c r="P42" s="47"/>
      <c r="Q42" s="47">
        <v>40</v>
      </c>
      <c r="R42" s="48">
        <f t="shared" si="4"/>
        <v>55.6</v>
      </c>
      <c r="S42" s="29">
        <v>2</v>
      </c>
      <c r="T42" s="286"/>
      <c r="U42" s="295"/>
      <c r="V42" s="38" t="s">
        <v>101</v>
      </c>
      <c r="W42" s="29" t="s">
        <v>97</v>
      </c>
      <c r="X42" s="29" t="s">
        <v>12</v>
      </c>
      <c r="Y42" s="39">
        <v>32.200000000000003</v>
      </c>
      <c r="Z42" s="29" t="s">
        <v>873</v>
      </c>
      <c r="AA42" s="29" t="s">
        <v>106</v>
      </c>
      <c r="AB42" s="29" t="s">
        <v>11</v>
      </c>
      <c r="AC42" s="29">
        <v>10</v>
      </c>
      <c r="AD42" s="38" t="s">
        <v>870</v>
      </c>
      <c r="AE42" s="29" t="s">
        <v>1493</v>
      </c>
      <c r="AF42" s="29" t="s">
        <v>12</v>
      </c>
      <c r="AG42" s="39">
        <v>7.8</v>
      </c>
      <c r="AH42" s="38" t="s">
        <v>863</v>
      </c>
      <c r="AI42" s="29" t="s">
        <v>22</v>
      </c>
      <c r="AJ42" s="29" t="s">
        <v>11</v>
      </c>
      <c r="AK42" s="29">
        <v>5.6</v>
      </c>
      <c r="AL42" s="38"/>
      <c r="AO42" s="39"/>
      <c r="AP42" s="38"/>
      <c r="AS42" s="39"/>
      <c r="AW42" s="39"/>
      <c r="BA42" s="40"/>
    </row>
    <row r="43" spans="1:53" s="29" customFormat="1" x14ac:dyDescent="0.15">
      <c r="A43" s="29">
        <v>2009</v>
      </c>
      <c r="B43" s="277"/>
      <c r="C43" s="411" t="s">
        <v>872</v>
      </c>
      <c r="D43" s="411"/>
      <c r="E43" s="29">
        <v>365</v>
      </c>
      <c r="G43" s="66">
        <v>6</v>
      </c>
      <c r="I43" s="29">
        <v>13</v>
      </c>
      <c r="J43" s="73">
        <v>19</v>
      </c>
      <c r="K43" s="47">
        <f t="shared" si="0"/>
        <v>31.578947368421051</v>
      </c>
      <c r="L43" s="47">
        <f t="shared" si="1"/>
        <v>0</v>
      </c>
      <c r="M43" s="47">
        <f t="shared" si="2"/>
        <v>68.421052631578945</v>
      </c>
      <c r="N43" s="68">
        <f t="shared" si="3"/>
        <v>100</v>
      </c>
      <c r="O43" s="46">
        <v>15.6</v>
      </c>
      <c r="P43" s="47"/>
      <c r="Q43" s="47">
        <v>40</v>
      </c>
      <c r="R43" s="48">
        <f t="shared" si="4"/>
        <v>55.6</v>
      </c>
      <c r="S43" s="29">
        <v>2</v>
      </c>
      <c r="T43" s="286"/>
      <c r="U43" s="295"/>
      <c r="V43" s="38" t="s">
        <v>101</v>
      </c>
      <c r="W43" s="29" t="s">
        <v>97</v>
      </c>
      <c r="X43" s="29" t="s">
        <v>12</v>
      </c>
      <c r="Y43" s="39">
        <v>32.200000000000003</v>
      </c>
      <c r="Z43" s="29" t="s">
        <v>873</v>
      </c>
      <c r="AA43" s="29" t="s">
        <v>106</v>
      </c>
      <c r="AB43" s="29" t="s">
        <v>11</v>
      </c>
      <c r="AC43" s="29">
        <v>10</v>
      </c>
      <c r="AD43" s="38" t="s">
        <v>870</v>
      </c>
      <c r="AE43" s="29" t="s">
        <v>1493</v>
      </c>
      <c r="AF43" s="29" t="s">
        <v>12</v>
      </c>
      <c r="AG43" s="39">
        <v>7.8</v>
      </c>
      <c r="AH43" s="38" t="s">
        <v>863</v>
      </c>
      <c r="AI43" s="29" t="s">
        <v>22</v>
      </c>
      <c r="AJ43" s="29" t="s">
        <v>11</v>
      </c>
      <c r="AK43" s="29">
        <v>5.6</v>
      </c>
      <c r="AL43" s="38"/>
      <c r="AO43" s="39"/>
      <c r="AP43" s="38"/>
      <c r="AS43" s="39"/>
      <c r="AW43" s="39"/>
      <c r="BA43" s="40"/>
    </row>
    <row r="44" spans="1:53" s="29" customFormat="1" x14ac:dyDescent="0.15">
      <c r="A44" s="29">
        <v>2010</v>
      </c>
      <c r="B44" s="277"/>
      <c r="C44" s="411" t="s">
        <v>872</v>
      </c>
      <c r="D44" s="411"/>
      <c r="E44" s="29">
        <v>0</v>
      </c>
      <c r="G44" s="66">
        <v>6</v>
      </c>
      <c r="I44" s="29">
        <v>13</v>
      </c>
      <c r="J44" s="73">
        <v>19</v>
      </c>
      <c r="K44" s="47">
        <f t="shared" si="0"/>
        <v>31.578947368421051</v>
      </c>
      <c r="L44" s="47">
        <f t="shared" si="1"/>
        <v>0</v>
      </c>
      <c r="M44" s="47">
        <f t="shared" si="2"/>
        <v>68.421052631578945</v>
      </c>
      <c r="N44" s="68">
        <f t="shared" si="3"/>
        <v>100</v>
      </c>
      <c r="O44" s="46">
        <v>15.6</v>
      </c>
      <c r="P44" s="47"/>
      <c r="Q44" s="47">
        <v>40</v>
      </c>
      <c r="R44" s="48">
        <f t="shared" si="4"/>
        <v>55.6</v>
      </c>
      <c r="S44" s="29">
        <v>2</v>
      </c>
      <c r="T44" s="286"/>
      <c r="U44" s="295"/>
      <c r="V44" s="38" t="s">
        <v>101</v>
      </c>
      <c r="W44" s="29" t="s">
        <v>97</v>
      </c>
      <c r="X44" s="29" t="s">
        <v>12</v>
      </c>
      <c r="Y44" s="39">
        <v>32.200000000000003</v>
      </c>
      <c r="Z44" s="29" t="s">
        <v>873</v>
      </c>
      <c r="AA44" s="29" t="s">
        <v>106</v>
      </c>
      <c r="AB44" s="29" t="s">
        <v>11</v>
      </c>
      <c r="AC44" s="29">
        <v>10</v>
      </c>
      <c r="AD44" s="38" t="s">
        <v>870</v>
      </c>
      <c r="AE44" s="29" t="s">
        <v>1493</v>
      </c>
      <c r="AF44" s="29" t="s">
        <v>12</v>
      </c>
      <c r="AG44" s="39">
        <v>7.8</v>
      </c>
      <c r="AH44" s="38" t="s">
        <v>863</v>
      </c>
      <c r="AI44" s="29" t="s">
        <v>22</v>
      </c>
      <c r="AJ44" s="29" t="s">
        <v>11</v>
      </c>
      <c r="AK44" s="29">
        <v>5.6</v>
      </c>
      <c r="AL44" s="38"/>
      <c r="AO44" s="39"/>
      <c r="AP44" s="38"/>
      <c r="AS44" s="39"/>
      <c r="AW44" s="39"/>
      <c r="BA44" s="40"/>
    </row>
    <row r="45" spans="1:53" s="29" customFormat="1" x14ac:dyDescent="0.15">
      <c r="A45" s="29">
        <v>2010</v>
      </c>
      <c r="B45" s="277"/>
      <c r="C45" s="411" t="s">
        <v>872</v>
      </c>
      <c r="D45" s="411"/>
      <c r="E45" s="29">
        <v>365</v>
      </c>
      <c r="G45" s="66">
        <v>6</v>
      </c>
      <c r="I45" s="29">
        <v>13</v>
      </c>
      <c r="J45" s="73">
        <v>19</v>
      </c>
      <c r="K45" s="47">
        <f t="shared" si="0"/>
        <v>31.578947368421051</v>
      </c>
      <c r="L45" s="47">
        <f t="shared" si="1"/>
        <v>0</v>
      </c>
      <c r="M45" s="47">
        <f t="shared" si="2"/>
        <v>68.421052631578945</v>
      </c>
      <c r="N45" s="68">
        <f t="shared" si="3"/>
        <v>100</v>
      </c>
      <c r="O45" s="46">
        <v>15.6</v>
      </c>
      <c r="P45" s="47"/>
      <c r="Q45" s="47">
        <v>40</v>
      </c>
      <c r="R45" s="48">
        <f t="shared" si="4"/>
        <v>55.6</v>
      </c>
      <c r="S45" s="29">
        <v>2</v>
      </c>
      <c r="T45" s="286"/>
      <c r="U45" s="295"/>
      <c r="V45" s="38" t="s">
        <v>101</v>
      </c>
      <c r="W45" s="29" t="s">
        <v>97</v>
      </c>
      <c r="X45" s="29" t="s">
        <v>12</v>
      </c>
      <c r="Y45" s="39">
        <v>32.200000000000003</v>
      </c>
      <c r="Z45" s="29" t="s">
        <v>873</v>
      </c>
      <c r="AA45" s="29" t="s">
        <v>106</v>
      </c>
      <c r="AB45" s="29" t="s">
        <v>11</v>
      </c>
      <c r="AC45" s="29">
        <v>10</v>
      </c>
      <c r="AD45" s="38" t="s">
        <v>870</v>
      </c>
      <c r="AE45" s="29" t="s">
        <v>1493</v>
      </c>
      <c r="AF45" s="29" t="s">
        <v>12</v>
      </c>
      <c r="AG45" s="39">
        <v>7.8</v>
      </c>
      <c r="AH45" s="38" t="s">
        <v>863</v>
      </c>
      <c r="AI45" s="29" t="s">
        <v>22</v>
      </c>
      <c r="AJ45" s="29" t="s">
        <v>11</v>
      </c>
      <c r="AK45" s="29">
        <v>5.6</v>
      </c>
      <c r="AL45" s="38"/>
      <c r="AO45" s="39"/>
      <c r="AP45" s="38"/>
      <c r="AS45" s="39"/>
      <c r="AW45" s="39"/>
      <c r="BA45" s="40"/>
    </row>
    <row r="46" spans="1:53" s="29" customFormat="1" x14ac:dyDescent="0.15">
      <c r="A46" s="29">
        <v>2011</v>
      </c>
      <c r="B46" s="277"/>
      <c r="C46" s="411" t="s">
        <v>872</v>
      </c>
      <c r="D46" s="411"/>
      <c r="E46" s="29">
        <v>176</v>
      </c>
      <c r="G46" s="66">
        <v>6</v>
      </c>
      <c r="I46" s="29">
        <v>13</v>
      </c>
      <c r="J46" s="73">
        <v>19</v>
      </c>
      <c r="K46" s="47">
        <f t="shared" ref="K46:K51" si="5">G46/J46*100</f>
        <v>31.578947368421051</v>
      </c>
      <c r="L46" s="47">
        <f t="shared" ref="L46:L51" si="6">H46/J46*100</f>
        <v>0</v>
      </c>
      <c r="M46" s="47">
        <f t="shared" ref="M46:M51" si="7">I46/J46*100</f>
        <v>68.421052631578945</v>
      </c>
      <c r="N46" s="68">
        <f t="shared" si="3"/>
        <v>100</v>
      </c>
      <c r="O46" s="46">
        <v>15.6</v>
      </c>
      <c r="P46" s="47"/>
      <c r="Q46" s="47">
        <v>40</v>
      </c>
      <c r="R46" s="48">
        <f t="shared" si="4"/>
        <v>55.6</v>
      </c>
      <c r="S46" s="29">
        <v>2</v>
      </c>
      <c r="T46" s="286"/>
      <c r="U46" s="295"/>
      <c r="V46" s="38" t="s">
        <v>101</v>
      </c>
      <c r="W46" s="29" t="s">
        <v>97</v>
      </c>
      <c r="X46" s="29" t="s">
        <v>12</v>
      </c>
      <c r="Y46" s="39">
        <v>32.200000000000003</v>
      </c>
      <c r="Z46" s="29" t="s">
        <v>873</v>
      </c>
      <c r="AA46" s="29" t="s">
        <v>106</v>
      </c>
      <c r="AB46" s="29" t="s">
        <v>11</v>
      </c>
      <c r="AC46" s="29">
        <v>10</v>
      </c>
      <c r="AD46" s="38" t="s">
        <v>870</v>
      </c>
      <c r="AE46" s="29" t="s">
        <v>1493</v>
      </c>
      <c r="AF46" s="29" t="s">
        <v>12</v>
      </c>
      <c r="AG46" s="39">
        <v>7.8</v>
      </c>
      <c r="AH46" s="38" t="s">
        <v>863</v>
      </c>
      <c r="AI46" s="29" t="s">
        <v>22</v>
      </c>
      <c r="AJ46" s="29" t="s">
        <v>11</v>
      </c>
      <c r="AK46" s="29">
        <v>5.6</v>
      </c>
      <c r="AL46" s="38"/>
      <c r="AO46" s="39"/>
      <c r="AP46" s="38"/>
      <c r="AS46" s="39"/>
      <c r="AW46" s="39"/>
      <c r="BA46" s="40"/>
    </row>
    <row r="47" spans="1:53" s="29" customFormat="1" x14ac:dyDescent="0.15">
      <c r="A47" s="29">
        <v>2011</v>
      </c>
      <c r="B47" s="303">
        <v>40720</v>
      </c>
      <c r="C47" s="411" t="s">
        <v>872</v>
      </c>
      <c r="D47" s="411"/>
      <c r="E47" s="29">
        <v>15</v>
      </c>
      <c r="F47" s="84">
        <v>0</v>
      </c>
      <c r="G47" s="66">
        <v>5</v>
      </c>
      <c r="I47" s="29">
        <v>13</v>
      </c>
      <c r="J47" s="73">
        <v>18</v>
      </c>
      <c r="K47" s="47">
        <f t="shared" si="5"/>
        <v>27.777777777777779</v>
      </c>
      <c r="L47" s="47">
        <f t="shared" si="6"/>
        <v>0</v>
      </c>
      <c r="M47" s="47">
        <f t="shared" si="7"/>
        <v>72.222222222222214</v>
      </c>
      <c r="N47" s="68">
        <f t="shared" si="3"/>
        <v>100</v>
      </c>
      <c r="O47" s="46">
        <v>15.6</v>
      </c>
      <c r="P47" s="47"/>
      <c r="Q47" s="47">
        <v>40</v>
      </c>
      <c r="R47" s="48">
        <f t="shared" si="4"/>
        <v>55.6</v>
      </c>
      <c r="S47" s="29">
        <v>2</v>
      </c>
      <c r="T47" s="286"/>
      <c r="U47" s="295"/>
      <c r="V47" s="38" t="s">
        <v>101</v>
      </c>
      <c r="W47" s="29" t="s">
        <v>97</v>
      </c>
      <c r="X47" s="29" t="s">
        <v>12</v>
      </c>
      <c r="Y47" s="39">
        <v>32.200000000000003</v>
      </c>
      <c r="Z47" s="29" t="s">
        <v>873</v>
      </c>
      <c r="AA47" s="29" t="s">
        <v>106</v>
      </c>
      <c r="AB47" s="29" t="s">
        <v>11</v>
      </c>
      <c r="AC47" s="29">
        <v>10</v>
      </c>
      <c r="AD47" s="38" t="s">
        <v>870</v>
      </c>
      <c r="AE47" s="29" t="s">
        <v>1493</v>
      </c>
      <c r="AF47" s="29" t="s">
        <v>12</v>
      </c>
      <c r="AG47" s="39">
        <v>7.8</v>
      </c>
      <c r="AH47" s="38" t="s">
        <v>863</v>
      </c>
      <c r="AI47" s="29" t="s">
        <v>22</v>
      </c>
      <c r="AJ47" s="29" t="s">
        <v>11</v>
      </c>
      <c r="AK47" s="29">
        <v>5.6</v>
      </c>
      <c r="AL47" s="38"/>
      <c r="AO47" s="39"/>
      <c r="AP47" s="38"/>
      <c r="AS47" s="39"/>
      <c r="AW47" s="39"/>
      <c r="BA47" s="40"/>
    </row>
    <row r="48" spans="1:53" s="171" customFormat="1" x14ac:dyDescent="0.15">
      <c r="A48" s="171">
        <v>2011</v>
      </c>
      <c r="B48" s="306">
        <v>40735</v>
      </c>
      <c r="C48" s="410" t="s">
        <v>874</v>
      </c>
      <c r="D48" s="410"/>
      <c r="E48" s="171">
        <v>53</v>
      </c>
      <c r="F48" s="171">
        <v>4</v>
      </c>
      <c r="G48" s="233">
        <v>2</v>
      </c>
      <c r="I48" s="171">
        <v>13</v>
      </c>
      <c r="J48" s="241">
        <v>15</v>
      </c>
      <c r="K48" s="214">
        <f t="shared" si="5"/>
        <v>13.333333333333334</v>
      </c>
      <c r="L48" s="214">
        <f t="shared" si="6"/>
        <v>0</v>
      </c>
      <c r="M48" s="214">
        <f t="shared" si="7"/>
        <v>86.666666666666671</v>
      </c>
      <c r="N48" s="235">
        <f t="shared" si="3"/>
        <v>100</v>
      </c>
      <c r="O48" s="213">
        <v>5.6</v>
      </c>
      <c r="P48" s="214"/>
      <c r="Q48" s="214">
        <v>40</v>
      </c>
      <c r="R48" s="215">
        <f t="shared" si="4"/>
        <v>45.6</v>
      </c>
      <c r="S48" s="171">
        <v>5</v>
      </c>
      <c r="T48" s="285"/>
      <c r="U48" s="306">
        <v>40735</v>
      </c>
      <c r="V48" s="178" t="s">
        <v>101</v>
      </c>
      <c r="W48" s="171" t="s">
        <v>97</v>
      </c>
      <c r="X48" s="171" t="s">
        <v>12</v>
      </c>
      <c r="Y48" s="179">
        <v>32.200000000000003</v>
      </c>
      <c r="Z48" s="178" t="s">
        <v>870</v>
      </c>
      <c r="AA48" s="171" t="s">
        <v>1493</v>
      </c>
      <c r="AB48" s="171" t="s">
        <v>12</v>
      </c>
      <c r="AC48" s="179">
        <v>7.8</v>
      </c>
      <c r="AD48" s="178" t="s">
        <v>863</v>
      </c>
      <c r="AE48" s="171" t="s">
        <v>22</v>
      </c>
      <c r="AF48" s="171" t="s">
        <v>11</v>
      </c>
      <c r="AG48" s="179">
        <v>5.6</v>
      </c>
      <c r="AH48" s="178"/>
      <c r="AL48" s="178"/>
      <c r="AO48" s="179"/>
      <c r="AP48" s="178"/>
      <c r="AS48" s="179"/>
      <c r="AW48" s="179"/>
      <c r="BA48" s="180"/>
    </row>
    <row r="49" spans="1:53" s="171" customFormat="1" x14ac:dyDescent="0.15">
      <c r="A49" s="171">
        <v>2011</v>
      </c>
      <c r="B49" s="305">
        <v>40788</v>
      </c>
      <c r="C49" s="410" t="s">
        <v>874</v>
      </c>
      <c r="D49" s="410"/>
      <c r="E49" s="171">
        <f>365-E48-E47-E46</f>
        <v>121</v>
      </c>
      <c r="F49" s="244">
        <v>0</v>
      </c>
      <c r="G49" s="233">
        <v>1</v>
      </c>
      <c r="I49" s="171">
        <v>13</v>
      </c>
      <c r="J49" s="241">
        <v>14</v>
      </c>
      <c r="K49" s="214">
        <f t="shared" si="5"/>
        <v>7.1428571428571423</v>
      </c>
      <c r="L49" s="214">
        <f t="shared" si="6"/>
        <v>0</v>
      </c>
      <c r="M49" s="214">
        <f t="shared" si="7"/>
        <v>92.857142857142861</v>
      </c>
      <c r="N49" s="235">
        <f t="shared" si="3"/>
        <v>100</v>
      </c>
      <c r="O49" s="213">
        <v>5.6</v>
      </c>
      <c r="P49" s="214"/>
      <c r="Q49" s="214">
        <v>40</v>
      </c>
      <c r="R49" s="215">
        <f t="shared" si="4"/>
        <v>45.6</v>
      </c>
      <c r="S49" s="171">
        <v>5</v>
      </c>
      <c r="T49" s="285">
        <v>40881</v>
      </c>
      <c r="U49" s="283"/>
      <c r="V49" s="178" t="s">
        <v>101</v>
      </c>
      <c r="W49" s="171" t="s">
        <v>97</v>
      </c>
      <c r="X49" s="171" t="s">
        <v>12</v>
      </c>
      <c r="Y49" s="179">
        <v>32.200000000000003</v>
      </c>
      <c r="Z49" s="178" t="s">
        <v>870</v>
      </c>
      <c r="AA49" s="171" t="s">
        <v>1493</v>
      </c>
      <c r="AB49" s="171" t="s">
        <v>12</v>
      </c>
      <c r="AC49" s="179">
        <v>7.8</v>
      </c>
      <c r="AD49" s="178" t="s">
        <v>863</v>
      </c>
      <c r="AE49" s="171" t="s">
        <v>22</v>
      </c>
      <c r="AF49" s="171" t="s">
        <v>11</v>
      </c>
      <c r="AG49" s="179">
        <v>5.6</v>
      </c>
      <c r="AL49" s="178"/>
      <c r="AO49" s="179"/>
      <c r="AP49" s="178"/>
      <c r="AS49" s="179"/>
      <c r="AW49" s="179"/>
      <c r="BA49" s="180"/>
    </row>
    <row r="50" spans="1:53" s="171" customFormat="1" x14ac:dyDescent="0.15">
      <c r="A50" s="171">
        <v>2012</v>
      </c>
      <c r="B50" s="306"/>
      <c r="C50" s="410" t="s">
        <v>874</v>
      </c>
      <c r="D50" s="410"/>
      <c r="E50" s="171">
        <v>40</v>
      </c>
      <c r="G50" s="233">
        <v>1</v>
      </c>
      <c r="I50" s="171">
        <v>13</v>
      </c>
      <c r="J50" s="241">
        <v>14</v>
      </c>
      <c r="K50" s="214">
        <f t="shared" si="5"/>
        <v>7.1428571428571423</v>
      </c>
      <c r="L50" s="214">
        <f t="shared" si="6"/>
        <v>0</v>
      </c>
      <c r="M50" s="214">
        <f t="shared" si="7"/>
        <v>92.857142857142861</v>
      </c>
      <c r="N50" s="235">
        <f t="shared" si="3"/>
        <v>100</v>
      </c>
      <c r="O50" s="213">
        <v>5.6</v>
      </c>
      <c r="P50" s="214"/>
      <c r="Q50" s="214">
        <v>40</v>
      </c>
      <c r="R50" s="215">
        <f t="shared" si="4"/>
        <v>45.6</v>
      </c>
      <c r="S50" s="171">
        <v>5</v>
      </c>
      <c r="T50" s="285"/>
      <c r="U50" s="283"/>
      <c r="V50" s="178" t="s">
        <v>101</v>
      </c>
      <c r="W50" s="171" t="s">
        <v>97</v>
      </c>
      <c r="X50" s="171" t="s">
        <v>12</v>
      </c>
      <c r="Y50" s="179">
        <v>32.200000000000003</v>
      </c>
      <c r="Z50" s="178" t="s">
        <v>870</v>
      </c>
      <c r="AA50" s="171" t="s">
        <v>1493</v>
      </c>
      <c r="AB50" s="171" t="s">
        <v>12</v>
      </c>
      <c r="AC50" s="179">
        <v>7.8</v>
      </c>
      <c r="AD50" s="178" t="s">
        <v>863</v>
      </c>
      <c r="AE50" s="171" t="s">
        <v>22</v>
      </c>
      <c r="AF50" s="171" t="s">
        <v>11</v>
      </c>
      <c r="AG50" s="179">
        <v>5.6</v>
      </c>
      <c r="AL50" s="178"/>
      <c r="AO50" s="179"/>
      <c r="AP50" s="178"/>
      <c r="AS50" s="179"/>
      <c r="AW50" s="179"/>
      <c r="BA50" s="180"/>
    </row>
    <row r="51" spans="1:53" s="29" customFormat="1" x14ac:dyDescent="0.15">
      <c r="A51" s="29">
        <v>2012</v>
      </c>
      <c r="B51" s="277">
        <v>40949</v>
      </c>
      <c r="C51" s="411" t="s">
        <v>1210</v>
      </c>
      <c r="D51" s="411"/>
      <c r="E51" s="29">
        <f>366-E50</f>
        <v>326</v>
      </c>
      <c r="F51" s="29">
        <v>1</v>
      </c>
      <c r="G51" s="66">
        <v>7</v>
      </c>
      <c r="H51" s="29">
        <v>2</v>
      </c>
      <c r="I51" s="29">
        <v>4</v>
      </c>
      <c r="J51" s="73">
        <v>13</v>
      </c>
      <c r="K51" s="47">
        <f t="shared" si="5"/>
        <v>53.846153846153847</v>
      </c>
      <c r="L51" s="47">
        <f t="shared" si="6"/>
        <v>15.384615384615385</v>
      </c>
      <c r="M51" s="47">
        <f t="shared" si="7"/>
        <v>30.76923076923077</v>
      </c>
      <c r="N51" s="68">
        <f t="shared" si="3"/>
        <v>100</v>
      </c>
      <c r="O51" s="46">
        <v>37.799999999999997</v>
      </c>
      <c r="P51" s="47">
        <v>4.4000000000000004</v>
      </c>
      <c r="Q51" s="47">
        <v>13.4</v>
      </c>
      <c r="R51" s="48">
        <f t="shared" si="4"/>
        <v>55.599999999999994</v>
      </c>
      <c r="S51" s="29">
        <v>3</v>
      </c>
      <c r="T51" s="286"/>
      <c r="U51" s="277">
        <v>40949</v>
      </c>
      <c r="V51" s="38" t="s">
        <v>867</v>
      </c>
      <c r="W51" s="29" t="s">
        <v>294</v>
      </c>
      <c r="X51" s="29" t="s">
        <v>11</v>
      </c>
      <c r="Y51" s="39">
        <v>28.9</v>
      </c>
      <c r="Z51" s="29" t="s">
        <v>556</v>
      </c>
      <c r="AA51" s="29" t="s">
        <v>306</v>
      </c>
      <c r="AB51" s="29" t="s">
        <v>11</v>
      </c>
      <c r="AC51" s="29">
        <v>8.9</v>
      </c>
      <c r="AD51" s="38" t="s">
        <v>870</v>
      </c>
      <c r="AE51" s="29" t="s">
        <v>1493</v>
      </c>
      <c r="AF51" s="29" t="s">
        <v>12</v>
      </c>
      <c r="AG51" s="39">
        <v>6.7</v>
      </c>
      <c r="AH51" s="29" t="s">
        <v>868</v>
      </c>
      <c r="AI51" s="29" t="s">
        <v>869</v>
      </c>
      <c r="AJ51" s="29" t="s">
        <v>12</v>
      </c>
      <c r="AK51" s="29">
        <v>6.7</v>
      </c>
      <c r="AL51" s="38" t="s">
        <v>871</v>
      </c>
      <c r="AM51" s="29" t="s">
        <v>81</v>
      </c>
      <c r="AN51" s="29" t="s">
        <v>18</v>
      </c>
      <c r="AO51" s="39">
        <v>4.4000000000000004</v>
      </c>
      <c r="AP51" s="38"/>
      <c r="AS51" s="39"/>
      <c r="AW51" s="39"/>
      <c r="BA51" s="40"/>
    </row>
    <row r="52" spans="1:53" s="29" customFormat="1" x14ac:dyDescent="0.15">
      <c r="A52" s="29">
        <v>2013</v>
      </c>
      <c r="B52" s="277"/>
      <c r="C52" s="411" t="s">
        <v>1210</v>
      </c>
      <c r="D52" s="411"/>
      <c r="E52" s="29">
        <v>31</v>
      </c>
      <c r="G52" s="66">
        <v>7</v>
      </c>
      <c r="H52" s="29">
        <v>2</v>
      </c>
      <c r="I52" s="29">
        <v>4</v>
      </c>
      <c r="J52" s="73">
        <v>13</v>
      </c>
      <c r="K52" s="47">
        <f t="shared" ref="K52:K59" si="8">G52/J52*100</f>
        <v>53.846153846153847</v>
      </c>
      <c r="L52" s="47">
        <f t="shared" ref="L52:L59" si="9">H52/J52*100</f>
        <v>15.384615384615385</v>
      </c>
      <c r="M52" s="47">
        <f t="shared" ref="M52:M59" si="10">I52/J52*100</f>
        <v>30.76923076923077</v>
      </c>
      <c r="N52" s="68">
        <f>K52+L52+M52</f>
        <v>100</v>
      </c>
      <c r="O52" s="46">
        <v>37.799999999999997</v>
      </c>
      <c r="P52" s="47">
        <v>4.4000000000000004</v>
      </c>
      <c r="Q52" s="47">
        <v>13.4</v>
      </c>
      <c r="R52" s="48">
        <f t="shared" ref="R52:R59" si="11">O52+P52+Q52</f>
        <v>55.599999999999994</v>
      </c>
      <c r="S52" s="29">
        <v>3</v>
      </c>
      <c r="T52" s="286"/>
      <c r="U52" s="277"/>
      <c r="V52" s="38" t="s">
        <v>867</v>
      </c>
      <c r="W52" s="29" t="s">
        <v>294</v>
      </c>
      <c r="X52" s="29" t="s">
        <v>11</v>
      </c>
      <c r="Y52" s="39">
        <v>28.9</v>
      </c>
      <c r="Z52" s="29" t="s">
        <v>556</v>
      </c>
      <c r="AA52" s="29" t="s">
        <v>306</v>
      </c>
      <c r="AB52" s="29" t="s">
        <v>11</v>
      </c>
      <c r="AC52" s="29">
        <v>8.9</v>
      </c>
      <c r="AD52" s="38" t="s">
        <v>870</v>
      </c>
      <c r="AE52" s="29" t="s">
        <v>1493</v>
      </c>
      <c r="AF52" s="29" t="s">
        <v>12</v>
      </c>
      <c r="AG52" s="39">
        <v>6.7</v>
      </c>
      <c r="AH52" s="29" t="s">
        <v>868</v>
      </c>
      <c r="AI52" s="29" t="s">
        <v>869</v>
      </c>
      <c r="AJ52" s="29" t="s">
        <v>12</v>
      </c>
      <c r="AK52" s="29">
        <v>6.7</v>
      </c>
      <c r="AL52" s="38" t="s">
        <v>871</v>
      </c>
      <c r="AM52" s="29" t="s">
        <v>81</v>
      </c>
      <c r="AN52" s="29" t="s">
        <v>18</v>
      </c>
      <c r="AO52" s="39">
        <v>4.4000000000000004</v>
      </c>
      <c r="AP52" s="38"/>
      <c r="AS52" s="39"/>
      <c r="AW52" s="39"/>
      <c r="BA52" s="40"/>
    </row>
    <row r="53" spans="1:53" s="171" customFormat="1" x14ac:dyDescent="0.15">
      <c r="A53" s="171">
        <v>2013</v>
      </c>
      <c r="B53" s="283">
        <v>41306</v>
      </c>
      <c r="C53" s="410" t="s">
        <v>1268</v>
      </c>
      <c r="D53" s="410"/>
      <c r="E53" s="171">
        <v>47</v>
      </c>
      <c r="F53" s="171">
        <v>4</v>
      </c>
      <c r="G53" s="233">
        <v>5</v>
      </c>
      <c r="H53" s="171">
        <v>2</v>
      </c>
      <c r="I53" s="171">
        <v>4</v>
      </c>
      <c r="J53" s="241">
        <v>11</v>
      </c>
      <c r="K53" s="214">
        <f t="shared" si="8"/>
        <v>45.454545454545453</v>
      </c>
      <c r="L53" s="214">
        <f t="shared" si="9"/>
        <v>18.181818181818183</v>
      </c>
      <c r="M53" s="214">
        <f t="shared" si="10"/>
        <v>36.363636363636367</v>
      </c>
      <c r="N53" s="235">
        <f>K52+L52+M52</f>
        <v>100</v>
      </c>
      <c r="O53" s="213">
        <v>28.9</v>
      </c>
      <c r="P53" s="214">
        <v>4.4000000000000004</v>
      </c>
      <c r="Q53" s="214">
        <v>13.4</v>
      </c>
      <c r="R53" s="215">
        <f t="shared" si="11"/>
        <v>46.699999999999996</v>
      </c>
      <c r="S53" s="171">
        <v>5</v>
      </c>
      <c r="T53" s="285"/>
      <c r="U53" s="283">
        <v>41306</v>
      </c>
      <c r="V53" s="178" t="s">
        <v>867</v>
      </c>
      <c r="W53" s="171" t="s">
        <v>294</v>
      </c>
      <c r="X53" s="171" t="s">
        <v>11</v>
      </c>
      <c r="Y53" s="179">
        <v>28.9</v>
      </c>
      <c r="Z53" s="171" t="s">
        <v>870</v>
      </c>
      <c r="AA53" s="171" t="s">
        <v>1493</v>
      </c>
      <c r="AB53" s="171" t="s">
        <v>12</v>
      </c>
      <c r="AC53" s="171">
        <v>5.6</v>
      </c>
      <c r="AD53" s="178" t="s">
        <v>868</v>
      </c>
      <c r="AE53" s="171" t="s">
        <v>869</v>
      </c>
      <c r="AF53" s="171" t="s">
        <v>12</v>
      </c>
      <c r="AG53" s="179">
        <v>6.7</v>
      </c>
      <c r="AH53" s="178" t="s">
        <v>871</v>
      </c>
      <c r="AI53" s="171" t="s">
        <v>81</v>
      </c>
      <c r="AJ53" s="171" t="s">
        <v>18</v>
      </c>
      <c r="AK53" s="171">
        <v>4.4000000000000004</v>
      </c>
      <c r="AL53" s="178"/>
      <c r="AO53" s="179"/>
      <c r="AP53" s="178"/>
      <c r="AS53" s="179"/>
      <c r="AW53" s="179"/>
      <c r="BA53" s="180"/>
    </row>
    <row r="54" spans="1:53" s="29" customFormat="1" x14ac:dyDescent="0.15">
      <c r="A54" s="29">
        <v>2013</v>
      </c>
      <c r="B54" s="277">
        <v>41353</v>
      </c>
      <c r="C54" s="411" t="s">
        <v>1255</v>
      </c>
      <c r="D54" s="411"/>
      <c r="E54" s="29">
        <v>245</v>
      </c>
      <c r="F54" s="29">
        <v>5</v>
      </c>
      <c r="G54" s="66">
        <v>3</v>
      </c>
      <c r="I54" s="29">
        <v>11</v>
      </c>
      <c r="J54" s="73">
        <v>14</v>
      </c>
      <c r="K54" s="47">
        <f t="shared" si="8"/>
        <v>21.428571428571427</v>
      </c>
      <c r="L54" s="47">
        <f t="shared" si="9"/>
        <v>0</v>
      </c>
      <c r="M54" s="47">
        <f t="shared" si="10"/>
        <v>78.571428571428569</v>
      </c>
      <c r="N54" s="68">
        <f>K53+L53+M53</f>
        <v>100</v>
      </c>
      <c r="O54" s="46">
        <v>7.8</v>
      </c>
      <c r="P54" s="47"/>
      <c r="Q54" s="47">
        <v>46.7</v>
      </c>
      <c r="R54" s="48">
        <f t="shared" si="11"/>
        <v>54.5</v>
      </c>
      <c r="S54" s="29">
        <v>2</v>
      </c>
      <c r="T54" s="286"/>
      <c r="U54" s="277">
        <v>41353</v>
      </c>
      <c r="V54" s="38" t="s">
        <v>95</v>
      </c>
      <c r="W54" s="29" t="s">
        <v>1031</v>
      </c>
      <c r="X54" s="29" t="s">
        <v>12</v>
      </c>
      <c r="Y54" s="39">
        <v>30</v>
      </c>
      <c r="Z54" s="38" t="s">
        <v>101</v>
      </c>
      <c r="AA54" s="29" t="s">
        <v>97</v>
      </c>
      <c r="AB54" s="29" t="s">
        <v>12</v>
      </c>
      <c r="AC54" s="39">
        <v>11.1</v>
      </c>
      <c r="AD54" s="38" t="s">
        <v>556</v>
      </c>
      <c r="AE54" s="29" t="s">
        <v>306</v>
      </c>
      <c r="AF54" s="29" t="s">
        <v>11</v>
      </c>
      <c r="AG54" s="39">
        <v>7.8</v>
      </c>
      <c r="AH54" s="38" t="s">
        <v>870</v>
      </c>
      <c r="AI54" s="29" t="s">
        <v>1493</v>
      </c>
      <c r="AJ54" s="29" t="s">
        <v>12</v>
      </c>
      <c r="AK54" s="29">
        <v>5.6</v>
      </c>
      <c r="AL54" s="38"/>
      <c r="AO54" s="39"/>
      <c r="AP54" s="38"/>
      <c r="AS54" s="39"/>
      <c r="AW54" s="39"/>
      <c r="BA54" s="40"/>
    </row>
    <row r="55" spans="1:53" s="29" customFormat="1" x14ac:dyDescent="0.15">
      <c r="A55" s="29">
        <v>2013</v>
      </c>
      <c r="B55" s="303">
        <v>41598</v>
      </c>
      <c r="C55" s="411" t="s">
        <v>1255</v>
      </c>
      <c r="D55" s="411"/>
      <c r="E55" s="29">
        <v>5</v>
      </c>
      <c r="F55" s="84">
        <v>0</v>
      </c>
      <c r="G55" s="66">
        <v>3</v>
      </c>
      <c r="I55" s="29">
        <v>10</v>
      </c>
      <c r="J55" s="73">
        <v>13</v>
      </c>
      <c r="K55" s="47">
        <f t="shared" si="8"/>
        <v>23.076923076923077</v>
      </c>
      <c r="L55" s="47">
        <f t="shared" si="9"/>
        <v>0</v>
      </c>
      <c r="M55" s="47">
        <f t="shared" si="10"/>
        <v>76.923076923076934</v>
      </c>
      <c r="N55" s="68">
        <f>K54+L54+M54</f>
        <v>100</v>
      </c>
      <c r="O55" s="46">
        <v>7.8</v>
      </c>
      <c r="P55" s="47"/>
      <c r="Q55" s="47">
        <v>46.7</v>
      </c>
      <c r="R55" s="48">
        <f t="shared" si="11"/>
        <v>54.5</v>
      </c>
      <c r="S55" s="29">
        <v>2</v>
      </c>
      <c r="T55" s="286"/>
      <c r="U55" s="277"/>
      <c r="V55" s="38" t="s">
        <v>95</v>
      </c>
      <c r="W55" s="29" t="s">
        <v>1031</v>
      </c>
      <c r="X55" s="29" t="s">
        <v>12</v>
      </c>
      <c r="Y55" s="39">
        <v>30</v>
      </c>
      <c r="Z55" s="38" t="s">
        <v>101</v>
      </c>
      <c r="AA55" s="29" t="s">
        <v>97</v>
      </c>
      <c r="AB55" s="29" t="s">
        <v>12</v>
      </c>
      <c r="AC55" s="39">
        <v>11.1</v>
      </c>
      <c r="AD55" s="38" t="s">
        <v>556</v>
      </c>
      <c r="AE55" s="29" t="s">
        <v>306</v>
      </c>
      <c r="AF55" s="29" t="s">
        <v>11</v>
      </c>
      <c r="AG55" s="39">
        <v>7.8</v>
      </c>
      <c r="AH55" s="38" t="s">
        <v>870</v>
      </c>
      <c r="AI55" s="29" t="s">
        <v>1493</v>
      </c>
      <c r="AJ55" s="29" t="s">
        <v>12</v>
      </c>
      <c r="AK55" s="29">
        <v>5.6</v>
      </c>
      <c r="AL55" s="38"/>
      <c r="AO55" s="39"/>
      <c r="AP55" s="38"/>
      <c r="AS55" s="39"/>
      <c r="AW55" s="39"/>
      <c r="BA55" s="40"/>
    </row>
    <row r="56" spans="1:53" s="29" customFormat="1" x14ac:dyDescent="0.15">
      <c r="A56" s="29">
        <v>2013</v>
      </c>
      <c r="B56" s="303">
        <v>41603</v>
      </c>
      <c r="C56" s="411" t="s">
        <v>1255</v>
      </c>
      <c r="D56" s="411"/>
      <c r="E56" s="29">
        <f>365-E55-E54-E53-E52</f>
        <v>37</v>
      </c>
      <c r="F56" s="84">
        <v>0</v>
      </c>
      <c r="G56" s="66">
        <v>3</v>
      </c>
      <c r="I56" s="29">
        <v>9</v>
      </c>
      <c r="J56" s="73">
        <v>12</v>
      </c>
      <c r="K56" s="47">
        <f t="shared" si="8"/>
        <v>25</v>
      </c>
      <c r="L56" s="47">
        <f t="shared" si="9"/>
        <v>0</v>
      </c>
      <c r="M56" s="47">
        <f t="shared" si="10"/>
        <v>75</v>
      </c>
      <c r="N56" s="68">
        <f>K55+L55+M55</f>
        <v>100.00000000000001</v>
      </c>
      <c r="O56" s="46">
        <v>7.8</v>
      </c>
      <c r="P56" s="47"/>
      <c r="Q56" s="47">
        <v>46.7</v>
      </c>
      <c r="R56" s="48">
        <f t="shared" si="11"/>
        <v>54.5</v>
      </c>
      <c r="S56" s="29">
        <v>2</v>
      </c>
      <c r="T56" s="286"/>
      <c r="U56" s="277"/>
      <c r="V56" s="38" t="s">
        <v>95</v>
      </c>
      <c r="W56" s="29" t="s">
        <v>1031</v>
      </c>
      <c r="X56" s="29" t="s">
        <v>12</v>
      </c>
      <c r="Y56" s="39">
        <v>30</v>
      </c>
      <c r="Z56" s="38" t="s">
        <v>101</v>
      </c>
      <c r="AA56" s="29" t="s">
        <v>97</v>
      </c>
      <c r="AB56" s="29" t="s">
        <v>12</v>
      </c>
      <c r="AC56" s="39">
        <v>11.1</v>
      </c>
      <c r="AD56" s="38" t="s">
        <v>556</v>
      </c>
      <c r="AE56" s="29" t="s">
        <v>306</v>
      </c>
      <c r="AF56" s="29" t="s">
        <v>11</v>
      </c>
      <c r="AG56" s="39">
        <v>7.8</v>
      </c>
      <c r="AH56" s="38" t="s">
        <v>870</v>
      </c>
      <c r="AI56" s="29" t="s">
        <v>1493</v>
      </c>
      <c r="AJ56" s="29" t="s">
        <v>12</v>
      </c>
      <c r="AK56" s="29">
        <v>5.6</v>
      </c>
      <c r="AL56" s="38"/>
      <c r="AO56" s="39"/>
      <c r="AP56" s="38"/>
      <c r="AS56" s="39"/>
      <c r="AW56" s="39"/>
      <c r="BA56" s="40"/>
    </row>
    <row r="57" spans="1:53" s="29" customFormat="1" x14ac:dyDescent="0.15">
      <c r="A57" s="29">
        <v>2014</v>
      </c>
      <c r="B57" s="303"/>
      <c r="C57" s="411" t="s">
        <v>1255</v>
      </c>
      <c r="D57" s="411"/>
      <c r="E57" s="29">
        <v>192</v>
      </c>
      <c r="F57" s="84"/>
      <c r="G57" s="66">
        <v>3</v>
      </c>
      <c r="I57" s="29">
        <v>9</v>
      </c>
      <c r="J57" s="73">
        <v>12</v>
      </c>
      <c r="K57" s="47">
        <f t="shared" si="8"/>
        <v>25</v>
      </c>
      <c r="L57" s="47">
        <f t="shared" si="9"/>
        <v>0</v>
      </c>
      <c r="M57" s="47">
        <f t="shared" si="10"/>
        <v>75</v>
      </c>
      <c r="N57" s="68">
        <f t="shared" ref="N57:N59" si="12">K56+L56+M56</f>
        <v>100</v>
      </c>
      <c r="O57" s="46">
        <v>7.8</v>
      </c>
      <c r="P57" s="47"/>
      <c r="Q57" s="47">
        <v>46.7</v>
      </c>
      <c r="R57" s="48">
        <f t="shared" si="11"/>
        <v>54.5</v>
      </c>
      <c r="S57" s="29">
        <v>2</v>
      </c>
      <c r="T57" s="286"/>
      <c r="U57" s="277"/>
      <c r="V57" s="38" t="s">
        <v>95</v>
      </c>
      <c r="W57" s="29" t="s">
        <v>1031</v>
      </c>
      <c r="X57" s="29" t="s">
        <v>12</v>
      </c>
      <c r="Y57" s="39">
        <v>30</v>
      </c>
      <c r="Z57" s="38" t="s">
        <v>101</v>
      </c>
      <c r="AA57" s="29" t="s">
        <v>97</v>
      </c>
      <c r="AB57" s="29" t="s">
        <v>12</v>
      </c>
      <c r="AC57" s="39">
        <v>11.1</v>
      </c>
      <c r="AD57" s="38" t="s">
        <v>556</v>
      </c>
      <c r="AE57" s="29" t="s">
        <v>306</v>
      </c>
      <c r="AF57" s="29" t="s">
        <v>11</v>
      </c>
      <c r="AG57" s="39">
        <v>7.8</v>
      </c>
      <c r="AH57" s="38" t="s">
        <v>870</v>
      </c>
      <c r="AI57" s="29" t="s">
        <v>1493</v>
      </c>
      <c r="AJ57" s="29" t="s">
        <v>12</v>
      </c>
      <c r="AK57" s="29">
        <v>5.6</v>
      </c>
      <c r="AL57" s="38"/>
      <c r="AO57" s="39"/>
      <c r="AP57" s="38"/>
      <c r="AS57" s="39"/>
      <c r="AW57" s="39"/>
      <c r="BA57" s="40"/>
    </row>
    <row r="58" spans="1:53" s="29" customFormat="1" x14ac:dyDescent="0.15">
      <c r="A58" s="29">
        <v>2014</v>
      </c>
      <c r="B58" s="303">
        <v>41832</v>
      </c>
      <c r="C58" s="411" t="s">
        <v>1255</v>
      </c>
      <c r="D58" s="411"/>
      <c r="E58" s="29">
        <v>68</v>
      </c>
      <c r="F58" s="84">
        <v>0</v>
      </c>
      <c r="G58" s="66">
        <v>7</v>
      </c>
      <c r="I58" s="29">
        <v>6</v>
      </c>
      <c r="J58" s="73">
        <v>13</v>
      </c>
      <c r="K58" s="47">
        <f t="shared" si="8"/>
        <v>53.846153846153847</v>
      </c>
      <c r="L58" s="47">
        <f t="shared" si="9"/>
        <v>0</v>
      </c>
      <c r="M58" s="47">
        <f t="shared" si="10"/>
        <v>46.153846153846153</v>
      </c>
      <c r="N58" s="68">
        <f t="shared" si="12"/>
        <v>100</v>
      </c>
      <c r="O58" s="46">
        <v>18.899999999999999</v>
      </c>
      <c r="P58" s="47"/>
      <c r="Q58" s="47">
        <v>32.299999999999997</v>
      </c>
      <c r="R58" s="48">
        <f t="shared" si="11"/>
        <v>51.199999999999996</v>
      </c>
      <c r="S58" s="29">
        <v>2</v>
      </c>
      <c r="T58" s="286"/>
      <c r="U58" s="277"/>
      <c r="V58" s="38" t="s">
        <v>1307</v>
      </c>
      <c r="W58" s="29" t="s">
        <v>892</v>
      </c>
      <c r="X58" s="29" t="s">
        <v>11</v>
      </c>
      <c r="Y58" s="39">
        <v>11.1</v>
      </c>
      <c r="Z58" s="38" t="s">
        <v>95</v>
      </c>
      <c r="AA58" s="29" t="s">
        <v>1031</v>
      </c>
      <c r="AB58" s="29" t="s">
        <v>12</v>
      </c>
      <c r="AC58" s="39">
        <v>15.5</v>
      </c>
      <c r="AD58" s="38" t="s">
        <v>101</v>
      </c>
      <c r="AE58" s="29" t="s">
        <v>97</v>
      </c>
      <c r="AF58" s="29" t="s">
        <v>12</v>
      </c>
      <c r="AG58" s="39">
        <v>11.1</v>
      </c>
      <c r="AH58" s="38" t="s">
        <v>556</v>
      </c>
      <c r="AI58" s="29" t="s">
        <v>22</v>
      </c>
      <c r="AJ58" s="29" t="s">
        <v>11</v>
      </c>
      <c r="AK58" s="29">
        <v>7.8</v>
      </c>
      <c r="AL58" s="38" t="s">
        <v>870</v>
      </c>
      <c r="AM58" s="29" t="s">
        <v>1493</v>
      </c>
      <c r="AN58" s="29" t="s">
        <v>12</v>
      </c>
      <c r="AO58" s="39">
        <v>5.6</v>
      </c>
      <c r="AP58" s="38"/>
      <c r="AS58" s="39"/>
      <c r="AW58" s="39"/>
      <c r="BA58" s="40"/>
    </row>
    <row r="59" spans="1:53" s="171" customFormat="1" x14ac:dyDescent="0.15">
      <c r="A59" s="171">
        <v>2014</v>
      </c>
      <c r="B59" s="283">
        <v>41900</v>
      </c>
      <c r="C59" s="410" t="s">
        <v>1308</v>
      </c>
      <c r="D59" s="410"/>
      <c r="E59" s="171">
        <v>105</v>
      </c>
      <c r="F59" s="171">
        <v>1</v>
      </c>
      <c r="G59" s="233">
        <v>10</v>
      </c>
      <c r="I59" s="171">
        <v>7</v>
      </c>
      <c r="J59" s="241">
        <v>17</v>
      </c>
      <c r="K59" s="214">
        <f t="shared" si="8"/>
        <v>58.82352941176471</v>
      </c>
      <c r="L59" s="214">
        <f t="shared" si="9"/>
        <v>0</v>
      </c>
      <c r="M59" s="214">
        <f t="shared" si="10"/>
        <v>41.17647058823529</v>
      </c>
      <c r="N59" s="235">
        <f t="shared" si="12"/>
        <v>100</v>
      </c>
      <c r="O59" s="213">
        <v>40</v>
      </c>
      <c r="P59" s="214"/>
      <c r="Q59" s="214">
        <v>17.8</v>
      </c>
      <c r="R59" s="215">
        <f t="shared" si="11"/>
        <v>57.8</v>
      </c>
      <c r="S59" s="171">
        <v>3</v>
      </c>
      <c r="T59" s="285">
        <v>41833</v>
      </c>
      <c r="U59" s="283">
        <v>41900</v>
      </c>
      <c r="V59" s="178" t="s">
        <v>1309</v>
      </c>
      <c r="W59" s="171" t="s">
        <v>893</v>
      </c>
      <c r="X59" s="171" t="s">
        <v>11</v>
      </c>
      <c r="Y59" s="179">
        <v>40</v>
      </c>
      <c r="Z59" s="171" t="s">
        <v>870</v>
      </c>
      <c r="AA59" s="171" t="s">
        <v>1493</v>
      </c>
      <c r="AB59" s="171" t="s">
        <v>12</v>
      </c>
      <c r="AC59" s="171">
        <v>11.1</v>
      </c>
      <c r="AD59" s="178" t="s">
        <v>101</v>
      </c>
      <c r="AE59" s="171" t="s">
        <v>97</v>
      </c>
      <c r="AF59" s="171" t="s">
        <v>12</v>
      </c>
      <c r="AG59" s="179">
        <v>6.7</v>
      </c>
      <c r="AH59" s="178"/>
      <c r="AL59" s="178"/>
      <c r="AO59" s="179"/>
      <c r="AP59" s="178"/>
      <c r="AS59" s="179"/>
      <c r="AW59" s="179"/>
      <c r="BA59" s="180"/>
    </row>
    <row r="60" spans="1:53" s="171" customFormat="1" x14ac:dyDescent="0.15">
      <c r="A60" s="171">
        <v>2015</v>
      </c>
      <c r="B60" s="283"/>
      <c r="C60" s="410" t="s">
        <v>1308</v>
      </c>
      <c r="D60" s="410"/>
      <c r="E60" s="171">
        <v>0</v>
      </c>
      <c r="G60" s="233">
        <v>10</v>
      </c>
      <c r="I60" s="171">
        <v>7</v>
      </c>
      <c r="J60" s="241">
        <v>17</v>
      </c>
      <c r="K60" s="214">
        <f t="shared" ref="K60:K63" si="13">G60/J60*100</f>
        <v>58.82352941176471</v>
      </c>
      <c r="L60" s="214">
        <f t="shared" ref="L60:L63" si="14">H60/J60*100</f>
        <v>0</v>
      </c>
      <c r="M60" s="214">
        <f t="shared" ref="M60:M63" si="15">I60/J60*100</f>
        <v>41.17647058823529</v>
      </c>
      <c r="N60" s="235">
        <f t="shared" ref="N60:N63" si="16">K59+L59+M59</f>
        <v>100</v>
      </c>
      <c r="O60" s="213">
        <v>40</v>
      </c>
      <c r="P60" s="214"/>
      <c r="Q60" s="214">
        <v>17.8</v>
      </c>
      <c r="R60" s="215">
        <f t="shared" ref="R60:R61" si="17">O60+P60+Q60</f>
        <v>57.8</v>
      </c>
      <c r="S60" s="171">
        <v>3</v>
      </c>
      <c r="T60" s="285"/>
      <c r="U60" s="283"/>
      <c r="V60" s="178" t="s">
        <v>1309</v>
      </c>
      <c r="W60" s="171" t="s">
        <v>893</v>
      </c>
      <c r="X60" s="171" t="s">
        <v>11</v>
      </c>
      <c r="Y60" s="179">
        <v>40</v>
      </c>
      <c r="Z60" s="171" t="s">
        <v>870</v>
      </c>
      <c r="AA60" s="171" t="s">
        <v>1493</v>
      </c>
      <c r="AB60" s="171" t="s">
        <v>12</v>
      </c>
      <c r="AC60" s="171">
        <v>11.1</v>
      </c>
      <c r="AD60" s="178" t="s">
        <v>101</v>
      </c>
      <c r="AE60" s="171" t="s">
        <v>97</v>
      </c>
      <c r="AF60" s="171" t="s">
        <v>12</v>
      </c>
      <c r="AG60" s="179">
        <v>6.7</v>
      </c>
      <c r="AH60" s="178"/>
      <c r="AL60" s="178"/>
      <c r="AO60" s="179"/>
      <c r="AP60" s="178"/>
      <c r="AS60" s="179"/>
      <c r="AW60" s="179"/>
      <c r="BA60" s="180"/>
    </row>
    <row r="61" spans="1:53" s="171" customFormat="1" x14ac:dyDescent="0.15">
      <c r="A61" s="171">
        <v>2015</v>
      </c>
      <c r="B61" s="283"/>
      <c r="C61" s="410" t="s">
        <v>1308</v>
      </c>
      <c r="D61" s="410"/>
      <c r="E61" s="171">
        <v>365</v>
      </c>
      <c r="G61" s="233">
        <v>10</v>
      </c>
      <c r="I61" s="171">
        <v>7</v>
      </c>
      <c r="J61" s="241">
        <v>17</v>
      </c>
      <c r="K61" s="214">
        <f t="shared" si="13"/>
        <v>58.82352941176471</v>
      </c>
      <c r="L61" s="214">
        <f t="shared" si="14"/>
        <v>0</v>
      </c>
      <c r="M61" s="214">
        <f t="shared" si="15"/>
        <v>41.17647058823529</v>
      </c>
      <c r="N61" s="235">
        <f t="shared" si="16"/>
        <v>100</v>
      </c>
      <c r="O61" s="213">
        <v>40</v>
      </c>
      <c r="P61" s="214"/>
      <c r="Q61" s="214">
        <v>17.8</v>
      </c>
      <c r="R61" s="215">
        <f t="shared" si="17"/>
        <v>57.8</v>
      </c>
      <c r="S61" s="171">
        <v>3</v>
      </c>
      <c r="T61" s="285"/>
      <c r="U61" s="283"/>
      <c r="V61" s="178" t="s">
        <v>1309</v>
      </c>
      <c r="W61" s="171" t="s">
        <v>893</v>
      </c>
      <c r="X61" s="171" t="s">
        <v>11</v>
      </c>
      <c r="Y61" s="179">
        <v>40</v>
      </c>
      <c r="Z61" s="171" t="s">
        <v>870</v>
      </c>
      <c r="AA61" s="171" t="s">
        <v>1493</v>
      </c>
      <c r="AB61" s="171" t="s">
        <v>12</v>
      </c>
      <c r="AC61" s="171">
        <v>11.1</v>
      </c>
      <c r="AD61" s="178" t="s">
        <v>101</v>
      </c>
      <c r="AE61" s="171" t="s">
        <v>97</v>
      </c>
      <c r="AF61" s="171" t="s">
        <v>12</v>
      </c>
      <c r="AG61" s="179">
        <v>6.7</v>
      </c>
      <c r="AH61" s="178"/>
      <c r="AL61" s="178"/>
      <c r="AO61" s="179"/>
      <c r="AP61" s="178"/>
      <c r="AS61" s="179"/>
      <c r="AW61" s="179"/>
      <c r="BA61" s="180"/>
    </row>
    <row r="62" spans="1:53" s="171" customFormat="1" x14ac:dyDescent="0.15">
      <c r="A62" s="171">
        <v>2016</v>
      </c>
      <c r="B62" s="283"/>
      <c r="C62" s="410" t="s">
        <v>1308</v>
      </c>
      <c r="D62" s="410"/>
      <c r="E62" s="171">
        <v>0</v>
      </c>
      <c r="G62" s="233">
        <v>10</v>
      </c>
      <c r="I62" s="171">
        <v>7</v>
      </c>
      <c r="J62" s="241">
        <v>17</v>
      </c>
      <c r="K62" s="214">
        <f t="shared" si="13"/>
        <v>58.82352941176471</v>
      </c>
      <c r="L62" s="214">
        <f t="shared" si="14"/>
        <v>0</v>
      </c>
      <c r="M62" s="214">
        <f t="shared" si="15"/>
        <v>41.17647058823529</v>
      </c>
      <c r="N62" s="235">
        <f t="shared" si="16"/>
        <v>100</v>
      </c>
      <c r="O62" s="213">
        <v>40</v>
      </c>
      <c r="P62" s="214"/>
      <c r="Q62" s="214">
        <v>17.8</v>
      </c>
      <c r="R62" s="215">
        <f t="shared" ref="R62:R63" si="18">O62+P62+Q62</f>
        <v>57.8</v>
      </c>
      <c r="S62" s="171">
        <v>3</v>
      </c>
      <c r="T62" s="285"/>
      <c r="U62" s="283"/>
      <c r="V62" s="178" t="s">
        <v>1309</v>
      </c>
      <c r="W62" s="171" t="s">
        <v>893</v>
      </c>
      <c r="X62" s="171" t="s">
        <v>11</v>
      </c>
      <c r="Y62" s="179">
        <v>40</v>
      </c>
      <c r="Z62" s="171" t="s">
        <v>870</v>
      </c>
      <c r="AA62" s="171" t="s">
        <v>1493</v>
      </c>
      <c r="AB62" s="171" t="s">
        <v>12</v>
      </c>
      <c r="AC62" s="171">
        <v>11.1</v>
      </c>
      <c r="AD62" s="178" t="s">
        <v>101</v>
      </c>
      <c r="AE62" s="171" t="s">
        <v>97</v>
      </c>
      <c r="AF62" s="171" t="s">
        <v>12</v>
      </c>
      <c r="AG62" s="179">
        <v>6.7</v>
      </c>
      <c r="AH62" s="178"/>
      <c r="AL62" s="178"/>
      <c r="AO62" s="179"/>
      <c r="AP62" s="178"/>
      <c r="AS62" s="179"/>
      <c r="AW62" s="179"/>
      <c r="BA62" s="180"/>
    </row>
    <row r="63" spans="1:53" s="171" customFormat="1" x14ac:dyDescent="0.15">
      <c r="A63" s="171">
        <v>2016</v>
      </c>
      <c r="B63" s="283"/>
      <c r="C63" s="410" t="s">
        <v>1308</v>
      </c>
      <c r="D63" s="410"/>
      <c r="E63" s="171">
        <v>366</v>
      </c>
      <c r="G63" s="233">
        <v>10</v>
      </c>
      <c r="I63" s="171">
        <v>7</v>
      </c>
      <c r="J63" s="241">
        <v>17</v>
      </c>
      <c r="K63" s="214">
        <f t="shared" si="13"/>
        <v>58.82352941176471</v>
      </c>
      <c r="L63" s="214">
        <f t="shared" si="14"/>
        <v>0</v>
      </c>
      <c r="M63" s="214">
        <f t="shared" si="15"/>
        <v>41.17647058823529</v>
      </c>
      <c r="N63" s="235">
        <f t="shared" si="16"/>
        <v>100</v>
      </c>
      <c r="O63" s="213">
        <v>40</v>
      </c>
      <c r="P63" s="214"/>
      <c r="Q63" s="214">
        <v>17.8</v>
      </c>
      <c r="R63" s="215">
        <f t="shared" si="18"/>
        <v>57.8</v>
      </c>
      <c r="S63" s="171">
        <v>3</v>
      </c>
      <c r="T63" s="285"/>
      <c r="U63" s="283"/>
      <c r="V63" s="178" t="s">
        <v>1309</v>
      </c>
      <c r="W63" s="171" t="s">
        <v>893</v>
      </c>
      <c r="X63" s="171" t="s">
        <v>11</v>
      </c>
      <c r="Y63" s="179">
        <v>40</v>
      </c>
      <c r="Z63" s="171" t="s">
        <v>870</v>
      </c>
      <c r="AA63" s="171" t="s">
        <v>1493</v>
      </c>
      <c r="AB63" s="171" t="s">
        <v>12</v>
      </c>
      <c r="AC63" s="171">
        <v>11.1</v>
      </c>
      <c r="AD63" s="178" t="s">
        <v>101</v>
      </c>
      <c r="AE63" s="171" t="s">
        <v>97</v>
      </c>
      <c r="AF63" s="171" t="s">
        <v>12</v>
      </c>
      <c r="AG63" s="179">
        <v>6.7</v>
      </c>
      <c r="AH63" s="178"/>
      <c r="AL63" s="178"/>
      <c r="AO63" s="179"/>
      <c r="AP63" s="178"/>
      <c r="AS63" s="179"/>
      <c r="AW63" s="179"/>
      <c r="BA63" s="180"/>
    </row>
    <row r="64" spans="1:53" s="171" customFormat="1" x14ac:dyDescent="0.15">
      <c r="A64" s="171">
        <v>2017</v>
      </c>
      <c r="B64" s="283"/>
      <c r="C64" s="410" t="s">
        <v>1308</v>
      </c>
      <c r="D64" s="410"/>
      <c r="E64" s="171">
        <v>0</v>
      </c>
      <c r="G64" s="233">
        <v>10</v>
      </c>
      <c r="I64" s="171">
        <v>7</v>
      </c>
      <c r="J64" s="241">
        <v>17</v>
      </c>
      <c r="K64" s="214">
        <f t="shared" ref="K64:K65" si="19">G64/J64*100</f>
        <v>58.82352941176471</v>
      </c>
      <c r="L64" s="214">
        <f t="shared" ref="L64:L65" si="20">H64/J64*100</f>
        <v>0</v>
      </c>
      <c r="M64" s="214">
        <f t="shared" ref="M64:M65" si="21">I64/J64*100</f>
        <v>41.17647058823529</v>
      </c>
      <c r="N64" s="235">
        <f t="shared" ref="N64:N65" si="22">K63+L63+M63</f>
        <v>100</v>
      </c>
      <c r="O64" s="213">
        <v>40</v>
      </c>
      <c r="P64" s="214"/>
      <c r="Q64" s="214">
        <v>17.8</v>
      </c>
      <c r="R64" s="215">
        <f t="shared" ref="R64:R65" si="23">O64+P64+Q64</f>
        <v>57.8</v>
      </c>
      <c r="S64" s="171">
        <v>3</v>
      </c>
      <c r="T64" s="285"/>
      <c r="U64" s="283"/>
      <c r="V64" s="178" t="s">
        <v>1309</v>
      </c>
      <c r="W64" s="171" t="s">
        <v>893</v>
      </c>
      <c r="X64" s="171" t="s">
        <v>11</v>
      </c>
      <c r="Y64" s="179">
        <v>40</v>
      </c>
      <c r="Z64" s="171" t="s">
        <v>870</v>
      </c>
      <c r="AA64" s="171" t="s">
        <v>1493</v>
      </c>
      <c r="AB64" s="171" t="s">
        <v>12</v>
      </c>
      <c r="AC64" s="171">
        <v>11.1</v>
      </c>
      <c r="AD64" s="178" t="s">
        <v>101</v>
      </c>
      <c r="AE64" s="171" t="s">
        <v>97</v>
      </c>
      <c r="AF64" s="171" t="s">
        <v>12</v>
      </c>
      <c r="AG64" s="179">
        <v>6.7</v>
      </c>
      <c r="AH64" s="178"/>
      <c r="AL64" s="178"/>
      <c r="AO64" s="179"/>
      <c r="AP64" s="178"/>
      <c r="AS64" s="179"/>
      <c r="AW64" s="179"/>
      <c r="BA64" s="180"/>
    </row>
    <row r="65" spans="1:53" s="171" customFormat="1" x14ac:dyDescent="0.15">
      <c r="A65" s="171">
        <v>2017</v>
      </c>
      <c r="B65" s="283"/>
      <c r="C65" s="410" t="s">
        <v>1308</v>
      </c>
      <c r="D65" s="410"/>
      <c r="E65" s="171">
        <v>365</v>
      </c>
      <c r="G65" s="233">
        <v>10</v>
      </c>
      <c r="I65" s="171">
        <v>7</v>
      </c>
      <c r="J65" s="241">
        <v>17</v>
      </c>
      <c r="K65" s="214">
        <f t="shared" si="19"/>
        <v>58.82352941176471</v>
      </c>
      <c r="L65" s="214">
        <f t="shared" si="20"/>
        <v>0</v>
      </c>
      <c r="M65" s="214">
        <f t="shared" si="21"/>
        <v>41.17647058823529</v>
      </c>
      <c r="N65" s="235">
        <f t="shared" si="22"/>
        <v>100</v>
      </c>
      <c r="O65" s="213">
        <v>40</v>
      </c>
      <c r="P65" s="214"/>
      <c r="Q65" s="214">
        <v>17.8</v>
      </c>
      <c r="R65" s="215">
        <f t="shared" si="23"/>
        <v>57.8</v>
      </c>
      <c r="S65" s="171">
        <v>3</v>
      </c>
      <c r="T65" s="285"/>
      <c r="U65" s="283"/>
      <c r="V65" s="178" t="s">
        <v>1309</v>
      </c>
      <c r="W65" s="171" t="s">
        <v>893</v>
      </c>
      <c r="X65" s="171" t="s">
        <v>11</v>
      </c>
      <c r="Y65" s="179">
        <v>40</v>
      </c>
      <c r="Z65" s="171" t="s">
        <v>870</v>
      </c>
      <c r="AA65" s="171" t="s">
        <v>1493</v>
      </c>
      <c r="AB65" s="171" t="s">
        <v>12</v>
      </c>
      <c r="AC65" s="171">
        <v>11.1</v>
      </c>
      <c r="AD65" s="178" t="s">
        <v>101</v>
      </c>
      <c r="AE65" s="171" t="s">
        <v>97</v>
      </c>
      <c r="AF65" s="171" t="s">
        <v>12</v>
      </c>
      <c r="AG65" s="179">
        <v>6.7</v>
      </c>
      <c r="AH65" s="178"/>
      <c r="AL65" s="178"/>
      <c r="AO65" s="179"/>
      <c r="AP65" s="178"/>
      <c r="AS65" s="179"/>
      <c r="AW65" s="179"/>
      <c r="BA65" s="180"/>
    </row>
    <row r="66" spans="1:53" s="171" customFormat="1" x14ac:dyDescent="0.15">
      <c r="A66" s="171">
        <v>2018</v>
      </c>
      <c r="B66" s="283"/>
      <c r="C66" s="410" t="s">
        <v>1308</v>
      </c>
      <c r="D66" s="410"/>
      <c r="E66" s="171">
        <v>255</v>
      </c>
      <c r="G66" s="233">
        <v>10</v>
      </c>
      <c r="I66" s="171">
        <v>7</v>
      </c>
      <c r="J66" s="241">
        <v>17</v>
      </c>
      <c r="K66" s="214">
        <f t="shared" ref="K66" si="24">G66/J66*100</f>
        <v>58.82352941176471</v>
      </c>
      <c r="L66" s="214">
        <f t="shared" ref="L66" si="25">H66/J66*100</f>
        <v>0</v>
      </c>
      <c r="M66" s="214">
        <f t="shared" ref="M66" si="26">I66/J66*100</f>
        <v>41.17647058823529</v>
      </c>
      <c r="N66" s="235">
        <f t="shared" ref="N66" si="27">K65+L65+M65</f>
        <v>100</v>
      </c>
      <c r="O66" s="213">
        <v>40</v>
      </c>
      <c r="P66" s="214"/>
      <c r="Q66" s="214">
        <v>17.8</v>
      </c>
      <c r="R66" s="215">
        <f t="shared" ref="R66:R67" si="28">O66+P66+Q66</f>
        <v>57.8</v>
      </c>
      <c r="S66" s="171">
        <v>3</v>
      </c>
      <c r="T66" s="285"/>
      <c r="U66" s="283"/>
      <c r="V66" s="178" t="s">
        <v>1309</v>
      </c>
      <c r="W66" s="171" t="s">
        <v>893</v>
      </c>
      <c r="X66" s="171" t="s">
        <v>11</v>
      </c>
      <c r="Y66" s="179">
        <v>40</v>
      </c>
      <c r="Z66" s="171" t="s">
        <v>870</v>
      </c>
      <c r="AA66" s="171" t="s">
        <v>1493</v>
      </c>
      <c r="AB66" s="171" t="s">
        <v>12</v>
      </c>
      <c r="AC66" s="171">
        <v>11.1</v>
      </c>
      <c r="AD66" s="178" t="s">
        <v>101</v>
      </c>
      <c r="AE66" s="171" t="s">
        <v>97</v>
      </c>
      <c r="AF66" s="171" t="s">
        <v>12</v>
      </c>
      <c r="AG66" s="179">
        <v>6.7</v>
      </c>
      <c r="AH66" s="178"/>
      <c r="AL66" s="178"/>
      <c r="AO66" s="179"/>
      <c r="AP66" s="178"/>
      <c r="AS66" s="179"/>
      <c r="AW66" s="179"/>
      <c r="BA66" s="180"/>
    </row>
    <row r="67" spans="1:53" s="29" customFormat="1" x14ac:dyDescent="0.15">
      <c r="A67" s="29">
        <v>2018</v>
      </c>
      <c r="B67" s="277">
        <v>43356</v>
      </c>
      <c r="C67" s="411" t="s">
        <v>1402</v>
      </c>
      <c r="D67" s="411"/>
      <c r="E67" s="29">
        <v>110</v>
      </c>
      <c r="F67" s="29">
        <v>1</v>
      </c>
      <c r="G67" s="66">
        <v>7</v>
      </c>
      <c r="H67" s="29">
        <v>5</v>
      </c>
      <c r="I67" s="29">
        <v>5</v>
      </c>
      <c r="J67" s="73">
        <v>17</v>
      </c>
      <c r="K67" s="47">
        <f>G67/J67*100</f>
        <v>41.17647058823529</v>
      </c>
      <c r="L67" s="47">
        <f>H67/J67*100</f>
        <v>29.411764705882355</v>
      </c>
      <c r="M67" s="47">
        <f>I67/J67*100</f>
        <v>29.411764705882355</v>
      </c>
      <c r="N67" s="68">
        <f>K66+L66+M66</f>
        <v>100</v>
      </c>
      <c r="O67" s="46">
        <v>16.7</v>
      </c>
      <c r="P67" s="47">
        <v>14.4</v>
      </c>
      <c r="Q67" s="47">
        <v>16.7</v>
      </c>
      <c r="R67" s="48">
        <f t="shared" si="28"/>
        <v>47.8</v>
      </c>
      <c r="S67" s="29">
        <v>5</v>
      </c>
      <c r="T67" s="286">
        <v>43254</v>
      </c>
      <c r="U67" s="277">
        <v>43356</v>
      </c>
      <c r="V67" s="38" t="s">
        <v>1403</v>
      </c>
      <c r="W67" s="29" t="s">
        <v>899</v>
      </c>
      <c r="X67" s="29" t="s">
        <v>18</v>
      </c>
      <c r="Y67" s="39">
        <v>14.2</v>
      </c>
      <c r="Z67" s="38" t="s">
        <v>101</v>
      </c>
      <c r="AA67" s="29" t="s">
        <v>97</v>
      </c>
      <c r="AB67" s="29" t="s">
        <v>12</v>
      </c>
      <c r="AC67" s="39">
        <v>11.1</v>
      </c>
      <c r="AD67" s="38" t="s">
        <v>1309</v>
      </c>
      <c r="AE67" s="29" t="s">
        <v>893</v>
      </c>
      <c r="AF67" s="29" t="s">
        <v>11</v>
      </c>
      <c r="AG67" s="39">
        <v>11.1</v>
      </c>
      <c r="AH67" s="38" t="s">
        <v>1307</v>
      </c>
      <c r="AI67" s="29" t="s">
        <v>892</v>
      </c>
      <c r="AJ67" s="29" t="s">
        <v>11</v>
      </c>
      <c r="AK67" s="29">
        <v>5.6</v>
      </c>
      <c r="AL67" s="38" t="s">
        <v>870</v>
      </c>
      <c r="AM67" s="29" t="s">
        <v>1493</v>
      </c>
      <c r="AN67" s="29" t="s">
        <v>12</v>
      </c>
      <c r="AO67" s="29">
        <v>5.6</v>
      </c>
      <c r="AP67" s="38"/>
      <c r="AS67" s="39"/>
      <c r="AW67" s="39"/>
      <c r="BA67" s="40"/>
    </row>
    <row r="68" spans="1:53" s="29" customFormat="1" x14ac:dyDescent="0.15">
      <c r="A68" s="29">
        <v>2019</v>
      </c>
      <c r="B68" s="277"/>
      <c r="C68" s="411" t="s">
        <v>1402</v>
      </c>
      <c r="D68" s="411"/>
      <c r="E68" s="29">
        <v>0</v>
      </c>
      <c r="G68" s="66">
        <v>7</v>
      </c>
      <c r="H68" s="29">
        <v>5</v>
      </c>
      <c r="I68" s="29">
        <v>5</v>
      </c>
      <c r="J68" s="73">
        <v>17</v>
      </c>
      <c r="K68" s="47">
        <f t="shared" ref="K68:K71" si="29">G68/J68*100</f>
        <v>41.17647058823529</v>
      </c>
      <c r="L68" s="47">
        <f t="shared" ref="L68:L71" si="30">H68/J68*100</f>
        <v>29.411764705882355</v>
      </c>
      <c r="M68" s="47">
        <f t="shared" ref="M68:M71" si="31">I68/J68*100</f>
        <v>29.411764705882355</v>
      </c>
      <c r="N68" s="68">
        <f t="shared" ref="N68:N70" si="32">K67+L67+M67</f>
        <v>100</v>
      </c>
      <c r="O68" s="46">
        <v>16.7</v>
      </c>
      <c r="P68" s="47">
        <v>14.4</v>
      </c>
      <c r="Q68" s="47">
        <v>16.7</v>
      </c>
      <c r="R68" s="48">
        <f t="shared" ref="R68:R71" si="33">O68+P68+Q68</f>
        <v>47.8</v>
      </c>
      <c r="S68" s="29">
        <v>5</v>
      </c>
      <c r="T68" s="286"/>
      <c r="U68" s="277"/>
      <c r="V68" s="38" t="s">
        <v>1403</v>
      </c>
      <c r="W68" s="29" t="s">
        <v>899</v>
      </c>
      <c r="X68" s="29" t="s">
        <v>18</v>
      </c>
      <c r="Y68" s="39">
        <v>14.2</v>
      </c>
      <c r="Z68" s="38" t="s">
        <v>101</v>
      </c>
      <c r="AA68" s="29" t="s">
        <v>97</v>
      </c>
      <c r="AB68" s="29" t="s">
        <v>12</v>
      </c>
      <c r="AC68" s="39">
        <v>11.1</v>
      </c>
      <c r="AD68" s="38" t="s">
        <v>1309</v>
      </c>
      <c r="AE68" s="29" t="s">
        <v>893</v>
      </c>
      <c r="AF68" s="29" t="s">
        <v>11</v>
      </c>
      <c r="AG68" s="39">
        <v>11.1</v>
      </c>
      <c r="AH68" s="38" t="s">
        <v>1307</v>
      </c>
      <c r="AI68" s="29" t="s">
        <v>892</v>
      </c>
      <c r="AJ68" s="29" t="s">
        <v>11</v>
      </c>
      <c r="AK68" s="29">
        <v>5.6</v>
      </c>
      <c r="AL68" s="38" t="s">
        <v>870</v>
      </c>
      <c r="AM68" s="29" t="s">
        <v>1493</v>
      </c>
      <c r="AN68" s="29" t="s">
        <v>12</v>
      </c>
      <c r="AO68" s="29">
        <v>5.6</v>
      </c>
      <c r="AP68" s="38"/>
      <c r="AS68" s="39"/>
      <c r="AW68" s="39"/>
      <c r="BA68" s="40"/>
    </row>
    <row r="69" spans="1:53" s="29" customFormat="1" x14ac:dyDescent="0.15">
      <c r="A69" s="29">
        <v>2019</v>
      </c>
      <c r="B69" s="277"/>
      <c r="C69" s="411" t="s">
        <v>1402</v>
      </c>
      <c r="D69" s="411"/>
      <c r="E69" s="29">
        <v>365</v>
      </c>
      <c r="G69" s="66">
        <v>7</v>
      </c>
      <c r="H69" s="29">
        <v>5</v>
      </c>
      <c r="I69" s="29">
        <v>5</v>
      </c>
      <c r="J69" s="73">
        <v>17</v>
      </c>
      <c r="K69" s="47">
        <f t="shared" si="29"/>
        <v>41.17647058823529</v>
      </c>
      <c r="L69" s="47">
        <f t="shared" si="30"/>
        <v>29.411764705882355</v>
      </c>
      <c r="M69" s="47">
        <f t="shared" si="31"/>
        <v>29.411764705882355</v>
      </c>
      <c r="N69" s="48">
        <f t="shared" si="32"/>
        <v>100</v>
      </c>
      <c r="O69" s="47">
        <v>16.7</v>
      </c>
      <c r="P69" s="47">
        <v>14.4</v>
      </c>
      <c r="Q69" s="47">
        <v>16.7</v>
      </c>
      <c r="R69" s="48">
        <f t="shared" si="33"/>
        <v>47.8</v>
      </c>
      <c r="S69" s="40">
        <v>5</v>
      </c>
      <c r="T69" s="321"/>
      <c r="U69" s="344"/>
      <c r="V69" s="29" t="s">
        <v>1403</v>
      </c>
      <c r="W69" s="29" t="s">
        <v>899</v>
      </c>
      <c r="X69" s="29" t="s">
        <v>18</v>
      </c>
      <c r="Y69" s="39">
        <v>14.2</v>
      </c>
      <c r="Z69" s="38" t="s">
        <v>101</v>
      </c>
      <c r="AA69" s="29" t="s">
        <v>97</v>
      </c>
      <c r="AB69" s="29" t="s">
        <v>12</v>
      </c>
      <c r="AC69" s="39">
        <v>11.1</v>
      </c>
      <c r="AD69" s="38" t="s">
        <v>1309</v>
      </c>
      <c r="AE69" s="29" t="s">
        <v>893</v>
      </c>
      <c r="AF69" s="29" t="s">
        <v>11</v>
      </c>
      <c r="AG69" s="39">
        <v>11.1</v>
      </c>
      <c r="AH69" s="38" t="s">
        <v>1307</v>
      </c>
      <c r="AI69" s="29" t="s">
        <v>892</v>
      </c>
      <c r="AJ69" s="29" t="s">
        <v>11</v>
      </c>
      <c r="AK69" s="29">
        <v>5.6</v>
      </c>
      <c r="AL69" s="38" t="s">
        <v>870</v>
      </c>
      <c r="AM69" s="29" t="s">
        <v>1493</v>
      </c>
      <c r="AN69" s="29" t="s">
        <v>12</v>
      </c>
      <c r="AO69" s="39">
        <v>5.6</v>
      </c>
      <c r="AS69" s="39"/>
      <c r="AW69" s="39"/>
      <c r="BA69" s="40"/>
    </row>
    <row r="70" spans="1:53" s="29" customFormat="1" x14ac:dyDescent="0.15">
      <c r="A70" s="29">
        <v>2020</v>
      </c>
      <c r="B70" s="277"/>
      <c r="C70" s="411" t="s">
        <v>1402</v>
      </c>
      <c r="D70" s="411"/>
      <c r="E70" s="29">
        <v>72</v>
      </c>
      <c r="F70" s="40"/>
      <c r="G70" s="29">
        <v>7</v>
      </c>
      <c r="H70" s="29">
        <v>5</v>
      </c>
      <c r="I70" s="29">
        <v>5</v>
      </c>
      <c r="J70" s="73">
        <v>17</v>
      </c>
      <c r="K70" s="47">
        <f t="shared" si="29"/>
        <v>41.17647058823529</v>
      </c>
      <c r="L70" s="47">
        <f t="shared" si="30"/>
        <v>29.411764705882355</v>
      </c>
      <c r="M70" s="47">
        <f t="shared" si="31"/>
        <v>29.411764705882355</v>
      </c>
      <c r="N70" s="48">
        <f t="shared" si="32"/>
        <v>100</v>
      </c>
      <c r="O70" s="47">
        <v>16.7</v>
      </c>
      <c r="P70" s="47">
        <v>14.4</v>
      </c>
      <c r="Q70" s="47">
        <v>16.7</v>
      </c>
      <c r="R70" s="48">
        <f t="shared" si="33"/>
        <v>47.8</v>
      </c>
      <c r="S70" s="40">
        <v>5</v>
      </c>
      <c r="T70" s="321"/>
      <c r="U70" s="344"/>
      <c r="V70" s="29" t="s">
        <v>1403</v>
      </c>
      <c r="W70" s="29" t="s">
        <v>899</v>
      </c>
      <c r="X70" s="29" t="s">
        <v>18</v>
      </c>
      <c r="Y70" s="39">
        <v>14.2</v>
      </c>
      <c r="Z70" s="29" t="s">
        <v>101</v>
      </c>
      <c r="AA70" s="29" t="s">
        <v>97</v>
      </c>
      <c r="AB70" s="29" t="s">
        <v>12</v>
      </c>
      <c r="AC70" s="39">
        <v>11.1</v>
      </c>
      <c r="AD70" s="29" t="s">
        <v>1309</v>
      </c>
      <c r="AE70" s="29" t="s">
        <v>893</v>
      </c>
      <c r="AF70" s="29" t="s">
        <v>11</v>
      </c>
      <c r="AG70" s="39">
        <v>11.1</v>
      </c>
      <c r="AH70" s="29" t="s">
        <v>1307</v>
      </c>
      <c r="AI70" s="29" t="s">
        <v>892</v>
      </c>
      <c r="AJ70" s="29" t="s">
        <v>11</v>
      </c>
      <c r="AK70" s="39">
        <v>5.6</v>
      </c>
      <c r="AL70" s="29" t="s">
        <v>870</v>
      </c>
      <c r="AM70" s="29" t="s">
        <v>1493</v>
      </c>
      <c r="AN70" s="29" t="s">
        <v>12</v>
      </c>
      <c r="AO70" s="39">
        <v>5.6</v>
      </c>
      <c r="AS70" s="39"/>
      <c r="AW70" s="39"/>
      <c r="BA70" s="40"/>
    </row>
    <row r="71" spans="1:53" s="171" customFormat="1" x14ac:dyDescent="0.15">
      <c r="A71" s="171">
        <v>2020</v>
      </c>
      <c r="B71" s="306">
        <v>43903</v>
      </c>
      <c r="C71" s="410" t="s">
        <v>1481</v>
      </c>
      <c r="D71" s="410"/>
      <c r="E71" s="171">
        <v>294</v>
      </c>
      <c r="F71" s="180">
        <v>4</v>
      </c>
      <c r="G71" s="171">
        <v>4</v>
      </c>
      <c r="H71" s="171">
        <v>3</v>
      </c>
      <c r="I71" s="171">
        <v>10</v>
      </c>
      <c r="J71" s="241">
        <v>17</v>
      </c>
      <c r="K71" s="214">
        <f t="shared" si="29"/>
        <v>23.52941176470588</v>
      </c>
      <c r="L71" s="214">
        <f t="shared" si="30"/>
        <v>17.647058823529413</v>
      </c>
      <c r="M71" s="214">
        <f t="shared" si="31"/>
        <v>58.82352941176471</v>
      </c>
      <c r="N71" s="215">
        <f>K70+L70+M70</f>
        <v>100</v>
      </c>
      <c r="O71" s="214">
        <v>11.1</v>
      </c>
      <c r="P71" s="214">
        <v>7.8</v>
      </c>
      <c r="Q71" s="214">
        <v>34.5</v>
      </c>
      <c r="R71" s="215">
        <f t="shared" si="33"/>
        <v>53.4</v>
      </c>
      <c r="S71" s="180">
        <v>2</v>
      </c>
      <c r="T71" s="351"/>
      <c r="U71" s="352">
        <v>43903</v>
      </c>
      <c r="V71" s="171" t="s">
        <v>101</v>
      </c>
      <c r="W71" s="171" t="s">
        <v>97</v>
      </c>
      <c r="X71" s="171" t="s">
        <v>12</v>
      </c>
      <c r="Y71" s="179">
        <v>28.9</v>
      </c>
      <c r="Z71" s="171" t="s">
        <v>1309</v>
      </c>
      <c r="AA71" s="171" t="s">
        <v>893</v>
      </c>
      <c r="AB71" s="171" t="s">
        <v>11</v>
      </c>
      <c r="AC71" s="179">
        <v>11.1</v>
      </c>
      <c r="AD71" s="171" t="s">
        <v>1482</v>
      </c>
      <c r="AE71" s="171" t="s">
        <v>81</v>
      </c>
      <c r="AF71" s="171" t="s">
        <v>18</v>
      </c>
      <c r="AG71" s="179">
        <v>7.8</v>
      </c>
      <c r="AH71" s="171" t="s">
        <v>870</v>
      </c>
      <c r="AI71" s="171" t="s">
        <v>1493</v>
      </c>
      <c r="AJ71" s="171" t="s">
        <v>12</v>
      </c>
      <c r="AK71" s="179">
        <v>5.6</v>
      </c>
      <c r="AO71" s="179"/>
      <c r="AS71" s="179"/>
      <c r="AW71" s="179"/>
      <c r="BA71" s="180"/>
    </row>
    <row r="72" spans="1:53" x14ac:dyDescent="0.15">
      <c r="B72" s="339"/>
      <c r="J72" s="26"/>
      <c r="K72" s="12"/>
      <c r="L72" s="12"/>
      <c r="M72" s="12"/>
      <c r="N72" s="20"/>
      <c r="O72" s="12"/>
      <c r="P72" s="12"/>
      <c r="Q72" s="12"/>
      <c r="R72" s="20"/>
      <c r="T72" s="340"/>
      <c r="U72" s="339"/>
      <c r="AW72" s="17"/>
    </row>
    <row r="75" spans="1:53" ht="18" customHeight="1" x14ac:dyDescent="0.15">
      <c r="B75" s="16" t="s">
        <v>1264</v>
      </c>
    </row>
    <row r="76" spans="1:53" ht="9" customHeight="1" x14ac:dyDescent="0.15"/>
    <row r="77" spans="1:53" s="195" customFormat="1" ht="9" customHeight="1" x14ac:dyDescent="0.15">
      <c r="A77" s="193"/>
      <c r="B77" s="194" t="s">
        <v>1215</v>
      </c>
      <c r="C77" s="194"/>
      <c r="D77" s="194"/>
      <c r="E77" s="194"/>
      <c r="F77" s="194"/>
      <c r="G77" s="194" t="s">
        <v>1216</v>
      </c>
      <c r="H77" s="194"/>
      <c r="I77" s="194"/>
      <c r="J77" s="194"/>
      <c r="K77" s="194"/>
      <c r="L77" s="194"/>
      <c r="M77" s="194"/>
      <c r="N77" s="194"/>
      <c r="R77" s="388" t="s">
        <v>1217</v>
      </c>
      <c r="S77" s="388"/>
      <c r="T77" s="388"/>
      <c r="U77" s="388"/>
      <c r="V77" s="388"/>
      <c r="W77" s="388"/>
      <c r="X77" s="196"/>
      <c r="Y77" s="196"/>
      <c r="AA77" s="196"/>
      <c r="AB77" s="196"/>
      <c r="AC77" s="196"/>
      <c r="AD77" s="196"/>
    </row>
    <row r="78" spans="1:53" s="200" customFormat="1" ht="9" customHeight="1" x14ac:dyDescent="0.15">
      <c r="A78" s="197"/>
      <c r="B78" s="198" t="s">
        <v>1219</v>
      </c>
      <c r="C78" s="199"/>
      <c r="D78" s="199"/>
      <c r="E78" s="199"/>
      <c r="F78" s="199"/>
      <c r="G78" s="198" t="s">
        <v>1218</v>
      </c>
      <c r="H78" s="199"/>
      <c r="I78" s="199"/>
      <c r="J78" s="199"/>
      <c r="K78" s="199"/>
      <c r="L78" s="199"/>
      <c r="M78" s="199"/>
      <c r="N78" s="199"/>
      <c r="R78" s="201" t="s">
        <v>1220</v>
      </c>
      <c r="S78" s="202"/>
      <c r="T78" s="203"/>
      <c r="U78" s="203"/>
      <c r="V78" s="203"/>
      <c r="W78" s="201" t="s">
        <v>1221</v>
      </c>
      <c r="X78" s="203"/>
      <c r="Y78" s="203"/>
      <c r="AA78" s="203"/>
      <c r="AB78" s="203"/>
      <c r="AC78" s="203"/>
      <c r="AD78" s="203"/>
    </row>
    <row r="79" spans="1:53" s="186" customFormat="1" ht="12" customHeight="1" x14ac:dyDescent="0.15">
      <c r="A79" s="204" t="s">
        <v>3</v>
      </c>
      <c r="B79" s="205" t="s">
        <v>8</v>
      </c>
      <c r="C79" s="205" t="s">
        <v>9</v>
      </c>
      <c r="D79" s="205" t="s">
        <v>10</v>
      </c>
      <c r="E79" s="206" t="s">
        <v>1195</v>
      </c>
      <c r="F79" s="205"/>
      <c r="G79" s="186" t="s">
        <v>3</v>
      </c>
      <c r="H79" s="389" t="s">
        <v>0</v>
      </c>
      <c r="I79" s="389"/>
      <c r="J79" s="389" t="s">
        <v>1</v>
      </c>
      <c r="K79" s="389"/>
      <c r="L79" s="389" t="s">
        <v>2</v>
      </c>
      <c r="M79" s="389"/>
      <c r="N79" s="390" t="s">
        <v>1195</v>
      </c>
      <c r="O79" s="390"/>
      <c r="P79" s="207"/>
      <c r="Q79" s="207"/>
      <c r="R79" s="208" t="s">
        <v>3</v>
      </c>
      <c r="S79" s="209" t="s">
        <v>135</v>
      </c>
      <c r="T79" s="207" t="s">
        <v>133</v>
      </c>
      <c r="U79" s="205" t="s">
        <v>134</v>
      </c>
      <c r="V79" s="207"/>
      <c r="W79" s="210" t="s">
        <v>26</v>
      </c>
    </row>
    <row r="80" spans="1:53" x14ac:dyDescent="0.15">
      <c r="A80" s="14">
        <v>1990</v>
      </c>
      <c r="B80" s="5"/>
      <c r="C80" s="5"/>
      <c r="D80" s="5"/>
      <c r="E80" s="18"/>
      <c r="F80" s="5"/>
      <c r="G80" s="9">
        <v>1990</v>
      </c>
      <c r="H80" s="419"/>
      <c r="I80" s="419"/>
      <c r="J80" s="419"/>
      <c r="K80" s="419"/>
      <c r="L80" s="419"/>
      <c r="M80" s="419"/>
      <c r="N80" s="420"/>
      <c r="O80" s="420"/>
      <c r="P80" s="9"/>
      <c r="Q80" s="9"/>
      <c r="R80" s="9">
        <v>1990</v>
      </c>
      <c r="S80" s="9"/>
      <c r="T80" s="9"/>
      <c r="U80" s="5"/>
      <c r="V80" s="9"/>
      <c r="W80" s="115"/>
    </row>
    <row r="81" spans="1:28" x14ac:dyDescent="0.15">
      <c r="A81" s="14">
        <v>1991</v>
      </c>
      <c r="B81" s="5"/>
      <c r="C81" s="5"/>
      <c r="D81" s="5"/>
      <c r="E81" s="18"/>
      <c r="F81" s="5"/>
      <c r="G81" s="9">
        <v>1991</v>
      </c>
      <c r="H81" s="409"/>
      <c r="I81" s="409"/>
      <c r="J81" s="409"/>
      <c r="K81" s="409"/>
      <c r="L81" s="409"/>
      <c r="M81" s="409"/>
      <c r="N81" s="379"/>
      <c r="O81" s="379"/>
      <c r="P81" s="9"/>
      <c r="Q81" s="9"/>
      <c r="R81" s="9">
        <v>1991</v>
      </c>
      <c r="S81" s="9"/>
      <c r="T81" s="9"/>
      <c r="U81" s="5"/>
      <c r="V81" s="9"/>
      <c r="W81" s="115"/>
    </row>
    <row r="82" spans="1:28" x14ac:dyDescent="0.15">
      <c r="A82" s="14">
        <v>1992</v>
      </c>
      <c r="B82" s="5"/>
      <c r="C82" s="5"/>
      <c r="D82" s="5"/>
      <c r="E82" s="18"/>
      <c r="F82" s="5"/>
      <c r="G82" s="9">
        <v>1992</v>
      </c>
      <c r="H82" s="409"/>
      <c r="I82" s="409"/>
      <c r="J82" s="409"/>
      <c r="K82" s="409"/>
      <c r="L82" s="409"/>
      <c r="M82" s="409"/>
      <c r="N82" s="379"/>
      <c r="O82" s="379"/>
      <c r="P82" s="9"/>
      <c r="Q82" s="9"/>
      <c r="R82" s="9">
        <v>1992</v>
      </c>
      <c r="S82" s="9"/>
      <c r="T82" s="9"/>
      <c r="U82" s="5"/>
      <c r="V82" s="9"/>
      <c r="W82" s="115"/>
    </row>
    <row r="83" spans="1:28" x14ac:dyDescent="0.15">
      <c r="A83" s="1">
        <v>1993</v>
      </c>
      <c r="B83" s="5">
        <f>(K7*($E7/354))</f>
        <v>43.75</v>
      </c>
      <c r="C83" s="5">
        <f>(L7*($E7/354))</f>
        <v>25</v>
      </c>
      <c r="D83" s="5">
        <f>(M7*($E7/354))</f>
        <v>31.25</v>
      </c>
      <c r="E83" s="24">
        <f>B83+C83+D83</f>
        <v>100</v>
      </c>
      <c r="F83" s="9"/>
      <c r="G83" s="9">
        <v>1993</v>
      </c>
      <c r="H83" s="409">
        <f>(O7/$R7*100*($E7/354))</f>
        <v>43.263473053892213</v>
      </c>
      <c r="I83" s="409"/>
      <c r="J83" s="409">
        <f>(P7/$R7*100*($E7/354))</f>
        <v>25</v>
      </c>
      <c r="K83" s="409"/>
      <c r="L83" s="409">
        <f>(Q7/$R7*100*($E7/354))</f>
        <v>31.736526946107784</v>
      </c>
      <c r="M83" s="409"/>
      <c r="N83" s="409">
        <f>H83+J83+L83</f>
        <v>100</v>
      </c>
      <c r="O83" s="409"/>
      <c r="P83" s="9"/>
      <c r="Q83" s="9"/>
      <c r="R83" s="9">
        <v>1993</v>
      </c>
      <c r="S83" s="5">
        <f>(O7*($E7/354))</f>
        <v>28.9</v>
      </c>
      <c r="T83" s="5">
        <f>(P7*($E7/354))</f>
        <v>16.7</v>
      </c>
      <c r="U83" s="5">
        <f>(Q7*($E7/354))</f>
        <v>21.2</v>
      </c>
      <c r="V83" s="9"/>
      <c r="W83" s="5">
        <f>S83+T83+U83</f>
        <v>66.8</v>
      </c>
      <c r="X83" s="25"/>
      <c r="Y83" s="125" t="s">
        <v>1212</v>
      </c>
      <c r="Z83" s="25"/>
      <c r="AA83" s="25"/>
      <c r="AB83" s="25"/>
    </row>
    <row r="84" spans="1:28" x14ac:dyDescent="0.15">
      <c r="A84" s="1">
        <v>1994</v>
      </c>
      <c r="B84" s="5">
        <f>(K8*($E8/365))+(K9*($E9/365))</f>
        <v>48.510273972602739</v>
      </c>
      <c r="C84" s="5">
        <f>(L8*($E8/365))+(L9*($E9/365))</f>
        <v>20.239726027397261</v>
      </c>
      <c r="D84" s="5">
        <f>(M8*($E8/365))+(M9*($E9/365))</f>
        <v>26.489726027397261</v>
      </c>
      <c r="E84" s="24">
        <f t="shared" ref="E84:E102" si="34">B84+C84+D84</f>
        <v>95.239726027397268</v>
      </c>
      <c r="F84" s="9"/>
      <c r="G84" s="9">
        <v>1994</v>
      </c>
      <c r="H84" s="409">
        <f>(O8/$R8*100*($E8/365))+(O9/$R9*100*($E9/365))</f>
        <v>43.164710517225245</v>
      </c>
      <c r="I84" s="409"/>
      <c r="J84" s="409">
        <f>(P8/$R8*100*($E8/365))+(P9/$R9*100*($E9/365))</f>
        <v>28.352305614508964</v>
      </c>
      <c r="K84" s="409"/>
      <c r="L84" s="409">
        <f>(Q8/$R8*100*($E8/365))+(Q9/$R9*100*($E9/365))</f>
        <v>28.482983868265784</v>
      </c>
      <c r="M84" s="409"/>
      <c r="N84" s="409">
        <f t="shared" ref="N84:N102" si="35">H84+J84+L84</f>
        <v>100</v>
      </c>
      <c r="O84" s="409"/>
      <c r="P84" s="9"/>
      <c r="Q84" s="9"/>
      <c r="R84" s="9">
        <v>1994</v>
      </c>
      <c r="S84" s="5">
        <f>(O8*($E8/365))+(O9*($E9/365))</f>
        <v>25.548767123287668</v>
      </c>
      <c r="T84" s="5">
        <f>(P8*($E8/365))+(P9*($E9/365))</f>
        <v>16.7</v>
      </c>
      <c r="U84" s="5">
        <f>(Q8*($E8/365))+(Q9*($E9/365))</f>
        <v>16.934794520547943</v>
      </c>
      <c r="V84" s="9"/>
      <c r="W84" s="5">
        <f t="shared" ref="W84:W102" si="36">S84+T84+U84</f>
        <v>59.183561643835603</v>
      </c>
    </row>
    <row r="85" spans="1:28" x14ac:dyDescent="0.15">
      <c r="A85" s="1">
        <v>1995</v>
      </c>
      <c r="B85" s="5">
        <f>(K10*($E10/365))+(K11*($E11/365))</f>
        <v>50</v>
      </c>
      <c r="C85" s="5">
        <f>(L10*($E10/365))+(L11*($E11/365))</f>
        <v>18.75</v>
      </c>
      <c r="D85" s="5">
        <f>(M10*($E10/365))+(M11*($E11/365))</f>
        <v>25</v>
      </c>
      <c r="E85" s="24">
        <f t="shared" si="34"/>
        <v>93.75</v>
      </c>
      <c r="F85" s="9"/>
      <c r="G85" s="9">
        <v>1995</v>
      </c>
      <c r="H85" s="409">
        <f>(O10/$R10*100*($E10/365))+(O11/$R11*100*($E11/365))</f>
        <v>43.133802816901408</v>
      </c>
      <c r="I85" s="409"/>
      <c r="J85" s="409">
        <f>(P10/$R10*100*($E10/365))+(P11/$R11*100*($E11/365))</f>
        <v>29.401408450704221</v>
      </c>
      <c r="K85" s="409"/>
      <c r="L85" s="409">
        <f>(Q10/$R10*100*($E10/365))+(Q11/$R11*100*($E11/365))</f>
        <v>27.464788732394364</v>
      </c>
      <c r="M85" s="409"/>
      <c r="N85" s="409">
        <f t="shared" si="35"/>
        <v>100</v>
      </c>
      <c r="O85" s="409"/>
      <c r="P85" s="9"/>
      <c r="Q85" s="9"/>
      <c r="R85" s="9">
        <v>1995</v>
      </c>
      <c r="S85" s="5">
        <f>(O10*($E10/365))+(O11*($E11/365))</f>
        <v>24.5</v>
      </c>
      <c r="T85" s="5">
        <f>(P10*($E10/365))+(P11*($E11/365))</f>
        <v>16.7</v>
      </c>
      <c r="U85" s="5">
        <f>(Q10*($E10/365))+(Q11*($E11/365))</f>
        <v>15.6</v>
      </c>
      <c r="V85" s="9"/>
      <c r="W85" s="5">
        <f t="shared" si="36"/>
        <v>56.800000000000004</v>
      </c>
    </row>
    <row r="86" spans="1:28" x14ac:dyDescent="0.15">
      <c r="A86" s="1">
        <v>1996</v>
      </c>
      <c r="B86" s="5">
        <f>(K12*($E12/366))+(K13*($E13/366))</f>
        <v>50</v>
      </c>
      <c r="C86" s="5">
        <f>(L12*($E12/366))+(L13*($E13/366))</f>
        <v>31.859061930783238</v>
      </c>
      <c r="D86" s="5">
        <f>(M12*($E12/366))+(M13*($E13/366))</f>
        <v>2.527322404371585</v>
      </c>
      <c r="E86" s="24">
        <f t="shared" si="34"/>
        <v>84.38638433515483</v>
      </c>
      <c r="F86" s="9"/>
      <c r="G86" s="9">
        <v>1996</v>
      </c>
      <c r="H86" s="409">
        <f>(O12/$R12*100*($E12/366))+(O13/$R13*100*($E13/366))</f>
        <v>57.814948340368481</v>
      </c>
      <c r="I86" s="409"/>
      <c r="J86" s="409">
        <f>(P12/$R12*100*($E12/366))+(P13/$R13*100*($E13/366))</f>
        <v>39.408556623843005</v>
      </c>
      <c r="K86" s="409"/>
      <c r="L86" s="409">
        <f>(Q12/$R12*100*($E12/366))+(Q13/$R13*100*($E13/366))</f>
        <v>2.7764950357885012</v>
      </c>
      <c r="M86" s="409"/>
      <c r="N86" s="409">
        <f t="shared" si="35"/>
        <v>99.999999999999986</v>
      </c>
      <c r="O86" s="409"/>
      <c r="P86" s="9"/>
      <c r="Q86" s="9"/>
      <c r="R86" s="9">
        <v>1996</v>
      </c>
      <c r="S86" s="5">
        <f>(O12*($E12/366))+(O13*($E13/366))</f>
        <v>24.5</v>
      </c>
      <c r="T86" s="5">
        <f>(P12*($E12/366))+(P13*($E13/366))</f>
        <v>16.7</v>
      </c>
      <c r="U86" s="5">
        <f>(Q12*($E12/366))+(Q13*($E13/366))</f>
        <v>1.5770491803278688</v>
      </c>
      <c r="V86" s="9"/>
      <c r="W86" s="5">
        <f t="shared" si="36"/>
        <v>42.777049180327872</v>
      </c>
    </row>
    <row r="87" spans="1:28" x14ac:dyDescent="0.15">
      <c r="A87" s="1">
        <v>1997</v>
      </c>
      <c r="B87" s="5">
        <f>(K14*($E14/365))+(K15*($E15/365))</f>
        <v>43.3381398702235</v>
      </c>
      <c r="C87" s="5">
        <f>(L14*($E14/365))+(L15*($E15/365))</f>
        <v>5.205479452054794</v>
      </c>
      <c r="D87" s="5">
        <f>(M14*($E14/365))+(M15*($E15/365))</f>
        <v>44.412400865176636</v>
      </c>
      <c r="E87" s="24">
        <f t="shared" si="34"/>
        <v>92.956020187454925</v>
      </c>
      <c r="F87" s="9"/>
      <c r="G87" s="9">
        <v>1997</v>
      </c>
      <c r="H87" s="409">
        <f>(O14/$R14*100*($E14/365))+(O15/$R15*100*($E15/365))</f>
        <v>52.329832314710991</v>
      </c>
      <c r="I87" s="409"/>
      <c r="J87" s="409">
        <f>(P14/$R14*100*($E14/365))+(P15/$R15*100*($E15/365))</f>
        <v>6.3299640909695425</v>
      </c>
      <c r="K87" s="409"/>
      <c r="L87" s="409">
        <f>(Q14/$R14*100*($E14/365))+(Q15/$R15*100*($E15/365))</f>
        <v>41.340203594319462</v>
      </c>
      <c r="M87" s="409"/>
      <c r="N87" s="409">
        <f t="shared" si="35"/>
        <v>100</v>
      </c>
      <c r="O87" s="409"/>
      <c r="P87" s="9"/>
      <c r="Q87" s="9"/>
      <c r="R87" s="9">
        <v>1997</v>
      </c>
      <c r="S87" s="5">
        <f>(O14*($E14/365))+(O15*($E15/365))</f>
        <v>27.284657534246573</v>
      </c>
      <c r="T87" s="5">
        <f>(P14*($E14/365))+(P15*($E15/365))</f>
        <v>2.6079452054794521</v>
      </c>
      <c r="U87" s="5">
        <f>(Q14*($E14/365))+(Q15*($E15/365))</f>
        <v>22.53041095890411</v>
      </c>
      <c r="V87" s="9"/>
      <c r="W87" s="5">
        <f t="shared" si="36"/>
        <v>52.423013698630136</v>
      </c>
    </row>
    <row r="88" spans="1:28" x14ac:dyDescent="0.15">
      <c r="A88" s="1">
        <v>1998</v>
      </c>
      <c r="B88" s="5">
        <f>(K16*($E16/365))+(K17*($E17/365))</f>
        <v>42.105263157894733</v>
      </c>
      <c r="C88" s="5">
        <f>(L16*($E16/365))+(L17*($E17/365))</f>
        <v>0</v>
      </c>
      <c r="D88" s="5">
        <f>(M16*($E16/365))+(M17*($E17/365))</f>
        <v>52.631578947368418</v>
      </c>
      <c r="E88" s="24">
        <f t="shared" si="34"/>
        <v>94.73684210526315</v>
      </c>
      <c r="F88" s="9"/>
      <c r="G88" s="9">
        <v>1998</v>
      </c>
      <c r="H88" s="409">
        <f>(O16/$R16*100*($E16/365))+(O17/$R17*100*($E17/365))</f>
        <v>51.009174311926607</v>
      </c>
      <c r="I88" s="409"/>
      <c r="J88" s="409">
        <f>(P16/$R16*100*($E16/365))+(P17/$R17*100*($E17/365))</f>
        <v>0</v>
      </c>
      <c r="K88" s="409"/>
      <c r="L88" s="409">
        <f>(Q16/$R16*100*($E16/365))+(Q17/$R17*100*($E17/365))</f>
        <v>48.990825688073393</v>
      </c>
      <c r="M88" s="409"/>
      <c r="N88" s="409">
        <f t="shared" si="35"/>
        <v>100</v>
      </c>
      <c r="O88" s="409"/>
      <c r="P88" s="9"/>
      <c r="Q88" s="9"/>
      <c r="R88" s="9">
        <v>1998</v>
      </c>
      <c r="S88" s="5">
        <f>(O16*($E16/365))+(O17*($E17/365))</f>
        <v>27.8</v>
      </c>
      <c r="T88" s="5">
        <f>(P16*($E16/365))+(P17*($E17/365))</f>
        <v>0</v>
      </c>
      <c r="U88" s="5">
        <f>(Q16*($E16/365))+(Q17*($E17/365))</f>
        <v>26.7</v>
      </c>
      <c r="V88" s="9"/>
      <c r="W88" s="5">
        <f t="shared" si="36"/>
        <v>54.5</v>
      </c>
    </row>
    <row r="89" spans="1:28" x14ac:dyDescent="0.15">
      <c r="A89" s="1">
        <v>1999</v>
      </c>
      <c r="B89" s="5">
        <f>(K18*($E18/365))+(K19*($E19/365))</f>
        <v>42.105263157894733</v>
      </c>
      <c r="C89" s="5">
        <f>(L18*($E18/365))+(L19*($E19/365))</f>
        <v>0</v>
      </c>
      <c r="D89" s="5">
        <f>(M18*($E18/365))+(M19*($E19/365))</f>
        <v>52.631578947368418</v>
      </c>
      <c r="E89" s="24">
        <f t="shared" si="34"/>
        <v>94.73684210526315</v>
      </c>
      <c r="F89" s="9"/>
      <c r="G89" s="9">
        <v>1999</v>
      </c>
      <c r="H89" s="409">
        <f>(O18/$R18*100*($E18/365))+(O19/$R19*100*($E19/365))</f>
        <v>51.009174311926607</v>
      </c>
      <c r="I89" s="409"/>
      <c r="J89" s="409">
        <f>(P18/$R18*100*($E18/365))+(P19/$R19*100*($E19/365))</f>
        <v>0</v>
      </c>
      <c r="K89" s="409"/>
      <c r="L89" s="409">
        <f>(Q18/$R18*100*($E18/365))+(Q19/$R19*100*($E19/365))</f>
        <v>48.990825688073393</v>
      </c>
      <c r="M89" s="409"/>
      <c r="N89" s="409">
        <f t="shared" si="35"/>
        <v>100</v>
      </c>
      <c r="O89" s="409"/>
      <c r="P89" s="9"/>
      <c r="Q89" s="9"/>
      <c r="R89" s="9">
        <v>1999</v>
      </c>
      <c r="S89" s="5">
        <f>(O18*($E18/365))+(O19*($E19/365))</f>
        <v>27.8</v>
      </c>
      <c r="T89" s="5">
        <f>(P18*($E18/365))+(P19*($E19/365))</f>
        <v>0</v>
      </c>
      <c r="U89" s="5">
        <f>(Q18*($E18/365))+(Q19*($E19/365))</f>
        <v>26.7</v>
      </c>
      <c r="V89" s="9"/>
      <c r="W89" s="5">
        <f t="shared" si="36"/>
        <v>54.5</v>
      </c>
    </row>
    <row r="90" spans="1:28" x14ac:dyDescent="0.15">
      <c r="A90" s="1">
        <v>2000</v>
      </c>
      <c r="B90" s="5">
        <f>(K20*($E20/366))+(K21*($E21/366))+(K22*($E22/366))</f>
        <v>37.784432150772297</v>
      </c>
      <c r="C90" s="5">
        <f>(L20*($E20/366))+(L21*($E21/366))+(L22*($E22/366))</f>
        <v>8.486017357762778</v>
      </c>
      <c r="D90" s="5">
        <f>(M20*($E20/366))+(M21*($E21/366))+(M22*($E22/366))</f>
        <v>40.142787054424872</v>
      </c>
      <c r="E90" s="24">
        <f t="shared" si="34"/>
        <v>86.413236562959952</v>
      </c>
      <c r="F90" s="9"/>
      <c r="G90" s="9">
        <v>2000</v>
      </c>
      <c r="H90" s="409">
        <f>(O20/$R20*100*($E20/366))+(O21/$R21*100*($E21/366))+(O22/$R22*100*($E22/366))</f>
        <v>44.647676342307115</v>
      </c>
      <c r="I90" s="409"/>
      <c r="J90" s="409">
        <f>(P20/$R20*100*($E20/366))+(P21/$R21*100*($E21/366))+(P22/$R22*100*($E22/366))</f>
        <v>10.675409836065572</v>
      </c>
      <c r="K90" s="409"/>
      <c r="L90" s="409">
        <f>(Q20/$R20*100*($E20/366))+(Q21/$R21*100*($E21/366))+(Q22/$R22*100*($E22/366))</f>
        <v>44.676913821627309</v>
      </c>
      <c r="M90" s="409"/>
      <c r="N90" s="409">
        <f t="shared" si="35"/>
        <v>100</v>
      </c>
      <c r="O90" s="409"/>
      <c r="P90" s="9"/>
      <c r="Q90" s="9"/>
      <c r="R90" s="9">
        <v>2000</v>
      </c>
      <c r="S90" s="5">
        <f>(O20*($E20/366))+(O21*($E21/366))+(O22*($E22/366))</f>
        <v>23.865573770491807</v>
      </c>
      <c r="T90" s="5">
        <f>(P20*($E20/366))+(P21*($E21/366))+(P22*($E22/366))</f>
        <v>5.3377049180327862</v>
      </c>
      <c r="U90" s="5">
        <f>(Q20*($E20/366))+(Q21*($E21/366))+(Q22*($E22/366))</f>
        <v>23.613661202185792</v>
      </c>
      <c r="V90" s="9"/>
      <c r="W90" s="5">
        <f t="shared" si="36"/>
        <v>52.816939890710387</v>
      </c>
    </row>
    <row r="91" spans="1:28" x14ac:dyDescent="0.15">
      <c r="A91" s="1">
        <v>2001</v>
      </c>
      <c r="B91" s="5">
        <f>(K23*($E23/365))+(K24*($E24/365))</f>
        <v>62.5</v>
      </c>
      <c r="C91" s="5">
        <f>(L23*($E23/365))+(L24*($E24/365))</f>
        <v>0</v>
      </c>
      <c r="D91" s="5">
        <f>(M23*($E23/365))+(M24*($E24/365))</f>
        <v>37.5</v>
      </c>
      <c r="E91" s="24">
        <f t="shared" si="34"/>
        <v>100</v>
      </c>
      <c r="F91" s="9"/>
      <c r="G91" s="9">
        <v>2001</v>
      </c>
      <c r="H91" s="409">
        <f>(O23/$R23*100*($E23/365))+(O24/$R24*100*($E24/365))</f>
        <v>63</v>
      </c>
      <c r="I91" s="409"/>
      <c r="J91" s="409">
        <f>(P23/$R23*100*($E23/365))+(P24/$R24*100*($E24/365))</f>
        <v>0</v>
      </c>
      <c r="K91" s="409"/>
      <c r="L91" s="409">
        <f>(Q23/$R23*100*($E23/365))+(Q24/$R24*100*($E24/365))</f>
        <v>37</v>
      </c>
      <c r="M91" s="409"/>
      <c r="N91" s="409">
        <f t="shared" si="35"/>
        <v>100</v>
      </c>
      <c r="O91" s="409"/>
      <c r="P91" s="9"/>
      <c r="Q91" s="9"/>
      <c r="R91" s="9">
        <v>2001</v>
      </c>
      <c r="S91" s="5">
        <f>(O23*($E23/365))+(O24*($E24/365))</f>
        <v>37.799999999999997</v>
      </c>
      <c r="T91" s="5">
        <f>(P23*($E23/365))+(P24*($E24/365))</f>
        <v>0</v>
      </c>
      <c r="U91" s="5">
        <f>(Q23*($E23/365))+(Q24*($E24/365))</f>
        <v>22.2</v>
      </c>
      <c r="V91" s="9"/>
      <c r="W91" s="5">
        <f t="shared" si="36"/>
        <v>60</v>
      </c>
    </row>
    <row r="92" spans="1:28" x14ac:dyDescent="0.15">
      <c r="A92" s="1">
        <v>2002</v>
      </c>
      <c r="B92" s="5">
        <f>(K25*($E25/365))+(K26*($E26/365))+(K27*($E27/365))</f>
        <v>56.735495568090251</v>
      </c>
      <c r="C92" s="5">
        <f>(L25*($E25/365))+(L26*($E26/365))+(L27*($E27/365))</f>
        <v>0</v>
      </c>
      <c r="D92" s="5">
        <f>(M25*($E25/365))+(M26*($E26/365))+(M27*($E27/365))</f>
        <v>37.63094278807413</v>
      </c>
      <c r="E92" s="24">
        <f t="shared" si="34"/>
        <v>94.36643835616438</v>
      </c>
      <c r="F92" s="9"/>
      <c r="G92" s="9">
        <v>2002</v>
      </c>
      <c r="H92" s="409">
        <f>(O25/$R25*100*($E25/365))+(O26/$R26*100*($E26/365))+(O27/$R27*100*($E27/365))</f>
        <v>62.84669446098868</v>
      </c>
      <c r="I92" s="409"/>
      <c r="J92" s="409">
        <f>(P25/$R25*100*($E25/365))+(P26/$R26*100*($E26/365))+(P27/$R27*100*($E27/365))</f>
        <v>0</v>
      </c>
      <c r="K92" s="409"/>
      <c r="L92" s="409">
        <f>(Q25/$R25*100*($E25/365))+(Q26/$R26*100*($E26/365))+(Q27/$R27*100*($E27/365))</f>
        <v>37.153305539011313</v>
      </c>
      <c r="M92" s="409"/>
      <c r="N92" s="409">
        <f t="shared" si="35"/>
        <v>100</v>
      </c>
      <c r="O92" s="409"/>
      <c r="P92" s="9"/>
      <c r="Q92" s="9"/>
      <c r="R92" s="9">
        <v>2002</v>
      </c>
      <c r="S92" s="5">
        <f>(O25*($E25/365))+(O26*($E26/365))+(O27*($E27/365))</f>
        <v>37.799999999999997</v>
      </c>
      <c r="T92" s="5">
        <f>(P25*($E25/365))+(P26*($E26/365))+(P27*($E27/365))</f>
        <v>0</v>
      </c>
      <c r="U92" s="5">
        <f>(Q25*($E25/365))+(Q26*($E26/365))+(Q27*($E27/365))</f>
        <v>22.35671232876712</v>
      </c>
      <c r="V92" s="9"/>
      <c r="W92" s="5">
        <f t="shared" si="36"/>
        <v>60.156712328767114</v>
      </c>
    </row>
    <row r="93" spans="1:28" x14ac:dyDescent="0.15">
      <c r="A93" s="1">
        <v>2003</v>
      </c>
      <c r="B93" s="5">
        <f>(K28*($E28/365))+(K29*($E29/365))</f>
        <v>58.82352941176471</v>
      </c>
      <c r="C93" s="5">
        <f>(L28*($E28/365))+(L29*($E29/365))</f>
        <v>0</v>
      </c>
      <c r="D93" s="5">
        <f>(M28*($E28/365))+(M29*($E29/365))</f>
        <v>41.17647058823529</v>
      </c>
      <c r="E93" s="24">
        <f t="shared" si="34"/>
        <v>100</v>
      </c>
      <c r="F93" s="9"/>
      <c r="G93" s="9">
        <v>2003</v>
      </c>
      <c r="H93" s="409">
        <f>(O28/$R28*100*($E28/365))+(O29/$R29*100*($E29/365))</f>
        <v>58.695652173913039</v>
      </c>
      <c r="I93" s="409"/>
      <c r="J93" s="409">
        <f>(P28/$R28*100*($E28/365))+(P29/$R29*100*($E29/365))</f>
        <v>0</v>
      </c>
      <c r="K93" s="409"/>
      <c r="L93" s="409">
        <f>(Q28/$R28*100*($E28/365))+(Q29/$R29*100*($E29/365))</f>
        <v>41.304347826086953</v>
      </c>
      <c r="M93" s="409"/>
      <c r="N93" s="409">
        <f t="shared" si="35"/>
        <v>100</v>
      </c>
      <c r="O93" s="409"/>
      <c r="P93" s="9"/>
      <c r="Q93" s="9"/>
      <c r="R93" s="9">
        <v>2003</v>
      </c>
      <c r="S93" s="5">
        <f>(O28*($E28/365))+(O29*($E29/365))</f>
        <v>37.799999999999997</v>
      </c>
      <c r="T93" s="5">
        <f>(P28*($E28/365))+(P29*($E29/365))</f>
        <v>0</v>
      </c>
      <c r="U93" s="5">
        <f>(Q28*($E28/365))+(Q29*($E29/365))</f>
        <v>26.6</v>
      </c>
      <c r="V93" s="9"/>
      <c r="W93" s="5">
        <f t="shared" si="36"/>
        <v>64.400000000000006</v>
      </c>
    </row>
    <row r="94" spans="1:28" x14ac:dyDescent="0.15">
      <c r="A94" s="1">
        <v>2004</v>
      </c>
      <c r="B94" s="5">
        <f>(K30*($E30/366))+(K31*($E31/366))+(K32*($E32/366))</f>
        <v>68.83638701382192</v>
      </c>
      <c r="C94" s="5">
        <f>(L30*($E30/366))+(L31*($E31/366))+(L32*($E32/366))</f>
        <v>1.8643522982963676</v>
      </c>
      <c r="D94" s="5">
        <f>(M30*($E30/366))+(M31*($E31/366))+(M32*($E32/366))</f>
        <v>29.299260687881709</v>
      </c>
      <c r="E94" s="24">
        <f t="shared" si="34"/>
        <v>100</v>
      </c>
      <c r="F94" s="9"/>
      <c r="G94" s="9">
        <v>2004</v>
      </c>
      <c r="H94" s="409">
        <f>(O30/$R30*100*($E30/366))+(O31/$R31*100*($E31/366))+(O32/$R32*100*($E32/366))</f>
        <v>65.426851424817968</v>
      </c>
      <c r="I94" s="409"/>
      <c r="J94" s="409">
        <f>(P30/$R30*100*($E30/366))+(P31/$R31*100*($E31/366))+(P32/$R32*100*($E32/366))</f>
        <v>1.456525233044037</v>
      </c>
      <c r="K94" s="409"/>
      <c r="L94" s="409">
        <f>(Q30/$R30*100*($E30/366))+(Q31/$R31*100*($E31/366))+(Q32/$R32*100*($E32/366))</f>
        <v>33.116623342137991</v>
      </c>
      <c r="M94" s="409"/>
      <c r="N94" s="409">
        <f t="shared" si="35"/>
        <v>100</v>
      </c>
      <c r="O94" s="409"/>
      <c r="P94" s="9"/>
      <c r="Q94" s="9"/>
      <c r="R94" s="9">
        <v>2004</v>
      </c>
      <c r="S94" s="5">
        <f>(O30*($E30/366))+(O31*($E31/366))+(O32*($E32/366))</f>
        <v>37.356284153005468</v>
      </c>
      <c r="T94" s="5">
        <f>(P30*($E30/366))+(P31*($E31/366))+(P32*($E32/366))</f>
        <v>0.79234972677595628</v>
      </c>
      <c r="U94" s="5">
        <f>(Q30*($E30/366))+(Q31*($E31/366))+(Q32*($E32/366))</f>
        <v>19.256830601092897</v>
      </c>
      <c r="V94" s="9"/>
      <c r="W94" s="5">
        <f t="shared" si="36"/>
        <v>57.405464480874315</v>
      </c>
    </row>
    <row r="95" spans="1:28" x14ac:dyDescent="0.15">
      <c r="A95" s="1">
        <v>2005</v>
      </c>
      <c r="B95" s="5">
        <f>(K33*($E33/365))+(K34*($E34/365))</f>
        <v>47.155519742143433</v>
      </c>
      <c r="C95" s="5">
        <f>(L33*($E33/365))+(L34*($E34/365))</f>
        <v>23.486435670158471</v>
      </c>
      <c r="D95" s="5">
        <f>(M33*($E33/365))+(M34*($E34/365))</f>
        <v>29.358044587698096</v>
      </c>
      <c r="E95" s="24">
        <f t="shared" si="34"/>
        <v>100</v>
      </c>
      <c r="F95" s="9"/>
      <c r="G95" s="9">
        <v>2005</v>
      </c>
      <c r="H95" s="409">
        <f>(O33/$R33*100*($E33/365))+(O34/$R34*100*($E34/365))</f>
        <v>59.191176470588239</v>
      </c>
      <c r="I95" s="409"/>
      <c r="J95" s="409">
        <f>(P33/$R33*100*($E33/365))+(P34/$R34*100*($E34/365))</f>
        <v>18.382352941176467</v>
      </c>
      <c r="K95" s="409"/>
      <c r="L95" s="409">
        <f>(Q33/$R33*100*($E33/365))+(Q34/$R34*100*($E34/365))</f>
        <v>22.42647058823529</v>
      </c>
      <c r="M95" s="409"/>
      <c r="N95" s="409">
        <f t="shared" si="35"/>
        <v>100</v>
      </c>
      <c r="O95" s="409"/>
      <c r="P95" s="9"/>
      <c r="Q95" s="9"/>
      <c r="R95" s="9">
        <v>2005</v>
      </c>
      <c r="S95" s="5">
        <f>(O33*($E33/365))+(O34*($E34/365))</f>
        <v>32.200000000000003</v>
      </c>
      <c r="T95" s="5">
        <f>(P33*($E33/365))+(P34*($E34/365))</f>
        <v>10</v>
      </c>
      <c r="U95" s="5">
        <f>(Q33*($E33/365))+(Q34*($E34/365))</f>
        <v>12.2</v>
      </c>
      <c r="V95" s="9"/>
      <c r="W95" s="5">
        <f t="shared" si="36"/>
        <v>54.400000000000006</v>
      </c>
    </row>
    <row r="96" spans="1:28" x14ac:dyDescent="0.15">
      <c r="A96" s="1">
        <v>2006</v>
      </c>
      <c r="B96" s="5">
        <f>(K35*($E35/365))+(K36*($E36/365))+(K37*($E37/365))</f>
        <v>48.00161160354552</v>
      </c>
      <c r="C96" s="5">
        <f>(L35*($E35/365))+(L36*($E36/365))+(L37*($E37/365))</f>
        <v>22.940281135285161</v>
      </c>
      <c r="D96" s="5">
        <f>(M35*($E35/365))+(M36*($E36/365))+(M37*($E37/365))</f>
        <v>29.058107261169312</v>
      </c>
      <c r="E96" s="24">
        <f t="shared" si="34"/>
        <v>100</v>
      </c>
      <c r="F96" s="9"/>
      <c r="G96" s="9">
        <v>2006</v>
      </c>
      <c r="H96" s="409">
        <f>(O35/$R35*100*($E35/365))+(O36/$R36*100*($E36/365))+(O37/$R37*100*($E37/365))</f>
        <v>59.191176470588246</v>
      </c>
      <c r="I96" s="409"/>
      <c r="J96" s="409">
        <f>(P35/$R35*100*($E35/365))+(P36/$R36*100*($E36/365))+(P37/$R37*100*($E37/365))</f>
        <v>18.382352941176464</v>
      </c>
      <c r="K96" s="409"/>
      <c r="L96" s="409">
        <f>(Q35/$R35*100*($E35/365))+(Q36/$R36*100*($E36/365))+(Q37/$R37*100*($E37/365))</f>
        <v>22.42647058823529</v>
      </c>
      <c r="M96" s="409"/>
      <c r="N96" s="409">
        <f t="shared" si="35"/>
        <v>100</v>
      </c>
      <c r="O96" s="409"/>
      <c r="P96" s="9"/>
      <c r="Q96" s="9"/>
      <c r="R96" s="9">
        <v>2006</v>
      </c>
      <c r="S96" s="5">
        <f>(O35*($E35/365))+(O36*($E36/365))+(O37*($E37/365))</f>
        <v>32.200000000000003</v>
      </c>
      <c r="T96" s="5">
        <f>(P35*($E35/365))+(P36*($E36/365))+(P37*($E37/365))</f>
        <v>10</v>
      </c>
      <c r="U96" s="5">
        <f>(Q35*($E35/365))+(Q36*($E36/365))+(Q37*($E37/365))</f>
        <v>12.2</v>
      </c>
      <c r="V96" s="9"/>
      <c r="W96" s="5">
        <f t="shared" si="36"/>
        <v>54.400000000000006</v>
      </c>
    </row>
    <row r="97" spans="1:23" x14ac:dyDescent="0.15">
      <c r="A97" s="1">
        <v>2007</v>
      </c>
      <c r="B97" s="5">
        <f>(K38*($E38/365))+(K39*($E39/365))</f>
        <v>52.941176470588239</v>
      </c>
      <c r="C97" s="5">
        <f>(L38*($E38/365))+(L39*($E39/365))</f>
        <v>17.647058823529413</v>
      </c>
      <c r="D97" s="5">
        <f>(M38*($E38/365))+(M39*($E39/365))</f>
        <v>29.411764705882355</v>
      </c>
      <c r="E97" s="24">
        <f t="shared" si="34"/>
        <v>100</v>
      </c>
      <c r="F97" s="9"/>
      <c r="G97" s="9">
        <v>2007</v>
      </c>
      <c r="H97" s="409">
        <f>(O38/$R38*100*($E38/365))+(O39/$R39*100*($E39/365))</f>
        <v>59.191176470588239</v>
      </c>
      <c r="I97" s="409"/>
      <c r="J97" s="409">
        <f>(P38/$R38*100*($E38/365))+(P39/$R39*100*($E39/365))</f>
        <v>18.382352941176467</v>
      </c>
      <c r="K97" s="409"/>
      <c r="L97" s="409">
        <f>(Q38/$R38*100*($E38/365))+(Q39/$R39*100*($E39/365))</f>
        <v>22.42647058823529</v>
      </c>
      <c r="M97" s="409"/>
      <c r="N97" s="409">
        <f t="shared" si="35"/>
        <v>100</v>
      </c>
      <c r="O97" s="409"/>
      <c r="P97" s="9"/>
      <c r="Q97" s="9"/>
      <c r="R97" s="9">
        <v>2007</v>
      </c>
      <c r="S97" s="5">
        <f>(O38*($E38/365))+(O39*($E39/365))</f>
        <v>32.200000000000003</v>
      </c>
      <c r="T97" s="5">
        <f>(P38*($E38/365))+(P39*($E39/365))</f>
        <v>10</v>
      </c>
      <c r="U97" s="5">
        <f>(Q38*($E38/365))+(Q39*($E39/365))</f>
        <v>12.2</v>
      </c>
      <c r="V97" s="9"/>
      <c r="W97" s="5">
        <f t="shared" si="36"/>
        <v>54.400000000000006</v>
      </c>
    </row>
    <row r="98" spans="1:23" x14ac:dyDescent="0.15">
      <c r="A98" s="1">
        <v>2008</v>
      </c>
      <c r="B98" s="5">
        <f>(K40*($E40/366))+(K41*($E41/366))</f>
        <v>50.548139877176062</v>
      </c>
      <c r="C98" s="5">
        <f>(L40*($E40/366))+(L41*($E41/366))</f>
        <v>15.670202507232402</v>
      </c>
      <c r="D98" s="5">
        <f>(M40*($E40/366))+(M41*($E41/366))</f>
        <v>33.781657615591534</v>
      </c>
      <c r="E98" s="24">
        <f t="shared" si="34"/>
        <v>100</v>
      </c>
      <c r="F98" s="9"/>
      <c r="G98" s="9">
        <v>2008</v>
      </c>
      <c r="H98" s="409">
        <f>(O40/$R40*100*($E40/366))+(O41/$R41*100*($E41/366))</f>
        <v>55.703530232708722</v>
      </c>
      <c r="I98" s="409"/>
      <c r="J98" s="409">
        <f>(P40/$R40*100*($E40/366))+(P41/$R41*100*($E41/366))</f>
        <v>16.323127611700414</v>
      </c>
      <c r="K98" s="409"/>
      <c r="L98" s="409">
        <f>(Q40/$R40*100*($E40/366))+(Q41/$R41*100*($E41/366))</f>
        <v>27.973342155590856</v>
      </c>
      <c r="M98" s="409"/>
      <c r="N98" s="409">
        <f t="shared" si="35"/>
        <v>99.999999999999986</v>
      </c>
      <c r="O98" s="409"/>
      <c r="P98" s="9"/>
      <c r="Q98" s="9"/>
      <c r="R98" s="9">
        <v>2008</v>
      </c>
      <c r="S98" s="5">
        <f>(O40*($E40/366))+(O41*($E41/366))</f>
        <v>30.34043715846995</v>
      </c>
      <c r="T98" s="5">
        <f>(P40*($E40/366))+(P41*($E41/366))</f>
        <v>8.8797814207650276</v>
      </c>
      <c r="U98" s="5">
        <f>(Q40*($E40/366))+(Q41*($E41/366))</f>
        <v>15.314207650273222</v>
      </c>
      <c r="V98" s="9"/>
      <c r="W98" s="5">
        <f t="shared" si="36"/>
        <v>54.534426229508199</v>
      </c>
    </row>
    <row r="99" spans="1:23" x14ac:dyDescent="0.15">
      <c r="A99" s="1">
        <v>2009</v>
      </c>
      <c r="B99" s="5">
        <f>(K42*($E42/365))+(K43*($E43/365))</f>
        <v>31.578947368421051</v>
      </c>
      <c r="C99" s="5">
        <f>(L42*($E42/365))+(L43*($E43/365))</f>
        <v>0</v>
      </c>
      <c r="D99" s="5">
        <f>(M42*($E42/365))+(M43*($E43/365))</f>
        <v>68.421052631578945</v>
      </c>
      <c r="E99" s="24">
        <f t="shared" si="34"/>
        <v>100</v>
      </c>
      <c r="F99" s="9"/>
      <c r="G99" s="9">
        <v>2009</v>
      </c>
      <c r="H99" s="409">
        <f>(O42/$R42*100*($E42/365))+(O43/$R43*100*($E43/365))</f>
        <v>28.057553956834528</v>
      </c>
      <c r="I99" s="409"/>
      <c r="J99" s="409">
        <f>(P42/$R42*100*($E42/365))+(P43/$R43*100*($E43/365))</f>
        <v>0</v>
      </c>
      <c r="K99" s="409"/>
      <c r="L99" s="409">
        <f>(Q42/$R42*100*($E42/365))+(Q43/$R43*100*($E43/365))</f>
        <v>71.942446043165461</v>
      </c>
      <c r="M99" s="409"/>
      <c r="N99" s="409">
        <f t="shared" si="35"/>
        <v>99.999999999999986</v>
      </c>
      <c r="O99" s="409"/>
      <c r="P99" s="9"/>
      <c r="Q99" s="9"/>
      <c r="R99" s="9">
        <v>2009</v>
      </c>
      <c r="S99" s="5">
        <f>(O42*($E42/365))+(O43*($E43/365))</f>
        <v>15.6</v>
      </c>
      <c r="T99" s="5">
        <f>(P42*($E42/365))+(P43*($E43/365))</f>
        <v>0</v>
      </c>
      <c r="U99" s="5">
        <f>(Q42*($E42/365))+(Q43*($E43/365))</f>
        <v>40</v>
      </c>
      <c r="V99" s="9"/>
      <c r="W99" s="5">
        <f t="shared" si="36"/>
        <v>55.6</v>
      </c>
    </row>
    <row r="100" spans="1:23" x14ac:dyDescent="0.15">
      <c r="A100" s="1">
        <v>2010</v>
      </c>
      <c r="B100" s="5">
        <f>(K44*($E44/365))+(K45*($E45/365))</f>
        <v>31.578947368421051</v>
      </c>
      <c r="C100" s="5">
        <f>(L44*($E44/365))+(L45*($E45/365))</f>
        <v>0</v>
      </c>
      <c r="D100" s="5">
        <f>(M44*($E44/365))+(M45*($E45/365))</f>
        <v>68.421052631578945</v>
      </c>
      <c r="E100" s="24">
        <f t="shared" si="34"/>
        <v>100</v>
      </c>
      <c r="F100" s="9"/>
      <c r="G100" s="9">
        <v>2010</v>
      </c>
      <c r="H100" s="409">
        <f>(O44/$R44*100*($E44/365))+(O45/$R45*100*($E45/365))</f>
        <v>28.057553956834528</v>
      </c>
      <c r="I100" s="409"/>
      <c r="J100" s="409">
        <f>(P44/$R44*100*($E44/365))+(P45/$R45*100*($E45/365))</f>
        <v>0</v>
      </c>
      <c r="K100" s="409"/>
      <c r="L100" s="409">
        <f>(Q44/$R44*100*($E44/365))+(Q45/$R45*100*($E45/365))</f>
        <v>71.942446043165461</v>
      </c>
      <c r="M100" s="409"/>
      <c r="N100" s="409">
        <f t="shared" si="35"/>
        <v>99.999999999999986</v>
      </c>
      <c r="O100" s="409"/>
      <c r="P100" s="9"/>
      <c r="Q100" s="9"/>
      <c r="R100" s="9">
        <v>2010</v>
      </c>
      <c r="S100" s="5">
        <f>(O44*($E44/365))+(O45*($E45/365))</f>
        <v>15.6</v>
      </c>
      <c r="T100" s="5">
        <f>(P44*($E44/365))+(P45*($E45/365))</f>
        <v>0</v>
      </c>
      <c r="U100" s="5">
        <f>(Q44*($E44/365))+(Q45*($E45/365))</f>
        <v>40</v>
      </c>
      <c r="V100" s="9"/>
      <c r="W100" s="5">
        <f t="shared" si="36"/>
        <v>55.6</v>
      </c>
    </row>
    <row r="101" spans="1:23" x14ac:dyDescent="0.15">
      <c r="A101" s="1">
        <v>2011</v>
      </c>
      <c r="B101" s="5">
        <f>(K46*($E46/365))+(K47*($E47/365))+(K48*($E48/365))+(K49*($E49/365))</f>
        <v>20.672640505373021</v>
      </c>
      <c r="C101" s="5">
        <f>(L46*($E46/365))+(L47*($E47/365))+(L48*($E48/365))+(L49*($E49/365))</f>
        <v>0</v>
      </c>
      <c r="D101" s="5">
        <f>(M46*($E46/365))+(M47*($E47/365))+(M48*($E48/365))+(M49*($E49/365))</f>
        <v>79.327359494626975</v>
      </c>
      <c r="E101" s="24">
        <f t="shared" si="34"/>
        <v>100</v>
      </c>
      <c r="F101" s="9"/>
      <c r="G101" s="9">
        <v>2011</v>
      </c>
      <c r="H101" s="409">
        <f>(O46/$R46*100*($E46/365))+(O47/$R47*100*($E47/365))+(O48/$R48*100*($E48/365))+(O49/$R49*100*($E49/365))</f>
        <v>20.53653400279056</v>
      </c>
      <c r="I101" s="409"/>
      <c r="J101" s="409">
        <f>(P46/$R46*100*($E46/365))+(P47/$R47*100*($E47/365))+(P48/$R48*100*($E48/365))+(P49/$R49*100*($E49/365))</f>
        <v>0</v>
      </c>
      <c r="K101" s="409"/>
      <c r="L101" s="409">
        <f>(Q46/$R46*100*($E46/365))+(Q47/$R47*100*($E47/365))+(Q48/$R48*100*($E48/365))+(Q49/$R49*100*($E49/365))</f>
        <v>79.46346599720944</v>
      </c>
      <c r="M101" s="409"/>
      <c r="N101" s="409">
        <f t="shared" si="35"/>
        <v>100</v>
      </c>
      <c r="O101" s="409"/>
      <c r="P101" s="9"/>
      <c r="Q101" s="9"/>
      <c r="R101" s="9">
        <v>2011</v>
      </c>
      <c r="S101" s="5">
        <f>(O46*($E46/365))+(O47*($E47/365))+(O48*($E48/365))+(O49*($E49/365))</f>
        <v>10.832876712328767</v>
      </c>
      <c r="T101" s="5">
        <f>(P46*($E46/365))+(P47*($E47/365))+(P48*($E48/365))+(P49*($E49/365))</f>
        <v>0</v>
      </c>
      <c r="U101" s="5">
        <f>(Q46*($E46/365))+(Q47*($E47/365))+(Q48*($E48/365))+(Q49*($E49/365))</f>
        <v>40</v>
      </c>
      <c r="V101" s="9"/>
      <c r="W101" s="5">
        <f t="shared" si="36"/>
        <v>50.832876712328769</v>
      </c>
    </row>
    <row r="102" spans="1:23" x14ac:dyDescent="0.15">
      <c r="A102" s="1">
        <v>2012</v>
      </c>
      <c r="B102" s="5">
        <f>(K50*($E50/366))+(K51*($E51/366))</f>
        <v>48.74196841409956</v>
      </c>
      <c r="C102" s="5">
        <f>(L50*($E50/366))+(L51*($E51/366))</f>
        <v>13.703236654056326</v>
      </c>
      <c r="D102" s="5">
        <f>(M50*($E50/366))+(M51*($E51/366))</f>
        <v>37.554794931844114</v>
      </c>
      <c r="E102" s="24">
        <f t="shared" si="34"/>
        <v>100</v>
      </c>
      <c r="F102" s="9"/>
      <c r="G102" s="9">
        <v>2012</v>
      </c>
      <c r="H102" s="409">
        <f>(O50/$R50*100*($E50/366))+(O51/$R51*100*($E51/366))</f>
        <v>61.897643231402803</v>
      </c>
      <c r="I102" s="409"/>
      <c r="J102" s="409">
        <f>(P50/$R50*100*($E50/366))+(P51/$R51*100*($E51/366))</f>
        <v>7.0487871997483982</v>
      </c>
      <c r="K102" s="409"/>
      <c r="L102" s="409">
        <f>(Q50/$R50*100*($E50/366))+(Q51/$R51*100*($E51/366))</f>
        <v>31.0535695688488</v>
      </c>
      <c r="M102" s="409"/>
      <c r="N102" s="409">
        <f t="shared" si="35"/>
        <v>100</v>
      </c>
      <c r="O102" s="409"/>
      <c r="P102" s="9"/>
      <c r="Q102" s="9"/>
      <c r="R102" s="9">
        <v>2012</v>
      </c>
      <c r="S102" s="5">
        <f>(O50*($E50/366))+(O51*($E51/366))</f>
        <v>34.280874316939887</v>
      </c>
      <c r="T102" s="5">
        <f>(P50*($E50/366))+(P51*($E51/366))</f>
        <v>3.9191256830601096</v>
      </c>
      <c r="U102" s="5">
        <f>(Q50*($E50/366))+(Q51*($E51/366))</f>
        <v>16.307103825136611</v>
      </c>
      <c r="V102" s="9"/>
      <c r="W102" s="5">
        <f t="shared" si="36"/>
        <v>54.50710382513661</v>
      </c>
    </row>
    <row r="103" spans="1:23" s="9" customFormat="1" x14ac:dyDescent="0.15">
      <c r="A103" s="1">
        <v>2013</v>
      </c>
      <c r="B103" s="5">
        <f>(K52*($E52/365))+(K53*($E53/365))+(K54*($E54/365))+(K55*($E55/365))+(K56*($E56/365))</f>
        <v>27.660216495832934</v>
      </c>
      <c r="C103" s="5">
        <f>(L52*($E52/365))+(L53*($E53/365))+(L54*($E54/365))+(L55*($E55/365))+(L56*($E56/365))</f>
        <v>3.6478589903247438</v>
      </c>
      <c r="D103" s="5">
        <f>(M52*($E52/365))+(M53*($E53/365))+(M54*($E54/365))+(M55*($E55/365))+(M56*($E56/365))</f>
        <v>68.691924513842324</v>
      </c>
      <c r="E103" s="24">
        <f>B103+C103+D103</f>
        <v>100</v>
      </c>
      <c r="G103" s="9">
        <v>2013</v>
      </c>
      <c r="H103" s="409">
        <f>(O52/$R52*100*($E52/365))+(O53/$R53*100*($E53/365))+(O54/$R54*100*($E54/365))+(O55/$R55*100*($E55/365))+(O56/$R56*100*($E56/365))</f>
        <v>24.996280008511931</v>
      </c>
      <c r="I103" s="409"/>
      <c r="J103" s="409">
        <f>(P52/$R52*100*($E52/365))+(P53/$R53*100*($E53/365))+(P54/$R54*100*($E54/365))+(P55/$R55*100*($E55/365))+(P56/$R56*100*($E56/365))</f>
        <v>1.8853432697800578</v>
      </c>
      <c r="K103" s="409"/>
      <c r="L103" s="409">
        <f>(Q52/$R52*100*($E52/365))+(Q53/$R53*100*($E53/365))+(Q54/$R54*100*($E54/365))+(Q55/$R55*100*($E55/365))+(Q56/$R56*100*($E56/365))</f>
        <v>73.118376721708017</v>
      </c>
      <c r="M103" s="409"/>
      <c r="N103" s="409">
        <f>H103+J103+L103</f>
        <v>100</v>
      </c>
      <c r="O103" s="409"/>
      <c r="R103" s="9">
        <v>2013</v>
      </c>
      <c r="S103" s="5">
        <f>(O52*($E52/365))+(O53*($E53/365))+(O54*($E54/365))+(O55*($E55/365))+(O56*($E56/365))</f>
        <v>13.064931506849314</v>
      </c>
      <c r="T103" s="5">
        <f>(P52*($E52/365))+(P53*($E53/365))+(P54*($E54/365))+(P55*($E55/365))+(P56*($E56/365))</f>
        <v>0.94027397260273982</v>
      </c>
      <c r="U103" s="5">
        <f>(Q52*($E52/365))+(Q53*($E53/365))+(Q54*($E54/365))+(Q55*($E55/365))+(Q56*($E56/365))</f>
        <v>39.583835616438357</v>
      </c>
      <c r="W103" s="5">
        <f>S103+T103+U103</f>
        <v>53.589041095890408</v>
      </c>
    </row>
    <row r="104" spans="1:23" s="9" customFormat="1" x14ac:dyDescent="0.15">
      <c r="A104" s="1">
        <v>2014</v>
      </c>
      <c r="B104" s="5">
        <f>(K57*($E57/365))+(K58*($E58/365))+(K59*($E59/365))</f>
        <v>40.104134382941794</v>
      </c>
      <c r="C104" s="5">
        <f>(L57*($E57/365))+(L58*($E58/365))+(L59*($E59/365))</f>
        <v>0</v>
      </c>
      <c r="D104" s="5">
        <f>(M57*($E57/365))+(M58*($E58/365))+(M59*($E59/365))</f>
        <v>59.895865617058199</v>
      </c>
      <c r="E104" s="24">
        <f>B104+C104+D104</f>
        <v>100</v>
      </c>
      <c r="G104" s="9">
        <v>2014</v>
      </c>
      <c r="H104" s="409">
        <f>(O57/$R57*100*($E57/365))+(O58/$R58*100*($E58/365))+(O59/$R59*100*($E59/365))</f>
        <v>34.313649710728903</v>
      </c>
      <c r="I104" s="409"/>
      <c r="J104" s="409">
        <f>(P57/$R57*100*($E57/365))+(P58/$R58*100*($E58/365))+(P59/$R59*100*($E59/365))</f>
        <v>0</v>
      </c>
      <c r="K104" s="409"/>
      <c r="L104" s="409">
        <f>(Q57/$R57*100*($E57/365))+(Q58/$R58*100*($E58/365))+(Q59/$R59*100*($E59/365))</f>
        <v>65.68635028927109</v>
      </c>
      <c r="M104" s="409"/>
      <c r="N104" s="409">
        <f>H104+J104+L104</f>
        <v>100</v>
      </c>
      <c r="O104" s="409"/>
      <c r="R104" s="9">
        <v>2014</v>
      </c>
      <c r="S104" s="5">
        <f>(O57*($E57/365))+(O58*($E58/365))+(O59*($E59/365))</f>
        <v>19.13095890410959</v>
      </c>
      <c r="T104" s="5">
        <f>(P57*($E57/365))+(P58*($E58/365))+(P59*($E59/365))</f>
        <v>0</v>
      </c>
      <c r="U104" s="5">
        <f>(Q57*($E57/365))+(Q58*($E58/365))+(Q59*($E59/365))</f>
        <v>35.70356164383562</v>
      </c>
      <c r="W104" s="5">
        <f>S104+T104+U104</f>
        <v>54.83452054794521</v>
      </c>
    </row>
    <row r="105" spans="1:23" s="9" customFormat="1" x14ac:dyDescent="0.15">
      <c r="A105" s="1">
        <v>2015</v>
      </c>
      <c r="B105" s="5">
        <f>(K60*($E60/365))+(K61*($E61/365))</f>
        <v>58.82352941176471</v>
      </c>
      <c r="C105" s="5">
        <f>(L60*($E60/365))+(L61*($E61/365))</f>
        <v>0</v>
      </c>
      <c r="D105" s="5">
        <f>(M60*($E60/365))+(M61*($E61/365))</f>
        <v>41.17647058823529</v>
      </c>
      <c r="E105" s="24">
        <f>B105+C105+D105</f>
        <v>100</v>
      </c>
      <c r="G105" s="9">
        <v>2015</v>
      </c>
      <c r="H105" s="409">
        <f>(O60/$R60*100*($E60/365))+(O61/$R61*100*($E61/365))</f>
        <v>69.20415224913495</v>
      </c>
      <c r="I105" s="409"/>
      <c r="J105" s="409">
        <f>(P60/$R60*100*($E60/365))+(P61/$R61*100*($E61/365))</f>
        <v>0</v>
      </c>
      <c r="K105" s="409"/>
      <c r="L105" s="409">
        <f>(Q60/$R60*100*($E60/365))+(Q61/$R61*100*($E61/365))</f>
        <v>30.79584775086505</v>
      </c>
      <c r="M105" s="409"/>
      <c r="N105" s="409">
        <f>H105+J105+L105</f>
        <v>100</v>
      </c>
      <c r="O105" s="409"/>
      <c r="R105" s="9">
        <v>2015</v>
      </c>
      <c r="S105" s="5">
        <f>(O60*($E60/365))+(O61*($E61/365))</f>
        <v>40</v>
      </c>
      <c r="T105" s="5">
        <f>(P60*($E60/365))+(P61*($E61/365))</f>
        <v>0</v>
      </c>
      <c r="U105" s="5">
        <f>(Q60*($E60/365))+(Q61*($E61/365))</f>
        <v>17.8</v>
      </c>
      <c r="W105" s="5">
        <f>S105+T105+U105</f>
        <v>57.8</v>
      </c>
    </row>
    <row r="106" spans="1:23" s="9" customFormat="1" x14ac:dyDescent="0.15">
      <c r="A106" s="1">
        <v>2016</v>
      </c>
      <c r="B106" s="5">
        <f>(K62*($E62/366))+(K63*($E63/366))</f>
        <v>58.82352941176471</v>
      </c>
      <c r="C106" s="5">
        <f>(L62*($E62/366))+(L63*($E63/366))</f>
        <v>0</v>
      </c>
      <c r="D106" s="5">
        <f>(M62*($E62/366))+(M63*($E63/366))</f>
        <v>41.17647058823529</v>
      </c>
      <c r="E106" s="24">
        <f t="shared" ref="E106" si="37">B106+C106+D106</f>
        <v>100</v>
      </c>
      <c r="G106" s="9">
        <v>2016</v>
      </c>
      <c r="H106" s="409">
        <f>(O62/$R62*100*($E62/366))+(O63/$R63*100*($E63/366))</f>
        <v>69.20415224913495</v>
      </c>
      <c r="I106" s="409"/>
      <c r="J106" s="409">
        <f>(P62/$R62*100*($E62/366))+(P63/$R63*100*($E63/366))</f>
        <v>0</v>
      </c>
      <c r="K106" s="409"/>
      <c r="L106" s="409">
        <f>(Q62/$R62*100*($E62/366))+(Q63/$R63*100*($E63/366))</f>
        <v>30.79584775086505</v>
      </c>
      <c r="M106" s="409"/>
      <c r="N106" s="409">
        <f t="shared" ref="N106" si="38">H106+J106+L106</f>
        <v>100</v>
      </c>
      <c r="O106" s="409"/>
      <c r="R106" s="9">
        <v>2016</v>
      </c>
      <c r="S106" s="5">
        <f>(O62*($E62/366))+(O63*($E63/366))</f>
        <v>40</v>
      </c>
      <c r="T106" s="5">
        <f>(P62*($E62/366))+(P63*($E63/366))</f>
        <v>0</v>
      </c>
      <c r="U106" s="5">
        <f>(Q62*($E62/366))+(Q63*($E63/366))</f>
        <v>17.8</v>
      </c>
      <c r="W106" s="5">
        <f t="shared" ref="W106" si="39">S106+T106+U106</f>
        <v>57.8</v>
      </c>
    </row>
    <row r="107" spans="1:23" x14ac:dyDescent="0.15">
      <c r="A107" s="1">
        <v>2017</v>
      </c>
      <c r="B107" s="5">
        <f>(K64*($E64/365))+(K65*($E65/365))</f>
        <v>58.82352941176471</v>
      </c>
      <c r="C107" s="5">
        <f>(L64*($E64/365))+(L65*($E65/365))</f>
        <v>0</v>
      </c>
      <c r="D107" s="5">
        <f>(M64*($E64/365))+(M65*($E65/365))</f>
        <v>41.17647058823529</v>
      </c>
      <c r="E107" s="24">
        <f t="shared" ref="E107" si="40">B107+C107+D107</f>
        <v>100</v>
      </c>
      <c r="F107" s="9"/>
      <c r="G107" s="9">
        <v>2017</v>
      </c>
      <c r="H107" s="409">
        <f>(O64/$R64*100*($E64/365))+(O65/$R65*100*($E65/365))</f>
        <v>69.20415224913495</v>
      </c>
      <c r="I107" s="409"/>
      <c r="J107" s="409">
        <f>(P64/$R64*100*($E64/365))+(P65/$R65*100*($E65/365))</f>
        <v>0</v>
      </c>
      <c r="K107" s="409"/>
      <c r="L107" s="409">
        <f>(Q64/$R64*100*($E64/365))+(Q65/$R65*100*($E65/365))</f>
        <v>30.79584775086505</v>
      </c>
      <c r="M107" s="409"/>
      <c r="N107" s="409">
        <f t="shared" ref="N107" si="41">H107+J107+L107</f>
        <v>100</v>
      </c>
      <c r="O107" s="409"/>
      <c r="P107" s="9"/>
      <c r="Q107" s="9"/>
      <c r="R107" s="9">
        <v>2017</v>
      </c>
      <c r="S107" s="5">
        <f>(O64*($E64/365))+(O65*($E65/365))</f>
        <v>40</v>
      </c>
      <c r="T107" s="5">
        <f>(P64*($E64/365))+(P65*($E65/365))</f>
        <v>0</v>
      </c>
      <c r="U107" s="5">
        <f>(Q64*($E64/365))+(Q65*($E65/365))</f>
        <v>17.8</v>
      </c>
      <c r="V107" s="9"/>
      <c r="W107" s="5">
        <f t="shared" ref="W107" si="42">S107+T107+U107</f>
        <v>57.8</v>
      </c>
    </row>
    <row r="108" spans="1:23" x14ac:dyDescent="0.15">
      <c r="A108" s="1">
        <v>2018</v>
      </c>
      <c r="B108" s="5">
        <f>(K66*($E66/365))+(K67*($E67/365))</f>
        <v>53.505237711522966</v>
      </c>
      <c r="C108" s="5">
        <f>(L66*($E66/365))+(L67*($E67/365))</f>
        <v>8.8638195004029008</v>
      </c>
      <c r="D108" s="5">
        <f>(M66*($E66/365))+(M67*($E67/365))</f>
        <v>37.630942788074137</v>
      </c>
      <c r="E108" s="24">
        <f t="shared" ref="E108" si="43">B108+C108+D108</f>
        <v>100</v>
      </c>
      <c r="F108" s="9"/>
      <c r="G108" s="9">
        <v>2018</v>
      </c>
      <c r="H108" s="409">
        <f>(O66/$R66*100*($E66/365))+(O67/$R67*100*($E67/365))</f>
        <v>58.877137144764482</v>
      </c>
      <c r="I108" s="409"/>
      <c r="J108" s="409">
        <f>(P66/$R66*100*($E66/365))+(P67/$R67*100*($E67/365))</f>
        <v>9.078924743508912</v>
      </c>
      <c r="K108" s="409"/>
      <c r="L108" s="409">
        <f>(Q66/$R66*100*($E66/365))+(Q67/$R67*100*($E67/365))</f>
        <v>32.043938111726604</v>
      </c>
      <c r="M108" s="409"/>
      <c r="N108" s="409">
        <f t="shared" ref="N108" si="44">H108+J108+L108</f>
        <v>100</v>
      </c>
      <c r="O108" s="409"/>
      <c r="P108" s="9"/>
      <c r="Q108" s="9"/>
      <c r="R108" s="9">
        <v>2018</v>
      </c>
      <c r="S108" s="5">
        <f>(O66*($E66/365))+(O67*($E67/365))</f>
        <v>32.978082191780821</v>
      </c>
      <c r="T108" s="5">
        <f>(P66*($E66/365))+(P67*($E67/365))</f>
        <v>4.3397260273972602</v>
      </c>
      <c r="U108" s="5">
        <f>(Q66*($E66/365))+(Q67*($E67/365))</f>
        <v>17.468493150684932</v>
      </c>
      <c r="V108" s="9"/>
      <c r="W108" s="5">
        <f t="shared" ref="W108" si="45">S108+T108+U108</f>
        <v>54.786301369863011</v>
      </c>
    </row>
    <row r="109" spans="1:23" x14ac:dyDescent="0.15">
      <c r="A109" s="1">
        <v>2019</v>
      </c>
      <c r="B109" s="5">
        <f>(K68*($E68/365))+(K69*($E69/365))</f>
        <v>41.17647058823529</v>
      </c>
      <c r="C109" s="5">
        <f>(L68*($E68/365))+(L69*($E69/365))</f>
        <v>29.411764705882355</v>
      </c>
      <c r="D109" s="5">
        <f>(M68*($E68/365))+(M69*($E69/365))</f>
        <v>29.411764705882355</v>
      </c>
      <c r="E109" s="24">
        <f t="shared" ref="E109:E110" si="46">B109+C109+D109</f>
        <v>100</v>
      </c>
      <c r="F109" s="9"/>
      <c r="G109" s="9">
        <v>2019</v>
      </c>
      <c r="H109" s="409">
        <f>(O68/$R68*100*($E68/365))+(O69/$R69*100*($E69/365))</f>
        <v>34.937238493723846</v>
      </c>
      <c r="I109" s="409"/>
      <c r="J109" s="409">
        <f>(P68/$R68*100*($E68/365))+(P69/$R69*100*($E69/365))</f>
        <v>30.125523012552303</v>
      </c>
      <c r="K109" s="409"/>
      <c r="L109" s="409">
        <f>(Q68/$R68*100*($E68/365))+(Q69/$R69*100*($E69/365))</f>
        <v>34.937238493723846</v>
      </c>
      <c r="M109" s="409"/>
      <c r="N109" s="409">
        <f t="shared" ref="N109" si="47">H109+J109+L109</f>
        <v>100</v>
      </c>
      <c r="O109" s="409"/>
      <c r="P109" s="9"/>
      <c r="Q109" s="9"/>
      <c r="R109" s="9">
        <v>2019</v>
      </c>
      <c r="S109" s="5">
        <f>(O68*($E68/365))+(O69*($E69/365))</f>
        <v>16.7</v>
      </c>
      <c r="T109" s="5">
        <f>(P68*($E68/365))+(P69*($E69/365))</f>
        <v>14.4</v>
      </c>
      <c r="U109" s="5">
        <f>(Q68*($E68/365))+(Q69*($E69/365))</f>
        <v>16.7</v>
      </c>
      <c r="V109" s="9"/>
      <c r="W109" s="5">
        <f t="shared" ref="W109:W110" si="48">S109+T109+U109</f>
        <v>47.8</v>
      </c>
    </row>
    <row r="110" spans="1:23" x14ac:dyDescent="0.15">
      <c r="A110" s="1">
        <v>2020</v>
      </c>
      <c r="B110" s="5">
        <f>(K70*($E70/366))+(K71*($E71/366))</f>
        <v>27.000964320154289</v>
      </c>
      <c r="C110" s="5">
        <f>(L70*($E70/366))+(L71*($E71/366))</f>
        <v>19.961427193828349</v>
      </c>
      <c r="D110" s="5">
        <f>(M70*($E70/366))+(M71*($E71/366))</f>
        <v>53.037608486017362</v>
      </c>
      <c r="E110" s="24">
        <f t="shared" si="46"/>
        <v>100</v>
      </c>
      <c r="G110" s="9">
        <v>2020</v>
      </c>
      <c r="H110" s="409">
        <f>(O70/$R70*100*($E70/366))+(O71/$R71*100*($E71/366))</f>
        <v>23.570265373235785</v>
      </c>
      <c r="I110" s="409"/>
      <c r="J110" s="409">
        <f>(P70/$R70*100*($E70/366))+(P71/$R71*100*($E71/366))</f>
        <v>17.659616610316053</v>
      </c>
      <c r="K110" s="409"/>
      <c r="L110" s="409">
        <f>(Q70/$R70*100*($E70/366))+(Q71/$R71*100*($E71/366))</f>
        <v>58.770118016448166</v>
      </c>
      <c r="M110" s="409"/>
      <c r="N110" s="409">
        <f t="shared" ref="N110" si="49">H110+J110+L110</f>
        <v>100</v>
      </c>
      <c r="O110" s="409"/>
      <c r="R110" s="9">
        <v>2020</v>
      </c>
      <c r="S110" s="5">
        <f>(O70*($E70/366))+(O71*($E71/366))</f>
        <v>12.201639344262295</v>
      </c>
      <c r="T110" s="5">
        <f>(P70*($E70/366))+(P71*($E71/366))</f>
        <v>9.0983606557377055</v>
      </c>
      <c r="U110" s="5">
        <f>(Q70*($E70/366))+(Q71*($E71/366))</f>
        <v>30.998360655737706</v>
      </c>
      <c r="W110" s="5">
        <f t="shared" si="48"/>
        <v>52.29836065573771</v>
      </c>
    </row>
  </sheetData>
  <mergeCells count="216">
    <mergeCell ref="H110:I110"/>
    <mergeCell ref="J110:K110"/>
    <mergeCell ref="L110:M110"/>
    <mergeCell ref="N110:O110"/>
    <mergeCell ref="J107:K107"/>
    <mergeCell ref="J99:K99"/>
    <mergeCell ref="H109:I109"/>
    <mergeCell ref="J109:K109"/>
    <mergeCell ref="L109:M109"/>
    <mergeCell ref="N109:O109"/>
    <mergeCell ref="L107:M107"/>
    <mergeCell ref="N107:O107"/>
    <mergeCell ref="N105:O105"/>
    <mergeCell ref="H104:I104"/>
    <mergeCell ref="J104:K104"/>
    <mergeCell ref="L104:M104"/>
    <mergeCell ref="N104:O104"/>
    <mergeCell ref="H105:I105"/>
    <mergeCell ref="J105:K105"/>
    <mergeCell ref="L105:M105"/>
    <mergeCell ref="H106:I106"/>
    <mergeCell ref="J106:K106"/>
    <mergeCell ref="L106:M106"/>
    <mergeCell ref="N106:O106"/>
    <mergeCell ref="H108:I108"/>
    <mergeCell ref="J108:K108"/>
    <mergeCell ref="L108:M108"/>
    <mergeCell ref="N108:O108"/>
    <mergeCell ref="H107:I107"/>
    <mergeCell ref="J100:K100"/>
    <mergeCell ref="H101:I101"/>
    <mergeCell ref="H102:I102"/>
    <mergeCell ref="C69:D69"/>
    <mergeCell ref="L101:M101"/>
    <mergeCell ref="L90:M90"/>
    <mergeCell ref="L84:M84"/>
    <mergeCell ref="L91:M91"/>
    <mergeCell ref="L92:M92"/>
    <mergeCell ref="L93:M93"/>
    <mergeCell ref="L94:M94"/>
    <mergeCell ref="L95:M95"/>
    <mergeCell ref="L85:M85"/>
    <mergeCell ref="L88:M88"/>
    <mergeCell ref="L86:M86"/>
    <mergeCell ref="L87:M87"/>
    <mergeCell ref="J91:K91"/>
    <mergeCell ref="J92:K92"/>
    <mergeCell ref="J93:K93"/>
    <mergeCell ref="J94:K94"/>
    <mergeCell ref="J95:K95"/>
    <mergeCell ref="J96:K96"/>
    <mergeCell ref="J97:K97"/>
    <mergeCell ref="J98:K98"/>
    <mergeCell ref="C62:D62"/>
    <mergeCell ref="C63:D63"/>
    <mergeCell ref="C64:D64"/>
    <mergeCell ref="C65:D65"/>
    <mergeCell ref="C60:D60"/>
    <mergeCell ref="C61:D61"/>
    <mergeCell ref="C66:D66"/>
    <mergeCell ref="C67:D67"/>
    <mergeCell ref="C68:D68"/>
    <mergeCell ref="C70:D70"/>
    <mergeCell ref="C71:D71"/>
    <mergeCell ref="C42:D42"/>
    <mergeCell ref="C43:D43"/>
    <mergeCell ref="C44:D44"/>
    <mergeCell ref="C45:D45"/>
    <mergeCell ref="C48:D48"/>
    <mergeCell ref="C49:D49"/>
    <mergeCell ref="C50:D50"/>
    <mergeCell ref="C51:D51"/>
    <mergeCell ref="C59:D59"/>
    <mergeCell ref="C55:D55"/>
    <mergeCell ref="C56:D56"/>
    <mergeCell ref="C52:D52"/>
    <mergeCell ref="C53:D53"/>
    <mergeCell ref="C54:D54"/>
    <mergeCell ref="C57:D57"/>
    <mergeCell ref="C58:D58"/>
    <mergeCell ref="C46:D46"/>
    <mergeCell ref="C47:D47"/>
    <mergeCell ref="C19:D19"/>
    <mergeCell ref="C20:D20"/>
    <mergeCell ref="C35:D35"/>
    <mergeCell ref="C38:D38"/>
    <mergeCell ref="C39:D39"/>
    <mergeCell ref="C40:D40"/>
    <mergeCell ref="C41:D41"/>
    <mergeCell ref="C29:D29"/>
    <mergeCell ref="C30:D30"/>
    <mergeCell ref="C31:D31"/>
    <mergeCell ref="C33:D33"/>
    <mergeCell ref="C34:D34"/>
    <mergeCell ref="C26:D26"/>
    <mergeCell ref="C27:D27"/>
    <mergeCell ref="C28:D28"/>
    <mergeCell ref="C22:D22"/>
    <mergeCell ref="C32:D32"/>
    <mergeCell ref="C37:D37"/>
    <mergeCell ref="C25:D25"/>
    <mergeCell ref="C36:D36"/>
    <mergeCell ref="A4:A5"/>
    <mergeCell ref="B4:B5"/>
    <mergeCell ref="C4:D5"/>
    <mergeCell ref="E4:E5"/>
    <mergeCell ref="F4:F5"/>
    <mergeCell ref="L81:M81"/>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21:D21"/>
    <mergeCell ref="C23:D23"/>
    <mergeCell ref="C24:D24"/>
    <mergeCell ref="G3:M3"/>
    <mergeCell ref="O3:Q3"/>
    <mergeCell ref="N80:O80"/>
    <mergeCell ref="H82:I82"/>
    <mergeCell ref="J80:K80"/>
    <mergeCell ref="J81:K81"/>
    <mergeCell ref="J82:K82"/>
    <mergeCell ref="L80:M80"/>
    <mergeCell ref="N81:O81"/>
    <mergeCell ref="N82:O82"/>
    <mergeCell ref="O4:R4"/>
    <mergeCell ref="H79:I79"/>
    <mergeCell ref="J79:K79"/>
    <mergeCell ref="L79:M79"/>
    <mergeCell ref="N79:O79"/>
    <mergeCell ref="H81:I81"/>
    <mergeCell ref="L82:M82"/>
    <mergeCell ref="R77:W77"/>
    <mergeCell ref="AT4:AW4"/>
    <mergeCell ref="AX4:BA4"/>
    <mergeCell ref="H103:I103"/>
    <mergeCell ref="J103:K103"/>
    <mergeCell ref="L103:M103"/>
    <mergeCell ref="N103:O103"/>
    <mergeCell ref="AP4:AS4"/>
    <mergeCell ref="S4:S5"/>
    <mergeCell ref="T4:T5"/>
    <mergeCell ref="U4:U5"/>
    <mergeCell ref="V4:Y4"/>
    <mergeCell ref="AH4:AK4"/>
    <mergeCell ref="AD4:AG4"/>
    <mergeCell ref="AL4:AO4"/>
    <mergeCell ref="Z4:AC4"/>
    <mergeCell ref="N88:O88"/>
    <mergeCell ref="N89:O89"/>
    <mergeCell ref="N86:O86"/>
    <mergeCell ref="N100:O100"/>
    <mergeCell ref="N101:O101"/>
    <mergeCell ref="N98:O98"/>
    <mergeCell ref="N99:O99"/>
    <mergeCell ref="N96:O96"/>
    <mergeCell ref="N97:O97"/>
    <mergeCell ref="N83:O83"/>
    <mergeCell ref="L83:M83"/>
    <mergeCell ref="H80:I80"/>
    <mergeCell ref="N93:O93"/>
    <mergeCell ref="N90:O90"/>
    <mergeCell ref="N91:O91"/>
    <mergeCell ref="L89:M89"/>
    <mergeCell ref="J83:K83"/>
    <mergeCell ref="J84:K84"/>
    <mergeCell ref="J85:K85"/>
    <mergeCell ref="J86:K86"/>
    <mergeCell ref="J87:K87"/>
    <mergeCell ref="J88:K88"/>
    <mergeCell ref="J89:K89"/>
    <mergeCell ref="J90:K90"/>
    <mergeCell ref="H90:I90"/>
    <mergeCell ref="H91:I91"/>
    <mergeCell ref="H92:I92"/>
    <mergeCell ref="H93:I93"/>
    <mergeCell ref="H83:I83"/>
    <mergeCell ref="H84:I84"/>
    <mergeCell ref="H85:I85"/>
    <mergeCell ref="H86:I86"/>
    <mergeCell ref="H87:I87"/>
    <mergeCell ref="N87:O87"/>
    <mergeCell ref="N84:O84"/>
    <mergeCell ref="N85:O85"/>
    <mergeCell ref="N94:O94"/>
    <mergeCell ref="N95:O95"/>
    <mergeCell ref="N92:O92"/>
    <mergeCell ref="N102:O102"/>
    <mergeCell ref="H94:I94"/>
    <mergeCell ref="H95:I95"/>
    <mergeCell ref="H96:I96"/>
    <mergeCell ref="H97:I97"/>
    <mergeCell ref="H98:I98"/>
    <mergeCell ref="H99:I99"/>
    <mergeCell ref="H100:I100"/>
    <mergeCell ref="L102:M102"/>
    <mergeCell ref="L96:M96"/>
    <mergeCell ref="L97:M97"/>
    <mergeCell ref="L98:M98"/>
    <mergeCell ref="L99:M99"/>
    <mergeCell ref="L100:M100"/>
    <mergeCell ref="H88:I88"/>
    <mergeCell ref="H89:I89"/>
    <mergeCell ref="J102:K102"/>
    <mergeCell ref="J101:K101"/>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A162"/>
  <sheetViews>
    <sheetView zoomScale="173" zoomScaleNormal="120" workbookViewId="0">
      <pane xSplit="1" ySplit="5" topLeftCell="B40" activePane="bottomRight" state="frozen"/>
      <selection pane="topRight" activeCell="B1" sqref="B1"/>
      <selection pane="bottomLeft" activeCell="A6" sqref="A6"/>
      <selection pane="bottomRight" activeCell="I98" sqref="I98"/>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67</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29" customFormat="1" x14ac:dyDescent="0.15">
      <c r="A6" s="52">
        <v>1977</v>
      </c>
      <c r="B6" s="295"/>
      <c r="C6" s="446" t="s">
        <v>1263</v>
      </c>
      <c r="D6" s="446"/>
      <c r="E6" s="29">
        <v>185</v>
      </c>
      <c r="G6" s="66"/>
      <c r="J6" s="73"/>
      <c r="K6" s="47"/>
      <c r="L6" s="47"/>
      <c r="M6" s="47"/>
      <c r="N6" s="68"/>
      <c r="O6" s="46"/>
      <c r="P6" s="47"/>
      <c r="Q6" s="47"/>
      <c r="R6" s="48"/>
      <c r="T6" s="286"/>
      <c r="U6" s="295"/>
      <c r="V6" s="38"/>
      <c r="Y6" s="39"/>
      <c r="AD6" s="38"/>
      <c r="AG6" s="39"/>
      <c r="AL6" s="38"/>
      <c r="AO6" s="39"/>
      <c r="AP6" s="38"/>
      <c r="AS6" s="39"/>
      <c r="AW6" s="39"/>
      <c r="BA6" s="40"/>
    </row>
    <row r="7" spans="1:53" s="171" customFormat="1" x14ac:dyDescent="0.15">
      <c r="A7" s="216">
        <v>1977</v>
      </c>
      <c r="B7" s="283">
        <v>28311</v>
      </c>
      <c r="C7" s="410" t="s">
        <v>837</v>
      </c>
      <c r="D7" s="410"/>
      <c r="E7" s="171">
        <f>365-E6</f>
        <v>180</v>
      </c>
      <c r="F7" s="171" t="s">
        <v>335</v>
      </c>
      <c r="G7" s="233"/>
      <c r="H7" s="171">
        <v>19</v>
      </c>
      <c r="J7" s="241">
        <v>20</v>
      </c>
      <c r="K7" s="214">
        <f>G7/$J7*100</f>
        <v>0</v>
      </c>
      <c r="L7" s="214">
        <f>H7/$J7*100</f>
        <v>95</v>
      </c>
      <c r="M7" s="214">
        <f>I7/$J7*100</f>
        <v>0</v>
      </c>
      <c r="N7" s="235">
        <f>K7+L7+M7</f>
        <v>95</v>
      </c>
      <c r="O7" s="213"/>
      <c r="P7" s="214">
        <v>47.1</v>
      </c>
      <c r="Q7" s="214"/>
      <c r="R7" s="215">
        <f>O7+P7+Q7</f>
        <v>47.1</v>
      </c>
      <c r="S7" s="171">
        <v>4</v>
      </c>
      <c r="T7" s="285">
        <v>28291</v>
      </c>
      <c r="U7" s="283">
        <v>28311</v>
      </c>
      <c r="V7" s="178" t="s">
        <v>474</v>
      </c>
      <c r="W7" s="171" t="s">
        <v>74</v>
      </c>
      <c r="X7" s="171" t="s">
        <v>18</v>
      </c>
      <c r="Y7" s="179">
        <v>47.1</v>
      </c>
      <c r="AD7" s="178"/>
      <c r="AG7" s="179"/>
      <c r="AL7" s="178"/>
      <c r="AO7" s="179"/>
      <c r="AP7" s="178"/>
      <c r="AS7" s="179"/>
      <c r="AW7" s="179"/>
      <c r="BA7" s="180"/>
    </row>
    <row r="8" spans="1:53" s="171" customFormat="1" x14ac:dyDescent="0.15">
      <c r="A8" s="216">
        <v>1978</v>
      </c>
      <c r="B8" s="283"/>
      <c r="C8" s="410" t="s">
        <v>837</v>
      </c>
      <c r="D8" s="410"/>
      <c r="E8" s="171">
        <v>0</v>
      </c>
      <c r="G8" s="233"/>
      <c r="H8" s="171">
        <v>19</v>
      </c>
      <c r="J8" s="241">
        <v>20</v>
      </c>
      <c r="K8" s="214">
        <f t="shared" ref="K8:M23" si="0">G8/$J8*100</f>
        <v>0</v>
      </c>
      <c r="L8" s="214">
        <f t="shared" si="0"/>
        <v>95</v>
      </c>
      <c r="M8" s="214">
        <f t="shared" si="0"/>
        <v>0</v>
      </c>
      <c r="N8" s="235">
        <f t="shared" ref="N8:N71" si="1">K8+L8+M8</f>
        <v>95</v>
      </c>
      <c r="O8" s="213"/>
      <c r="P8" s="214">
        <v>47.1</v>
      </c>
      <c r="Q8" s="214"/>
      <c r="R8" s="215">
        <f t="shared" ref="R8:R71" si="2">O8+P8+Q8</f>
        <v>47.1</v>
      </c>
      <c r="S8" s="171">
        <v>4</v>
      </c>
      <c r="T8" s="285"/>
      <c r="U8" s="283"/>
      <c r="V8" s="178" t="s">
        <v>474</v>
      </c>
      <c r="W8" s="171" t="s">
        <v>74</v>
      </c>
      <c r="X8" s="171" t="s">
        <v>18</v>
      </c>
      <c r="Y8" s="179">
        <v>47.1</v>
      </c>
      <c r="AD8" s="178"/>
      <c r="AG8" s="179"/>
      <c r="AL8" s="178"/>
      <c r="AO8" s="179"/>
      <c r="AP8" s="178"/>
      <c r="AS8" s="179"/>
      <c r="AW8" s="179"/>
      <c r="BA8" s="180"/>
    </row>
    <row r="9" spans="1:53" s="171" customFormat="1" x14ac:dyDescent="0.15">
      <c r="A9" s="216">
        <v>1978</v>
      </c>
      <c r="B9" s="283"/>
      <c r="C9" s="410" t="s">
        <v>837</v>
      </c>
      <c r="D9" s="410"/>
      <c r="E9" s="171">
        <v>365</v>
      </c>
      <c r="G9" s="233"/>
      <c r="H9" s="171">
        <v>19</v>
      </c>
      <c r="J9" s="241">
        <v>20</v>
      </c>
      <c r="K9" s="214">
        <f t="shared" si="0"/>
        <v>0</v>
      </c>
      <c r="L9" s="214">
        <f t="shared" si="0"/>
        <v>95</v>
      </c>
      <c r="M9" s="214">
        <f t="shared" si="0"/>
        <v>0</v>
      </c>
      <c r="N9" s="235">
        <f t="shared" si="1"/>
        <v>95</v>
      </c>
      <c r="O9" s="213"/>
      <c r="P9" s="214">
        <v>47.1</v>
      </c>
      <c r="Q9" s="214"/>
      <c r="R9" s="215">
        <f t="shared" si="2"/>
        <v>47.1</v>
      </c>
      <c r="S9" s="171">
        <v>4</v>
      </c>
      <c r="T9" s="285"/>
      <c r="U9" s="283"/>
      <c r="V9" s="178" t="s">
        <v>474</v>
      </c>
      <c r="W9" s="171" t="s">
        <v>74</v>
      </c>
      <c r="X9" s="171" t="s">
        <v>18</v>
      </c>
      <c r="Y9" s="179">
        <v>47.1</v>
      </c>
      <c r="AD9" s="178"/>
      <c r="AG9" s="179"/>
      <c r="AL9" s="178"/>
      <c r="AO9" s="179"/>
      <c r="AP9" s="178"/>
      <c r="AS9" s="179"/>
      <c r="AW9" s="179"/>
      <c r="BA9" s="180"/>
    </row>
    <row r="10" spans="1:53" s="171" customFormat="1" x14ac:dyDescent="0.15">
      <c r="A10" s="216">
        <v>1979</v>
      </c>
      <c r="B10" s="283"/>
      <c r="C10" s="410" t="s">
        <v>837</v>
      </c>
      <c r="D10" s="410"/>
      <c r="E10" s="171">
        <v>95</v>
      </c>
      <c r="G10" s="233"/>
      <c r="H10" s="171">
        <v>19</v>
      </c>
      <c r="J10" s="241">
        <v>20</v>
      </c>
      <c r="K10" s="214">
        <f t="shared" si="0"/>
        <v>0</v>
      </c>
      <c r="L10" s="214">
        <f t="shared" si="0"/>
        <v>95</v>
      </c>
      <c r="M10" s="214">
        <f t="shared" si="0"/>
        <v>0</v>
      </c>
      <c r="N10" s="235">
        <f t="shared" si="1"/>
        <v>95</v>
      </c>
      <c r="O10" s="213"/>
      <c r="P10" s="214">
        <v>47.1</v>
      </c>
      <c r="Q10" s="214"/>
      <c r="R10" s="215">
        <f t="shared" si="2"/>
        <v>47.1</v>
      </c>
      <c r="S10" s="171">
        <v>4</v>
      </c>
      <c r="T10" s="285"/>
      <c r="U10" s="283"/>
      <c r="V10" s="178" t="s">
        <v>474</v>
      </c>
      <c r="W10" s="171" t="s">
        <v>74</v>
      </c>
      <c r="X10" s="171" t="s">
        <v>18</v>
      </c>
      <c r="Y10" s="179">
        <v>47.1</v>
      </c>
      <c r="AD10" s="178"/>
      <c r="AG10" s="179"/>
      <c r="AL10" s="178"/>
      <c r="AO10" s="179"/>
      <c r="AP10" s="178"/>
      <c r="AS10" s="179"/>
      <c r="AW10" s="179"/>
      <c r="BA10" s="180"/>
    </row>
    <row r="11" spans="1:53" s="29" customFormat="1" x14ac:dyDescent="0.15">
      <c r="A11" s="52">
        <v>1979</v>
      </c>
      <c r="B11" s="295">
        <v>28951</v>
      </c>
      <c r="C11" s="411" t="s">
        <v>838</v>
      </c>
      <c r="D11" s="411"/>
      <c r="E11" s="29">
        <f>365-E10</f>
        <v>270</v>
      </c>
      <c r="F11" s="29">
        <v>1</v>
      </c>
      <c r="G11" s="66"/>
      <c r="H11" s="29">
        <v>22</v>
      </c>
      <c r="J11" s="73">
        <v>24</v>
      </c>
      <c r="K11" s="47">
        <f t="shared" si="0"/>
        <v>0</v>
      </c>
      <c r="L11" s="47">
        <f t="shared" si="0"/>
        <v>91.666666666666657</v>
      </c>
      <c r="M11" s="47">
        <f t="shared" si="0"/>
        <v>0</v>
      </c>
      <c r="N11" s="68">
        <f t="shared" si="1"/>
        <v>91.666666666666657</v>
      </c>
      <c r="O11" s="46"/>
      <c r="P11" s="47">
        <v>48</v>
      </c>
      <c r="Q11" s="47"/>
      <c r="R11" s="48">
        <f t="shared" si="2"/>
        <v>48</v>
      </c>
      <c r="S11" s="29">
        <v>4</v>
      </c>
      <c r="T11" s="286">
        <v>28915</v>
      </c>
      <c r="U11" s="295">
        <v>28951</v>
      </c>
      <c r="V11" s="38" t="s">
        <v>474</v>
      </c>
      <c r="W11" s="29" t="s">
        <v>74</v>
      </c>
      <c r="X11" s="29" t="s">
        <v>18</v>
      </c>
      <c r="Y11" s="39">
        <v>48</v>
      </c>
      <c r="AD11" s="38"/>
      <c r="AG11" s="39"/>
      <c r="AL11" s="38"/>
      <c r="AO11" s="39"/>
      <c r="AP11" s="38"/>
      <c r="AS11" s="39"/>
      <c r="AW11" s="39"/>
      <c r="BA11" s="40"/>
    </row>
    <row r="12" spans="1:53" s="29" customFormat="1" x14ac:dyDescent="0.15">
      <c r="A12" s="52">
        <v>1980</v>
      </c>
      <c r="B12" s="295"/>
      <c r="C12" s="411" t="s">
        <v>838</v>
      </c>
      <c r="D12" s="411"/>
      <c r="E12" s="29">
        <v>0</v>
      </c>
      <c r="G12" s="66"/>
      <c r="H12" s="29">
        <v>22</v>
      </c>
      <c r="J12" s="73">
        <v>24</v>
      </c>
      <c r="K12" s="47">
        <f t="shared" si="0"/>
        <v>0</v>
      </c>
      <c r="L12" s="47">
        <f t="shared" si="0"/>
        <v>91.666666666666657</v>
      </c>
      <c r="M12" s="47">
        <f t="shared" si="0"/>
        <v>0</v>
      </c>
      <c r="N12" s="68">
        <f t="shared" si="1"/>
        <v>91.666666666666657</v>
      </c>
      <c r="O12" s="46"/>
      <c r="P12" s="47">
        <v>48</v>
      </c>
      <c r="Q12" s="47"/>
      <c r="R12" s="48">
        <f t="shared" si="2"/>
        <v>48</v>
      </c>
      <c r="S12" s="29">
        <v>4</v>
      </c>
      <c r="T12" s="286"/>
      <c r="U12" s="295"/>
      <c r="V12" s="38" t="s">
        <v>474</v>
      </c>
      <c r="W12" s="29" t="s">
        <v>74</v>
      </c>
      <c r="X12" s="29" t="s">
        <v>18</v>
      </c>
      <c r="Y12" s="39">
        <v>48</v>
      </c>
      <c r="AD12" s="38"/>
      <c r="AG12" s="39"/>
      <c r="AL12" s="38"/>
      <c r="AO12" s="39"/>
      <c r="AP12" s="38"/>
      <c r="AS12" s="39"/>
      <c r="AW12" s="39"/>
      <c r="BA12" s="40"/>
    </row>
    <row r="13" spans="1:53" s="29" customFormat="1" x14ac:dyDescent="0.15">
      <c r="A13" s="52">
        <v>1980</v>
      </c>
      <c r="B13" s="295"/>
      <c r="C13" s="411" t="s">
        <v>838</v>
      </c>
      <c r="D13" s="411"/>
      <c r="E13" s="29">
        <v>366</v>
      </c>
      <c r="G13" s="66"/>
      <c r="H13" s="29">
        <v>22</v>
      </c>
      <c r="J13" s="73">
        <v>24</v>
      </c>
      <c r="K13" s="47">
        <f t="shared" si="0"/>
        <v>0</v>
      </c>
      <c r="L13" s="47">
        <f t="shared" si="0"/>
        <v>91.666666666666657</v>
      </c>
      <c r="M13" s="47">
        <f t="shared" si="0"/>
        <v>0</v>
      </c>
      <c r="N13" s="68">
        <f t="shared" si="1"/>
        <v>91.666666666666657</v>
      </c>
      <c r="O13" s="46"/>
      <c r="P13" s="47">
        <v>48</v>
      </c>
      <c r="Q13" s="47"/>
      <c r="R13" s="48">
        <f t="shared" si="2"/>
        <v>48</v>
      </c>
      <c r="S13" s="29">
        <v>4</v>
      </c>
      <c r="T13" s="286"/>
      <c r="U13" s="295"/>
      <c r="V13" s="38" t="s">
        <v>474</v>
      </c>
      <c r="W13" s="29" t="s">
        <v>74</v>
      </c>
      <c r="X13" s="29" t="s">
        <v>18</v>
      </c>
      <c r="Y13" s="39">
        <v>48</v>
      </c>
      <c r="AD13" s="38"/>
      <c r="AG13" s="39"/>
      <c r="AL13" s="38"/>
      <c r="AO13" s="39"/>
      <c r="AP13" s="38"/>
      <c r="AS13" s="39"/>
      <c r="AW13" s="39"/>
      <c r="BA13" s="40"/>
    </row>
    <row r="14" spans="1:53" s="29" customFormat="1" x14ac:dyDescent="0.15">
      <c r="A14" s="52">
        <v>1981</v>
      </c>
      <c r="B14" s="295"/>
      <c r="C14" s="411" t="s">
        <v>838</v>
      </c>
      <c r="D14" s="411"/>
      <c r="E14" s="29">
        <v>57</v>
      </c>
      <c r="G14" s="66"/>
      <c r="H14" s="29">
        <v>22</v>
      </c>
      <c r="J14" s="73">
        <v>24</v>
      </c>
      <c r="K14" s="47">
        <f t="shared" si="0"/>
        <v>0</v>
      </c>
      <c r="L14" s="47">
        <f t="shared" si="0"/>
        <v>91.666666666666657</v>
      </c>
      <c r="M14" s="47">
        <f t="shared" si="0"/>
        <v>0</v>
      </c>
      <c r="N14" s="68">
        <f t="shared" si="1"/>
        <v>91.666666666666657</v>
      </c>
      <c r="O14" s="46"/>
      <c r="P14" s="47">
        <v>48</v>
      </c>
      <c r="Q14" s="47"/>
      <c r="R14" s="48">
        <f t="shared" si="2"/>
        <v>48</v>
      </c>
      <c r="S14" s="29">
        <v>4</v>
      </c>
      <c r="T14" s="286"/>
      <c r="U14" s="295"/>
      <c r="V14" s="38" t="s">
        <v>474</v>
      </c>
      <c r="W14" s="29" t="s">
        <v>74</v>
      </c>
      <c r="X14" s="29" t="s">
        <v>18</v>
      </c>
      <c r="Y14" s="39">
        <v>48</v>
      </c>
      <c r="AD14" s="38"/>
      <c r="AG14" s="39"/>
      <c r="AL14" s="38"/>
      <c r="AO14" s="39"/>
      <c r="AP14" s="38"/>
      <c r="AS14" s="39"/>
      <c r="AW14" s="39"/>
      <c r="BA14" s="40"/>
    </row>
    <row r="15" spans="1:53" s="171" customFormat="1" x14ac:dyDescent="0.15">
      <c r="A15" s="216">
        <v>1981</v>
      </c>
      <c r="B15" s="283">
        <v>29644</v>
      </c>
      <c r="C15" s="410" t="s">
        <v>839</v>
      </c>
      <c r="D15" s="410"/>
      <c r="E15" s="171">
        <v>308</v>
      </c>
      <c r="F15" s="171">
        <v>2</v>
      </c>
      <c r="G15" s="233"/>
      <c r="H15" s="171">
        <v>16</v>
      </c>
      <c r="J15" s="241">
        <v>16</v>
      </c>
      <c r="K15" s="214">
        <f t="shared" si="0"/>
        <v>0</v>
      </c>
      <c r="L15" s="214">
        <f t="shared" si="0"/>
        <v>100</v>
      </c>
      <c r="M15" s="214">
        <f t="shared" si="0"/>
        <v>0</v>
      </c>
      <c r="N15" s="235">
        <f t="shared" si="1"/>
        <v>100</v>
      </c>
      <c r="O15" s="213"/>
      <c r="P15" s="214">
        <v>48</v>
      </c>
      <c r="Q15" s="214"/>
      <c r="R15" s="215">
        <f t="shared" si="2"/>
        <v>48</v>
      </c>
      <c r="S15" s="171">
        <v>4</v>
      </c>
      <c r="T15" s="285"/>
      <c r="U15" s="283">
        <v>29644</v>
      </c>
      <c r="V15" s="178" t="s">
        <v>474</v>
      </c>
      <c r="W15" s="171" t="s">
        <v>74</v>
      </c>
      <c r="X15" s="171" t="s">
        <v>18</v>
      </c>
      <c r="Y15" s="179">
        <v>48</v>
      </c>
      <c r="AD15" s="178"/>
      <c r="AG15" s="179"/>
      <c r="AL15" s="178"/>
      <c r="AO15" s="179"/>
      <c r="AP15" s="178"/>
      <c r="AS15" s="179"/>
      <c r="AW15" s="179"/>
      <c r="BA15" s="180"/>
    </row>
    <row r="16" spans="1:53" s="171" customFormat="1" x14ac:dyDescent="0.15">
      <c r="A16" s="216">
        <v>1982</v>
      </c>
      <c r="B16" s="283"/>
      <c r="C16" s="410" t="s">
        <v>839</v>
      </c>
      <c r="D16" s="410"/>
      <c r="E16" s="171">
        <v>336</v>
      </c>
      <c r="G16" s="233"/>
      <c r="H16" s="171">
        <v>16</v>
      </c>
      <c r="J16" s="241">
        <v>16</v>
      </c>
      <c r="K16" s="214">
        <f t="shared" si="0"/>
        <v>0</v>
      </c>
      <c r="L16" s="214">
        <f t="shared" si="0"/>
        <v>100</v>
      </c>
      <c r="M16" s="214">
        <f t="shared" si="0"/>
        <v>0</v>
      </c>
      <c r="N16" s="235">
        <f t="shared" si="1"/>
        <v>100</v>
      </c>
      <c r="O16" s="213"/>
      <c r="P16" s="214">
        <v>48</v>
      </c>
      <c r="Q16" s="214"/>
      <c r="R16" s="215">
        <f t="shared" si="2"/>
        <v>48</v>
      </c>
      <c r="S16" s="171">
        <v>4</v>
      </c>
      <c r="T16" s="285"/>
      <c r="U16" s="283"/>
      <c r="V16" s="178" t="s">
        <v>474</v>
      </c>
      <c r="W16" s="171" t="s">
        <v>74</v>
      </c>
      <c r="X16" s="171" t="s">
        <v>18</v>
      </c>
      <c r="Y16" s="179">
        <v>48</v>
      </c>
      <c r="AD16" s="178"/>
      <c r="AG16" s="179"/>
      <c r="AL16" s="178"/>
      <c r="AO16" s="179"/>
      <c r="AP16" s="178"/>
      <c r="AS16" s="179"/>
      <c r="AW16" s="179"/>
      <c r="BA16" s="180"/>
    </row>
    <row r="17" spans="1:53" s="29" customFormat="1" x14ac:dyDescent="0.15">
      <c r="A17" s="52">
        <v>1982</v>
      </c>
      <c r="B17" s="295">
        <v>30288</v>
      </c>
      <c r="C17" s="411" t="s">
        <v>840</v>
      </c>
      <c r="D17" s="411"/>
      <c r="E17" s="29">
        <f>365-E16</f>
        <v>29</v>
      </c>
      <c r="F17" s="29">
        <v>1</v>
      </c>
      <c r="G17" s="66"/>
      <c r="I17" s="29">
        <v>17</v>
      </c>
      <c r="J17" s="73">
        <v>17</v>
      </c>
      <c r="K17" s="47">
        <f t="shared" si="0"/>
        <v>0</v>
      </c>
      <c r="L17" s="47">
        <f t="shared" si="0"/>
        <v>0</v>
      </c>
      <c r="M17" s="47">
        <f t="shared" si="0"/>
        <v>100</v>
      </c>
      <c r="N17" s="68">
        <f t="shared" si="1"/>
        <v>100</v>
      </c>
      <c r="O17" s="46"/>
      <c r="P17" s="47"/>
      <c r="Q17" s="47">
        <v>57.7</v>
      </c>
      <c r="R17" s="48">
        <f t="shared" si="2"/>
        <v>57.7</v>
      </c>
      <c r="S17" s="29">
        <v>1</v>
      </c>
      <c r="T17" s="286">
        <v>30124</v>
      </c>
      <c r="U17" s="295">
        <v>30288</v>
      </c>
      <c r="V17" s="38" t="s">
        <v>475</v>
      </c>
      <c r="W17" s="29" t="s">
        <v>20</v>
      </c>
      <c r="X17" s="29" t="s">
        <v>12</v>
      </c>
      <c r="Y17" s="39">
        <v>57.7</v>
      </c>
      <c r="AD17" s="38"/>
      <c r="AG17" s="39"/>
      <c r="AL17" s="38"/>
      <c r="AO17" s="39"/>
      <c r="AP17" s="38"/>
      <c r="AS17" s="39"/>
      <c r="AW17" s="39"/>
      <c r="BA17" s="40"/>
    </row>
    <row r="18" spans="1:53" s="29" customFormat="1" x14ac:dyDescent="0.15">
      <c r="A18" s="52">
        <v>1983</v>
      </c>
      <c r="B18" s="295"/>
      <c r="C18" s="411" t="s">
        <v>840</v>
      </c>
      <c r="D18" s="411"/>
      <c r="E18" s="29">
        <v>0</v>
      </c>
      <c r="G18" s="66"/>
      <c r="I18" s="29">
        <v>17</v>
      </c>
      <c r="J18" s="73">
        <v>17</v>
      </c>
      <c r="K18" s="47">
        <f t="shared" si="0"/>
        <v>0</v>
      </c>
      <c r="L18" s="47">
        <f t="shared" si="0"/>
        <v>0</v>
      </c>
      <c r="M18" s="47">
        <f t="shared" si="0"/>
        <v>100</v>
      </c>
      <c r="N18" s="68">
        <f t="shared" si="1"/>
        <v>100</v>
      </c>
      <c r="O18" s="46"/>
      <c r="P18" s="47"/>
      <c r="Q18" s="47">
        <v>57.7</v>
      </c>
      <c r="R18" s="48">
        <f t="shared" si="2"/>
        <v>57.7</v>
      </c>
      <c r="S18" s="29">
        <v>1</v>
      </c>
      <c r="T18" s="286"/>
      <c r="U18" s="295"/>
      <c r="V18" s="38" t="s">
        <v>475</v>
      </c>
      <c r="W18" s="29" t="s">
        <v>20</v>
      </c>
      <c r="X18" s="29" t="s">
        <v>12</v>
      </c>
      <c r="Y18" s="39">
        <v>57.7</v>
      </c>
      <c r="AD18" s="38"/>
      <c r="AG18" s="39"/>
      <c r="AL18" s="38"/>
      <c r="AO18" s="39"/>
      <c r="AP18" s="38"/>
      <c r="AS18" s="39"/>
      <c r="AW18" s="39"/>
      <c r="BA18" s="40"/>
    </row>
    <row r="19" spans="1:53" s="29" customFormat="1" x14ac:dyDescent="0.15">
      <c r="A19" s="52">
        <v>1983</v>
      </c>
      <c r="B19" s="295"/>
      <c r="C19" s="411" t="s">
        <v>840</v>
      </c>
      <c r="D19" s="411"/>
      <c r="E19" s="29">
        <v>365</v>
      </c>
      <c r="G19" s="66"/>
      <c r="I19" s="29">
        <v>17</v>
      </c>
      <c r="J19" s="73">
        <v>17</v>
      </c>
      <c r="K19" s="47">
        <f t="shared" si="0"/>
        <v>0</v>
      </c>
      <c r="L19" s="47">
        <f t="shared" si="0"/>
        <v>0</v>
      </c>
      <c r="M19" s="47">
        <f t="shared" si="0"/>
        <v>100</v>
      </c>
      <c r="N19" s="68">
        <f t="shared" si="1"/>
        <v>100</v>
      </c>
      <c r="O19" s="46"/>
      <c r="P19" s="47"/>
      <c r="Q19" s="47">
        <v>57.7</v>
      </c>
      <c r="R19" s="48">
        <f t="shared" si="2"/>
        <v>57.7</v>
      </c>
      <c r="S19" s="29">
        <v>1</v>
      </c>
      <c r="T19" s="286"/>
      <c r="U19" s="295"/>
      <c r="V19" s="38" t="s">
        <v>475</v>
      </c>
      <c r="W19" s="29" t="s">
        <v>20</v>
      </c>
      <c r="X19" s="29" t="s">
        <v>12</v>
      </c>
      <c r="Y19" s="39">
        <v>57.7</v>
      </c>
      <c r="AD19" s="38"/>
      <c r="AG19" s="39"/>
      <c r="AL19" s="38"/>
      <c r="AO19" s="39"/>
      <c r="AP19" s="38"/>
      <c r="AS19" s="39"/>
      <c r="AW19" s="39"/>
      <c r="BA19" s="40"/>
    </row>
    <row r="20" spans="1:53" s="29" customFormat="1" x14ac:dyDescent="0.15">
      <c r="A20" s="52">
        <v>1984</v>
      </c>
      <c r="B20" s="295"/>
      <c r="C20" s="411" t="s">
        <v>840</v>
      </c>
      <c r="D20" s="411"/>
      <c r="E20" s="29">
        <v>0</v>
      </c>
      <c r="G20" s="66"/>
      <c r="I20" s="29">
        <v>17</v>
      </c>
      <c r="J20" s="73">
        <v>17</v>
      </c>
      <c r="K20" s="47">
        <f t="shared" si="0"/>
        <v>0</v>
      </c>
      <c r="L20" s="47">
        <f t="shared" si="0"/>
        <v>0</v>
      </c>
      <c r="M20" s="47">
        <f t="shared" si="0"/>
        <v>100</v>
      </c>
      <c r="N20" s="68">
        <f t="shared" si="1"/>
        <v>100</v>
      </c>
      <c r="O20" s="46"/>
      <c r="P20" s="47"/>
      <c r="Q20" s="47">
        <v>57.7</v>
      </c>
      <c r="R20" s="48">
        <f t="shared" si="2"/>
        <v>57.7</v>
      </c>
      <c r="S20" s="29">
        <v>1</v>
      </c>
      <c r="T20" s="286"/>
      <c r="U20" s="295"/>
      <c r="V20" s="38" t="s">
        <v>475</v>
      </c>
      <c r="W20" s="29" t="s">
        <v>20</v>
      </c>
      <c r="X20" s="29" t="s">
        <v>12</v>
      </c>
      <c r="Y20" s="39">
        <v>57.7</v>
      </c>
      <c r="AD20" s="38"/>
      <c r="AG20" s="39"/>
      <c r="AL20" s="38"/>
      <c r="AO20" s="39"/>
      <c r="AP20" s="38"/>
      <c r="AS20" s="39"/>
      <c r="AW20" s="39"/>
      <c r="BA20" s="40"/>
    </row>
    <row r="21" spans="1:53" s="29" customFormat="1" x14ac:dyDescent="0.15">
      <c r="A21" s="52">
        <v>1984</v>
      </c>
      <c r="B21" s="295"/>
      <c r="C21" s="411" t="s">
        <v>840</v>
      </c>
      <c r="D21" s="411"/>
      <c r="E21" s="29">
        <v>366</v>
      </c>
      <c r="G21" s="66"/>
      <c r="I21" s="29">
        <v>17</v>
      </c>
      <c r="J21" s="73">
        <v>17</v>
      </c>
      <c r="K21" s="47">
        <f t="shared" si="0"/>
        <v>0</v>
      </c>
      <c r="L21" s="47">
        <f t="shared" si="0"/>
        <v>0</v>
      </c>
      <c r="M21" s="47">
        <f t="shared" si="0"/>
        <v>100</v>
      </c>
      <c r="N21" s="68">
        <f t="shared" si="1"/>
        <v>100</v>
      </c>
      <c r="O21" s="46"/>
      <c r="P21" s="47"/>
      <c r="Q21" s="47">
        <v>57.7</v>
      </c>
      <c r="R21" s="48">
        <f t="shared" si="2"/>
        <v>57.7</v>
      </c>
      <c r="S21" s="29">
        <v>1</v>
      </c>
      <c r="T21" s="286"/>
      <c r="U21" s="295"/>
      <c r="V21" s="38" t="s">
        <v>475</v>
      </c>
      <c r="W21" s="29" t="s">
        <v>20</v>
      </c>
      <c r="X21" s="29" t="s">
        <v>12</v>
      </c>
      <c r="Y21" s="39">
        <v>57.7</v>
      </c>
      <c r="AD21" s="38"/>
      <c r="AG21" s="39"/>
      <c r="AL21" s="38"/>
      <c r="AO21" s="39"/>
      <c r="AP21" s="38"/>
      <c r="AS21" s="39"/>
      <c r="AW21" s="39"/>
      <c r="BA21" s="40"/>
    </row>
    <row r="22" spans="1:53" s="29" customFormat="1" x14ac:dyDescent="0.15">
      <c r="A22" s="52">
        <v>1985</v>
      </c>
      <c r="B22" s="295"/>
      <c r="C22" s="411" t="s">
        <v>840</v>
      </c>
      <c r="D22" s="411"/>
      <c r="E22" s="29">
        <v>0</v>
      </c>
      <c r="G22" s="66"/>
      <c r="I22" s="29">
        <v>17</v>
      </c>
      <c r="J22" s="73">
        <v>17</v>
      </c>
      <c r="K22" s="47">
        <f t="shared" si="0"/>
        <v>0</v>
      </c>
      <c r="L22" s="47">
        <f t="shared" si="0"/>
        <v>0</v>
      </c>
      <c r="M22" s="47">
        <f t="shared" si="0"/>
        <v>100</v>
      </c>
      <c r="N22" s="68">
        <f t="shared" si="1"/>
        <v>100</v>
      </c>
      <c r="O22" s="46"/>
      <c r="P22" s="47"/>
      <c r="Q22" s="47">
        <v>57.7</v>
      </c>
      <c r="R22" s="48">
        <f t="shared" si="2"/>
        <v>57.7</v>
      </c>
      <c r="S22" s="29">
        <v>1</v>
      </c>
      <c r="T22" s="286"/>
      <c r="U22" s="295"/>
      <c r="V22" s="38" t="s">
        <v>475</v>
      </c>
      <c r="W22" s="29" t="s">
        <v>20</v>
      </c>
      <c r="X22" s="29" t="s">
        <v>12</v>
      </c>
      <c r="Y22" s="39">
        <v>57.7</v>
      </c>
      <c r="AD22" s="38"/>
      <c r="AG22" s="39"/>
      <c r="AL22" s="38"/>
      <c r="AO22" s="39"/>
      <c r="AP22" s="38"/>
      <c r="AS22" s="39"/>
      <c r="AW22" s="39"/>
      <c r="BA22" s="40"/>
    </row>
    <row r="23" spans="1:53" s="29" customFormat="1" x14ac:dyDescent="0.15">
      <c r="A23" s="52">
        <v>1985</v>
      </c>
      <c r="B23" s="295"/>
      <c r="C23" s="411" t="s">
        <v>840</v>
      </c>
      <c r="D23" s="411"/>
      <c r="E23" s="29">
        <v>365</v>
      </c>
      <c r="G23" s="66"/>
      <c r="I23" s="29">
        <v>17</v>
      </c>
      <c r="J23" s="73">
        <v>17</v>
      </c>
      <c r="K23" s="47">
        <f t="shared" si="0"/>
        <v>0</v>
      </c>
      <c r="L23" s="47">
        <f t="shared" si="0"/>
        <v>0</v>
      </c>
      <c r="M23" s="47">
        <f t="shared" si="0"/>
        <v>100</v>
      </c>
      <c r="N23" s="68">
        <f t="shared" si="1"/>
        <v>100</v>
      </c>
      <c r="O23" s="46"/>
      <c r="P23" s="47"/>
      <c r="Q23" s="47">
        <v>57.7</v>
      </c>
      <c r="R23" s="48">
        <f t="shared" si="2"/>
        <v>57.7</v>
      </c>
      <c r="S23" s="29">
        <v>1</v>
      </c>
      <c r="T23" s="286"/>
      <c r="U23" s="295"/>
      <c r="V23" s="38" t="s">
        <v>475</v>
      </c>
      <c r="W23" s="29" t="s">
        <v>20</v>
      </c>
      <c r="X23" s="29" t="s">
        <v>12</v>
      </c>
      <c r="Y23" s="39">
        <v>57.7</v>
      </c>
      <c r="AD23" s="38"/>
      <c r="AG23" s="39"/>
      <c r="AL23" s="38"/>
      <c r="AO23" s="39"/>
      <c r="AP23" s="38"/>
      <c r="AS23" s="39"/>
      <c r="AW23" s="39"/>
      <c r="BA23" s="40"/>
    </row>
    <row r="24" spans="1:53" s="29" customFormat="1" x14ac:dyDescent="0.15">
      <c r="A24" s="52">
        <v>1986</v>
      </c>
      <c r="B24" s="295"/>
      <c r="C24" s="411" t="s">
        <v>840</v>
      </c>
      <c r="D24" s="411"/>
      <c r="E24" s="29">
        <v>209</v>
      </c>
      <c r="G24" s="66"/>
      <c r="I24" s="29">
        <v>17</v>
      </c>
      <c r="J24" s="73">
        <v>17</v>
      </c>
      <c r="K24" s="47">
        <f t="shared" ref="K24:M79" si="3">G24/$J24*100</f>
        <v>0</v>
      </c>
      <c r="L24" s="47">
        <f t="shared" si="3"/>
        <v>0</v>
      </c>
      <c r="M24" s="47">
        <f t="shared" si="3"/>
        <v>100</v>
      </c>
      <c r="N24" s="68">
        <f t="shared" si="1"/>
        <v>100</v>
      </c>
      <c r="O24" s="46"/>
      <c r="P24" s="47"/>
      <c r="Q24" s="47">
        <v>57.7</v>
      </c>
      <c r="R24" s="48">
        <f t="shared" si="2"/>
        <v>57.7</v>
      </c>
      <c r="S24" s="29">
        <v>1</v>
      </c>
      <c r="T24" s="286"/>
      <c r="U24" s="295"/>
      <c r="V24" s="38" t="s">
        <v>475</v>
      </c>
      <c r="W24" s="29" t="s">
        <v>20</v>
      </c>
      <c r="X24" s="29" t="s">
        <v>12</v>
      </c>
      <c r="Y24" s="39">
        <v>57.7</v>
      </c>
      <c r="AD24" s="38"/>
      <c r="AG24" s="39"/>
      <c r="AL24" s="38"/>
      <c r="AO24" s="39"/>
      <c r="AP24" s="38"/>
      <c r="AS24" s="39"/>
      <c r="AW24" s="39"/>
      <c r="BA24" s="40"/>
    </row>
    <row r="25" spans="1:53" s="171" customFormat="1" x14ac:dyDescent="0.15">
      <c r="A25" s="216">
        <v>1986</v>
      </c>
      <c r="B25" s="283">
        <v>31619</v>
      </c>
      <c r="C25" s="410" t="s">
        <v>841</v>
      </c>
      <c r="D25" s="410"/>
      <c r="E25" s="171">
        <f>365-E24</f>
        <v>156</v>
      </c>
      <c r="F25" s="171">
        <v>1</v>
      </c>
      <c r="G25" s="233"/>
      <c r="I25" s="171">
        <v>17</v>
      </c>
      <c r="J25" s="241">
        <v>17</v>
      </c>
      <c r="K25" s="214">
        <f t="shared" si="3"/>
        <v>0</v>
      </c>
      <c r="L25" s="214">
        <f t="shared" si="3"/>
        <v>0</v>
      </c>
      <c r="M25" s="214">
        <f t="shared" si="3"/>
        <v>100</v>
      </c>
      <c r="N25" s="235">
        <f t="shared" si="1"/>
        <v>100</v>
      </c>
      <c r="O25" s="213"/>
      <c r="P25" s="214"/>
      <c r="Q25" s="214">
        <v>52.6</v>
      </c>
      <c r="R25" s="215">
        <f t="shared" si="2"/>
        <v>52.6</v>
      </c>
      <c r="S25" s="171">
        <v>1</v>
      </c>
      <c r="T25" s="285">
        <v>31585</v>
      </c>
      <c r="U25" s="283">
        <v>31619</v>
      </c>
      <c r="V25" s="178" t="s">
        <v>475</v>
      </c>
      <c r="W25" s="171" t="s">
        <v>20</v>
      </c>
      <c r="X25" s="171" t="s">
        <v>12</v>
      </c>
      <c r="Y25" s="179">
        <v>52.6</v>
      </c>
      <c r="AD25" s="178"/>
      <c r="AG25" s="179"/>
      <c r="AL25" s="178"/>
      <c r="AO25" s="179"/>
      <c r="AP25" s="178"/>
      <c r="AS25" s="179"/>
      <c r="AW25" s="179"/>
      <c r="BA25" s="180"/>
    </row>
    <row r="26" spans="1:53" s="171" customFormat="1" x14ac:dyDescent="0.15">
      <c r="A26" s="216">
        <v>1987</v>
      </c>
      <c r="B26" s="283"/>
      <c r="C26" s="410" t="s">
        <v>841</v>
      </c>
      <c r="D26" s="410"/>
      <c r="E26" s="171">
        <v>0</v>
      </c>
      <c r="G26" s="233"/>
      <c r="I26" s="171">
        <v>17</v>
      </c>
      <c r="J26" s="241">
        <v>17</v>
      </c>
      <c r="K26" s="214">
        <f t="shared" si="3"/>
        <v>0</v>
      </c>
      <c r="L26" s="214">
        <f t="shared" si="3"/>
        <v>0</v>
      </c>
      <c r="M26" s="214">
        <f t="shared" si="3"/>
        <v>100</v>
      </c>
      <c r="N26" s="235">
        <f t="shared" si="1"/>
        <v>100</v>
      </c>
      <c r="O26" s="213"/>
      <c r="P26" s="214"/>
      <c r="Q26" s="214">
        <v>52.6</v>
      </c>
      <c r="R26" s="215">
        <f t="shared" si="2"/>
        <v>52.6</v>
      </c>
      <c r="S26" s="171">
        <v>1</v>
      </c>
      <c r="T26" s="285"/>
      <c r="U26" s="283"/>
      <c r="V26" s="178" t="s">
        <v>475</v>
      </c>
      <c r="W26" s="171" t="s">
        <v>20</v>
      </c>
      <c r="X26" s="171" t="s">
        <v>12</v>
      </c>
      <c r="Y26" s="179">
        <v>52.6</v>
      </c>
      <c r="AD26" s="178"/>
      <c r="AG26" s="179"/>
      <c r="AL26" s="178"/>
      <c r="AO26" s="179"/>
      <c r="AP26" s="178"/>
      <c r="AS26" s="179"/>
      <c r="AW26" s="179"/>
      <c r="BA26" s="180"/>
    </row>
    <row r="27" spans="1:53" s="171" customFormat="1" x14ac:dyDescent="0.15">
      <c r="A27" s="216">
        <v>1987</v>
      </c>
      <c r="B27" s="283"/>
      <c r="C27" s="410" t="s">
        <v>841</v>
      </c>
      <c r="D27" s="410"/>
      <c r="E27" s="171">
        <v>365</v>
      </c>
      <c r="G27" s="233"/>
      <c r="I27" s="171">
        <v>17</v>
      </c>
      <c r="J27" s="241">
        <v>17</v>
      </c>
      <c r="K27" s="214">
        <f t="shared" si="3"/>
        <v>0</v>
      </c>
      <c r="L27" s="214">
        <f t="shared" si="3"/>
        <v>0</v>
      </c>
      <c r="M27" s="214">
        <f t="shared" si="3"/>
        <v>100</v>
      </c>
      <c r="N27" s="235">
        <f t="shared" si="1"/>
        <v>100</v>
      </c>
      <c r="O27" s="213"/>
      <c r="P27" s="214"/>
      <c r="Q27" s="214">
        <v>52.6</v>
      </c>
      <c r="R27" s="215">
        <f t="shared" si="2"/>
        <v>52.6</v>
      </c>
      <c r="S27" s="171">
        <v>1</v>
      </c>
      <c r="T27" s="285"/>
      <c r="U27" s="283"/>
      <c r="V27" s="178" t="s">
        <v>475</v>
      </c>
      <c r="W27" s="171" t="s">
        <v>20</v>
      </c>
      <c r="X27" s="171" t="s">
        <v>12</v>
      </c>
      <c r="Y27" s="179">
        <v>52.6</v>
      </c>
      <c r="AD27" s="178"/>
      <c r="AG27" s="179"/>
      <c r="AL27" s="178"/>
      <c r="AO27" s="179"/>
      <c r="AP27" s="178"/>
      <c r="AS27" s="179"/>
      <c r="AW27" s="179"/>
      <c r="BA27" s="180"/>
    </row>
    <row r="28" spans="1:53" s="171" customFormat="1" x14ac:dyDescent="0.15">
      <c r="A28" s="216">
        <v>1988</v>
      </c>
      <c r="B28" s="283"/>
      <c r="C28" s="410" t="s">
        <v>841</v>
      </c>
      <c r="D28" s="410"/>
      <c r="E28" s="171">
        <v>0</v>
      </c>
      <c r="G28" s="233"/>
      <c r="I28" s="171">
        <v>17</v>
      </c>
      <c r="J28" s="241">
        <v>17</v>
      </c>
      <c r="K28" s="214">
        <f t="shared" si="3"/>
        <v>0</v>
      </c>
      <c r="L28" s="214">
        <f t="shared" si="3"/>
        <v>0</v>
      </c>
      <c r="M28" s="214">
        <f t="shared" si="3"/>
        <v>100</v>
      </c>
      <c r="N28" s="235">
        <f t="shared" si="1"/>
        <v>100</v>
      </c>
      <c r="O28" s="213"/>
      <c r="P28" s="214"/>
      <c r="Q28" s="214">
        <v>52.6</v>
      </c>
      <c r="R28" s="215">
        <f t="shared" si="2"/>
        <v>52.6</v>
      </c>
      <c r="S28" s="171">
        <v>1</v>
      </c>
      <c r="T28" s="285"/>
      <c r="U28" s="283"/>
      <c r="V28" s="178" t="s">
        <v>475</v>
      </c>
      <c r="W28" s="171" t="s">
        <v>20</v>
      </c>
      <c r="X28" s="171" t="s">
        <v>12</v>
      </c>
      <c r="Y28" s="179">
        <v>52.6</v>
      </c>
      <c r="AD28" s="178"/>
      <c r="AG28" s="179"/>
      <c r="AL28" s="178"/>
      <c r="AO28" s="179"/>
      <c r="AP28" s="178"/>
      <c r="AS28" s="179"/>
      <c r="AW28" s="179"/>
      <c r="BA28" s="180"/>
    </row>
    <row r="29" spans="1:53" s="171" customFormat="1" x14ac:dyDescent="0.15">
      <c r="A29" s="216">
        <v>1988</v>
      </c>
      <c r="B29" s="283"/>
      <c r="C29" s="410" t="s">
        <v>841</v>
      </c>
      <c r="D29" s="410"/>
      <c r="E29" s="171">
        <v>366</v>
      </c>
      <c r="G29" s="233"/>
      <c r="I29" s="171">
        <v>17</v>
      </c>
      <c r="J29" s="241">
        <v>17</v>
      </c>
      <c r="K29" s="214">
        <f t="shared" si="3"/>
        <v>0</v>
      </c>
      <c r="L29" s="214">
        <f t="shared" si="3"/>
        <v>0</v>
      </c>
      <c r="M29" s="214">
        <f t="shared" si="3"/>
        <v>100</v>
      </c>
      <c r="N29" s="235">
        <f t="shared" si="1"/>
        <v>100</v>
      </c>
      <c r="O29" s="213"/>
      <c r="P29" s="214"/>
      <c r="Q29" s="214">
        <v>52.6</v>
      </c>
      <c r="R29" s="215">
        <f t="shared" si="2"/>
        <v>52.6</v>
      </c>
      <c r="S29" s="171">
        <v>1</v>
      </c>
      <c r="T29" s="285"/>
      <c r="U29" s="283"/>
      <c r="V29" s="178" t="s">
        <v>475</v>
      </c>
      <c r="W29" s="171" t="s">
        <v>20</v>
      </c>
      <c r="X29" s="171" t="s">
        <v>12</v>
      </c>
      <c r="Y29" s="179">
        <v>52.6</v>
      </c>
      <c r="AD29" s="178"/>
      <c r="AG29" s="179"/>
      <c r="AL29" s="178"/>
      <c r="AO29" s="179"/>
      <c r="AP29" s="178"/>
      <c r="AS29" s="179"/>
      <c r="AW29" s="179"/>
      <c r="BA29" s="180"/>
    </row>
    <row r="30" spans="1:53" s="171" customFormat="1" x14ac:dyDescent="0.15">
      <c r="A30" s="216">
        <v>1989</v>
      </c>
      <c r="B30" s="283"/>
      <c r="C30" s="410" t="s">
        <v>841</v>
      </c>
      <c r="D30" s="410"/>
      <c r="E30" s="171">
        <v>340</v>
      </c>
      <c r="G30" s="233"/>
      <c r="I30" s="171">
        <v>17</v>
      </c>
      <c r="J30" s="241">
        <v>17</v>
      </c>
      <c r="K30" s="214">
        <f t="shared" si="3"/>
        <v>0</v>
      </c>
      <c r="L30" s="214">
        <f t="shared" si="3"/>
        <v>0</v>
      </c>
      <c r="M30" s="214">
        <f t="shared" si="3"/>
        <v>100</v>
      </c>
      <c r="N30" s="235">
        <f t="shared" si="1"/>
        <v>100</v>
      </c>
      <c r="O30" s="213"/>
      <c r="P30" s="214"/>
      <c r="Q30" s="214">
        <v>52.6</v>
      </c>
      <c r="R30" s="215">
        <f t="shared" si="2"/>
        <v>52.6</v>
      </c>
      <c r="S30" s="171">
        <v>1</v>
      </c>
      <c r="T30" s="285"/>
      <c r="U30" s="283"/>
      <c r="V30" s="178" t="s">
        <v>475</v>
      </c>
      <c r="W30" s="171" t="s">
        <v>20</v>
      </c>
      <c r="X30" s="171" t="s">
        <v>12</v>
      </c>
      <c r="Y30" s="179">
        <v>52.6</v>
      </c>
      <c r="AD30" s="178"/>
      <c r="AG30" s="179"/>
      <c r="AL30" s="178"/>
      <c r="AO30" s="179"/>
      <c r="AP30" s="178"/>
      <c r="AS30" s="179"/>
      <c r="AW30" s="179"/>
      <c r="BA30" s="180"/>
    </row>
    <row r="31" spans="1:53" s="29" customFormat="1" x14ac:dyDescent="0.15">
      <c r="A31" s="52">
        <v>1989</v>
      </c>
      <c r="B31" s="295">
        <v>32849</v>
      </c>
      <c r="C31" s="411" t="s">
        <v>842</v>
      </c>
      <c r="D31" s="411"/>
      <c r="E31" s="29">
        <f>365-E30</f>
        <v>25</v>
      </c>
      <c r="F31" s="29">
        <v>1</v>
      </c>
      <c r="G31" s="66"/>
      <c r="I31" s="29">
        <v>19</v>
      </c>
      <c r="J31" s="73">
        <v>19</v>
      </c>
      <c r="K31" s="47">
        <f t="shared" si="3"/>
        <v>0</v>
      </c>
      <c r="L31" s="47">
        <f t="shared" si="3"/>
        <v>0</v>
      </c>
      <c r="M31" s="47">
        <f t="shared" si="3"/>
        <v>100</v>
      </c>
      <c r="N31" s="68">
        <f t="shared" si="1"/>
        <v>100</v>
      </c>
      <c r="O31" s="46"/>
      <c r="P31" s="47"/>
      <c r="Q31" s="47">
        <v>50</v>
      </c>
      <c r="R31" s="48">
        <f t="shared" si="2"/>
        <v>50</v>
      </c>
      <c r="S31" s="29">
        <v>4</v>
      </c>
      <c r="T31" s="286">
        <v>32810</v>
      </c>
      <c r="U31" s="295">
        <v>32849</v>
      </c>
      <c r="V31" s="38" t="s">
        <v>475</v>
      </c>
      <c r="W31" s="29" t="s">
        <v>20</v>
      </c>
      <c r="X31" s="29" t="s">
        <v>12</v>
      </c>
      <c r="Y31" s="39">
        <v>50</v>
      </c>
      <c r="AD31" s="38"/>
      <c r="AG31" s="39"/>
      <c r="AL31" s="38"/>
      <c r="AO31" s="39"/>
      <c r="AP31" s="38"/>
      <c r="AS31" s="39"/>
      <c r="AW31" s="39"/>
      <c r="BA31" s="40"/>
    </row>
    <row r="32" spans="1:53" s="85" customFormat="1" x14ac:dyDescent="0.15">
      <c r="A32" s="85">
        <v>1990</v>
      </c>
      <c r="B32" s="312"/>
      <c r="C32" s="440" t="s">
        <v>842</v>
      </c>
      <c r="D32" s="440"/>
      <c r="E32" s="85">
        <v>0</v>
      </c>
      <c r="G32" s="95"/>
      <c r="I32" s="85">
        <v>19</v>
      </c>
      <c r="J32" s="96">
        <v>19</v>
      </c>
      <c r="K32" s="99">
        <f t="shared" si="3"/>
        <v>0</v>
      </c>
      <c r="L32" s="97">
        <f t="shared" si="3"/>
        <v>0</v>
      </c>
      <c r="M32" s="97">
        <f t="shared" si="3"/>
        <v>100</v>
      </c>
      <c r="N32" s="100">
        <f t="shared" si="1"/>
        <v>100</v>
      </c>
      <c r="O32" s="99"/>
      <c r="P32" s="97"/>
      <c r="Q32" s="97">
        <v>50</v>
      </c>
      <c r="R32" s="100">
        <f t="shared" si="2"/>
        <v>50</v>
      </c>
      <c r="S32" s="85">
        <v>4</v>
      </c>
      <c r="T32" s="313"/>
      <c r="U32" s="312"/>
      <c r="V32" s="101" t="s">
        <v>475</v>
      </c>
      <c r="W32" s="85" t="s">
        <v>20</v>
      </c>
      <c r="X32" s="85" t="s">
        <v>12</v>
      </c>
      <c r="Y32" s="102">
        <v>50</v>
      </c>
      <c r="AD32" s="101"/>
      <c r="AG32" s="102"/>
      <c r="AL32" s="101"/>
      <c r="AO32" s="102"/>
      <c r="AP32" s="101"/>
      <c r="AS32" s="102"/>
      <c r="AW32" s="102"/>
      <c r="BA32" s="103"/>
    </row>
    <row r="33" spans="1:53" s="29" customFormat="1" x14ac:dyDescent="0.15">
      <c r="A33" s="29">
        <v>1990</v>
      </c>
      <c r="B33" s="295"/>
      <c r="C33" s="411" t="s">
        <v>842</v>
      </c>
      <c r="D33" s="411"/>
      <c r="E33" s="29">
        <f>365-E32</f>
        <v>365</v>
      </c>
      <c r="G33" s="66"/>
      <c r="I33" s="29">
        <v>19</v>
      </c>
      <c r="J33" s="73">
        <v>19</v>
      </c>
      <c r="K33" s="47">
        <f t="shared" si="3"/>
        <v>0</v>
      </c>
      <c r="L33" s="47">
        <f t="shared" si="3"/>
        <v>0</v>
      </c>
      <c r="M33" s="47">
        <f t="shared" si="3"/>
        <v>100</v>
      </c>
      <c r="N33" s="68">
        <f t="shared" si="1"/>
        <v>100</v>
      </c>
      <c r="O33" s="46"/>
      <c r="P33" s="47"/>
      <c r="Q33" s="47">
        <v>50</v>
      </c>
      <c r="R33" s="48">
        <f t="shared" si="2"/>
        <v>50</v>
      </c>
      <c r="S33" s="29">
        <v>4</v>
      </c>
      <c r="T33" s="286"/>
      <c r="U33" s="295"/>
      <c r="V33" s="38" t="s">
        <v>475</v>
      </c>
      <c r="W33" s="29" t="s">
        <v>20</v>
      </c>
      <c r="X33" s="29" t="s">
        <v>12</v>
      </c>
      <c r="Y33" s="39">
        <v>50</v>
      </c>
      <c r="AD33" s="38"/>
      <c r="AG33" s="39"/>
      <c r="AL33" s="38"/>
      <c r="AO33" s="39"/>
      <c r="AP33" s="38"/>
      <c r="AS33" s="39"/>
      <c r="AW33" s="39"/>
      <c r="BA33" s="40"/>
    </row>
    <row r="34" spans="1:53" s="29" customFormat="1" x14ac:dyDescent="0.15">
      <c r="A34" s="29">
        <v>1991</v>
      </c>
      <c r="B34" s="295"/>
      <c r="C34" s="411" t="s">
        <v>842</v>
      </c>
      <c r="D34" s="411"/>
      <c r="E34" s="29">
        <v>0</v>
      </c>
      <c r="G34" s="66"/>
      <c r="I34" s="29">
        <v>19</v>
      </c>
      <c r="J34" s="73">
        <v>19</v>
      </c>
      <c r="K34" s="47">
        <f t="shared" si="3"/>
        <v>0</v>
      </c>
      <c r="L34" s="47">
        <f t="shared" si="3"/>
        <v>0</v>
      </c>
      <c r="M34" s="47">
        <f t="shared" si="3"/>
        <v>100</v>
      </c>
      <c r="N34" s="68">
        <f t="shared" si="1"/>
        <v>100</v>
      </c>
      <c r="O34" s="46"/>
      <c r="P34" s="47"/>
      <c r="Q34" s="47">
        <v>50</v>
      </c>
      <c r="R34" s="48">
        <f t="shared" si="2"/>
        <v>50</v>
      </c>
      <c r="S34" s="29">
        <v>4</v>
      </c>
      <c r="T34" s="286"/>
      <c r="U34" s="295"/>
      <c r="V34" s="38" t="s">
        <v>475</v>
      </c>
      <c r="W34" s="29" t="s">
        <v>20</v>
      </c>
      <c r="X34" s="29" t="s">
        <v>12</v>
      </c>
      <c r="Y34" s="39">
        <v>50</v>
      </c>
      <c r="AD34" s="38"/>
      <c r="AG34" s="39"/>
      <c r="AL34" s="38"/>
      <c r="AO34" s="39"/>
      <c r="AP34" s="38"/>
      <c r="AS34" s="39"/>
      <c r="AW34" s="39"/>
      <c r="BA34" s="40"/>
    </row>
    <row r="35" spans="1:53" s="29" customFormat="1" x14ac:dyDescent="0.15">
      <c r="A35" s="29">
        <v>1991</v>
      </c>
      <c r="B35" s="295"/>
      <c r="C35" s="411" t="s">
        <v>842</v>
      </c>
      <c r="D35" s="411"/>
      <c r="E35" s="29">
        <f>365-E34</f>
        <v>365</v>
      </c>
      <c r="G35" s="66"/>
      <c r="I35" s="29">
        <v>19</v>
      </c>
      <c r="J35" s="73">
        <v>19</v>
      </c>
      <c r="K35" s="47">
        <f t="shared" si="3"/>
        <v>0</v>
      </c>
      <c r="L35" s="47">
        <f t="shared" si="3"/>
        <v>0</v>
      </c>
      <c r="M35" s="47">
        <f t="shared" si="3"/>
        <v>100</v>
      </c>
      <c r="N35" s="68">
        <f t="shared" si="1"/>
        <v>100</v>
      </c>
      <c r="O35" s="46"/>
      <c r="P35" s="47"/>
      <c r="Q35" s="47">
        <v>50</v>
      </c>
      <c r="R35" s="48">
        <f t="shared" si="2"/>
        <v>50</v>
      </c>
      <c r="S35" s="29">
        <v>4</v>
      </c>
      <c r="T35" s="286"/>
      <c r="U35" s="295"/>
      <c r="V35" s="38" t="s">
        <v>475</v>
      </c>
      <c r="W35" s="29" t="s">
        <v>20</v>
      </c>
      <c r="X35" s="29" t="s">
        <v>12</v>
      </c>
      <c r="Y35" s="39">
        <v>50</v>
      </c>
      <c r="AD35" s="38"/>
      <c r="AG35" s="39"/>
      <c r="AL35" s="38"/>
      <c r="AO35" s="39"/>
      <c r="AP35" s="38"/>
      <c r="AS35" s="39"/>
      <c r="AW35" s="39"/>
      <c r="BA35" s="40"/>
    </row>
    <row r="36" spans="1:53" s="29" customFormat="1" x14ac:dyDescent="0.15">
      <c r="A36" s="29">
        <v>1992</v>
      </c>
      <c r="B36" s="295"/>
      <c r="C36" s="411" t="s">
        <v>842</v>
      </c>
      <c r="D36" s="411"/>
      <c r="E36" s="29">
        <v>0</v>
      </c>
      <c r="G36" s="66"/>
      <c r="I36" s="29">
        <v>18</v>
      </c>
      <c r="J36" s="73">
        <v>18</v>
      </c>
      <c r="K36" s="47">
        <f t="shared" si="3"/>
        <v>0</v>
      </c>
      <c r="L36" s="47">
        <f t="shared" si="3"/>
        <v>0</v>
      </c>
      <c r="M36" s="47">
        <f t="shared" si="3"/>
        <v>100</v>
      </c>
      <c r="N36" s="68">
        <f t="shared" si="1"/>
        <v>100</v>
      </c>
      <c r="O36" s="46"/>
      <c r="P36" s="47"/>
      <c r="Q36" s="47">
        <v>50</v>
      </c>
      <c r="R36" s="48">
        <f t="shared" si="2"/>
        <v>50</v>
      </c>
      <c r="S36" s="29">
        <v>4</v>
      </c>
      <c r="T36" s="286"/>
      <c r="U36" s="295"/>
      <c r="V36" s="38" t="s">
        <v>475</v>
      </c>
      <c r="W36" s="29" t="s">
        <v>20</v>
      </c>
      <c r="X36" s="29" t="s">
        <v>12</v>
      </c>
      <c r="Y36" s="39">
        <v>50</v>
      </c>
      <c r="AD36" s="38"/>
      <c r="AG36" s="39"/>
      <c r="AL36" s="38"/>
      <c r="AO36" s="39"/>
      <c r="AP36" s="38"/>
      <c r="AS36" s="39"/>
      <c r="AW36" s="39"/>
      <c r="BA36" s="40"/>
    </row>
    <row r="37" spans="1:53" s="29" customFormat="1" x14ac:dyDescent="0.15">
      <c r="A37" s="29">
        <v>1992</v>
      </c>
      <c r="B37" s="295"/>
      <c r="C37" s="411" t="s">
        <v>842</v>
      </c>
      <c r="D37" s="411"/>
      <c r="E37" s="29">
        <v>366</v>
      </c>
      <c r="G37" s="66"/>
      <c r="I37" s="29">
        <v>18</v>
      </c>
      <c r="J37" s="73">
        <v>18</v>
      </c>
      <c r="K37" s="47">
        <f t="shared" si="3"/>
        <v>0</v>
      </c>
      <c r="L37" s="47">
        <f t="shared" si="3"/>
        <v>0</v>
      </c>
      <c r="M37" s="47">
        <f t="shared" si="3"/>
        <v>100</v>
      </c>
      <c r="N37" s="68">
        <f t="shared" si="1"/>
        <v>100</v>
      </c>
      <c r="O37" s="46"/>
      <c r="P37" s="47"/>
      <c r="Q37" s="47">
        <v>50</v>
      </c>
      <c r="R37" s="48">
        <f t="shared" si="2"/>
        <v>50</v>
      </c>
      <c r="S37" s="29">
        <v>4</v>
      </c>
      <c r="T37" s="286"/>
      <c r="U37" s="295"/>
      <c r="V37" s="38" t="s">
        <v>475</v>
      </c>
      <c r="W37" s="29" t="s">
        <v>20</v>
      </c>
      <c r="X37" s="29" t="s">
        <v>12</v>
      </c>
      <c r="Y37" s="39">
        <v>50</v>
      </c>
      <c r="AD37" s="38"/>
      <c r="AG37" s="39"/>
      <c r="AL37" s="38"/>
      <c r="AO37" s="39"/>
      <c r="AP37" s="38"/>
      <c r="AS37" s="39"/>
      <c r="AW37" s="39"/>
      <c r="BA37" s="40"/>
    </row>
    <row r="38" spans="1:53" s="29" customFormat="1" x14ac:dyDescent="0.15">
      <c r="A38" s="29">
        <v>1993</v>
      </c>
      <c r="B38" s="295"/>
      <c r="C38" s="411" t="s">
        <v>842</v>
      </c>
      <c r="D38" s="411"/>
      <c r="E38" s="29">
        <v>194</v>
      </c>
      <c r="G38" s="66"/>
      <c r="I38" s="29">
        <v>18</v>
      </c>
      <c r="J38" s="73">
        <v>18</v>
      </c>
      <c r="K38" s="47">
        <f t="shared" si="3"/>
        <v>0</v>
      </c>
      <c r="L38" s="47">
        <f t="shared" si="3"/>
        <v>0</v>
      </c>
      <c r="M38" s="47">
        <f t="shared" si="3"/>
        <v>100</v>
      </c>
      <c r="N38" s="68">
        <f t="shared" si="1"/>
        <v>100</v>
      </c>
      <c r="O38" s="46"/>
      <c r="P38" s="47"/>
      <c r="Q38" s="47">
        <v>50</v>
      </c>
      <c r="R38" s="48">
        <f t="shared" si="2"/>
        <v>50</v>
      </c>
      <c r="S38" s="29">
        <v>4</v>
      </c>
      <c r="T38" s="286"/>
      <c r="U38" s="295"/>
      <c r="V38" s="38" t="s">
        <v>475</v>
      </c>
      <c r="W38" s="29" t="s">
        <v>20</v>
      </c>
      <c r="X38" s="29" t="s">
        <v>12</v>
      </c>
      <c r="Y38" s="39">
        <v>50</v>
      </c>
      <c r="AD38" s="38"/>
      <c r="AG38" s="39"/>
      <c r="AL38" s="38"/>
      <c r="AO38" s="39"/>
      <c r="AP38" s="38"/>
      <c r="AS38" s="39"/>
      <c r="AW38" s="39"/>
      <c r="BA38" s="40"/>
    </row>
    <row r="39" spans="1:53" s="171" customFormat="1" x14ac:dyDescent="0.15">
      <c r="A39" s="171">
        <v>1993</v>
      </c>
      <c r="B39" s="283">
        <v>34164</v>
      </c>
      <c r="C39" s="410" t="s">
        <v>843</v>
      </c>
      <c r="D39" s="410"/>
      <c r="E39" s="171">
        <f>365-E38</f>
        <v>171</v>
      </c>
      <c r="F39" s="171">
        <v>1</v>
      </c>
      <c r="G39" s="233"/>
      <c r="I39" s="171">
        <v>18</v>
      </c>
      <c r="J39" s="241">
        <v>18</v>
      </c>
      <c r="K39" s="214">
        <f t="shared" si="3"/>
        <v>0</v>
      </c>
      <c r="L39" s="214">
        <f t="shared" si="3"/>
        <v>0</v>
      </c>
      <c r="M39" s="214">
        <f t="shared" si="3"/>
        <v>100</v>
      </c>
      <c r="N39" s="235">
        <f t="shared" si="1"/>
        <v>100</v>
      </c>
      <c r="O39" s="213"/>
      <c r="P39" s="214"/>
      <c r="Q39" s="214">
        <v>45.4</v>
      </c>
      <c r="R39" s="215">
        <f t="shared" si="2"/>
        <v>45.4</v>
      </c>
      <c r="S39" s="171">
        <v>4</v>
      </c>
      <c r="T39" s="285">
        <v>34126</v>
      </c>
      <c r="U39" s="283">
        <v>34164</v>
      </c>
      <c r="V39" s="178" t="s">
        <v>475</v>
      </c>
      <c r="W39" s="171" t="s">
        <v>20</v>
      </c>
      <c r="X39" s="171" t="s">
        <v>12</v>
      </c>
      <c r="Y39" s="179">
        <v>45.4</v>
      </c>
      <c r="AD39" s="178"/>
      <c r="AG39" s="179"/>
      <c r="AL39" s="178"/>
      <c r="AO39" s="179"/>
      <c r="AP39" s="178"/>
      <c r="AS39" s="179"/>
      <c r="AW39" s="179"/>
      <c r="BA39" s="180"/>
    </row>
    <row r="40" spans="1:53" s="171" customFormat="1" x14ac:dyDescent="0.15">
      <c r="A40" s="171">
        <v>1994</v>
      </c>
      <c r="B40" s="283"/>
      <c r="C40" s="410" t="s">
        <v>843</v>
      </c>
      <c r="D40" s="410"/>
      <c r="E40" s="171">
        <v>0</v>
      </c>
      <c r="G40" s="233"/>
      <c r="I40" s="171">
        <v>18</v>
      </c>
      <c r="J40" s="241">
        <v>18</v>
      </c>
      <c r="K40" s="214">
        <f t="shared" si="3"/>
        <v>0</v>
      </c>
      <c r="L40" s="214">
        <f t="shared" si="3"/>
        <v>0</v>
      </c>
      <c r="M40" s="214">
        <f t="shared" si="3"/>
        <v>100</v>
      </c>
      <c r="N40" s="235">
        <f t="shared" si="1"/>
        <v>100</v>
      </c>
      <c r="O40" s="213"/>
      <c r="P40" s="214"/>
      <c r="Q40" s="214">
        <v>45.4</v>
      </c>
      <c r="R40" s="215">
        <f t="shared" si="2"/>
        <v>45.4</v>
      </c>
      <c r="S40" s="171">
        <v>4</v>
      </c>
      <c r="T40" s="285"/>
      <c r="U40" s="283"/>
      <c r="V40" s="178" t="s">
        <v>475</v>
      </c>
      <c r="W40" s="171" t="s">
        <v>20</v>
      </c>
      <c r="X40" s="171" t="s">
        <v>12</v>
      </c>
      <c r="Y40" s="179">
        <v>45.4</v>
      </c>
      <c r="AD40" s="178"/>
      <c r="AG40" s="179"/>
      <c r="AL40" s="178"/>
      <c r="AO40" s="179"/>
      <c r="AP40" s="178"/>
      <c r="AS40" s="179"/>
      <c r="AW40" s="179"/>
      <c r="BA40" s="180"/>
    </row>
    <row r="41" spans="1:53" s="171" customFormat="1" x14ac:dyDescent="0.15">
      <c r="A41" s="171">
        <v>1994</v>
      </c>
      <c r="B41" s="283"/>
      <c r="C41" s="410" t="s">
        <v>843</v>
      </c>
      <c r="D41" s="410"/>
      <c r="E41" s="171">
        <f>365-E40</f>
        <v>365</v>
      </c>
      <c r="G41" s="233"/>
      <c r="I41" s="171">
        <v>18</v>
      </c>
      <c r="J41" s="241">
        <v>18</v>
      </c>
      <c r="K41" s="214">
        <f t="shared" si="3"/>
        <v>0</v>
      </c>
      <c r="L41" s="214">
        <f t="shared" si="3"/>
        <v>0</v>
      </c>
      <c r="M41" s="214">
        <f t="shared" si="3"/>
        <v>100</v>
      </c>
      <c r="N41" s="235">
        <f t="shared" si="1"/>
        <v>100</v>
      </c>
      <c r="O41" s="213"/>
      <c r="P41" s="214"/>
      <c r="Q41" s="214">
        <v>45.4</v>
      </c>
      <c r="R41" s="215">
        <f t="shared" si="2"/>
        <v>45.4</v>
      </c>
      <c r="S41" s="171">
        <v>4</v>
      </c>
      <c r="T41" s="285"/>
      <c r="U41" s="283"/>
      <c r="V41" s="178" t="s">
        <v>475</v>
      </c>
      <c r="W41" s="171" t="s">
        <v>20</v>
      </c>
      <c r="X41" s="171" t="s">
        <v>12</v>
      </c>
      <c r="Y41" s="179">
        <v>45.4</v>
      </c>
      <c r="AD41" s="178"/>
      <c r="AG41" s="179"/>
      <c r="AL41" s="178"/>
      <c r="AO41" s="179"/>
      <c r="AP41" s="178"/>
      <c r="AS41" s="179"/>
      <c r="AW41" s="179"/>
      <c r="BA41" s="180"/>
    </row>
    <row r="42" spans="1:53" s="171" customFormat="1" x14ac:dyDescent="0.15">
      <c r="A42" s="171">
        <v>1995</v>
      </c>
      <c r="B42" s="283"/>
      <c r="C42" s="410" t="s">
        <v>843</v>
      </c>
      <c r="D42" s="410"/>
      <c r="E42" s="171">
        <v>0</v>
      </c>
      <c r="G42" s="233"/>
      <c r="I42" s="171">
        <v>18</v>
      </c>
      <c r="J42" s="241">
        <v>18</v>
      </c>
      <c r="K42" s="214">
        <f t="shared" si="3"/>
        <v>0</v>
      </c>
      <c r="L42" s="214">
        <f t="shared" si="3"/>
        <v>0</v>
      </c>
      <c r="M42" s="214">
        <f t="shared" si="3"/>
        <v>100</v>
      </c>
      <c r="N42" s="235">
        <f t="shared" si="1"/>
        <v>100</v>
      </c>
      <c r="O42" s="213"/>
      <c r="P42" s="214"/>
      <c r="Q42" s="214">
        <v>45.4</v>
      </c>
      <c r="R42" s="215">
        <f t="shared" si="2"/>
        <v>45.4</v>
      </c>
      <c r="S42" s="171">
        <v>4</v>
      </c>
      <c r="T42" s="285"/>
      <c r="U42" s="283"/>
      <c r="V42" s="178" t="s">
        <v>475</v>
      </c>
      <c r="W42" s="171" t="s">
        <v>20</v>
      </c>
      <c r="X42" s="171" t="s">
        <v>12</v>
      </c>
      <c r="Y42" s="179">
        <v>45.4</v>
      </c>
      <c r="AD42" s="178"/>
      <c r="AG42" s="179"/>
      <c r="AL42" s="178"/>
      <c r="AO42" s="179"/>
      <c r="AP42" s="178"/>
      <c r="AS42" s="179"/>
      <c r="AW42" s="179"/>
      <c r="BA42" s="180"/>
    </row>
    <row r="43" spans="1:53" s="171" customFormat="1" x14ac:dyDescent="0.15">
      <c r="A43" s="171">
        <v>1995</v>
      </c>
      <c r="B43" s="283"/>
      <c r="C43" s="410" t="s">
        <v>843</v>
      </c>
      <c r="D43" s="410"/>
      <c r="E43" s="171">
        <f>365-E42</f>
        <v>365</v>
      </c>
      <c r="G43" s="233"/>
      <c r="I43" s="171">
        <v>18</v>
      </c>
      <c r="J43" s="241">
        <v>18</v>
      </c>
      <c r="K43" s="214">
        <f t="shared" si="3"/>
        <v>0</v>
      </c>
      <c r="L43" s="214">
        <f t="shared" si="3"/>
        <v>0</v>
      </c>
      <c r="M43" s="214">
        <f t="shared" si="3"/>
        <v>100</v>
      </c>
      <c r="N43" s="235">
        <f t="shared" si="1"/>
        <v>100</v>
      </c>
      <c r="O43" s="213"/>
      <c r="P43" s="214"/>
      <c r="Q43" s="214">
        <v>45.4</v>
      </c>
      <c r="R43" s="215">
        <f t="shared" si="2"/>
        <v>45.4</v>
      </c>
      <c r="S43" s="171">
        <v>4</v>
      </c>
      <c r="T43" s="285"/>
      <c r="U43" s="283"/>
      <c r="V43" s="178" t="s">
        <v>475</v>
      </c>
      <c r="W43" s="171" t="s">
        <v>20</v>
      </c>
      <c r="X43" s="171" t="s">
        <v>12</v>
      </c>
      <c r="Y43" s="179">
        <v>45.4</v>
      </c>
      <c r="AD43" s="178"/>
      <c r="AG43" s="179"/>
      <c r="AL43" s="178"/>
      <c r="AO43" s="179"/>
      <c r="AP43" s="178"/>
      <c r="AS43" s="179"/>
      <c r="AW43" s="179"/>
      <c r="BA43" s="180"/>
    </row>
    <row r="44" spans="1:53" s="171" customFormat="1" x14ac:dyDescent="0.15">
      <c r="A44" s="171">
        <v>1996</v>
      </c>
      <c r="B44" s="283"/>
      <c r="C44" s="410" t="s">
        <v>843</v>
      </c>
      <c r="D44" s="410"/>
      <c r="E44" s="171">
        <v>124</v>
      </c>
      <c r="G44" s="233"/>
      <c r="I44" s="171">
        <v>17</v>
      </c>
      <c r="J44" s="241">
        <v>17</v>
      </c>
      <c r="K44" s="214">
        <f t="shared" si="3"/>
        <v>0</v>
      </c>
      <c r="L44" s="214">
        <f t="shared" si="3"/>
        <v>0</v>
      </c>
      <c r="M44" s="214">
        <f t="shared" si="3"/>
        <v>100</v>
      </c>
      <c r="N44" s="235">
        <f t="shared" si="1"/>
        <v>100</v>
      </c>
      <c r="O44" s="213"/>
      <c r="P44" s="214"/>
      <c r="Q44" s="214">
        <v>45.4</v>
      </c>
      <c r="R44" s="215">
        <f t="shared" si="2"/>
        <v>45.4</v>
      </c>
      <c r="S44" s="171">
        <v>4</v>
      </c>
      <c r="T44" s="285"/>
      <c r="U44" s="283"/>
      <c r="V44" s="178" t="s">
        <v>475</v>
      </c>
      <c r="W44" s="171" t="s">
        <v>20</v>
      </c>
      <c r="X44" s="171" t="s">
        <v>12</v>
      </c>
      <c r="Y44" s="179">
        <v>45.4</v>
      </c>
      <c r="AD44" s="178"/>
      <c r="AG44" s="179"/>
      <c r="AL44" s="178"/>
      <c r="AO44" s="179"/>
      <c r="AP44" s="178"/>
      <c r="AS44" s="179"/>
      <c r="AW44" s="179"/>
      <c r="BA44" s="180"/>
    </row>
    <row r="45" spans="1:53" s="29" customFormat="1" x14ac:dyDescent="0.15">
      <c r="A45" s="29">
        <v>1996</v>
      </c>
      <c r="B45" s="295">
        <v>35189</v>
      </c>
      <c r="C45" s="411" t="s">
        <v>845</v>
      </c>
      <c r="D45" s="411"/>
      <c r="E45" s="29">
        <f>366-E44</f>
        <v>242</v>
      </c>
      <c r="F45" s="29">
        <v>1</v>
      </c>
      <c r="G45" s="66"/>
      <c r="H45" s="29">
        <v>15</v>
      </c>
      <c r="J45" s="73">
        <v>15</v>
      </c>
      <c r="K45" s="47">
        <f t="shared" si="3"/>
        <v>0</v>
      </c>
      <c r="L45" s="47">
        <f t="shared" si="3"/>
        <v>100</v>
      </c>
      <c r="M45" s="47">
        <f t="shared" si="3"/>
        <v>0</v>
      </c>
      <c r="N45" s="68">
        <f t="shared" si="1"/>
        <v>100</v>
      </c>
      <c r="O45" s="46"/>
      <c r="P45" s="47">
        <v>44.6</v>
      </c>
      <c r="Q45" s="47"/>
      <c r="R45" s="48">
        <f t="shared" si="2"/>
        <v>44.6</v>
      </c>
      <c r="S45" s="29">
        <v>4</v>
      </c>
      <c r="T45" s="286">
        <v>35127</v>
      </c>
      <c r="U45" s="295">
        <v>35189</v>
      </c>
      <c r="V45" s="38" t="s">
        <v>476</v>
      </c>
      <c r="W45" s="29" t="s">
        <v>75</v>
      </c>
      <c r="X45" s="29" t="s">
        <v>18</v>
      </c>
      <c r="Y45" s="39">
        <v>44.6</v>
      </c>
      <c r="AD45" s="38"/>
      <c r="AG45" s="39"/>
      <c r="AL45" s="38"/>
      <c r="AO45" s="39"/>
      <c r="AP45" s="38"/>
      <c r="AS45" s="39"/>
      <c r="AW45" s="39"/>
      <c r="BA45" s="40"/>
    </row>
    <row r="46" spans="1:53" s="29" customFormat="1" x14ac:dyDescent="0.15">
      <c r="A46" s="29">
        <v>1997</v>
      </c>
      <c r="B46" s="295"/>
      <c r="C46" s="411" t="s">
        <v>845</v>
      </c>
      <c r="D46" s="411"/>
      <c r="E46" s="29">
        <v>0</v>
      </c>
      <c r="G46" s="66"/>
      <c r="H46" s="29">
        <v>15</v>
      </c>
      <c r="J46" s="73">
        <v>15</v>
      </c>
      <c r="K46" s="47">
        <f t="shared" si="3"/>
        <v>0</v>
      </c>
      <c r="L46" s="47">
        <f t="shared" si="3"/>
        <v>100</v>
      </c>
      <c r="M46" s="47">
        <f t="shared" si="3"/>
        <v>0</v>
      </c>
      <c r="N46" s="68">
        <f t="shared" si="1"/>
        <v>100</v>
      </c>
      <c r="O46" s="46"/>
      <c r="P46" s="47">
        <v>44.6</v>
      </c>
      <c r="Q46" s="47"/>
      <c r="R46" s="48">
        <f t="shared" si="2"/>
        <v>44.6</v>
      </c>
      <c r="S46" s="29">
        <v>4</v>
      </c>
      <c r="T46" s="286"/>
      <c r="U46" s="295"/>
      <c r="V46" s="38" t="s">
        <v>476</v>
      </c>
      <c r="W46" s="29" t="s">
        <v>75</v>
      </c>
      <c r="X46" s="29" t="s">
        <v>18</v>
      </c>
      <c r="Y46" s="39">
        <v>44.6</v>
      </c>
      <c r="AD46" s="38"/>
      <c r="AG46" s="39"/>
      <c r="AL46" s="38"/>
      <c r="AO46" s="39"/>
      <c r="AP46" s="38"/>
      <c r="AS46" s="39"/>
      <c r="AW46" s="39"/>
      <c r="BA46" s="40"/>
    </row>
    <row r="47" spans="1:53" s="29" customFormat="1" x14ac:dyDescent="0.15">
      <c r="A47" s="29">
        <v>1997</v>
      </c>
      <c r="B47" s="295"/>
      <c r="C47" s="411" t="s">
        <v>845</v>
      </c>
      <c r="D47" s="411"/>
      <c r="E47" s="29">
        <f>365-E46</f>
        <v>365</v>
      </c>
      <c r="G47" s="66"/>
      <c r="H47" s="29">
        <v>15</v>
      </c>
      <c r="J47" s="73">
        <v>15</v>
      </c>
      <c r="K47" s="47">
        <f t="shared" si="3"/>
        <v>0</v>
      </c>
      <c r="L47" s="47">
        <f t="shared" si="3"/>
        <v>100</v>
      </c>
      <c r="M47" s="47">
        <f t="shared" si="3"/>
        <v>0</v>
      </c>
      <c r="N47" s="68">
        <f t="shared" si="1"/>
        <v>100</v>
      </c>
      <c r="O47" s="46"/>
      <c r="P47" s="47">
        <v>44.6</v>
      </c>
      <c r="Q47" s="47"/>
      <c r="R47" s="48">
        <f t="shared" si="2"/>
        <v>44.6</v>
      </c>
      <c r="S47" s="29">
        <v>4</v>
      </c>
      <c r="T47" s="286"/>
      <c r="U47" s="295"/>
      <c r="V47" s="38" t="s">
        <v>476</v>
      </c>
      <c r="W47" s="29" t="s">
        <v>75</v>
      </c>
      <c r="X47" s="29" t="s">
        <v>18</v>
      </c>
      <c r="Y47" s="39">
        <v>44.6</v>
      </c>
      <c r="AD47" s="38"/>
      <c r="AG47" s="39"/>
      <c r="AL47" s="38"/>
      <c r="AO47" s="39"/>
      <c r="AP47" s="38"/>
      <c r="AS47" s="39"/>
      <c r="AW47" s="39"/>
      <c r="BA47" s="40"/>
    </row>
    <row r="48" spans="1:53" s="29" customFormat="1" x14ac:dyDescent="0.15">
      <c r="A48" s="29">
        <v>1998</v>
      </c>
      <c r="B48" s="295"/>
      <c r="C48" s="411" t="s">
        <v>845</v>
      </c>
      <c r="D48" s="411"/>
      <c r="E48" s="29">
        <v>0</v>
      </c>
      <c r="G48" s="66"/>
      <c r="H48" s="29">
        <v>15</v>
      </c>
      <c r="J48" s="73">
        <v>15</v>
      </c>
      <c r="K48" s="47">
        <f t="shared" si="3"/>
        <v>0</v>
      </c>
      <c r="L48" s="47">
        <f t="shared" si="3"/>
        <v>100</v>
      </c>
      <c r="M48" s="47">
        <f t="shared" si="3"/>
        <v>0</v>
      </c>
      <c r="N48" s="68">
        <f t="shared" si="1"/>
        <v>100</v>
      </c>
      <c r="O48" s="46"/>
      <c r="P48" s="47">
        <v>44.6</v>
      </c>
      <c r="Q48" s="47"/>
      <c r="R48" s="48">
        <f t="shared" si="2"/>
        <v>44.6</v>
      </c>
      <c r="S48" s="29">
        <v>4</v>
      </c>
      <c r="T48" s="286"/>
      <c r="U48" s="295"/>
      <c r="V48" s="38" t="s">
        <v>476</v>
      </c>
      <c r="W48" s="29" t="s">
        <v>75</v>
      </c>
      <c r="X48" s="29" t="s">
        <v>18</v>
      </c>
      <c r="Y48" s="39">
        <v>44.6</v>
      </c>
      <c r="AD48" s="38"/>
      <c r="AG48" s="39"/>
      <c r="AL48" s="38"/>
      <c r="AO48" s="39"/>
      <c r="AP48" s="38"/>
      <c r="AS48" s="39"/>
      <c r="AW48" s="39"/>
      <c r="BA48" s="40"/>
    </row>
    <row r="49" spans="1:53" s="29" customFormat="1" x14ac:dyDescent="0.15">
      <c r="A49" s="29">
        <v>1998</v>
      </c>
      <c r="B49" s="295"/>
      <c r="C49" s="411" t="s">
        <v>845</v>
      </c>
      <c r="D49" s="411"/>
      <c r="E49" s="29">
        <f>365-E48</f>
        <v>365</v>
      </c>
      <c r="G49" s="66"/>
      <c r="H49" s="29">
        <v>15</v>
      </c>
      <c r="J49" s="73">
        <v>15</v>
      </c>
      <c r="K49" s="47">
        <f t="shared" si="3"/>
        <v>0</v>
      </c>
      <c r="L49" s="47">
        <f t="shared" si="3"/>
        <v>100</v>
      </c>
      <c r="M49" s="47">
        <f t="shared" si="3"/>
        <v>0</v>
      </c>
      <c r="N49" s="68">
        <f t="shared" si="1"/>
        <v>100</v>
      </c>
      <c r="O49" s="46"/>
      <c r="P49" s="47">
        <v>44.6</v>
      </c>
      <c r="Q49" s="47"/>
      <c r="R49" s="48">
        <f t="shared" si="2"/>
        <v>44.6</v>
      </c>
      <c r="S49" s="29">
        <v>4</v>
      </c>
      <c r="T49" s="286"/>
      <c r="U49" s="295"/>
      <c r="V49" s="38" t="s">
        <v>476</v>
      </c>
      <c r="W49" s="29" t="s">
        <v>75</v>
      </c>
      <c r="X49" s="29" t="s">
        <v>18</v>
      </c>
      <c r="Y49" s="39">
        <v>44.6</v>
      </c>
      <c r="AD49" s="38"/>
      <c r="AG49" s="39"/>
      <c r="AL49" s="38"/>
      <c r="AO49" s="39"/>
      <c r="AP49" s="38"/>
      <c r="AS49" s="39"/>
      <c r="AW49" s="39"/>
      <c r="BA49" s="40"/>
    </row>
    <row r="50" spans="1:53" s="29" customFormat="1" x14ac:dyDescent="0.15">
      <c r="A50" s="29">
        <v>1999</v>
      </c>
      <c r="B50" s="295"/>
      <c r="C50" s="411" t="s">
        <v>845</v>
      </c>
      <c r="D50" s="411"/>
      <c r="E50" s="29">
        <v>0</v>
      </c>
      <c r="G50" s="66"/>
      <c r="H50" s="29">
        <v>14</v>
      </c>
      <c r="J50" s="73">
        <v>14</v>
      </c>
      <c r="K50" s="47">
        <f t="shared" si="3"/>
        <v>0</v>
      </c>
      <c r="L50" s="47">
        <f t="shared" si="3"/>
        <v>100</v>
      </c>
      <c r="M50" s="47">
        <f t="shared" si="3"/>
        <v>0</v>
      </c>
      <c r="N50" s="68">
        <f t="shared" si="1"/>
        <v>100</v>
      </c>
      <c r="O50" s="46"/>
      <c r="P50" s="47">
        <v>44.6</v>
      </c>
      <c r="Q50" s="47"/>
      <c r="R50" s="48">
        <f t="shared" si="2"/>
        <v>44.6</v>
      </c>
      <c r="S50" s="29">
        <v>4</v>
      </c>
      <c r="T50" s="286"/>
      <c r="U50" s="295"/>
      <c r="V50" s="38" t="s">
        <v>476</v>
      </c>
      <c r="W50" s="29" t="s">
        <v>75</v>
      </c>
      <c r="X50" s="29" t="s">
        <v>18</v>
      </c>
      <c r="Y50" s="39">
        <v>44.6</v>
      </c>
      <c r="AD50" s="38"/>
      <c r="AG50" s="39"/>
      <c r="AL50" s="38"/>
      <c r="AO50" s="39"/>
      <c r="AP50" s="38"/>
      <c r="AS50" s="39"/>
      <c r="AW50" s="39"/>
      <c r="BA50" s="40"/>
    </row>
    <row r="51" spans="1:53" s="29" customFormat="1" x14ac:dyDescent="0.15">
      <c r="A51" s="29">
        <v>1999</v>
      </c>
      <c r="B51" s="295"/>
      <c r="C51" s="411" t="s">
        <v>845</v>
      </c>
      <c r="D51" s="411"/>
      <c r="E51" s="29">
        <f>365-E50</f>
        <v>365</v>
      </c>
      <c r="G51" s="66"/>
      <c r="H51" s="29">
        <v>14</v>
      </c>
      <c r="J51" s="73">
        <v>14</v>
      </c>
      <c r="K51" s="47">
        <f t="shared" si="3"/>
        <v>0</v>
      </c>
      <c r="L51" s="47">
        <f t="shared" si="3"/>
        <v>100</v>
      </c>
      <c r="M51" s="47">
        <f t="shared" si="3"/>
        <v>0</v>
      </c>
      <c r="N51" s="68">
        <f t="shared" si="1"/>
        <v>100</v>
      </c>
      <c r="O51" s="46"/>
      <c r="P51" s="47">
        <v>44.6</v>
      </c>
      <c r="Q51" s="47"/>
      <c r="R51" s="48">
        <f t="shared" si="2"/>
        <v>44.6</v>
      </c>
      <c r="S51" s="29">
        <v>4</v>
      </c>
      <c r="T51" s="286"/>
      <c r="U51" s="295"/>
      <c r="V51" s="38" t="s">
        <v>476</v>
      </c>
      <c r="W51" s="29" t="s">
        <v>75</v>
      </c>
      <c r="X51" s="29" t="s">
        <v>18</v>
      </c>
      <c r="Y51" s="39">
        <v>44.6</v>
      </c>
      <c r="AD51" s="38"/>
      <c r="AG51" s="39"/>
      <c r="AL51" s="38"/>
      <c r="AO51" s="39"/>
      <c r="AP51" s="38"/>
      <c r="AS51" s="39"/>
      <c r="AW51" s="39"/>
      <c r="BA51" s="40"/>
    </row>
    <row r="52" spans="1:53" s="29" customFormat="1" x14ac:dyDescent="0.15">
      <c r="A52" s="29">
        <v>2000</v>
      </c>
      <c r="B52" s="295"/>
      <c r="C52" s="411" t="s">
        <v>845</v>
      </c>
      <c r="D52" s="411"/>
      <c r="E52" s="29">
        <v>116</v>
      </c>
      <c r="G52" s="66"/>
      <c r="H52" s="29">
        <v>14</v>
      </c>
      <c r="J52" s="73">
        <v>14</v>
      </c>
      <c r="K52" s="47">
        <f t="shared" si="3"/>
        <v>0</v>
      </c>
      <c r="L52" s="47">
        <f t="shared" si="3"/>
        <v>100</v>
      </c>
      <c r="M52" s="47">
        <f t="shared" si="3"/>
        <v>0</v>
      </c>
      <c r="N52" s="68">
        <f t="shared" si="1"/>
        <v>100</v>
      </c>
      <c r="O52" s="46"/>
      <c r="P52" s="47">
        <v>44.6</v>
      </c>
      <c r="Q52" s="47"/>
      <c r="R52" s="48">
        <f t="shared" si="2"/>
        <v>44.6</v>
      </c>
      <c r="S52" s="29">
        <v>4</v>
      </c>
      <c r="T52" s="286"/>
      <c r="U52" s="295"/>
      <c r="V52" s="38" t="s">
        <v>476</v>
      </c>
      <c r="W52" s="29" t="s">
        <v>75</v>
      </c>
      <c r="X52" s="29" t="s">
        <v>18</v>
      </c>
      <c r="Y52" s="39">
        <v>44.6</v>
      </c>
      <c r="AD52" s="38"/>
      <c r="AG52" s="39"/>
      <c r="AL52" s="38"/>
      <c r="AO52" s="39"/>
      <c r="AP52" s="38"/>
      <c r="AS52" s="39"/>
      <c r="AW52" s="39"/>
      <c r="BA52" s="40"/>
    </row>
    <row r="53" spans="1:53" s="171" customFormat="1" x14ac:dyDescent="0.15">
      <c r="A53" s="171">
        <v>2000</v>
      </c>
      <c r="B53" s="283">
        <v>36642</v>
      </c>
      <c r="C53" s="410" t="s">
        <v>844</v>
      </c>
      <c r="D53" s="410"/>
      <c r="E53" s="171">
        <f>366-E52</f>
        <v>250</v>
      </c>
      <c r="F53" s="171">
        <v>1</v>
      </c>
      <c r="G53" s="233"/>
      <c r="H53" s="171">
        <v>16</v>
      </c>
      <c r="J53" s="241">
        <v>16</v>
      </c>
      <c r="K53" s="214">
        <f t="shared" si="3"/>
        <v>0</v>
      </c>
      <c r="L53" s="214">
        <f t="shared" si="3"/>
        <v>100</v>
      </c>
      <c r="M53" s="214">
        <f t="shared" si="3"/>
        <v>0</v>
      </c>
      <c r="N53" s="235">
        <f t="shared" si="1"/>
        <v>100</v>
      </c>
      <c r="O53" s="213"/>
      <c r="P53" s="214">
        <v>52.3</v>
      </c>
      <c r="Q53" s="214"/>
      <c r="R53" s="215">
        <f t="shared" si="2"/>
        <v>52.3</v>
      </c>
      <c r="S53" s="171">
        <v>1</v>
      </c>
      <c r="T53" s="285">
        <v>36597</v>
      </c>
      <c r="U53" s="283">
        <v>36642</v>
      </c>
      <c r="V53" s="178" t="s">
        <v>476</v>
      </c>
      <c r="W53" s="171" t="s">
        <v>75</v>
      </c>
      <c r="X53" s="171" t="s">
        <v>18</v>
      </c>
      <c r="Y53" s="179">
        <v>52.3</v>
      </c>
      <c r="AD53" s="178"/>
      <c r="AG53" s="179"/>
      <c r="AL53" s="178"/>
      <c r="AO53" s="179"/>
      <c r="AP53" s="178"/>
      <c r="AS53" s="179"/>
      <c r="AW53" s="179"/>
      <c r="BA53" s="180"/>
    </row>
    <row r="54" spans="1:53" s="171" customFormat="1" x14ac:dyDescent="0.15">
      <c r="A54" s="171">
        <v>2001</v>
      </c>
      <c r="B54" s="283"/>
      <c r="C54" s="410" t="s">
        <v>844</v>
      </c>
      <c r="D54" s="410"/>
      <c r="E54" s="171">
        <v>0</v>
      </c>
      <c r="G54" s="233"/>
      <c r="H54" s="171">
        <v>16</v>
      </c>
      <c r="J54" s="241">
        <v>16</v>
      </c>
      <c r="K54" s="214">
        <f t="shared" si="3"/>
        <v>0</v>
      </c>
      <c r="L54" s="214">
        <f t="shared" si="3"/>
        <v>100</v>
      </c>
      <c r="M54" s="214">
        <f t="shared" si="3"/>
        <v>0</v>
      </c>
      <c r="N54" s="235">
        <f t="shared" si="1"/>
        <v>100</v>
      </c>
      <c r="O54" s="213"/>
      <c r="P54" s="214">
        <v>52.3</v>
      </c>
      <c r="Q54" s="214"/>
      <c r="R54" s="215">
        <f t="shared" si="2"/>
        <v>52.3</v>
      </c>
      <c r="S54" s="171">
        <v>1</v>
      </c>
      <c r="T54" s="285"/>
      <c r="U54" s="283"/>
      <c r="V54" s="178" t="s">
        <v>476</v>
      </c>
      <c r="W54" s="171" t="s">
        <v>75</v>
      </c>
      <c r="X54" s="171" t="s">
        <v>18</v>
      </c>
      <c r="Y54" s="179">
        <v>52.3</v>
      </c>
      <c r="AD54" s="178"/>
      <c r="AG54" s="179"/>
      <c r="AL54" s="178"/>
      <c r="AO54" s="179"/>
      <c r="AP54" s="178"/>
      <c r="AS54" s="179"/>
      <c r="AW54" s="179"/>
      <c r="BA54" s="180"/>
    </row>
    <row r="55" spans="1:53" s="171" customFormat="1" x14ac:dyDescent="0.15">
      <c r="A55" s="171">
        <v>2001</v>
      </c>
      <c r="B55" s="283"/>
      <c r="C55" s="410" t="s">
        <v>844</v>
      </c>
      <c r="D55" s="410"/>
      <c r="E55" s="171">
        <f>365-E54</f>
        <v>365</v>
      </c>
      <c r="G55" s="233"/>
      <c r="H55" s="171">
        <v>16</v>
      </c>
      <c r="J55" s="241">
        <v>16</v>
      </c>
      <c r="K55" s="214">
        <f t="shared" si="3"/>
        <v>0</v>
      </c>
      <c r="L55" s="214">
        <f t="shared" si="3"/>
        <v>100</v>
      </c>
      <c r="M55" s="214">
        <f t="shared" si="3"/>
        <v>0</v>
      </c>
      <c r="N55" s="235">
        <f t="shared" si="1"/>
        <v>100</v>
      </c>
      <c r="O55" s="213"/>
      <c r="P55" s="214">
        <v>52.3</v>
      </c>
      <c r="Q55" s="214"/>
      <c r="R55" s="215">
        <f t="shared" si="2"/>
        <v>52.3</v>
      </c>
      <c r="S55" s="171">
        <v>1</v>
      </c>
      <c r="T55" s="285"/>
      <c r="U55" s="283"/>
      <c r="V55" s="178" t="s">
        <v>476</v>
      </c>
      <c r="W55" s="171" t="s">
        <v>75</v>
      </c>
      <c r="X55" s="171" t="s">
        <v>18</v>
      </c>
      <c r="Y55" s="179">
        <v>52.3</v>
      </c>
      <c r="AD55" s="178"/>
      <c r="AG55" s="179"/>
      <c r="AL55" s="178"/>
      <c r="AO55" s="179"/>
      <c r="AP55" s="178"/>
      <c r="AS55" s="179"/>
      <c r="AW55" s="179"/>
      <c r="BA55" s="180"/>
    </row>
    <row r="56" spans="1:53" s="171" customFormat="1" x14ac:dyDescent="0.15">
      <c r="A56" s="171">
        <v>2002</v>
      </c>
      <c r="B56" s="283"/>
      <c r="C56" s="410" t="s">
        <v>844</v>
      </c>
      <c r="D56" s="410"/>
      <c r="E56" s="171">
        <v>0</v>
      </c>
      <c r="G56" s="233"/>
      <c r="H56" s="171">
        <v>16</v>
      </c>
      <c r="J56" s="241">
        <v>16</v>
      </c>
      <c r="K56" s="214">
        <f t="shared" si="3"/>
        <v>0</v>
      </c>
      <c r="L56" s="214">
        <f t="shared" si="3"/>
        <v>100</v>
      </c>
      <c r="M56" s="214">
        <f t="shared" si="3"/>
        <v>0</v>
      </c>
      <c r="N56" s="235">
        <f t="shared" si="1"/>
        <v>100</v>
      </c>
      <c r="O56" s="213"/>
      <c r="P56" s="214">
        <v>52.3</v>
      </c>
      <c r="Q56" s="214"/>
      <c r="R56" s="215">
        <f t="shared" si="2"/>
        <v>52.3</v>
      </c>
      <c r="S56" s="171">
        <v>1</v>
      </c>
      <c r="T56" s="285"/>
      <c r="U56" s="283"/>
      <c r="V56" s="178" t="s">
        <v>476</v>
      </c>
      <c r="W56" s="171" t="s">
        <v>75</v>
      </c>
      <c r="X56" s="171" t="s">
        <v>18</v>
      </c>
      <c r="Y56" s="179">
        <v>52.3</v>
      </c>
      <c r="AD56" s="178"/>
      <c r="AG56" s="179"/>
      <c r="AL56" s="178"/>
      <c r="AO56" s="179"/>
      <c r="AP56" s="178"/>
      <c r="AS56" s="179"/>
      <c r="AW56" s="179"/>
      <c r="BA56" s="180"/>
    </row>
    <row r="57" spans="1:53" s="171" customFormat="1" x14ac:dyDescent="0.15">
      <c r="A57" s="171">
        <v>2002</v>
      </c>
      <c r="B57" s="283"/>
      <c r="C57" s="410" t="s">
        <v>844</v>
      </c>
      <c r="D57" s="410"/>
      <c r="E57" s="171">
        <f>365-E56</f>
        <v>365</v>
      </c>
      <c r="G57" s="233"/>
      <c r="H57" s="171">
        <v>16</v>
      </c>
      <c r="J57" s="241">
        <v>16</v>
      </c>
      <c r="K57" s="214">
        <f t="shared" si="3"/>
        <v>0</v>
      </c>
      <c r="L57" s="214">
        <f t="shared" si="3"/>
        <v>100</v>
      </c>
      <c r="M57" s="214">
        <f t="shared" si="3"/>
        <v>0</v>
      </c>
      <c r="N57" s="235">
        <f t="shared" si="1"/>
        <v>100</v>
      </c>
      <c r="O57" s="213"/>
      <c r="P57" s="214">
        <v>52.3</v>
      </c>
      <c r="Q57" s="214"/>
      <c r="R57" s="215">
        <f t="shared" si="2"/>
        <v>52.3</v>
      </c>
      <c r="S57" s="171">
        <v>1</v>
      </c>
      <c r="T57" s="285"/>
      <c r="U57" s="283"/>
      <c r="V57" s="178" t="s">
        <v>476</v>
      </c>
      <c r="W57" s="171" t="s">
        <v>75</v>
      </c>
      <c r="X57" s="171" t="s">
        <v>18</v>
      </c>
      <c r="Y57" s="179">
        <v>52.3</v>
      </c>
      <c r="AD57" s="178"/>
      <c r="AG57" s="179"/>
      <c r="AL57" s="178"/>
      <c r="AO57" s="179"/>
      <c r="AP57" s="178"/>
      <c r="AS57" s="179"/>
      <c r="AW57" s="179"/>
      <c r="BA57" s="180"/>
    </row>
    <row r="58" spans="1:53" s="171" customFormat="1" x14ac:dyDescent="0.15">
      <c r="A58" s="171">
        <v>2003</v>
      </c>
      <c r="B58" s="283"/>
      <c r="C58" s="410" t="s">
        <v>844</v>
      </c>
      <c r="D58" s="410"/>
      <c r="E58" s="171">
        <v>0</v>
      </c>
      <c r="G58" s="233"/>
      <c r="H58" s="171">
        <v>16</v>
      </c>
      <c r="J58" s="241">
        <v>16</v>
      </c>
      <c r="K58" s="214">
        <f t="shared" si="3"/>
        <v>0</v>
      </c>
      <c r="L58" s="214">
        <f t="shared" si="3"/>
        <v>100</v>
      </c>
      <c r="M58" s="214">
        <f t="shared" si="3"/>
        <v>0</v>
      </c>
      <c r="N58" s="235">
        <f t="shared" si="1"/>
        <v>100</v>
      </c>
      <c r="O58" s="213"/>
      <c r="P58" s="214">
        <v>52.3</v>
      </c>
      <c r="Q58" s="214"/>
      <c r="R58" s="215">
        <f t="shared" si="2"/>
        <v>52.3</v>
      </c>
      <c r="S58" s="171">
        <v>1</v>
      </c>
      <c r="T58" s="285"/>
      <c r="U58" s="283"/>
      <c r="V58" s="178" t="s">
        <v>476</v>
      </c>
      <c r="W58" s="171" t="s">
        <v>75</v>
      </c>
      <c r="X58" s="171" t="s">
        <v>18</v>
      </c>
      <c r="Y58" s="179">
        <v>52.3</v>
      </c>
      <c r="AD58" s="178"/>
      <c r="AG58" s="179"/>
      <c r="AL58" s="178"/>
      <c r="AO58" s="179"/>
      <c r="AP58" s="178"/>
      <c r="AS58" s="179"/>
      <c r="AW58" s="179"/>
      <c r="BA58" s="180"/>
    </row>
    <row r="59" spans="1:53" s="171" customFormat="1" x14ac:dyDescent="0.15">
      <c r="A59" s="171">
        <v>2003</v>
      </c>
      <c r="B59" s="283"/>
      <c r="C59" s="410" t="s">
        <v>844</v>
      </c>
      <c r="D59" s="410"/>
      <c r="E59" s="171">
        <f>365-E58</f>
        <v>365</v>
      </c>
      <c r="G59" s="233"/>
      <c r="H59" s="171">
        <v>16</v>
      </c>
      <c r="J59" s="241">
        <v>16</v>
      </c>
      <c r="K59" s="214">
        <f t="shared" si="3"/>
        <v>0</v>
      </c>
      <c r="L59" s="214">
        <f t="shared" si="3"/>
        <v>100</v>
      </c>
      <c r="M59" s="214">
        <f t="shared" si="3"/>
        <v>0</v>
      </c>
      <c r="N59" s="235">
        <f t="shared" si="1"/>
        <v>100</v>
      </c>
      <c r="O59" s="213"/>
      <c r="P59" s="214">
        <v>52.3</v>
      </c>
      <c r="Q59" s="214"/>
      <c r="R59" s="215">
        <f t="shared" si="2"/>
        <v>52.3</v>
      </c>
      <c r="S59" s="171">
        <v>1</v>
      </c>
      <c r="T59" s="285"/>
      <c r="U59" s="283"/>
      <c r="V59" s="178" t="s">
        <v>476</v>
      </c>
      <c r="W59" s="171" t="s">
        <v>75</v>
      </c>
      <c r="X59" s="171" t="s">
        <v>18</v>
      </c>
      <c r="Y59" s="179">
        <v>52.3</v>
      </c>
      <c r="AD59" s="178"/>
      <c r="AG59" s="179"/>
      <c r="AL59" s="178"/>
      <c r="AO59" s="179"/>
      <c r="AP59" s="178"/>
      <c r="AS59" s="179"/>
      <c r="AW59" s="179"/>
      <c r="BA59" s="180"/>
    </row>
    <row r="60" spans="1:53" s="171" customFormat="1" x14ac:dyDescent="0.15">
      <c r="A60" s="171">
        <v>2004</v>
      </c>
      <c r="B60" s="283"/>
      <c r="C60" s="410" t="s">
        <v>844</v>
      </c>
      <c r="D60" s="410"/>
      <c r="E60" s="171">
        <v>107</v>
      </c>
      <c r="G60" s="233"/>
      <c r="H60" s="171">
        <v>16</v>
      </c>
      <c r="J60" s="241">
        <v>16</v>
      </c>
      <c r="K60" s="214">
        <f t="shared" si="3"/>
        <v>0</v>
      </c>
      <c r="L60" s="214">
        <f t="shared" si="3"/>
        <v>100</v>
      </c>
      <c r="M60" s="214">
        <f t="shared" si="3"/>
        <v>0</v>
      </c>
      <c r="N60" s="235">
        <f t="shared" si="1"/>
        <v>100</v>
      </c>
      <c r="O60" s="213"/>
      <c r="P60" s="214">
        <v>52.3</v>
      </c>
      <c r="Q60" s="214"/>
      <c r="R60" s="215">
        <f t="shared" si="2"/>
        <v>52.3</v>
      </c>
      <c r="S60" s="171">
        <v>1</v>
      </c>
      <c r="T60" s="285"/>
      <c r="U60" s="283"/>
      <c r="V60" s="178" t="s">
        <v>476</v>
      </c>
      <c r="W60" s="171" t="s">
        <v>75</v>
      </c>
      <c r="X60" s="171" t="s">
        <v>18</v>
      </c>
      <c r="Y60" s="179">
        <v>52.3</v>
      </c>
      <c r="AD60" s="178"/>
      <c r="AG60" s="179"/>
      <c r="AL60" s="178"/>
      <c r="AO60" s="179"/>
      <c r="AP60" s="178"/>
      <c r="AS60" s="179"/>
      <c r="AW60" s="179"/>
      <c r="BA60" s="180"/>
    </row>
    <row r="61" spans="1:53" s="29" customFormat="1" x14ac:dyDescent="0.15">
      <c r="A61" s="29">
        <v>2004</v>
      </c>
      <c r="B61" s="295">
        <v>38094</v>
      </c>
      <c r="C61" s="411" t="s">
        <v>846</v>
      </c>
      <c r="D61" s="411"/>
      <c r="E61" s="29">
        <f>366-E60</f>
        <v>259</v>
      </c>
      <c r="F61" s="29">
        <v>1</v>
      </c>
      <c r="G61" s="66"/>
      <c r="I61" s="29">
        <v>17</v>
      </c>
      <c r="J61" s="73">
        <v>17</v>
      </c>
      <c r="K61" s="47">
        <f t="shared" si="3"/>
        <v>0</v>
      </c>
      <c r="L61" s="47">
        <f t="shared" si="3"/>
        <v>0</v>
      </c>
      <c r="M61" s="47">
        <f t="shared" si="3"/>
        <v>100</v>
      </c>
      <c r="N61" s="68">
        <f t="shared" si="1"/>
        <v>100</v>
      </c>
      <c r="O61" s="46"/>
      <c r="P61" s="47"/>
      <c r="Q61" s="47">
        <v>46.9</v>
      </c>
      <c r="R61" s="48">
        <f t="shared" si="2"/>
        <v>46.9</v>
      </c>
      <c r="S61" s="29">
        <v>4</v>
      </c>
      <c r="T61" s="286">
        <v>38060</v>
      </c>
      <c r="U61" s="295">
        <v>38094</v>
      </c>
      <c r="V61" s="38" t="s">
        <v>475</v>
      </c>
      <c r="W61" s="29" t="s">
        <v>20</v>
      </c>
      <c r="X61" s="29" t="s">
        <v>12</v>
      </c>
      <c r="Y61" s="39">
        <v>46.9</v>
      </c>
      <c r="AD61" s="38"/>
      <c r="AG61" s="39"/>
      <c r="AL61" s="38"/>
      <c r="AO61" s="39"/>
      <c r="AP61" s="38"/>
      <c r="AS61" s="39"/>
      <c r="AW61" s="39"/>
      <c r="BA61" s="40"/>
    </row>
    <row r="62" spans="1:53" s="29" customFormat="1" x14ac:dyDescent="0.15">
      <c r="A62" s="29">
        <v>2005</v>
      </c>
      <c r="B62" s="295"/>
      <c r="C62" s="411" t="s">
        <v>846</v>
      </c>
      <c r="D62" s="411"/>
      <c r="E62" s="29">
        <v>0</v>
      </c>
      <c r="G62" s="66"/>
      <c r="I62" s="29">
        <v>17</v>
      </c>
      <c r="J62" s="73">
        <v>17</v>
      </c>
      <c r="K62" s="47">
        <f t="shared" si="3"/>
        <v>0</v>
      </c>
      <c r="L62" s="47">
        <f t="shared" si="3"/>
        <v>0</v>
      </c>
      <c r="M62" s="47">
        <f t="shared" si="3"/>
        <v>100</v>
      </c>
      <c r="N62" s="68">
        <f t="shared" si="1"/>
        <v>100</v>
      </c>
      <c r="O62" s="46"/>
      <c r="P62" s="47"/>
      <c r="Q62" s="47">
        <v>46.9</v>
      </c>
      <c r="R62" s="48">
        <f t="shared" si="2"/>
        <v>46.9</v>
      </c>
      <c r="S62" s="29">
        <v>4</v>
      </c>
      <c r="T62" s="286"/>
      <c r="U62" s="295"/>
      <c r="V62" s="38" t="s">
        <v>475</v>
      </c>
      <c r="W62" s="29" t="s">
        <v>20</v>
      </c>
      <c r="X62" s="29" t="s">
        <v>12</v>
      </c>
      <c r="Y62" s="39">
        <v>46.9</v>
      </c>
      <c r="AD62" s="38"/>
      <c r="AG62" s="39"/>
      <c r="AL62" s="38"/>
      <c r="AO62" s="39"/>
      <c r="AP62" s="38"/>
      <c r="AS62" s="39"/>
      <c r="AW62" s="39"/>
      <c r="BA62" s="40"/>
    </row>
    <row r="63" spans="1:53" s="29" customFormat="1" x14ac:dyDescent="0.15">
      <c r="A63" s="29">
        <v>2005</v>
      </c>
      <c r="B63" s="295"/>
      <c r="C63" s="411" t="s">
        <v>846</v>
      </c>
      <c r="D63" s="411"/>
      <c r="E63" s="29">
        <f>365-E62</f>
        <v>365</v>
      </c>
      <c r="G63" s="66"/>
      <c r="I63" s="29">
        <v>17</v>
      </c>
      <c r="J63" s="73">
        <v>17</v>
      </c>
      <c r="K63" s="47">
        <f t="shared" si="3"/>
        <v>0</v>
      </c>
      <c r="L63" s="47">
        <f t="shared" si="3"/>
        <v>0</v>
      </c>
      <c r="M63" s="47">
        <f t="shared" si="3"/>
        <v>100</v>
      </c>
      <c r="N63" s="68">
        <f t="shared" si="1"/>
        <v>100</v>
      </c>
      <c r="O63" s="46"/>
      <c r="P63" s="47"/>
      <c r="Q63" s="47">
        <v>46.9</v>
      </c>
      <c r="R63" s="48">
        <f t="shared" si="2"/>
        <v>46.9</v>
      </c>
      <c r="S63" s="29">
        <v>4</v>
      </c>
      <c r="T63" s="286"/>
      <c r="U63" s="295"/>
      <c r="V63" s="38" t="s">
        <v>475</v>
      </c>
      <c r="W63" s="29" t="s">
        <v>20</v>
      </c>
      <c r="X63" s="29" t="s">
        <v>12</v>
      </c>
      <c r="Y63" s="39">
        <v>46.9</v>
      </c>
      <c r="AD63" s="38"/>
      <c r="AG63" s="39"/>
      <c r="AL63" s="38"/>
      <c r="AO63" s="39"/>
      <c r="AP63" s="38"/>
      <c r="AS63" s="39"/>
      <c r="AW63" s="39"/>
      <c r="BA63" s="40"/>
    </row>
    <row r="64" spans="1:53" s="29" customFormat="1" x14ac:dyDescent="0.15">
      <c r="A64" s="29">
        <v>2006</v>
      </c>
      <c r="B64" s="295"/>
      <c r="C64" s="411" t="s">
        <v>846</v>
      </c>
      <c r="D64" s="411"/>
      <c r="E64" s="29">
        <v>0</v>
      </c>
      <c r="G64" s="66"/>
      <c r="I64" s="29">
        <v>17</v>
      </c>
      <c r="J64" s="73">
        <v>17</v>
      </c>
      <c r="K64" s="47">
        <f t="shared" si="3"/>
        <v>0</v>
      </c>
      <c r="L64" s="47">
        <f t="shared" si="3"/>
        <v>0</v>
      </c>
      <c r="M64" s="47">
        <f t="shared" si="3"/>
        <v>100</v>
      </c>
      <c r="N64" s="68">
        <f t="shared" si="1"/>
        <v>100</v>
      </c>
      <c r="O64" s="46"/>
      <c r="P64" s="47"/>
      <c r="Q64" s="47">
        <v>46.9</v>
      </c>
      <c r="R64" s="48">
        <f t="shared" si="2"/>
        <v>46.9</v>
      </c>
      <c r="S64" s="29">
        <v>4</v>
      </c>
      <c r="T64" s="286"/>
      <c r="U64" s="295"/>
      <c r="V64" s="38" t="s">
        <v>475</v>
      </c>
      <c r="W64" s="29" t="s">
        <v>20</v>
      </c>
      <c r="X64" s="29" t="s">
        <v>12</v>
      </c>
      <c r="Y64" s="39">
        <v>46.9</v>
      </c>
      <c r="AD64" s="38"/>
      <c r="AG64" s="39"/>
      <c r="AL64" s="38"/>
      <c r="AO64" s="39"/>
      <c r="AP64" s="38"/>
      <c r="AS64" s="39"/>
      <c r="AW64" s="39"/>
      <c r="BA64" s="40"/>
    </row>
    <row r="65" spans="1:53" s="29" customFormat="1" x14ac:dyDescent="0.15">
      <c r="A65" s="29">
        <v>2006</v>
      </c>
      <c r="B65" s="295"/>
      <c r="C65" s="411" t="s">
        <v>846</v>
      </c>
      <c r="D65" s="411"/>
      <c r="E65" s="29">
        <f>365-E64</f>
        <v>365</v>
      </c>
      <c r="G65" s="66"/>
      <c r="I65" s="29">
        <v>17</v>
      </c>
      <c r="J65" s="73">
        <v>17</v>
      </c>
      <c r="K65" s="47">
        <f t="shared" si="3"/>
        <v>0</v>
      </c>
      <c r="L65" s="47">
        <f t="shared" si="3"/>
        <v>0</v>
      </c>
      <c r="M65" s="47">
        <f t="shared" si="3"/>
        <v>100</v>
      </c>
      <c r="N65" s="68">
        <f t="shared" si="1"/>
        <v>100</v>
      </c>
      <c r="O65" s="46"/>
      <c r="P65" s="47"/>
      <c r="Q65" s="47">
        <v>46.9</v>
      </c>
      <c r="R65" s="48">
        <f t="shared" si="2"/>
        <v>46.9</v>
      </c>
      <c r="S65" s="29">
        <v>4</v>
      </c>
      <c r="T65" s="286"/>
      <c r="U65" s="295"/>
      <c r="V65" s="38" t="s">
        <v>475</v>
      </c>
      <c r="W65" s="29" t="s">
        <v>20</v>
      </c>
      <c r="X65" s="29" t="s">
        <v>12</v>
      </c>
      <c r="Y65" s="39">
        <v>46.9</v>
      </c>
      <c r="AD65" s="38"/>
      <c r="AG65" s="39"/>
      <c r="AL65" s="38"/>
      <c r="AO65" s="39"/>
      <c r="AP65" s="38"/>
      <c r="AS65" s="39"/>
      <c r="AW65" s="39"/>
      <c r="BA65" s="40"/>
    </row>
    <row r="66" spans="1:53" s="29" customFormat="1" x14ac:dyDescent="0.15">
      <c r="A66" s="29">
        <v>2007</v>
      </c>
      <c r="B66" s="295"/>
      <c r="C66" s="411" t="s">
        <v>846</v>
      </c>
      <c r="D66" s="411"/>
      <c r="E66" s="29">
        <v>0</v>
      </c>
      <c r="G66" s="66"/>
      <c r="I66" s="29">
        <v>17</v>
      </c>
      <c r="J66" s="73">
        <v>17</v>
      </c>
      <c r="K66" s="47">
        <f t="shared" si="3"/>
        <v>0</v>
      </c>
      <c r="L66" s="47">
        <f t="shared" si="3"/>
        <v>0</v>
      </c>
      <c r="M66" s="47">
        <f t="shared" si="3"/>
        <v>100</v>
      </c>
      <c r="N66" s="68">
        <f t="shared" si="1"/>
        <v>100</v>
      </c>
      <c r="O66" s="46"/>
      <c r="P66" s="47"/>
      <c r="Q66" s="47">
        <v>46.9</v>
      </c>
      <c r="R66" s="48">
        <f t="shared" si="2"/>
        <v>46.9</v>
      </c>
      <c r="S66" s="29">
        <v>4</v>
      </c>
      <c r="T66" s="286"/>
      <c r="U66" s="295"/>
      <c r="V66" s="38" t="s">
        <v>475</v>
      </c>
      <c r="W66" s="29" t="s">
        <v>20</v>
      </c>
      <c r="X66" s="29" t="s">
        <v>12</v>
      </c>
      <c r="Y66" s="39">
        <v>46.9</v>
      </c>
      <c r="AD66" s="38"/>
      <c r="AG66" s="39"/>
      <c r="AL66" s="38"/>
      <c r="AO66" s="39"/>
      <c r="AP66" s="38"/>
      <c r="AS66" s="39"/>
      <c r="AW66" s="39"/>
      <c r="BA66" s="40"/>
    </row>
    <row r="67" spans="1:53" s="29" customFormat="1" x14ac:dyDescent="0.15">
      <c r="A67" s="29">
        <v>2007</v>
      </c>
      <c r="B67" s="295"/>
      <c r="C67" s="411" t="s">
        <v>846</v>
      </c>
      <c r="D67" s="411"/>
      <c r="E67" s="29">
        <v>365</v>
      </c>
      <c r="G67" s="66"/>
      <c r="I67" s="29">
        <v>17</v>
      </c>
      <c r="J67" s="73">
        <v>17</v>
      </c>
      <c r="K67" s="47">
        <f t="shared" si="3"/>
        <v>0</v>
      </c>
      <c r="L67" s="47">
        <f t="shared" si="3"/>
        <v>0</v>
      </c>
      <c r="M67" s="47">
        <f t="shared" si="3"/>
        <v>100</v>
      </c>
      <c r="N67" s="68">
        <f t="shared" si="1"/>
        <v>100</v>
      </c>
      <c r="O67" s="46"/>
      <c r="P67" s="47"/>
      <c r="Q67" s="47">
        <v>46.9</v>
      </c>
      <c r="R67" s="48">
        <f t="shared" si="2"/>
        <v>46.9</v>
      </c>
      <c r="S67" s="29">
        <v>4</v>
      </c>
      <c r="T67" s="286"/>
      <c r="U67" s="295"/>
      <c r="V67" s="38" t="s">
        <v>475</v>
      </c>
      <c r="W67" s="29" t="s">
        <v>20</v>
      </c>
      <c r="X67" s="29" t="s">
        <v>12</v>
      </c>
      <c r="Y67" s="39">
        <v>46.9</v>
      </c>
      <c r="AD67" s="38"/>
      <c r="AG67" s="39"/>
      <c r="AL67" s="38"/>
      <c r="AO67" s="39"/>
      <c r="AP67" s="38"/>
      <c r="AS67" s="39"/>
      <c r="AW67" s="39"/>
      <c r="BA67" s="40"/>
    </row>
    <row r="68" spans="1:53" s="29" customFormat="1" x14ac:dyDescent="0.15">
      <c r="A68" s="29">
        <v>2008</v>
      </c>
      <c r="B68" s="295"/>
      <c r="C68" s="411" t="s">
        <v>846</v>
      </c>
      <c r="D68" s="411"/>
      <c r="E68" s="29">
        <v>98</v>
      </c>
      <c r="G68" s="66"/>
      <c r="I68" s="29">
        <v>17</v>
      </c>
      <c r="J68" s="73">
        <v>17</v>
      </c>
      <c r="K68" s="47">
        <f t="shared" si="3"/>
        <v>0</v>
      </c>
      <c r="L68" s="47">
        <f t="shared" si="3"/>
        <v>0</v>
      </c>
      <c r="M68" s="47">
        <f t="shared" si="3"/>
        <v>100</v>
      </c>
      <c r="N68" s="68">
        <f t="shared" si="1"/>
        <v>100</v>
      </c>
      <c r="O68" s="46"/>
      <c r="P68" s="47"/>
      <c r="Q68" s="47">
        <v>46.9</v>
      </c>
      <c r="R68" s="48">
        <f t="shared" si="2"/>
        <v>46.9</v>
      </c>
      <c r="S68" s="29">
        <v>4</v>
      </c>
      <c r="T68" s="286"/>
      <c r="U68" s="295"/>
      <c r="V68" s="38" t="s">
        <v>475</v>
      </c>
      <c r="W68" s="29" t="s">
        <v>20</v>
      </c>
      <c r="X68" s="29" t="s">
        <v>12</v>
      </c>
      <c r="Y68" s="39">
        <v>46.9</v>
      </c>
      <c r="AD68" s="38"/>
      <c r="AG68" s="39"/>
      <c r="AL68" s="38"/>
      <c r="AO68" s="39"/>
      <c r="AP68" s="38"/>
      <c r="AS68" s="39"/>
      <c r="AW68" s="39"/>
      <c r="BA68" s="40"/>
    </row>
    <row r="69" spans="1:53" s="171" customFormat="1" x14ac:dyDescent="0.15">
      <c r="A69" s="171">
        <v>2008</v>
      </c>
      <c r="B69" s="283">
        <v>39546</v>
      </c>
      <c r="C69" s="410" t="s">
        <v>847</v>
      </c>
      <c r="D69" s="410"/>
      <c r="E69" s="171">
        <f>366-E68</f>
        <v>268</v>
      </c>
      <c r="F69" s="171">
        <v>1</v>
      </c>
      <c r="G69" s="233"/>
      <c r="I69" s="171">
        <v>17</v>
      </c>
      <c r="J69" s="241">
        <v>17</v>
      </c>
      <c r="K69" s="214">
        <f t="shared" si="3"/>
        <v>0</v>
      </c>
      <c r="L69" s="214">
        <f t="shared" si="3"/>
        <v>0</v>
      </c>
      <c r="M69" s="214">
        <f t="shared" si="3"/>
        <v>100</v>
      </c>
      <c r="N69" s="235">
        <f t="shared" si="1"/>
        <v>100</v>
      </c>
      <c r="O69" s="213"/>
      <c r="P69" s="214"/>
      <c r="Q69" s="214">
        <v>48.28</v>
      </c>
      <c r="R69" s="215">
        <f t="shared" si="2"/>
        <v>48.28</v>
      </c>
      <c r="S69" s="171">
        <v>4</v>
      </c>
      <c r="T69" s="285">
        <v>39516</v>
      </c>
      <c r="U69" s="283">
        <v>39546</v>
      </c>
      <c r="V69" s="178" t="s">
        <v>475</v>
      </c>
      <c r="W69" s="171" t="s">
        <v>20</v>
      </c>
      <c r="X69" s="171" t="s">
        <v>12</v>
      </c>
      <c r="Y69" s="179">
        <v>48.3</v>
      </c>
      <c r="AD69" s="178"/>
      <c r="AG69" s="179"/>
      <c r="AL69" s="178"/>
      <c r="AO69" s="179"/>
      <c r="AP69" s="178"/>
      <c r="AS69" s="179"/>
      <c r="AW69" s="179"/>
      <c r="BA69" s="180"/>
    </row>
    <row r="70" spans="1:53" s="171" customFormat="1" x14ac:dyDescent="0.15">
      <c r="A70" s="171">
        <v>2009</v>
      </c>
      <c r="B70" s="283"/>
      <c r="C70" s="410" t="s">
        <v>847</v>
      </c>
      <c r="D70" s="410"/>
      <c r="E70" s="171">
        <v>96</v>
      </c>
      <c r="G70" s="233"/>
      <c r="I70" s="171">
        <v>17</v>
      </c>
      <c r="J70" s="241">
        <v>17</v>
      </c>
      <c r="K70" s="214">
        <f t="shared" si="3"/>
        <v>0</v>
      </c>
      <c r="L70" s="214">
        <f t="shared" si="3"/>
        <v>0</v>
      </c>
      <c r="M70" s="214">
        <f t="shared" si="3"/>
        <v>100</v>
      </c>
      <c r="N70" s="235">
        <f t="shared" si="1"/>
        <v>100</v>
      </c>
      <c r="O70" s="213"/>
      <c r="P70" s="214"/>
      <c r="Q70" s="214">
        <v>48.28</v>
      </c>
      <c r="R70" s="215">
        <f t="shared" si="2"/>
        <v>48.28</v>
      </c>
      <c r="S70" s="171">
        <v>4</v>
      </c>
      <c r="T70" s="285"/>
      <c r="U70" s="283"/>
      <c r="V70" s="178" t="s">
        <v>475</v>
      </c>
      <c r="W70" s="171" t="s">
        <v>20</v>
      </c>
      <c r="X70" s="171" t="s">
        <v>12</v>
      </c>
      <c r="Y70" s="179">
        <v>48.3</v>
      </c>
      <c r="AD70" s="178"/>
      <c r="AG70" s="179"/>
      <c r="AL70" s="178"/>
      <c r="AO70" s="179"/>
      <c r="AP70" s="178"/>
      <c r="AS70" s="179"/>
      <c r="AW70" s="179"/>
      <c r="BA70" s="180"/>
    </row>
    <row r="71" spans="1:53" s="171" customFormat="1" x14ac:dyDescent="0.15">
      <c r="A71" s="171">
        <v>2009</v>
      </c>
      <c r="B71" s="305">
        <v>39910</v>
      </c>
      <c r="C71" s="410" t="s">
        <v>847</v>
      </c>
      <c r="D71" s="410"/>
      <c r="E71" s="171">
        <f>365-E70</f>
        <v>269</v>
      </c>
      <c r="F71" s="244">
        <v>0</v>
      </c>
      <c r="G71" s="233"/>
      <c r="I71" s="171">
        <v>18</v>
      </c>
      <c r="J71" s="241">
        <v>18</v>
      </c>
      <c r="K71" s="214">
        <f t="shared" si="3"/>
        <v>0</v>
      </c>
      <c r="L71" s="214">
        <f t="shared" si="3"/>
        <v>0</v>
      </c>
      <c r="M71" s="214">
        <f t="shared" si="3"/>
        <v>100</v>
      </c>
      <c r="N71" s="235">
        <f t="shared" si="1"/>
        <v>100</v>
      </c>
      <c r="O71" s="213"/>
      <c r="P71" s="214"/>
      <c r="Q71" s="214">
        <v>48.28</v>
      </c>
      <c r="R71" s="215">
        <f t="shared" si="2"/>
        <v>48.28</v>
      </c>
      <c r="S71" s="171">
        <v>4</v>
      </c>
      <c r="T71" s="285"/>
      <c r="U71" s="283"/>
      <c r="V71" s="178" t="s">
        <v>475</v>
      </c>
      <c r="W71" s="171" t="s">
        <v>20</v>
      </c>
      <c r="X71" s="171" t="s">
        <v>12</v>
      </c>
      <c r="Y71" s="179">
        <v>48.3</v>
      </c>
      <c r="AD71" s="178"/>
      <c r="AG71" s="179"/>
      <c r="AL71" s="178"/>
      <c r="AO71" s="179"/>
      <c r="AP71" s="178"/>
      <c r="AS71" s="179"/>
      <c r="AW71" s="179"/>
      <c r="BA71" s="180"/>
    </row>
    <row r="72" spans="1:53" s="171" customFormat="1" x14ac:dyDescent="0.15">
      <c r="A72" s="171">
        <v>2010</v>
      </c>
      <c r="B72" s="283"/>
      <c r="C72" s="410" t="s">
        <v>847</v>
      </c>
      <c r="D72" s="410"/>
      <c r="E72" s="171">
        <v>292</v>
      </c>
      <c r="G72" s="233"/>
      <c r="I72" s="171">
        <v>18</v>
      </c>
      <c r="J72" s="241">
        <v>18</v>
      </c>
      <c r="K72" s="214">
        <f t="shared" si="3"/>
        <v>0</v>
      </c>
      <c r="L72" s="214">
        <f t="shared" si="3"/>
        <v>0</v>
      </c>
      <c r="M72" s="214">
        <f t="shared" si="3"/>
        <v>100</v>
      </c>
      <c r="N72" s="235">
        <f t="shared" ref="N72:N79" si="4">K72+L72+M72</f>
        <v>100</v>
      </c>
      <c r="O72" s="213"/>
      <c r="P72" s="214"/>
      <c r="Q72" s="214">
        <v>48.28</v>
      </c>
      <c r="R72" s="215">
        <f t="shared" ref="R72:R79" si="5">O72+P72+Q72</f>
        <v>48.28</v>
      </c>
      <c r="S72" s="171">
        <v>4</v>
      </c>
      <c r="T72" s="285"/>
      <c r="U72" s="283"/>
      <c r="V72" s="178" t="s">
        <v>475</v>
      </c>
      <c r="W72" s="171" t="s">
        <v>20</v>
      </c>
      <c r="X72" s="171" t="s">
        <v>12</v>
      </c>
      <c r="Y72" s="179">
        <v>48.3</v>
      </c>
      <c r="AD72" s="178"/>
      <c r="AG72" s="179"/>
      <c r="AL72" s="178"/>
      <c r="AO72" s="179"/>
      <c r="AP72" s="178"/>
      <c r="AS72" s="179"/>
      <c r="AW72" s="179"/>
      <c r="BA72" s="180"/>
    </row>
    <row r="73" spans="1:53" s="171" customFormat="1" x14ac:dyDescent="0.15">
      <c r="A73" s="171">
        <v>2010</v>
      </c>
      <c r="B73" s="305">
        <v>40471</v>
      </c>
      <c r="C73" s="410" t="s">
        <v>847</v>
      </c>
      <c r="D73" s="410"/>
      <c r="E73" s="171">
        <f>365-E72</f>
        <v>73</v>
      </c>
      <c r="F73" s="244">
        <v>0</v>
      </c>
      <c r="G73" s="233"/>
      <c r="I73" s="171">
        <v>15</v>
      </c>
      <c r="J73" s="241">
        <v>16</v>
      </c>
      <c r="K73" s="214">
        <f t="shared" si="3"/>
        <v>0</v>
      </c>
      <c r="L73" s="214">
        <f t="shared" si="3"/>
        <v>0</v>
      </c>
      <c r="M73" s="214">
        <f t="shared" si="3"/>
        <v>93.75</v>
      </c>
      <c r="N73" s="235">
        <f t="shared" si="4"/>
        <v>93.75</v>
      </c>
      <c r="O73" s="213"/>
      <c r="P73" s="214"/>
      <c r="Q73" s="214">
        <v>48.28</v>
      </c>
      <c r="R73" s="215">
        <f t="shared" si="5"/>
        <v>48.28</v>
      </c>
      <c r="S73" s="171">
        <v>4</v>
      </c>
      <c r="T73" s="285"/>
      <c r="U73" s="283"/>
      <c r="V73" s="178" t="s">
        <v>475</v>
      </c>
      <c r="W73" s="171" t="s">
        <v>20</v>
      </c>
      <c r="X73" s="171" t="s">
        <v>12</v>
      </c>
      <c r="Y73" s="179">
        <v>48.3</v>
      </c>
      <c r="AD73" s="178"/>
      <c r="AG73" s="179"/>
      <c r="AL73" s="178"/>
      <c r="AO73" s="179"/>
      <c r="AP73" s="178"/>
      <c r="AS73" s="179"/>
      <c r="AW73" s="179"/>
      <c r="BA73" s="180"/>
    </row>
    <row r="74" spans="1:53" s="171" customFormat="1" x14ac:dyDescent="0.15">
      <c r="A74" s="171">
        <v>2011</v>
      </c>
      <c r="B74" s="283"/>
      <c r="C74" s="410" t="s">
        <v>847</v>
      </c>
      <c r="D74" s="410"/>
      <c r="E74" s="171">
        <v>352</v>
      </c>
      <c r="G74" s="233"/>
      <c r="I74" s="171">
        <v>15</v>
      </c>
      <c r="J74" s="241">
        <v>16</v>
      </c>
      <c r="K74" s="214">
        <f t="shared" si="3"/>
        <v>0</v>
      </c>
      <c r="L74" s="214">
        <f t="shared" si="3"/>
        <v>0</v>
      </c>
      <c r="M74" s="214">
        <f t="shared" si="3"/>
        <v>93.75</v>
      </c>
      <c r="N74" s="235">
        <f t="shared" si="4"/>
        <v>93.75</v>
      </c>
      <c r="O74" s="213"/>
      <c r="P74" s="214"/>
      <c r="Q74" s="214">
        <v>48.28</v>
      </c>
      <c r="R74" s="215">
        <f t="shared" si="5"/>
        <v>48.28</v>
      </c>
      <c r="S74" s="171">
        <v>4</v>
      </c>
      <c r="T74" s="285"/>
      <c r="U74" s="283"/>
      <c r="V74" s="178" t="s">
        <v>475</v>
      </c>
      <c r="W74" s="171" t="s">
        <v>20</v>
      </c>
      <c r="X74" s="171" t="s">
        <v>12</v>
      </c>
      <c r="Y74" s="179">
        <v>48.3</v>
      </c>
      <c r="AD74" s="178"/>
      <c r="AG74" s="179"/>
      <c r="AL74" s="178"/>
      <c r="AO74" s="179"/>
      <c r="AP74" s="178"/>
      <c r="AS74" s="179"/>
      <c r="AW74" s="179"/>
      <c r="BA74" s="180"/>
    </row>
    <row r="75" spans="1:53" s="29" customFormat="1" x14ac:dyDescent="0.15">
      <c r="A75" s="29">
        <v>2011</v>
      </c>
      <c r="B75" s="295">
        <v>40896</v>
      </c>
      <c r="C75" s="434" t="s">
        <v>848</v>
      </c>
      <c r="D75" s="434"/>
      <c r="E75" s="29">
        <v>13</v>
      </c>
      <c r="F75" s="29">
        <v>1</v>
      </c>
      <c r="G75" s="66"/>
      <c r="H75" s="29">
        <v>14</v>
      </c>
      <c r="J75" s="73">
        <v>14</v>
      </c>
      <c r="K75" s="47">
        <f t="shared" si="3"/>
        <v>0</v>
      </c>
      <c r="L75" s="47">
        <f t="shared" si="3"/>
        <v>100</v>
      </c>
      <c r="M75" s="47">
        <f t="shared" si="3"/>
        <v>0</v>
      </c>
      <c r="N75" s="68">
        <f t="shared" si="4"/>
        <v>100</v>
      </c>
      <c r="O75" s="46"/>
      <c r="P75" s="47">
        <v>53.14</v>
      </c>
      <c r="Q75" s="47"/>
      <c r="R75" s="48">
        <f t="shared" si="5"/>
        <v>53.14</v>
      </c>
      <c r="S75" s="29">
        <v>1</v>
      </c>
      <c r="T75" s="286">
        <v>40867</v>
      </c>
      <c r="U75" s="295">
        <v>40896</v>
      </c>
      <c r="V75" s="38" t="s">
        <v>476</v>
      </c>
      <c r="W75" s="29" t="s">
        <v>75</v>
      </c>
      <c r="X75" s="29" t="s">
        <v>18</v>
      </c>
      <c r="Y75" s="39">
        <v>53.1</v>
      </c>
      <c r="AD75" s="38"/>
      <c r="AG75" s="39"/>
      <c r="AL75" s="38"/>
      <c r="AO75" s="39"/>
      <c r="AP75" s="38"/>
      <c r="AS75" s="39"/>
      <c r="AW75" s="39"/>
      <c r="BA75" s="40"/>
    </row>
    <row r="76" spans="1:53" s="29" customFormat="1" x14ac:dyDescent="0.15">
      <c r="A76" s="29">
        <v>2012</v>
      </c>
      <c r="B76" s="295"/>
      <c r="C76" s="434" t="s">
        <v>848</v>
      </c>
      <c r="D76" s="434"/>
      <c r="E76" s="29">
        <v>0</v>
      </c>
      <c r="G76" s="66"/>
      <c r="H76" s="29">
        <v>14</v>
      </c>
      <c r="J76" s="73">
        <v>14</v>
      </c>
      <c r="K76" s="47">
        <f t="shared" si="3"/>
        <v>0</v>
      </c>
      <c r="L76" s="47">
        <f t="shared" si="3"/>
        <v>100</v>
      </c>
      <c r="M76" s="47">
        <f t="shared" si="3"/>
        <v>0</v>
      </c>
      <c r="N76" s="68">
        <f t="shared" si="4"/>
        <v>100</v>
      </c>
      <c r="O76" s="46"/>
      <c r="P76" s="47">
        <v>53.14</v>
      </c>
      <c r="Q76" s="47"/>
      <c r="R76" s="48">
        <f t="shared" si="5"/>
        <v>53.14</v>
      </c>
      <c r="S76" s="29">
        <v>1</v>
      </c>
      <c r="T76" s="286"/>
      <c r="U76" s="295"/>
      <c r="V76" s="38" t="s">
        <v>476</v>
      </c>
      <c r="W76" s="29" t="s">
        <v>75</v>
      </c>
      <c r="X76" s="29" t="s">
        <v>18</v>
      </c>
      <c r="Y76" s="39">
        <v>53.1</v>
      </c>
      <c r="AD76" s="38"/>
      <c r="AG76" s="39"/>
      <c r="AL76" s="38"/>
      <c r="AO76" s="39"/>
      <c r="AP76" s="38"/>
      <c r="AS76" s="39"/>
      <c r="AW76" s="39"/>
      <c r="BA76" s="40"/>
    </row>
    <row r="77" spans="1:53" s="29" customFormat="1" x14ac:dyDescent="0.15">
      <c r="A77" s="29">
        <v>2012</v>
      </c>
      <c r="B77" s="295"/>
      <c r="C77" s="434" t="s">
        <v>848</v>
      </c>
      <c r="D77" s="434"/>
      <c r="E77" s="29">
        <v>366</v>
      </c>
      <c r="G77" s="66"/>
      <c r="H77" s="29">
        <v>14</v>
      </c>
      <c r="J77" s="73">
        <v>14</v>
      </c>
      <c r="K77" s="47">
        <f t="shared" si="3"/>
        <v>0</v>
      </c>
      <c r="L77" s="47">
        <f t="shared" si="3"/>
        <v>100</v>
      </c>
      <c r="M77" s="47">
        <f t="shared" si="3"/>
        <v>0</v>
      </c>
      <c r="N77" s="68">
        <f t="shared" si="4"/>
        <v>100</v>
      </c>
      <c r="O77" s="46"/>
      <c r="P77" s="47">
        <v>53.14</v>
      </c>
      <c r="Q77" s="47"/>
      <c r="R77" s="48">
        <f t="shared" si="5"/>
        <v>53.14</v>
      </c>
      <c r="S77" s="29">
        <v>1</v>
      </c>
      <c r="T77" s="286"/>
      <c r="U77" s="295"/>
      <c r="V77" s="38" t="s">
        <v>476</v>
      </c>
      <c r="W77" s="29" t="s">
        <v>75</v>
      </c>
      <c r="X77" s="29" t="s">
        <v>18</v>
      </c>
      <c r="Y77" s="39">
        <v>53.1</v>
      </c>
      <c r="AD77" s="38"/>
      <c r="AG77" s="39"/>
      <c r="AL77" s="38"/>
      <c r="AO77" s="39"/>
      <c r="AP77" s="38"/>
      <c r="AS77" s="39"/>
      <c r="AW77" s="39"/>
      <c r="BA77" s="40"/>
    </row>
    <row r="78" spans="1:53" s="29" customFormat="1" x14ac:dyDescent="0.15">
      <c r="A78" s="29">
        <v>2013</v>
      </c>
      <c r="B78" s="295"/>
      <c r="C78" s="434" t="s">
        <v>848</v>
      </c>
      <c r="D78" s="434"/>
      <c r="E78" s="29">
        <v>0</v>
      </c>
      <c r="G78" s="66"/>
      <c r="H78" s="29">
        <v>14</v>
      </c>
      <c r="J78" s="73">
        <v>14</v>
      </c>
      <c r="K78" s="47">
        <f t="shared" si="3"/>
        <v>0</v>
      </c>
      <c r="L78" s="47">
        <f t="shared" si="3"/>
        <v>100</v>
      </c>
      <c r="M78" s="47">
        <f t="shared" si="3"/>
        <v>0</v>
      </c>
      <c r="N78" s="68">
        <f t="shared" si="4"/>
        <v>100</v>
      </c>
      <c r="O78" s="46"/>
      <c r="P78" s="47">
        <v>53.14</v>
      </c>
      <c r="Q78" s="47"/>
      <c r="R78" s="48">
        <f t="shared" si="5"/>
        <v>53.14</v>
      </c>
      <c r="S78" s="29">
        <v>1</v>
      </c>
      <c r="T78" s="286"/>
      <c r="U78" s="295"/>
      <c r="V78" s="38" t="s">
        <v>476</v>
      </c>
      <c r="W78" s="29" t="s">
        <v>75</v>
      </c>
      <c r="X78" s="29" t="s">
        <v>18</v>
      </c>
      <c r="Y78" s="39">
        <v>53.1</v>
      </c>
      <c r="AD78" s="38"/>
      <c r="AG78" s="39"/>
      <c r="AL78" s="38"/>
      <c r="AO78" s="39"/>
      <c r="AP78" s="38"/>
      <c r="AS78" s="39"/>
      <c r="AW78" s="39"/>
      <c r="BA78" s="40"/>
    </row>
    <row r="79" spans="1:53" s="29" customFormat="1" x14ac:dyDescent="0.15">
      <c r="A79" s="29">
        <v>2013</v>
      </c>
      <c r="B79" s="295"/>
      <c r="C79" s="434" t="s">
        <v>848</v>
      </c>
      <c r="D79" s="434"/>
      <c r="E79" s="29">
        <v>365</v>
      </c>
      <c r="G79" s="66"/>
      <c r="H79" s="29">
        <v>14</v>
      </c>
      <c r="J79" s="73">
        <v>14</v>
      </c>
      <c r="K79" s="47">
        <f t="shared" si="3"/>
        <v>0</v>
      </c>
      <c r="L79" s="47">
        <f t="shared" si="3"/>
        <v>100</v>
      </c>
      <c r="M79" s="47">
        <f t="shared" si="3"/>
        <v>0</v>
      </c>
      <c r="N79" s="68">
        <f t="shared" si="4"/>
        <v>100</v>
      </c>
      <c r="O79" s="46"/>
      <c r="P79" s="47">
        <v>53.14</v>
      </c>
      <c r="Q79" s="47"/>
      <c r="R79" s="48">
        <f t="shared" si="5"/>
        <v>53.14</v>
      </c>
      <c r="S79" s="29">
        <v>1</v>
      </c>
      <c r="T79" s="286"/>
      <c r="U79" s="295"/>
      <c r="V79" s="38" t="s">
        <v>476</v>
      </c>
      <c r="W79" s="29" t="s">
        <v>75</v>
      </c>
      <c r="X79" s="29" t="s">
        <v>18</v>
      </c>
      <c r="Y79" s="39">
        <v>53.1</v>
      </c>
      <c r="AD79" s="38"/>
      <c r="AG79" s="39"/>
      <c r="AL79" s="38"/>
      <c r="AO79" s="39"/>
      <c r="AP79" s="38"/>
      <c r="AS79" s="39"/>
      <c r="AW79" s="39"/>
      <c r="BA79" s="40"/>
    </row>
    <row r="80" spans="1:53" s="29" customFormat="1" x14ac:dyDescent="0.15">
      <c r="A80" s="29">
        <v>2014</v>
      </c>
      <c r="B80" s="295"/>
      <c r="C80" s="434" t="s">
        <v>848</v>
      </c>
      <c r="D80" s="434"/>
      <c r="E80" s="29">
        <v>0</v>
      </c>
      <c r="G80" s="66"/>
      <c r="H80" s="29">
        <v>14</v>
      </c>
      <c r="J80" s="73">
        <v>14</v>
      </c>
      <c r="K80" s="47">
        <f t="shared" ref="K80:M81" si="6">G80/$J80*100</f>
        <v>0</v>
      </c>
      <c r="L80" s="47">
        <f t="shared" si="6"/>
        <v>100</v>
      </c>
      <c r="M80" s="47">
        <f t="shared" si="6"/>
        <v>0</v>
      </c>
      <c r="N80" s="68">
        <f>K80+L80+M80</f>
        <v>100</v>
      </c>
      <c r="O80" s="46"/>
      <c r="P80" s="47">
        <v>53.14</v>
      </c>
      <c r="Q80" s="47"/>
      <c r="R80" s="48">
        <f>O80+P80+Q80</f>
        <v>53.14</v>
      </c>
      <c r="S80" s="29">
        <v>1</v>
      </c>
      <c r="T80" s="286"/>
      <c r="U80" s="295"/>
      <c r="V80" s="38" t="s">
        <v>476</v>
      </c>
      <c r="W80" s="29" t="s">
        <v>75</v>
      </c>
      <c r="X80" s="29" t="s">
        <v>18</v>
      </c>
      <c r="Y80" s="39">
        <v>53.1</v>
      </c>
      <c r="AD80" s="38"/>
      <c r="AG80" s="39"/>
      <c r="AL80" s="38"/>
      <c r="AO80" s="39"/>
      <c r="AP80" s="38"/>
      <c r="AS80" s="39"/>
      <c r="AW80" s="39"/>
      <c r="BA80" s="40"/>
    </row>
    <row r="81" spans="1:53" s="29" customFormat="1" x14ac:dyDescent="0.15">
      <c r="A81" s="29">
        <v>2014</v>
      </c>
      <c r="B81" s="295"/>
      <c r="C81" s="434" t="s">
        <v>848</v>
      </c>
      <c r="D81" s="434"/>
      <c r="E81" s="29">
        <v>365</v>
      </c>
      <c r="G81" s="66"/>
      <c r="H81" s="29">
        <v>14</v>
      </c>
      <c r="J81" s="73">
        <v>14</v>
      </c>
      <c r="K81" s="47">
        <f t="shared" si="6"/>
        <v>0</v>
      </c>
      <c r="L81" s="47">
        <f t="shared" si="6"/>
        <v>100</v>
      </c>
      <c r="M81" s="47">
        <f t="shared" si="6"/>
        <v>0</v>
      </c>
      <c r="N81" s="68">
        <f>K81+L81+M81</f>
        <v>100</v>
      </c>
      <c r="O81" s="46"/>
      <c r="P81" s="47">
        <v>53.14</v>
      </c>
      <c r="Q81" s="47"/>
      <c r="R81" s="48">
        <f>O81+P81+Q81</f>
        <v>53.14</v>
      </c>
      <c r="S81" s="29">
        <v>1</v>
      </c>
      <c r="T81" s="286"/>
      <c r="U81" s="295"/>
      <c r="V81" s="38" t="s">
        <v>476</v>
      </c>
      <c r="W81" s="29" t="s">
        <v>75</v>
      </c>
      <c r="X81" s="29" t="s">
        <v>18</v>
      </c>
      <c r="Y81" s="39">
        <v>53.1</v>
      </c>
      <c r="AD81" s="38"/>
      <c r="AG81" s="39"/>
      <c r="AL81" s="38"/>
      <c r="AO81" s="39"/>
      <c r="AP81" s="38"/>
      <c r="AS81" s="39"/>
      <c r="AW81" s="39"/>
      <c r="BA81" s="40"/>
    </row>
    <row r="82" spans="1:53" s="29" customFormat="1" x14ac:dyDescent="0.15">
      <c r="A82" s="29">
        <v>2015</v>
      </c>
      <c r="B82" s="295"/>
      <c r="C82" s="434" t="s">
        <v>848</v>
      </c>
      <c r="D82" s="434"/>
      <c r="E82" s="29">
        <v>0</v>
      </c>
      <c r="G82" s="66"/>
      <c r="H82" s="29">
        <v>14</v>
      </c>
      <c r="J82" s="73">
        <v>14</v>
      </c>
      <c r="K82" s="47">
        <f t="shared" ref="K82:K85" si="7">G82/$J82*100</f>
        <v>0</v>
      </c>
      <c r="L82" s="47">
        <f t="shared" ref="L82:L85" si="8">H82/$J82*100</f>
        <v>100</v>
      </c>
      <c r="M82" s="47">
        <f t="shared" ref="M82:M85" si="9">I82/$J82*100</f>
        <v>0</v>
      </c>
      <c r="N82" s="68">
        <f t="shared" ref="N82:N85" si="10">K82+L82+M82</f>
        <v>100</v>
      </c>
      <c r="O82" s="46"/>
      <c r="P82" s="47">
        <v>53.14</v>
      </c>
      <c r="Q82" s="47"/>
      <c r="R82" s="48">
        <f t="shared" ref="R82:R85" si="11">O82+P82+Q82</f>
        <v>53.14</v>
      </c>
      <c r="S82" s="29">
        <v>1</v>
      </c>
      <c r="T82" s="286"/>
      <c r="U82" s="295"/>
      <c r="V82" s="38" t="s">
        <v>476</v>
      </c>
      <c r="W82" s="29" t="s">
        <v>75</v>
      </c>
      <c r="X82" s="29" t="s">
        <v>18</v>
      </c>
      <c r="Y82" s="39">
        <v>53.1</v>
      </c>
      <c r="AD82" s="38"/>
      <c r="AG82" s="39"/>
      <c r="AL82" s="38"/>
      <c r="AO82" s="39"/>
      <c r="AP82" s="38"/>
      <c r="AS82" s="39"/>
      <c r="AW82" s="39"/>
      <c r="BA82" s="40"/>
    </row>
    <row r="83" spans="1:53" s="29" customFormat="1" x14ac:dyDescent="0.15">
      <c r="A83" s="29">
        <v>2015</v>
      </c>
      <c r="B83" s="295"/>
      <c r="C83" s="434" t="s">
        <v>848</v>
      </c>
      <c r="D83" s="434"/>
      <c r="E83" s="29">
        <v>365</v>
      </c>
      <c r="G83" s="66"/>
      <c r="H83" s="29">
        <v>14</v>
      </c>
      <c r="J83" s="73">
        <v>14</v>
      </c>
      <c r="K83" s="47">
        <f t="shared" si="7"/>
        <v>0</v>
      </c>
      <c r="L83" s="47">
        <f t="shared" si="8"/>
        <v>100</v>
      </c>
      <c r="M83" s="47">
        <f t="shared" si="9"/>
        <v>0</v>
      </c>
      <c r="N83" s="68">
        <f t="shared" si="10"/>
        <v>100</v>
      </c>
      <c r="O83" s="46"/>
      <c r="P83" s="47">
        <v>35.1</v>
      </c>
      <c r="Q83" s="47"/>
      <c r="R83" s="48">
        <f t="shared" si="11"/>
        <v>35.1</v>
      </c>
      <c r="S83" s="29">
        <v>1</v>
      </c>
      <c r="T83" s="286">
        <v>42358</v>
      </c>
      <c r="U83" s="295"/>
      <c r="V83" s="38" t="s">
        <v>476</v>
      </c>
      <c r="W83" s="29" t="s">
        <v>75</v>
      </c>
      <c r="X83" s="29" t="s">
        <v>18</v>
      </c>
      <c r="Y83" s="39">
        <v>35.1</v>
      </c>
      <c r="AD83" s="38"/>
      <c r="AG83" s="39"/>
      <c r="AL83" s="38"/>
      <c r="AO83" s="39"/>
      <c r="AP83" s="38"/>
      <c r="AS83" s="39"/>
      <c r="AW83" s="39"/>
      <c r="BA83" s="40"/>
    </row>
    <row r="84" spans="1:53" s="29" customFormat="1" x14ac:dyDescent="0.15">
      <c r="A84" s="29">
        <v>2016</v>
      </c>
      <c r="B84" s="295"/>
      <c r="C84" s="434" t="s">
        <v>848</v>
      </c>
      <c r="D84" s="434"/>
      <c r="E84" s="29">
        <v>308</v>
      </c>
      <c r="G84" s="66"/>
      <c r="H84" s="29">
        <v>14</v>
      </c>
      <c r="J84" s="73">
        <v>14</v>
      </c>
      <c r="K84" s="47">
        <f t="shared" si="7"/>
        <v>0</v>
      </c>
      <c r="L84" s="47">
        <f t="shared" si="8"/>
        <v>100</v>
      </c>
      <c r="M84" s="47">
        <f t="shared" si="9"/>
        <v>0</v>
      </c>
      <c r="N84" s="68">
        <f t="shared" si="10"/>
        <v>100</v>
      </c>
      <c r="O84" s="46"/>
      <c r="P84" s="47">
        <v>35.1</v>
      </c>
      <c r="Q84" s="47"/>
      <c r="R84" s="48">
        <f t="shared" si="11"/>
        <v>35.1</v>
      </c>
      <c r="S84" s="29">
        <v>1</v>
      </c>
      <c r="T84" s="286"/>
      <c r="U84" s="295"/>
      <c r="V84" s="38" t="s">
        <v>476</v>
      </c>
      <c r="W84" s="29" t="s">
        <v>75</v>
      </c>
      <c r="X84" s="29" t="s">
        <v>18</v>
      </c>
      <c r="Y84" s="39">
        <v>35.1</v>
      </c>
      <c r="AD84" s="38"/>
      <c r="AG84" s="39"/>
      <c r="AL84" s="38"/>
      <c r="AO84" s="39"/>
      <c r="AP84" s="38"/>
      <c r="AS84" s="39"/>
      <c r="AW84" s="39"/>
      <c r="BA84" s="40"/>
    </row>
    <row r="85" spans="1:53" s="171" customFormat="1" x14ac:dyDescent="0.15">
      <c r="A85" s="171">
        <v>2016</v>
      </c>
      <c r="B85" s="283">
        <v>42678</v>
      </c>
      <c r="C85" s="438" t="s">
        <v>1351</v>
      </c>
      <c r="D85" s="438"/>
      <c r="E85" s="171">
        <v>58</v>
      </c>
      <c r="F85" s="171">
        <v>1</v>
      </c>
      <c r="G85" s="233"/>
      <c r="H85" s="171">
        <v>14</v>
      </c>
      <c r="J85" s="241">
        <v>14</v>
      </c>
      <c r="K85" s="214">
        <f t="shared" si="7"/>
        <v>0</v>
      </c>
      <c r="L85" s="214">
        <f t="shared" si="8"/>
        <v>100</v>
      </c>
      <c r="M85" s="214">
        <f t="shared" si="9"/>
        <v>0</v>
      </c>
      <c r="N85" s="235">
        <f t="shared" si="10"/>
        <v>100</v>
      </c>
      <c r="O85" s="213"/>
      <c r="P85" s="214">
        <v>38.299999999999997</v>
      </c>
      <c r="Q85" s="214"/>
      <c r="R85" s="215">
        <f t="shared" si="11"/>
        <v>38.299999999999997</v>
      </c>
      <c r="S85" s="171">
        <v>4</v>
      </c>
      <c r="T85" s="285">
        <v>42547</v>
      </c>
      <c r="U85" s="283">
        <v>42678</v>
      </c>
      <c r="V85" s="178" t="s">
        <v>476</v>
      </c>
      <c r="W85" s="171" t="s">
        <v>75</v>
      </c>
      <c r="X85" s="171" t="s">
        <v>18</v>
      </c>
      <c r="Y85" s="179">
        <v>38.299999999999997</v>
      </c>
      <c r="AD85" s="178"/>
      <c r="AG85" s="179"/>
      <c r="AL85" s="178"/>
      <c r="AO85" s="179"/>
      <c r="AP85" s="178"/>
      <c r="AS85" s="179"/>
      <c r="AW85" s="179"/>
      <c r="BA85" s="180"/>
    </row>
    <row r="86" spans="1:53" s="171" customFormat="1" x14ac:dyDescent="0.15">
      <c r="A86" s="171">
        <v>2017</v>
      </c>
      <c r="B86" s="283"/>
      <c r="C86" s="438" t="s">
        <v>1351</v>
      </c>
      <c r="D86" s="438"/>
      <c r="E86" s="171">
        <v>0</v>
      </c>
      <c r="G86" s="233"/>
      <c r="H86" s="171">
        <v>14</v>
      </c>
      <c r="J86" s="241">
        <v>14</v>
      </c>
      <c r="K86" s="214">
        <f t="shared" ref="K86:K87" si="12">G86/$J86*100</f>
        <v>0</v>
      </c>
      <c r="L86" s="214">
        <f t="shared" ref="L86:L87" si="13">H86/$J86*100</f>
        <v>100</v>
      </c>
      <c r="M86" s="214">
        <f t="shared" ref="M86:M87" si="14">I86/$J86*100</f>
        <v>0</v>
      </c>
      <c r="N86" s="235">
        <f t="shared" ref="N86:N87" si="15">K86+L86+M86</f>
        <v>100</v>
      </c>
      <c r="O86" s="213"/>
      <c r="P86" s="214">
        <v>38.299999999999997</v>
      </c>
      <c r="Q86" s="214"/>
      <c r="R86" s="215">
        <f t="shared" ref="R86:R87" si="16">O86+P86+Q86</f>
        <v>38.299999999999997</v>
      </c>
      <c r="S86" s="171">
        <v>4</v>
      </c>
      <c r="T86" s="285"/>
      <c r="U86" s="283"/>
      <c r="V86" s="178" t="s">
        <v>476</v>
      </c>
      <c r="W86" s="171" t="s">
        <v>75</v>
      </c>
      <c r="X86" s="171" t="s">
        <v>18</v>
      </c>
      <c r="Y86" s="179">
        <v>38.299999999999997</v>
      </c>
      <c r="AD86" s="178"/>
      <c r="AG86" s="179"/>
      <c r="AL86" s="178"/>
      <c r="AO86" s="179"/>
      <c r="AP86" s="178"/>
      <c r="AS86" s="179"/>
      <c r="AW86" s="179"/>
      <c r="BA86" s="180"/>
    </row>
    <row r="87" spans="1:53" s="171" customFormat="1" x14ac:dyDescent="0.15">
      <c r="A87" s="171">
        <v>2017</v>
      </c>
      <c r="B87" s="283"/>
      <c r="C87" s="438" t="s">
        <v>1351</v>
      </c>
      <c r="D87" s="438"/>
      <c r="E87" s="171">
        <v>365</v>
      </c>
      <c r="G87" s="233"/>
      <c r="H87" s="171">
        <v>14</v>
      </c>
      <c r="J87" s="241">
        <v>14</v>
      </c>
      <c r="K87" s="214">
        <f t="shared" si="12"/>
        <v>0</v>
      </c>
      <c r="L87" s="214">
        <f t="shared" si="13"/>
        <v>100</v>
      </c>
      <c r="M87" s="214">
        <f t="shared" si="14"/>
        <v>0</v>
      </c>
      <c r="N87" s="235">
        <f t="shared" si="15"/>
        <v>100</v>
      </c>
      <c r="O87" s="213"/>
      <c r="P87" s="214">
        <v>38.299999999999997</v>
      </c>
      <c r="Q87" s="214"/>
      <c r="R87" s="215">
        <f t="shared" si="16"/>
        <v>38.299999999999997</v>
      </c>
      <c r="S87" s="171">
        <v>4</v>
      </c>
      <c r="T87" s="285"/>
      <c r="U87" s="283"/>
      <c r="V87" s="178" t="s">
        <v>476</v>
      </c>
      <c r="W87" s="171" t="s">
        <v>75</v>
      </c>
      <c r="X87" s="171" t="s">
        <v>18</v>
      </c>
      <c r="Y87" s="179">
        <v>38.299999999999997</v>
      </c>
      <c r="AD87" s="178"/>
      <c r="AG87" s="179"/>
      <c r="AL87" s="178"/>
      <c r="AO87" s="179"/>
      <c r="AP87" s="178"/>
      <c r="AS87" s="179"/>
      <c r="AW87" s="179"/>
      <c r="BA87" s="180"/>
    </row>
    <row r="88" spans="1:53" s="171" customFormat="1" x14ac:dyDescent="0.15">
      <c r="A88" s="171">
        <v>2018</v>
      </c>
      <c r="B88" s="283"/>
      <c r="C88" s="438" t="s">
        <v>1351</v>
      </c>
      <c r="D88" s="438"/>
      <c r="E88" s="171">
        <v>157</v>
      </c>
      <c r="G88" s="233"/>
      <c r="H88" s="171">
        <v>14</v>
      </c>
      <c r="J88" s="241">
        <v>14</v>
      </c>
      <c r="K88" s="214">
        <f t="shared" ref="K88:K89" si="17">G88/$J88*100</f>
        <v>0</v>
      </c>
      <c r="L88" s="214">
        <f t="shared" ref="L88" si="18">H88/$J88*100</f>
        <v>100</v>
      </c>
      <c r="M88" s="214">
        <f t="shared" ref="M88" si="19">I88/$J88*100</f>
        <v>0</v>
      </c>
      <c r="N88" s="235">
        <f t="shared" ref="N88" si="20">K88+L88+M88</f>
        <v>100</v>
      </c>
      <c r="O88" s="213"/>
      <c r="P88" s="214">
        <v>38.299999999999997</v>
      </c>
      <c r="Q88" s="214"/>
      <c r="R88" s="215">
        <f t="shared" ref="R88" si="21">O88+P88+Q88</f>
        <v>38.299999999999997</v>
      </c>
      <c r="S88" s="171">
        <v>4</v>
      </c>
      <c r="T88" s="285"/>
      <c r="U88" s="283"/>
      <c r="V88" s="178" t="s">
        <v>476</v>
      </c>
      <c r="W88" s="171" t="s">
        <v>75</v>
      </c>
      <c r="X88" s="171" t="s">
        <v>18</v>
      </c>
      <c r="Y88" s="179">
        <v>38.299999999999997</v>
      </c>
      <c r="AD88" s="178"/>
      <c r="AG88" s="179"/>
      <c r="AL88" s="178"/>
      <c r="AO88" s="179"/>
      <c r="AP88" s="178"/>
      <c r="AS88" s="179"/>
      <c r="AW88" s="179"/>
      <c r="BA88" s="180"/>
    </row>
    <row r="89" spans="1:53" s="29" customFormat="1" x14ac:dyDescent="0.15">
      <c r="A89" s="29">
        <v>2018</v>
      </c>
      <c r="B89" s="295">
        <v>43258</v>
      </c>
      <c r="C89" s="434" t="s">
        <v>1404</v>
      </c>
      <c r="D89" s="434"/>
      <c r="E89" s="29">
        <v>208</v>
      </c>
      <c r="F89" s="29">
        <v>5</v>
      </c>
      <c r="G89" s="66"/>
      <c r="I89" s="29">
        <v>18</v>
      </c>
      <c r="J89" s="73">
        <v>18</v>
      </c>
      <c r="K89" s="47">
        <f t="shared" si="17"/>
        <v>0</v>
      </c>
      <c r="L89" s="47">
        <f t="shared" ref="L89" si="22">H89/$J89*100</f>
        <v>0</v>
      </c>
      <c r="M89" s="47">
        <f t="shared" ref="M89" si="23">I89/$J89*100</f>
        <v>100</v>
      </c>
      <c r="N89" s="68">
        <f t="shared" ref="N89" si="24">K89+L89+M89</f>
        <v>100</v>
      </c>
      <c r="O89" s="46"/>
      <c r="P89" s="47"/>
      <c r="Q89" s="47">
        <v>24.3</v>
      </c>
      <c r="R89" s="48">
        <f>SUM(O89:Q89)</f>
        <v>24.3</v>
      </c>
      <c r="S89" s="29">
        <v>4</v>
      </c>
      <c r="T89" s="286"/>
      <c r="U89" s="295">
        <v>43258</v>
      </c>
      <c r="V89" s="38" t="s">
        <v>475</v>
      </c>
      <c r="W89" s="29" t="s">
        <v>20</v>
      </c>
      <c r="X89" s="29" t="s">
        <v>12</v>
      </c>
      <c r="Y89" s="39">
        <v>24.3</v>
      </c>
      <c r="AD89" s="38"/>
      <c r="AG89" s="39"/>
      <c r="AL89" s="38"/>
      <c r="AO89" s="39"/>
      <c r="AP89" s="38"/>
      <c r="AS89" s="39"/>
      <c r="AW89" s="39"/>
      <c r="BA89" s="40"/>
    </row>
    <row r="90" spans="1:53" s="29" customFormat="1" x14ac:dyDescent="0.15">
      <c r="A90" s="29">
        <v>2019</v>
      </c>
      <c r="B90" s="295"/>
      <c r="C90" s="434" t="s">
        <v>1404</v>
      </c>
      <c r="D90" s="434"/>
      <c r="E90" s="29">
        <v>139</v>
      </c>
      <c r="G90" s="66"/>
      <c r="I90" s="29">
        <v>18</v>
      </c>
      <c r="J90" s="73">
        <v>18</v>
      </c>
      <c r="K90" s="47">
        <f t="shared" ref="K90:K94" si="25">G90/$J90*100</f>
        <v>0</v>
      </c>
      <c r="L90" s="47">
        <f t="shared" ref="L90:L94" si="26">H90/$J90*100</f>
        <v>0</v>
      </c>
      <c r="M90" s="47">
        <f t="shared" ref="M90:M94" si="27">I90/$J90*100</f>
        <v>100</v>
      </c>
      <c r="N90" s="68">
        <f t="shared" ref="N90:N94" si="28">K90+L90+M90</f>
        <v>100</v>
      </c>
      <c r="O90" s="46"/>
      <c r="P90" s="47"/>
      <c r="Q90" s="47">
        <v>24.3</v>
      </c>
      <c r="R90" s="48">
        <f t="shared" ref="R90:R94" si="29">SUM(O90:Q90)</f>
        <v>24.3</v>
      </c>
      <c r="S90" s="29">
        <v>4</v>
      </c>
      <c r="T90" s="286"/>
      <c r="U90" s="295"/>
      <c r="V90" s="38" t="s">
        <v>475</v>
      </c>
      <c r="W90" s="29" t="s">
        <v>20</v>
      </c>
      <c r="X90" s="29" t="s">
        <v>12</v>
      </c>
      <c r="Y90" s="39">
        <v>24.3</v>
      </c>
      <c r="AD90" s="38"/>
      <c r="AG90" s="39"/>
      <c r="AL90" s="38"/>
      <c r="AO90" s="39"/>
      <c r="AP90" s="38"/>
      <c r="AS90" s="39"/>
      <c r="AW90" s="39"/>
      <c r="BA90" s="40"/>
    </row>
    <row r="91" spans="1:53" s="29" customFormat="1" x14ac:dyDescent="0.15">
      <c r="A91" s="29">
        <v>2019</v>
      </c>
      <c r="B91" s="303">
        <v>43605</v>
      </c>
      <c r="C91" s="434" t="s">
        <v>1404</v>
      </c>
      <c r="D91" s="434"/>
      <c r="E91" s="29">
        <v>193</v>
      </c>
      <c r="F91" s="84">
        <v>0</v>
      </c>
      <c r="G91" s="66"/>
      <c r="I91" s="29">
        <v>17</v>
      </c>
      <c r="J91" s="73">
        <v>17</v>
      </c>
      <c r="K91" s="47">
        <f t="shared" ref="K91" si="30">G91/$J91*100</f>
        <v>0</v>
      </c>
      <c r="L91" s="47">
        <f t="shared" ref="L91" si="31">H91/$J91*100</f>
        <v>0</v>
      </c>
      <c r="M91" s="47">
        <f t="shared" ref="M91" si="32">I91/$J91*100</f>
        <v>100</v>
      </c>
      <c r="N91" s="68">
        <f t="shared" ref="N91" si="33">K91+L91+M91</f>
        <v>100</v>
      </c>
      <c r="O91" s="46"/>
      <c r="P91" s="47"/>
      <c r="Q91" s="47">
        <v>35.1</v>
      </c>
      <c r="R91" s="48">
        <f t="shared" si="29"/>
        <v>35.1</v>
      </c>
      <c r="S91" s="29">
        <v>4</v>
      </c>
      <c r="T91" s="286">
        <v>43583</v>
      </c>
      <c r="U91" s="295"/>
      <c r="V91" s="38" t="s">
        <v>475</v>
      </c>
      <c r="W91" s="29" t="s">
        <v>20</v>
      </c>
      <c r="X91" s="29" t="s">
        <v>12</v>
      </c>
      <c r="Y91" s="39">
        <v>35.1</v>
      </c>
      <c r="AD91" s="38"/>
      <c r="AG91" s="39"/>
      <c r="AL91" s="38"/>
      <c r="AO91" s="39"/>
      <c r="AP91" s="38"/>
      <c r="AS91" s="39"/>
      <c r="AW91" s="39"/>
      <c r="BA91" s="40"/>
    </row>
    <row r="92" spans="1:53" s="29" customFormat="1" x14ac:dyDescent="0.15">
      <c r="A92" s="29">
        <v>2019</v>
      </c>
      <c r="B92" s="303">
        <v>43798</v>
      </c>
      <c r="C92" s="434" t="s">
        <v>1404</v>
      </c>
      <c r="D92" s="434"/>
      <c r="E92" s="29">
        <v>33</v>
      </c>
      <c r="F92" s="84">
        <v>0</v>
      </c>
      <c r="G92" s="66"/>
      <c r="I92" s="29">
        <v>16</v>
      </c>
      <c r="J92" s="73">
        <v>16</v>
      </c>
      <c r="K92" s="47">
        <f t="shared" si="25"/>
        <v>0</v>
      </c>
      <c r="L92" s="47">
        <f t="shared" si="26"/>
        <v>0</v>
      </c>
      <c r="M92" s="47">
        <f t="shared" si="27"/>
        <v>100</v>
      </c>
      <c r="N92" s="68">
        <f t="shared" si="28"/>
        <v>100</v>
      </c>
      <c r="O92" s="46"/>
      <c r="P92" s="47"/>
      <c r="Q92" s="47">
        <v>34.299999999999997</v>
      </c>
      <c r="R92" s="48">
        <f t="shared" si="29"/>
        <v>34.299999999999997</v>
      </c>
      <c r="S92" s="29">
        <v>4</v>
      </c>
      <c r="T92" s="286">
        <v>43779</v>
      </c>
      <c r="U92" s="295"/>
      <c r="V92" s="38" t="s">
        <v>475</v>
      </c>
      <c r="W92" s="29" t="s">
        <v>20</v>
      </c>
      <c r="X92" s="29" t="s">
        <v>12</v>
      </c>
      <c r="Y92" s="39">
        <v>34.299999999999997</v>
      </c>
      <c r="AC92" s="39"/>
      <c r="AG92" s="39"/>
      <c r="AK92" s="39"/>
      <c r="AO92" s="39"/>
      <c r="AS92" s="39"/>
      <c r="AW92" s="39"/>
      <c r="BA92" s="40"/>
    </row>
    <row r="93" spans="1:53" s="29" customFormat="1" x14ac:dyDescent="0.15">
      <c r="A93" s="29">
        <v>2020</v>
      </c>
      <c r="B93" s="277"/>
      <c r="C93" s="434" t="s">
        <v>1404</v>
      </c>
      <c r="D93" s="434"/>
      <c r="E93" s="29">
        <v>11</v>
      </c>
      <c r="F93" s="343"/>
      <c r="I93" s="29">
        <v>16</v>
      </c>
      <c r="J93" s="73">
        <v>16</v>
      </c>
      <c r="K93" s="47">
        <f t="shared" si="25"/>
        <v>0</v>
      </c>
      <c r="L93" s="47">
        <f t="shared" si="26"/>
        <v>0</v>
      </c>
      <c r="M93" s="47">
        <f t="shared" si="27"/>
        <v>100</v>
      </c>
      <c r="N93" s="48">
        <f t="shared" si="28"/>
        <v>100</v>
      </c>
      <c r="O93" s="47"/>
      <c r="P93" s="47"/>
      <c r="Q93" s="47">
        <v>34.299999999999997</v>
      </c>
      <c r="R93" s="48">
        <f t="shared" si="29"/>
        <v>34.299999999999997</v>
      </c>
      <c r="S93" s="37">
        <v>4</v>
      </c>
      <c r="T93" s="286"/>
      <c r="U93" s="292"/>
      <c r="V93" s="29" t="s">
        <v>475</v>
      </c>
      <c r="W93" s="29" t="s">
        <v>20</v>
      </c>
      <c r="X93" s="29" t="s">
        <v>12</v>
      </c>
      <c r="Y93" s="39">
        <v>34.299999999999997</v>
      </c>
      <c r="AC93" s="39"/>
      <c r="AG93" s="39"/>
      <c r="AK93" s="39"/>
      <c r="AO93" s="39"/>
      <c r="AS93" s="39"/>
      <c r="AW93" s="39"/>
      <c r="BA93" s="40"/>
    </row>
    <row r="94" spans="1:53" s="171" customFormat="1" x14ac:dyDescent="0.15">
      <c r="A94" s="171">
        <v>2020</v>
      </c>
      <c r="B94" s="306">
        <v>43842</v>
      </c>
      <c r="C94" s="438" t="s">
        <v>1484</v>
      </c>
      <c r="D94" s="438"/>
      <c r="E94" s="171">
        <v>355</v>
      </c>
      <c r="F94" s="338">
        <v>1</v>
      </c>
      <c r="I94" s="171">
        <v>23</v>
      </c>
      <c r="J94" s="241">
        <v>23</v>
      </c>
      <c r="K94" s="214">
        <f t="shared" si="25"/>
        <v>0</v>
      </c>
      <c r="L94" s="214">
        <f t="shared" si="26"/>
        <v>0</v>
      </c>
      <c r="M94" s="214">
        <f t="shared" si="27"/>
        <v>100</v>
      </c>
      <c r="N94" s="215">
        <f t="shared" si="28"/>
        <v>100</v>
      </c>
      <c r="O94" s="214"/>
      <c r="P94" s="214"/>
      <c r="Q94" s="214">
        <v>37.799999999999997</v>
      </c>
      <c r="R94" s="215">
        <f t="shared" si="29"/>
        <v>37.799999999999997</v>
      </c>
      <c r="S94" s="190">
        <v>4</v>
      </c>
      <c r="T94" s="369"/>
      <c r="U94" s="298">
        <v>43842</v>
      </c>
      <c r="V94" s="171" t="s">
        <v>475</v>
      </c>
      <c r="W94" s="171" t="s">
        <v>20</v>
      </c>
      <c r="X94" s="171" t="s">
        <v>12</v>
      </c>
      <c r="Y94" s="179">
        <v>34.299999999999997</v>
      </c>
      <c r="Z94" s="171" t="s">
        <v>1483</v>
      </c>
      <c r="AA94" s="171" t="s">
        <v>115</v>
      </c>
      <c r="AB94" s="171" t="s">
        <v>12</v>
      </c>
      <c r="AC94" s="179">
        <v>7.4</v>
      </c>
      <c r="AG94" s="179"/>
      <c r="AK94" s="179"/>
      <c r="AO94" s="179"/>
      <c r="AS94" s="179"/>
      <c r="AW94" s="179"/>
      <c r="BA94" s="180"/>
    </row>
    <row r="95" spans="1:53" x14ac:dyDescent="0.15">
      <c r="Y95" s="17"/>
      <c r="AK95" s="17"/>
    </row>
    <row r="97" spans="1:30" ht="18" customHeight="1" x14ac:dyDescent="0.15">
      <c r="B97" s="16" t="s">
        <v>1264</v>
      </c>
      <c r="H97" s="4"/>
    </row>
    <row r="98" spans="1:30" ht="9" customHeight="1" x14ac:dyDescent="0.15">
      <c r="H98" s="4"/>
    </row>
    <row r="99" spans="1:30" s="195" customFormat="1" ht="9" customHeight="1" x14ac:dyDescent="0.15">
      <c r="A99" s="193"/>
      <c r="B99" s="194" t="s">
        <v>1215</v>
      </c>
      <c r="C99" s="194"/>
      <c r="D99" s="194"/>
      <c r="E99" s="194"/>
      <c r="F99" s="194"/>
      <c r="G99" s="194" t="s">
        <v>1216</v>
      </c>
      <c r="H99" s="194"/>
      <c r="I99" s="194"/>
      <c r="J99" s="194"/>
      <c r="K99" s="194"/>
      <c r="L99" s="194"/>
      <c r="M99" s="194"/>
      <c r="N99" s="194"/>
      <c r="R99" s="388" t="s">
        <v>1217</v>
      </c>
      <c r="S99" s="388"/>
      <c r="T99" s="388"/>
      <c r="U99" s="388"/>
      <c r="V99" s="388"/>
      <c r="W99" s="388"/>
      <c r="X99" s="196"/>
      <c r="Y99" s="196"/>
      <c r="AA99" s="196"/>
      <c r="AB99" s="196"/>
      <c r="AC99" s="196"/>
      <c r="AD99" s="196"/>
    </row>
    <row r="100" spans="1:30" s="200" customFormat="1" ht="9" customHeight="1" x14ac:dyDescent="0.15">
      <c r="A100" s="197"/>
      <c r="B100" s="198" t="s">
        <v>1219</v>
      </c>
      <c r="C100" s="199"/>
      <c r="D100" s="199"/>
      <c r="E100" s="199"/>
      <c r="F100" s="199"/>
      <c r="G100" s="198" t="s">
        <v>1218</v>
      </c>
      <c r="H100" s="199"/>
      <c r="I100" s="199"/>
      <c r="J100" s="199"/>
      <c r="K100" s="199"/>
      <c r="L100" s="199"/>
      <c r="M100" s="199"/>
      <c r="N100" s="199"/>
      <c r="R100" s="201" t="s">
        <v>1220</v>
      </c>
      <c r="S100" s="202"/>
      <c r="T100" s="203"/>
      <c r="U100" s="203"/>
      <c r="V100" s="203"/>
      <c r="W100" s="201" t="s">
        <v>1221</v>
      </c>
      <c r="X100" s="203"/>
      <c r="Y100" s="203"/>
      <c r="AA100" s="203"/>
      <c r="AB100" s="203"/>
      <c r="AC100" s="203"/>
      <c r="AD100" s="203"/>
    </row>
    <row r="101" spans="1:30" s="186" customFormat="1" ht="12" customHeight="1" x14ac:dyDescent="0.15">
      <c r="A101" s="204" t="s">
        <v>3</v>
      </c>
      <c r="B101" s="205" t="s">
        <v>8</v>
      </c>
      <c r="C101" s="205" t="s">
        <v>9</v>
      </c>
      <c r="D101" s="205" t="s">
        <v>10</v>
      </c>
      <c r="E101" s="206" t="s">
        <v>1195</v>
      </c>
      <c r="F101" s="205"/>
      <c r="G101" s="186" t="s">
        <v>3</v>
      </c>
      <c r="H101" s="389" t="s">
        <v>0</v>
      </c>
      <c r="I101" s="389"/>
      <c r="J101" s="389" t="s">
        <v>1</v>
      </c>
      <c r="K101" s="389"/>
      <c r="L101" s="389" t="s">
        <v>2</v>
      </c>
      <c r="M101" s="389"/>
      <c r="N101" s="390" t="s">
        <v>1195</v>
      </c>
      <c r="O101" s="390"/>
      <c r="P101" s="207"/>
      <c r="Q101" s="207"/>
      <c r="R101" s="208" t="s">
        <v>3</v>
      </c>
      <c r="S101" s="209" t="s">
        <v>135</v>
      </c>
      <c r="T101" s="207" t="s">
        <v>133</v>
      </c>
      <c r="U101" s="205" t="s">
        <v>134</v>
      </c>
      <c r="V101" s="207"/>
      <c r="W101" s="210" t="s">
        <v>26</v>
      </c>
    </row>
    <row r="102" spans="1:30" x14ac:dyDescent="0.15">
      <c r="A102" s="1">
        <v>1960</v>
      </c>
      <c r="B102" s="5"/>
      <c r="C102" s="5"/>
      <c r="D102" s="5"/>
      <c r="E102" s="18"/>
      <c r="F102" s="5"/>
      <c r="G102" s="1">
        <v>1960</v>
      </c>
      <c r="H102" s="5"/>
      <c r="I102" s="5"/>
      <c r="J102" s="5"/>
      <c r="K102" s="5"/>
      <c r="L102" s="5"/>
      <c r="M102" s="5"/>
      <c r="N102" s="18"/>
      <c r="O102" s="18"/>
      <c r="P102" s="9"/>
      <c r="Q102" s="9"/>
      <c r="R102" s="1">
        <v>1960</v>
      </c>
      <c r="S102" s="6"/>
      <c r="T102" s="9"/>
      <c r="U102" s="5"/>
      <c r="V102" s="9"/>
      <c r="W102" s="115"/>
    </row>
    <row r="103" spans="1:30" x14ac:dyDescent="0.15">
      <c r="A103" s="1">
        <v>1961</v>
      </c>
      <c r="B103" s="5"/>
      <c r="C103" s="5"/>
      <c r="D103" s="5"/>
      <c r="E103" s="18"/>
      <c r="F103" s="5"/>
      <c r="G103" s="1">
        <v>1961</v>
      </c>
      <c r="H103" s="5"/>
      <c r="I103" s="5"/>
      <c r="J103" s="5"/>
      <c r="K103" s="5"/>
      <c r="L103" s="5"/>
      <c r="M103" s="5"/>
      <c r="N103" s="18"/>
      <c r="O103" s="18"/>
      <c r="P103" s="9"/>
      <c r="Q103" s="9"/>
      <c r="R103" s="1">
        <v>1961</v>
      </c>
      <c r="S103" s="6"/>
      <c r="T103" s="9"/>
      <c r="U103" s="5"/>
      <c r="V103" s="9"/>
      <c r="W103" s="115"/>
    </row>
    <row r="104" spans="1:30" x14ac:dyDescent="0.15">
      <c r="A104" s="1">
        <v>1962</v>
      </c>
      <c r="B104" s="5"/>
      <c r="C104" s="5"/>
      <c r="D104" s="5"/>
      <c r="E104" s="18"/>
      <c r="F104" s="5"/>
      <c r="G104" s="1">
        <v>1962</v>
      </c>
      <c r="H104" s="5"/>
      <c r="I104" s="5"/>
      <c r="J104" s="5"/>
      <c r="K104" s="5"/>
      <c r="L104" s="5"/>
      <c r="M104" s="5"/>
      <c r="N104" s="18"/>
      <c r="O104" s="18"/>
      <c r="P104" s="9"/>
      <c r="Q104" s="9"/>
      <c r="R104" s="1">
        <v>1962</v>
      </c>
      <c r="S104" s="6"/>
      <c r="T104" s="9"/>
      <c r="U104" s="5"/>
      <c r="V104" s="9"/>
      <c r="W104" s="115"/>
    </row>
    <row r="105" spans="1:30" x14ac:dyDescent="0.15">
      <c r="A105" s="1">
        <v>1963</v>
      </c>
      <c r="B105" s="5"/>
      <c r="C105" s="5"/>
      <c r="D105" s="5"/>
      <c r="E105" s="18"/>
      <c r="F105" s="5"/>
      <c r="G105" s="1">
        <v>1963</v>
      </c>
      <c r="H105" s="5"/>
      <c r="I105" s="5"/>
      <c r="J105" s="5"/>
      <c r="K105" s="5"/>
      <c r="L105" s="5"/>
      <c r="M105" s="5"/>
      <c r="N105" s="18"/>
      <c r="O105" s="18"/>
      <c r="P105" s="9"/>
      <c r="Q105" s="9"/>
      <c r="R105" s="1">
        <v>1963</v>
      </c>
      <c r="S105" s="6"/>
      <c r="T105" s="9"/>
      <c r="U105" s="5"/>
      <c r="V105" s="9"/>
      <c r="W105" s="115"/>
    </row>
    <row r="106" spans="1:30" x14ac:dyDescent="0.15">
      <c r="A106" s="1">
        <v>1964</v>
      </c>
      <c r="B106" s="5"/>
      <c r="C106" s="5"/>
      <c r="D106" s="5"/>
      <c r="E106" s="18"/>
      <c r="F106" s="5"/>
      <c r="G106" s="1">
        <v>1964</v>
      </c>
      <c r="H106" s="5"/>
      <c r="I106" s="5"/>
      <c r="J106" s="5"/>
      <c r="K106" s="5"/>
      <c r="L106" s="5"/>
      <c r="M106" s="5"/>
      <c r="N106" s="18"/>
      <c r="O106" s="18"/>
      <c r="P106" s="9"/>
      <c r="Q106" s="9"/>
      <c r="R106" s="1">
        <v>1964</v>
      </c>
      <c r="S106" s="6"/>
      <c r="T106" s="9"/>
      <c r="U106" s="5"/>
      <c r="V106" s="9"/>
      <c r="W106" s="115"/>
    </row>
    <row r="107" spans="1:30" x14ac:dyDescent="0.15">
      <c r="A107" s="1">
        <v>1965</v>
      </c>
      <c r="B107" s="5"/>
      <c r="C107" s="5"/>
      <c r="D107" s="5"/>
      <c r="E107" s="18"/>
      <c r="F107" s="5"/>
      <c r="G107" s="1">
        <v>1965</v>
      </c>
      <c r="H107" s="5"/>
      <c r="I107" s="5"/>
      <c r="J107" s="5"/>
      <c r="K107" s="5"/>
      <c r="L107" s="5"/>
      <c r="M107" s="5"/>
      <c r="N107" s="18"/>
      <c r="O107" s="18"/>
      <c r="P107" s="9"/>
      <c r="Q107" s="9"/>
      <c r="R107" s="1">
        <v>1965</v>
      </c>
      <c r="S107" s="6"/>
      <c r="T107" s="9"/>
      <c r="U107" s="5"/>
      <c r="V107" s="9"/>
      <c r="W107" s="115"/>
    </row>
    <row r="108" spans="1:30" x14ac:dyDescent="0.15">
      <c r="A108" s="1">
        <v>1966</v>
      </c>
      <c r="B108" s="5"/>
      <c r="C108" s="5"/>
      <c r="D108" s="5"/>
      <c r="E108" s="18"/>
      <c r="F108" s="5"/>
      <c r="G108" s="1">
        <v>1966</v>
      </c>
      <c r="H108" s="5"/>
      <c r="I108" s="5"/>
      <c r="J108" s="5"/>
      <c r="K108" s="5"/>
      <c r="L108" s="5"/>
      <c r="M108" s="5"/>
      <c r="N108" s="18"/>
      <c r="O108" s="18"/>
      <c r="P108" s="9"/>
      <c r="Q108" s="9"/>
      <c r="R108" s="1">
        <v>1966</v>
      </c>
      <c r="S108" s="6"/>
      <c r="T108" s="9"/>
      <c r="U108" s="5"/>
      <c r="V108" s="9"/>
      <c r="W108" s="115"/>
    </row>
    <row r="109" spans="1:30" x14ac:dyDescent="0.15">
      <c r="A109" s="1">
        <v>1967</v>
      </c>
      <c r="B109" s="5"/>
      <c r="C109" s="5"/>
      <c r="D109" s="5"/>
      <c r="E109" s="18"/>
      <c r="F109" s="5"/>
      <c r="G109" s="1">
        <v>1967</v>
      </c>
      <c r="H109" s="5"/>
      <c r="I109" s="5"/>
      <c r="J109" s="5"/>
      <c r="K109" s="5"/>
      <c r="L109" s="5"/>
      <c r="M109" s="5"/>
      <c r="N109" s="18"/>
      <c r="O109" s="18"/>
      <c r="P109" s="9"/>
      <c r="Q109" s="9"/>
      <c r="R109" s="1">
        <v>1967</v>
      </c>
      <c r="S109" s="6"/>
      <c r="T109" s="9"/>
      <c r="U109" s="5"/>
      <c r="V109" s="9"/>
      <c r="W109" s="115"/>
    </row>
    <row r="110" spans="1:30" x14ac:dyDescent="0.15">
      <c r="A110" s="1">
        <v>1968</v>
      </c>
      <c r="B110" s="5"/>
      <c r="C110" s="5"/>
      <c r="D110" s="5"/>
      <c r="E110" s="18"/>
      <c r="F110" s="5"/>
      <c r="G110" s="1">
        <v>1968</v>
      </c>
      <c r="H110" s="5"/>
      <c r="I110" s="5"/>
      <c r="J110" s="5"/>
      <c r="K110" s="5"/>
      <c r="L110" s="5"/>
      <c r="M110" s="5"/>
      <c r="N110" s="18"/>
      <c r="O110" s="18"/>
      <c r="P110" s="9"/>
      <c r="Q110" s="9"/>
      <c r="R110" s="1">
        <v>1968</v>
      </c>
      <c r="S110" s="6"/>
      <c r="T110" s="9"/>
      <c r="U110" s="5"/>
      <c r="V110" s="9"/>
      <c r="W110" s="115"/>
    </row>
    <row r="111" spans="1:30" x14ac:dyDescent="0.15">
      <c r="A111" s="1">
        <v>1969</v>
      </c>
      <c r="B111" s="5"/>
      <c r="C111" s="5"/>
      <c r="D111" s="5"/>
      <c r="E111" s="18"/>
      <c r="F111" s="5"/>
      <c r="G111" s="1">
        <v>1969</v>
      </c>
      <c r="H111" s="5"/>
      <c r="I111" s="5"/>
      <c r="J111" s="5"/>
      <c r="K111" s="5"/>
      <c r="L111" s="5"/>
      <c r="M111" s="5"/>
      <c r="N111" s="18"/>
      <c r="O111" s="18"/>
      <c r="P111" s="9"/>
      <c r="Q111" s="9"/>
      <c r="R111" s="1">
        <v>1969</v>
      </c>
      <c r="S111" s="6"/>
      <c r="T111" s="9"/>
      <c r="U111" s="5"/>
      <c r="V111" s="9"/>
      <c r="W111" s="115"/>
    </row>
    <row r="112" spans="1:30" x14ac:dyDescent="0.15">
      <c r="A112" s="1">
        <v>1970</v>
      </c>
      <c r="B112" s="5"/>
      <c r="C112" s="5"/>
      <c r="D112" s="5"/>
      <c r="E112" s="18"/>
      <c r="F112" s="5"/>
      <c r="G112" s="1">
        <v>1970</v>
      </c>
      <c r="H112" s="5"/>
      <c r="I112" s="5"/>
      <c r="J112" s="5"/>
      <c r="K112" s="5"/>
      <c r="L112" s="5"/>
      <c r="M112" s="5"/>
      <c r="N112" s="18"/>
      <c r="O112" s="18"/>
      <c r="P112" s="9"/>
      <c r="Q112" s="9"/>
      <c r="R112" s="1">
        <v>1970</v>
      </c>
      <c r="S112" s="6"/>
      <c r="T112" s="9"/>
      <c r="U112" s="5"/>
      <c r="V112" s="9"/>
      <c r="W112" s="115"/>
    </row>
    <row r="113" spans="1:29" x14ac:dyDescent="0.15">
      <c r="A113" s="1">
        <v>1971</v>
      </c>
      <c r="B113" s="5"/>
      <c r="C113" s="5"/>
      <c r="D113" s="5"/>
      <c r="E113" s="18"/>
      <c r="F113" s="5"/>
      <c r="G113" s="1">
        <v>1971</v>
      </c>
      <c r="H113" s="5"/>
      <c r="I113" s="5"/>
      <c r="J113" s="5"/>
      <c r="K113" s="5"/>
      <c r="L113" s="5"/>
      <c r="M113" s="5"/>
      <c r="N113" s="18"/>
      <c r="O113" s="18"/>
      <c r="P113" s="9"/>
      <c r="Q113" s="9"/>
      <c r="R113" s="1">
        <v>1971</v>
      </c>
      <c r="S113" s="6"/>
      <c r="T113" s="9"/>
      <c r="U113" s="5"/>
      <c r="V113" s="9"/>
      <c r="W113" s="115"/>
    </row>
    <row r="114" spans="1:29" x14ac:dyDescent="0.15">
      <c r="A114" s="1">
        <v>1972</v>
      </c>
      <c r="B114" s="5"/>
      <c r="C114" s="5"/>
      <c r="D114" s="5"/>
      <c r="E114" s="18"/>
      <c r="F114" s="5"/>
      <c r="G114" s="1">
        <v>1972</v>
      </c>
      <c r="H114" s="5"/>
      <c r="I114" s="5"/>
      <c r="J114" s="5"/>
      <c r="K114" s="5"/>
      <c r="L114" s="5"/>
      <c r="M114" s="5"/>
      <c r="N114" s="18"/>
      <c r="O114" s="18"/>
      <c r="P114" s="9"/>
      <c r="Q114" s="9"/>
      <c r="R114" s="1">
        <v>1972</v>
      </c>
      <c r="S114" s="6"/>
      <c r="T114" s="9"/>
      <c r="U114" s="5"/>
      <c r="V114" s="9"/>
      <c r="W114" s="115"/>
    </row>
    <row r="115" spans="1:29" x14ac:dyDescent="0.15">
      <c r="A115" s="1">
        <v>1973</v>
      </c>
      <c r="B115" s="5"/>
      <c r="C115" s="5"/>
      <c r="D115" s="5"/>
      <c r="E115" s="18"/>
      <c r="F115" s="5"/>
      <c r="G115" s="1">
        <v>1973</v>
      </c>
      <c r="H115" s="5"/>
      <c r="I115" s="5"/>
      <c r="J115" s="5"/>
      <c r="K115" s="5"/>
      <c r="L115" s="5"/>
      <c r="M115" s="5"/>
      <c r="N115" s="18"/>
      <c r="O115" s="18"/>
      <c r="P115" s="9"/>
      <c r="Q115" s="9"/>
      <c r="R115" s="1">
        <v>1973</v>
      </c>
      <c r="S115" s="6"/>
      <c r="T115" s="9"/>
      <c r="U115" s="5"/>
      <c r="V115" s="9"/>
      <c r="W115" s="115"/>
    </row>
    <row r="116" spans="1:29" x14ac:dyDescent="0.15">
      <c r="A116" s="1">
        <v>1974</v>
      </c>
      <c r="B116" s="5"/>
      <c r="C116" s="5"/>
      <c r="D116" s="5"/>
      <c r="E116" s="18"/>
      <c r="F116" s="5"/>
      <c r="G116" s="1">
        <v>1974</v>
      </c>
      <c r="H116" s="5"/>
      <c r="I116" s="5"/>
      <c r="J116" s="5"/>
      <c r="K116" s="5"/>
      <c r="L116" s="5"/>
      <c r="M116" s="5"/>
      <c r="N116" s="18"/>
      <c r="O116" s="18"/>
      <c r="P116" s="9"/>
      <c r="Q116" s="9"/>
      <c r="R116" s="1">
        <v>1974</v>
      </c>
      <c r="S116" s="6"/>
      <c r="T116" s="9"/>
      <c r="U116" s="5"/>
      <c r="V116" s="9"/>
      <c r="W116" s="115"/>
    </row>
    <row r="117" spans="1:29" x14ac:dyDescent="0.15">
      <c r="A117" s="1">
        <v>1975</v>
      </c>
      <c r="B117" s="5"/>
      <c r="C117" s="5"/>
      <c r="D117" s="5"/>
      <c r="E117" s="18"/>
      <c r="F117" s="5"/>
      <c r="G117" s="1">
        <v>1975</v>
      </c>
      <c r="H117" s="5"/>
      <c r="I117" s="5"/>
      <c r="J117" s="5"/>
      <c r="K117" s="5"/>
      <c r="L117" s="5"/>
      <c r="M117" s="5"/>
      <c r="N117" s="18"/>
      <c r="O117" s="18"/>
      <c r="P117" s="9"/>
      <c r="Q117" s="9"/>
      <c r="R117" s="1">
        <v>1975</v>
      </c>
      <c r="S117" s="6"/>
      <c r="T117" s="9"/>
      <c r="U117" s="5"/>
      <c r="V117" s="9"/>
      <c r="W117" s="115"/>
    </row>
    <row r="118" spans="1:29" x14ac:dyDescent="0.15">
      <c r="A118" s="1">
        <v>1976</v>
      </c>
      <c r="B118" s="5"/>
      <c r="C118" s="5"/>
      <c r="D118" s="5"/>
      <c r="E118" s="18"/>
      <c r="F118" s="5"/>
      <c r="G118" s="1">
        <v>1976</v>
      </c>
      <c r="H118" s="5"/>
      <c r="I118" s="5"/>
      <c r="J118" s="5"/>
      <c r="K118" s="5"/>
      <c r="L118" s="5"/>
      <c r="M118" s="5"/>
      <c r="N118" s="18"/>
      <c r="O118" s="18"/>
      <c r="P118" s="9"/>
      <c r="Q118" s="9"/>
      <c r="R118" s="1">
        <v>1976</v>
      </c>
      <c r="S118" s="6"/>
      <c r="T118" s="9"/>
      <c r="U118" s="5"/>
      <c r="V118" s="9"/>
      <c r="W118" s="115"/>
    </row>
    <row r="119" spans="1:29" x14ac:dyDescent="0.15">
      <c r="A119" s="1">
        <v>1977</v>
      </c>
      <c r="B119" s="5">
        <f>(K7*($E7/180))</f>
        <v>0</v>
      </c>
      <c r="C119" s="5">
        <f>(L7*($E7/180))</f>
        <v>95</v>
      </c>
      <c r="D119" s="5">
        <f>(M7*($E7/180))</f>
        <v>0</v>
      </c>
      <c r="E119" s="18">
        <f>B119+C119+D119</f>
        <v>95</v>
      </c>
      <c r="G119" s="1">
        <v>1977</v>
      </c>
      <c r="H119" s="409">
        <f>(O7/$R7*100*($E7/180))</f>
        <v>0</v>
      </c>
      <c r="I119" s="409"/>
      <c r="J119" s="409">
        <f>(P7/$R7*100*($E7/180))</f>
        <v>100</v>
      </c>
      <c r="K119" s="409"/>
      <c r="L119" s="409">
        <f>(Q7/$R7*100*($E7/180))</f>
        <v>0</v>
      </c>
      <c r="M119" s="409"/>
      <c r="N119" s="379">
        <f t="shared" ref="N119:N154" si="34">H119+J119+L119</f>
        <v>100</v>
      </c>
      <c r="O119" s="379"/>
      <c r="R119" s="1">
        <v>1977</v>
      </c>
      <c r="S119" s="5">
        <f>(O7*($E7/180))</f>
        <v>0</v>
      </c>
      <c r="T119" s="5">
        <f>(P7*($E7/180))</f>
        <v>47.1</v>
      </c>
      <c r="U119" s="5">
        <f>(Q7*($E7/180))</f>
        <v>0</v>
      </c>
      <c r="V119" s="5"/>
      <c r="W119" s="5">
        <f>S119+T119+U119</f>
        <v>47.1</v>
      </c>
      <c r="Y119" s="125" t="s">
        <v>1223</v>
      </c>
      <c r="Z119" s="125"/>
      <c r="AA119" s="125"/>
      <c r="AB119" s="125"/>
      <c r="AC119" s="125"/>
    </row>
    <row r="120" spans="1:29" x14ac:dyDescent="0.15">
      <c r="A120" s="1">
        <v>1978</v>
      </c>
      <c r="B120" s="5">
        <f>(K8*($E8/365))+(K9*($E9/365))</f>
        <v>0</v>
      </c>
      <c r="C120" s="5">
        <f>(L8*($E8/365))+(L9*($E9/365))</f>
        <v>95</v>
      </c>
      <c r="D120" s="5">
        <f>(M8*($E8/365))+(M9*($E9/365))</f>
        <v>0</v>
      </c>
      <c r="E120" s="18">
        <f t="shared" ref="E120:E155" si="35">B120+C120+D120</f>
        <v>95</v>
      </c>
      <c r="G120" s="1">
        <v>1978</v>
      </c>
      <c r="H120" s="409">
        <f>(O8/$R8*100*($E8/365))+(O9/$R9*100*($E9/365))</f>
        <v>0</v>
      </c>
      <c r="I120" s="409"/>
      <c r="J120" s="409">
        <f>(P8/$R8*100*($E8/365))+(P9/$R9*100*($E9/365))</f>
        <v>100</v>
      </c>
      <c r="K120" s="409"/>
      <c r="L120" s="409">
        <f>(Q8/$R8*100*($E8/365))+(Q9/$R9*100*($E9/365))</f>
        <v>0</v>
      </c>
      <c r="M120" s="409"/>
      <c r="N120" s="379">
        <f t="shared" si="34"/>
        <v>100</v>
      </c>
      <c r="O120" s="379"/>
      <c r="R120" s="1">
        <v>1978</v>
      </c>
      <c r="S120" s="5">
        <f>(O8*($E8/365))+(O9*($E9/365))</f>
        <v>0</v>
      </c>
      <c r="T120" s="5">
        <f>(P8*($E8/365))+(P9*($E9/365))</f>
        <v>47.1</v>
      </c>
      <c r="U120" s="5">
        <f>(Q8*($E8/365))+(Q9*($E9/365))</f>
        <v>0</v>
      </c>
      <c r="V120" s="5"/>
      <c r="W120" s="5">
        <f t="shared" ref="W120:W155" si="36">S120+T120+U120</f>
        <v>47.1</v>
      </c>
    </row>
    <row r="121" spans="1:29" x14ac:dyDescent="0.15">
      <c r="A121" s="1">
        <v>1979</v>
      </c>
      <c r="B121" s="5">
        <f>(K10*($E10/365))+(K11*($E11/365))</f>
        <v>0</v>
      </c>
      <c r="C121" s="5">
        <f>(L10*($E10/365))+(L11*($E11/365))</f>
        <v>92.534246575342451</v>
      </c>
      <c r="D121" s="5">
        <f>(M10*($E10/365))+(M11*($E11/365))</f>
        <v>0</v>
      </c>
      <c r="E121" s="18">
        <f t="shared" si="35"/>
        <v>92.534246575342451</v>
      </c>
      <c r="G121" s="1">
        <v>1979</v>
      </c>
      <c r="H121" s="409">
        <f>(O10/$R10*100*($E10/365))+(O11/$R11*100*($E11/365))</f>
        <v>0</v>
      </c>
      <c r="I121" s="409"/>
      <c r="J121" s="409">
        <f>(P10/$R10*100*($E10/365))+(P11/$R11*100*($E11/365))</f>
        <v>100</v>
      </c>
      <c r="K121" s="409"/>
      <c r="L121" s="409">
        <f>(Q10/$R10*100*($E10/365))+(Q11/$R11*100*($E11/365))</f>
        <v>0</v>
      </c>
      <c r="M121" s="409"/>
      <c r="N121" s="379">
        <f t="shared" si="34"/>
        <v>100</v>
      </c>
      <c r="O121" s="379"/>
      <c r="R121" s="1">
        <v>1979</v>
      </c>
      <c r="S121" s="5">
        <f>(O10*($E10/365))+(O11*($E11/365))</f>
        <v>0</v>
      </c>
      <c r="T121" s="5">
        <f>(P10*($E10/365))+(P11*($E11/365))</f>
        <v>47.765753424657532</v>
      </c>
      <c r="U121" s="5">
        <f>(Q10*($E10/365))+(Q11*($E11/365))</f>
        <v>0</v>
      </c>
      <c r="V121" s="5"/>
      <c r="W121" s="5">
        <f t="shared" si="36"/>
        <v>47.765753424657532</v>
      </c>
    </row>
    <row r="122" spans="1:29" x14ac:dyDescent="0.15">
      <c r="A122" s="1">
        <v>1980</v>
      </c>
      <c r="B122" s="5">
        <f>(K12*($E12/366))+(K13*($E13/366))</f>
        <v>0</v>
      </c>
      <c r="C122" s="5">
        <f>(L12*($E12/366))+(L13*($E13/366))</f>
        <v>91.666666666666657</v>
      </c>
      <c r="D122" s="5">
        <f>(M12*($E12/366))+(M13*($E13/366))</f>
        <v>0</v>
      </c>
      <c r="E122" s="18">
        <f t="shared" si="35"/>
        <v>91.666666666666657</v>
      </c>
      <c r="G122" s="1">
        <v>1980</v>
      </c>
      <c r="H122" s="409">
        <f>(O12/$R12*100*($E12/366))+(O13/$R13*100*($E13/366))</f>
        <v>0</v>
      </c>
      <c r="I122" s="409"/>
      <c r="J122" s="409">
        <f>(P12/$R12*100*($E12/366))+(P13/$R13*100*($E13/366))</f>
        <v>100</v>
      </c>
      <c r="K122" s="409"/>
      <c r="L122" s="409">
        <f>(Q12/$R12*100*($E12/366))+(Q13/$R13*100*($E13/366))</f>
        <v>0</v>
      </c>
      <c r="M122" s="409"/>
      <c r="N122" s="379">
        <f t="shared" si="34"/>
        <v>100</v>
      </c>
      <c r="O122" s="379"/>
      <c r="R122" s="1">
        <v>1980</v>
      </c>
      <c r="S122" s="5">
        <f>(O12*($E12/366))+(O13*($E13/366))</f>
        <v>0</v>
      </c>
      <c r="T122" s="5">
        <f>(P12*($E12/366))+(P13*($E13/366))</f>
        <v>48</v>
      </c>
      <c r="U122" s="5">
        <f>(Q12*($E12/366))+(Q13*($E13/366))</f>
        <v>0</v>
      </c>
      <c r="V122" s="5"/>
      <c r="W122" s="5">
        <f t="shared" si="36"/>
        <v>48</v>
      </c>
    </row>
    <row r="123" spans="1:29" x14ac:dyDescent="0.15">
      <c r="A123" s="1">
        <v>1981</v>
      </c>
      <c r="B123" s="5">
        <f>(K14*($E14/365))+(K15*($E15/365))</f>
        <v>0</v>
      </c>
      <c r="C123" s="5">
        <f>(L14*($E14/365))+(L15*($E15/365))</f>
        <v>98.69863013698631</v>
      </c>
      <c r="D123" s="5">
        <f>(M14*($E14/365))+(M15*($E15/365))</f>
        <v>0</v>
      </c>
      <c r="E123" s="18">
        <f t="shared" si="35"/>
        <v>98.69863013698631</v>
      </c>
      <c r="G123" s="1">
        <v>1981</v>
      </c>
      <c r="H123" s="409">
        <f>(O14/$R14*100*($E14/365))+(O15/$R15*100*($E15/365))</f>
        <v>0</v>
      </c>
      <c r="I123" s="409"/>
      <c r="J123" s="409">
        <f>(P14/$R14*100*($E14/365))+(P15/$R15*100*($E15/365))</f>
        <v>100</v>
      </c>
      <c r="K123" s="409"/>
      <c r="L123" s="409">
        <f>(Q14/$R14*100*($E14/365))+(Q15/$R15*100*($E15/365))</f>
        <v>0</v>
      </c>
      <c r="M123" s="409"/>
      <c r="N123" s="379">
        <f t="shared" si="34"/>
        <v>100</v>
      </c>
      <c r="O123" s="379"/>
      <c r="R123" s="1">
        <v>1981</v>
      </c>
      <c r="S123" s="5">
        <f>(O14*($E14/365))+(O15*($E15/365))</f>
        <v>0</v>
      </c>
      <c r="T123" s="5">
        <f>(P14*($E14/365))+(P15*($E15/365))</f>
        <v>48</v>
      </c>
      <c r="U123" s="5">
        <f>(Q14*($E14/365))+(Q15*($E15/365))</f>
        <v>0</v>
      </c>
      <c r="V123" s="5"/>
      <c r="W123" s="5">
        <f t="shared" si="36"/>
        <v>48</v>
      </c>
    </row>
    <row r="124" spans="1:29" x14ac:dyDescent="0.15">
      <c r="A124" s="1">
        <v>1982</v>
      </c>
      <c r="B124" s="5">
        <f>(K16*($E16/365))+(K17*($E17/365))</f>
        <v>0</v>
      </c>
      <c r="C124" s="5">
        <f>(L16*($E16/365))+(L17*($E17/365))</f>
        <v>92.054794520547944</v>
      </c>
      <c r="D124" s="5">
        <f>(M16*($E16/365))+(M17*($E17/365))</f>
        <v>7.9452054794520555</v>
      </c>
      <c r="E124" s="18">
        <f t="shared" si="35"/>
        <v>100</v>
      </c>
      <c r="G124" s="1">
        <v>1982</v>
      </c>
      <c r="H124" s="409">
        <f>(O16/$R16*100*($E16/365))+(O17/$R17*100*($E17/365))</f>
        <v>0</v>
      </c>
      <c r="I124" s="409"/>
      <c r="J124" s="409">
        <f>(P16/$R16*100*($E16/365))+(P17/$R17*100*($E17/365))</f>
        <v>92.054794520547944</v>
      </c>
      <c r="K124" s="409"/>
      <c r="L124" s="409">
        <f>(Q16/$R16*100*($E16/365))+(Q17/$R17*100*($E17/365))</f>
        <v>7.9452054794520555</v>
      </c>
      <c r="M124" s="409"/>
      <c r="N124" s="379">
        <f t="shared" si="34"/>
        <v>100</v>
      </c>
      <c r="O124" s="379"/>
      <c r="R124" s="1">
        <v>1982</v>
      </c>
      <c r="S124" s="5">
        <f>(O16*($E16/365))+(O17*($E17/365))</f>
        <v>0</v>
      </c>
      <c r="T124" s="5">
        <f>(P16*($E16/365))+(P17*($E17/365))</f>
        <v>44.186301369863017</v>
      </c>
      <c r="U124" s="5">
        <f>(Q16*($E16/365))+(Q17*($E17/365))</f>
        <v>4.5843835616438362</v>
      </c>
      <c r="V124" s="5"/>
      <c r="W124" s="5">
        <f t="shared" si="36"/>
        <v>48.77068493150685</v>
      </c>
    </row>
    <row r="125" spans="1:29" x14ac:dyDescent="0.15">
      <c r="A125" s="1">
        <v>1983</v>
      </c>
      <c r="B125" s="5">
        <f>(K18*($E18/365))+(K19*($E19/365))</f>
        <v>0</v>
      </c>
      <c r="C125" s="5">
        <f>(L18*($E18/365))+(L19*($E19/365))</f>
        <v>0</v>
      </c>
      <c r="D125" s="5">
        <f>(M18*($E18/365))+(M19*($E19/365))</f>
        <v>100</v>
      </c>
      <c r="E125" s="18">
        <f t="shared" si="35"/>
        <v>100</v>
      </c>
      <c r="G125" s="1">
        <v>1983</v>
      </c>
      <c r="H125" s="409">
        <f>(O18/$R18*100*($E18/365))+(O19/$R19*100*($E19/365))</f>
        <v>0</v>
      </c>
      <c r="I125" s="409"/>
      <c r="J125" s="409">
        <f>(P18/$R18*100*($E18/365))+(P19/$R19*100*($E19/365))</f>
        <v>0</v>
      </c>
      <c r="K125" s="409"/>
      <c r="L125" s="409">
        <f>(Q18/$R18*100*($E18/365))+(Q19/$R19*100*($E19/365))</f>
        <v>100</v>
      </c>
      <c r="M125" s="409"/>
      <c r="N125" s="379">
        <f t="shared" si="34"/>
        <v>100</v>
      </c>
      <c r="O125" s="379"/>
      <c r="R125" s="1">
        <v>1983</v>
      </c>
      <c r="S125" s="5">
        <f>(O18*($E18/365))+(O19*($E19/365))</f>
        <v>0</v>
      </c>
      <c r="T125" s="5">
        <f>(P18*($E18/365))+(P19*($E19/365))</f>
        <v>0</v>
      </c>
      <c r="U125" s="5">
        <f>(Q18*($E18/365))+(Q19*($E19/365))</f>
        <v>57.7</v>
      </c>
      <c r="V125" s="5"/>
      <c r="W125" s="5">
        <f t="shared" si="36"/>
        <v>57.7</v>
      </c>
    </row>
    <row r="126" spans="1:29" x14ac:dyDescent="0.15">
      <c r="A126" s="1">
        <v>1984</v>
      </c>
      <c r="B126" s="5">
        <f>(K20*($E20/366))+(K21*($E21/366))</f>
        <v>0</v>
      </c>
      <c r="C126" s="5">
        <f>(L20*($E20/366))+(L21*($E21/366))</f>
        <v>0</v>
      </c>
      <c r="D126" s="5">
        <f>(M20*($E20/366))+(M21*($E21/366))</f>
        <v>100</v>
      </c>
      <c r="E126" s="18">
        <f t="shared" si="35"/>
        <v>100</v>
      </c>
      <c r="G126" s="1">
        <v>1984</v>
      </c>
      <c r="H126" s="409">
        <f>(O20/$R20*100*($E20/366))+(O21/$R21*100*($E21/366))</f>
        <v>0</v>
      </c>
      <c r="I126" s="409"/>
      <c r="J126" s="409">
        <f>(P20/$R20*100*($E20/366))+(P21/$R21*100*($E21/366))</f>
        <v>0</v>
      </c>
      <c r="K126" s="409"/>
      <c r="L126" s="409">
        <f>(Q20/$R20*100*($E20/366))+(Q21/$R21*100*($E21/366))</f>
        <v>100</v>
      </c>
      <c r="M126" s="409"/>
      <c r="N126" s="379">
        <f t="shared" si="34"/>
        <v>100</v>
      </c>
      <c r="O126" s="379"/>
      <c r="R126" s="1">
        <v>1984</v>
      </c>
      <c r="S126" s="5">
        <f>(O20*($E20/366))+(O21*($E21/366))</f>
        <v>0</v>
      </c>
      <c r="T126" s="5">
        <f>(P20*($E20/366))+(P21*($E21/366))</f>
        <v>0</v>
      </c>
      <c r="U126" s="5">
        <f>(Q20*($E20/366))+(Q21*($E21/366))</f>
        <v>57.7</v>
      </c>
      <c r="V126" s="5"/>
      <c r="W126" s="5">
        <f t="shared" si="36"/>
        <v>57.7</v>
      </c>
    </row>
    <row r="127" spans="1:29" x14ac:dyDescent="0.15">
      <c r="A127" s="1">
        <v>1985</v>
      </c>
      <c r="B127" s="5">
        <f>(K22*($E22/365))+(K23*($E23/365))</f>
        <v>0</v>
      </c>
      <c r="C127" s="5">
        <f>(L22*($E22/365))+(L23*($E23/365))</f>
        <v>0</v>
      </c>
      <c r="D127" s="5">
        <f>(M22*($E22/365))+(M23*($E23/365))</f>
        <v>100</v>
      </c>
      <c r="E127" s="18">
        <f t="shared" si="35"/>
        <v>100</v>
      </c>
      <c r="G127" s="1">
        <v>1985</v>
      </c>
      <c r="H127" s="409">
        <f>(O22/$R22*100*($E22/365))+(O23/$R23*100*($E23/365))</f>
        <v>0</v>
      </c>
      <c r="I127" s="409"/>
      <c r="J127" s="409">
        <f>(P22/$R22*100*($E22/365))+(P23/$R23*100*($E23/365))</f>
        <v>0</v>
      </c>
      <c r="K127" s="409"/>
      <c r="L127" s="409">
        <f>(Q22/$R22*100*($E22/365))+(Q23/$R23*100*($E23/365))</f>
        <v>100</v>
      </c>
      <c r="M127" s="409"/>
      <c r="N127" s="379">
        <f t="shared" si="34"/>
        <v>100</v>
      </c>
      <c r="O127" s="379"/>
      <c r="R127" s="1">
        <v>1985</v>
      </c>
      <c r="S127" s="5">
        <f>(O22*($E22/365))+(O23*($E23/365))</f>
        <v>0</v>
      </c>
      <c r="T127" s="5">
        <f>(P22*($E22/365))+(P23*($E23/365))</f>
        <v>0</v>
      </c>
      <c r="U127" s="5">
        <f>(Q22*($E22/365))+(Q23*($E23/365))</f>
        <v>57.7</v>
      </c>
      <c r="V127" s="5"/>
      <c r="W127" s="5">
        <f t="shared" si="36"/>
        <v>57.7</v>
      </c>
    </row>
    <row r="128" spans="1:29" x14ac:dyDescent="0.15">
      <c r="A128" s="1">
        <v>1986</v>
      </c>
      <c r="B128" s="5">
        <f>(K24*($E24/365))+(K25*($E25/365))</f>
        <v>0</v>
      </c>
      <c r="C128" s="5">
        <f>(L24*($E24/365))+(L25*($E25/365))</f>
        <v>0</v>
      </c>
      <c r="D128" s="5">
        <f>(M24*($E24/365))+(M25*($E25/365))</f>
        <v>100</v>
      </c>
      <c r="E128" s="18">
        <f t="shared" si="35"/>
        <v>100</v>
      </c>
      <c r="G128" s="1">
        <v>1986</v>
      </c>
      <c r="H128" s="409">
        <f>(O24/$R24*100*($E24/365))+(O25/$R25*100*($E25/365))</f>
        <v>0</v>
      </c>
      <c r="I128" s="409"/>
      <c r="J128" s="409">
        <f>(P24/$R24*100*($E24/365))+(P25/$R25*100*($E25/365))</f>
        <v>0</v>
      </c>
      <c r="K128" s="409"/>
      <c r="L128" s="409">
        <f>(Q24/$R24*100*($E24/365))+(Q25/$R25*100*($E25/365))</f>
        <v>100</v>
      </c>
      <c r="M128" s="409"/>
      <c r="N128" s="379">
        <f t="shared" si="34"/>
        <v>100</v>
      </c>
      <c r="O128" s="379"/>
      <c r="R128" s="1">
        <v>1986</v>
      </c>
      <c r="S128" s="5">
        <f>(O24*($E24/365))+(O25*($E25/365))</f>
        <v>0</v>
      </c>
      <c r="T128" s="5">
        <f>(P24*($E24/365))+(P25*($E25/365))</f>
        <v>0</v>
      </c>
      <c r="U128" s="5">
        <f>(Q24*($E24/365))+(Q25*($E25/365))</f>
        <v>55.520273972602737</v>
      </c>
      <c r="V128" s="5"/>
      <c r="W128" s="5">
        <f t="shared" si="36"/>
        <v>55.520273972602737</v>
      </c>
    </row>
    <row r="129" spans="1:23" x14ac:dyDescent="0.15">
      <c r="A129" s="1">
        <v>1987</v>
      </c>
      <c r="B129" s="5">
        <f>(K26*($E26/365))+(K27*($E27/365))</f>
        <v>0</v>
      </c>
      <c r="C129" s="5">
        <f>(L26*($E26/365))+(L27*($E27/365))</f>
        <v>0</v>
      </c>
      <c r="D129" s="5">
        <f>(M26*($E26/365))+(M27*($E27/365))</f>
        <v>100</v>
      </c>
      <c r="E129" s="18">
        <f t="shared" si="35"/>
        <v>100</v>
      </c>
      <c r="G129" s="1">
        <v>1987</v>
      </c>
      <c r="H129" s="409">
        <f>(O26/$R26*100*($E26/365))+(O27/$R27*100*($E27/365))</f>
        <v>0</v>
      </c>
      <c r="I129" s="409"/>
      <c r="J129" s="409">
        <f>(P26/$R26*100*($E26/365))+(P27/$R27*100*($E27/365))</f>
        <v>0</v>
      </c>
      <c r="K129" s="409"/>
      <c r="L129" s="409">
        <f>(Q26/$R26*100*($E26/365))+(Q27/$R27*100*($E27/365))</f>
        <v>100</v>
      </c>
      <c r="M129" s="409"/>
      <c r="N129" s="379">
        <f t="shared" si="34"/>
        <v>100</v>
      </c>
      <c r="O129" s="379"/>
      <c r="R129" s="1">
        <v>1987</v>
      </c>
      <c r="S129" s="5">
        <f>(O26*($E26/365))+(O27*($E27/365))</f>
        <v>0</v>
      </c>
      <c r="T129" s="5">
        <f>(P26*($E26/365))+(P27*($E27/365))</f>
        <v>0</v>
      </c>
      <c r="U129" s="5">
        <f>(Q26*($E26/365))+(Q27*($E27/365))</f>
        <v>52.6</v>
      </c>
      <c r="V129" s="5"/>
      <c r="W129" s="5">
        <f t="shared" si="36"/>
        <v>52.6</v>
      </c>
    </row>
    <row r="130" spans="1:23" x14ac:dyDescent="0.15">
      <c r="A130" s="1">
        <v>1988</v>
      </c>
      <c r="B130" s="5">
        <f>(K28*($E28/366))+(K29*($E29/366))</f>
        <v>0</v>
      </c>
      <c r="C130" s="5">
        <f>(L28*($E28/366))+(L29*($E29/366))</f>
        <v>0</v>
      </c>
      <c r="D130" s="5">
        <f>(M28*($E28/366))+(M29*($E29/366))</f>
        <v>100</v>
      </c>
      <c r="E130" s="18">
        <f t="shared" si="35"/>
        <v>100</v>
      </c>
      <c r="G130" s="1">
        <v>1988</v>
      </c>
      <c r="H130" s="409">
        <f>(O28/$R28*100*($E28/366))+(O29/$R29*100*($E29/366))</f>
        <v>0</v>
      </c>
      <c r="I130" s="409"/>
      <c r="J130" s="409">
        <f>(P28/$R28*100*($E28/366))+(P29/$R29*100*($E29/366))</f>
        <v>0</v>
      </c>
      <c r="K130" s="409"/>
      <c r="L130" s="409">
        <f>(Q28/$R28*100*($E28/366))+(Q29/$R29*100*($E29/366))</f>
        <v>100</v>
      </c>
      <c r="M130" s="409"/>
      <c r="N130" s="379">
        <f t="shared" si="34"/>
        <v>100</v>
      </c>
      <c r="O130" s="379"/>
      <c r="R130" s="1">
        <v>1988</v>
      </c>
      <c r="S130" s="5">
        <f>(O28*($E28/366))+(O29*($E29/366))</f>
        <v>0</v>
      </c>
      <c r="T130" s="5">
        <f>(P28*($E28/366))+(P29*($E29/366))</f>
        <v>0</v>
      </c>
      <c r="U130" s="5">
        <f>(Q28*($E28/366))+(Q29*($E29/366))</f>
        <v>52.6</v>
      </c>
      <c r="V130" s="5"/>
      <c r="W130" s="5">
        <f t="shared" si="36"/>
        <v>52.6</v>
      </c>
    </row>
    <row r="131" spans="1:23" x14ac:dyDescent="0.15">
      <c r="A131" s="1">
        <v>1989</v>
      </c>
      <c r="B131" s="5">
        <f>(K30*($E30/365))+(K31*($E31/365))</f>
        <v>0</v>
      </c>
      <c r="C131" s="5">
        <f>(L30*($E30/365))+(L31*($E31/365))</f>
        <v>0</v>
      </c>
      <c r="D131" s="5">
        <f>(M30*($E30/365))+(M31*($E31/365))</f>
        <v>100</v>
      </c>
      <c r="E131" s="18">
        <f t="shared" si="35"/>
        <v>100</v>
      </c>
      <c r="G131" s="1">
        <v>1989</v>
      </c>
      <c r="H131" s="409">
        <f>(O30/$R30*100*($E30/365))+(O31/$R31*100*($E31/365))</f>
        <v>0</v>
      </c>
      <c r="I131" s="409"/>
      <c r="J131" s="409">
        <f>(P30/$R30*100*($E30/365))+(P31/$R31*100*($E31/365))</f>
        <v>0</v>
      </c>
      <c r="K131" s="409"/>
      <c r="L131" s="409">
        <f>(Q30/$R30*100*($E30/365))+(Q31/$R31*100*($E31/365))</f>
        <v>100</v>
      </c>
      <c r="M131" s="409"/>
      <c r="N131" s="379">
        <f t="shared" si="34"/>
        <v>100</v>
      </c>
      <c r="O131" s="379"/>
      <c r="R131" s="1">
        <v>1989</v>
      </c>
      <c r="S131" s="5">
        <f>(O30*($E30/365))+(O31*($E31/365))</f>
        <v>0</v>
      </c>
      <c r="T131" s="5">
        <f>(P30*($E30/365))+(P31*($E31/365))</f>
        <v>0</v>
      </c>
      <c r="U131" s="5">
        <f>(Q30*($E30/365))+(Q31*($E31/365))</f>
        <v>52.421917808219177</v>
      </c>
      <c r="V131" s="5"/>
      <c r="W131" s="5">
        <f t="shared" si="36"/>
        <v>52.421917808219177</v>
      </c>
    </row>
    <row r="132" spans="1:23" x14ac:dyDescent="0.15">
      <c r="A132" s="1">
        <v>1990</v>
      </c>
      <c r="B132" s="5">
        <f>(K32*($E32/365))+(K33*($E33/365))</f>
        <v>0</v>
      </c>
      <c r="C132" s="5">
        <f>(L32*($E32/365))+(L33*($E33/365))</f>
        <v>0</v>
      </c>
      <c r="D132" s="5">
        <f>(M32*($E32/365))+(M33*($E33/365))</f>
        <v>100</v>
      </c>
      <c r="E132" s="18">
        <f t="shared" si="35"/>
        <v>100</v>
      </c>
      <c r="G132" s="1">
        <v>1990</v>
      </c>
      <c r="H132" s="409">
        <f>(O32/$R32*100*($E32/365))+(O33/$R33*100*($E33/365))</f>
        <v>0</v>
      </c>
      <c r="I132" s="409"/>
      <c r="J132" s="409">
        <f>(P32/$R32*100*($E32/365))+(P33/$R33*100*($E33/365))</f>
        <v>0</v>
      </c>
      <c r="K132" s="409"/>
      <c r="L132" s="409">
        <f>(Q32/$R32*100*($E32/365))+(Q33/$R33*100*($E33/365))</f>
        <v>100</v>
      </c>
      <c r="M132" s="409"/>
      <c r="N132" s="379">
        <f t="shared" si="34"/>
        <v>100</v>
      </c>
      <c r="O132" s="379"/>
      <c r="R132" s="1">
        <v>1990</v>
      </c>
      <c r="S132" s="5">
        <f>(O32*($E32/365))+(O33*($E33/365))</f>
        <v>0</v>
      </c>
      <c r="T132" s="5">
        <f>(P32*($E32/365))+(P33*($E33/365))</f>
        <v>0</v>
      </c>
      <c r="U132" s="5">
        <f>(Q32*($E32/365))+(Q33*($E33/365))</f>
        <v>50</v>
      </c>
      <c r="V132" s="5"/>
      <c r="W132" s="5">
        <f t="shared" si="36"/>
        <v>50</v>
      </c>
    </row>
    <row r="133" spans="1:23" x14ac:dyDescent="0.15">
      <c r="A133" s="1">
        <v>1991</v>
      </c>
      <c r="B133" s="5">
        <f>(K34*($E34/365))+(K35*($E35/365))</f>
        <v>0</v>
      </c>
      <c r="C133" s="5">
        <f>(L34*($E34/365))+(L35*($E35/365))</f>
        <v>0</v>
      </c>
      <c r="D133" s="5">
        <f>(M34*($E34/365))+(M35*($E35/365))</f>
        <v>100</v>
      </c>
      <c r="E133" s="18">
        <f t="shared" si="35"/>
        <v>100</v>
      </c>
      <c r="G133" s="1">
        <v>1991</v>
      </c>
      <c r="H133" s="409">
        <f>(O34/$R34*100*($E34/365))+(O35/$R35*100*($E35/365))</f>
        <v>0</v>
      </c>
      <c r="I133" s="409"/>
      <c r="J133" s="409">
        <f>(P34/$R34*100*($E34/365))+(P35/$R35*100*($E35/365))</f>
        <v>0</v>
      </c>
      <c r="K133" s="409"/>
      <c r="L133" s="409">
        <f>(Q34/$R34*100*($E34/365))+(Q35/$R35*100*($E35/365))</f>
        <v>100</v>
      </c>
      <c r="M133" s="409"/>
      <c r="N133" s="379">
        <f t="shared" si="34"/>
        <v>100</v>
      </c>
      <c r="O133" s="379"/>
      <c r="R133" s="1">
        <v>1991</v>
      </c>
      <c r="S133" s="5">
        <f>(O34*($E34/365))+(O35*($E35/365))</f>
        <v>0</v>
      </c>
      <c r="T133" s="5">
        <f>(P34*($E34/365))+(P35*($E35/365))</f>
        <v>0</v>
      </c>
      <c r="U133" s="5">
        <f>(Q34*($E34/365))+(Q35*($E35/365))</f>
        <v>50</v>
      </c>
      <c r="V133" s="5"/>
      <c r="W133" s="5">
        <f t="shared" si="36"/>
        <v>50</v>
      </c>
    </row>
    <row r="134" spans="1:23" x14ac:dyDescent="0.15">
      <c r="A134" s="1">
        <v>1992</v>
      </c>
      <c r="B134" s="5">
        <f>(K36*($E36/366))+(K37*($E37/366))</f>
        <v>0</v>
      </c>
      <c r="C134" s="5">
        <f>(L36*($E36/366))+(L37*($E37/366))</f>
        <v>0</v>
      </c>
      <c r="D134" s="5">
        <f>(M36*($E36/366))+(M37*($E37/366))</f>
        <v>100</v>
      </c>
      <c r="E134" s="18">
        <f t="shared" si="35"/>
        <v>100</v>
      </c>
      <c r="G134" s="1">
        <v>1992</v>
      </c>
      <c r="H134" s="409">
        <f>(O36/$R36*100*($E36/366))+(O37/$R37*100*($E37/366))</f>
        <v>0</v>
      </c>
      <c r="I134" s="409"/>
      <c r="J134" s="409">
        <f>(P36/$R36*100*($E36/366))+(P37/$R37*100*($E37/366))</f>
        <v>0</v>
      </c>
      <c r="K134" s="409"/>
      <c r="L134" s="409">
        <f>(Q36/$R36*100*($E36/366))+(Q37/$R37*100*($E37/366))</f>
        <v>100</v>
      </c>
      <c r="M134" s="409"/>
      <c r="N134" s="379">
        <f t="shared" si="34"/>
        <v>100</v>
      </c>
      <c r="O134" s="379"/>
      <c r="R134" s="1">
        <v>1992</v>
      </c>
      <c r="S134" s="5">
        <f>(O36*($E36/366))+(O37*($E37/366))</f>
        <v>0</v>
      </c>
      <c r="T134" s="5">
        <f>(P36*($E36/366))+(P37*($E37/366))</f>
        <v>0</v>
      </c>
      <c r="U134" s="5">
        <f>(Q36*($E36/366))+(Q37*($E37/366))</f>
        <v>50</v>
      </c>
      <c r="V134" s="5"/>
      <c r="W134" s="5">
        <f t="shared" si="36"/>
        <v>50</v>
      </c>
    </row>
    <row r="135" spans="1:23" x14ac:dyDescent="0.15">
      <c r="A135" s="1">
        <v>1993</v>
      </c>
      <c r="B135" s="5">
        <f>(K38*($E38/365))+(K39*($E39/365))</f>
        <v>0</v>
      </c>
      <c r="C135" s="5">
        <f>(L38*($E38/365))+(L39*($E39/365))</f>
        <v>0</v>
      </c>
      <c r="D135" s="5">
        <f>(M38*($E38/365))+(M39*($E39/365))</f>
        <v>100</v>
      </c>
      <c r="E135" s="18">
        <f t="shared" si="35"/>
        <v>100</v>
      </c>
      <c r="G135" s="1">
        <v>1993</v>
      </c>
      <c r="H135" s="409">
        <f>(O38/$R38*100*($E38/365))+(O39/$R39*100*($E39/365))</f>
        <v>0</v>
      </c>
      <c r="I135" s="409"/>
      <c r="J135" s="409">
        <f>(P38/$R38*100*($E38/365))+(P39/$R39*100*($E39/365))</f>
        <v>0</v>
      </c>
      <c r="K135" s="409"/>
      <c r="L135" s="409">
        <f>(Q38/$R38*100*($E38/365))+(Q39/$R39*100*($E39/365))</f>
        <v>100</v>
      </c>
      <c r="M135" s="409"/>
      <c r="N135" s="379">
        <f t="shared" si="34"/>
        <v>100</v>
      </c>
      <c r="O135" s="379"/>
      <c r="R135" s="1">
        <v>1993</v>
      </c>
      <c r="S135" s="5">
        <f>(O38*($E38/365))+(O39*($E39/365))</f>
        <v>0</v>
      </c>
      <c r="T135" s="5">
        <f>(P38*($E38/365))+(P39*($E39/365))</f>
        <v>0</v>
      </c>
      <c r="U135" s="5">
        <f>(Q38*($E38/365))+(Q39*($E39/365))</f>
        <v>47.844931506849321</v>
      </c>
      <c r="V135" s="5"/>
      <c r="W135" s="5">
        <f t="shared" si="36"/>
        <v>47.844931506849321</v>
      </c>
    </row>
    <row r="136" spans="1:23" x14ac:dyDescent="0.15">
      <c r="A136" s="1">
        <v>1994</v>
      </c>
      <c r="B136" s="5">
        <f>(K40*($E40/365))+(K41*($E41/365))</f>
        <v>0</v>
      </c>
      <c r="C136" s="5">
        <f>(L40*($E40/365))+(L41*($E41/365))</f>
        <v>0</v>
      </c>
      <c r="D136" s="5">
        <f>(M40*($E40/365))+(M41*($E41/365))</f>
        <v>100</v>
      </c>
      <c r="E136" s="18">
        <f t="shared" si="35"/>
        <v>100</v>
      </c>
      <c r="G136" s="1">
        <v>1994</v>
      </c>
      <c r="H136" s="409">
        <f>(O40/$R40*100*($E40/365))+(O41/$R41*100*($E41/365))</f>
        <v>0</v>
      </c>
      <c r="I136" s="409"/>
      <c r="J136" s="409">
        <f>(P40/$R40*100*($E40/365))+(P41/$R41*100*($E41/365))</f>
        <v>0</v>
      </c>
      <c r="K136" s="409"/>
      <c r="L136" s="409">
        <f>(Q40/$R40*100*($E40/365))+(Q41/$R41*100*($E41/365))</f>
        <v>100</v>
      </c>
      <c r="M136" s="409"/>
      <c r="N136" s="379">
        <f t="shared" si="34"/>
        <v>100</v>
      </c>
      <c r="O136" s="379"/>
      <c r="R136" s="1">
        <v>1994</v>
      </c>
      <c r="S136" s="5">
        <f>(O40*($E40/365))+(O41*($E41/365))</f>
        <v>0</v>
      </c>
      <c r="T136" s="5">
        <f>(P40*($E40/365))+(P41*($E41/365))</f>
        <v>0</v>
      </c>
      <c r="U136" s="5">
        <f>(Q40*($E40/365))+(Q41*($E41/365))</f>
        <v>45.4</v>
      </c>
      <c r="V136" s="5"/>
      <c r="W136" s="5">
        <f t="shared" si="36"/>
        <v>45.4</v>
      </c>
    </row>
    <row r="137" spans="1:23" x14ac:dyDescent="0.15">
      <c r="A137" s="1">
        <v>1995</v>
      </c>
      <c r="B137" s="5">
        <f>(K42*($E42/365))+(K43*($E43/365))</f>
        <v>0</v>
      </c>
      <c r="C137" s="5">
        <f>(L42*($E42/365))+(L43*($E43/365))</f>
        <v>0</v>
      </c>
      <c r="D137" s="5">
        <f>(M42*($E42/365))+(M43*($E43/365))</f>
        <v>100</v>
      </c>
      <c r="E137" s="18">
        <f t="shared" si="35"/>
        <v>100</v>
      </c>
      <c r="G137" s="1">
        <v>1995</v>
      </c>
      <c r="H137" s="409">
        <f>(O42/$R42*100*($E42/365))+(O43/$R43*100*($E43/365))</f>
        <v>0</v>
      </c>
      <c r="I137" s="409"/>
      <c r="J137" s="409">
        <f>(P42/$R42*100*($E42/365))+(P43/$R43*100*($E43/365))</f>
        <v>0</v>
      </c>
      <c r="K137" s="409"/>
      <c r="L137" s="409">
        <f>(Q42/$R42*100*($E42/365))+(Q43/$R43*100*($E43/365))</f>
        <v>100</v>
      </c>
      <c r="M137" s="409"/>
      <c r="N137" s="379">
        <f t="shared" si="34"/>
        <v>100</v>
      </c>
      <c r="O137" s="379"/>
      <c r="R137" s="1">
        <v>1995</v>
      </c>
      <c r="S137" s="5">
        <f>(O42*($E42/365))+(O43*($E43/365))</f>
        <v>0</v>
      </c>
      <c r="T137" s="5">
        <f>(P42*($E42/365))+(P43*($E43/365))</f>
        <v>0</v>
      </c>
      <c r="U137" s="5">
        <f>(Q42*($E42/365))+(Q43*($E43/365))</f>
        <v>45.4</v>
      </c>
      <c r="V137" s="5"/>
      <c r="W137" s="5">
        <f t="shared" si="36"/>
        <v>45.4</v>
      </c>
    </row>
    <row r="138" spans="1:23" x14ac:dyDescent="0.15">
      <c r="A138" s="1">
        <v>1996</v>
      </c>
      <c r="B138" s="5">
        <f>(K44*($E44/366))+(K45*($E45/366))</f>
        <v>0</v>
      </c>
      <c r="C138" s="5">
        <f>(L44*($E44/366))+(L45*($E45/366))</f>
        <v>66.120218579234972</v>
      </c>
      <c r="D138" s="5">
        <f>(M44*($E44/366))+(M45*($E45/366))</f>
        <v>33.879781420765028</v>
      </c>
      <c r="E138" s="18">
        <f t="shared" si="35"/>
        <v>100</v>
      </c>
      <c r="G138" s="1">
        <v>1996</v>
      </c>
      <c r="H138" s="409">
        <f>(O44/$R44*100*($E44/366))+(O45/$R45*100*($E45/366))</f>
        <v>0</v>
      </c>
      <c r="I138" s="409"/>
      <c r="J138" s="409">
        <f>(P44/$R44*100*($E44/366))+(P45/$R45*100*($E45/366))</f>
        <v>66.120218579234972</v>
      </c>
      <c r="K138" s="409"/>
      <c r="L138" s="409">
        <f>(Q44/$R44*100*($E44/366))+(Q45/$R45*100*($E45/366))</f>
        <v>33.879781420765028</v>
      </c>
      <c r="M138" s="409"/>
      <c r="N138" s="379">
        <f t="shared" si="34"/>
        <v>100</v>
      </c>
      <c r="O138" s="379"/>
      <c r="R138" s="1">
        <v>1996</v>
      </c>
      <c r="S138" s="5">
        <f>(O44*($E44/366))+(O45*($E45/366))</f>
        <v>0</v>
      </c>
      <c r="T138" s="5">
        <f>(P44*($E44/366))+(P45*($E45/366))</f>
        <v>29.489617486338798</v>
      </c>
      <c r="U138" s="5">
        <f>(Q44*($E44/366))+(Q45*($E45/366))</f>
        <v>15.381420765027322</v>
      </c>
      <c r="V138" s="5"/>
      <c r="W138" s="5">
        <f t="shared" si="36"/>
        <v>44.871038251366116</v>
      </c>
    </row>
    <row r="139" spans="1:23" x14ac:dyDescent="0.15">
      <c r="A139" s="1">
        <v>1997</v>
      </c>
      <c r="B139" s="5">
        <f>(K46*($E46/365))+(K47*($E47/365))</f>
        <v>0</v>
      </c>
      <c r="C139" s="5">
        <f>(L46*($E46/365))+(L47*($E47/365))</f>
        <v>100</v>
      </c>
      <c r="D139" s="5">
        <f>(M46*($E46/365))+(M47*($E47/365))</f>
        <v>0</v>
      </c>
      <c r="E139" s="18">
        <f t="shared" si="35"/>
        <v>100</v>
      </c>
      <c r="G139" s="1">
        <v>1997</v>
      </c>
      <c r="H139" s="409">
        <f>(O46/$R46*100*($E46/365))+(O47/$R47*100*($E47/365))</f>
        <v>0</v>
      </c>
      <c r="I139" s="409"/>
      <c r="J139" s="409">
        <f>(P46/$R46*100*($E46/365))+(P47/$R47*100*($E47/365))</f>
        <v>100</v>
      </c>
      <c r="K139" s="409"/>
      <c r="L139" s="409">
        <f>(Q46/$R46*100*($E46/365))+(Q47/$R47*100*($E47/365))</f>
        <v>0</v>
      </c>
      <c r="M139" s="409"/>
      <c r="N139" s="379">
        <f t="shared" si="34"/>
        <v>100</v>
      </c>
      <c r="O139" s="379"/>
      <c r="R139" s="1">
        <v>1997</v>
      </c>
      <c r="S139" s="5">
        <f>(O46*($E46/365))+(O47*($E47/365))</f>
        <v>0</v>
      </c>
      <c r="T139" s="5">
        <f>(P46*($E46/365))+(P47*($E47/365))</f>
        <v>44.6</v>
      </c>
      <c r="U139" s="5">
        <f>(Q46*($E46/365))+(Q47*($E47/365))</f>
        <v>0</v>
      </c>
      <c r="V139" s="5"/>
      <c r="W139" s="5">
        <f t="shared" si="36"/>
        <v>44.6</v>
      </c>
    </row>
    <row r="140" spans="1:23" x14ac:dyDescent="0.15">
      <c r="A140" s="1">
        <v>1998</v>
      </c>
      <c r="B140" s="5">
        <f>(K48*($E48/365))+(K49*($E49/365))</f>
        <v>0</v>
      </c>
      <c r="C140" s="5">
        <f>(L48*($E48/365))+(L49*($E49/365))</f>
        <v>100</v>
      </c>
      <c r="D140" s="5">
        <f>(M48*($E48/365))+(M49*($E49/365))</f>
        <v>0</v>
      </c>
      <c r="E140" s="18">
        <f t="shared" si="35"/>
        <v>100</v>
      </c>
      <c r="G140" s="1">
        <v>1998</v>
      </c>
      <c r="H140" s="409">
        <f>(O48/$R48*100*($E48/365))+(O49/$R49*100*($E49/365))</f>
        <v>0</v>
      </c>
      <c r="I140" s="409"/>
      <c r="J140" s="409">
        <f>(P48/$R48*100*($E48/365))+(P49/$R49*100*($E49/365))</f>
        <v>100</v>
      </c>
      <c r="K140" s="409"/>
      <c r="L140" s="409">
        <f>(Q48/$R48*100*($E48/365))+(Q49/$R49*100*($E49/365))</f>
        <v>0</v>
      </c>
      <c r="M140" s="409"/>
      <c r="N140" s="379">
        <f t="shared" si="34"/>
        <v>100</v>
      </c>
      <c r="O140" s="379"/>
      <c r="R140" s="1">
        <v>1998</v>
      </c>
      <c r="S140" s="5">
        <f>(O48*($E48/365))+(O49*($E49/365))</f>
        <v>0</v>
      </c>
      <c r="T140" s="5">
        <f>(P48*($E48/365))+(P49*($E49/365))</f>
        <v>44.6</v>
      </c>
      <c r="U140" s="5">
        <f>(Q48*($E48/365))+(Q49*($E49/365))</f>
        <v>0</v>
      </c>
      <c r="V140" s="5"/>
      <c r="W140" s="5">
        <f t="shared" si="36"/>
        <v>44.6</v>
      </c>
    </row>
    <row r="141" spans="1:23" x14ac:dyDescent="0.15">
      <c r="A141" s="1">
        <v>1999</v>
      </c>
      <c r="B141" s="5">
        <f>(K50*($E50/365))+(K51*($E51/365))</f>
        <v>0</v>
      </c>
      <c r="C141" s="5">
        <f>(L50*($E50/365))+(L51*($E51/365))</f>
        <v>100</v>
      </c>
      <c r="D141" s="5">
        <f>(M50*($E50/365))+(M51*($E51/365))</f>
        <v>0</v>
      </c>
      <c r="E141" s="18">
        <f t="shared" si="35"/>
        <v>100</v>
      </c>
      <c r="G141" s="1">
        <v>1999</v>
      </c>
      <c r="H141" s="409">
        <f>(O50/$R50*100*($E50/365))+(O51/$R51*100*($E51/365))</f>
        <v>0</v>
      </c>
      <c r="I141" s="409"/>
      <c r="J141" s="409">
        <f>(P50/$R50*100*($E50/365))+(P51/$R51*100*($E51/365))</f>
        <v>100</v>
      </c>
      <c r="K141" s="409"/>
      <c r="L141" s="409">
        <f>(Q50/$R50*100*($E50/365))+(Q51/$R51*100*($E51/365))</f>
        <v>0</v>
      </c>
      <c r="M141" s="409"/>
      <c r="N141" s="379">
        <f t="shared" si="34"/>
        <v>100</v>
      </c>
      <c r="O141" s="379"/>
      <c r="R141" s="1">
        <v>1999</v>
      </c>
      <c r="S141" s="5">
        <f>(O50*($E50/365))+(O51*($E51/365))</f>
        <v>0</v>
      </c>
      <c r="T141" s="5">
        <f>(P50*($E50/365))+(P51*($E51/365))</f>
        <v>44.6</v>
      </c>
      <c r="U141" s="5">
        <f>(Q50*($E50/365))+(Q51*($E51/365))</f>
        <v>0</v>
      </c>
      <c r="V141" s="5"/>
      <c r="W141" s="5">
        <f t="shared" si="36"/>
        <v>44.6</v>
      </c>
    </row>
    <row r="142" spans="1:23" x14ac:dyDescent="0.15">
      <c r="A142" s="1">
        <v>2000</v>
      </c>
      <c r="B142" s="5">
        <f>(K52*($E52/366))+(K53*($E53/366))</f>
        <v>0</v>
      </c>
      <c r="C142" s="5">
        <f>(L52*($E52/366))+(L53*($E53/366))</f>
        <v>100</v>
      </c>
      <c r="D142" s="5">
        <f>(M52*($E52/366))+(M53*($E53/366))</f>
        <v>0</v>
      </c>
      <c r="E142" s="18">
        <f t="shared" si="35"/>
        <v>100</v>
      </c>
      <c r="G142" s="1">
        <v>2000</v>
      </c>
      <c r="H142" s="409">
        <f>(O52/$R52*100*($E52/366))+(O53/$R53*100*($E53/366))</f>
        <v>0</v>
      </c>
      <c r="I142" s="409"/>
      <c r="J142" s="409">
        <f>(P52/$R52*100*($E52/366))+(P53/$R53*100*($E53/366))</f>
        <v>100</v>
      </c>
      <c r="K142" s="409"/>
      <c r="L142" s="409">
        <f>(Q52/$R52*100*($E52/366))+(Q53/$R53*100*($E53/366))</f>
        <v>0</v>
      </c>
      <c r="M142" s="409"/>
      <c r="N142" s="379">
        <f t="shared" si="34"/>
        <v>100</v>
      </c>
      <c r="O142" s="379"/>
      <c r="R142" s="1">
        <v>2000</v>
      </c>
      <c r="S142" s="5">
        <f>(O52*($E52/366))+(O53*($E53/366))</f>
        <v>0</v>
      </c>
      <c r="T142" s="5">
        <f>(P52*($E52/366))+(P53*($E53/366))</f>
        <v>49.85956284153005</v>
      </c>
      <c r="U142" s="5">
        <f>(Q52*($E52/366))+(Q53*($E53/366))</f>
        <v>0</v>
      </c>
      <c r="V142" s="5"/>
      <c r="W142" s="5">
        <f t="shared" si="36"/>
        <v>49.85956284153005</v>
      </c>
    </row>
    <row r="143" spans="1:23" x14ac:dyDescent="0.15">
      <c r="A143" s="1">
        <v>2001</v>
      </c>
      <c r="B143" s="5">
        <f>(K54*($E54/365))+(K55*($E55/365))</f>
        <v>0</v>
      </c>
      <c r="C143" s="5">
        <f>(L54*($E54/365))+(L55*($E55/365))</f>
        <v>100</v>
      </c>
      <c r="D143" s="5">
        <f>(M54*($E54/365))+(M55*($E55/365))</f>
        <v>0</v>
      </c>
      <c r="E143" s="18">
        <f t="shared" si="35"/>
        <v>100</v>
      </c>
      <c r="G143" s="1">
        <v>2001</v>
      </c>
      <c r="H143" s="409">
        <f>(O54/$R54*100*($E54/365))+(O55/$R55*100*($E55/365))</f>
        <v>0</v>
      </c>
      <c r="I143" s="409"/>
      <c r="J143" s="409">
        <f>(P54/$R54*100*($E54/365))+(P55/$R55*100*($E55/365))</f>
        <v>100</v>
      </c>
      <c r="K143" s="409"/>
      <c r="L143" s="409">
        <f>(Q54/$R54*100*($E54/365))+(Q55/$R55*100*($E55/365))</f>
        <v>0</v>
      </c>
      <c r="M143" s="409"/>
      <c r="N143" s="379">
        <f t="shared" si="34"/>
        <v>100</v>
      </c>
      <c r="O143" s="379"/>
      <c r="R143" s="1">
        <v>2001</v>
      </c>
      <c r="S143" s="5">
        <f>(O54*($E54/365))+(O55*($E55/365))</f>
        <v>0</v>
      </c>
      <c r="T143" s="5">
        <f>(P54*($E54/365))+(P55*($E55/365))</f>
        <v>52.3</v>
      </c>
      <c r="U143" s="5">
        <f>(Q54*($E54/365))+(Q55*($E55/365))</f>
        <v>0</v>
      </c>
      <c r="V143" s="5"/>
      <c r="W143" s="5">
        <f t="shared" si="36"/>
        <v>52.3</v>
      </c>
    </row>
    <row r="144" spans="1:23" x14ac:dyDescent="0.15">
      <c r="A144" s="1">
        <v>2002</v>
      </c>
      <c r="B144" s="5">
        <f>(K56*($E56/365))+(K57*($E57/365))</f>
        <v>0</v>
      </c>
      <c r="C144" s="5">
        <f>(L56*($E56/365))+(L57*($E57/365))</f>
        <v>100</v>
      </c>
      <c r="D144" s="5">
        <f>(M56*($E56/365))+(M57*($E57/365))</f>
        <v>0</v>
      </c>
      <c r="E144" s="18">
        <f t="shared" si="35"/>
        <v>100</v>
      </c>
      <c r="G144" s="1">
        <v>2002</v>
      </c>
      <c r="H144" s="409">
        <f>(O56/$R56*100*($E56/365))+(O57/$R57*100*($E57/365))</f>
        <v>0</v>
      </c>
      <c r="I144" s="409"/>
      <c r="J144" s="409">
        <f>(P56/$R56*100*($E56/365))+(P57/$R57*100*($E57/365))</f>
        <v>100</v>
      </c>
      <c r="K144" s="409"/>
      <c r="L144" s="409">
        <f>(Q56/$R56*100*($E56/365))+(Q57/$R57*100*($E57/365))</f>
        <v>0</v>
      </c>
      <c r="M144" s="409"/>
      <c r="N144" s="379">
        <f t="shared" si="34"/>
        <v>100</v>
      </c>
      <c r="O144" s="379"/>
      <c r="R144" s="1">
        <v>2002</v>
      </c>
      <c r="S144" s="5">
        <f>(O56*($E56/365))+(O57*($E57/365))</f>
        <v>0</v>
      </c>
      <c r="T144" s="5">
        <f>(P56*($E56/365))+(P57*($E57/365))</f>
        <v>52.3</v>
      </c>
      <c r="U144" s="5">
        <f>(Q56*($E56/365))+(Q57*($E57/365))</f>
        <v>0</v>
      </c>
      <c r="V144" s="5"/>
      <c r="W144" s="5">
        <f t="shared" si="36"/>
        <v>52.3</v>
      </c>
    </row>
    <row r="145" spans="1:23" x14ac:dyDescent="0.15">
      <c r="A145" s="1">
        <v>2003</v>
      </c>
      <c r="B145" s="5">
        <f>(K58*($E58/365))+(K59*($E59/365))</f>
        <v>0</v>
      </c>
      <c r="C145" s="5">
        <f>(L58*($E58/365))+(L59*($E59/365))</f>
        <v>100</v>
      </c>
      <c r="D145" s="5">
        <f>(M58*($E58/365))+(M59*($E59/365))</f>
        <v>0</v>
      </c>
      <c r="E145" s="18">
        <f t="shared" si="35"/>
        <v>100</v>
      </c>
      <c r="G145" s="1">
        <v>2003</v>
      </c>
      <c r="H145" s="409">
        <f>(O58/$R58*100*($E58/365))+(O59/$R59*100*($E59/365))</f>
        <v>0</v>
      </c>
      <c r="I145" s="409"/>
      <c r="J145" s="409">
        <f>(P58/$R58*100*($E58/365))+(P59/$R59*100*($E59/365))</f>
        <v>100</v>
      </c>
      <c r="K145" s="409"/>
      <c r="L145" s="409">
        <f>(Q58/$R58*100*($E58/365))+(Q59/$R59*100*($E59/365))</f>
        <v>0</v>
      </c>
      <c r="M145" s="409"/>
      <c r="N145" s="379">
        <f t="shared" si="34"/>
        <v>100</v>
      </c>
      <c r="O145" s="379"/>
      <c r="R145" s="1">
        <v>2003</v>
      </c>
      <c r="S145" s="5">
        <f>(O58*($E58/365))+(O59*($E59/365))</f>
        <v>0</v>
      </c>
      <c r="T145" s="5">
        <f>(P58*($E58/365))+(P59*($E59/365))</f>
        <v>52.3</v>
      </c>
      <c r="U145" s="5">
        <f>(Q58*($E58/365))+(Q59*($E59/365))</f>
        <v>0</v>
      </c>
      <c r="V145" s="5"/>
      <c r="W145" s="5">
        <f t="shared" si="36"/>
        <v>52.3</v>
      </c>
    </row>
    <row r="146" spans="1:23" x14ac:dyDescent="0.15">
      <c r="A146" s="1">
        <v>2004</v>
      </c>
      <c r="B146" s="5">
        <f>(K60*($E60/366))+(K61*($E61/366))</f>
        <v>0</v>
      </c>
      <c r="C146" s="5">
        <f>(L60*($E60/366))+(L61*($E61/366))</f>
        <v>29.234972677595628</v>
      </c>
      <c r="D146" s="5">
        <f>(M60*($E60/366))+(M61*($E61/366))</f>
        <v>70.765027322404379</v>
      </c>
      <c r="E146" s="18">
        <f t="shared" si="35"/>
        <v>100</v>
      </c>
      <c r="G146" s="1">
        <v>2004</v>
      </c>
      <c r="H146" s="409">
        <f>(O60/$R60*100*($E60/366))+(O61/$R61*100*($E61/366))</f>
        <v>0</v>
      </c>
      <c r="I146" s="409"/>
      <c r="J146" s="409">
        <f>(P60/$R60*100*($E60/366))+(P61/$R61*100*($E61/366))</f>
        <v>29.234972677595628</v>
      </c>
      <c r="K146" s="409"/>
      <c r="L146" s="409">
        <f>(Q60/$R60*100*($E60/366))+(Q61/$R61*100*($E61/366))</f>
        <v>70.765027322404379</v>
      </c>
      <c r="M146" s="409"/>
      <c r="N146" s="379">
        <f t="shared" si="34"/>
        <v>100</v>
      </c>
      <c r="O146" s="379"/>
      <c r="R146" s="1">
        <v>2004</v>
      </c>
      <c r="S146" s="5">
        <f>(O60*($E60/366))+(O61*($E61/366))</f>
        <v>0</v>
      </c>
      <c r="T146" s="5">
        <f>(P60*($E60/366))+(P61*($E61/366))</f>
        <v>15.289890710382512</v>
      </c>
      <c r="U146" s="5">
        <f>(Q60*($E60/366))+(Q61*($E61/366))</f>
        <v>33.188797814207646</v>
      </c>
      <c r="V146" s="5"/>
      <c r="W146" s="5">
        <f t="shared" si="36"/>
        <v>48.478688524590154</v>
      </c>
    </row>
    <row r="147" spans="1:23" x14ac:dyDescent="0.15">
      <c r="A147" s="1">
        <v>2005</v>
      </c>
      <c r="B147" s="5">
        <f>(K62*($E62/365))+(K63*($E63/365))</f>
        <v>0</v>
      </c>
      <c r="C147" s="5">
        <f>(L62*($E62/365))+(L63*($E63/365))</f>
        <v>0</v>
      </c>
      <c r="D147" s="5">
        <f>(M62*($E62/365))+(M63*($E63/365))</f>
        <v>100</v>
      </c>
      <c r="E147" s="18">
        <f t="shared" si="35"/>
        <v>100</v>
      </c>
      <c r="G147" s="1">
        <v>2005</v>
      </c>
      <c r="H147" s="409">
        <f>(O62/$R62*100*($E62/365))+(O63/$R63*100*($E63/365))</f>
        <v>0</v>
      </c>
      <c r="I147" s="409"/>
      <c r="J147" s="409">
        <f>(P62/$R62*100*($E62/365))+(P63/$R63*100*($E63/365))</f>
        <v>0</v>
      </c>
      <c r="K147" s="409"/>
      <c r="L147" s="409">
        <f>(Q62/$R62*100*($E62/365))+(Q63/$R63*100*($E63/365))</f>
        <v>100</v>
      </c>
      <c r="M147" s="409"/>
      <c r="N147" s="379">
        <f t="shared" si="34"/>
        <v>100</v>
      </c>
      <c r="O147" s="379"/>
      <c r="R147" s="1">
        <v>2005</v>
      </c>
      <c r="S147" s="5">
        <f>(O62*($E62/365))+(O63*($E63/365))</f>
        <v>0</v>
      </c>
      <c r="T147" s="5">
        <f>(P62*($E62/365))+(P63*($E63/365))</f>
        <v>0</v>
      </c>
      <c r="U147" s="5">
        <f>(Q62*($E62/365))+(Q63*($E63/365))</f>
        <v>46.9</v>
      </c>
      <c r="V147" s="5"/>
      <c r="W147" s="5">
        <f t="shared" si="36"/>
        <v>46.9</v>
      </c>
    </row>
    <row r="148" spans="1:23" x14ac:dyDescent="0.15">
      <c r="A148" s="1">
        <v>2006</v>
      </c>
      <c r="B148" s="5">
        <f>(K64*($E64/365))+(K65*($E65/365))</f>
        <v>0</v>
      </c>
      <c r="C148" s="5">
        <f>(L64*($E64/365))+(L65*($E65/365))</f>
        <v>0</v>
      </c>
      <c r="D148" s="5">
        <f>(M64*($E64/365))+(M65*($E65/365))</f>
        <v>100</v>
      </c>
      <c r="E148" s="18">
        <f t="shared" si="35"/>
        <v>100</v>
      </c>
      <c r="G148" s="1">
        <v>2006</v>
      </c>
      <c r="H148" s="409">
        <f>(O64/$R64*100*($E64/365))+(O65/$R65*100*($E65/365))</f>
        <v>0</v>
      </c>
      <c r="I148" s="409"/>
      <c r="J148" s="409">
        <f>(P64/$R64*100*($E64/365))+(P65/$R65*100*($E65/365))</f>
        <v>0</v>
      </c>
      <c r="K148" s="409"/>
      <c r="L148" s="409">
        <f>(Q64/$R64*100*($E64/365))+(Q65/$R65*100*($E65/365))</f>
        <v>100</v>
      </c>
      <c r="M148" s="409"/>
      <c r="N148" s="379">
        <f t="shared" si="34"/>
        <v>100</v>
      </c>
      <c r="O148" s="379"/>
      <c r="R148" s="1">
        <v>2006</v>
      </c>
      <c r="S148" s="5">
        <f>(O64*($E64/365))+(O65*($E65/365))</f>
        <v>0</v>
      </c>
      <c r="T148" s="5">
        <f>(P64*($E64/365))+(P65*($E65/365))</f>
        <v>0</v>
      </c>
      <c r="U148" s="5">
        <f>(Q64*($E64/365))+(Q65*($E65/365))</f>
        <v>46.9</v>
      </c>
      <c r="V148" s="5"/>
      <c r="W148" s="5">
        <f t="shared" si="36"/>
        <v>46.9</v>
      </c>
    </row>
    <row r="149" spans="1:23" x14ac:dyDescent="0.15">
      <c r="A149" s="1">
        <v>2007</v>
      </c>
      <c r="B149" s="5">
        <f>(K66*($E66/365))+(K67*($E67/365))</f>
        <v>0</v>
      </c>
      <c r="C149" s="5">
        <f>(L66*($E66/365))+(L67*($E67/365))</f>
        <v>0</v>
      </c>
      <c r="D149" s="5">
        <f>(M66*($E66/365))+(M67*($E67/365))</f>
        <v>100</v>
      </c>
      <c r="E149" s="18">
        <f t="shared" si="35"/>
        <v>100</v>
      </c>
      <c r="G149" s="1">
        <v>2007</v>
      </c>
      <c r="H149" s="409">
        <f>(O66/$R66*100*($E66/365))+(O67/$R67*100*($E67/365))</f>
        <v>0</v>
      </c>
      <c r="I149" s="409"/>
      <c r="J149" s="409">
        <f>(P66/$R66*100*($E66/365))+(P67/$R67*100*($E67/365))</f>
        <v>0</v>
      </c>
      <c r="K149" s="409"/>
      <c r="L149" s="409">
        <f>(Q66/$R66*100*($E66/365))+(Q67/$R67*100*($E67/365))</f>
        <v>100</v>
      </c>
      <c r="M149" s="409"/>
      <c r="N149" s="379">
        <f t="shared" si="34"/>
        <v>100</v>
      </c>
      <c r="O149" s="379"/>
      <c r="R149" s="1">
        <v>2007</v>
      </c>
      <c r="S149" s="5">
        <f>(O66*($E66/365))+(O67*($E67/365))</f>
        <v>0</v>
      </c>
      <c r="T149" s="5">
        <f>(P66*($E66/365))+(P67*($E67/365))</f>
        <v>0</v>
      </c>
      <c r="U149" s="5">
        <f>(Q66*($E66/365))+(Q67*($E67/365))</f>
        <v>46.9</v>
      </c>
      <c r="V149" s="5"/>
      <c r="W149" s="5">
        <f t="shared" si="36"/>
        <v>46.9</v>
      </c>
    </row>
    <row r="150" spans="1:23" x14ac:dyDescent="0.15">
      <c r="A150" s="1">
        <v>2008</v>
      </c>
      <c r="B150" s="5">
        <f>(K68*($E68/366))+(K69*($E69/366))</f>
        <v>0</v>
      </c>
      <c r="C150" s="5">
        <f>(L68*($E68/366))+(L69*($E69/366))</f>
        <v>0</v>
      </c>
      <c r="D150" s="5">
        <f>(M68*($E68/366))+(M69*($E69/366))</f>
        <v>100.00000000000001</v>
      </c>
      <c r="E150" s="18">
        <f t="shared" si="35"/>
        <v>100.00000000000001</v>
      </c>
      <c r="G150" s="1">
        <v>2008</v>
      </c>
      <c r="H150" s="409">
        <f>(O68/$R68*100*($E68/366))+(O69/$R69*100*($E69/366))</f>
        <v>0</v>
      </c>
      <c r="I150" s="409"/>
      <c r="J150" s="409">
        <f>(P68/$R68*100*($E68/366))+(P69/$R69*100*($E69/366))</f>
        <v>0</v>
      </c>
      <c r="K150" s="409"/>
      <c r="L150" s="409">
        <f>(Q68/$R68*100*($E68/366))+(Q69/$R69*100*($E69/366))</f>
        <v>100.00000000000001</v>
      </c>
      <c r="M150" s="409"/>
      <c r="N150" s="379">
        <f t="shared" si="34"/>
        <v>100.00000000000001</v>
      </c>
      <c r="O150" s="379"/>
      <c r="R150" s="1">
        <v>2008</v>
      </c>
      <c r="S150" s="5">
        <f>(O68*($E68/366))+(O69*($E69/366))</f>
        <v>0</v>
      </c>
      <c r="T150" s="5">
        <f>(P68*($E68/366))+(P69*($E69/366))</f>
        <v>0</v>
      </c>
      <c r="U150" s="5">
        <f>(Q68*($E68/366))+(Q69*($E69/366))</f>
        <v>47.910491803278688</v>
      </c>
      <c r="V150" s="5"/>
      <c r="W150" s="5">
        <f t="shared" si="36"/>
        <v>47.910491803278688</v>
      </c>
    </row>
    <row r="151" spans="1:23" x14ac:dyDescent="0.15">
      <c r="A151" s="1">
        <v>2009</v>
      </c>
      <c r="B151" s="5">
        <f>(K70*($E70/365))+(K71*($E71/365))</f>
        <v>0</v>
      </c>
      <c r="C151" s="5">
        <f>(L70*($E70/365))+(L71*($E71/365))</f>
        <v>0</v>
      </c>
      <c r="D151" s="5">
        <f>(M70*($E70/365))+(M71*($E71/365))</f>
        <v>100</v>
      </c>
      <c r="E151" s="18">
        <f t="shared" si="35"/>
        <v>100</v>
      </c>
      <c r="G151" s="1">
        <v>2009</v>
      </c>
      <c r="H151" s="409">
        <f>(O70/$R70*100*($E70/365))+(O71/$R71*100*($E71/365))</f>
        <v>0</v>
      </c>
      <c r="I151" s="409"/>
      <c r="J151" s="409">
        <f>(P70/$R70*100*($E70/365))+(P71/$R71*100*($E71/365))</f>
        <v>0</v>
      </c>
      <c r="K151" s="409"/>
      <c r="L151" s="409">
        <f>(Q70/$R70*100*($E70/365))+(Q71/$R71*100*($E71/365))</f>
        <v>100</v>
      </c>
      <c r="M151" s="409"/>
      <c r="N151" s="379">
        <f t="shared" si="34"/>
        <v>100</v>
      </c>
      <c r="O151" s="379"/>
      <c r="R151" s="1">
        <v>2009</v>
      </c>
      <c r="S151" s="5">
        <f>(O70*($E70/365))+(O71*($E71/365))</f>
        <v>0</v>
      </c>
      <c r="T151" s="5">
        <f>(P70*($E70/365))+(P71*($E71/365))</f>
        <v>0</v>
      </c>
      <c r="U151" s="5">
        <f>(Q70*($E70/365))+(Q71*($E71/365))</f>
        <v>48.279999999999994</v>
      </c>
      <c r="V151" s="5"/>
      <c r="W151" s="5">
        <f t="shared" si="36"/>
        <v>48.279999999999994</v>
      </c>
    </row>
    <row r="152" spans="1:23" x14ac:dyDescent="0.15">
      <c r="A152" s="1">
        <v>2010</v>
      </c>
      <c r="B152" s="5">
        <f>(K72*($E72/365))+(K73*($E73/365))</f>
        <v>0</v>
      </c>
      <c r="C152" s="5">
        <f>(L72*($E72/365))+(L73*($E73/365))</f>
        <v>0</v>
      </c>
      <c r="D152" s="5">
        <f>(M72*($E72/365))+(M73*($E73/365))</f>
        <v>98.75</v>
      </c>
      <c r="E152" s="18">
        <f t="shared" si="35"/>
        <v>98.75</v>
      </c>
      <c r="G152" s="1">
        <v>2010</v>
      </c>
      <c r="H152" s="409">
        <f>(O72/$R72*100*($E72/365))+(O73/$R73*100*($E73/365))</f>
        <v>0</v>
      </c>
      <c r="I152" s="409"/>
      <c r="J152" s="409">
        <f>(P72/$R72*100*($E72/365))+(P73/$R73*100*($E73/365))</f>
        <v>0</v>
      </c>
      <c r="K152" s="409"/>
      <c r="L152" s="409">
        <f>(Q72/$R72*100*($E72/365))+(Q73/$R73*100*($E73/365))</f>
        <v>100</v>
      </c>
      <c r="M152" s="409"/>
      <c r="N152" s="379">
        <f t="shared" si="34"/>
        <v>100</v>
      </c>
      <c r="O152" s="379"/>
      <c r="R152" s="1">
        <v>2010</v>
      </c>
      <c r="S152" s="5">
        <f>(O72*($E72/365))+(O73*($E73/365))</f>
        <v>0</v>
      </c>
      <c r="T152" s="5">
        <f>(P72*($E72/365))+(P73*($E73/365))</f>
        <v>0</v>
      </c>
      <c r="U152" s="5">
        <f>(Q72*($E72/365))+(Q73*($E73/365))</f>
        <v>48.28</v>
      </c>
      <c r="V152" s="5"/>
      <c r="W152" s="5">
        <f t="shared" si="36"/>
        <v>48.28</v>
      </c>
    </row>
    <row r="153" spans="1:23" x14ac:dyDescent="0.15">
      <c r="A153" s="1">
        <v>2011</v>
      </c>
      <c r="B153" s="5">
        <f>(K74*($E74/365))+(K75*($E75/365))</f>
        <v>0</v>
      </c>
      <c r="C153" s="5">
        <f>(L74*($E74/365))+(L75*($E75/365))</f>
        <v>3.5616438356164384</v>
      </c>
      <c r="D153" s="5">
        <f>(M74*($E74/365))+(M75*($E75/365))</f>
        <v>90.410958904109592</v>
      </c>
      <c r="E153" s="18">
        <f t="shared" si="35"/>
        <v>93.972602739726028</v>
      </c>
      <c r="G153" s="1">
        <v>2011</v>
      </c>
      <c r="H153" s="409">
        <f>(O74/$R74*100*($E74/365))+(O75/$R75*100*($E75/365))</f>
        <v>0</v>
      </c>
      <c r="I153" s="409"/>
      <c r="J153" s="409">
        <f>(P74/$R74*100*($E74/365))+(P75/$R75*100*($E75/365))</f>
        <v>3.5616438356164384</v>
      </c>
      <c r="K153" s="409"/>
      <c r="L153" s="409">
        <f>(Q74/$R74*100*($E74/365))+(Q75/$R75*100*($E75/365))</f>
        <v>96.438356164383563</v>
      </c>
      <c r="M153" s="409"/>
      <c r="N153" s="379">
        <f t="shared" si="34"/>
        <v>100</v>
      </c>
      <c r="O153" s="379"/>
      <c r="R153" s="1">
        <v>2011</v>
      </c>
      <c r="S153" s="5">
        <f>(O74*($E74/365))+(O75*($E75/365))</f>
        <v>0</v>
      </c>
      <c r="T153" s="5">
        <f>(P74*($E74/365))+(P75*($E75/365))</f>
        <v>1.8926575342465752</v>
      </c>
      <c r="U153" s="5">
        <f>(Q74*($E74/365))+(Q75*($E75/365))</f>
        <v>46.560438356164383</v>
      </c>
      <c r="V153" s="5"/>
      <c r="W153" s="5">
        <f t="shared" si="36"/>
        <v>48.453095890410957</v>
      </c>
    </row>
    <row r="154" spans="1:23" x14ac:dyDescent="0.15">
      <c r="A154" s="1">
        <v>2012</v>
      </c>
      <c r="B154" s="5">
        <f>(K76*($E76/366))+(K77*($E77/366))</f>
        <v>0</v>
      </c>
      <c r="C154" s="5">
        <f>(L76*($E76/366))+(L77*($E77/366))</f>
        <v>100</v>
      </c>
      <c r="D154" s="5">
        <f>(M76*($E76/366))+(M77*($E77/366))</f>
        <v>0</v>
      </c>
      <c r="E154" s="18">
        <f t="shared" si="35"/>
        <v>100</v>
      </c>
      <c r="G154" s="1">
        <v>2012</v>
      </c>
      <c r="H154" s="409">
        <f>(O76/$R76*100*($E76/366))+(O77/$R77*100*($E77/366))</f>
        <v>0</v>
      </c>
      <c r="I154" s="409"/>
      <c r="J154" s="409">
        <f>(P76/$R76*100*($E76/366))+(P77/$R77*100*($E77/366))</f>
        <v>100</v>
      </c>
      <c r="K154" s="409"/>
      <c r="L154" s="409">
        <f>(Q76/$R76*100*($E76/366))+(Q77/$R77*100*($E77/366))</f>
        <v>0</v>
      </c>
      <c r="M154" s="409"/>
      <c r="N154" s="379">
        <f t="shared" si="34"/>
        <v>100</v>
      </c>
      <c r="O154" s="379"/>
      <c r="R154" s="1">
        <v>2012</v>
      </c>
      <c r="S154" s="5">
        <f>(O76*($E76/366))+(O77*($E77/366))</f>
        <v>0</v>
      </c>
      <c r="T154" s="5">
        <f>(P76*($E76/366))+(P77*($E77/366))</f>
        <v>53.14</v>
      </c>
      <c r="U154" s="5">
        <f>(Q76*($E76/366))+(Q77*($E77/366))</f>
        <v>0</v>
      </c>
      <c r="V154" s="5"/>
      <c r="W154" s="5">
        <f t="shared" si="36"/>
        <v>53.14</v>
      </c>
    </row>
    <row r="155" spans="1:23" x14ac:dyDescent="0.15">
      <c r="A155" s="1">
        <v>2013</v>
      </c>
      <c r="B155" s="5">
        <f>(K78*($E78/365))+(K79*($E79/365))</f>
        <v>0</v>
      </c>
      <c r="C155" s="5">
        <f>(L78*($E78/365))+(L79*($E79/365))</f>
        <v>100</v>
      </c>
      <c r="D155" s="5">
        <f>(M78*($E78/365))+(M79*($E79/365))</f>
        <v>0</v>
      </c>
      <c r="E155" s="18">
        <f t="shared" si="35"/>
        <v>100</v>
      </c>
      <c r="G155" s="1">
        <v>2013</v>
      </c>
      <c r="H155" s="409">
        <f>(O78/$R78*100*($E78/365))+(O79/$R79*100*($E79/365))</f>
        <v>0</v>
      </c>
      <c r="I155" s="409"/>
      <c r="J155" s="409">
        <f>(P78/$R78*100*($E78/365))+(P79/$R79*100*($E79/365))</f>
        <v>100</v>
      </c>
      <c r="K155" s="409"/>
      <c r="L155" s="409">
        <f>(Q78/$R78*100*($E78/365))+(Q79/$R79*100*($E79/365))</f>
        <v>0</v>
      </c>
      <c r="M155" s="409"/>
      <c r="N155" s="379">
        <f>H155+J155+L155</f>
        <v>100</v>
      </c>
      <c r="O155" s="379"/>
      <c r="R155" s="1">
        <v>2013</v>
      </c>
      <c r="S155" s="5">
        <f>(O78*($E78/365))+(O79*($E79/365))</f>
        <v>0</v>
      </c>
      <c r="T155" s="5">
        <f>(P78*($E78/365))+(P79*($E79/365))</f>
        <v>53.14</v>
      </c>
      <c r="U155" s="5">
        <f>(Q78*($E78/365))+(Q79*($E79/365))</f>
        <v>0</v>
      </c>
      <c r="W155" s="5">
        <f t="shared" si="36"/>
        <v>53.14</v>
      </c>
    </row>
    <row r="156" spans="1:23" x14ac:dyDescent="0.15">
      <c r="A156" s="1">
        <v>2014</v>
      </c>
      <c r="B156" s="5">
        <f>(K80*($E80/365))+(K81*($E81/365))</f>
        <v>0</v>
      </c>
      <c r="C156" s="5">
        <f>(L80*($E80/365))+(L81*($E81/365))</f>
        <v>100</v>
      </c>
      <c r="D156" s="5">
        <f>(M80*($E80/365))+(M81*($E81/365))</f>
        <v>0</v>
      </c>
      <c r="E156" s="18">
        <f>B156+C156+D156</f>
        <v>100</v>
      </c>
      <c r="G156" s="1">
        <v>2014</v>
      </c>
      <c r="H156" s="409">
        <f>(O80/$R80*100*($E80/365))+(O81/$R81*100*($E81/365))</f>
        <v>0</v>
      </c>
      <c r="I156" s="409"/>
      <c r="J156" s="409">
        <f>(P80/$R80*100*($E80/365))+(P81/$R81*100*($E81/365))</f>
        <v>100</v>
      </c>
      <c r="K156" s="409"/>
      <c r="L156" s="409">
        <f>(Q80/$R80*100*($E80/365))+(Q81/$R81*100*($E81/365))</f>
        <v>0</v>
      </c>
      <c r="M156" s="409"/>
      <c r="N156" s="379">
        <f>H156+J156+L156</f>
        <v>100</v>
      </c>
      <c r="O156" s="379"/>
      <c r="R156" s="1">
        <v>2014</v>
      </c>
      <c r="S156" s="5">
        <f>(O80*($E80/365))+(O81*($E81/365))</f>
        <v>0</v>
      </c>
      <c r="T156" s="5">
        <f>(P80*($E80/365))+(P81*($E81/365))</f>
        <v>53.14</v>
      </c>
      <c r="U156" s="5">
        <f>(Q80*($E80/365))+(Q81*($E81/365))</f>
        <v>0</v>
      </c>
      <c r="W156" s="5">
        <f>S156+T156+U156</f>
        <v>53.14</v>
      </c>
    </row>
    <row r="157" spans="1:23" x14ac:dyDescent="0.15">
      <c r="A157" s="1">
        <v>2015</v>
      </c>
      <c r="B157" s="5">
        <f>(K82*($E82/365))+(K83*($E83/365))</f>
        <v>0</v>
      </c>
      <c r="C157" s="5">
        <f>(L82*($E82/365))+(L83*($E83/365))</f>
        <v>100</v>
      </c>
      <c r="D157" s="5">
        <f>(M82*($E82/365))+(M83*($E83/365))</f>
        <v>0</v>
      </c>
      <c r="E157" s="18">
        <f>B157+C157+D157</f>
        <v>100</v>
      </c>
      <c r="G157" s="1">
        <v>2015</v>
      </c>
      <c r="H157" s="409">
        <f>(O82/$R82*100*($E82/365))+(O83/$R83*100*($E83/365))</f>
        <v>0</v>
      </c>
      <c r="I157" s="409"/>
      <c r="J157" s="409">
        <f>(P82/$R82*100*($E82/365))+(P83/$R83*100*($E83/365))</f>
        <v>100</v>
      </c>
      <c r="K157" s="409"/>
      <c r="L157" s="409">
        <f>(Q82/$R82*100*($E82/365))+(Q83/$R83*100*($E83/365))</f>
        <v>0</v>
      </c>
      <c r="M157" s="409"/>
      <c r="N157" s="379">
        <f>H157+J157+L157</f>
        <v>100</v>
      </c>
      <c r="O157" s="379"/>
      <c r="R157" s="1">
        <v>2015</v>
      </c>
      <c r="S157" s="5">
        <f>(O82*($E82/365))+(O83*($E83/365))</f>
        <v>0</v>
      </c>
      <c r="T157" s="5">
        <f>(P82*($E82/365))+(P83*($E83/365))</f>
        <v>35.1</v>
      </c>
      <c r="U157" s="5">
        <f>(Q82*($E82/365))+(Q83*($E83/365))</f>
        <v>0</v>
      </c>
      <c r="W157" s="5">
        <f>S157+T157+U157</f>
        <v>35.1</v>
      </c>
    </row>
    <row r="158" spans="1:23" x14ac:dyDescent="0.15">
      <c r="A158" s="1">
        <v>2016</v>
      </c>
      <c r="B158" s="5">
        <f>(K84*($E84/366))+(K85*($E85/366))</f>
        <v>0</v>
      </c>
      <c r="C158" s="5">
        <f>(L84*($E84/366))+(L85*($E85/366))</f>
        <v>100.00000000000001</v>
      </c>
      <c r="D158" s="5">
        <f>(M84*($E84/366))+(M85*($E85/366))</f>
        <v>0</v>
      </c>
      <c r="E158" s="18">
        <f t="shared" ref="E158" si="37">B158+C158+D158</f>
        <v>100.00000000000001</v>
      </c>
      <c r="G158" s="1">
        <v>2016</v>
      </c>
      <c r="H158" s="409">
        <f>(O84/$R84*100*($E84/366))+(O85/$R85*100*($E85/366))</f>
        <v>0</v>
      </c>
      <c r="I158" s="409"/>
      <c r="J158" s="409">
        <f>(P84/$R84*100*($E84/366))+(P85/$R85*100*($E85/366))</f>
        <v>100.00000000000001</v>
      </c>
      <c r="K158" s="409"/>
      <c r="L158" s="409">
        <f>(Q84/$R84*100*($E84/366))+(Q85/$R85*100*($E85/366))</f>
        <v>0</v>
      </c>
      <c r="M158" s="409"/>
      <c r="N158" s="379">
        <f t="shared" ref="N158" si="38">H158+J158+L158</f>
        <v>100.00000000000001</v>
      </c>
      <c r="O158" s="379"/>
      <c r="R158" s="1">
        <v>2016</v>
      </c>
      <c r="S158" s="5">
        <f>(O84*($E84/366))+(O85*($E85/366))</f>
        <v>0</v>
      </c>
      <c r="T158" s="5">
        <f>(P84*($E84/366))+(P85*($E85/366))</f>
        <v>35.607103825136619</v>
      </c>
      <c r="U158" s="5">
        <f>(Q84*($E84/366))+(Q85*($E85/366))</f>
        <v>0</v>
      </c>
      <c r="W158" s="5">
        <f t="shared" ref="W158" si="39">S158+T158+U158</f>
        <v>35.607103825136619</v>
      </c>
    </row>
    <row r="159" spans="1:23" x14ac:dyDescent="0.15">
      <c r="A159" s="1">
        <v>2017</v>
      </c>
      <c r="B159" s="5">
        <f>(K86*($E86/365))+(K87*($E87/365))</f>
        <v>0</v>
      </c>
      <c r="C159" s="5">
        <f>(L86*($E86/365))+(L87*($E87/365))</f>
        <v>100</v>
      </c>
      <c r="D159" s="5">
        <f>(M86*($E86/365))+(M87*($E87/365))</f>
        <v>0</v>
      </c>
      <c r="E159" s="18">
        <f t="shared" ref="E159" si="40">B159+C159+D159</f>
        <v>100</v>
      </c>
      <c r="G159" s="1">
        <v>2017</v>
      </c>
      <c r="H159" s="409">
        <f>(O86/$R86*100*($E86/365))+(O87/$R87*100*($E87/365))</f>
        <v>0</v>
      </c>
      <c r="I159" s="409"/>
      <c r="J159" s="409">
        <f>(P86/$R86*100*($E86/365))+(P87/$R87*100*($E87/365))</f>
        <v>100</v>
      </c>
      <c r="K159" s="409"/>
      <c r="L159" s="409">
        <f>(Q86/$R86*100*($E86/365))+(Q87/$R87*100*($E87/365))</f>
        <v>0</v>
      </c>
      <c r="M159" s="409"/>
      <c r="N159" s="379">
        <f t="shared" ref="N159" si="41">H159+J159+L159</f>
        <v>100</v>
      </c>
      <c r="O159" s="379"/>
      <c r="R159" s="1">
        <v>2017</v>
      </c>
      <c r="S159" s="5">
        <f>(O86*($E86/365))+(O87*($E87/365))</f>
        <v>0</v>
      </c>
      <c r="T159" s="5">
        <f>(P86*($E86/365))+(P87*($E87/365))</f>
        <v>38.299999999999997</v>
      </c>
      <c r="U159" s="5">
        <f>(Q86*($E86/365))+(Q87*($E87/365))</f>
        <v>0</v>
      </c>
      <c r="W159" s="5">
        <f t="shared" ref="W159" si="42">S159+T159+U159</f>
        <v>38.299999999999997</v>
      </c>
    </row>
    <row r="160" spans="1:23" x14ac:dyDescent="0.15">
      <c r="A160" s="1">
        <v>2018</v>
      </c>
      <c r="B160" s="5">
        <f>(K88*($E88/365))+(K89*($E89/365))</f>
        <v>0</v>
      </c>
      <c r="C160" s="5">
        <f>(L88*($E88/365))+(L89*($E89/365))</f>
        <v>43.013698630136986</v>
      </c>
      <c r="D160" s="5">
        <f>(M88*($E88/365))+(M89*($E89/365))</f>
        <v>56.986301369863014</v>
      </c>
      <c r="E160" s="18">
        <f t="shared" ref="E160" si="43">B160+C160+D160</f>
        <v>100</v>
      </c>
      <c r="G160" s="1">
        <v>2018</v>
      </c>
      <c r="H160" s="409">
        <f>(O88/$R88*100*($E88/365))+(O89/$R89*100*($E89/365))</f>
        <v>0</v>
      </c>
      <c r="I160" s="409"/>
      <c r="J160" s="409">
        <f>(P88/$R88*100*($E88/365))+(P89/$R89*100*($E89/365))</f>
        <v>43.013698630136986</v>
      </c>
      <c r="K160" s="409"/>
      <c r="L160" s="409">
        <f>(Q88/$R88*100*($E88/365))+(Q89/$R89*100*($E89/365))</f>
        <v>56.986301369863014</v>
      </c>
      <c r="M160" s="409"/>
      <c r="N160" s="379">
        <f t="shared" ref="N160" si="44">H160+J160+L160</f>
        <v>100</v>
      </c>
      <c r="O160" s="379"/>
      <c r="R160" s="1">
        <v>2018</v>
      </c>
      <c r="S160" s="5">
        <f>(O88*($E88/365))+(O89*($E89/365))</f>
        <v>0</v>
      </c>
      <c r="T160" s="5">
        <f>(P88*($E88/365))+(P89*($E89/365))</f>
        <v>16.474246575342466</v>
      </c>
      <c r="U160" s="5">
        <f>(Q88*($E88/365))+(Q89*($E89/365))</f>
        <v>13.847671232876712</v>
      </c>
      <c r="W160" s="5">
        <f t="shared" ref="W160" si="45">S160+T160+U160</f>
        <v>30.321917808219176</v>
      </c>
    </row>
    <row r="161" spans="1:23" x14ac:dyDescent="0.15">
      <c r="A161" s="1">
        <v>2019</v>
      </c>
      <c r="B161" s="5">
        <f>(K90*($E90/365))+(K91*($E91/365))+(K92*(E92/365))</f>
        <v>0</v>
      </c>
      <c r="C161" s="5">
        <f>(L90*($E90/365))+(L91*($E91/365))+(L92*(E92/365))</f>
        <v>0</v>
      </c>
      <c r="D161" s="5">
        <f>(M90*($E90/365))+(M91*($E91/365))+(M92*(E92/365))</f>
        <v>100</v>
      </c>
      <c r="E161" s="18">
        <f t="shared" ref="E161:E162" si="46">B161+C161+D161</f>
        <v>100</v>
      </c>
      <c r="G161" s="1">
        <v>2019</v>
      </c>
      <c r="H161" s="409">
        <f>(O90/$R90*100*($E90/365))+(O91/$R91*100*($E91/365))+(O92/R92*100*(E92/365))</f>
        <v>0</v>
      </c>
      <c r="I161" s="409"/>
      <c r="J161" s="409">
        <f>(P90/$R90*100*($E90/365))+(P91/$R91*100*($E91/365))+(P92/R92*100*(E92/365))</f>
        <v>0</v>
      </c>
      <c r="K161" s="409"/>
      <c r="L161" s="409">
        <f>(Q90/$R90*100*($E90/365))+(Q91/$R91*100*($E91/365))+(Q92/R92*100*(E92/365))</f>
        <v>100</v>
      </c>
      <c r="M161" s="409"/>
      <c r="N161" s="379">
        <f t="shared" ref="N161" si="47">H161+J161+L161</f>
        <v>100</v>
      </c>
      <c r="O161" s="379"/>
      <c r="R161" s="1">
        <v>2019</v>
      </c>
      <c r="S161" s="5">
        <f>(O90*($E90/365))+(O91*($E91/365))+(O92*(E92/365))</f>
        <v>0</v>
      </c>
      <c r="T161" s="5">
        <f>(P90*($E90/365))+(P91*($E91/365))+(P92*(E92/365))</f>
        <v>0</v>
      </c>
      <c r="U161" s="5">
        <f>(Q90*($E90/365))+(Q91*($E91/365))+(Q92*(E92/365))</f>
        <v>30.91479452054795</v>
      </c>
      <c r="W161" s="5">
        <f t="shared" ref="W161:W162" si="48">S161+T161+U161</f>
        <v>30.91479452054795</v>
      </c>
    </row>
    <row r="162" spans="1:23" x14ac:dyDescent="0.15">
      <c r="A162" s="1">
        <v>2020</v>
      </c>
      <c r="B162" s="5">
        <f>(K93*($E93/366))+(K94*(E94/366))</f>
        <v>0</v>
      </c>
      <c r="C162" s="5">
        <f>(L93*($E93/366))+(L94*(E94/366))</f>
        <v>0</v>
      </c>
      <c r="D162" s="5">
        <f>(M93*($E93/366))+(M94*(E94/366))</f>
        <v>100</v>
      </c>
      <c r="E162" s="18">
        <f t="shared" si="46"/>
        <v>100</v>
      </c>
      <c r="G162" s="1">
        <v>2020</v>
      </c>
      <c r="H162" s="409">
        <f>(O93/$R93*100*($E93/366))+(O94/R94*100*(E94/366))</f>
        <v>0</v>
      </c>
      <c r="I162" s="409"/>
      <c r="J162" s="409">
        <f>(P93/$R93*100*($E93/366))+(P94/R94*100*(E94/366))</f>
        <v>0</v>
      </c>
      <c r="K162" s="409"/>
      <c r="L162" s="409">
        <f>(Q93/$R93*100*($E93/366))+(Q94/R94*100*(E94/366))</f>
        <v>100</v>
      </c>
      <c r="M162" s="409"/>
      <c r="N162" s="379">
        <f t="shared" ref="N162" si="49">H162+J162+L162</f>
        <v>100</v>
      </c>
      <c r="O162" s="379"/>
      <c r="R162" s="1">
        <v>2020</v>
      </c>
      <c r="S162" s="5">
        <f>(O93*($E93/366))+(O94*(E94/366))</f>
        <v>0</v>
      </c>
      <c r="T162" s="5">
        <f>(P93*($E93/366))+(P94*($E94/366))</f>
        <v>0</v>
      </c>
      <c r="U162" s="5">
        <f>(Q93*($E93/366))+(Q94*($E94/366))</f>
        <v>37.694808743169396</v>
      </c>
      <c r="W162" s="5">
        <f t="shared" si="48"/>
        <v>37.694808743169396</v>
      </c>
    </row>
  </sheetData>
  <mergeCells count="291">
    <mergeCell ref="C93:D93"/>
    <mergeCell ref="C94:D94"/>
    <mergeCell ref="H162:I162"/>
    <mergeCell ref="J162:K162"/>
    <mergeCell ref="L162:M162"/>
    <mergeCell ref="N162:O162"/>
    <mergeCell ref="J161:K161"/>
    <mergeCell ref="L161:M161"/>
    <mergeCell ref="H161:I161"/>
    <mergeCell ref="N161:O161"/>
    <mergeCell ref="H159:I159"/>
    <mergeCell ref="J159:K159"/>
    <mergeCell ref="L159:M159"/>
    <mergeCell ref="N159:O159"/>
    <mergeCell ref="H122:I122"/>
    <mergeCell ref="J122:K122"/>
    <mergeCell ref="L122:M122"/>
    <mergeCell ref="N122:O122"/>
    <mergeCell ref="H123:I123"/>
    <mergeCell ref="J123:K123"/>
    <mergeCell ref="H157:I157"/>
    <mergeCell ref="J157:K157"/>
    <mergeCell ref="L157:M157"/>
    <mergeCell ref="N157:O157"/>
    <mergeCell ref="C92:D92"/>
    <mergeCell ref="C91:D91"/>
    <mergeCell ref="H156:I156"/>
    <mergeCell ref="J156:K156"/>
    <mergeCell ref="L156:M156"/>
    <mergeCell ref="N156:O156"/>
    <mergeCell ref="H124:I124"/>
    <mergeCell ref="J124:K124"/>
    <mergeCell ref="L124:M124"/>
    <mergeCell ref="N124:O124"/>
    <mergeCell ref="H125:I125"/>
    <mergeCell ref="J125:K125"/>
    <mergeCell ref="L125:M125"/>
    <mergeCell ref="N125:O125"/>
    <mergeCell ref="N129:O129"/>
    <mergeCell ref="H126:I126"/>
    <mergeCell ref="J126:K126"/>
    <mergeCell ref="L126:M126"/>
    <mergeCell ref="N126:O126"/>
    <mergeCell ref="H127:I127"/>
    <mergeCell ref="J127:K127"/>
    <mergeCell ref="L127:M127"/>
    <mergeCell ref="N127:O127"/>
    <mergeCell ref="H130:I130"/>
    <mergeCell ref="C71:D71"/>
    <mergeCell ref="C72:D72"/>
    <mergeCell ref="L123:M123"/>
    <mergeCell ref="N123:O123"/>
    <mergeCell ref="C80:D80"/>
    <mergeCell ref="C81:D81"/>
    <mergeCell ref="N101:O101"/>
    <mergeCell ref="H120:I120"/>
    <mergeCell ref="J120:K120"/>
    <mergeCell ref="L120:M120"/>
    <mergeCell ref="L101:M101"/>
    <mergeCell ref="H121:I121"/>
    <mergeCell ref="J121:K121"/>
    <mergeCell ref="L121:M121"/>
    <mergeCell ref="N121:O121"/>
    <mergeCell ref="C82:D82"/>
    <mergeCell ref="C83:D83"/>
    <mergeCell ref="C84:D84"/>
    <mergeCell ref="C85:D85"/>
    <mergeCell ref="C86:D86"/>
    <mergeCell ref="C87:D87"/>
    <mergeCell ref="C88:D88"/>
    <mergeCell ref="C89:D89"/>
    <mergeCell ref="C90:D90"/>
    <mergeCell ref="C78:D78"/>
    <mergeCell ref="C79:D79"/>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74:D74"/>
    <mergeCell ref="C67:D67"/>
    <mergeCell ref="C68:D68"/>
    <mergeCell ref="C75:D75"/>
    <mergeCell ref="C76:D76"/>
    <mergeCell ref="C77:D77"/>
    <mergeCell ref="C69:D69"/>
    <mergeCell ref="C70:D70"/>
    <mergeCell ref="C45:D45"/>
    <mergeCell ref="C46:D46"/>
    <mergeCell ref="C47:D47"/>
    <mergeCell ref="C48:D48"/>
    <mergeCell ref="C49:D49"/>
    <mergeCell ref="C50:D50"/>
    <mergeCell ref="C51:D51"/>
    <mergeCell ref="C52:D52"/>
    <mergeCell ref="C53:D53"/>
    <mergeCell ref="C36:D36"/>
    <mergeCell ref="C37:D37"/>
    <mergeCell ref="C38:D38"/>
    <mergeCell ref="C39:D39"/>
    <mergeCell ref="C40:D40"/>
    <mergeCell ref="C41:D41"/>
    <mergeCell ref="C42:D42"/>
    <mergeCell ref="C43:D43"/>
    <mergeCell ref="C44:D44"/>
    <mergeCell ref="C27:D27"/>
    <mergeCell ref="C28:D28"/>
    <mergeCell ref="C29:D29"/>
    <mergeCell ref="C30:D30"/>
    <mergeCell ref="C31:D31"/>
    <mergeCell ref="C32:D32"/>
    <mergeCell ref="C33:D33"/>
    <mergeCell ref="C34:D34"/>
    <mergeCell ref="C35:D35"/>
    <mergeCell ref="C18:D18"/>
    <mergeCell ref="C19:D19"/>
    <mergeCell ref="C20:D20"/>
    <mergeCell ref="C21:D21"/>
    <mergeCell ref="C22:D22"/>
    <mergeCell ref="C23:D23"/>
    <mergeCell ref="C24:D24"/>
    <mergeCell ref="C25:D25"/>
    <mergeCell ref="C26:D26"/>
    <mergeCell ref="C9:D9"/>
    <mergeCell ref="C10:D10"/>
    <mergeCell ref="C11:D11"/>
    <mergeCell ref="C12:D12"/>
    <mergeCell ref="C13:D13"/>
    <mergeCell ref="C14:D14"/>
    <mergeCell ref="C15:D15"/>
    <mergeCell ref="C16:D16"/>
    <mergeCell ref="C17:D17"/>
    <mergeCell ref="C6:D6"/>
    <mergeCell ref="Z4:AC4"/>
    <mergeCell ref="AD4:AG4"/>
    <mergeCell ref="AH4:AK4"/>
    <mergeCell ref="AL4:AO4"/>
    <mergeCell ref="C7:D7"/>
    <mergeCell ref="U4:U5"/>
    <mergeCell ref="V4:Y4"/>
    <mergeCell ref="C8:D8"/>
    <mergeCell ref="A4:A5"/>
    <mergeCell ref="B4:B5"/>
    <mergeCell ref="C4:D5"/>
    <mergeCell ref="E4:E5"/>
    <mergeCell ref="AP4:AS4"/>
    <mergeCell ref="K4:N4"/>
    <mergeCell ref="O4:R4"/>
    <mergeCell ref="S4:S5"/>
    <mergeCell ref="T4:T5"/>
    <mergeCell ref="F4:F5"/>
    <mergeCell ref="G3:M3"/>
    <mergeCell ref="O3:Q3"/>
    <mergeCell ref="R99:W99"/>
    <mergeCell ref="H101:I101"/>
    <mergeCell ref="J101:K101"/>
    <mergeCell ref="H119:I119"/>
    <mergeCell ref="J119:K119"/>
    <mergeCell ref="L119:M119"/>
    <mergeCell ref="N119:O119"/>
    <mergeCell ref="G4:J4"/>
    <mergeCell ref="H133:I133"/>
    <mergeCell ref="H134:I134"/>
    <mergeCell ref="H135:I135"/>
    <mergeCell ref="H128:I128"/>
    <mergeCell ref="J128:K128"/>
    <mergeCell ref="L128:M128"/>
    <mergeCell ref="H129:I129"/>
    <mergeCell ref="J129:K129"/>
    <mergeCell ref="L129:M129"/>
    <mergeCell ref="J134:K134"/>
    <mergeCell ref="J135:K135"/>
    <mergeCell ref="L130:M130"/>
    <mergeCell ref="L131:M131"/>
    <mergeCell ref="L132:M132"/>
    <mergeCell ref="L133:M133"/>
    <mergeCell ref="L134:M134"/>
    <mergeCell ref="L135:M135"/>
    <mergeCell ref="J130:K130"/>
    <mergeCell ref="J131:K131"/>
    <mergeCell ref="J132:K132"/>
    <mergeCell ref="J133:K133"/>
    <mergeCell ref="H131:I131"/>
    <mergeCell ref="H132:I132"/>
    <mergeCell ref="J136:K136"/>
    <mergeCell ref="J137:K137"/>
    <mergeCell ref="J138:K138"/>
    <mergeCell ref="H148:I148"/>
    <mergeCell ref="H149:I149"/>
    <mergeCell ref="H150:I150"/>
    <mergeCell ref="H151:I151"/>
    <mergeCell ref="H142:I142"/>
    <mergeCell ref="H143:I143"/>
    <mergeCell ref="H144:I144"/>
    <mergeCell ref="H145:I145"/>
    <mergeCell ref="H146:I146"/>
    <mergeCell ref="H147:I147"/>
    <mergeCell ref="H136:I136"/>
    <mergeCell ref="H137:I137"/>
    <mergeCell ref="H138:I138"/>
    <mergeCell ref="H139:I139"/>
    <mergeCell ref="H140:I140"/>
    <mergeCell ref="H141:I141"/>
    <mergeCell ref="J149:K149"/>
    <mergeCell ref="J150:K150"/>
    <mergeCell ref="J139:K139"/>
    <mergeCell ref="J140:K140"/>
    <mergeCell ref="J141:K141"/>
    <mergeCell ref="J142:K142"/>
    <mergeCell ref="J143:K143"/>
    <mergeCell ref="J144:K144"/>
    <mergeCell ref="L142:M142"/>
    <mergeCell ref="L143:M143"/>
    <mergeCell ref="L144:M144"/>
    <mergeCell ref="L138:M138"/>
    <mergeCell ref="L139:M139"/>
    <mergeCell ref="L150:M150"/>
    <mergeCell ref="L145:M145"/>
    <mergeCell ref="L146:M146"/>
    <mergeCell ref="L147:M147"/>
    <mergeCell ref="L140:M140"/>
    <mergeCell ref="L141:M141"/>
    <mergeCell ref="J151:K151"/>
    <mergeCell ref="J152:K152"/>
    <mergeCell ref="L151:M151"/>
    <mergeCell ref="H155:I155"/>
    <mergeCell ref="J155:K155"/>
    <mergeCell ref="L155:M155"/>
    <mergeCell ref="L154:M154"/>
    <mergeCell ref="J148:K148"/>
    <mergeCell ref="L153:M153"/>
    <mergeCell ref="H154:I154"/>
    <mergeCell ref="H152:I152"/>
    <mergeCell ref="H153:I153"/>
    <mergeCell ref="AX4:BA4"/>
    <mergeCell ref="N149:O149"/>
    <mergeCell ref="N150:O150"/>
    <mergeCell ref="N139:O139"/>
    <mergeCell ref="N140:O140"/>
    <mergeCell ref="N120:O120"/>
    <mergeCell ref="N132:O132"/>
    <mergeCell ref="N133:O133"/>
    <mergeCell ref="N134:O134"/>
    <mergeCell ref="N135:O135"/>
    <mergeCell ref="N136:O136"/>
    <mergeCell ref="N137:O137"/>
    <mergeCell ref="N138:O138"/>
    <mergeCell ref="N130:O130"/>
    <mergeCell ref="N131:O131"/>
    <mergeCell ref="N145:O145"/>
    <mergeCell ref="N146:O146"/>
    <mergeCell ref="N147:O147"/>
    <mergeCell ref="N148:O148"/>
    <mergeCell ref="N141:O141"/>
    <mergeCell ref="N142:O142"/>
    <mergeCell ref="N143:O143"/>
    <mergeCell ref="N144:O144"/>
    <mergeCell ref="N128:O128"/>
    <mergeCell ref="H160:I160"/>
    <mergeCell ref="J160:K160"/>
    <mergeCell ref="L160:M160"/>
    <mergeCell ref="N160:O160"/>
    <mergeCell ref="H158:I158"/>
    <mergeCell ref="J158:K158"/>
    <mergeCell ref="L158:M158"/>
    <mergeCell ref="N158:O158"/>
    <mergeCell ref="AT4:AW4"/>
    <mergeCell ref="N153:O153"/>
    <mergeCell ref="N154:O154"/>
    <mergeCell ref="N151:O151"/>
    <mergeCell ref="N152:O152"/>
    <mergeCell ref="L136:M136"/>
    <mergeCell ref="L137:M137"/>
    <mergeCell ref="N155:O155"/>
    <mergeCell ref="L152:M152"/>
    <mergeCell ref="L148:M148"/>
    <mergeCell ref="L149:M149"/>
    <mergeCell ref="J153:K153"/>
    <mergeCell ref="J154:K154"/>
    <mergeCell ref="J145:K145"/>
    <mergeCell ref="J146:K146"/>
    <mergeCell ref="J147:K14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A198"/>
  <sheetViews>
    <sheetView zoomScale="180" zoomScaleNormal="120" workbookViewId="0">
      <pane xSplit="1" ySplit="5" topLeftCell="B73" activePane="bottomRight" state="frozen"/>
      <selection pane="topRight" activeCell="B1" sqref="B1"/>
      <selection pane="bottomLeft" activeCell="A6" sqref="A6"/>
      <selection pane="bottomRight" activeCell="AA101" sqref="AA101:AA11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68</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585</v>
      </c>
      <c r="D6" s="416"/>
      <c r="E6" s="140">
        <v>0</v>
      </c>
      <c r="G6" s="148"/>
      <c r="I6" s="140">
        <v>14</v>
      </c>
      <c r="J6" s="154">
        <v>15</v>
      </c>
      <c r="K6" s="134">
        <f t="shared" ref="K6:M7" si="0">G6/$J6*100</f>
        <v>0</v>
      </c>
      <c r="L6" s="134">
        <f t="shared" si="0"/>
        <v>0</v>
      </c>
      <c r="M6" s="134">
        <f t="shared" si="0"/>
        <v>93.333333333333329</v>
      </c>
      <c r="N6" s="134">
        <f>K6+L6+M6</f>
        <v>93.333333333333329</v>
      </c>
      <c r="O6" s="133"/>
      <c r="P6" s="134"/>
      <c r="Q6" s="134">
        <v>48.1</v>
      </c>
      <c r="R6" s="135">
        <f>O6+P6+Q6</f>
        <v>48.1</v>
      </c>
      <c r="S6" s="140">
        <v>4</v>
      </c>
      <c r="T6" s="308"/>
      <c r="U6" s="296"/>
      <c r="V6" s="139" t="s">
        <v>469</v>
      </c>
      <c r="W6" s="140" t="s">
        <v>20</v>
      </c>
      <c r="X6" s="140" t="s">
        <v>12</v>
      </c>
      <c r="Y6" s="141">
        <v>48.1</v>
      </c>
      <c r="AD6" s="139"/>
      <c r="AG6" s="141"/>
      <c r="AL6" s="139"/>
      <c r="AO6" s="141"/>
      <c r="AP6" s="139"/>
      <c r="AS6" s="141"/>
      <c r="AW6" s="141"/>
      <c r="BA6" s="142"/>
    </row>
    <row r="7" spans="1:53" s="140" customFormat="1" x14ac:dyDescent="0.15">
      <c r="A7" s="146">
        <v>1959</v>
      </c>
      <c r="B7" s="296"/>
      <c r="C7" s="416" t="s">
        <v>585</v>
      </c>
      <c r="D7" s="416"/>
      <c r="E7" s="140">
        <v>365</v>
      </c>
      <c r="G7" s="148"/>
      <c r="I7" s="140">
        <v>14</v>
      </c>
      <c r="J7" s="154">
        <v>15</v>
      </c>
      <c r="K7" s="134">
        <f t="shared" si="0"/>
        <v>0</v>
      </c>
      <c r="L7" s="134">
        <f t="shared" si="0"/>
        <v>0</v>
      </c>
      <c r="M7" s="134">
        <f t="shared" si="0"/>
        <v>93.333333333333329</v>
      </c>
      <c r="N7" s="134">
        <f>K7+L7+M7</f>
        <v>93.333333333333329</v>
      </c>
      <c r="O7" s="133"/>
      <c r="P7" s="134"/>
      <c r="Q7" s="134">
        <v>48.1</v>
      </c>
      <c r="R7" s="135">
        <f>O7+P7+Q7</f>
        <v>48.1</v>
      </c>
      <c r="S7" s="140">
        <v>4</v>
      </c>
      <c r="T7" s="308"/>
      <c r="U7" s="296"/>
      <c r="V7" s="139" t="s">
        <v>469</v>
      </c>
      <c r="W7" s="140" t="s">
        <v>20</v>
      </c>
      <c r="X7" s="140" t="s">
        <v>12</v>
      </c>
      <c r="Y7" s="141">
        <v>48.1</v>
      </c>
      <c r="AD7" s="139"/>
      <c r="AG7" s="141"/>
      <c r="AL7" s="139"/>
      <c r="AO7" s="141"/>
      <c r="AP7" s="139"/>
      <c r="AS7" s="141"/>
      <c r="AW7" s="141"/>
      <c r="BA7" s="142"/>
    </row>
    <row r="8" spans="1:53" s="29" customFormat="1" x14ac:dyDescent="0.15">
      <c r="A8" s="52">
        <v>1960</v>
      </c>
      <c r="B8" s="295"/>
      <c r="C8" s="411" t="s">
        <v>585</v>
      </c>
      <c r="D8" s="411"/>
      <c r="E8" s="29">
        <v>274</v>
      </c>
      <c r="G8" s="66"/>
      <c r="I8" s="29">
        <v>14</v>
      </c>
      <c r="J8" s="73">
        <v>15</v>
      </c>
      <c r="K8" s="47">
        <f>G8/$J8*100</f>
        <v>0</v>
      </c>
      <c r="L8" s="47">
        <f t="shared" ref="L8:M23" si="1">H8/$J8*100</f>
        <v>0</v>
      </c>
      <c r="M8" s="47">
        <f t="shared" si="1"/>
        <v>93.333333333333329</v>
      </c>
      <c r="N8" s="47">
        <f>K8+L8+M8</f>
        <v>93.333333333333329</v>
      </c>
      <c r="O8" s="46"/>
      <c r="P8" s="47"/>
      <c r="Q8" s="47">
        <v>48.1</v>
      </c>
      <c r="R8" s="48">
        <f>O8+P8+Q8</f>
        <v>48.1</v>
      </c>
      <c r="S8" s="29">
        <v>4</v>
      </c>
      <c r="T8" s="286"/>
      <c r="U8" s="295"/>
      <c r="V8" s="38" t="s">
        <v>469</v>
      </c>
      <c r="W8" s="29" t="s">
        <v>20</v>
      </c>
      <c r="X8" s="29" t="s">
        <v>12</v>
      </c>
      <c r="Y8" s="39">
        <v>48.1</v>
      </c>
      <c r="AD8" s="38"/>
      <c r="AG8" s="39"/>
      <c r="AL8" s="38"/>
      <c r="AO8" s="39"/>
      <c r="AP8" s="38"/>
      <c r="AS8" s="39"/>
      <c r="AW8" s="39"/>
      <c r="BA8" s="40"/>
    </row>
    <row r="9" spans="1:53" s="171" customFormat="1" x14ac:dyDescent="0.15">
      <c r="A9" s="216">
        <v>1960</v>
      </c>
      <c r="B9" s="283">
        <v>22190</v>
      </c>
      <c r="C9" s="410" t="s">
        <v>586</v>
      </c>
      <c r="D9" s="410"/>
      <c r="E9" s="171">
        <f>366-E8</f>
        <v>92</v>
      </c>
      <c r="F9" s="171">
        <v>1</v>
      </c>
      <c r="G9" s="233"/>
      <c r="I9" s="171">
        <v>13</v>
      </c>
      <c r="J9" s="241">
        <v>14</v>
      </c>
      <c r="K9" s="214">
        <f t="shared" ref="K9:M59" si="2">G9/$J9*100</f>
        <v>0</v>
      </c>
      <c r="L9" s="214">
        <f t="shared" si="1"/>
        <v>0</v>
      </c>
      <c r="M9" s="214">
        <f t="shared" si="1"/>
        <v>92.857142857142861</v>
      </c>
      <c r="N9" s="214">
        <f t="shared" ref="N9:N72" si="3">K9+L9+M9</f>
        <v>92.857142857142861</v>
      </c>
      <c r="O9" s="213"/>
      <c r="P9" s="214"/>
      <c r="Q9" s="214">
        <v>49.1</v>
      </c>
      <c r="R9" s="215">
        <f>O9+P9+Q9</f>
        <v>49.1</v>
      </c>
      <c r="S9" s="171">
        <v>4</v>
      </c>
      <c r="T9" s="285">
        <v>22177</v>
      </c>
      <c r="U9" s="283">
        <v>22190</v>
      </c>
      <c r="V9" s="178" t="s">
        <v>469</v>
      </c>
      <c r="W9" s="171" t="s">
        <v>20</v>
      </c>
      <c r="X9" s="171" t="s">
        <v>12</v>
      </c>
      <c r="Y9" s="179">
        <v>49.1</v>
      </c>
      <c r="AD9" s="178"/>
      <c r="AG9" s="179"/>
      <c r="AL9" s="178"/>
      <c r="AO9" s="179"/>
      <c r="AP9" s="178"/>
      <c r="AS9" s="179"/>
      <c r="AW9" s="179"/>
      <c r="BA9" s="180"/>
    </row>
    <row r="10" spans="1:53" s="171" customFormat="1" x14ac:dyDescent="0.15">
      <c r="A10" s="216">
        <v>1961</v>
      </c>
      <c r="B10" s="283"/>
      <c r="C10" s="410" t="s">
        <v>586</v>
      </c>
      <c r="D10" s="410"/>
      <c r="E10" s="171">
        <v>0</v>
      </c>
      <c r="G10" s="233"/>
      <c r="I10" s="171">
        <v>13</v>
      </c>
      <c r="J10" s="241">
        <v>14</v>
      </c>
      <c r="K10" s="214">
        <f t="shared" si="2"/>
        <v>0</v>
      </c>
      <c r="L10" s="214">
        <f t="shared" si="1"/>
        <v>0</v>
      </c>
      <c r="M10" s="214">
        <f t="shared" si="1"/>
        <v>92.857142857142861</v>
      </c>
      <c r="N10" s="214">
        <f t="shared" si="3"/>
        <v>92.857142857142861</v>
      </c>
      <c r="O10" s="213"/>
      <c r="P10" s="214"/>
      <c r="Q10" s="214">
        <v>49.1</v>
      </c>
      <c r="R10" s="215">
        <f t="shared" ref="R10:R73" si="4">O10+P10+Q10</f>
        <v>49.1</v>
      </c>
      <c r="S10" s="171">
        <v>4</v>
      </c>
      <c r="T10" s="285"/>
      <c r="U10" s="283"/>
      <c r="V10" s="178" t="s">
        <v>469</v>
      </c>
      <c r="W10" s="171" t="s">
        <v>20</v>
      </c>
      <c r="X10" s="171" t="s">
        <v>12</v>
      </c>
      <c r="Y10" s="179">
        <v>49.1</v>
      </c>
      <c r="AD10" s="178"/>
      <c r="AG10" s="179"/>
      <c r="AL10" s="178"/>
      <c r="AO10" s="179"/>
      <c r="AP10" s="178"/>
      <c r="AS10" s="179"/>
      <c r="AW10" s="179"/>
      <c r="BA10" s="180"/>
    </row>
    <row r="11" spans="1:53" s="171" customFormat="1" x14ac:dyDescent="0.15">
      <c r="A11" s="216">
        <v>1961</v>
      </c>
      <c r="B11" s="283"/>
      <c r="C11" s="410" t="s">
        <v>586</v>
      </c>
      <c r="D11" s="410"/>
      <c r="E11" s="171">
        <v>365</v>
      </c>
      <c r="G11" s="233"/>
      <c r="I11" s="171">
        <v>13</v>
      </c>
      <c r="J11" s="241">
        <v>14</v>
      </c>
      <c r="K11" s="214">
        <f t="shared" si="2"/>
        <v>0</v>
      </c>
      <c r="L11" s="214">
        <f t="shared" si="1"/>
        <v>0</v>
      </c>
      <c r="M11" s="214">
        <f t="shared" si="1"/>
        <v>92.857142857142861</v>
      </c>
      <c r="N11" s="214">
        <f t="shared" si="3"/>
        <v>92.857142857142861</v>
      </c>
      <c r="O11" s="213"/>
      <c r="P11" s="214"/>
      <c r="Q11" s="214">
        <v>49.1</v>
      </c>
      <c r="R11" s="215">
        <f t="shared" si="4"/>
        <v>49.1</v>
      </c>
      <c r="S11" s="171">
        <v>4</v>
      </c>
      <c r="T11" s="285"/>
      <c r="U11" s="283"/>
      <c r="V11" s="178" t="s">
        <v>469</v>
      </c>
      <c r="W11" s="171" t="s">
        <v>20</v>
      </c>
      <c r="X11" s="171" t="s">
        <v>12</v>
      </c>
      <c r="Y11" s="179">
        <v>49.1</v>
      </c>
      <c r="AD11" s="178"/>
      <c r="AG11" s="179"/>
      <c r="AL11" s="178"/>
      <c r="AO11" s="179"/>
      <c r="AP11" s="178"/>
      <c r="AS11" s="179"/>
      <c r="AW11" s="179"/>
      <c r="BA11" s="180"/>
    </row>
    <row r="12" spans="1:53" s="171" customFormat="1" x14ac:dyDescent="0.15">
      <c r="A12" s="216">
        <v>1962</v>
      </c>
      <c r="B12" s="283"/>
      <c r="C12" s="410" t="s">
        <v>586</v>
      </c>
      <c r="D12" s="410"/>
      <c r="E12" s="171">
        <v>0</v>
      </c>
      <c r="G12" s="233"/>
      <c r="I12" s="171">
        <v>13</v>
      </c>
      <c r="J12" s="241">
        <v>14</v>
      </c>
      <c r="K12" s="214">
        <f t="shared" si="2"/>
        <v>0</v>
      </c>
      <c r="L12" s="214">
        <f t="shared" si="1"/>
        <v>0</v>
      </c>
      <c r="M12" s="214">
        <f t="shared" si="1"/>
        <v>92.857142857142861</v>
      </c>
      <c r="N12" s="214">
        <f t="shared" si="3"/>
        <v>92.857142857142861</v>
      </c>
      <c r="O12" s="213"/>
      <c r="P12" s="214"/>
      <c r="Q12" s="214">
        <v>49.1</v>
      </c>
      <c r="R12" s="215">
        <f t="shared" si="4"/>
        <v>49.1</v>
      </c>
      <c r="S12" s="171">
        <v>4</v>
      </c>
      <c r="T12" s="285"/>
      <c r="U12" s="283"/>
      <c r="V12" s="178" t="s">
        <v>469</v>
      </c>
      <c r="W12" s="171" t="s">
        <v>20</v>
      </c>
      <c r="X12" s="171" t="s">
        <v>12</v>
      </c>
      <c r="Y12" s="179">
        <v>49.1</v>
      </c>
      <c r="AD12" s="178"/>
      <c r="AG12" s="179"/>
      <c r="AL12" s="178"/>
      <c r="AO12" s="179"/>
      <c r="AP12" s="178"/>
      <c r="AS12" s="179"/>
      <c r="AW12" s="179"/>
      <c r="BA12" s="180"/>
    </row>
    <row r="13" spans="1:53" s="171" customFormat="1" x14ac:dyDescent="0.15">
      <c r="A13" s="216">
        <v>1962</v>
      </c>
      <c r="B13" s="283"/>
      <c r="C13" s="410" t="s">
        <v>586</v>
      </c>
      <c r="D13" s="410"/>
      <c r="E13" s="171">
        <v>365</v>
      </c>
      <c r="G13" s="233"/>
      <c r="I13" s="171">
        <v>13</v>
      </c>
      <c r="J13" s="241">
        <v>14</v>
      </c>
      <c r="K13" s="214">
        <f t="shared" si="2"/>
        <v>0</v>
      </c>
      <c r="L13" s="214">
        <f t="shared" si="1"/>
        <v>0</v>
      </c>
      <c r="M13" s="214">
        <f t="shared" si="1"/>
        <v>92.857142857142861</v>
      </c>
      <c r="N13" s="214">
        <f t="shared" si="3"/>
        <v>92.857142857142861</v>
      </c>
      <c r="O13" s="213"/>
      <c r="P13" s="214"/>
      <c r="Q13" s="214">
        <v>49.1</v>
      </c>
      <c r="R13" s="215">
        <f t="shared" si="4"/>
        <v>49.1</v>
      </c>
      <c r="S13" s="171">
        <v>4</v>
      </c>
      <c r="T13" s="285"/>
      <c r="U13" s="283"/>
      <c r="V13" s="178" t="s">
        <v>469</v>
      </c>
      <c r="W13" s="171" t="s">
        <v>20</v>
      </c>
      <c r="X13" s="171" t="s">
        <v>12</v>
      </c>
      <c r="Y13" s="179">
        <v>49.1</v>
      </c>
      <c r="AD13" s="178"/>
      <c r="AG13" s="179"/>
      <c r="AL13" s="178"/>
      <c r="AO13" s="179"/>
      <c r="AP13" s="178"/>
      <c r="AS13" s="179"/>
      <c r="AW13" s="179"/>
      <c r="BA13" s="180"/>
    </row>
    <row r="14" spans="1:53" s="171" customFormat="1" x14ac:dyDescent="0.15">
      <c r="A14" s="216">
        <v>1962.6</v>
      </c>
      <c r="B14" s="283"/>
      <c r="C14" s="410" t="s">
        <v>586</v>
      </c>
      <c r="D14" s="410"/>
      <c r="E14" s="171">
        <v>0</v>
      </c>
      <c r="G14" s="233"/>
      <c r="I14" s="171">
        <v>13</v>
      </c>
      <c r="J14" s="241">
        <v>14</v>
      </c>
      <c r="K14" s="214">
        <f t="shared" si="2"/>
        <v>0</v>
      </c>
      <c r="L14" s="214">
        <f t="shared" si="1"/>
        <v>0</v>
      </c>
      <c r="M14" s="214">
        <f t="shared" si="1"/>
        <v>92.857142857142861</v>
      </c>
      <c r="N14" s="214">
        <f t="shared" si="3"/>
        <v>92.857142857142861</v>
      </c>
      <c r="O14" s="213"/>
      <c r="P14" s="214"/>
      <c r="Q14" s="214">
        <v>49.1</v>
      </c>
      <c r="R14" s="215">
        <f t="shared" si="4"/>
        <v>49.1</v>
      </c>
      <c r="S14" s="171">
        <v>4</v>
      </c>
      <c r="T14" s="285"/>
      <c r="U14" s="283"/>
      <c r="V14" s="178" t="s">
        <v>469</v>
      </c>
      <c r="W14" s="171" t="s">
        <v>20</v>
      </c>
      <c r="X14" s="171" t="s">
        <v>12</v>
      </c>
      <c r="Y14" s="179">
        <v>49.1</v>
      </c>
      <c r="AD14" s="178"/>
      <c r="AG14" s="179"/>
      <c r="AL14" s="178"/>
      <c r="AO14" s="179"/>
      <c r="AP14" s="178"/>
      <c r="AS14" s="179"/>
      <c r="AW14" s="179"/>
      <c r="BA14" s="180"/>
    </row>
    <row r="15" spans="1:53" s="171" customFormat="1" x14ac:dyDescent="0.15">
      <c r="A15" s="216">
        <v>1963.05714285714</v>
      </c>
      <c r="B15" s="283"/>
      <c r="C15" s="410" t="s">
        <v>586</v>
      </c>
      <c r="D15" s="410"/>
      <c r="E15" s="171">
        <v>365</v>
      </c>
      <c r="G15" s="233"/>
      <c r="I15" s="171">
        <v>13</v>
      </c>
      <c r="J15" s="241">
        <v>14</v>
      </c>
      <c r="K15" s="214">
        <f t="shared" si="2"/>
        <v>0</v>
      </c>
      <c r="L15" s="214">
        <f t="shared" si="1"/>
        <v>0</v>
      </c>
      <c r="M15" s="214">
        <f t="shared" si="1"/>
        <v>92.857142857142861</v>
      </c>
      <c r="N15" s="214">
        <f t="shared" si="3"/>
        <v>92.857142857142861</v>
      </c>
      <c r="O15" s="213"/>
      <c r="P15" s="214"/>
      <c r="Q15" s="214">
        <v>49.1</v>
      </c>
      <c r="R15" s="215">
        <f t="shared" si="4"/>
        <v>49.1</v>
      </c>
      <c r="S15" s="171">
        <v>4</v>
      </c>
      <c r="T15" s="285"/>
      <c r="U15" s="283"/>
      <c r="V15" s="178" t="s">
        <v>469</v>
      </c>
      <c r="W15" s="171" t="s">
        <v>20</v>
      </c>
      <c r="X15" s="171" t="s">
        <v>12</v>
      </c>
      <c r="Y15" s="179">
        <v>49.1</v>
      </c>
      <c r="AD15" s="178"/>
      <c r="AG15" s="179"/>
      <c r="AL15" s="178"/>
      <c r="AO15" s="179"/>
      <c r="AP15" s="178"/>
      <c r="AS15" s="179"/>
      <c r="AW15" s="179"/>
      <c r="BA15" s="180"/>
    </row>
    <row r="16" spans="1:53" s="171" customFormat="1" x14ac:dyDescent="0.15">
      <c r="A16" s="216">
        <v>1963.5142857142901</v>
      </c>
      <c r="B16" s="283"/>
      <c r="C16" s="410" t="s">
        <v>586</v>
      </c>
      <c r="D16" s="410"/>
      <c r="E16" s="171">
        <v>277</v>
      </c>
      <c r="G16" s="233"/>
      <c r="I16" s="171">
        <v>13</v>
      </c>
      <c r="J16" s="241">
        <v>14</v>
      </c>
      <c r="K16" s="214">
        <f t="shared" si="2"/>
        <v>0</v>
      </c>
      <c r="L16" s="214">
        <f t="shared" si="1"/>
        <v>0</v>
      </c>
      <c r="M16" s="214">
        <f t="shared" si="1"/>
        <v>92.857142857142861</v>
      </c>
      <c r="N16" s="214">
        <f t="shared" si="3"/>
        <v>92.857142857142861</v>
      </c>
      <c r="O16" s="213"/>
      <c r="P16" s="214"/>
      <c r="Q16" s="214">
        <v>49.1</v>
      </c>
      <c r="R16" s="215">
        <f t="shared" si="4"/>
        <v>49.1</v>
      </c>
      <c r="S16" s="171">
        <v>4</v>
      </c>
      <c r="T16" s="285"/>
      <c r="U16" s="283"/>
      <c r="V16" s="178" t="s">
        <v>469</v>
      </c>
      <c r="W16" s="171" t="s">
        <v>20</v>
      </c>
      <c r="X16" s="171" t="s">
        <v>12</v>
      </c>
      <c r="Y16" s="179">
        <v>49.1</v>
      </c>
      <c r="AD16" s="178"/>
      <c r="AG16" s="179"/>
      <c r="AL16" s="178"/>
      <c r="AO16" s="179"/>
      <c r="AP16" s="178"/>
      <c r="AS16" s="179"/>
      <c r="AW16" s="179"/>
      <c r="BA16" s="180"/>
    </row>
    <row r="17" spans="1:53" s="29" customFormat="1" x14ac:dyDescent="0.15">
      <c r="A17" s="52">
        <v>1963.9714285714299</v>
      </c>
      <c r="B17" s="295">
        <v>23654</v>
      </c>
      <c r="C17" s="411" t="s">
        <v>587</v>
      </c>
      <c r="D17" s="411"/>
      <c r="E17" s="29">
        <f>366-E16</f>
        <v>89</v>
      </c>
      <c r="F17" s="29">
        <v>1</v>
      </c>
      <c r="G17" s="66"/>
      <c r="I17" s="29">
        <v>16</v>
      </c>
      <c r="J17" s="73">
        <v>16</v>
      </c>
      <c r="K17" s="47">
        <f t="shared" si="2"/>
        <v>0</v>
      </c>
      <c r="L17" s="47">
        <f t="shared" si="1"/>
        <v>0</v>
      </c>
      <c r="M17" s="47">
        <f t="shared" si="1"/>
        <v>100</v>
      </c>
      <c r="N17" s="47">
        <f t="shared" si="3"/>
        <v>100</v>
      </c>
      <c r="O17" s="46"/>
      <c r="P17" s="47"/>
      <c r="Q17" s="47">
        <v>48.5</v>
      </c>
      <c r="R17" s="48">
        <f t="shared" si="4"/>
        <v>48.5</v>
      </c>
      <c r="S17" s="29">
        <v>4</v>
      </c>
      <c r="T17" s="286">
        <v>23640</v>
      </c>
      <c r="U17" s="295">
        <v>23654</v>
      </c>
      <c r="V17" s="38" t="s">
        <v>469</v>
      </c>
      <c r="W17" s="29" t="s">
        <v>20</v>
      </c>
      <c r="X17" s="29" t="s">
        <v>12</v>
      </c>
      <c r="Y17" s="39">
        <v>48.5</v>
      </c>
      <c r="AD17" s="38"/>
      <c r="AG17" s="39"/>
      <c r="AL17" s="38"/>
      <c r="AO17" s="39"/>
      <c r="AP17" s="38"/>
      <c r="AS17" s="39"/>
      <c r="AW17" s="39"/>
      <c r="BA17" s="40"/>
    </row>
    <row r="18" spans="1:53" s="29" customFormat="1" x14ac:dyDescent="0.15">
      <c r="A18" s="52">
        <v>1965</v>
      </c>
      <c r="B18" s="295"/>
      <c r="C18" s="411" t="s">
        <v>587</v>
      </c>
      <c r="D18" s="411"/>
      <c r="E18" s="29">
        <v>0</v>
      </c>
      <c r="G18" s="66"/>
      <c r="I18" s="29">
        <v>16</v>
      </c>
      <c r="J18" s="73">
        <v>16</v>
      </c>
      <c r="K18" s="47">
        <f t="shared" si="2"/>
        <v>0</v>
      </c>
      <c r="L18" s="47">
        <f t="shared" si="1"/>
        <v>0</v>
      </c>
      <c r="M18" s="47">
        <f t="shared" si="1"/>
        <v>100</v>
      </c>
      <c r="N18" s="47">
        <f t="shared" si="3"/>
        <v>100</v>
      </c>
      <c r="O18" s="46"/>
      <c r="P18" s="47"/>
      <c r="Q18" s="47">
        <v>48.5</v>
      </c>
      <c r="R18" s="48">
        <f t="shared" si="4"/>
        <v>48.5</v>
      </c>
      <c r="S18" s="29">
        <v>4</v>
      </c>
      <c r="T18" s="286"/>
      <c r="U18" s="295"/>
      <c r="V18" s="38" t="s">
        <v>469</v>
      </c>
      <c r="W18" s="29" t="s">
        <v>20</v>
      </c>
      <c r="X18" s="29" t="s">
        <v>12</v>
      </c>
      <c r="Y18" s="39">
        <v>48.5</v>
      </c>
      <c r="AD18" s="38"/>
      <c r="AG18" s="39"/>
      <c r="AL18" s="38"/>
      <c r="AO18" s="39"/>
      <c r="AP18" s="38"/>
      <c r="AS18" s="39"/>
      <c r="AW18" s="39"/>
      <c r="BA18" s="40"/>
    </row>
    <row r="19" spans="1:53" s="29" customFormat="1" x14ac:dyDescent="0.15">
      <c r="A19" s="52">
        <v>1964.88571428572</v>
      </c>
      <c r="B19" s="295"/>
      <c r="C19" s="411" t="s">
        <v>587</v>
      </c>
      <c r="D19" s="411"/>
      <c r="E19" s="29">
        <v>365</v>
      </c>
      <c r="G19" s="66"/>
      <c r="I19" s="29">
        <v>16</v>
      </c>
      <c r="J19" s="73">
        <v>16</v>
      </c>
      <c r="K19" s="47">
        <f t="shared" si="2"/>
        <v>0</v>
      </c>
      <c r="L19" s="47">
        <f t="shared" si="1"/>
        <v>0</v>
      </c>
      <c r="M19" s="47">
        <f t="shared" si="1"/>
        <v>100</v>
      </c>
      <c r="N19" s="47">
        <f t="shared" si="3"/>
        <v>100</v>
      </c>
      <c r="O19" s="46"/>
      <c r="P19" s="47"/>
      <c r="Q19" s="47">
        <v>48.5</v>
      </c>
      <c r="R19" s="48">
        <f t="shared" si="4"/>
        <v>48.5</v>
      </c>
      <c r="S19" s="29">
        <v>4</v>
      </c>
      <c r="T19" s="286"/>
      <c r="U19" s="295"/>
      <c r="V19" s="38" t="s">
        <v>469</v>
      </c>
      <c r="W19" s="29" t="s">
        <v>20</v>
      </c>
      <c r="X19" s="29" t="s">
        <v>12</v>
      </c>
      <c r="Y19" s="39">
        <v>48.5</v>
      </c>
      <c r="AD19" s="38"/>
      <c r="AG19" s="39"/>
      <c r="AL19" s="38"/>
      <c r="AO19" s="39"/>
      <c r="AP19" s="38"/>
      <c r="AS19" s="39"/>
      <c r="AW19" s="39"/>
      <c r="BA19" s="40"/>
    </row>
    <row r="20" spans="1:53" s="29" customFormat="1" x14ac:dyDescent="0.15">
      <c r="A20" s="52">
        <v>1966</v>
      </c>
      <c r="B20" s="295"/>
      <c r="C20" s="411" t="s">
        <v>587</v>
      </c>
      <c r="D20" s="411"/>
      <c r="E20" s="29">
        <v>0</v>
      </c>
      <c r="G20" s="66"/>
      <c r="I20" s="29">
        <v>16</v>
      </c>
      <c r="J20" s="73">
        <v>16</v>
      </c>
      <c r="K20" s="47">
        <f t="shared" si="2"/>
        <v>0</v>
      </c>
      <c r="L20" s="47">
        <f t="shared" si="1"/>
        <v>0</v>
      </c>
      <c r="M20" s="47">
        <f t="shared" si="1"/>
        <v>100</v>
      </c>
      <c r="N20" s="47">
        <f t="shared" si="3"/>
        <v>100</v>
      </c>
      <c r="O20" s="46"/>
      <c r="P20" s="47"/>
      <c r="Q20" s="47">
        <v>48.5</v>
      </c>
      <c r="R20" s="48">
        <f t="shared" si="4"/>
        <v>48.5</v>
      </c>
      <c r="S20" s="29">
        <v>4</v>
      </c>
      <c r="T20" s="286"/>
      <c r="U20" s="295"/>
      <c r="V20" s="38" t="s">
        <v>469</v>
      </c>
      <c r="W20" s="29" t="s">
        <v>20</v>
      </c>
      <c r="X20" s="29" t="s">
        <v>12</v>
      </c>
      <c r="Y20" s="39">
        <v>48.5</v>
      </c>
      <c r="AD20" s="38"/>
      <c r="AG20" s="39"/>
      <c r="AL20" s="38"/>
      <c r="AO20" s="39"/>
      <c r="AP20" s="38"/>
      <c r="AS20" s="39"/>
      <c r="AW20" s="39"/>
      <c r="BA20" s="40"/>
    </row>
    <row r="21" spans="1:53" s="29" customFormat="1" x14ac:dyDescent="0.15">
      <c r="A21" s="52">
        <v>1965.8</v>
      </c>
      <c r="B21" s="295"/>
      <c r="C21" s="411" t="s">
        <v>587</v>
      </c>
      <c r="D21" s="411"/>
      <c r="E21" s="29">
        <v>365</v>
      </c>
      <c r="G21" s="66"/>
      <c r="I21" s="29">
        <v>16</v>
      </c>
      <c r="J21" s="73">
        <v>16</v>
      </c>
      <c r="K21" s="47">
        <f t="shared" si="2"/>
        <v>0</v>
      </c>
      <c r="L21" s="47">
        <f t="shared" si="1"/>
        <v>0</v>
      </c>
      <c r="M21" s="47">
        <f t="shared" si="1"/>
        <v>100</v>
      </c>
      <c r="N21" s="47">
        <f t="shared" si="3"/>
        <v>100</v>
      </c>
      <c r="O21" s="46"/>
      <c r="P21" s="47"/>
      <c r="Q21" s="47">
        <v>48.5</v>
      </c>
      <c r="R21" s="48">
        <f t="shared" si="4"/>
        <v>48.5</v>
      </c>
      <c r="S21" s="29">
        <v>4</v>
      </c>
      <c r="T21" s="286"/>
      <c r="U21" s="295"/>
      <c r="V21" s="38" t="s">
        <v>469</v>
      </c>
      <c r="W21" s="29" t="s">
        <v>20</v>
      </c>
      <c r="X21" s="29" t="s">
        <v>12</v>
      </c>
      <c r="Y21" s="39">
        <v>48.5</v>
      </c>
      <c r="AD21" s="38"/>
      <c r="AG21" s="39"/>
      <c r="AL21" s="38"/>
      <c r="AO21" s="39"/>
      <c r="AP21" s="38"/>
      <c r="AS21" s="39"/>
      <c r="AW21" s="39"/>
      <c r="BA21" s="40"/>
    </row>
    <row r="22" spans="1:53" s="29" customFormat="1" x14ac:dyDescent="0.15">
      <c r="A22" s="52">
        <v>1967</v>
      </c>
      <c r="B22" s="295"/>
      <c r="C22" s="411" t="s">
        <v>587</v>
      </c>
      <c r="D22" s="411"/>
      <c r="E22" s="29">
        <v>0</v>
      </c>
      <c r="G22" s="66"/>
      <c r="I22" s="29">
        <v>16</v>
      </c>
      <c r="J22" s="73">
        <v>16</v>
      </c>
      <c r="K22" s="47">
        <f t="shared" si="2"/>
        <v>0</v>
      </c>
      <c r="L22" s="47">
        <f t="shared" si="1"/>
        <v>0</v>
      </c>
      <c r="M22" s="47">
        <f t="shared" si="1"/>
        <v>100</v>
      </c>
      <c r="N22" s="47">
        <f t="shared" si="3"/>
        <v>100</v>
      </c>
      <c r="O22" s="46"/>
      <c r="P22" s="47"/>
      <c r="Q22" s="47">
        <v>48.5</v>
      </c>
      <c r="R22" s="48">
        <f t="shared" si="4"/>
        <v>48.5</v>
      </c>
      <c r="S22" s="29">
        <v>4</v>
      </c>
      <c r="T22" s="286"/>
      <c r="U22" s="295"/>
      <c r="V22" s="38" t="s">
        <v>469</v>
      </c>
      <c r="W22" s="29" t="s">
        <v>20</v>
      </c>
      <c r="X22" s="29" t="s">
        <v>12</v>
      </c>
      <c r="Y22" s="39">
        <v>48.5</v>
      </c>
      <c r="AD22" s="38"/>
      <c r="AG22" s="39"/>
      <c r="AL22" s="38"/>
      <c r="AO22" s="39"/>
      <c r="AP22" s="38"/>
      <c r="AS22" s="39"/>
      <c r="AW22" s="39"/>
      <c r="BA22" s="40"/>
    </row>
    <row r="23" spans="1:53" s="29" customFormat="1" x14ac:dyDescent="0.15">
      <c r="A23" s="52">
        <v>1966.7142857142901</v>
      </c>
      <c r="B23" s="295"/>
      <c r="C23" s="411" t="s">
        <v>587</v>
      </c>
      <c r="D23" s="411"/>
      <c r="E23" s="29">
        <v>365</v>
      </c>
      <c r="G23" s="66"/>
      <c r="I23" s="29">
        <v>16</v>
      </c>
      <c r="J23" s="73">
        <v>16</v>
      </c>
      <c r="K23" s="47">
        <f t="shared" si="2"/>
        <v>0</v>
      </c>
      <c r="L23" s="47">
        <f t="shared" si="1"/>
        <v>0</v>
      </c>
      <c r="M23" s="47">
        <f t="shared" si="1"/>
        <v>100</v>
      </c>
      <c r="N23" s="47">
        <f t="shared" si="3"/>
        <v>100</v>
      </c>
      <c r="O23" s="46"/>
      <c r="P23" s="47"/>
      <c r="Q23" s="47">
        <v>48.5</v>
      </c>
      <c r="R23" s="48">
        <f t="shared" si="4"/>
        <v>48.5</v>
      </c>
      <c r="S23" s="29">
        <v>4</v>
      </c>
      <c r="T23" s="286"/>
      <c r="U23" s="295"/>
      <c r="V23" s="38" t="s">
        <v>469</v>
      </c>
      <c r="W23" s="29" t="s">
        <v>20</v>
      </c>
      <c r="X23" s="29" t="s">
        <v>12</v>
      </c>
      <c r="Y23" s="39">
        <v>48.5</v>
      </c>
      <c r="AD23" s="38"/>
      <c r="AG23" s="39"/>
      <c r="AL23" s="38"/>
      <c r="AO23" s="39"/>
      <c r="AP23" s="38"/>
      <c r="AS23" s="39"/>
      <c r="AW23" s="39"/>
      <c r="BA23" s="40"/>
    </row>
    <row r="24" spans="1:53" s="29" customFormat="1" x14ac:dyDescent="0.15">
      <c r="A24" s="52">
        <v>1968</v>
      </c>
      <c r="B24" s="295"/>
      <c r="C24" s="411" t="s">
        <v>587</v>
      </c>
      <c r="D24" s="411"/>
      <c r="E24" s="29">
        <v>272</v>
      </c>
      <c r="G24" s="66"/>
      <c r="I24" s="29">
        <v>16</v>
      </c>
      <c r="J24" s="73">
        <v>16</v>
      </c>
      <c r="K24" s="47">
        <f t="shared" si="2"/>
        <v>0</v>
      </c>
      <c r="L24" s="47">
        <f t="shared" si="2"/>
        <v>0</v>
      </c>
      <c r="M24" s="47">
        <f t="shared" si="2"/>
        <v>100</v>
      </c>
      <c r="N24" s="47">
        <f t="shared" si="3"/>
        <v>100</v>
      </c>
      <c r="O24" s="46"/>
      <c r="P24" s="47"/>
      <c r="Q24" s="47">
        <v>48.5</v>
      </c>
      <c r="R24" s="48">
        <f t="shared" si="4"/>
        <v>48.5</v>
      </c>
      <c r="S24" s="29">
        <v>4</v>
      </c>
      <c r="T24" s="286"/>
      <c r="U24" s="295"/>
      <c r="V24" s="38" t="s">
        <v>469</v>
      </c>
      <c r="W24" s="29" t="s">
        <v>20</v>
      </c>
      <c r="X24" s="29" t="s">
        <v>12</v>
      </c>
      <c r="Y24" s="39">
        <v>48.5</v>
      </c>
      <c r="AD24" s="38"/>
      <c r="AG24" s="39"/>
      <c r="AL24" s="38"/>
      <c r="AO24" s="39"/>
      <c r="AP24" s="38"/>
      <c r="AS24" s="39"/>
      <c r="AW24" s="39"/>
      <c r="BA24" s="40"/>
    </row>
    <row r="25" spans="1:53" s="171" customFormat="1" x14ac:dyDescent="0.15">
      <c r="A25" s="216">
        <v>1967.62857142857</v>
      </c>
      <c r="B25" s="283">
        <v>25110</v>
      </c>
      <c r="C25" s="410" t="s">
        <v>588</v>
      </c>
      <c r="D25" s="410"/>
      <c r="E25" s="171">
        <f>366-E24</f>
        <v>94</v>
      </c>
      <c r="F25" s="171">
        <v>1</v>
      </c>
      <c r="G25" s="233"/>
      <c r="I25" s="171">
        <v>17</v>
      </c>
      <c r="J25" s="241">
        <v>17</v>
      </c>
      <c r="K25" s="214">
        <f t="shared" si="2"/>
        <v>0</v>
      </c>
      <c r="L25" s="214">
        <f t="shared" si="2"/>
        <v>0</v>
      </c>
      <c r="M25" s="214">
        <f t="shared" si="2"/>
        <v>100</v>
      </c>
      <c r="N25" s="214">
        <f t="shared" si="3"/>
        <v>100</v>
      </c>
      <c r="O25" s="213"/>
      <c r="P25" s="214"/>
      <c r="Q25" s="214">
        <v>53.6</v>
      </c>
      <c r="R25" s="215">
        <f t="shared" si="4"/>
        <v>53.6</v>
      </c>
      <c r="S25" s="171">
        <v>1</v>
      </c>
      <c r="T25" s="285">
        <v>25096</v>
      </c>
      <c r="U25" s="283">
        <v>25110</v>
      </c>
      <c r="V25" s="178" t="s">
        <v>469</v>
      </c>
      <c r="W25" s="171" t="s">
        <v>20</v>
      </c>
      <c r="X25" s="171" t="s">
        <v>12</v>
      </c>
      <c r="Y25" s="179">
        <v>53.6</v>
      </c>
      <c r="AD25" s="178"/>
      <c r="AG25" s="179"/>
      <c r="AL25" s="178"/>
      <c r="AO25" s="179"/>
      <c r="AP25" s="178"/>
      <c r="AS25" s="179"/>
      <c r="AW25" s="179"/>
      <c r="BA25" s="180"/>
    </row>
    <row r="26" spans="1:53" s="171" customFormat="1" x14ac:dyDescent="0.15">
      <c r="A26" s="216">
        <v>1969</v>
      </c>
      <c r="B26" s="283"/>
      <c r="C26" s="410" t="s">
        <v>588</v>
      </c>
      <c r="D26" s="410"/>
      <c r="E26" s="171">
        <v>287</v>
      </c>
      <c r="G26" s="233"/>
      <c r="I26" s="171">
        <v>17</v>
      </c>
      <c r="J26" s="241">
        <v>17</v>
      </c>
      <c r="K26" s="214">
        <f t="shared" si="2"/>
        <v>0</v>
      </c>
      <c r="L26" s="214">
        <f t="shared" si="2"/>
        <v>0</v>
      </c>
      <c r="M26" s="214">
        <f t="shared" si="2"/>
        <v>100</v>
      </c>
      <c r="N26" s="214">
        <f t="shared" si="3"/>
        <v>100</v>
      </c>
      <c r="O26" s="213"/>
      <c r="P26" s="214"/>
      <c r="Q26" s="214">
        <v>53.6</v>
      </c>
      <c r="R26" s="215">
        <f t="shared" si="4"/>
        <v>53.6</v>
      </c>
      <c r="S26" s="171">
        <v>1</v>
      </c>
      <c r="T26" s="285"/>
      <c r="U26" s="283"/>
      <c r="V26" s="178" t="s">
        <v>469</v>
      </c>
      <c r="W26" s="171" t="s">
        <v>20</v>
      </c>
      <c r="X26" s="171" t="s">
        <v>12</v>
      </c>
      <c r="Y26" s="179">
        <v>53.6</v>
      </c>
      <c r="AD26" s="178"/>
      <c r="AG26" s="179"/>
      <c r="AL26" s="178"/>
      <c r="AO26" s="179"/>
      <c r="AP26" s="178"/>
      <c r="AS26" s="179"/>
      <c r="AW26" s="179"/>
      <c r="BA26" s="180"/>
    </row>
    <row r="27" spans="1:53" s="29" customFormat="1" x14ac:dyDescent="0.15">
      <c r="A27" s="52">
        <v>1968.5428571428599</v>
      </c>
      <c r="B27" s="295">
        <v>25491</v>
      </c>
      <c r="C27" s="411" t="s">
        <v>589</v>
      </c>
      <c r="D27" s="411"/>
      <c r="E27" s="29">
        <f>365-E26</f>
        <v>78</v>
      </c>
      <c r="F27" s="29">
        <v>2</v>
      </c>
      <c r="G27" s="66"/>
      <c r="I27" s="29">
        <v>19</v>
      </c>
      <c r="J27" s="73">
        <v>19</v>
      </c>
      <c r="K27" s="47">
        <f t="shared" si="2"/>
        <v>0</v>
      </c>
      <c r="L27" s="47">
        <f t="shared" si="2"/>
        <v>0</v>
      </c>
      <c r="M27" s="47">
        <f t="shared" si="2"/>
        <v>100</v>
      </c>
      <c r="N27" s="47">
        <f t="shared" si="3"/>
        <v>100</v>
      </c>
      <c r="O27" s="46"/>
      <c r="P27" s="47"/>
      <c r="Q27" s="47">
        <v>53.6</v>
      </c>
      <c r="R27" s="48">
        <f t="shared" si="4"/>
        <v>53.6</v>
      </c>
      <c r="S27" s="29">
        <v>1</v>
      </c>
      <c r="T27" s="286"/>
      <c r="U27" s="295">
        <v>25491</v>
      </c>
      <c r="V27" s="38" t="s">
        <v>469</v>
      </c>
      <c r="W27" s="29" t="s">
        <v>20</v>
      </c>
      <c r="X27" s="29" t="s">
        <v>12</v>
      </c>
      <c r="Y27" s="39">
        <v>53.6</v>
      </c>
      <c r="AD27" s="38"/>
      <c r="AG27" s="39"/>
      <c r="AL27" s="38"/>
      <c r="AO27" s="39"/>
      <c r="AP27" s="38"/>
      <c r="AS27" s="39"/>
      <c r="AW27" s="39"/>
      <c r="BA27" s="40"/>
    </row>
    <row r="28" spans="1:53" s="29" customFormat="1" x14ac:dyDescent="0.15">
      <c r="A28" s="52">
        <v>1970</v>
      </c>
      <c r="B28" s="295"/>
      <c r="C28" s="411" t="s">
        <v>589</v>
      </c>
      <c r="D28" s="411"/>
      <c r="E28" s="29">
        <v>271</v>
      </c>
      <c r="G28" s="66"/>
      <c r="I28" s="29">
        <v>19</v>
      </c>
      <c r="J28" s="73">
        <v>19</v>
      </c>
      <c r="K28" s="47">
        <f t="shared" si="2"/>
        <v>0</v>
      </c>
      <c r="L28" s="47">
        <f t="shared" si="2"/>
        <v>0</v>
      </c>
      <c r="M28" s="47">
        <f t="shared" si="2"/>
        <v>100</v>
      </c>
      <c r="N28" s="47">
        <f t="shared" si="3"/>
        <v>100</v>
      </c>
      <c r="O28" s="46"/>
      <c r="P28" s="47"/>
      <c r="Q28" s="47">
        <v>53.6</v>
      </c>
      <c r="R28" s="48">
        <f t="shared" si="4"/>
        <v>53.6</v>
      </c>
      <c r="S28" s="29">
        <v>1</v>
      </c>
      <c r="T28" s="286"/>
      <c r="U28" s="295"/>
      <c r="V28" s="38" t="s">
        <v>469</v>
      </c>
      <c r="W28" s="29" t="s">
        <v>20</v>
      </c>
      <c r="X28" s="29" t="s">
        <v>12</v>
      </c>
      <c r="Y28" s="39">
        <v>53.6</v>
      </c>
      <c r="AD28" s="38"/>
      <c r="AG28" s="39"/>
      <c r="AL28" s="38"/>
      <c r="AO28" s="39"/>
      <c r="AP28" s="38"/>
      <c r="AS28" s="39"/>
      <c r="AW28" s="39"/>
      <c r="BA28" s="40"/>
    </row>
    <row r="29" spans="1:53" s="171" customFormat="1" x14ac:dyDescent="0.15">
      <c r="A29" s="216">
        <v>1970</v>
      </c>
      <c r="B29" s="283">
        <v>25840</v>
      </c>
      <c r="C29" s="410" t="s">
        <v>590</v>
      </c>
      <c r="D29" s="410"/>
      <c r="E29" s="171">
        <f>365-E28</f>
        <v>94</v>
      </c>
      <c r="F29" s="171">
        <v>1</v>
      </c>
      <c r="G29" s="233"/>
      <c r="I29" s="171">
        <v>19</v>
      </c>
      <c r="J29" s="241">
        <v>19</v>
      </c>
      <c r="K29" s="214">
        <f t="shared" si="2"/>
        <v>0</v>
      </c>
      <c r="L29" s="214">
        <f t="shared" si="2"/>
        <v>0</v>
      </c>
      <c r="M29" s="214">
        <f t="shared" si="2"/>
        <v>100</v>
      </c>
      <c r="N29" s="214">
        <f t="shared" si="3"/>
        <v>100</v>
      </c>
      <c r="O29" s="213"/>
      <c r="P29" s="214"/>
      <c r="Q29" s="214">
        <v>46.6</v>
      </c>
      <c r="R29" s="215">
        <f t="shared" si="4"/>
        <v>46.6</v>
      </c>
      <c r="S29" s="171">
        <v>4</v>
      </c>
      <c r="T29" s="285">
        <v>25833</v>
      </c>
      <c r="U29" s="283">
        <v>25840</v>
      </c>
      <c r="V29" s="178" t="s">
        <v>469</v>
      </c>
      <c r="W29" s="171" t="s">
        <v>20</v>
      </c>
      <c r="X29" s="171" t="s">
        <v>12</v>
      </c>
      <c r="Y29" s="179">
        <v>46.6</v>
      </c>
      <c r="AD29" s="178"/>
      <c r="AG29" s="179"/>
      <c r="AL29" s="178"/>
      <c r="AO29" s="179"/>
      <c r="AP29" s="178"/>
      <c r="AS29" s="179"/>
      <c r="AW29" s="179"/>
      <c r="BA29" s="180"/>
    </row>
    <row r="30" spans="1:53" s="171" customFormat="1" x14ac:dyDescent="0.15">
      <c r="A30" s="216">
        <v>1971</v>
      </c>
      <c r="B30" s="283"/>
      <c r="C30" s="410" t="s">
        <v>590</v>
      </c>
      <c r="D30" s="410"/>
      <c r="E30" s="171">
        <v>0</v>
      </c>
      <c r="G30" s="233"/>
      <c r="I30" s="171">
        <v>19</v>
      </c>
      <c r="J30" s="241">
        <v>19</v>
      </c>
      <c r="K30" s="214">
        <f t="shared" si="2"/>
        <v>0</v>
      </c>
      <c r="L30" s="214">
        <f t="shared" si="2"/>
        <v>0</v>
      </c>
      <c r="M30" s="214">
        <f t="shared" si="2"/>
        <v>100</v>
      </c>
      <c r="N30" s="214">
        <f t="shared" si="3"/>
        <v>100</v>
      </c>
      <c r="O30" s="213"/>
      <c r="P30" s="214"/>
      <c r="Q30" s="214">
        <v>46.6</v>
      </c>
      <c r="R30" s="215">
        <f t="shared" si="4"/>
        <v>46.6</v>
      </c>
      <c r="S30" s="171">
        <v>4</v>
      </c>
      <c r="T30" s="285"/>
      <c r="U30" s="283"/>
      <c r="V30" s="178" t="s">
        <v>469</v>
      </c>
      <c r="W30" s="171" t="s">
        <v>20</v>
      </c>
      <c r="X30" s="171" t="s">
        <v>12</v>
      </c>
      <c r="Y30" s="179">
        <v>46.6</v>
      </c>
      <c r="AD30" s="178"/>
      <c r="AG30" s="179"/>
      <c r="AL30" s="178"/>
      <c r="AO30" s="179"/>
      <c r="AP30" s="178"/>
      <c r="AS30" s="179"/>
      <c r="AW30" s="179"/>
      <c r="BA30" s="180"/>
    </row>
    <row r="31" spans="1:53" s="171" customFormat="1" x14ac:dyDescent="0.15">
      <c r="A31" s="216">
        <v>1971</v>
      </c>
      <c r="B31" s="283"/>
      <c r="C31" s="410" t="s">
        <v>590</v>
      </c>
      <c r="D31" s="410"/>
      <c r="E31" s="171">
        <v>365</v>
      </c>
      <c r="G31" s="233"/>
      <c r="I31" s="171">
        <v>19</v>
      </c>
      <c r="J31" s="241">
        <v>19</v>
      </c>
      <c r="K31" s="214">
        <f t="shared" si="2"/>
        <v>0</v>
      </c>
      <c r="L31" s="214">
        <f t="shared" si="2"/>
        <v>0</v>
      </c>
      <c r="M31" s="214">
        <f t="shared" si="2"/>
        <v>100</v>
      </c>
      <c r="N31" s="214">
        <f t="shared" si="3"/>
        <v>100</v>
      </c>
      <c r="O31" s="213"/>
      <c r="P31" s="214"/>
      <c r="Q31" s="214">
        <v>46.6</v>
      </c>
      <c r="R31" s="215">
        <f t="shared" si="4"/>
        <v>46.6</v>
      </c>
      <c r="S31" s="171">
        <v>4</v>
      </c>
      <c r="T31" s="285"/>
      <c r="U31" s="283"/>
      <c r="V31" s="178" t="s">
        <v>469</v>
      </c>
      <c r="W31" s="171" t="s">
        <v>20</v>
      </c>
      <c r="X31" s="171" t="s">
        <v>12</v>
      </c>
      <c r="Y31" s="179">
        <v>46.6</v>
      </c>
      <c r="AD31" s="178"/>
      <c r="AG31" s="179"/>
      <c r="AL31" s="178"/>
      <c r="AO31" s="179"/>
      <c r="AP31" s="178"/>
      <c r="AS31" s="179"/>
      <c r="AW31" s="179"/>
      <c r="BA31" s="180"/>
    </row>
    <row r="32" spans="1:53" s="171" customFormat="1" x14ac:dyDescent="0.15">
      <c r="A32" s="216">
        <v>1972</v>
      </c>
      <c r="B32" s="283"/>
      <c r="C32" s="410" t="s">
        <v>590</v>
      </c>
      <c r="D32" s="410"/>
      <c r="E32" s="171">
        <v>0</v>
      </c>
      <c r="G32" s="233"/>
      <c r="I32" s="171">
        <v>19</v>
      </c>
      <c r="J32" s="241">
        <v>19</v>
      </c>
      <c r="K32" s="214">
        <f t="shared" si="2"/>
        <v>0</v>
      </c>
      <c r="L32" s="214">
        <f t="shared" si="2"/>
        <v>0</v>
      </c>
      <c r="M32" s="214">
        <f t="shared" si="2"/>
        <v>100</v>
      </c>
      <c r="N32" s="214">
        <f t="shared" si="3"/>
        <v>100</v>
      </c>
      <c r="O32" s="213"/>
      <c r="P32" s="214"/>
      <c r="Q32" s="214">
        <v>46.6</v>
      </c>
      <c r="R32" s="215">
        <f t="shared" si="4"/>
        <v>46.6</v>
      </c>
      <c r="S32" s="171">
        <v>4</v>
      </c>
      <c r="T32" s="285"/>
      <c r="U32" s="283"/>
      <c r="V32" s="178" t="s">
        <v>469</v>
      </c>
      <c r="W32" s="171" t="s">
        <v>20</v>
      </c>
      <c r="X32" s="171" t="s">
        <v>12</v>
      </c>
      <c r="Y32" s="179">
        <v>46.6</v>
      </c>
      <c r="AD32" s="178"/>
      <c r="AG32" s="179"/>
      <c r="AL32" s="178"/>
      <c r="AO32" s="179"/>
      <c r="AP32" s="178"/>
      <c r="AS32" s="179"/>
      <c r="AW32" s="179"/>
      <c r="BA32" s="180"/>
    </row>
    <row r="33" spans="1:53" s="171" customFormat="1" x14ac:dyDescent="0.15">
      <c r="A33" s="216">
        <v>1972</v>
      </c>
      <c r="B33" s="283"/>
      <c r="C33" s="410" t="s">
        <v>590</v>
      </c>
      <c r="D33" s="410"/>
      <c r="E33" s="171">
        <v>366</v>
      </c>
      <c r="G33" s="233"/>
      <c r="I33" s="171">
        <v>19</v>
      </c>
      <c r="J33" s="241">
        <v>19</v>
      </c>
      <c r="K33" s="214">
        <f t="shared" si="2"/>
        <v>0</v>
      </c>
      <c r="L33" s="214">
        <f t="shared" si="2"/>
        <v>0</v>
      </c>
      <c r="M33" s="214">
        <f t="shared" si="2"/>
        <v>100</v>
      </c>
      <c r="N33" s="214">
        <f t="shared" si="3"/>
        <v>100</v>
      </c>
      <c r="O33" s="213"/>
      <c r="P33" s="214"/>
      <c r="Q33" s="214">
        <v>46.6</v>
      </c>
      <c r="R33" s="215">
        <f t="shared" si="4"/>
        <v>46.6</v>
      </c>
      <c r="S33" s="171">
        <v>4</v>
      </c>
      <c r="T33" s="285"/>
      <c r="U33" s="283"/>
      <c r="V33" s="178" t="s">
        <v>469</v>
      </c>
      <c r="W33" s="171" t="s">
        <v>20</v>
      </c>
      <c r="X33" s="171" t="s">
        <v>12</v>
      </c>
      <c r="Y33" s="179">
        <v>46.6</v>
      </c>
      <c r="AD33" s="178"/>
      <c r="AG33" s="179"/>
      <c r="AL33" s="178"/>
      <c r="AO33" s="179"/>
      <c r="AP33" s="178"/>
      <c r="AS33" s="179"/>
      <c r="AW33" s="179"/>
      <c r="BA33" s="180"/>
    </row>
    <row r="34" spans="1:53" s="171" customFormat="1" x14ac:dyDescent="0.15">
      <c r="A34" s="216">
        <v>1973</v>
      </c>
      <c r="B34" s="283"/>
      <c r="C34" s="410" t="s">
        <v>590</v>
      </c>
      <c r="D34" s="410"/>
      <c r="E34" s="171">
        <v>303</v>
      </c>
      <c r="G34" s="233"/>
      <c r="I34" s="171">
        <v>19</v>
      </c>
      <c r="J34" s="241">
        <v>19</v>
      </c>
      <c r="K34" s="214">
        <f t="shared" si="2"/>
        <v>0</v>
      </c>
      <c r="L34" s="214">
        <f t="shared" si="2"/>
        <v>0</v>
      </c>
      <c r="M34" s="214">
        <f t="shared" si="2"/>
        <v>100</v>
      </c>
      <c r="N34" s="214">
        <f t="shared" si="3"/>
        <v>100</v>
      </c>
      <c r="O34" s="213"/>
      <c r="P34" s="214"/>
      <c r="Q34" s="214">
        <v>46.6</v>
      </c>
      <c r="R34" s="215">
        <f t="shared" si="4"/>
        <v>46.6</v>
      </c>
      <c r="S34" s="171">
        <v>4</v>
      </c>
      <c r="T34" s="285"/>
      <c r="U34" s="283"/>
      <c r="V34" s="178" t="s">
        <v>469</v>
      </c>
      <c r="W34" s="171" t="s">
        <v>20</v>
      </c>
      <c r="X34" s="171" t="s">
        <v>12</v>
      </c>
      <c r="Y34" s="179">
        <v>46.6</v>
      </c>
      <c r="AD34" s="178"/>
      <c r="AG34" s="179"/>
      <c r="AL34" s="178"/>
      <c r="AO34" s="179"/>
      <c r="AP34" s="178"/>
      <c r="AS34" s="179"/>
      <c r="AW34" s="179"/>
      <c r="BA34" s="180"/>
    </row>
    <row r="35" spans="1:53" s="29" customFormat="1" x14ac:dyDescent="0.15">
      <c r="A35" s="52">
        <v>1973</v>
      </c>
      <c r="B35" s="295">
        <v>26968</v>
      </c>
      <c r="C35" s="411" t="s">
        <v>591</v>
      </c>
      <c r="D35" s="411"/>
      <c r="E35" s="29">
        <f>365-E34</f>
        <v>62</v>
      </c>
      <c r="F35" s="29">
        <v>1</v>
      </c>
      <c r="G35" s="66"/>
      <c r="I35" s="29">
        <v>18</v>
      </c>
      <c r="J35" s="73">
        <v>18</v>
      </c>
      <c r="K35" s="47">
        <f t="shared" si="2"/>
        <v>0</v>
      </c>
      <c r="L35" s="47">
        <f t="shared" si="2"/>
        <v>0</v>
      </c>
      <c r="M35" s="47">
        <f t="shared" si="2"/>
        <v>100</v>
      </c>
      <c r="N35" s="47">
        <f t="shared" si="3"/>
        <v>100</v>
      </c>
      <c r="O35" s="46"/>
      <c r="P35" s="47"/>
      <c r="Q35" s="47">
        <v>44.6</v>
      </c>
      <c r="R35" s="48">
        <f t="shared" si="4"/>
        <v>44.6</v>
      </c>
      <c r="S35" s="29">
        <v>4</v>
      </c>
      <c r="T35" s="286">
        <v>26923</v>
      </c>
      <c r="U35" s="295">
        <v>26968</v>
      </c>
      <c r="V35" s="38" t="s">
        <v>469</v>
      </c>
      <c r="W35" s="29" t="s">
        <v>20</v>
      </c>
      <c r="X35" s="29" t="s">
        <v>12</v>
      </c>
      <c r="Y35" s="39">
        <v>44.6</v>
      </c>
      <c r="AD35" s="38"/>
      <c r="AG35" s="39"/>
      <c r="AL35" s="38"/>
      <c r="AO35" s="39"/>
      <c r="AP35" s="38"/>
      <c r="AS35" s="39"/>
      <c r="AW35" s="39"/>
      <c r="BA35" s="40"/>
    </row>
    <row r="36" spans="1:53" s="29" customFormat="1" x14ac:dyDescent="0.15">
      <c r="A36" s="52">
        <v>1974</v>
      </c>
      <c r="B36" s="295"/>
      <c r="C36" s="411" t="s">
        <v>591</v>
      </c>
      <c r="D36" s="411"/>
      <c r="E36" s="29">
        <v>0</v>
      </c>
      <c r="G36" s="66"/>
      <c r="I36" s="29">
        <v>18</v>
      </c>
      <c r="J36" s="73">
        <v>18</v>
      </c>
      <c r="K36" s="47">
        <f t="shared" si="2"/>
        <v>0</v>
      </c>
      <c r="L36" s="47">
        <f t="shared" si="2"/>
        <v>0</v>
      </c>
      <c r="M36" s="47">
        <f t="shared" si="2"/>
        <v>100</v>
      </c>
      <c r="N36" s="47">
        <f t="shared" si="3"/>
        <v>100</v>
      </c>
      <c r="O36" s="46"/>
      <c r="P36" s="47"/>
      <c r="Q36" s="47">
        <v>44.6</v>
      </c>
      <c r="R36" s="48">
        <f t="shared" si="4"/>
        <v>44.6</v>
      </c>
      <c r="S36" s="29">
        <v>4</v>
      </c>
      <c r="T36" s="286"/>
      <c r="U36" s="295"/>
      <c r="V36" s="38" t="s">
        <v>469</v>
      </c>
      <c r="W36" s="29" t="s">
        <v>20</v>
      </c>
      <c r="X36" s="29" t="s">
        <v>12</v>
      </c>
      <c r="Y36" s="39">
        <v>44.6</v>
      </c>
      <c r="AD36" s="38"/>
      <c r="AG36" s="39"/>
      <c r="AL36" s="38"/>
      <c r="AO36" s="39"/>
      <c r="AP36" s="38"/>
      <c r="AS36" s="39"/>
      <c r="AW36" s="39"/>
      <c r="BA36" s="40"/>
    </row>
    <row r="37" spans="1:53" s="29" customFormat="1" x14ac:dyDescent="0.15">
      <c r="A37" s="52">
        <v>1974</v>
      </c>
      <c r="B37" s="295"/>
      <c r="C37" s="411" t="s">
        <v>591</v>
      </c>
      <c r="D37" s="411"/>
      <c r="E37" s="29">
        <v>365</v>
      </c>
      <c r="G37" s="66"/>
      <c r="I37" s="29">
        <v>18</v>
      </c>
      <c r="J37" s="73">
        <v>18</v>
      </c>
      <c r="K37" s="47">
        <f t="shared" si="2"/>
        <v>0</v>
      </c>
      <c r="L37" s="47">
        <f t="shared" si="2"/>
        <v>0</v>
      </c>
      <c r="M37" s="47">
        <f t="shared" si="2"/>
        <v>100</v>
      </c>
      <c r="N37" s="47">
        <f t="shared" si="3"/>
        <v>100</v>
      </c>
      <c r="O37" s="46"/>
      <c r="P37" s="47"/>
      <c r="Q37" s="47">
        <v>44.6</v>
      </c>
      <c r="R37" s="48">
        <f t="shared" si="4"/>
        <v>44.6</v>
      </c>
      <c r="S37" s="29">
        <v>4</v>
      </c>
      <c r="T37" s="286"/>
      <c r="U37" s="295"/>
      <c r="V37" s="38" t="s">
        <v>469</v>
      </c>
      <c r="W37" s="29" t="s">
        <v>20</v>
      </c>
      <c r="X37" s="29" t="s">
        <v>12</v>
      </c>
      <c r="Y37" s="39">
        <v>44.6</v>
      </c>
      <c r="AD37" s="38"/>
      <c r="AG37" s="39"/>
      <c r="AL37" s="38"/>
      <c r="AO37" s="39"/>
      <c r="AP37" s="38"/>
      <c r="AS37" s="39"/>
      <c r="AW37" s="39"/>
      <c r="BA37" s="40"/>
    </row>
    <row r="38" spans="1:53" s="29" customFormat="1" x14ac:dyDescent="0.15">
      <c r="A38" s="52">
        <v>1975</v>
      </c>
      <c r="B38" s="295"/>
      <c r="C38" s="411" t="s">
        <v>591</v>
      </c>
      <c r="D38" s="411"/>
      <c r="E38" s="29">
        <v>0</v>
      </c>
      <c r="G38" s="66"/>
      <c r="I38" s="29">
        <v>18</v>
      </c>
      <c r="J38" s="73">
        <v>18</v>
      </c>
      <c r="K38" s="47">
        <f t="shared" si="2"/>
        <v>0</v>
      </c>
      <c r="L38" s="47">
        <f t="shared" si="2"/>
        <v>0</v>
      </c>
      <c r="M38" s="47">
        <f t="shared" si="2"/>
        <v>100</v>
      </c>
      <c r="N38" s="47">
        <f t="shared" si="3"/>
        <v>100</v>
      </c>
      <c r="O38" s="46"/>
      <c r="P38" s="47"/>
      <c r="Q38" s="47">
        <v>44.6</v>
      </c>
      <c r="R38" s="48">
        <f t="shared" si="4"/>
        <v>44.6</v>
      </c>
      <c r="S38" s="29">
        <v>4</v>
      </c>
      <c r="T38" s="286"/>
      <c r="U38" s="295"/>
      <c r="V38" s="38" t="s">
        <v>469</v>
      </c>
      <c r="W38" s="29" t="s">
        <v>20</v>
      </c>
      <c r="X38" s="29" t="s">
        <v>12</v>
      </c>
      <c r="Y38" s="39">
        <v>44.6</v>
      </c>
      <c r="AD38" s="38"/>
      <c r="AG38" s="39"/>
      <c r="AL38" s="38"/>
      <c r="AO38" s="39"/>
      <c r="AP38" s="38"/>
      <c r="AS38" s="39"/>
      <c r="AW38" s="39"/>
      <c r="BA38" s="40"/>
    </row>
    <row r="39" spans="1:53" s="29" customFormat="1" x14ac:dyDescent="0.15">
      <c r="A39" s="52">
        <v>1975</v>
      </c>
      <c r="B39" s="295"/>
      <c r="C39" s="411" t="s">
        <v>591</v>
      </c>
      <c r="D39" s="411"/>
      <c r="E39" s="29">
        <v>365</v>
      </c>
      <c r="G39" s="66"/>
      <c r="I39" s="29">
        <v>18</v>
      </c>
      <c r="J39" s="73">
        <v>18</v>
      </c>
      <c r="K39" s="47">
        <f t="shared" si="2"/>
        <v>0</v>
      </c>
      <c r="L39" s="47">
        <f t="shared" si="2"/>
        <v>0</v>
      </c>
      <c r="M39" s="47">
        <f t="shared" si="2"/>
        <v>100</v>
      </c>
      <c r="N39" s="47">
        <f t="shared" si="3"/>
        <v>100</v>
      </c>
      <c r="O39" s="46"/>
      <c r="P39" s="47"/>
      <c r="Q39" s="47">
        <v>44.6</v>
      </c>
      <c r="R39" s="48">
        <f t="shared" si="4"/>
        <v>44.6</v>
      </c>
      <c r="S39" s="29">
        <v>4</v>
      </c>
      <c r="T39" s="286"/>
      <c r="U39" s="295"/>
      <c r="V39" s="38" t="s">
        <v>469</v>
      </c>
      <c r="W39" s="29" t="s">
        <v>20</v>
      </c>
      <c r="X39" s="29" t="s">
        <v>12</v>
      </c>
      <c r="Y39" s="39">
        <v>44.6</v>
      </c>
      <c r="AD39" s="38"/>
      <c r="AG39" s="39"/>
      <c r="AL39" s="38"/>
      <c r="AO39" s="39"/>
      <c r="AP39" s="38"/>
      <c r="AS39" s="39"/>
      <c r="AW39" s="39"/>
      <c r="BA39" s="40"/>
    </row>
    <row r="40" spans="1:53" s="29" customFormat="1" x14ac:dyDescent="0.15">
      <c r="A40" s="52">
        <v>1976</v>
      </c>
      <c r="B40" s="295"/>
      <c r="C40" s="411" t="s">
        <v>591</v>
      </c>
      <c r="D40" s="411"/>
      <c r="E40" s="29">
        <v>277</v>
      </c>
      <c r="G40" s="66"/>
      <c r="I40" s="29">
        <v>18</v>
      </c>
      <c r="J40" s="73">
        <v>18</v>
      </c>
      <c r="K40" s="47">
        <f t="shared" si="2"/>
        <v>0</v>
      </c>
      <c r="L40" s="47">
        <f t="shared" si="2"/>
        <v>0</v>
      </c>
      <c r="M40" s="47">
        <f t="shared" si="2"/>
        <v>100</v>
      </c>
      <c r="N40" s="47">
        <f t="shared" si="3"/>
        <v>100</v>
      </c>
      <c r="O40" s="46"/>
      <c r="P40" s="47"/>
      <c r="Q40" s="47">
        <v>44.6</v>
      </c>
      <c r="R40" s="48">
        <f t="shared" si="4"/>
        <v>44.6</v>
      </c>
      <c r="S40" s="29">
        <v>4</v>
      </c>
      <c r="T40" s="286"/>
      <c r="U40" s="295"/>
      <c r="V40" s="38" t="s">
        <v>469</v>
      </c>
      <c r="W40" s="29" t="s">
        <v>20</v>
      </c>
      <c r="X40" s="29" t="s">
        <v>12</v>
      </c>
      <c r="Y40" s="39">
        <v>44.6</v>
      </c>
      <c r="AD40" s="38"/>
      <c r="AG40" s="39"/>
      <c r="AL40" s="38"/>
      <c r="AO40" s="39"/>
      <c r="AP40" s="38"/>
      <c r="AS40" s="39"/>
      <c r="AW40" s="39"/>
      <c r="BA40" s="40"/>
    </row>
    <row r="41" spans="1:53" s="171" customFormat="1" x14ac:dyDescent="0.15">
      <c r="A41" s="216">
        <v>1976</v>
      </c>
      <c r="B41" s="283">
        <v>28037</v>
      </c>
      <c r="C41" s="447" t="s">
        <v>592</v>
      </c>
      <c r="D41" s="447"/>
      <c r="E41" s="171">
        <f>366-E40</f>
        <v>89</v>
      </c>
      <c r="F41" s="171">
        <v>1</v>
      </c>
      <c r="G41" s="233">
        <v>10</v>
      </c>
      <c r="H41" s="171">
        <v>9</v>
      </c>
      <c r="J41" s="241">
        <v>20</v>
      </c>
      <c r="K41" s="214">
        <f t="shared" si="2"/>
        <v>50</v>
      </c>
      <c r="L41" s="214">
        <f t="shared" si="2"/>
        <v>45</v>
      </c>
      <c r="M41" s="214">
        <f t="shared" si="2"/>
        <v>0</v>
      </c>
      <c r="N41" s="214">
        <f t="shared" si="3"/>
        <v>95</v>
      </c>
      <c r="O41" s="213">
        <f xml:space="preserve"> 11.2+15.8</f>
        <v>27</v>
      </c>
      <c r="P41" s="214">
        <v>24.6</v>
      </c>
      <c r="Q41" s="214"/>
      <c r="R41" s="215">
        <f t="shared" si="4"/>
        <v>51.6</v>
      </c>
      <c r="S41" s="171">
        <v>2</v>
      </c>
      <c r="T41" s="285">
        <v>28022</v>
      </c>
      <c r="U41" s="283">
        <v>28037</v>
      </c>
      <c r="V41" s="178" t="s">
        <v>470</v>
      </c>
      <c r="W41" s="171" t="s">
        <v>869</v>
      </c>
      <c r="X41" s="171" t="s">
        <v>18</v>
      </c>
      <c r="Y41" s="179">
        <v>24.6</v>
      </c>
      <c r="Z41" s="171" t="s">
        <v>472</v>
      </c>
      <c r="AA41" s="171" t="s">
        <v>74</v>
      </c>
      <c r="AB41" s="171" t="s">
        <v>11</v>
      </c>
      <c r="AC41" s="171">
        <v>15.8</v>
      </c>
      <c r="AD41" s="178" t="s">
        <v>471</v>
      </c>
      <c r="AE41" s="171" t="s">
        <v>22</v>
      </c>
      <c r="AF41" s="171" t="s">
        <v>11</v>
      </c>
      <c r="AG41" s="179">
        <v>11.2</v>
      </c>
      <c r="AL41" s="178"/>
      <c r="AO41" s="179"/>
      <c r="AP41" s="178"/>
      <c r="AS41" s="179"/>
      <c r="AW41" s="179"/>
      <c r="BA41" s="180"/>
    </row>
    <row r="42" spans="1:53" s="171" customFormat="1" x14ac:dyDescent="0.15">
      <c r="A42" s="216">
        <v>1977</v>
      </c>
      <c r="B42" s="283"/>
      <c r="C42" s="447" t="s">
        <v>592</v>
      </c>
      <c r="D42" s="447"/>
      <c r="E42" s="171">
        <v>0</v>
      </c>
      <c r="G42" s="233">
        <v>10</v>
      </c>
      <c r="H42" s="171">
        <v>9</v>
      </c>
      <c r="J42" s="241">
        <v>20</v>
      </c>
      <c r="K42" s="214">
        <f t="shared" si="2"/>
        <v>50</v>
      </c>
      <c r="L42" s="214">
        <f t="shared" si="2"/>
        <v>45</v>
      </c>
      <c r="M42" s="214">
        <f t="shared" si="2"/>
        <v>0</v>
      </c>
      <c r="N42" s="214">
        <f t="shared" si="3"/>
        <v>95</v>
      </c>
      <c r="O42" s="213">
        <f xml:space="preserve"> 11.2+15.8</f>
        <v>27</v>
      </c>
      <c r="P42" s="214">
        <v>24.6</v>
      </c>
      <c r="Q42" s="214"/>
      <c r="R42" s="215">
        <f t="shared" si="4"/>
        <v>51.6</v>
      </c>
      <c r="S42" s="171">
        <v>2</v>
      </c>
      <c r="T42" s="285"/>
      <c r="U42" s="283"/>
      <c r="V42" s="178" t="s">
        <v>470</v>
      </c>
      <c r="W42" s="171" t="s">
        <v>869</v>
      </c>
      <c r="X42" s="171" t="s">
        <v>18</v>
      </c>
      <c r="Y42" s="179">
        <v>24.6</v>
      </c>
      <c r="Z42" s="171" t="s">
        <v>472</v>
      </c>
      <c r="AA42" s="171" t="s">
        <v>74</v>
      </c>
      <c r="AB42" s="171" t="s">
        <v>11</v>
      </c>
      <c r="AC42" s="171">
        <v>15.8</v>
      </c>
      <c r="AD42" s="178" t="s">
        <v>471</v>
      </c>
      <c r="AE42" s="171" t="s">
        <v>22</v>
      </c>
      <c r="AF42" s="171" t="s">
        <v>11</v>
      </c>
      <c r="AG42" s="179">
        <v>11.2</v>
      </c>
      <c r="AL42" s="178"/>
      <c r="AO42" s="179"/>
      <c r="AP42" s="178"/>
      <c r="AS42" s="179"/>
      <c r="AW42" s="179"/>
      <c r="BA42" s="180"/>
    </row>
    <row r="43" spans="1:53" s="171" customFormat="1" x14ac:dyDescent="0.15">
      <c r="A43" s="216">
        <v>1977</v>
      </c>
      <c r="B43" s="283"/>
      <c r="C43" s="447" t="s">
        <v>592</v>
      </c>
      <c r="D43" s="447"/>
      <c r="E43" s="171">
        <v>365</v>
      </c>
      <c r="G43" s="233">
        <v>10</v>
      </c>
      <c r="H43" s="171">
        <v>9</v>
      </c>
      <c r="J43" s="241">
        <v>20</v>
      </c>
      <c r="K43" s="214">
        <f t="shared" si="2"/>
        <v>50</v>
      </c>
      <c r="L43" s="214">
        <f t="shared" si="2"/>
        <v>45</v>
      </c>
      <c r="M43" s="214">
        <f t="shared" si="2"/>
        <v>0</v>
      </c>
      <c r="N43" s="214">
        <f t="shared" si="3"/>
        <v>95</v>
      </c>
      <c r="O43" s="213">
        <f xml:space="preserve"> 11.2+15.8</f>
        <v>27</v>
      </c>
      <c r="P43" s="214">
        <v>24.6</v>
      </c>
      <c r="Q43" s="214"/>
      <c r="R43" s="215">
        <f t="shared" si="4"/>
        <v>51.6</v>
      </c>
      <c r="S43" s="171">
        <v>2</v>
      </c>
      <c r="T43" s="285"/>
      <c r="U43" s="283"/>
      <c r="V43" s="178" t="s">
        <v>470</v>
      </c>
      <c r="W43" s="171" t="s">
        <v>869</v>
      </c>
      <c r="X43" s="171" t="s">
        <v>18</v>
      </c>
      <c r="Y43" s="179">
        <v>24.6</v>
      </c>
      <c r="Z43" s="171" t="s">
        <v>472</v>
      </c>
      <c r="AA43" s="171" t="s">
        <v>74</v>
      </c>
      <c r="AB43" s="171" t="s">
        <v>11</v>
      </c>
      <c r="AC43" s="171">
        <v>15.8</v>
      </c>
      <c r="AD43" s="178" t="s">
        <v>471</v>
      </c>
      <c r="AE43" s="171" t="s">
        <v>22</v>
      </c>
      <c r="AF43" s="171" t="s">
        <v>11</v>
      </c>
      <c r="AG43" s="179">
        <v>11.2</v>
      </c>
      <c r="AL43" s="178"/>
      <c r="AO43" s="179"/>
      <c r="AP43" s="178"/>
      <c r="AS43" s="179"/>
      <c r="AW43" s="179"/>
      <c r="BA43" s="180"/>
    </row>
    <row r="44" spans="1:53" s="171" customFormat="1" x14ac:dyDescent="0.15">
      <c r="A44" s="216">
        <v>1978</v>
      </c>
      <c r="B44" s="283"/>
      <c r="C44" s="447" t="s">
        <v>592</v>
      </c>
      <c r="D44" s="447"/>
      <c r="E44" s="171">
        <v>285</v>
      </c>
      <c r="G44" s="233">
        <v>10</v>
      </c>
      <c r="H44" s="171">
        <v>9</v>
      </c>
      <c r="J44" s="241">
        <v>20</v>
      </c>
      <c r="K44" s="214">
        <f t="shared" si="2"/>
        <v>50</v>
      </c>
      <c r="L44" s="214">
        <f t="shared" si="2"/>
        <v>45</v>
      </c>
      <c r="M44" s="214">
        <f t="shared" si="2"/>
        <v>0</v>
      </c>
      <c r="N44" s="214">
        <f t="shared" si="3"/>
        <v>95</v>
      </c>
      <c r="O44" s="213">
        <f xml:space="preserve"> 11.2+15.8</f>
        <v>27</v>
      </c>
      <c r="P44" s="214">
        <v>24.6</v>
      </c>
      <c r="Q44" s="214"/>
      <c r="R44" s="215">
        <f t="shared" si="4"/>
        <v>51.6</v>
      </c>
      <c r="S44" s="171">
        <v>2</v>
      </c>
      <c r="T44" s="285"/>
      <c r="U44" s="283"/>
      <c r="V44" s="178" t="s">
        <v>470</v>
      </c>
      <c r="W44" s="171" t="s">
        <v>869</v>
      </c>
      <c r="X44" s="171" t="s">
        <v>18</v>
      </c>
      <c r="Y44" s="179">
        <v>24.6</v>
      </c>
      <c r="Z44" s="171" t="s">
        <v>472</v>
      </c>
      <c r="AA44" s="171" t="s">
        <v>74</v>
      </c>
      <c r="AB44" s="171" t="s">
        <v>11</v>
      </c>
      <c r="AC44" s="171">
        <v>15.8</v>
      </c>
      <c r="AD44" s="178" t="s">
        <v>471</v>
      </c>
      <c r="AE44" s="171" t="s">
        <v>22</v>
      </c>
      <c r="AF44" s="171" t="s">
        <v>11</v>
      </c>
      <c r="AG44" s="179">
        <v>11.2</v>
      </c>
      <c r="AL44" s="178"/>
      <c r="AO44" s="179"/>
      <c r="AP44" s="178"/>
      <c r="AS44" s="179"/>
      <c r="AW44" s="179"/>
      <c r="BA44" s="180"/>
    </row>
    <row r="45" spans="1:53" s="29" customFormat="1" x14ac:dyDescent="0.15">
      <c r="A45" s="52">
        <v>1978</v>
      </c>
      <c r="B45" s="295">
        <v>28776</v>
      </c>
      <c r="C45" s="411" t="s">
        <v>849</v>
      </c>
      <c r="D45" s="411"/>
      <c r="E45" s="29">
        <f>365-E44</f>
        <v>80</v>
      </c>
      <c r="F45" s="29">
        <v>4</v>
      </c>
      <c r="G45" s="66">
        <v>18</v>
      </c>
      <c r="J45" s="73">
        <v>19</v>
      </c>
      <c r="K45" s="47">
        <f t="shared" si="2"/>
        <v>94.73684210526315</v>
      </c>
      <c r="L45" s="47">
        <f t="shared" si="2"/>
        <v>0</v>
      </c>
      <c r="M45" s="47">
        <f t="shared" si="2"/>
        <v>0</v>
      </c>
      <c r="N45" s="47">
        <f t="shared" si="3"/>
        <v>94.73684210526315</v>
      </c>
      <c r="O45" s="46">
        <v>11.2</v>
      </c>
      <c r="P45" s="47"/>
      <c r="Q45" s="47"/>
      <c r="R45" s="48">
        <f t="shared" si="4"/>
        <v>11.2</v>
      </c>
      <c r="S45" s="29">
        <v>4</v>
      </c>
      <c r="T45" s="286"/>
      <c r="U45" s="295">
        <v>28776</v>
      </c>
      <c r="V45" s="38" t="s">
        <v>471</v>
      </c>
      <c r="W45" s="29" t="s">
        <v>22</v>
      </c>
      <c r="X45" s="29" t="s">
        <v>11</v>
      </c>
      <c r="Y45" s="39">
        <v>11.2</v>
      </c>
      <c r="AD45" s="38"/>
      <c r="AG45" s="39"/>
      <c r="AL45" s="38"/>
      <c r="AO45" s="39"/>
      <c r="AP45" s="38"/>
      <c r="AS45" s="39"/>
      <c r="AW45" s="39"/>
      <c r="BA45" s="40"/>
    </row>
    <row r="46" spans="1:53" s="29" customFormat="1" x14ac:dyDescent="0.15">
      <c r="A46" s="52">
        <v>1979</v>
      </c>
      <c r="B46" s="295"/>
      <c r="C46" s="411" t="s">
        <v>849</v>
      </c>
      <c r="D46" s="411"/>
      <c r="E46" s="29">
        <v>284</v>
      </c>
      <c r="G46" s="66">
        <v>18</v>
      </c>
      <c r="J46" s="73">
        <v>19</v>
      </c>
      <c r="K46" s="47">
        <f t="shared" si="2"/>
        <v>94.73684210526315</v>
      </c>
      <c r="L46" s="47">
        <f t="shared" si="2"/>
        <v>0</v>
      </c>
      <c r="M46" s="47">
        <f t="shared" si="2"/>
        <v>0</v>
      </c>
      <c r="N46" s="47">
        <f t="shared" si="3"/>
        <v>94.73684210526315</v>
      </c>
      <c r="O46" s="46">
        <v>11.2</v>
      </c>
      <c r="P46" s="47"/>
      <c r="Q46" s="47"/>
      <c r="R46" s="48">
        <f t="shared" si="4"/>
        <v>11.2</v>
      </c>
      <c r="S46" s="29">
        <v>4</v>
      </c>
      <c r="T46" s="286"/>
      <c r="U46" s="295"/>
      <c r="V46" s="38" t="s">
        <v>471</v>
      </c>
      <c r="W46" s="29" t="s">
        <v>22</v>
      </c>
      <c r="X46" s="29" t="s">
        <v>11</v>
      </c>
      <c r="Y46" s="39">
        <v>11.2</v>
      </c>
      <c r="AD46" s="38"/>
      <c r="AG46" s="39"/>
      <c r="AL46" s="38"/>
      <c r="AO46" s="39"/>
      <c r="AP46" s="38"/>
      <c r="AS46" s="39"/>
      <c r="AW46" s="39"/>
      <c r="BA46" s="40"/>
    </row>
    <row r="47" spans="1:53" s="171" customFormat="1" x14ac:dyDescent="0.15">
      <c r="A47" s="216">
        <v>1979</v>
      </c>
      <c r="B47" s="283">
        <v>29140</v>
      </c>
      <c r="C47" s="447" t="s">
        <v>593</v>
      </c>
      <c r="D47" s="447"/>
      <c r="E47" s="171">
        <f>365-E46</f>
        <v>81</v>
      </c>
      <c r="F47" s="171">
        <v>1</v>
      </c>
      <c r="G47" s="233">
        <v>13</v>
      </c>
      <c r="H47" s="171">
        <v>7</v>
      </c>
      <c r="J47" s="241">
        <v>21</v>
      </c>
      <c r="K47" s="214">
        <f t="shared" si="2"/>
        <v>61.904761904761905</v>
      </c>
      <c r="L47" s="214">
        <f t="shared" si="2"/>
        <v>33.333333333333329</v>
      </c>
      <c r="M47" s="214">
        <f t="shared" si="2"/>
        <v>0</v>
      </c>
      <c r="N47" s="214">
        <f t="shared" si="3"/>
        <v>95.238095238095241</v>
      </c>
      <c r="O47" s="213">
        <f>10.9+20.9</f>
        <v>31.799999999999997</v>
      </c>
      <c r="P47" s="214">
        <v>18.3</v>
      </c>
      <c r="Q47" s="214"/>
      <c r="R47" s="215">
        <f t="shared" si="4"/>
        <v>50.099999999999994</v>
      </c>
      <c r="S47" s="171">
        <v>2</v>
      </c>
      <c r="T47" s="285">
        <v>29114</v>
      </c>
      <c r="U47" s="283">
        <v>29140</v>
      </c>
      <c r="V47" s="178" t="s">
        <v>470</v>
      </c>
      <c r="W47" s="171" t="s">
        <v>869</v>
      </c>
      <c r="X47" s="171" t="s">
        <v>18</v>
      </c>
      <c r="Y47" s="179">
        <v>18.3</v>
      </c>
      <c r="Z47" s="171" t="s">
        <v>472</v>
      </c>
      <c r="AA47" s="171" t="s">
        <v>74</v>
      </c>
      <c r="AB47" s="171" t="s">
        <v>11</v>
      </c>
      <c r="AC47" s="171">
        <v>20.9</v>
      </c>
      <c r="AD47" s="178" t="s">
        <v>471</v>
      </c>
      <c r="AE47" s="171" t="s">
        <v>22</v>
      </c>
      <c r="AF47" s="171" t="s">
        <v>11</v>
      </c>
      <c r="AG47" s="179">
        <v>10.9</v>
      </c>
      <c r="AL47" s="178"/>
      <c r="AO47" s="179"/>
      <c r="AP47" s="178"/>
      <c r="AS47" s="179"/>
      <c r="AW47" s="179"/>
      <c r="BA47" s="180"/>
    </row>
    <row r="48" spans="1:53" s="171" customFormat="1" x14ac:dyDescent="0.15">
      <c r="A48" s="216">
        <v>1980</v>
      </c>
      <c r="B48" s="283"/>
      <c r="C48" s="447" t="s">
        <v>593</v>
      </c>
      <c r="D48" s="447"/>
      <c r="E48" s="171">
        <v>0</v>
      </c>
      <c r="G48" s="233">
        <v>13</v>
      </c>
      <c r="H48" s="171">
        <v>7</v>
      </c>
      <c r="J48" s="241">
        <v>21</v>
      </c>
      <c r="K48" s="214">
        <f t="shared" si="2"/>
        <v>61.904761904761905</v>
      </c>
      <c r="L48" s="214">
        <f t="shared" si="2"/>
        <v>33.333333333333329</v>
      </c>
      <c r="M48" s="214">
        <f t="shared" si="2"/>
        <v>0</v>
      </c>
      <c r="N48" s="214">
        <f t="shared" si="3"/>
        <v>95.238095238095241</v>
      </c>
      <c r="O48" s="213">
        <f>10.9+20.9</f>
        <v>31.799999999999997</v>
      </c>
      <c r="P48" s="214">
        <v>18.3</v>
      </c>
      <c r="Q48" s="214"/>
      <c r="R48" s="215">
        <f t="shared" si="4"/>
        <v>50.099999999999994</v>
      </c>
      <c r="S48" s="171">
        <v>2</v>
      </c>
      <c r="T48" s="285"/>
      <c r="U48" s="283"/>
      <c r="V48" s="178" t="s">
        <v>470</v>
      </c>
      <c r="W48" s="171" t="s">
        <v>869</v>
      </c>
      <c r="X48" s="171" t="s">
        <v>18</v>
      </c>
      <c r="Y48" s="179">
        <v>18.3</v>
      </c>
      <c r="Z48" s="171" t="s">
        <v>472</v>
      </c>
      <c r="AA48" s="171" t="s">
        <v>74</v>
      </c>
      <c r="AB48" s="171" t="s">
        <v>11</v>
      </c>
      <c r="AC48" s="171">
        <v>20.9</v>
      </c>
      <c r="AD48" s="178" t="s">
        <v>471</v>
      </c>
      <c r="AE48" s="171" t="s">
        <v>22</v>
      </c>
      <c r="AF48" s="171" t="s">
        <v>11</v>
      </c>
      <c r="AG48" s="179">
        <v>10.9</v>
      </c>
      <c r="AL48" s="178"/>
      <c r="AO48" s="179"/>
      <c r="AP48" s="178"/>
      <c r="AS48" s="179"/>
      <c r="AW48" s="179"/>
      <c r="BA48" s="180"/>
    </row>
    <row r="49" spans="1:53" s="171" customFormat="1" x14ac:dyDescent="0.15">
      <c r="A49" s="216">
        <v>1980</v>
      </c>
      <c r="B49" s="283"/>
      <c r="C49" s="447" t="s">
        <v>593</v>
      </c>
      <c r="D49" s="447"/>
      <c r="E49" s="171">
        <v>366</v>
      </c>
      <c r="G49" s="233">
        <v>13</v>
      </c>
      <c r="H49" s="171">
        <v>7</v>
      </c>
      <c r="J49" s="241">
        <v>21</v>
      </c>
      <c r="K49" s="214">
        <f t="shared" si="2"/>
        <v>61.904761904761905</v>
      </c>
      <c r="L49" s="214">
        <f t="shared" si="2"/>
        <v>33.333333333333329</v>
      </c>
      <c r="M49" s="214">
        <f t="shared" si="2"/>
        <v>0</v>
      </c>
      <c r="N49" s="214">
        <f t="shared" si="3"/>
        <v>95.238095238095241</v>
      </c>
      <c r="O49" s="213">
        <f>10.9+20.9</f>
        <v>31.799999999999997</v>
      </c>
      <c r="P49" s="214">
        <v>18.3</v>
      </c>
      <c r="Q49" s="214"/>
      <c r="R49" s="215">
        <f t="shared" si="4"/>
        <v>50.099999999999994</v>
      </c>
      <c r="S49" s="171">
        <v>2</v>
      </c>
      <c r="T49" s="285"/>
      <c r="U49" s="283"/>
      <c r="V49" s="178" t="s">
        <v>470</v>
      </c>
      <c r="W49" s="171" t="s">
        <v>869</v>
      </c>
      <c r="X49" s="171" t="s">
        <v>18</v>
      </c>
      <c r="Y49" s="179">
        <v>18.3</v>
      </c>
      <c r="Z49" s="171" t="s">
        <v>472</v>
      </c>
      <c r="AA49" s="171" t="s">
        <v>74</v>
      </c>
      <c r="AB49" s="171" t="s">
        <v>11</v>
      </c>
      <c r="AC49" s="171">
        <v>20.9</v>
      </c>
      <c r="AD49" s="178" t="s">
        <v>471</v>
      </c>
      <c r="AE49" s="171" t="s">
        <v>22</v>
      </c>
      <c r="AF49" s="171" t="s">
        <v>11</v>
      </c>
      <c r="AG49" s="179">
        <v>10.9</v>
      </c>
      <c r="AL49" s="178"/>
      <c r="AO49" s="179"/>
      <c r="AP49" s="178"/>
      <c r="AS49" s="179"/>
      <c r="AW49" s="179"/>
      <c r="BA49" s="180"/>
    </row>
    <row r="50" spans="1:53" s="171" customFormat="1" x14ac:dyDescent="0.15">
      <c r="A50" s="216">
        <v>1981</v>
      </c>
      <c r="B50" s="283"/>
      <c r="C50" s="447" t="s">
        <v>593</v>
      </c>
      <c r="D50" s="447"/>
      <c r="E50" s="171">
        <v>141</v>
      </c>
      <c r="G50" s="233">
        <v>13</v>
      </c>
      <c r="H50" s="171">
        <v>7</v>
      </c>
      <c r="J50" s="241">
        <v>21</v>
      </c>
      <c r="K50" s="214">
        <f t="shared" si="2"/>
        <v>61.904761904761905</v>
      </c>
      <c r="L50" s="214">
        <f t="shared" si="2"/>
        <v>33.333333333333329</v>
      </c>
      <c r="M50" s="214">
        <f t="shared" si="2"/>
        <v>0</v>
      </c>
      <c r="N50" s="214">
        <f t="shared" si="3"/>
        <v>95.238095238095241</v>
      </c>
      <c r="O50" s="213">
        <f>10.9+20.9</f>
        <v>31.799999999999997</v>
      </c>
      <c r="P50" s="214">
        <v>18.3</v>
      </c>
      <c r="Q50" s="214"/>
      <c r="R50" s="215">
        <f t="shared" si="4"/>
        <v>50.099999999999994</v>
      </c>
      <c r="S50" s="171">
        <v>2</v>
      </c>
      <c r="T50" s="285"/>
      <c r="U50" s="283"/>
      <c r="V50" s="178" t="s">
        <v>470</v>
      </c>
      <c r="W50" s="171" t="s">
        <v>869</v>
      </c>
      <c r="X50" s="171" t="s">
        <v>18</v>
      </c>
      <c r="Y50" s="179">
        <v>18.3</v>
      </c>
      <c r="Z50" s="171" t="s">
        <v>472</v>
      </c>
      <c r="AA50" s="171" t="s">
        <v>74</v>
      </c>
      <c r="AB50" s="171" t="s">
        <v>11</v>
      </c>
      <c r="AC50" s="171">
        <v>20.9</v>
      </c>
      <c r="AD50" s="178" t="s">
        <v>471</v>
      </c>
      <c r="AE50" s="171" t="s">
        <v>22</v>
      </c>
      <c r="AF50" s="171" t="s">
        <v>11</v>
      </c>
      <c r="AG50" s="179">
        <v>10.9</v>
      </c>
      <c r="AL50" s="178"/>
      <c r="AO50" s="179"/>
      <c r="AP50" s="178"/>
      <c r="AS50" s="179"/>
      <c r="AW50" s="179"/>
      <c r="BA50" s="180"/>
    </row>
    <row r="51" spans="1:53" s="29" customFormat="1" x14ac:dyDescent="0.15">
      <c r="A51" s="52">
        <v>1981</v>
      </c>
      <c r="B51" s="295">
        <v>29728</v>
      </c>
      <c r="C51" s="448" t="s">
        <v>594</v>
      </c>
      <c r="D51" s="448"/>
      <c r="E51" s="29">
        <f>365-E50</f>
        <v>224</v>
      </c>
      <c r="F51" s="29">
        <v>4</v>
      </c>
      <c r="G51" s="66">
        <v>7</v>
      </c>
      <c r="H51" s="29">
        <v>10</v>
      </c>
      <c r="J51" s="73">
        <v>18</v>
      </c>
      <c r="K51" s="47">
        <f t="shared" si="2"/>
        <v>38.888888888888893</v>
      </c>
      <c r="L51" s="47">
        <f t="shared" si="2"/>
        <v>55.555555555555557</v>
      </c>
      <c r="M51" s="47">
        <f t="shared" si="2"/>
        <v>0</v>
      </c>
      <c r="N51" s="47">
        <f t="shared" si="3"/>
        <v>94.444444444444457</v>
      </c>
      <c r="O51" s="46">
        <v>10.9</v>
      </c>
      <c r="P51" s="47">
        <v>18.3</v>
      </c>
      <c r="Q51" s="47"/>
      <c r="R51" s="48">
        <f t="shared" si="4"/>
        <v>29.200000000000003</v>
      </c>
      <c r="S51" s="29">
        <v>5</v>
      </c>
      <c r="T51" s="286"/>
      <c r="U51" s="295">
        <v>29728</v>
      </c>
      <c r="V51" s="38" t="s">
        <v>470</v>
      </c>
      <c r="W51" s="29" t="s">
        <v>869</v>
      </c>
      <c r="X51" s="29" t="s">
        <v>18</v>
      </c>
      <c r="Y51" s="29">
        <v>18.3</v>
      </c>
      <c r="Z51" s="38" t="s">
        <v>471</v>
      </c>
      <c r="AA51" s="29" t="s">
        <v>22</v>
      </c>
      <c r="AB51" s="29" t="s">
        <v>11</v>
      </c>
      <c r="AC51" s="39">
        <v>10.9</v>
      </c>
      <c r="AD51" s="38"/>
      <c r="AG51" s="39"/>
      <c r="AL51" s="38"/>
      <c r="AO51" s="39"/>
      <c r="AP51" s="38"/>
      <c r="AS51" s="39"/>
      <c r="AW51" s="39"/>
      <c r="BA51" s="40"/>
    </row>
    <row r="52" spans="1:53" s="29" customFormat="1" x14ac:dyDescent="0.15">
      <c r="A52" s="52">
        <v>1982</v>
      </c>
      <c r="B52" s="295"/>
      <c r="C52" s="448" t="s">
        <v>594</v>
      </c>
      <c r="D52" s="448"/>
      <c r="E52" s="29">
        <v>280</v>
      </c>
      <c r="G52" s="66">
        <v>7</v>
      </c>
      <c r="H52" s="29">
        <v>10</v>
      </c>
      <c r="J52" s="73">
        <v>18</v>
      </c>
      <c r="K52" s="47">
        <f>G52/$J52*100</f>
        <v>38.888888888888893</v>
      </c>
      <c r="L52" s="47">
        <f>H52/$J52*100</f>
        <v>55.555555555555557</v>
      </c>
      <c r="M52" s="47">
        <f t="shared" si="2"/>
        <v>0</v>
      </c>
      <c r="N52" s="47">
        <f t="shared" si="3"/>
        <v>94.444444444444457</v>
      </c>
      <c r="O52" s="46">
        <v>10.9</v>
      </c>
      <c r="P52" s="47">
        <v>18.3</v>
      </c>
      <c r="Q52" s="47"/>
      <c r="R52" s="48">
        <f t="shared" si="4"/>
        <v>29.200000000000003</v>
      </c>
      <c r="S52" s="29">
        <v>5</v>
      </c>
      <c r="T52" s="286"/>
      <c r="U52" s="295"/>
      <c r="V52" s="38" t="s">
        <v>470</v>
      </c>
      <c r="W52" s="29" t="s">
        <v>869</v>
      </c>
      <c r="X52" s="29" t="s">
        <v>18</v>
      </c>
      <c r="Y52" s="29">
        <v>18.3</v>
      </c>
      <c r="Z52" s="38" t="s">
        <v>471</v>
      </c>
      <c r="AA52" s="29" t="s">
        <v>22</v>
      </c>
      <c r="AB52" s="29" t="s">
        <v>11</v>
      </c>
      <c r="AC52" s="39">
        <v>10.9</v>
      </c>
      <c r="AD52" s="38"/>
      <c r="AG52" s="39"/>
      <c r="AL52" s="38"/>
      <c r="AO52" s="39"/>
      <c r="AP52" s="38"/>
      <c r="AS52" s="39"/>
      <c r="AW52" s="39"/>
      <c r="BA52" s="40"/>
    </row>
    <row r="53" spans="1:53" s="171" customFormat="1" x14ac:dyDescent="0.15">
      <c r="A53" s="216">
        <v>1982</v>
      </c>
      <c r="B53" s="283">
        <v>30232</v>
      </c>
      <c r="C53" s="410" t="s">
        <v>595</v>
      </c>
      <c r="D53" s="410"/>
      <c r="E53" s="171">
        <f>365-E52</f>
        <v>85</v>
      </c>
      <c r="F53" s="171">
        <v>1</v>
      </c>
      <c r="G53" s="233"/>
      <c r="I53" s="171">
        <v>20</v>
      </c>
      <c r="J53" s="241">
        <v>20</v>
      </c>
      <c r="K53" s="214">
        <f t="shared" ref="K53:M67" si="5">G53/$J53*100</f>
        <v>0</v>
      </c>
      <c r="L53" s="214">
        <f t="shared" si="5"/>
        <v>0</v>
      </c>
      <c r="M53" s="214">
        <f>I53/$J53*100</f>
        <v>100</v>
      </c>
      <c r="N53" s="214">
        <f t="shared" si="3"/>
        <v>100</v>
      </c>
      <c r="O53" s="213"/>
      <c r="P53" s="214"/>
      <c r="Q53" s="214">
        <v>47.6</v>
      </c>
      <c r="R53" s="215">
        <f t="shared" si="4"/>
        <v>47.6</v>
      </c>
      <c r="S53" s="171">
        <v>4</v>
      </c>
      <c r="T53" s="285">
        <v>30213</v>
      </c>
      <c r="U53" s="283">
        <v>30232</v>
      </c>
      <c r="V53" s="178" t="s">
        <v>469</v>
      </c>
      <c r="W53" s="171" t="s">
        <v>20</v>
      </c>
      <c r="X53" s="171" t="s">
        <v>12</v>
      </c>
      <c r="Y53" s="179">
        <v>47.6</v>
      </c>
      <c r="AD53" s="178"/>
      <c r="AG53" s="179"/>
      <c r="AL53" s="178"/>
      <c r="AO53" s="179"/>
      <c r="AP53" s="178"/>
      <c r="AS53" s="179"/>
      <c r="AW53" s="179"/>
      <c r="BA53" s="180"/>
    </row>
    <row r="54" spans="1:53" s="171" customFormat="1" x14ac:dyDescent="0.15">
      <c r="A54" s="216">
        <v>1983</v>
      </c>
      <c r="B54" s="283"/>
      <c r="C54" s="410" t="s">
        <v>595</v>
      </c>
      <c r="D54" s="410"/>
      <c r="E54" s="171">
        <v>0</v>
      </c>
      <c r="G54" s="233"/>
      <c r="I54" s="171">
        <v>20</v>
      </c>
      <c r="J54" s="241">
        <v>20</v>
      </c>
      <c r="K54" s="214">
        <f t="shared" si="5"/>
        <v>0</v>
      </c>
      <c r="L54" s="214">
        <f t="shared" si="5"/>
        <v>0</v>
      </c>
      <c r="M54" s="214">
        <f t="shared" si="2"/>
        <v>100</v>
      </c>
      <c r="N54" s="214">
        <f t="shared" si="3"/>
        <v>100</v>
      </c>
      <c r="O54" s="213"/>
      <c r="P54" s="214"/>
      <c r="Q54" s="214">
        <v>47.6</v>
      </c>
      <c r="R54" s="215">
        <f t="shared" si="4"/>
        <v>47.6</v>
      </c>
      <c r="S54" s="171">
        <v>4</v>
      </c>
      <c r="T54" s="285"/>
      <c r="U54" s="283"/>
      <c r="V54" s="178" t="s">
        <v>469</v>
      </c>
      <c r="W54" s="171" t="s">
        <v>20</v>
      </c>
      <c r="X54" s="171" t="s">
        <v>12</v>
      </c>
      <c r="Y54" s="179">
        <v>47.6</v>
      </c>
      <c r="AD54" s="178"/>
      <c r="AG54" s="179"/>
      <c r="AL54" s="178"/>
      <c r="AO54" s="179"/>
      <c r="AP54" s="178"/>
      <c r="AS54" s="179"/>
      <c r="AW54" s="179"/>
      <c r="BA54" s="180"/>
    </row>
    <row r="55" spans="1:53" s="171" customFormat="1" x14ac:dyDescent="0.15">
      <c r="A55" s="216">
        <v>1983</v>
      </c>
      <c r="B55" s="283"/>
      <c r="C55" s="410" t="s">
        <v>595</v>
      </c>
      <c r="D55" s="410"/>
      <c r="E55" s="171">
        <v>365</v>
      </c>
      <c r="G55" s="233"/>
      <c r="I55" s="171">
        <v>20</v>
      </c>
      <c r="J55" s="241">
        <v>20</v>
      </c>
      <c r="K55" s="214">
        <f t="shared" si="5"/>
        <v>0</v>
      </c>
      <c r="L55" s="214">
        <f t="shared" si="5"/>
        <v>0</v>
      </c>
      <c r="M55" s="214">
        <f t="shared" si="2"/>
        <v>100</v>
      </c>
      <c r="N55" s="214">
        <f t="shared" si="3"/>
        <v>100</v>
      </c>
      <c r="O55" s="213"/>
      <c r="P55" s="214"/>
      <c r="Q55" s="214">
        <v>47.6</v>
      </c>
      <c r="R55" s="215">
        <f t="shared" si="4"/>
        <v>47.6</v>
      </c>
      <c r="S55" s="171">
        <v>4</v>
      </c>
      <c r="T55" s="285"/>
      <c r="U55" s="283"/>
      <c r="V55" s="178" t="s">
        <v>469</v>
      </c>
      <c r="W55" s="171" t="s">
        <v>20</v>
      </c>
      <c r="X55" s="171" t="s">
        <v>12</v>
      </c>
      <c r="Y55" s="179">
        <v>47.6</v>
      </c>
      <c r="AD55" s="178"/>
      <c r="AG55" s="179"/>
      <c r="AL55" s="178"/>
      <c r="AO55" s="179"/>
      <c r="AP55" s="178"/>
      <c r="AS55" s="179"/>
      <c r="AW55" s="179"/>
      <c r="BA55" s="180"/>
    </row>
    <row r="56" spans="1:53" s="171" customFormat="1" x14ac:dyDescent="0.15">
      <c r="A56" s="216">
        <v>1984</v>
      </c>
      <c r="B56" s="283"/>
      <c r="C56" s="410" t="s">
        <v>595</v>
      </c>
      <c r="D56" s="410"/>
      <c r="E56" s="171">
        <v>0</v>
      </c>
      <c r="G56" s="233"/>
      <c r="I56" s="171">
        <v>20</v>
      </c>
      <c r="J56" s="241">
        <v>20</v>
      </c>
      <c r="K56" s="214">
        <f t="shared" si="5"/>
        <v>0</v>
      </c>
      <c r="L56" s="214">
        <f t="shared" si="5"/>
        <v>0</v>
      </c>
      <c r="M56" s="214">
        <f t="shared" si="2"/>
        <v>100</v>
      </c>
      <c r="N56" s="214">
        <f t="shared" si="3"/>
        <v>100</v>
      </c>
      <c r="O56" s="213"/>
      <c r="P56" s="214"/>
      <c r="Q56" s="214">
        <v>47.6</v>
      </c>
      <c r="R56" s="215">
        <f t="shared" si="4"/>
        <v>47.6</v>
      </c>
      <c r="S56" s="171">
        <v>4</v>
      </c>
      <c r="T56" s="285"/>
      <c r="U56" s="283"/>
      <c r="V56" s="178" t="s">
        <v>469</v>
      </c>
      <c r="W56" s="171" t="s">
        <v>20</v>
      </c>
      <c r="X56" s="171" t="s">
        <v>12</v>
      </c>
      <c r="Y56" s="179">
        <v>47.6</v>
      </c>
      <c r="AD56" s="178"/>
      <c r="AG56" s="179"/>
      <c r="AL56" s="178"/>
      <c r="AO56" s="179"/>
      <c r="AP56" s="178"/>
      <c r="AS56" s="179"/>
      <c r="AW56" s="179"/>
      <c r="BA56" s="180"/>
    </row>
    <row r="57" spans="1:53" s="171" customFormat="1" x14ac:dyDescent="0.15">
      <c r="A57" s="216">
        <v>1984</v>
      </c>
      <c r="B57" s="283"/>
      <c r="C57" s="410" t="s">
        <v>595</v>
      </c>
      <c r="D57" s="410"/>
      <c r="E57" s="171">
        <v>366</v>
      </c>
      <c r="G57" s="233"/>
      <c r="I57" s="171">
        <v>20</v>
      </c>
      <c r="J57" s="241">
        <v>20</v>
      </c>
      <c r="K57" s="214">
        <f t="shared" si="5"/>
        <v>0</v>
      </c>
      <c r="L57" s="214">
        <f t="shared" si="5"/>
        <v>0</v>
      </c>
      <c r="M57" s="214">
        <f t="shared" si="2"/>
        <v>100</v>
      </c>
      <c r="N57" s="214">
        <f t="shared" si="3"/>
        <v>100</v>
      </c>
      <c r="O57" s="213"/>
      <c r="P57" s="214"/>
      <c r="Q57" s="214">
        <v>47.6</v>
      </c>
      <c r="R57" s="215">
        <f t="shared" si="4"/>
        <v>47.6</v>
      </c>
      <c r="S57" s="171">
        <v>4</v>
      </c>
      <c r="T57" s="285"/>
      <c r="U57" s="283"/>
      <c r="V57" s="178" t="s">
        <v>469</v>
      </c>
      <c r="W57" s="171" t="s">
        <v>20</v>
      </c>
      <c r="X57" s="171" t="s">
        <v>12</v>
      </c>
      <c r="Y57" s="179">
        <v>47.6</v>
      </c>
      <c r="AD57" s="178"/>
      <c r="AG57" s="179"/>
      <c r="AL57" s="178"/>
      <c r="AO57" s="179"/>
      <c r="AP57" s="178"/>
      <c r="AS57" s="179"/>
      <c r="AW57" s="179"/>
      <c r="BA57" s="180"/>
    </row>
    <row r="58" spans="1:53" s="171" customFormat="1" x14ac:dyDescent="0.15">
      <c r="A58" s="216">
        <v>1985</v>
      </c>
      <c r="B58" s="283"/>
      <c r="C58" s="410" t="s">
        <v>595</v>
      </c>
      <c r="D58" s="410"/>
      <c r="E58" s="171">
        <v>276</v>
      </c>
      <c r="G58" s="233"/>
      <c r="I58" s="171">
        <v>20</v>
      </c>
      <c r="J58" s="241">
        <v>20</v>
      </c>
      <c r="K58" s="214">
        <f t="shared" si="5"/>
        <v>0</v>
      </c>
      <c r="L58" s="214">
        <f t="shared" si="5"/>
        <v>0</v>
      </c>
      <c r="M58" s="214">
        <f t="shared" si="2"/>
        <v>100</v>
      </c>
      <c r="N58" s="214">
        <f t="shared" si="3"/>
        <v>100</v>
      </c>
      <c r="O58" s="213"/>
      <c r="P58" s="214"/>
      <c r="Q58" s="214">
        <v>47.6</v>
      </c>
      <c r="R58" s="215">
        <f t="shared" si="4"/>
        <v>47.6</v>
      </c>
      <c r="S58" s="171">
        <v>4</v>
      </c>
      <c r="T58" s="285"/>
      <c r="U58" s="283"/>
      <c r="V58" s="178" t="s">
        <v>469</v>
      </c>
      <c r="W58" s="171" t="s">
        <v>20</v>
      </c>
      <c r="X58" s="171" t="s">
        <v>12</v>
      </c>
      <c r="Y58" s="179">
        <v>47.6</v>
      </c>
      <c r="AD58" s="178"/>
      <c r="AG58" s="179"/>
      <c r="AL58" s="178"/>
      <c r="AO58" s="179"/>
      <c r="AP58" s="178"/>
      <c r="AS58" s="179"/>
      <c r="AW58" s="179"/>
      <c r="BA58" s="180"/>
    </row>
    <row r="59" spans="1:53" s="29" customFormat="1" x14ac:dyDescent="0.15">
      <c r="A59" s="52">
        <v>1985</v>
      </c>
      <c r="B59" s="295">
        <v>31324</v>
      </c>
      <c r="C59" s="411" t="s">
        <v>596</v>
      </c>
      <c r="D59" s="411"/>
      <c r="E59" s="29">
        <f>365-E58</f>
        <v>89</v>
      </c>
      <c r="F59" s="29">
        <v>1</v>
      </c>
      <c r="G59" s="66"/>
      <c r="I59" s="29">
        <v>21</v>
      </c>
      <c r="J59" s="73">
        <v>21</v>
      </c>
      <c r="K59" s="47">
        <f t="shared" si="5"/>
        <v>0</v>
      </c>
      <c r="L59" s="47">
        <f t="shared" si="5"/>
        <v>0</v>
      </c>
      <c r="M59" s="47">
        <f t="shared" si="2"/>
        <v>100</v>
      </c>
      <c r="N59" s="47">
        <f t="shared" si="3"/>
        <v>100</v>
      </c>
      <c r="O59" s="46"/>
      <c r="P59" s="47"/>
      <c r="Q59" s="47">
        <v>45.6</v>
      </c>
      <c r="R59" s="48">
        <f t="shared" si="4"/>
        <v>45.6</v>
      </c>
      <c r="S59" s="29">
        <v>4</v>
      </c>
      <c r="T59" s="286">
        <v>31305</v>
      </c>
      <c r="U59" s="295">
        <v>31324</v>
      </c>
      <c r="V59" s="38" t="s">
        <v>469</v>
      </c>
      <c r="W59" s="29" t="s">
        <v>20</v>
      </c>
      <c r="X59" s="29" t="s">
        <v>12</v>
      </c>
      <c r="Y59" s="39">
        <v>45.6</v>
      </c>
      <c r="AD59" s="38"/>
      <c r="AG59" s="39"/>
      <c r="AL59" s="38"/>
      <c r="AO59" s="39"/>
      <c r="AP59" s="38"/>
      <c r="AS59" s="39"/>
      <c r="AW59" s="39"/>
      <c r="BA59" s="40"/>
    </row>
    <row r="60" spans="1:53" s="29" customFormat="1" x14ac:dyDescent="0.15">
      <c r="A60" s="52">
        <v>1986</v>
      </c>
      <c r="B60" s="295"/>
      <c r="C60" s="411" t="s">
        <v>596</v>
      </c>
      <c r="D60" s="411"/>
      <c r="E60" s="29">
        <v>59</v>
      </c>
      <c r="G60" s="66"/>
      <c r="I60" s="29">
        <v>21</v>
      </c>
      <c r="J60" s="73">
        <v>21</v>
      </c>
      <c r="K60" s="47">
        <f t="shared" si="5"/>
        <v>0</v>
      </c>
      <c r="L60" s="47">
        <f t="shared" si="5"/>
        <v>0</v>
      </c>
      <c r="M60" s="47">
        <f t="shared" si="5"/>
        <v>100</v>
      </c>
      <c r="N60" s="47">
        <f t="shared" si="3"/>
        <v>100</v>
      </c>
      <c r="O60" s="46"/>
      <c r="P60" s="47"/>
      <c r="Q60" s="47">
        <v>45.6</v>
      </c>
      <c r="R60" s="48">
        <f t="shared" si="4"/>
        <v>45.6</v>
      </c>
      <c r="S60" s="29">
        <v>4</v>
      </c>
      <c r="T60" s="286"/>
      <c r="U60" s="295"/>
      <c r="V60" s="38" t="s">
        <v>469</v>
      </c>
      <c r="W60" s="29" t="s">
        <v>20</v>
      </c>
      <c r="X60" s="29" t="s">
        <v>12</v>
      </c>
      <c r="Y60" s="39">
        <v>45.6</v>
      </c>
      <c r="AD60" s="38"/>
      <c r="AG60" s="39"/>
      <c r="AL60" s="38"/>
      <c r="AO60" s="39"/>
      <c r="AP60" s="38"/>
      <c r="AS60" s="39"/>
      <c r="AW60" s="39"/>
      <c r="BA60" s="40"/>
    </row>
    <row r="61" spans="1:53" s="171" customFormat="1" x14ac:dyDescent="0.15">
      <c r="A61" s="216">
        <v>1986</v>
      </c>
      <c r="B61" s="283">
        <v>31472</v>
      </c>
      <c r="C61" s="410" t="s">
        <v>597</v>
      </c>
      <c r="D61" s="410"/>
      <c r="E61" s="171">
        <f>365-E60</f>
        <v>306</v>
      </c>
      <c r="F61" s="171" t="s">
        <v>335</v>
      </c>
      <c r="G61" s="233"/>
      <c r="I61" s="171">
        <v>20</v>
      </c>
      <c r="J61" s="241">
        <v>20</v>
      </c>
      <c r="K61" s="214">
        <f t="shared" si="5"/>
        <v>0</v>
      </c>
      <c r="L61" s="214">
        <f t="shared" si="5"/>
        <v>0</v>
      </c>
      <c r="M61" s="214">
        <f t="shared" si="5"/>
        <v>100</v>
      </c>
      <c r="N61" s="214">
        <f t="shared" si="3"/>
        <v>100</v>
      </c>
      <c r="O61" s="213"/>
      <c r="P61" s="214"/>
      <c r="Q61" s="214">
        <v>45.6</v>
      </c>
      <c r="R61" s="215">
        <f t="shared" si="4"/>
        <v>45.6</v>
      </c>
      <c r="S61" s="171">
        <v>4</v>
      </c>
      <c r="T61" s="285"/>
      <c r="U61" s="283">
        <v>31472</v>
      </c>
      <c r="V61" s="178" t="s">
        <v>469</v>
      </c>
      <c r="W61" s="171" t="s">
        <v>20</v>
      </c>
      <c r="X61" s="171" t="s">
        <v>12</v>
      </c>
      <c r="Y61" s="179">
        <v>45.6</v>
      </c>
      <c r="AD61" s="178"/>
      <c r="AG61" s="179"/>
      <c r="AL61" s="178"/>
      <c r="AO61" s="179"/>
      <c r="AP61" s="178"/>
      <c r="AS61" s="179"/>
      <c r="AW61" s="179"/>
      <c r="BA61" s="180"/>
    </row>
    <row r="62" spans="1:53" s="171" customFormat="1" x14ac:dyDescent="0.15">
      <c r="A62" s="216">
        <v>1987</v>
      </c>
      <c r="B62" s="283"/>
      <c r="C62" s="410" t="s">
        <v>597</v>
      </c>
      <c r="D62" s="410"/>
      <c r="E62" s="171">
        <v>0</v>
      </c>
      <c r="G62" s="233"/>
      <c r="I62" s="171">
        <v>20</v>
      </c>
      <c r="J62" s="241">
        <v>20</v>
      </c>
      <c r="K62" s="214">
        <f t="shared" si="5"/>
        <v>0</v>
      </c>
      <c r="L62" s="214">
        <f t="shared" si="5"/>
        <v>0</v>
      </c>
      <c r="M62" s="214">
        <f t="shared" si="5"/>
        <v>100</v>
      </c>
      <c r="N62" s="214">
        <f t="shared" si="3"/>
        <v>100</v>
      </c>
      <c r="O62" s="213"/>
      <c r="P62" s="214"/>
      <c r="Q62" s="214">
        <v>45.6</v>
      </c>
      <c r="R62" s="215">
        <f t="shared" si="4"/>
        <v>45.6</v>
      </c>
      <c r="S62" s="171">
        <v>4</v>
      </c>
      <c r="T62" s="285"/>
      <c r="U62" s="283"/>
      <c r="V62" s="178" t="s">
        <v>469</v>
      </c>
      <c r="W62" s="171" t="s">
        <v>20</v>
      </c>
      <c r="X62" s="171" t="s">
        <v>12</v>
      </c>
      <c r="Y62" s="179">
        <v>45.6</v>
      </c>
      <c r="AD62" s="178"/>
      <c r="AG62" s="179"/>
      <c r="AL62" s="178"/>
      <c r="AO62" s="179"/>
      <c r="AP62" s="178"/>
      <c r="AS62" s="179"/>
      <c r="AW62" s="179"/>
      <c r="BA62" s="180"/>
    </row>
    <row r="63" spans="1:53" s="171" customFormat="1" x14ac:dyDescent="0.15">
      <c r="A63" s="216">
        <v>1987</v>
      </c>
      <c r="B63" s="283"/>
      <c r="C63" s="410" t="s">
        <v>597</v>
      </c>
      <c r="D63" s="410"/>
      <c r="E63" s="171">
        <v>365</v>
      </c>
      <c r="G63" s="233"/>
      <c r="I63" s="171">
        <v>20</v>
      </c>
      <c r="J63" s="241">
        <v>20</v>
      </c>
      <c r="K63" s="214">
        <f t="shared" si="5"/>
        <v>0</v>
      </c>
      <c r="L63" s="214">
        <f t="shared" si="5"/>
        <v>0</v>
      </c>
      <c r="M63" s="214">
        <f>I63/$J63*100</f>
        <v>100</v>
      </c>
      <c r="N63" s="214">
        <f t="shared" si="3"/>
        <v>100</v>
      </c>
      <c r="O63" s="213"/>
      <c r="P63" s="214"/>
      <c r="Q63" s="214">
        <v>45.6</v>
      </c>
      <c r="R63" s="215">
        <f t="shared" si="4"/>
        <v>45.6</v>
      </c>
      <c r="S63" s="171">
        <v>4</v>
      </c>
      <c r="T63" s="285"/>
      <c r="U63" s="283"/>
      <c r="V63" s="178" t="s">
        <v>469</v>
      </c>
      <c r="W63" s="171" t="s">
        <v>20</v>
      </c>
      <c r="X63" s="171" t="s">
        <v>12</v>
      </c>
      <c r="Y63" s="179">
        <v>45.6</v>
      </c>
      <c r="AD63" s="178"/>
      <c r="AG63" s="179"/>
      <c r="AL63" s="178"/>
      <c r="AO63" s="179"/>
      <c r="AP63" s="178"/>
      <c r="AS63" s="179"/>
      <c r="AW63" s="179"/>
      <c r="BA63" s="180"/>
    </row>
    <row r="64" spans="1:53" s="171" customFormat="1" x14ac:dyDescent="0.15">
      <c r="A64" s="216">
        <v>1988</v>
      </c>
      <c r="B64" s="283"/>
      <c r="C64" s="410" t="s">
        <v>597</v>
      </c>
      <c r="D64" s="410"/>
      <c r="E64" s="171">
        <v>277</v>
      </c>
      <c r="G64" s="233"/>
      <c r="I64" s="171">
        <v>20</v>
      </c>
      <c r="J64" s="241">
        <v>20</v>
      </c>
      <c r="K64" s="214">
        <f t="shared" si="5"/>
        <v>0</v>
      </c>
      <c r="L64" s="214">
        <f t="shared" si="5"/>
        <v>0</v>
      </c>
      <c r="M64" s="214">
        <f t="shared" si="5"/>
        <v>100</v>
      </c>
      <c r="N64" s="214">
        <f t="shared" si="3"/>
        <v>100</v>
      </c>
      <c r="O64" s="213"/>
      <c r="P64" s="214"/>
      <c r="Q64" s="214">
        <v>45.6</v>
      </c>
      <c r="R64" s="215">
        <f t="shared" si="4"/>
        <v>45.6</v>
      </c>
      <c r="S64" s="171">
        <v>4</v>
      </c>
      <c r="T64" s="285"/>
      <c r="U64" s="283"/>
      <c r="V64" s="178" t="s">
        <v>469</v>
      </c>
      <c r="W64" s="171" t="s">
        <v>20</v>
      </c>
      <c r="X64" s="171" t="s">
        <v>12</v>
      </c>
      <c r="Y64" s="179">
        <v>45.6</v>
      </c>
      <c r="AD64" s="178"/>
      <c r="AG64" s="179"/>
      <c r="AL64" s="178"/>
      <c r="AO64" s="179"/>
      <c r="AP64" s="178"/>
      <c r="AS64" s="179"/>
      <c r="AW64" s="179"/>
      <c r="BA64" s="180"/>
    </row>
    <row r="65" spans="1:53" s="29" customFormat="1" x14ac:dyDescent="0.15">
      <c r="A65" s="52">
        <v>1988</v>
      </c>
      <c r="B65" s="295">
        <v>32420</v>
      </c>
      <c r="C65" s="411" t="s">
        <v>598</v>
      </c>
      <c r="D65" s="411"/>
      <c r="E65" s="29">
        <f>366-E64</f>
        <v>89</v>
      </c>
      <c r="F65" s="29">
        <v>1</v>
      </c>
      <c r="G65" s="66"/>
      <c r="I65" s="29">
        <v>21</v>
      </c>
      <c r="J65" s="73">
        <v>21</v>
      </c>
      <c r="K65" s="47">
        <f t="shared" si="5"/>
        <v>0</v>
      </c>
      <c r="L65" s="47">
        <f t="shared" si="5"/>
        <v>0</v>
      </c>
      <c r="M65" s="47">
        <f t="shared" si="5"/>
        <v>100</v>
      </c>
      <c r="N65" s="47">
        <f t="shared" si="3"/>
        <v>100</v>
      </c>
      <c r="O65" s="46"/>
      <c r="P65" s="47"/>
      <c r="Q65" s="47">
        <v>44.7</v>
      </c>
      <c r="R65" s="48">
        <f t="shared" si="4"/>
        <v>44.7</v>
      </c>
      <c r="S65" s="29">
        <v>4</v>
      </c>
      <c r="T65" s="286">
        <v>32404</v>
      </c>
      <c r="U65" s="295">
        <v>32420</v>
      </c>
      <c r="V65" s="38" t="s">
        <v>469</v>
      </c>
      <c r="W65" s="29" t="s">
        <v>20</v>
      </c>
      <c r="X65" s="29" t="s">
        <v>12</v>
      </c>
      <c r="Y65" s="39">
        <v>44.7</v>
      </c>
      <c r="AD65" s="38"/>
      <c r="AG65" s="39"/>
      <c r="AL65" s="38"/>
      <c r="AO65" s="39"/>
      <c r="AP65" s="38"/>
      <c r="AS65" s="39"/>
      <c r="AW65" s="39"/>
      <c r="BA65" s="40"/>
    </row>
    <row r="66" spans="1:53" s="29" customFormat="1" x14ac:dyDescent="0.15">
      <c r="A66" s="52">
        <v>1989</v>
      </c>
      <c r="B66" s="295"/>
      <c r="C66" s="411" t="s">
        <v>598</v>
      </c>
      <c r="D66" s="411"/>
      <c r="E66" s="29">
        <v>0</v>
      </c>
      <c r="G66" s="66"/>
      <c r="I66" s="29">
        <v>21</v>
      </c>
      <c r="J66" s="73">
        <v>21</v>
      </c>
      <c r="K66" s="47">
        <f t="shared" si="5"/>
        <v>0</v>
      </c>
      <c r="L66" s="47">
        <f t="shared" si="5"/>
        <v>0</v>
      </c>
      <c r="M66" s="47">
        <f t="shared" si="5"/>
        <v>100</v>
      </c>
      <c r="N66" s="47">
        <f t="shared" si="3"/>
        <v>100</v>
      </c>
      <c r="O66" s="46"/>
      <c r="P66" s="47"/>
      <c r="Q66" s="47">
        <v>44.7</v>
      </c>
      <c r="R66" s="48">
        <f t="shared" si="4"/>
        <v>44.7</v>
      </c>
      <c r="S66" s="29">
        <v>4</v>
      </c>
      <c r="T66" s="286"/>
      <c r="U66" s="295"/>
      <c r="V66" s="38" t="s">
        <v>469</v>
      </c>
      <c r="W66" s="29" t="s">
        <v>20</v>
      </c>
      <c r="X66" s="29" t="s">
        <v>12</v>
      </c>
      <c r="Y66" s="39">
        <v>44.7</v>
      </c>
      <c r="AD66" s="38"/>
      <c r="AG66" s="39"/>
      <c r="AL66" s="38"/>
      <c r="AO66" s="39"/>
      <c r="AP66" s="38"/>
      <c r="AS66" s="39"/>
      <c r="AW66" s="39"/>
      <c r="BA66" s="40"/>
    </row>
    <row r="67" spans="1:53" s="29" customFormat="1" x14ac:dyDescent="0.15">
      <c r="A67" s="52">
        <v>1989</v>
      </c>
      <c r="B67" s="295"/>
      <c r="C67" s="411" t="s">
        <v>598</v>
      </c>
      <c r="D67" s="411"/>
      <c r="E67" s="29">
        <f>365-E66</f>
        <v>365</v>
      </c>
      <c r="G67" s="75"/>
      <c r="H67" s="74"/>
      <c r="I67" s="74">
        <v>21</v>
      </c>
      <c r="J67" s="73">
        <v>21</v>
      </c>
      <c r="K67" s="47">
        <f t="shared" si="5"/>
        <v>0</v>
      </c>
      <c r="L67" s="47">
        <f t="shared" si="5"/>
        <v>0</v>
      </c>
      <c r="M67" s="47">
        <f t="shared" si="5"/>
        <v>100</v>
      </c>
      <c r="N67" s="47">
        <f t="shared" si="3"/>
        <v>100</v>
      </c>
      <c r="O67" s="46"/>
      <c r="P67" s="47"/>
      <c r="Q67" s="47">
        <v>44.7</v>
      </c>
      <c r="R67" s="48">
        <f t="shared" si="4"/>
        <v>44.7</v>
      </c>
      <c r="S67" s="29">
        <v>4</v>
      </c>
      <c r="T67" s="286"/>
      <c r="U67" s="295"/>
      <c r="V67" s="38" t="s">
        <v>469</v>
      </c>
      <c r="W67" s="29" t="s">
        <v>20</v>
      </c>
      <c r="X67" s="29" t="s">
        <v>12</v>
      </c>
      <c r="Y67" s="39">
        <v>44.7</v>
      </c>
      <c r="AD67" s="38"/>
      <c r="AG67" s="39"/>
      <c r="AL67" s="38"/>
      <c r="AO67" s="39"/>
      <c r="AP67" s="38"/>
      <c r="AS67" s="39"/>
      <c r="AW67" s="39"/>
      <c r="BA67" s="40"/>
    </row>
    <row r="68" spans="1:53" s="85" customFormat="1" x14ac:dyDescent="0.15">
      <c r="A68" s="85">
        <v>1990</v>
      </c>
      <c r="B68" s="312"/>
      <c r="C68" s="440" t="s">
        <v>598</v>
      </c>
      <c r="D68" s="440"/>
      <c r="E68" s="85">
        <v>56</v>
      </c>
      <c r="G68" s="66"/>
      <c r="H68" s="29"/>
      <c r="I68" s="29">
        <v>21</v>
      </c>
      <c r="J68" s="96">
        <v>21</v>
      </c>
      <c r="K68" s="97">
        <v>0</v>
      </c>
      <c r="L68" s="97">
        <v>0</v>
      </c>
      <c r="M68" s="97">
        <v>100</v>
      </c>
      <c r="N68" s="123">
        <f t="shared" si="3"/>
        <v>100</v>
      </c>
      <c r="O68" s="99"/>
      <c r="P68" s="97"/>
      <c r="Q68" s="97">
        <v>44.7</v>
      </c>
      <c r="R68" s="100">
        <f t="shared" si="4"/>
        <v>44.7</v>
      </c>
      <c r="S68" s="85">
        <v>4</v>
      </c>
      <c r="T68" s="313"/>
      <c r="U68" s="312"/>
      <c r="V68" s="101" t="s">
        <v>469</v>
      </c>
      <c r="W68" s="85" t="s">
        <v>20</v>
      </c>
      <c r="X68" s="85" t="s">
        <v>12</v>
      </c>
      <c r="Y68" s="102">
        <v>44.7</v>
      </c>
      <c r="AD68" s="101"/>
      <c r="AG68" s="102"/>
      <c r="AL68" s="101"/>
      <c r="AO68" s="102"/>
      <c r="AP68" s="101"/>
      <c r="AS68" s="102"/>
      <c r="AW68" s="102"/>
      <c r="BA68" s="103"/>
    </row>
    <row r="69" spans="1:53" s="171" customFormat="1" x14ac:dyDescent="0.15">
      <c r="A69" s="171">
        <v>1990</v>
      </c>
      <c r="B69" s="283">
        <v>32930</v>
      </c>
      <c r="C69" s="410" t="s">
        <v>599</v>
      </c>
      <c r="D69" s="410"/>
      <c r="E69" s="171">
        <f>365-E68</f>
        <v>309</v>
      </c>
      <c r="F69" s="171">
        <v>5</v>
      </c>
      <c r="G69" s="233"/>
      <c r="I69" s="171">
        <v>22</v>
      </c>
      <c r="J69" s="241">
        <v>22</v>
      </c>
      <c r="K69" s="214">
        <f>G69/J69*100</f>
        <v>0</v>
      </c>
      <c r="L69" s="214">
        <f>H69/J69*100</f>
        <v>0</v>
      </c>
      <c r="M69" s="214">
        <f>I69/J69*100</f>
        <v>100</v>
      </c>
      <c r="N69" s="214">
        <f t="shared" si="3"/>
        <v>100</v>
      </c>
      <c r="O69" s="213"/>
      <c r="P69" s="214"/>
      <c r="Q69" s="214">
        <v>44.7</v>
      </c>
      <c r="R69" s="215">
        <f t="shared" si="4"/>
        <v>44.7</v>
      </c>
      <c r="S69" s="171">
        <v>4</v>
      </c>
      <c r="T69" s="285"/>
      <c r="U69" s="283">
        <v>32930</v>
      </c>
      <c r="V69" s="178" t="s">
        <v>469</v>
      </c>
      <c r="W69" s="171" t="s">
        <v>20</v>
      </c>
      <c r="X69" s="171" t="s">
        <v>12</v>
      </c>
      <c r="Y69" s="179">
        <v>44.7</v>
      </c>
      <c r="AD69" s="178"/>
      <c r="AG69" s="179"/>
      <c r="AL69" s="178"/>
      <c r="AO69" s="179"/>
      <c r="AP69" s="178"/>
      <c r="AS69" s="179"/>
      <c r="AW69" s="179"/>
      <c r="BA69" s="180"/>
    </row>
    <row r="70" spans="1:53" s="171" customFormat="1" x14ac:dyDescent="0.15">
      <c r="A70" s="171">
        <v>1991</v>
      </c>
      <c r="B70" s="283"/>
      <c r="C70" s="410" t="s">
        <v>599</v>
      </c>
      <c r="D70" s="410"/>
      <c r="E70" s="171">
        <v>275</v>
      </c>
      <c r="G70" s="233"/>
      <c r="I70" s="171">
        <v>22</v>
      </c>
      <c r="J70" s="241">
        <v>22</v>
      </c>
      <c r="K70" s="214">
        <f>G70/J70*100</f>
        <v>0</v>
      </c>
      <c r="L70" s="214">
        <f>H70/J70*100</f>
        <v>0</v>
      </c>
      <c r="M70" s="214">
        <f>I70/J70*100</f>
        <v>100</v>
      </c>
      <c r="N70" s="214">
        <f t="shared" si="3"/>
        <v>100</v>
      </c>
      <c r="O70" s="213"/>
      <c r="P70" s="214"/>
      <c r="Q70" s="214">
        <v>44.7</v>
      </c>
      <c r="R70" s="215">
        <f t="shared" si="4"/>
        <v>44.7</v>
      </c>
      <c r="S70" s="171">
        <v>4</v>
      </c>
      <c r="T70" s="285"/>
      <c r="U70" s="283"/>
      <c r="V70" s="178" t="s">
        <v>469</v>
      </c>
      <c r="W70" s="171" t="s">
        <v>20</v>
      </c>
      <c r="X70" s="171" t="s">
        <v>12</v>
      </c>
      <c r="Y70" s="179">
        <v>44.7</v>
      </c>
      <c r="AD70" s="178"/>
      <c r="AG70" s="179"/>
      <c r="AL70" s="178"/>
      <c r="AO70" s="179"/>
      <c r="AP70" s="178"/>
      <c r="AS70" s="179"/>
      <c r="AW70" s="179"/>
      <c r="BA70" s="180"/>
    </row>
    <row r="71" spans="1:53" s="29" customFormat="1" x14ac:dyDescent="0.15">
      <c r="A71" s="29">
        <v>1991</v>
      </c>
      <c r="B71" s="295">
        <v>33514</v>
      </c>
      <c r="C71" s="411" t="s">
        <v>600</v>
      </c>
      <c r="D71" s="411"/>
      <c r="E71" s="29">
        <f>365-E70</f>
        <v>90</v>
      </c>
      <c r="F71" s="29">
        <v>1</v>
      </c>
      <c r="G71" s="66">
        <v>13</v>
      </c>
      <c r="H71" s="29">
        <v>7</v>
      </c>
      <c r="J71" s="73">
        <v>21</v>
      </c>
      <c r="K71" s="47">
        <f>G71/J71*100</f>
        <v>61.904761904761905</v>
      </c>
      <c r="L71" s="47">
        <f>H71/J71*100</f>
        <v>33.333333333333329</v>
      </c>
      <c r="M71" s="47">
        <f>I71/J71*100</f>
        <v>0</v>
      </c>
      <c r="N71" s="47">
        <f t="shared" si="3"/>
        <v>95.238095238095241</v>
      </c>
      <c r="O71" s="46">
        <v>32.4</v>
      </c>
      <c r="P71" s="47">
        <v>16.3</v>
      </c>
      <c r="Q71" s="47"/>
      <c r="R71" s="48">
        <f t="shared" si="4"/>
        <v>48.7</v>
      </c>
      <c r="S71" s="29">
        <v>5</v>
      </c>
      <c r="T71" s="286">
        <v>33496</v>
      </c>
      <c r="U71" s="295">
        <v>33514</v>
      </c>
      <c r="V71" s="38" t="s">
        <v>472</v>
      </c>
      <c r="W71" s="29" t="s">
        <v>74</v>
      </c>
      <c r="X71" s="29" t="s">
        <v>11</v>
      </c>
      <c r="Y71" s="39">
        <v>22.9</v>
      </c>
      <c r="Z71" s="29" t="s">
        <v>471</v>
      </c>
      <c r="AA71" s="29" t="s">
        <v>22</v>
      </c>
      <c r="AB71" s="29" t="s">
        <v>11</v>
      </c>
      <c r="AC71" s="29">
        <v>9.5</v>
      </c>
      <c r="AD71" s="38" t="s">
        <v>470</v>
      </c>
      <c r="AE71" s="29" t="s">
        <v>869</v>
      </c>
      <c r="AF71" s="29" t="s">
        <v>18</v>
      </c>
      <c r="AG71" s="39">
        <v>8.9</v>
      </c>
      <c r="AH71" s="38" t="s">
        <v>473</v>
      </c>
      <c r="AI71" s="29" t="s">
        <v>17</v>
      </c>
      <c r="AJ71" s="29" t="s">
        <v>18</v>
      </c>
      <c r="AK71" s="29">
        <v>7.4</v>
      </c>
      <c r="AL71" s="38"/>
      <c r="AO71" s="39"/>
      <c r="AP71" s="38"/>
      <c r="AS71" s="39"/>
      <c r="AW71" s="39"/>
      <c r="BA71" s="40"/>
    </row>
    <row r="72" spans="1:53" s="29" customFormat="1" x14ac:dyDescent="0.15">
      <c r="A72" s="29">
        <v>1992</v>
      </c>
      <c r="B72" s="295"/>
      <c r="C72" s="411" t="s">
        <v>600</v>
      </c>
      <c r="D72" s="411"/>
      <c r="E72" s="29">
        <v>0</v>
      </c>
      <c r="G72" s="66">
        <v>13</v>
      </c>
      <c r="H72" s="29">
        <v>6</v>
      </c>
      <c r="J72" s="73">
        <v>20</v>
      </c>
      <c r="K72" s="47">
        <f>G72/J72*100</f>
        <v>65</v>
      </c>
      <c r="L72" s="47">
        <f>H72/J72*100</f>
        <v>30</v>
      </c>
      <c r="M72" s="47">
        <f>I72/J72*100</f>
        <v>0</v>
      </c>
      <c r="N72" s="47">
        <f t="shared" si="3"/>
        <v>95</v>
      </c>
      <c r="O72" s="46">
        <v>32.4</v>
      </c>
      <c r="P72" s="47">
        <v>16.3</v>
      </c>
      <c r="Q72" s="47"/>
      <c r="R72" s="48">
        <f t="shared" si="4"/>
        <v>48.7</v>
      </c>
      <c r="S72" s="29">
        <v>5</v>
      </c>
      <c r="T72" s="286"/>
      <c r="U72" s="295"/>
      <c r="V72" s="38" t="s">
        <v>472</v>
      </c>
      <c r="W72" s="29" t="s">
        <v>74</v>
      </c>
      <c r="X72" s="29" t="s">
        <v>11</v>
      </c>
      <c r="Y72" s="39">
        <v>22.9</v>
      </c>
      <c r="Z72" s="29" t="s">
        <v>471</v>
      </c>
      <c r="AA72" s="29" t="s">
        <v>22</v>
      </c>
      <c r="AB72" s="29" t="s">
        <v>11</v>
      </c>
      <c r="AC72" s="29">
        <v>9.5</v>
      </c>
      <c r="AD72" s="38" t="s">
        <v>470</v>
      </c>
      <c r="AE72" s="29" t="s">
        <v>869</v>
      </c>
      <c r="AF72" s="29" t="s">
        <v>18</v>
      </c>
      <c r="AG72" s="39">
        <v>8.9</v>
      </c>
      <c r="AH72" s="38" t="s">
        <v>473</v>
      </c>
      <c r="AI72" s="29" t="s">
        <v>17</v>
      </c>
      <c r="AJ72" s="29" t="s">
        <v>18</v>
      </c>
      <c r="AK72" s="29">
        <v>7.4</v>
      </c>
      <c r="AL72" s="38"/>
      <c r="AO72" s="39"/>
      <c r="AP72" s="38"/>
      <c r="AS72" s="39"/>
      <c r="AW72" s="39"/>
      <c r="BA72" s="40"/>
    </row>
    <row r="73" spans="1:53" s="29" customFormat="1" x14ac:dyDescent="0.15">
      <c r="A73" s="29">
        <v>1992</v>
      </c>
      <c r="B73" s="295"/>
      <c r="C73" s="411" t="s">
        <v>600</v>
      </c>
      <c r="D73" s="411"/>
      <c r="E73" s="29">
        <v>366</v>
      </c>
      <c r="G73" s="66">
        <v>13</v>
      </c>
      <c r="H73" s="29">
        <v>6</v>
      </c>
      <c r="J73" s="73">
        <v>20</v>
      </c>
      <c r="K73" s="47">
        <f>G73/J73*100</f>
        <v>65</v>
      </c>
      <c r="L73" s="47">
        <f>H73/J73*100</f>
        <v>30</v>
      </c>
      <c r="M73" s="47">
        <f>I73/J73*100</f>
        <v>0</v>
      </c>
      <c r="N73" s="47">
        <f t="shared" ref="N73:N115" si="6">K73+L73+M73</f>
        <v>95</v>
      </c>
      <c r="O73" s="46">
        <v>32.4</v>
      </c>
      <c r="P73" s="47">
        <v>16.3</v>
      </c>
      <c r="Q73" s="47"/>
      <c r="R73" s="48">
        <f t="shared" si="4"/>
        <v>48.7</v>
      </c>
      <c r="S73" s="29">
        <v>5</v>
      </c>
      <c r="T73" s="286"/>
      <c r="U73" s="295"/>
      <c r="V73" s="38" t="s">
        <v>472</v>
      </c>
      <c r="W73" s="29" t="s">
        <v>74</v>
      </c>
      <c r="X73" s="29" t="s">
        <v>11</v>
      </c>
      <c r="Y73" s="39">
        <v>22.9</v>
      </c>
      <c r="Z73" s="29" t="s">
        <v>471</v>
      </c>
      <c r="AA73" s="29" t="s">
        <v>22</v>
      </c>
      <c r="AB73" s="29" t="s">
        <v>11</v>
      </c>
      <c r="AC73" s="29">
        <v>9.5</v>
      </c>
      <c r="AD73" s="38" t="s">
        <v>470</v>
      </c>
      <c r="AE73" s="29" t="s">
        <v>869</v>
      </c>
      <c r="AF73" s="29" t="s">
        <v>18</v>
      </c>
      <c r="AG73" s="39">
        <v>8.9</v>
      </c>
      <c r="AH73" s="38" t="s">
        <v>473</v>
      </c>
      <c r="AI73" s="29" t="s">
        <v>17</v>
      </c>
      <c r="AJ73" s="29" t="s">
        <v>18</v>
      </c>
      <c r="AK73" s="29">
        <v>7.4</v>
      </c>
      <c r="AL73" s="38"/>
      <c r="AO73" s="39"/>
      <c r="AP73" s="38"/>
      <c r="AS73" s="39"/>
      <c r="AW73" s="39"/>
      <c r="BA73" s="40"/>
    </row>
    <row r="74" spans="1:53" s="29" customFormat="1" x14ac:dyDescent="0.15">
      <c r="A74" s="29">
        <v>1993</v>
      </c>
      <c r="B74" s="295"/>
      <c r="C74" s="411" t="s">
        <v>600</v>
      </c>
      <c r="D74" s="411"/>
      <c r="E74" s="29">
        <v>0</v>
      </c>
      <c r="G74" s="66">
        <v>13</v>
      </c>
      <c r="H74" s="29">
        <v>7</v>
      </c>
      <c r="J74" s="73">
        <v>21</v>
      </c>
      <c r="K74" s="47">
        <f t="shared" ref="K74:K109" si="7">G74/J74*100</f>
        <v>61.904761904761905</v>
      </c>
      <c r="L74" s="47">
        <f t="shared" ref="L74:L109" si="8">H74/J74*100</f>
        <v>33.333333333333329</v>
      </c>
      <c r="M74" s="47">
        <f t="shared" ref="M74:M109" si="9">I74/J74*100</f>
        <v>0</v>
      </c>
      <c r="N74" s="47">
        <f t="shared" si="6"/>
        <v>95.238095238095241</v>
      </c>
      <c r="O74" s="46">
        <v>32.4</v>
      </c>
      <c r="P74" s="47">
        <v>16.3</v>
      </c>
      <c r="Q74" s="47"/>
      <c r="R74" s="48">
        <f t="shared" ref="R74:R115" si="10">O74+P74+Q74</f>
        <v>48.7</v>
      </c>
      <c r="S74" s="29">
        <v>5</v>
      </c>
      <c r="T74" s="286"/>
      <c r="U74" s="295"/>
      <c r="V74" s="38" t="s">
        <v>472</v>
      </c>
      <c r="W74" s="29" t="s">
        <v>74</v>
      </c>
      <c r="X74" s="29" t="s">
        <v>11</v>
      </c>
      <c r="Y74" s="39">
        <v>22.9</v>
      </c>
      <c r="Z74" s="29" t="s">
        <v>471</v>
      </c>
      <c r="AA74" s="29" t="s">
        <v>22</v>
      </c>
      <c r="AB74" s="29" t="s">
        <v>11</v>
      </c>
      <c r="AC74" s="29">
        <v>9.5</v>
      </c>
      <c r="AD74" s="38" t="s">
        <v>470</v>
      </c>
      <c r="AE74" s="29" t="s">
        <v>869</v>
      </c>
      <c r="AF74" s="29" t="s">
        <v>18</v>
      </c>
      <c r="AG74" s="39">
        <v>8.9</v>
      </c>
      <c r="AH74" s="38" t="s">
        <v>473</v>
      </c>
      <c r="AI74" s="29" t="s">
        <v>17</v>
      </c>
      <c r="AJ74" s="29" t="s">
        <v>18</v>
      </c>
      <c r="AK74" s="29">
        <v>7.4</v>
      </c>
      <c r="AL74" s="38"/>
      <c r="AO74" s="39"/>
      <c r="AP74" s="38"/>
      <c r="AS74" s="39"/>
      <c r="AW74" s="39"/>
      <c r="BA74" s="40"/>
    </row>
    <row r="75" spans="1:53" s="29" customFormat="1" x14ac:dyDescent="0.15">
      <c r="A75" s="29">
        <v>1993</v>
      </c>
      <c r="B75" s="295"/>
      <c r="C75" s="411" t="s">
        <v>600</v>
      </c>
      <c r="D75" s="411"/>
      <c r="E75" s="29">
        <f>365-E74</f>
        <v>365</v>
      </c>
      <c r="G75" s="66">
        <v>13</v>
      </c>
      <c r="H75" s="29">
        <v>7</v>
      </c>
      <c r="J75" s="73">
        <v>21</v>
      </c>
      <c r="K75" s="47">
        <f t="shared" si="7"/>
        <v>61.904761904761905</v>
      </c>
      <c r="L75" s="47">
        <f t="shared" si="8"/>
        <v>33.333333333333329</v>
      </c>
      <c r="M75" s="47">
        <f t="shared" si="9"/>
        <v>0</v>
      </c>
      <c r="N75" s="47">
        <f t="shared" si="6"/>
        <v>95.238095238095241</v>
      </c>
      <c r="O75" s="46">
        <v>32.4</v>
      </c>
      <c r="P75" s="47">
        <v>16.3</v>
      </c>
      <c r="Q75" s="47"/>
      <c r="R75" s="48">
        <f t="shared" si="10"/>
        <v>48.7</v>
      </c>
      <c r="S75" s="29">
        <v>5</v>
      </c>
      <c r="T75" s="286"/>
      <c r="U75" s="295"/>
      <c r="V75" s="38" t="s">
        <v>472</v>
      </c>
      <c r="W75" s="29" t="s">
        <v>74</v>
      </c>
      <c r="X75" s="29" t="s">
        <v>11</v>
      </c>
      <c r="Y75" s="39">
        <v>22.9</v>
      </c>
      <c r="Z75" s="29" t="s">
        <v>471</v>
      </c>
      <c r="AA75" s="29" t="s">
        <v>22</v>
      </c>
      <c r="AB75" s="29" t="s">
        <v>11</v>
      </c>
      <c r="AC75" s="29">
        <v>9.5</v>
      </c>
      <c r="AD75" s="38" t="s">
        <v>470</v>
      </c>
      <c r="AE75" s="29" t="s">
        <v>869</v>
      </c>
      <c r="AF75" s="29" t="s">
        <v>18</v>
      </c>
      <c r="AG75" s="39">
        <v>8.9</v>
      </c>
      <c r="AH75" s="38" t="s">
        <v>473</v>
      </c>
      <c r="AI75" s="29" t="s">
        <v>17</v>
      </c>
      <c r="AJ75" s="29" t="s">
        <v>18</v>
      </c>
      <c r="AK75" s="29">
        <v>7.4</v>
      </c>
      <c r="AL75" s="38"/>
      <c r="AO75" s="39"/>
      <c r="AP75" s="38"/>
      <c r="AS75" s="39"/>
      <c r="AW75" s="39"/>
      <c r="BA75" s="40"/>
    </row>
    <row r="76" spans="1:53" s="29" customFormat="1" x14ac:dyDescent="0.15">
      <c r="A76" s="29">
        <v>1994</v>
      </c>
      <c r="B76" s="295"/>
      <c r="C76" s="411" t="s">
        <v>600</v>
      </c>
      <c r="D76" s="411"/>
      <c r="E76" s="29">
        <v>278</v>
      </c>
      <c r="G76" s="66">
        <v>13</v>
      </c>
      <c r="H76" s="29">
        <v>7</v>
      </c>
      <c r="J76" s="73">
        <v>21</v>
      </c>
      <c r="K76" s="47">
        <f t="shared" si="7"/>
        <v>61.904761904761905</v>
      </c>
      <c r="L76" s="47">
        <f t="shared" si="8"/>
        <v>33.333333333333329</v>
      </c>
      <c r="M76" s="47">
        <f t="shared" si="9"/>
        <v>0</v>
      </c>
      <c r="N76" s="47">
        <f t="shared" si="6"/>
        <v>95.238095238095241</v>
      </c>
      <c r="O76" s="46">
        <v>32.4</v>
      </c>
      <c r="P76" s="47">
        <v>16.3</v>
      </c>
      <c r="Q76" s="47"/>
      <c r="R76" s="48">
        <f t="shared" si="10"/>
        <v>48.7</v>
      </c>
      <c r="S76" s="29">
        <v>5</v>
      </c>
      <c r="T76" s="286"/>
      <c r="U76" s="295"/>
      <c r="V76" s="38" t="s">
        <v>472</v>
      </c>
      <c r="W76" s="29" t="s">
        <v>74</v>
      </c>
      <c r="X76" s="29" t="s">
        <v>11</v>
      </c>
      <c r="Y76" s="39">
        <v>22.9</v>
      </c>
      <c r="Z76" s="29" t="s">
        <v>471</v>
      </c>
      <c r="AA76" s="29" t="s">
        <v>22</v>
      </c>
      <c r="AB76" s="29" t="s">
        <v>11</v>
      </c>
      <c r="AC76" s="29">
        <v>9.5</v>
      </c>
      <c r="AD76" s="38" t="s">
        <v>470</v>
      </c>
      <c r="AE76" s="29" t="s">
        <v>869</v>
      </c>
      <c r="AF76" s="29" t="s">
        <v>18</v>
      </c>
      <c r="AG76" s="39">
        <v>8.9</v>
      </c>
      <c r="AH76" s="38" t="s">
        <v>473</v>
      </c>
      <c r="AI76" s="29" t="s">
        <v>17</v>
      </c>
      <c r="AJ76" s="29" t="s">
        <v>18</v>
      </c>
      <c r="AK76" s="29">
        <v>7.4</v>
      </c>
      <c r="AL76" s="38"/>
      <c r="AO76" s="39"/>
      <c r="AP76" s="38"/>
      <c r="AS76" s="39"/>
      <c r="AW76" s="39"/>
      <c r="BA76" s="40"/>
    </row>
    <row r="77" spans="1:53" s="171" customFormat="1" x14ac:dyDescent="0.15">
      <c r="A77" s="171">
        <v>1994</v>
      </c>
      <c r="B77" s="283">
        <v>34613</v>
      </c>
      <c r="C77" s="410" t="s">
        <v>601</v>
      </c>
      <c r="D77" s="410"/>
      <c r="E77" s="171">
        <f>365-E76</f>
        <v>87</v>
      </c>
      <c r="F77" s="171">
        <v>1</v>
      </c>
      <c r="G77" s="233"/>
      <c r="I77" s="171">
        <v>22</v>
      </c>
      <c r="J77" s="241">
        <v>22</v>
      </c>
      <c r="K77" s="214">
        <f t="shared" si="7"/>
        <v>0</v>
      </c>
      <c r="L77" s="214">
        <f t="shared" si="8"/>
        <v>0</v>
      </c>
      <c r="M77" s="214">
        <f t="shared" si="9"/>
        <v>100</v>
      </c>
      <c r="N77" s="214">
        <f t="shared" si="6"/>
        <v>100</v>
      </c>
      <c r="O77" s="213"/>
      <c r="P77" s="214"/>
      <c r="Q77" s="214">
        <v>46.1</v>
      </c>
      <c r="R77" s="215">
        <f t="shared" si="10"/>
        <v>46.1</v>
      </c>
      <c r="S77" s="171">
        <v>4</v>
      </c>
      <c r="T77" s="285">
        <v>34595</v>
      </c>
      <c r="U77" s="283">
        <v>34613</v>
      </c>
      <c r="V77" s="178" t="s">
        <v>469</v>
      </c>
      <c r="W77" s="171" t="s">
        <v>20</v>
      </c>
      <c r="X77" s="171" t="s">
        <v>12</v>
      </c>
      <c r="Y77" s="179">
        <v>46.1</v>
      </c>
      <c r="AD77" s="178"/>
      <c r="AG77" s="179"/>
      <c r="AL77" s="178"/>
      <c r="AO77" s="179"/>
      <c r="AP77" s="178"/>
      <c r="AS77" s="179"/>
      <c r="AW77" s="179"/>
      <c r="BA77" s="180"/>
    </row>
    <row r="78" spans="1:53" s="171" customFormat="1" x14ac:dyDescent="0.15">
      <c r="A78" s="171">
        <v>1995</v>
      </c>
      <c r="B78" s="283"/>
      <c r="C78" s="410" t="s">
        <v>601</v>
      </c>
      <c r="D78" s="410"/>
      <c r="E78" s="171">
        <v>0</v>
      </c>
      <c r="G78" s="233"/>
      <c r="I78" s="171">
        <v>22</v>
      </c>
      <c r="J78" s="241">
        <v>22</v>
      </c>
      <c r="K78" s="214">
        <f t="shared" si="7"/>
        <v>0</v>
      </c>
      <c r="L78" s="214">
        <f t="shared" si="8"/>
        <v>0</v>
      </c>
      <c r="M78" s="214">
        <f t="shared" si="9"/>
        <v>100</v>
      </c>
      <c r="N78" s="214">
        <f t="shared" si="6"/>
        <v>100</v>
      </c>
      <c r="O78" s="213"/>
      <c r="P78" s="214"/>
      <c r="Q78" s="214">
        <v>46.1</v>
      </c>
      <c r="R78" s="215">
        <f t="shared" si="10"/>
        <v>46.1</v>
      </c>
      <c r="S78" s="171">
        <v>4</v>
      </c>
      <c r="T78" s="285"/>
      <c r="U78" s="283"/>
      <c r="V78" s="178" t="s">
        <v>469</v>
      </c>
      <c r="W78" s="171" t="s">
        <v>20</v>
      </c>
      <c r="X78" s="171" t="s">
        <v>12</v>
      </c>
      <c r="Y78" s="179">
        <v>46.1</v>
      </c>
      <c r="AD78" s="178"/>
      <c r="AG78" s="179"/>
      <c r="AL78" s="178"/>
      <c r="AO78" s="179"/>
      <c r="AP78" s="178"/>
      <c r="AS78" s="179"/>
      <c r="AW78" s="179"/>
      <c r="BA78" s="180"/>
    </row>
    <row r="79" spans="1:53" s="171" customFormat="1" x14ac:dyDescent="0.15">
      <c r="A79" s="171">
        <v>1995</v>
      </c>
      <c r="B79" s="283"/>
      <c r="C79" s="410" t="s">
        <v>601</v>
      </c>
      <c r="D79" s="410"/>
      <c r="E79" s="171">
        <f>365-E78</f>
        <v>365</v>
      </c>
      <c r="G79" s="233"/>
      <c r="I79" s="171">
        <v>22</v>
      </c>
      <c r="J79" s="241">
        <v>22</v>
      </c>
      <c r="K79" s="214">
        <f t="shared" si="7"/>
        <v>0</v>
      </c>
      <c r="L79" s="214">
        <f t="shared" si="8"/>
        <v>0</v>
      </c>
      <c r="M79" s="214">
        <f t="shared" si="9"/>
        <v>100</v>
      </c>
      <c r="N79" s="214">
        <f t="shared" si="6"/>
        <v>100</v>
      </c>
      <c r="O79" s="213"/>
      <c r="P79" s="214"/>
      <c r="Q79" s="214">
        <v>46.1</v>
      </c>
      <c r="R79" s="215">
        <f t="shared" si="10"/>
        <v>46.1</v>
      </c>
      <c r="S79" s="171">
        <v>4</v>
      </c>
      <c r="T79" s="285"/>
      <c r="U79" s="283"/>
      <c r="V79" s="178" t="s">
        <v>469</v>
      </c>
      <c r="W79" s="171" t="s">
        <v>20</v>
      </c>
      <c r="X79" s="171" t="s">
        <v>12</v>
      </c>
      <c r="Y79" s="179">
        <v>46.1</v>
      </c>
      <c r="AD79" s="178"/>
      <c r="AG79" s="179"/>
      <c r="AL79" s="178"/>
      <c r="AO79" s="179"/>
      <c r="AP79" s="178"/>
      <c r="AS79" s="179"/>
      <c r="AW79" s="179"/>
      <c r="BA79" s="180"/>
    </row>
    <row r="80" spans="1:53" s="171" customFormat="1" x14ac:dyDescent="0.15">
      <c r="A80" s="171">
        <v>1996</v>
      </c>
      <c r="B80" s="283"/>
      <c r="C80" s="410" t="s">
        <v>601</v>
      </c>
      <c r="D80" s="410"/>
      <c r="E80" s="171">
        <v>81</v>
      </c>
      <c r="G80" s="233"/>
      <c r="I80" s="171">
        <v>21</v>
      </c>
      <c r="J80" s="241">
        <v>21</v>
      </c>
      <c r="K80" s="214">
        <f t="shared" si="7"/>
        <v>0</v>
      </c>
      <c r="L80" s="214">
        <f t="shared" si="8"/>
        <v>0</v>
      </c>
      <c r="M80" s="214">
        <f t="shared" si="9"/>
        <v>100</v>
      </c>
      <c r="N80" s="214">
        <f t="shared" si="6"/>
        <v>100</v>
      </c>
      <c r="O80" s="213"/>
      <c r="P80" s="214"/>
      <c r="Q80" s="214">
        <v>46.1</v>
      </c>
      <c r="R80" s="215">
        <f t="shared" si="10"/>
        <v>46.1</v>
      </c>
      <c r="S80" s="171">
        <v>4</v>
      </c>
      <c r="T80" s="285"/>
      <c r="U80" s="283"/>
      <c r="V80" s="178" t="s">
        <v>469</v>
      </c>
      <c r="W80" s="171" t="s">
        <v>20</v>
      </c>
      <c r="X80" s="171" t="s">
        <v>12</v>
      </c>
      <c r="Y80" s="179">
        <v>46.1</v>
      </c>
      <c r="AD80" s="178"/>
      <c r="AG80" s="179"/>
      <c r="AL80" s="178"/>
      <c r="AO80" s="179"/>
      <c r="AP80" s="178"/>
      <c r="AS80" s="179"/>
      <c r="AW80" s="179"/>
      <c r="BA80" s="180"/>
    </row>
    <row r="81" spans="1:53" s="29" customFormat="1" x14ac:dyDescent="0.15">
      <c r="A81" s="29">
        <v>1996</v>
      </c>
      <c r="B81" s="295">
        <v>35146</v>
      </c>
      <c r="C81" s="411" t="s">
        <v>602</v>
      </c>
      <c r="D81" s="411"/>
      <c r="E81" s="29">
        <f>366-E80</f>
        <v>285</v>
      </c>
      <c r="F81" s="29">
        <v>2</v>
      </c>
      <c r="G81" s="66"/>
      <c r="I81" s="29">
        <v>22</v>
      </c>
      <c r="J81" s="73">
        <v>22</v>
      </c>
      <c r="K81" s="47">
        <f t="shared" si="7"/>
        <v>0</v>
      </c>
      <c r="L81" s="47">
        <f t="shared" si="8"/>
        <v>0</v>
      </c>
      <c r="M81" s="47">
        <f t="shared" si="9"/>
        <v>100</v>
      </c>
      <c r="N81" s="47">
        <f t="shared" si="6"/>
        <v>100</v>
      </c>
      <c r="O81" s="46"/>
      <c r="P81" s="47"/>
      <c r="Q81" s="47">
        <v>46.1</v>
      </c>
      <c r="R81" s="48">
        <f t="shared" si="10"/>
        <v>46.1</v>
      </c>
      <c r="S81" s="29">
        <v>4</v>
      </c>
      <c r="T81" s="286"/>
      <c r="U81" s="295">
        <v>35146</v>
      </c>
      <c r="V81" s="38" t="s">
        <v>469</v>
      </c>
      <c r="W81" s="29" t="s">
        <v>20</v>
      </c>
      <c r="X81" s="29" t="s">
        <v>12</v>
      </c>
      <c r="Y81" s="39">
        <v>46.1</v>
      </c>
      <c r="AD81" s="38"/>
      <c r="AG81" s="39"/>
      <c r="AL81" s="38"/>
      <c r="AO81" s="39"/>
      <c r="AP81" s="38"/>
      <c r="AS81" s="39"/>
      <c r="AW81" s="39"/>
      <c r="BA81" s="40"/>
    </row>
    <row r="82" spans="1:53" s="29" customFormat="1" x14ac:dyDescent="0.15">
      <c r="A82" s="29">
        <v>1997</v>
      </c>
      <c r="B82" s="295"/>
      <c r="C82" s="411" t="s">
        <v>602</v>
      </c>
      <c r="D82" s="411"/>
      <c r="E82" s="29">
        <v>0</v>
      </c>
      <c r="G82" s="66"/>
      <c r="I82" s="29">
        <v>22</v>
      </c>
      <c r="J82" s="73">
        <v>22</v>
      </c>
      <c r="K82" s="47">
        <f t="shared" si="7"/>
        <v>0</v>
      </c>
      <c r="L82" s="47">
        <f t="shared" si="8"/>
        <v>0</v>
      </c>
      <c r="M82" s="47">
        <f t="shared" si="9"/>
        <v>100</v>
      </c>
      <c r="N82" s="47">
        <f t="shared" si="6"/>
        <v>100</v>
      </c>
      <c r="O82" s="46"/>
      <c r="P82" s="47"/>
      <c r="Q82" s="47">
        <v>46.1</v>
      </c>
      <c r="R82" s="48">
        <f t="shared" si="10"/>
        <v>46.1</v>
      </c>
      <c r="S82" s="29">
        <v>4</v>
      </c>
      <c r="T82" s="286"/>
      <c r="U82" s="295"/>
      <c r="V82" s="38" t="s">
        <v>469</v>
      </c>
      <c r="W82" s="29" t="s">
        <v>20</v>
      </c>
      <c r="X82" s="29" t="s">
        <v>12</v>
      </c>
      <c r="Y82" s="39">
        <v>46.1</v>
      </c>
      <c r="AD82" s="38"/>
      <c r="AG82" s="39"/>
      <c r="AL82" s="38"/>
      <c r="AO82" s="39"/>
      <c r="AP82" s="38"/>
      <c r="AS82" s="39"/>
      <c r="AW82" s="39"/>
      <c r="BA82" s="40"/>
    </row>
    <row r="83" spans="1:53" s="29" customFormat="1" x14ac:dyDescent="0.15">
      <c r="A83" s="29">
        <v>1997</v>
      </c>
      <c r="B83" s="295"/>
      <c r="C83" s="411" t="s">
        <v>602</v>
      </c>
      <c r="D83" s="411"/>
      <c r="E83" s="29">
        <f>365-E82</f>
        <v>365</v>
      </c>
      <c r="G83" s="66"/>
      <c r="I83" s="29">
        <v>22</v>
      </c>
      <c r="J83" s="73">
        <v>22</v>
      </c>
      <c r="K83" s="47">
        <f t="shared" si="7"/>
        <v>0</v>
      </c>
      <c r="L83" s="47">
        <f t="shared" si="8"/>
        <v>0</v>
      </c>
      <c r="M83" s="47">
        <f t="shared" si="9"/>
        <v>100</v>
      </c>
      <c r="N83" s="47">
        <f t="shared" si="6"/>
        <v>100</v>
      </c>
      <c r="O83" s="46"/>
      <c r="P83" s="47"/>
      <c r="Q83" s="47">
        <v>46.1</v>
      </c>
      <c r="R83" s="48">
        <f t="shared" si="10"/>
        <v>46.1</v>
      </c>
      <c r="S83" s="29">
        <v>4</v>
      </c>
      <c r="T83" s="286"/>
      <c r="U83" s="295"/>
      <c r="V83" s="38" t="s">
        <v>469</v>
      </c>
      <c r="W83" s="29" t="s">
        <v>20</v>
      </c>
      <c r="X83" s="29" t="s">
        <v>12</v>
      </c>
      <c r="Y83" s="39">
        <v>46.1</v>
      </c>
      <c r="AD83" s="38"/>
      <c r="AG83" s="39"/>
      <c r="AL83" s="38"/>
      <c r="AO83" s="39"/>
      <c r="AP83" s="38"/>
      <c r="AS83" s="39"/>
      <c r="AW83" s="39"/>
      <c r="BA83" s="40"/>
    </row>
    <row r="84" spans="1:53" s="29" customFormat="1" x14ac:dyDescent="0.15">
      <c r="A84" s="29">
        <v>1998</v>
      </c>
      <c r="B84" s="295"/>
      <c r="C84" s="411" t="s">
        <v>602</v>
      </c>
      <c r="D84" s="411"/>
      <c r="E84" s="29">
        <v>278</v>
      </c>
      <c r="G84" s="66"/>
      <c r="I84" s="29">
        <v>22</v>
      </c>
      <c r="J84" s="73">
        <v>22</v>
      </c>
      <c r="K84" s="47">
        <f t="shared" si="7"/>
        <v>0</v>
      </c>
      <c r="L84" s="47">
        <f t="shared" si="8"/>
        <v>0</v>
      </c>
      <c r="M84" s="47">
        <f t="shared" si="9"/>
        <v>100</v>
      </c>
      <c r="N84" s="47">
        <f t="shared" si="6"/>
        <v>100</v>
      </c>
      <c r="O84" s="46"/>
      <c r="P84" s="47"/>
      <c r="Q84" s="47">
        <v>46.1</v>
      </c>
      <c r="R84" s="48">
        <f t="shared" si="10"/>
        <v>46.1</v>
      </c>
      <c r="S84" s="29">
        <v>4</v>
      </c>
      <c r="T84" s="286"/>
      <c r="U84" s="295"/>
      <c r="V84" s="38" t="s">
        <v>469</v>
      </c>
      <c r="W84" s="29" t="s">
        <v>20</v>
      </c>
      <c r="X84" s="29" t="s">
        <v>12</v>
      </c>
      <c r="Y84" s="39">
        <v>46.1</v>
      </c>
      <c r="AD84" s="38"/>
      <c r="AG84" s="39"/>
      <c r="AL84" s="38"/>
      <c r="AO84" s="39"/>
      <c r="AP84" s="38"/>
      <c r="AS84" s="39"/>
      <c r="AW84" s="39"/>
      <c r="BA84" s="40"/>
    </row>
    <row r="85" spans="1:53" s="171" customFormat="1" x14ac:dyDescent="0.15">
      <c r="A85" s="171">
        <v>1998</v>
      </c>
      <c r="B85" s="283">
        <v>36074</v>
      </c>
      <c r="C85" s="410" t="s">
        <v>603</v>
      </c>
      <c r="D85" s="410"/>
      <c r="E85" s="171">
        <f>365-E84</f>
        <v>87</v>
      </c>
      <c r="F85" s="171">
        <v>1</v>
      </c>
      <c r="G85" s="233"/>
      <c r="I85" s="171">
        <v>20</v>
      </c>
      <c r="J85" s="241">
        <v>20</v>
      </c>
      <c r="K85" s="214">
        <f t="shared" si="7"/>
        <v>0</v>
      </c>
      <c r="L85" s="214">
        <f t="shared" si="8"/>
        <v>0</v>
      </c>
      <c r="M85" s="214">
        <f t="shared" si="9"/>
        <v>100</v>
      </c>
      <c r="N85" s="214">
        <f t="shared" si="6"/>
        <v>100</v>
      </c>
      <c r="O85" s="213"/>
      <c r="P85" s="214"/>
      <c r="Q85" s="214">
        <v>37.5</v>
      </c>
      <c r="R85" s="215">
        <f t="shared" si="10"/>
        <v>37.5</v>
      </c>
      <c r="S85" s="171">
        <v>4</v>
      </c>
      <c r="T85" s="285">
        <v>36058</v>
      </c>
      <c r="U85" s="283">
        <v>36074</v>
      </c>
      <c r="V85" s="178" t="s">
        <v>469</v>
      </c>
      <c r="W85" s="171" t="s">
        <v>20</v>
      </c>
      <c r="X85" s="171" t="s">
        <v>12</v>
      </c>
      <c r="Y85" s="179">
        <v>37.5</v>
      </c>
      <c r="AD85" s="178"/>
      <c r="AG85" s="179"/>
      <c r="AL85" s="178"/>
      <c r="AO85" s="179"/>
      <c r="AP85" s="178"/>
      <c r="AS85" s="179"/>
      <c r="AW85" s="179"/>
      <c r="BA85" s="180"/>
    </row>
    <row r="86" spans="1:53" s="171" customFormat="1" x14ac:dyDescent="0.15">
      <c r="A86" s="171">
        <v>1999</v>
      </c>
      <c r="B86" s="283"/>
      <c r="C86" s="410" t="s">
        <v>603</v>
      </c>
      <c r="D86" s="410"/>
      <c r="E86" s="171">
        <v>0</v>
      </c>
      <c r="G86" s="233"/>
      <c r="I86" s="171">
        <v>20</v>
      </c>
      <c r="J86" s="241">
        <v>20</v>
      </c>
      <c r="K86" s="214">
        <f t="shared" si="7"/>
        <v>0</v>
      </c>
      <c r="L86" s="214">
        <f t="shared" si="8"/>
        <v>0</v>
      </c>
      <c r="M86" s="214">
        <f t="shared" si="9"/>
        <v>100</v>
      </c>
      <c r="N86" s="214">
        <f t="shared" si="6"/>
        <v>100</v>
      </c>
      <c r="O86" s="213"/>
      <c r="P86" s="214"/>
      <c r="Q86" s="214">
        <v>37.5</v>
      </c>
      <c r="R86" s="215">
        <f t="shared" si="10"/>
        <v>37.5</v>
      </c>
      <c r="S86" s="171">
        <v>4</v>
      </c>
      <c r="T86" s="285"/>
      <c r="U86" s="283"/>
      <c r="V86" s="178" t="s">
        <v>469</v>
      </c>
      <c r="W86" s="171" t="s">
        <v>20</v>
      </c>
      <c r="X86" s="171" t="s">
        <v>12</v>
      </c>
      <c r="Y86" s="179">
        <v>37.5</v>
      </c>
      <c r="AD86" s="178"/>
      <c r="AG86" s="179"/>
      <c r="AL86" s="178"/>
      <c r="AO86" s="179"/>
      <c r="AP86" s="178"/>
      <c r="AS86" s="179"/>
      <c r="AW86" s="179"/>
      <c r="BA86" s="180"/>
    </row>
    <row r="87" spans="1:53" s="171" customFormat="1" x14ac:dyDescent="0.15">
      <c r="A87" s="171">
        <v>1999</v>
      </c>
      <c r="B87" s="283"/>
      <c r="C87" s="410" t="s">
        <v>603</v>
      </c>
      <c r="D87" s="410"/>
      <c r="E87" s="171">
        <f>365-E86</f>
        <v>365</v>
      </c>
      <c r="G87" s="233"/>
      <c r="I87" s="171">
        <v>20</v>
      </c>
      <c r="J87" s="241">
        <v>20</v>
      </c>
      <c r="K87" s="214">
        <f t="shared" si="7"/>
        <v>0</v>
      </c>
      <c r="L87" s="214">
        <f t="shared" si="8"/>
        <v>0</v>
      </c>
      <c r="M87" s="214">
        <f t="shared" si="9"/>
        <v>100</v>
      </c>
      <c r="N87" s="214">
        <f t="shared" si="6"/>
        <v>100</v>
      </c>
      <c r="O87" s="213"/>
      <c r="P87" s="214"/>
      <c r="Q87" s="214">
        <v>37.5</v>
      </c>
      <c r="R87" s="215">
        <f t="shared" si="10"/>
        <v>37.5</v>
      </c>
      <c r="S87" s="171">
        <v>4</v>
      </c>
      <c r="T87" s="285"/>
      <c r="U87" s="283"/>
      <c r="V87" s="178" t="s">
        <v>469</v>
      </c>
      <c r="W87" s="171" t="s">
        <v>20</v>
      </c>
      <c r="X87" s="171" t="s">
        <v>12</v>
      </c>
      <c r="Y87" s="179">
        <v>37.5</v>
      </c>
      <c r="AD87" s="178"/>
      <c r="AG87" s="179"/>
      <c r="AL87" s="178"/>
      <c r="AO87" s="179"/>
      <c r="AP87" s="178"/>
      <c r="AS87" s="179"/>
      <c r="AW87" s="179"/>
      <c r="BA87" s="180"/>
    </row>
    <row r="88" spans="1:53" s="171" customFormat="1" x14ac:dyDescent="0.15">
      <c r="A88" s="171">
        <v>2000</v>
      </c>
      <c r="B88" s="283"/>
      <c r="C88" s="410" t="s">
        <v>603</v>
      </c>
      <c r="D88" s="410"/>
      <c r="E88" s="171">
        <v>0</v>
      </c>
      <c r="G88" s="233"/>
      <c r="I88" s="171">
        <v>20</v>
      </c>
      <c r="J88" s="241">
        <v>20</v>
      </c>
      <c r="K88" s="214">
        <f t="shared" si="7"/>
        <v>0</v>
      </c>
      <c r="L88" s="214">
        <f t="shared" si="8"/>
        <v>0</v>
      </c>
      <c r="M88" s="214">
        <f t="shared" si="9"/>
        <v>100</v>
      </c>
      <c r="N88" s="214">
        <f t="shared" si="6"/>
        <v>100</v>
      </c>
      <c r="O88" s="213"/>
      <c r="P88" s="214"/>
      <c r="Q88" s="214">
        <v>37.5</v>
      </c>
      <c r="R88" s="215">
        <f t="shared" si="10"/>
        <v>37.5</v>
      </c>
      <c r="S88" s="171">
        <v>4</v>
      </c>
      <c r="T88" s="285"/>
      <c r="U88" s="283"/>
      <c r="V88" s="178" t="s">
        <v>469</v>
      </c>
      <c r="W88" s="171" t="s">
        <v>20</v>
      </c>
      <c r="X88" s="171" t="s">
        <v>12</v>
      </c>
      <c r="Y88" s="179">
        <v>37.5</v>
      </c>
      <c r="AD88" s="178"/>
      <c r="AG88" s="179"/>
      <c r="AL88" s="178"/>
      <c r="AO88" s="179"/>
      <c r="AP88" s="178"/>
      <c r="AS88" s="179"/>
      <c r="AW88" s="179"/>
      <c r="BA88" s="180"/>
    </row>
    <row r="89" spans="1:53" s="171" customFormat="1" x14ac:dyDescent="0.15">
      <c r="A89" s="171">
        <v>2000</v>
      </c>
      <c r="B89" s="283"/>
      <c r="C89" s="410" t="s">
        <v>603</v>
      </c>
      <c r="D89" s="410"/>
      <c r="E89" s="171">
        <v>366</v>
      </c>
      <c r="G89" s="233"/>
      <c r="I89" s="171">
        <v>20</v>
      </c>
      <c r="J89" s="241">
        <v>20</v>
      </c>
      <c r="K89" s="214">
        <f t="shared" si="7"/>
        <v>0</v>
      </c>
      <c r="L89" s="214">
        <f t="shared" si="8"/>
        <v>0</v>
      </c>
      <c r="M89" s="214">
        <f t="shared" si="9"/>
        <v>100</v>
      </c>
      <c r="N89" s="214">
        <f t="shared" si="6"/>
        <v>100</v>
      </c>
      <c r="O89" s="213"/>
      <c r="P89" s="214"/>
      <c r="Q89" s="214">
        <v>37.5</v>
      </c>
      <c r="R89" s="215">
        <f t="shared" si="10"/>
        <v>37.5</v>
      </c>
      <c r="S89" s="171">
        <v>4</v>
      </c>
      <c r="T89" s="285"/>
      <c r="U89" s="283"/>
      <c r="V89" s="178" t="s">
        <v>469</v>
      </c>
      <c r="W89" s="171" t="s">
        <v>20</v>
      </c>
      <c r="X89" s="171" t="s">
        <v>12</v>
      </c>
      <c r="Y89" s="179">
        <v>37.5</v>
      </c>
      <c r="AD89" s="178"/>
      <c r="AG89" s="179"/>
      <c r="AL89" s="178"/>
      <c r="AO89" s="179"/>
      <c r="AP89" s="178"/>
      <c r="AS89" s="179"/>
      <c r="AW89" s="179"/>
      <c r="BA89" s="180"/>
    </row>
    <row r="90" spans="1:53" s="171" customFormat="1" x14ac:dyDescent="0.15">
      <c r="A90" s="171">
        <v>2001</v>
      </c>
      <c r="B90" s="283"/>
      <c r="C90" s="410" t="s">
        <v>603</v>
      </c>
      <c r="D90" s="410"/>
      <c r="E90" s="171">
        <v>0</v>
      </c>
      <c r="G90" s="233"/>
      <c r="I90" s="171">
        <v>20</v>
      </c>
      <c r="J90" s="241">
        <v>20</v>
      </c>
      <c r="K90" s="214">
        <f t="shared" si="7"/>
        <v>0</v>
      </c>
      <c r="L90" s="214">
        <f t="shared" si="8"/>
        <v>0</v>
      </c>
      <c r="M90" s="214">
        <f t="shared" si="9"/>
        <v>100</v>
      </c>
      <c r="N90" s="214">
        <f t="shared" si="6"/>
        <v>100</v>
      </c>
      <c r="O90" s="213"/>
      <c r="P90" s="214"/>
      <c r="Q90" s="214">
        <v>37.5</v>
      </c>
      <c r="R90" s="215">
        <f t="shared" si="10"/>
        <v>37.5</v>
      </c>
      <c r="S90" s="171">
        <v>4</v>
      </c>
      <c r="T90" s="285"/>
      <c r="U90" s="283"/>
      <c r="V90" s="178" t="s">
        <v>469</v>
      </c>
      <c r="W90" s="171" t="s">
        <v>20</v>
      </c>
      <c r="X90" s="171" t="s">
        <v>12</v>
      </c>
      <c r="Y90" s="179">
        <v>37.5</v>
      </c>
      <c r="AD90" s="178"/>
      <c r="AG90" s="179"/>
      <c r="AL90" s="178"/>
      <c r="AO90" s="179"/>
      <c r="AP90" s="178"/>
      <c r="AS90" s="179"/>
      <c r="AW90" s="179"/>
      <c r="BA90" s="180"/>
    </row>
    <row r="91" spans="1:53" s="171" customFormat="1" x14ac:dyDescent="0.15">
      <c r="A91" s="171">
        <v>2001</v>
      </c>
      <c r="B91" s="283"/>
      <c r="C91" s="410" t="s">
        <v>603</v>
      </c>
      <c r="D91" s="410"/>
      <c r="E91" s="171">
        <f>365-E90</f>
        <v>365</v>
      </c>
      <c r="G91" s="233"/>
      <c r="I91" s="171">
        <v>20</v>
      </c>
      <c r="J91" s="241">
        <v>20</v>
      </c>
      <c r="K91" s="214">
        <f t="shared" si="7"/>
        <v>0</v>
      </c>
      <c r="L91" s="214">
        <f t="shared" si="8"/>
        <v>0</v>
      </c>
      <c r="M91" s="214">
        <f t="shared" si="9"/>
        <v>100</v>
      </c>
      <c r="N91" s="214">
        <f t="shared" si="6"/>
        <v>100</v>
      </c>
      <c r="O91" s="213"/>
      <c r="P91" s="214"/>
      <c r="Q91" s="214">
        <v>37.5</v>
      </c>
      <c r="R91" s="215">
        <f t="shared" si="10"/>
        <v>37.5</v>
      </c>
      <c r="S91" s="171">
        <v>4</v>
      </c>
      <c r="T91" s="285"/>
      <c r="U91" s="283"/>
      <c r="V91" s="178" t="s">
        <v>469</v>
      </c>
      <c r="W91" s="171" t="s">
        <v>20</v>
      </c>
      <c r="X91" s="171" t="s">
        <v>12</v>
      </c>
      <c r="Y91" s="179">
        <v>37.5</v>
      </c>
      <c r="AD91" s="178"/>
      <c r="AG91" s="179"/>
      <c r="AL91" s="178"/>
      <c r="AO91" s="179"/>
      <c r="AP91" s="178"/>
      <c r="AS91" s="179"/>
      <c r="AW91" s="179"/>
      <c r="BA91" s="180"/>
    </row>
    <row r="92" spans="1:53" s="171" customFormat="1" x14ac:dyDescent="0.15">
      <c r="A92" s="171">
        <v>2002</v>
      </c>
      <c r="B92" s="283"/>
      <c r="C92" s="410" t="s">
        <v>603</v>
      </c>
      <c r="D92" s="410"/>
      <c r="E92" s="171">
        <v>274</v>
      </c>
      <c r="G92" s="233"/>
      <c r="I92" s="171">
        <v>20</v>
      </c>
      <c r="J92" s="241">
        <v>20</v>
      </c>
      <c r="K92" s="214">
        <f t="shared" si="7"/>
        <v>0</v>
      </c>
      <c r="L92" s="214">
        <f t="shared" si="8"/>
        <v>0</v>
      </c>
      <c r="M92" s="214">
        <f t="shared" si="9"/>
        <v>100</v>
      </c>
      <c r="N92" s="214">
        <f t="shared" si="6"/>
        <v>100</v>
      </c>
      <c r="O92" s="213"/>
      <c r="P92" s="214"/>
      <c r="Q92" s="214">
        <v>37.5</v>
      </c>
      <c r="R92" s="215">
        <f t="shared" si="10"/>
        <v>37.5</v>
      </c>
      <c r="S92" s="171">
        <v>4</v>
      </c>
      <c r="T92" s="285"/>
      <c r="U92" s="283"/>
      <c r="V92" s="178" t="s">
        <v>469</v>
      </c>
      <c r="W92" s="171" t="s">
        <v>20</v>
      </c>
      <c r="X92" s="171" t="s">
        <v>12</v>
      </c>
      <c r="Y92" s="179">
        <v>37.5</v>
      </c>
      <c r="AD92" s="178"/>
      <c r="AG92" s="179"/>
      <c r="AL92" s="178"/>
      <c r="AO92" s="179"/>
      <c r="AP92" s="178"/>
      <c r="AS92" s="179"/>
      <c r="AW92" s="179"/>
      <c r="BA92" s="180"/>
    </row>
    <row r="93" spans="1:53" s="29" customFormat="1" x14ac:dyDescent="0.15">
      <c r="A93" s="29">
        <v>2002</v>
      </c>
      <c r="B93" s="295">
        <v>37531</v>
      </c>
      <c r="C93" s="411" t="s">
        <v>604</v>
      </c>
      <c r="D93" s="411"/>
      <c r="E93" s="29">
        <f>365-E92</f>
        <v>91</v>
      </c>
      <c r="F93" s="29">
        <v>1</v>
      </c>
      <c r="G93" s="66"/>
      <c r="I93" s="29">
        <v>22</v>
      </c>
      <c r="J93" s="73">
        <v>22</v>
      </c>
      <c r="K93" s="47">
        <f t="shared" si="7"/>
        <v>0</v>
      </c>
      <c r="L93" s="47">
        <f t="shared" si="8"/>
        <v>0</v>
      </c>
      <c r="M93" s="47">
        <f t="shared" si="9"/>
        <v>100</v>
      </c>
      <c r="N93" s="47">
        <f t="shared" si="6"/>
        <v>100</v>
      </c>
      <c r="O93" s="46"/>
      <c r="P93" s="47"/>
      <c r="Q93" s="47">
        <v>41.3</v>
      </c>
      <c r="R93" s="48">
        <f t="shared" si="10"/>
        <v>41.3</v>
      </c>
      <c r="S93" s="29">
        <v>4</v>
      </c>
      <c r="T93" s="286">
        <v>37514</v>
      </c>
      <c r="U93" s="295">
        <v>37531</v>
      </c>
      <c r="V93" s="38" t="s">
        <v>469</v>
      </c>
      <c r="W93" s="29" t="s">
        <v>20</v>
      </c>
      <c r="X93" s="29" t="s">
        <v>12</v>
      </c>
      <c r="Y93" s="39">
        <v>41.3</v>
      </c>
      <c r="AD93" s="38"/>
      <c r="AG93" s="39"/>
      <c r="AL93" s="38"/>
      <c r="AO93" s="39"/>
      <c r="AP93" s="38"/>
      <c r="AS93" s="39"/>
      <c r="AW93" s="39"/>
      <c r="BA93" s="40"/>
    </row>
    <row r="94" spans="1:53" s="29" customFormat="1" x14ac:dyDescent="0.15">
      <c r="A94" s="29">
        <v>2003</v>
      </c>
      <c r="B94" s="295"/>
      <c r="C94" s="411" t="s">
        <v>604</v>
      </c>
      <c r="D94" s="411"/>
      <c r="E94" s="29">
        <v>0</v>
      </c>
      <c r="G94" s="66"/>
      <c r="I94" s="29">
        <v>22</v>
      </c>
      <c r="J94" s="73">
        <v>22</v>
      </c>
      <c r="K94" s="47">
        <f t="shared" si="7"/>
        <v>0</v>
      </c>
      <c r="L94" s="47">
        <f t="shared" si="8"/>
        <v>0</v>
      </c>
      <c r="M94" s="47">
        <f t="shared" si="9"/>
        <v>100</v>
      </c>
      <c r="N94" s="47">
        <f t="shared" si="6"/>
        <v>100</v>
      </c>
      <c r="O94" s="46"/>
      <c r="P94" s="47"/>
      <c r="Q94" s="47">
        <v>41.3</v>
      </c>
      <c r="R94" s="48">
        <f t="shared" si="10"/>
        <v>41.3</v>
      </c>
      <c r="S94" s="29">
        <v>4</v>
      </c>
      <c r="T94" s="286"/>
      <c r="U94" s="295"/>
      <c r="V94" s="38" t="s">
        <v>469</v>
      </c>
      <c r="W94" s="29" t="s">
        <v>20</v>
      </c>
      <c r="X94" s="29" t="s">
        <v>12</v>
      </c>
      <c r="Y94" s="39">
        <v>41.3</v>
      </c>
      <c r="AD94" s="38"/>
      <c r="AG94" s="39"/>
      <c r="AL94" s="38"/>
      <c r="AO94" s="39"/>
      <c r="AP94" s="38"/>
      <c r="AS94" s="39"/>
      <c r="AW94" s="39"/>
      <c r="BA94" s="40"/>
    </row>
    <row r="95" spans="1:53" s="29" customFormat="1" x14ac:dyDescent="0.15">
      <c r="A95" s="29">
        <v>2003</v>
      </c>
      <c r="B95" s="295"/>
      <c r="C95" s="411" t="s">
        <v>604</v>
      </c>
      <c r="D95" s="411"/>
      <c r="E95" s="29">
        <f>365-E94</f>
        <v>365</v>
      </c>
      <c r="G95" s="66"/>
      <c r="I95" s="29">
        <v>22</v>
      </c>
      <c r="J95" s="73">
        <v>22</v>
      </c>
      <c r="K95" s="47">
        <f t="shared" si="7"/>
        <v>0</v>
      </c>
      <c r="L95" s="47">
        <f t="shared" si="8"/>
        <v>0</v>
      </c>
      <c r="M95" s="47">
        <f t="shared" si="9"/>
        <v>100</v>
      </c>
      <c r="N95" s="47">
        <f t="shared" si="6"/>
        <v>100</v>
      </c>
      <c r="O95" s="46"/>
      <c r="P95" s="47"/>
      <c r="Q95" s="47">
        <v>41.3</v>
      </c>
      <c r="R95" s="48">
        <f t="shared" si="10"/>
        <v>41.3</v>
      </c>
      <c r="S95" s="29">
        <v>4</v>
      </c>
      <c r="T95" s="286"/>
      <c r="U95" s="295"/>
      <c r="V95" s="38" t="s">
        <v>469</v>
      </c>
      <c r="W95" s="29" t="s">
        <v>20</v>
      </c>
      <c r="X95" s="29" t="s">
        <v>12</v>
      </c>
      <c r="Y95" s="39">
        <v>41.3</v>
      </c>
      <c r="AD95" s="38"/>
      <c r="AG95" s="39"/>
      <c r="AL95" s="38"/>
      <c r="AO95" s="39"/>
      <c r="AP95" s="38"/>
      <c r="AS95" s="39"/>
      <c r="AW95" s="39"/>
      <c r="BA95" s="40"/>
    </row>
    <row r="96" spans="1:53" s="29" customFormat="1" x14ac:dyDescent="0.15">
      <c r="A96" s="29">
        <v>2004</v>
      </c>
      <c r="B96" s="295"/>
      <c r="C96" s="411" t="s">
        <v>604</v>
      </c>
      <c r="D96" s="411"/>
      <c r="E96" s="29">
        <v>0</v>
      </c>
      <c r="G96" s="66"/>
      <c r="I96" s="29">
        <v>22</v>
      </c>
      <c r="J96" s="73">
        <v>22</v>
      </c>
      <c r="K96" s="47">
        <f t="shared" si="7"/>
        <v>0</v>
      </c>
      <c r="L96" s="47">
        <f t="shared" si="8"/>
        <v>0</v>
      </c>
      <c r="M96" s="47">
        <f t="shared" si="9"/>
        <v>100</v>
      </c>
      <c r="N96" s="47">
        <f t="shared" si="6"/>
        <v>100</v>
      </c>
      <c r="O96" s="46"/>
      <c r="P96" s="47"/>
      <c r="Q96" s="47">
        <v>41.3</v>
      </c>
      <c r="R96" s="48">
        <f t="shared" si="10"/>
        <v>41.3</v>
      </c>
      <c r="S96" s="29">
        <v>4</v>
      </c>
      <c r="T96" s="286"/>
      <c r="U96" s="295"/>
      <c r="V96" s="38" t="s">
        <v>469</v>
      </c>
      <c r="W96" s="29" t="s">
        <v>20</v>
      </c>
      <c r="X96" s="29" t="s">
        <v>12</v>
      </c>
      <c r="Y96" s="39">
        <v>41.3</v>
      </c>
      <c r="AD96" s="38"/>
      <c r="AG96" s="39"/>
      <c r="AL96" s="38"/>
      <c r="AO96" s="39"/>
      <c r="AP96" s="38"/>
      <c r="AS96" s="39"/>
      <c r="AW96" s="39"/>
      <c r="BA96" s="40"/>
    </row>
    <row r="97" spans="1:53" s="29" customFormat="1" x14ac:dyDescent="0.15">
      <c r="A97" s="29">
        <v>2004</v>
      </c>
      <c r="B97" s="295"/>
      <c r="C97" s="411" t="s">
        <v>604</v>
      </c>
      <c r="D97" s="411"/>
      <c r="E97" s="29">
        <v>366</v>
      </c>
      <c r="G97" s="66"/>
      <c r="I97" s="29">
        <v>22</v>
      </c>
      <c r="J97" s="73">
        <v>22</v>
      </c>
      <c r="K97" s="47">
        <f t="shared" si="7"/>
        <v>0</v>
      </c>
      <c r="L97" s="47">
        <f t="shared" si="8"/>
        <v>0</v>
      </c>
      <c r="M97" s="47">
        <f t="shared" si="9"/>
        <v>100</v>
      </c>
      <c r="N97" s="47">
        <f t="shared" si="6"/>
        <v>100</v>
      </c>
      <c r="O97" s="46"/>
      <c r="P97" s="47"/>
      <c r="Q97" s="47">
        <v>41.3</v>
      </c>
      <c r="R97" s="48">
        <f t="shared" si="10"/>
        <v>41.3</v>
      </c>
      <c r="S97" s="29">
        <v>4</v>
      </c>
      <c r="T97" s="286"/>
      <c r="U97" s="295"/>
      <c r="V97" s="38" t="s">
        <v>469</v>
      </c>
      <c r="W97" s="29" t="s">
        <v>20</v>
      </c>
      <c r="X97" s="29" t="s">
        <v>12</v>
      </c>
      <c r="Y97" s="39">
        <v>41.3</v>
      </c>
      <c r="AD97" s="38"/>
      <c r="AG97" s="39"/>
      <c r="AL97" s="38"/>
      <c r="AO97" s="39"/>
      <c r="AP97" s="38"/>
      <c r="AS97" s="39"/>
      <c r="AW97" s="39"/>
      <c r="BA97" s="40"/>
    </row>
    <row r="98" spans="1:53" s="29" customFormat="1" x14ac:dyDescent="0.15">
      <c r="A98" s="29">
        <v>2005</v>
      </c>
      <c r="B98" s="295"/>
      <c r="C98" s="411" t="s">
        <v>604</v>
      </c>
      <c r="D98" s="411"/>
      <c r="E98" s="29">
        <v>0</v>
      </c>
      <c r="G98" s="66"/>
      <c r="I98" s="29">
        <v>22</v>
      </c>
      <c r="J98" s="73">
        <v>22</v>
      </c>
      <c r="K98" s="47">
        <f t="shared" si="7"/>
        <v>0</v>
      </c>
      <c r="L98" s="47">
        <f t="shared" si="8"/>
        <v>0</v>
      </c>
      <c r="M98" s="47">
        <f t="shared" si="9"/>
        <v>100</v>
      </c>
      <c r="N98" s="47">
        <f t="shared" si="6"/>
        <v>100</v>
      </c>
      <c r="O98" s="46"/>
      <c r="P98" s="47"/>
      <c r="Q98" s="47">
        <v>41.3</v>
      </c>
      <c r="R98" s="48">
        <f t="shared" si="10"/>
        <v>41.3</v>
      </c>
      <c r="S98" s="29">
        <v>4</v>
      </c>
      <c r="T98" s="286"/>
      <c r="U98" s="295"/>
      <c r="V98" s="38" t="s">
        <v>469</v>
      </c>
      <c r="W98" s="29" t="s">
        <v>20</v>
      </c>
      <c r="X98" s="29" t="s">
        <v>12</v>
      </c>
      <c r="Y98" s="39">
        <v>41.3</v>
      </c>
      <c r="AD98" s="38"/>
      <c r="AG98" s="39"/>
      <c r="AL98" s="38"/>
      <c r="AO98" s="39"/>
      <c r="AP98" s="38"/>
      <c r="AS98" s="39"/>
      <c r="AW98" s="39"/>
      <c r="BA98" s="40"/>
    </row>
    <row r="99" spans="1:53" s="29" customFormat="1" x14ac:dyDescent="0.15">
      <c r="A99" s="29">
        <v>2005</v>
      </c>
      <c r="B99" s="295"/>
      <c r="C99" s="411" t="s">
        <v>604</v>
      </c>
      <c r="D99" s="411"/>
      <c r="E99" s="29">
        <f>365-E98</f>
        <v>365</v>
      </c>
      <c r="G99" s="66"/>
      <c r="I99" s="29">
        <v>22</v>
      </c>
      <c r="J99" s="73">
        <v>22</v>
      </c>
      <c r="K99" s="47">
        <f t="shared" si="7"/>
        <v>0</v>
      </c>
      <c r="L99" s="47">
        <f t="shared" si="8"/>
        <v>0</v>
      </c>
      <c r="M99" s="47">
        <f t="shared" si="9"/>
        <v>100</v>
      </c>
      <c r="N99" s="47">
        <f t="shared" si="6"/>
        <v>100</v>
      </c>
      <c r="O99" s="46"/>
      <c r="P99" s="47"/>
      <c r="Q99" s="47">
        <v>41.3</v>
      </c>
      <c r="R99" s="48">
        <f t="shared" si="10"/>
        <v>41.3</v>
      </c>
      <c r="S99" s="29">
        <v>4</v>
      </c>
      <c r="T99" s="286"/>
      <c r="U99" s="295"/>
      <c r="V99" s="38" t="s">
        <v>469</v>
      </c>
      <c r="W99" s="29" t="s">
        <v>20</v>
      </c>
      <c r="X99" s="29" t="s">
        <v>12</v>
      </c>
      <c r="Y99" s="39">
        <v>41.3</v>
      </c>
      <c r="AD99" s="38"/>
      <c r="AG99" s="39"/>
      <c r="AL99" s="38"/>
      <c r="AO99" s="39"/>
      <c r="AP99" s="38"/>
      <c r="AS99" s="39"/>
      <c r="AW99" s="39"/>
      <c r="BA99" s="40"/>
    </row>
    <row r="100" spans="1:53" s="29" customFormat="1" x14ac:dyDescent="0.15">
      <c r="A100" s="29">
        <v>2006</v>
      </c>
      <c r="B100" s="295"/>
      <c r="C100" s="411" t="s">
        <v>604</v>
      </c>
      <c r="D100" s="411"/>
      <c r="E100" s="29">
        <v>277</v>
      </c>
      <c r="G100" s="66"/>
      <c r="I100" s="29">
        <v>22</v>
      </c>
      <c r="J100" s="73">
        <v>22</v>
      </c>
      <c r="K100" s="47">
        <f t="shared" si="7"/>
        <v>0</v>
      </c>
      <c r="L100" s="47">
        <f t="shared" si="8"/>
        <v>0</v>
      </c>
      <c r="M100" s="47">
        <f t="shared" si="9"/>
        <v>100</v>
      </c>
      <c r="N100" s="47">
        <f t="shared" si="6"/>
        <v>100</v>
      </c>
      <c r="O100" s="46"/>
      <c r="P100" s="47"/>
      <c r="Q100" s="47">
        <v>41.3</v>
      </c>
      <c r="R100" s="48">
        <f t="shared" si="10"/>
        <v>41.3</v>
      </c>
      <c r="S100" s="29">
        <v>4</v>
      </c>
      <c r="T100" s="286"/>
      <c r="U100" s="295"/>
      <c r="V100" s="38" t="s">
        <v>469</v>
      </c>
      <c r="W100" s="29" t="s">
        <v>20</v>
      </c>
      <c r="X100" s="29" t="s">
        <v>12</v>
      </c>
      <c r="Y100" s="39">
        <v>41.3</v>
      </c>
      <c r="AD100" s="38"/>
      <c r="AG100" s="39"/>
      <c r="AL100" s="38"/>
      <c r="AO100" s="39"/>
      <c r="AP100" s="38"/>
      <c r="AS100" s="39"/>
      <c r="AW100" s="39"/>
      <c r="BA100" s="40"/>
    </row>
    <row r="101" spans="1:53" s="171" customFormat="1" x14ac:dyDescent="0.15">
      <c r="A101" s="171">
        <v>2006</v>
      </c>
      <c r="B101" s="283">
        <v>38995</v>
      </c>
      <c r="C101" s="410" t="s">
        <v>605</v>
      </c>
      <c r="D101" s="410"/>
      <c r="E101" s="171">
        <f>365-E100</f>
        <v>88</v>
      </c>
      <c r="F101" s="171">
        <v>1</v>
      </c>
      <c r="G101" s="233">
        <v>15</v>
      </c>
      <c r="H101" s="171">
        <v>7</v>
      </c>
      <c r="J101" s="241">
        <v>22</v>
      </c>
      <c r="K101" s="214">
        <f t="shared" si="7"/>
        <v>68.181818181818173</v>
      </c>
      <c r="L101" s="214">
        <f t="shared" si="8"/>
        <v>31.818181818181817</v>
      </c>
      <c r="M101" s="214">
        <f t="shared" si="9"/>
        <v>0</v>
      </c>
      <c r="N101" s="214">
        <f t="shared" si="6"/>
        <v>99.999999999999986</v>
      </c>
      <c r="O101" s="213">
        <v>35.799999999999997</v>
      </c>
      <c r="P101" s="214">
        <v>15.2</v>
      </c>
      <c r="Q101" s="214"/>
      <c r="R101" s="215">
        <f t="shared" si="10"/>
        <v>51</v>
      </c>
      <c r="S101" s="171">
        <v>2</v>
      </c>
      <c r="T101" s="285">
        <v>38977</v>
      </c>
      <c r="U101" s="283">
        <v>38995</v>
      </c>
      <c r="V101" s="178" t="s">
        <v>472</v>
      </c>
      <c r="W101" s="171" t="s">
        <v>74</v>
      </c>
      <c r="X101" s="171" t="s">
        <v>11</v>
      </c>
      <c r="Y101" s="179">
        <v>27.8</v>
      </c>
      <c r="Z101" s="178" t="s">
        <v>470</v>
      </c>
      <c r="AA101" s="171" t="s">
        <v>869</v>
      </c>
      <c r="AB101" s="171" t="s">
        <v>18</v>
      </c>
      <c r="AC101" s="171">
        <v>8.3000000000000007</v>
      </c>
      <c r="AD101" s="178" t="s">
        <v>471</v>
      </c>
      <c r="AE101" s="171" t="s">
        <v>22</v>
      </c>
      <c r="AF101" s="171" t="s">
        <v>11</v>
      </c>
      <c r="AG101" s="179">
        <v>8</v>
      </c>
      <c r="AH101" s="178" t="s">
        <v>473</v>
      </c>
      <c r="AI101" s="171" t="s">
        <v>17</v>
      </c>
      <c r="AJ101" s="171" t="s">
        <v>18</v>
      </c>
      <c r="AK101" s="171">
        <v>6.9</v>
      </c>
      <c r="AL101" s="178"/>
      <c r="AO101" s="179"/>
      <c r="AP101" s="178"/>
      <c r="AS101" s="179"/>
      <c r="AW101" s="179"/>
      <c r="BA101" s="180"/>
    </row>
    <row r="102" spans="1:53" s="171" customFormat="1" x14ac:dyDescent="0.15">
      <c r="A102" s="171">
        <v>2007</v>
      </c>
      <c r="B102" s="283"/>
      <c r="C102" s="410" t="s">
        <v>605</v>
      </c>
      <c r="D102" s="410"/>
      <c r="E102" s="171">
        <v>0</v>
      </c>
      <c r="G102" s="233">
        <v>15</v>
      </c>
      <c r="H102" s="171">
        <v>7</v>
      </c>
      <c r="J102" s="241">
        <v>22</v>
      </c>
      <c r="K102" s="214">
        <f t="shared" si="7"/>
        <v>68.181818181818173</v>
      </c>
      <c r="L102" s="214">
        <f t="shared" si="8"/>
        <v>31.818181818181817</v>
      </c>
      <c r="M102" s="214">
        <f t="shared" si="9"/>
        <v>0</v>
      </c>
      <c r="N102" s="214">
        <f t="shared" si="6"/>
        <v>99.999999999999986</v>
      </c>
      <c r="O102" s="213">
        <v>35.799999999999997</v>
      </c>
      <c r="P102" s="214">
        <v>15.2</v>
      </c>
      <c r="Q102" s="214"/>
      <c r="R102" s="215">
        <f t="shared" si="10"/>
        <v>51</v>
      </c>
      <c r="S102" s="171">
        <v>2</v>
      </c>
      <c r="T102" s="285"/>
      <c r="U102" s="283"/>
      <c r="V102" s="178" t="s">
        <v>472</v>
      </c>
      <c r="W102" s="171" t="s">
        <v>74</v>
      </c>
      <c r="X102" s="171" t="s">
        <v>11</v>
      </c>
      <c r="Y102" s="179">
        <v>27.8</v>
      </c>
      <c r="Z102" s="178" t="s">
        <v>470</v>
      </c>
      <c r="AA102" s="171" t="s">
        <v>869</v>
      </c>
      <c r="AB102" s="171" t="s">
        <v>18</v>
      </c>
      <c r="AC102" s="171">
        <v>8.3000000000000007</v>
      </c>
      <c r="AD102" s="178" t="s">
        <v>471</v>
      </c>
      <c r="AE102" s="171" t="s">
        <v>22</v>
      </c>
      <c r="AF102" s="171" t="s">
        <v>11</v>
      </c>
      <c r="AG102" s="179">
        <v>8</v>
      </c>
      <c r="AH102" s="178" t="s">
        <v>473</v>
      </c>
      <c r="AI102" s="171" t="s">
        <v>17</v>
      </c>
      <c r="AJ102" s="171" t="s">
        <v>18</v>
      </c>
      <c r="AK102" s="171">
        <v>6.9</v>
      </c>
      <c r="AL102" s="178"/>
      <c r="AO102" s="179"/>
      <c r="AP102" s="178"/>
      <c r="AS102" s="179"/>
      <c r="AW102" s="179"/>
      <c r="BA102" s="180"/>
    </row>
    <row r="103" spans="1:53" s="171" customFormat="1" x14ac:dyDescent="0.15">
      <c r="A103" s="171">
        <v>2007</v>
      </c>
      <c r="B103" s="283"/>
      <c r="C103" s="410" t="s">
        <v>605</v>
      </c>
      <c r="D103" s="410"/>
      <c r="E103" s="171">
        <v>365</v>
      </c>
      <c r="G103" s="233">
        <v>15</v>
      </c>
      <c r="H103" s="171">
        <v>7</v>
      </c>
      <c r="J103" s="241">
        <v>22</v>
      </c>
      <c r="K103" s="214">
        <f t="shared" si="7"/>
        <v>68.181818181818173</v>
      </c>
      <c r="L103" s="214">
        <f t="shared" si="8"/>
        <v>31.818181818181817</v>
      </c>
      <c r="M103" s="214">
        <f t="shared" si="9"/>
        <v>0</v>
      </c>
      <c r="N103" s="214">
        <f t="shared" si="6"/>
        <v>99.999999999999986</v>
      </c>
      <c r="O103" s="213">
        <v>35.799999999999997</v>
      </c>
      <c r="P103" s="214">
        <v>15.2</v>
      </c>
      <c r="Q103" s="214"/>
      <c r="R103" s="215">
        <f t="shared" si="10"/>
        <v>51</v>
      </c>
      <c r="S103" s="171">
        <v>2</v>
      </c>
      <c r="T103" s="285"/>
      <c r="U103" s="283"/>
      <c r="V103" s="178" t="s">
        <v>472</v>
      </c>
      <c r="W103" s="171" t="s">
        <v>74</v>
      </c>
      <c r="X103" s="171" t="s">
        <v>11</v>
      </c>
      <c r="Y103" s="179">
        <v>27.8</v>
      </c>
      <c r="Z103" s="178" t="s">
        <v>470</v>
      </c>
      <c r="AA103" s="171" t="s">
        <v>869</v>
      </c>
      <c r="AB103" s="171" t="s">
        <v>18</v>
      </c>
      <c r="AC103" s="171">
        <v>8.3000000000000007</v>
      </c>
      <c r="AD103" s="178" t="s">
        <v>471</v>
      </c>
      <c r="AE103" s="171" t="s">
        <v>22</v>
      </c>
      <c r="AF103" s="171" t="s">
        <v>11</v>
      </c>
      <c r="AG103" s="179">
        <v>8</v>
      </c>
      <c r="AH103" s="178" t="s">
        <v>473</v>
      </c>
      <c r="AI103" s="171" t="s">
        <v>17</v>
      </c>
      <c r="AJ103" s="171" t="s">
        <v>18</v>
      </c>
      <c r="AK103" s="171">
        <v>6.9</v>
      </c>
      <c r="AL103" s="178"/>
      <c r="AO103" s="179"/>
      <c r="AP103" s="178"/>
      <c r="AS103" s="179"/>
      <c r="AW103" s="179"/>
      <c r="BA103" s="180"/>
    </row>
    <row r="104" spans="1:53" s="171" customFormat="1" x14ac:dyDescent="0.15">
      <c r="A104" s="171">
        <v>2008</v>
      </c>
      <c r="B104" s="283"/>
      <c r="C104" s="410" t="s">
        <v>605</v>
      </c>
      <c r="D104" s="410"/>
      <c r="E104" s="171">
        <v>0</v>
      </c>
      <c r="G104" s="233">
        <v>15</v>
      </c>
      <c r="H104" s="171">
        <v>7</v>
      </c>
      <c r="J104" s="241">
        <v>22</v>
      </c>
      <c r="K104" s="214">
        <f t="shared" si="7"/>
        <v>68.181818181818173</v>
      </c>
      <c r="L104" s="214">
        <f t="shared" si="8"/>
        <v>31.818181818181817</v>
      </c>
      <c r="M104" s="214">
        <f t="shared" si="9"/>
        <v>0</v>
      </c>
      <c r="N104" s="214">
        <f t="shared" si="6"/>
        <v>99.999999999999986</v>
      </c>
      <c r="O104" s="213">
        <v>35.799999999999997</v>
      </c>
      <c r="P104" s="214">
        <v>15.2</v>
      </c>
      <c r="Q104" s="214"/>
      <c r="R104" s="215">
        <f t="shared" si="10"/>
        <v>51</v>
      </c>
      <c r="S104" s="171">
        <v>2</v>
      </c>
      <c r="T104" s="285"/>
      <c r="U104" s="283"/>
      <c r="V104" s="178" t="s">
        <v>472</v>
      </c>
      <c r="W104" s="171" t="s">
        <v>74</v>
      </c>
      <c r="X104" s="171" t="s">
        <v>11</v>
      </c>
      <c r="Y104" s="179">
        <v>27.8</v>
      </c>
      <c r="Z104" s="178" t="s">
        <v>470</v>
      </c>
      <c r="AA104" s="171" t="s">
        <v>869</v>
      </c>
      <c r="AB104" s="171" t="s">
        <v>18</v>
      </c>
      <c r="AC104" s="171">
        <v>8.3000000000000007</v>
      </c>
      <c r="AD104" s="178" t="s">
        <v>471</v>
      </c>
      <c r="AE104" s="171" t="s">
        <v>22</v>
      </c>
      <c r="AF104" s="171" t="s">
        <v>11</v>
      </c>
      <c r="AG104" s="179">
        <v>8</v>
      </c>
      <c r="AH104" s="178" t="s">
        <v>473</v>
      </c>
      <c r="AI104" s="171" t="s">
        <v>17</v>
      </c>
      <c r="AJ104" s="171" t="s">
        <v>18</v>
      </c>
      <c r="AK104" s="171">
        <v>6.9</v>
      </c>
      <c r="AL104" s="178"/>
      <c r="AO104" s="179"/>
      <c r="AP104" s="178"/>
      <c r="AS104" s="179"/>
      <c r="AW104" s="179"/>
      <c r="BA104" s="180"/>
    </row>
    <row r="105" spans="1:53" s="171" customFormat="1" x14ac:dyDescent="0.15">
      <c r="A105" s="171">
        <v>2008</v>
      </c>
      <c r="B105" s="283"/>
      <c r="C105" s="410" t="s">
        <v>605</v>
      </c>
      <c r="D105" s="410"/>
      <c r="E105" s="171">
        <v>366</v>
      </c>
      <c r="G105" s="233">
        <v>15</v>
      </c>
      <c r="H105" s="171">
        <v>7</v>
      </c>
      <c r="J105" s="241">
        <v>22</v>
      </c>
      <c r="K105" s="214">
        <f t="shared" si="7"/>
        <v>68.181818181818173</v>
      </c>
      <c r="L105" s="214">
        <f t="shared" si="8"/>
        <v>31.818181818181817</v>
      </c>
      <c r="M105" s="214">
        <f t="shared" si="9"/>
        <v>0</v>
      </c>
      <c r="N105" s="214">
        <f t="shared" si="6"/>
        <v>99.999999999999986</v>
      </c>
      <c r="O105" s="213">
        <v>35.799999999999997</v>
      </c>
      <c r="P105" s="214">
        <v>15.2</v>
      </c>
      <c r="Q105" s="214"/>
      <c r="R105" s="215">
        <f t="shared" si="10"/>
        <v>51</v>
      </c>
      <c r="S105" s="171">
        <v>2</v>
      </c>
      <c r="T105" s="285"/>
      <c r="U105" s="283"/>
      <c r="V105" s="178" t="s">
        <v>472</v>
      </c>
      <c r="W105" s="171" t="s">
        <v>74</v>
      </c>
      <c r="X105" s="171" t="s">
        <v>11</v>
      </c>
      <c r="Y105" s="179">
        <v>27.8</v>
      </c>
      <c r="Z105" s="178" t="s">
        <v>470</v>
      </c>
      <c r="AA105" s="171" t="s">
        <v>869</v>
      </c>
      <c r="AB105" s="171" t="s">
        <v>18</v>
      </c>
      <c r="AC105" s="171">
        <v>8.3000000000000007</v>
      </c>
      <c r="AD105" s="178" t="s">
        <v>471</v>
      </c>
      <c r="AE105" s="171" t="s">
        <v>22</v>
      </c>
      <c r="AF105" s="171" t="s">
        <v>11</v>
      </c>
      <c r="AG105" s="179">
        <v>8</v>
      </c>
      <c r="AH105" s="178" t="s">
        <v>473</v>
      </c>
      <c r="AI105" s="171" t="s">
        <v>17</v>
      </c>
      <c r="AJ105" s="171" t="s">
        <v>18</v>
      </c>
      <c r="AK105" s="171">
        <v>6.9</v>
      </c>
      <c r="AL105" s="178"/>
      <c r="AO105" s="179"/>
      <c r="AP105" s="178"/>
      <c r="AS105" s="179"/>
      <c r="AW105" s="179"/>
      <c r="BA105" s="180"/>
    </row>
    <row r="106" spans="1:53" s="171" customFormat="1" x14ac:dyDescent="0.15">
      <c r="A106" s="171">
        <v>2009</v>
      </c>
      <c r="B106" s="283"/>
      <c r="C106" s="410" t="s">
        <v>605</v>
      </c>
      <c r="D106" s="410"/>
      <c r="E106" s="171">
        <v>0</v>
      </c>
      <c r="G106" s="233">
        <v>15</v>
      </c>
      <c r="H106" s="171">
        <v>7</v>
      </c>
      <c r="J106" s="241">
        <v>22</v>
      </c>
      <c r="K106" s="214">
        <f t="shared" si="7"/>
        <v>68.181818181818173</v>
      </c>
      <c r="L106" s="214">
        <f t="shared" si="8"/>
        <v>31.818181818181817</v>
      </c>
      <c r="M106" s="214">
        <f t="shared" si="9"/>
        <v>0</v>
      </c>
      <c r="N106" s="214">
        <f t="shared" si="6"/>
        <v>99.999999999999986</v>
      </c>
      <c r="O106" s="213">
        <v>35.799999999999997</v>
      </c>
      <c r="P106" s="214">
        <v>15.2</v>
      </c>
      <c r="Q106" s="214"/>
      <c r="R106" s="215">
        <f t="shared" si="10"/>
        <v>51</v>
      </c>
      <c r="S106" s="171">
        <v>2</v>
      </c>
      <c r="T106" s="285"/>
      <c r="U106" s="283"/>
      <c r="V106" s="178" t="s">
        <v>472</v>
      </c>
      <c r="W106" s="171" t="s">
        <v>74</v>
      </c>
      <c r="X106" s="171" t="s">
        <v>11</v>
      </c>
      <c r="Y106" s="179">
        <v>27.8</v>
      </c>
      <c r="Z106" s="178" t="s">
        <v>470</v>
      </c>
      <c r="AA106" s="171" t="s">
        <v>869</v>
      </c>
      <c r="AB106" s="171" t="s">
        <v>18</v>
      </c>
      <c r="AC106" s="171">
        <v>8.3000000000000007</v>
      </c>
      <c r="AD106" s="178" t="s">
        <v>471</v>
      </c>
      <c r="AE106" s="171" t="s">
        <v>22</v>
      </c>
      <c r="AF106" s="171" t="s">
        <v>11</v>
      </c>
      <c r="AG106" s="179">
        <v>8</v>
      </c>
      <c r="AH106" s="178" t="s">
        <v>473</v>
      </c>
      <c r="AI106" s="171" t="s">
        <v>17</v>
      </c>
      <c r="AJ106" s="171" t="s">
        <v>18</v>
      </c>
      <c r="AK106" s="171">
        <v>6.9</v>
      </c>
      <c r="AL106" s="178"/>
      <c r="AO106" s="179"/>
      <c r="AP106" s="178"/>
      <c r="AS106" s="179"/>
      <c r="AW106" s="179"/>
      <c r="BA106" s="180"/>
    </row>
    <row r="107" spans="1:53" s="171" customFormat="1" x14ac:dyDescent="0.15">
      <c r="A107" s="171">
        <v>2009</v>
      </c>
      <c r="B107" s="283"/>
      <c r="C107" s="410" t="s">
        <v>605</v>
      </c>
      <c r="D107" s="410"/>
      <c r="E107" s="171">
        <v>365</v>
      </c>
      <c r="G107" s="233">
        <v>15</v>
      </c>
      <c r="H107" s="171">
        <v>7</v>
      </c>
      <c r="J107" s="241">
        <v>22</v>
      </c>
      <c r="K107" s="214">
        <f t="shared" si="7"/>
        <v>68.181818181818173</v>
      </c>
      <c r="L107" s="214">
        <f t="shared" si="8"/>
        <v>31.818181818181817</v>
      </c>
      <c r="M107" s="214">
        <f t="shared" si="9"/>
        <v>0</v>
      </c>
      <c r="N107" s="214">
        <f t="shared" si="6"/>
        <v>99.999999999999986</v>
      </c>
      <c r="O107" s="213">
        <v>35.799999999999997</v>
      </c>
      <c r="P107" s="214">
        <v>15.2</v>
      </c>
      <c r="Q107" s="214"/>
      <c r="R107" s="215">
        <f t="shared" si="10"/>
        <v>51</v>
      </c>
      <c r="S107" s="171">
        <v>2</v>
      </c>
      <c r="T107" s="285"/>
      <c r="U107" s="283"/>
      <c r="V107" s="178" t="s">
        <v>472</v>
      </c>
      <c r="W107" s="171" t="s">
        <v>74</v>
      </c>
      <c r="X107" s="171" t="s">
        <v>11</v>
      </c>
      <c r="Y107" s="179">
        <v>27.8</v>
      </c>
      <c r="Z107" s="178" t="s">
        <v>470</v>
      </c>
      <c r="AA107" s="171" t="s">
        <v>869</v>
      </c>
      <c r="AB107" s="171" t="s">
        <v>18</v>
      </c>
      <c r="AC107" s="171">
        <v>8.3000000000000007</v>
      </c>
      <c r="AD107" s="178" t="s">
        <v>471</v>
      </c>
      <c r="AE107" s="171" t="s">
        <v>22</v>
      </c>
      <c r="AF107" s="171" t="s">
        <v>11</v>
      </c>
      <c r="AG107" s="179">
        <v>8</v>
      </c>
      <c r="AH107" s="178" t="s">
        <v>473</v>
      </c>
      <c r="AI107" s="171" t="s">
        <v>17</v>
      </c>
      <c r="AJ107" s="171" t="s">
        <v>18</v>
      </c>
      <c r="AK107" s="171">
        <v>6.9</v>
      </c>
      <c r="AL107" s="178"/>
      <c r="AO107" s="179"/>
      <c r="AP107" s="178"/>
      <c r="AS107" s="179"/>
      <c r="AW107" s="179"/>
      <c r="BA107" s="180"/>
    </row>
    <row r="108" spans="1:53" s="171" customFormat="1" x14ac:dyDescent="0.15">
      <c r="A108" s="171">
        <v>2010</v>
      </c>
      <c r="B108" s="283"/>
      <c r="C108" s="410" t="s">
        <v>605</v>
      </c>
      <c r="D108" s="410"/>
      <c r="E108" s="171">
        <v>262</v>
      </c>
      <c r="G108" s="233">
        <v>15</v>
      </c>
      <c r="H108" s="171">
        <v>7</v>
      </c>
      <c r="J108" s="241">
        <v>22</v>
      </c>
      <c r="K108" s="214">
        <f t="shared" si="7"/>
        <v>68.181818181818173</v>
      </c>
      <c r="L108" s="214">
        <f t="shared" si="8"/>
        <v>31.818181818181817</v>
      </c>
      <c r="M108" s="214">
        <f t="shared" si="9"/>
        <v>0</v>
      </c>
      <c r="N108" s="214">
        <f t="shared" si="6"/>
        <v>99.999999999999986</v>
      </c>
      <c r="O108" s="213">
        <v>35.799999999999997</v>
      </c>
      <c r="P108" s="214">
        <v>15.2</v>
      </c>
      <c r="Q108" s="214"/>
      <c r="R108" s="215">
        <f t="shared" si="10"/>
        <v>51</v>
      </c>
      <c r="S108" s="171">
        <v>2</v>
      </c>
      <c r="T108" s="285"/>
      <c r="U108" s="283"/>
      <c r="V108" s="178" t="s">
        <v>472</v>
      </c>
      <c r="W108" s="171" t="s">
        <v>74</v>
      </c>
      <c r="X108" s="171" t="s">
        <v>11</v>
      </c>
      <c r="Y108" s="179">
        <v>27.8</v>
      </c>
      <c r="Z108" s="178" t="s">
        <v>470</v>
      </c>
      <c r="AA108" s="171" t="s">
        <v>869</v>
      </c>
      <c r="AB108" s="171" t="s">
        <v>18</v>
      </c>
      <c r="AC108" s="171">
        <v>8.3000000000000007</v>
      </c>
      <c r="AD108" s="178" t="s">
        <v>471</v>
      </c>
      <c r="AE108" s="171" t="s">
        <v>22</v>
      </c>
      <c r="AF108" s="171" t="s">
        <v>11</v>
      </c>
      <c r="AG108" s="179">
        <v>8</v>
      </c>
      <c r="AH108" s="178" t="s">
        <v>473</v>
      </c>
      <c r="AI108" s="171" t="s">
        <v>17</v>
      </c>
      <c r="AJ108" s="171" t="s">
        <v>18</v>
      </c>
      <c r="AK108" s="171">
        <v>6.9</v>
      </c>
      <c r="AL108" s="178"/>
      <c r="AO108" s="179"/>
      <c r="AP108" s="178"/>
      <c r="AS108" s="179"/>
      <c r="AW108" s="179"/>
      <c r="BA108" s="180"/>
    </row>
    <row r="109" spans="1:53" s="29" customFormat="1" x14ac:dyDescent="0.15">
      <c r="A109" s="29">
        <v>2010</v>
      </c>
      <c r="B109" s="295">
        <v>40441</v>
      </c>
      <c r="C109" s="411" t="s">
        <v>606</v>
      </c>
      <c r="D109" s="411"/>
      <c r="E109" s="29">
        <f>365-E108</f>
        <v>103</v>
      </c>
      <c r="F109" s="29">
        <v>1</v>
      </c>
      <c r="G109" s="66">
        <v>17</v>
      </c>
      <c r="H109" s="29">
        <v>7</v>
      </c>
      <c r="J109" s="73">
        <v>24</v>
      </c>
      <c r="K109" s="47">
        <f t="shared" si="7"/>
        <v>70.833333333333343</v>
      </c>
      <c r="L109" s="47">
        <f t="shared" si="8"/>
        <v>29.166666666666668</v>
      </c>
      <c r="M109" s="47">
        <f t="shared" si="9"/>
        <v>0</v>
      </c>
      <c r="N109" s="47">
        <f t="shared" si="6"/>
        <v>100.00000000000001</v>
      </c>
      <c r="O109" s="46">
        <v>37.6</v>
      </c>
      <c r="P109" s="47">
        <v>12</v>
      </c>
      <c r="Q109" s="47"/>
      <c r="R109" s="48">
        <f t="shared" si="10"/>
        <v>49.6</v>
      </c>
      <c r="S109" s="29">
        <v>5</v>
      </c>
      <c r="T109" s="286">
        <v>40440</v>
      </c>
      <c r="U109" s="295">
        <v>40441</v>
      </c>
      <c r="V109" s="38" t="s">
        <v>472</v>
      </c>
      <c r="W109" s="29" t="s">
        <v>74</v>
      </c>
      <c r="X109" s="29" t="s">
        <v>11</v>
      </c>
      <c r="Y109" s="39">
        <v>30.7</v>
      </c>
      <c r="Z109" s="38" t="s">
        <v>470</v>
      </c>
      <c r="AA109" s="29" t="s">
        <v>869</v>
      </c>
      <c r="AB109" s="29" t="s">
        <v>18</v>
      </c>
      <c r="AC109" s="29">
        <v>6.6</v>
      </c>
      <c r="AD109" s="38" t="s">
        <v>471</v>
      </c>
      <c r="AE109" s="29" t="s">
        <v>22</v>
      </c>
      <c r="AF109" s="29" t="s">
        <v>11</v>
      </c>
      <c r="AG109" s="39">
        <v>6.9</v>
      </c>
      <c r="AH109" s="38" t="s">
        <v>473</v>
      </c>
      <c r="AI109" s="29" t="s">
        <v>17</v>
      </c>
      <c r="AJ109" s="29" t="s">
        <v>18</v>
      </c>
      <c r="AK109" s="29">
        <v>5.4</v>
      </c>
      <c r="AL109" s="38"/>
      <c r="AO109" s="39"/>
      <c r="AP109" s="38"/>
      <c r="AS109" s="39"/>
      <c r="AW109" s="39"/>
      <c r="BA109" s="40"/>
    </row>
    <row r="110" spans="1:53" s="29" customFormat="1" x14ac:dyDescent="0.15">
      <c r="A110" s="29">
        <v>2011</v>
      </c>
      <c r="B110" s="295"/>
      <c r="C110" s="411" t="s">
        <v>606</v>
      </c>
      <c r="D110" s="411"/>
      <c r="E110" s="29">
        <v>0</v>
      </c>
      <c r="G110" s="66">
        <v>17</v>
      </c>
      <c r="H110" s="29">
        <v>7</v>
      </c>
      <c r="J110" s="73">
        <v>24</v>
      </c>
      <c r="K110" s="47">
        <f t="shared" ref="K110:K115" si="11">G110/J110*100</f>
        <v>70.833333333333343</v>
      </c>
      <c r="L110" s="47">
        <f t="shared" ref="L110:L115" si="12">H110/J110*100</f>
        <v>29.166666666666668</v>
      </c>
      <c r="M110" s="47">
        <f t="shared" ref="M110:M115" si="13">I110/J110*100</f>
        <v>0</v>
      </c>
      <c r="N110" s="47">
        <f t="shared" si="6"/>
        <v>100.00000000000001</v>
      </c>
      <c r="O110" s="46">
        <v>37.6</v>
      </c>
      <c r="P110" s="47">
        <v>12</v>
      </c>
      <c r="Q110" s="47"/>
      <c r="R110" s="48">
        <f t="shared" si="10"/>
        <v>49.6</v>
      </c>
      <c r="S110" s="29">
        <v>5</v>
      </c>
      <c r="T110" s="286"/>
      <c r="U110" s="295"/>
      <c r="V110" s="38" t="s">
        <v>472</v>
      </c>
      <c r="W110" s="29" t="s">
        <v>74</v>
      </c>
      <c r="X110" s="29" t="s">
        <v>11</v>
      </c>
      <c r="Y110" s="39">
        <v>30.7</v>
      </c>
      <c r="Z110" s="38" t="s">
        <v>470</v>
      </c>
      <c r="AA110" s="29" t="s">
        <v>869</v>
      </c>
      <c r="AB110" s="29" t="s">
        <v>18</v>
      </c>
      <c r="AC110" s="29">
        <v>6.6</v>
      </c>
      <c r="AD110" s="38" t="s">
        <v>471</v>
      </c>
      <c r="AE110" s="29" t="s">
        <v>22</v>
      </c>
      <c r="AF110" s="29" t="s">
        <v>11</v>
      </c>
      <c r="AG110" s="39">
        <v>6.9</v>
      </c>
      <c r="AH110" s="38" t="s">
        <v>473</v>
      </c>
      <c r="AI110" s="29" t="s">
        <v>17</v>
      </c>
      <c r="AJ110" s="29" t="s">
        <v>18</v>
      </c>
      <c r="AK110" s="29">
        <v>5.4</v>
      </c>
      <c r="AL110" s="38"/>
      <c r="AO110" s="39"/>
      <c r="AP110" s="38"/>
      <c r="AS110" s="39"/>
      <c r="AW110" s="39"/>
      <c r="BA110" s="40"/>
    </row>
    <row r="111" spans="1:53" s="29" customFormat="1" x14ac:dyDescent="0.15">
      <c r="A111" s="29">
        <v>2011</v>
      </c>
      <c r="B111" s="295"/>
      <c r="C111" s="411" t="s">
        <v>606</v>
      </c>
      <c r="D111" s="411"/>
      <c r="E111" s="29">
        <v>365</v>
      </c>
      <c r="G111" s="66">
        <v>17</v>
      </c>
      <c r="H111" s="29">
        <v>7</v>
      </c>
      <c r="J111" s="73">
        <v>24</v>
      </c>
      <c r="K111" s="47">
        <f t="shared" si="11"/>
        <v>70.833333333333343</v>
      </c>
      <c r="L111" s="47">
        <f t="shared" si="12"/>
        <v>29.166666666666668</v>
      </c>
      <c r="M111" s="47">
        <f t="shared" si="13"/>
        <v>0</v>
      </c>
      <c r="N111" s="47">
        <f t="shared" si="6"/>
        <v>100.00000000000001</v>
      </c>
      <c r="O111" s="46">
        <v>37.6</v>
      </c>
      <c r="P111" s="47">
        <v>12</v>
      </c>
      <c r="Q111" s="47"/>
      <c r="R111" s="48">
        <f t="shared" si="10"/>
        <v>49.6</v>
      </c>
      <c r="S111" s="29">
        <v>5</v>
      </c>
      <c r="T111" s="286"/>
      <c r="U111" s="295"/>
      <c r="V111" s="38" t="s">
        <v>472</v>
      </c>
      <c r="W111" s="29" t="s">
        <v>74</v>
      </c>
      <c r="X111" s="29" t="s">
        <v>11</v>
      </c>
      <c r="Y111" s="39">
        <v>30.7</v>
      </c>
      <c r="Z111" s="38" t="s">
        <v>470</v>
      </c>
      <c r="AA111" s="29" t="s">
        <v>869</v>
      </c>
      <c r="AB111" s="29" t="s">
        <v>18</v>
      </c>
      <c r="AC111" s="29">
        <v>6.6</v>
      </c>
      <c r="AD111" s="38" t="s">
        <v>471</v>
      </c>
      <c r="AE111" s="29" t="s">
        <v>22</v>
      </c>
      <c r="AF111" s="29" t="s">
        <v>11</v>
      </c>
      <c r="AG111" s="39">
        <v>6.9</v>
      </c>
      <c r="AH111" s="38" t="s">
        <v>473</v>
      </c>
      <c r="AI111" s="29" t="s">
        <v>17</v>
      </c>
      <c r="AJ111" s="29" t="s">
        <v>18</v>
      </c>
      <c r="AK111" s="29">
        <v>5.4</v>
      </c>
      <c r="AL111" s="38"/>
      <c r="AO111" s="39"/>
      <c r="AP111" s="38"/>
      <c r="AS111" s="39"/>
      <c r="AW111" s="39"/>
      <c r="BA111" s="40"/>
    </row>
    <row r="112" spans="1:53" s="29" customFormat="1" x14ac:dyDescent="0.15">
      <c r="A112" s="29">
        <v>2012</v>
      </c>
      <c r="B112" s="295"/>
      <c r="C112" s="411" t="s">
        <v>606</v>
      </c>
      <c r="D112" s="411"/>
      <c r="E112" s="29">
        <v>0</v>
      </c>
      <c r="G112" s="66">
        <v>17</v>
      </c>
      <c r="H112" s="29">
        <v>7</v>
      </c>
      <c r="J112" s="73">
        <v>24</v>
      </c>
      <c r="K112" s="47">
        <f t="shared" si="11"/>
        <v>70.833333333333343</v>
      </c>
      <c r="L112" s="47">
        <f t="shared" si="12"/>
        <v>29.166666666666668</v>
      </c>
      <c r="M112" s="47">
        <f t="shared" si="13"/>
        <v>0</v>
      </c>
      <c r="N112" s="47">
        <f t="shared" si="6"/>
        <v>100.00000000000001</v>
      </c>
      <c r="O112" s="46">
        <v>37.6</v>
      </c>
      <c r="P112" s="47">
        <v>12</v>
      </c>
      <c r="Q112" s="47"/>
      <c r="R112" s="48">
        <f t="shared" si="10"/>
        <v>49.6</v>
      </c>
      <c r="S112" s="29">
        <v>5</v>
      </c>
      <c r="T112" s="286"/>
      <c r="U112" s="295"/>
      <c r="V112" s="38" t="s">
        <v>472</v>
      </c>
      <c r="W112" s="29" t="s">
        <v>74</v>
      </c>
      <c r="X112" s="29" t="s">
        <v>11</v>
      </c>
      <c r="Y112" s="39">
        <v>30.7</v>
      </c>
      <c r="Z112" s="38" t="s">
        <v>470</v>
      </c>
      <c r="AA112" s="29" t="s">
        <v>869</v>
      </c>
      <c r="AB112" s="29" t="s">
        <v>18</v>
      </c>
      <c r="AC112" s="29">
        <v>6.6</v>
      </c>
      <c r="AD112" s="38" t="s">
        <v>471</v>
      </c>
      <c r="AE112" s="29" t="s">
        <v>22</v>
      </c>
      <c r="AF112" s="29" t="s">
        <v>11</v>
      </c>
      <c r="AG112" s="39">
        <v>6.9</v>
      </c>
      <c r="AH112" s="38" t="s">
        <v>473</v>
      </c>
      <c r="AI112" s="29" t="s">
        <v>17</v>
      </c>
      <c r="AJ112" s="29" t="s">
        <v>18</v>
      </c>
      <c r="AK112" s="29">
        <v>5.4</v>
      </c>
      <c r="AL112" s="38"/>
      <c r="AO112" s="39"/>
      <c r="AP112" s="38"/>
      <c r="AS112" s="39"/>
      <c r="AW112" s="39"/>
      <c r="BA112" s="40"/>
    </row>
    <row r="113" spans="1:53" s="29" customFormat="1" x14ac:dyDescent="0.15">
      <c r="A113" s="29">
        <v>2012</v>
      </c>
      <c r="B113" s="295"/>
      <c r="C113" s="411" t="s">
        <v>606</v>
      </c>
      <c r="D113" s="411"/>
      <c r="E113" s="29">
        <v>366</v>
      </c>
      <c r="G113" s="66">
        <v>17</v>
      </c>
      <c r="H113" s="29">
        <v>7</v>
      </c>
      <c r="J113" s="73">
        <v>24</v>
      </c>
      <c r="K113" s="47">
        <f t="shared" si="11"/>
        <v>70.833333333333343</v>
      </c>
      <c r="L113" s="47">
        <f t="shared" si="12"/>
        <v>29.166666666666668</v>
      </c>
      <c r="M113" s="47">
        <f t="shared" si="13"/>
        <v>0</v>
      </c>
      <c r="N113" s="47">
        <f t="shared" si="6"/>
        <v>100.00000000000001</v>
      </c>
      <c r="O113" s="46">
        <v>37.6</v>
      </c>
      <c r="P113" s="47">
        <v>12</v>
      </c>
      <c r="Q113" s="47"/>
      <c r="R113" s="48">
        <f t="shared" si="10"/>
        <v>49.6</v>
      </c>
      <c r="S113" s="29">
        <v>5</v>
      </c>
      <c r="T113" s="286"/>
      <c r="U113" s="295"/>
      <c r="V113" s="38" t="s">
        <v>472</v>
      </c>
      <c r="W113" s="29" t="s">
        <v>74</v>
      </c>
      <c r="X113" s="29" t="s">
        <v>11</v>
      </c>
      <c r="Y113" s="39">
        <v>30.7</v>
      </c>
      <c r="Z113" s="38" t="s">
        <v>470</v>
      </c>
      <c r="AA113" s="29" t="s">
        <v>869</v>
      </c>
      <c r="AB113" s="29" t="s">
        <v>18</v>
      </c>
      <c r="AC113" s="29">
        <v>6.6</v>
      </c>
      <c r="AD113" s="38" t="s">
        <v>471</v>
      </c>
      <c r="AE113" s="29" t="s">
        <v>22</v>
      </c>
      <c r="AF113" s="29" t="s">
        <v>11</v>
      </c>
      <c r="AG113" s="39">
        <v>6.9</v>
      </c>
      <c r="AH113" s="38" t="s">
        <v>473</v>
      </c>
      <c r="AI113" s="29" t="s">
        <v>17</v>
      </c>
      <c r="AJ113" s="29" t="s">
        <v>18</v>
      </c>
      <c r="AK113" s="29">
        <v>5.4</v>
      </c>
      <c r="AL113" s="38"/>
      <c r="AO113" s="39"/>
      <c r="AP113" s="38"/>
      <c r="AS113" s="39"/>
      <c r="AW113" s="39"/>
      <c r="BA113" s="40"/>
    </row>
    <row r="114" spans="1:53" s="29" customFormat="1" x14ac:dyDescent="0.15">
      <c r="A114" s="29">
        <v>2013</v>
      </c>
      <c r="B114" s="295"/>
      <c r="C114" s="411" t="s">
        <v>606</v>
      </c>
      <c r="D114" s="411"/>
      <c r="E114" s="29">
        <v>0</v>
      </c>
      <c r="G114" s="66">
        <v>17</v>
      </c>
      <c r="H114" s="29">
        <v>7</v>
      </c>
      <c r="J114" s="73">
        <v>24</v>
      </c>
      <c r="K114" s="47">
        <f t="shared" si="11"/>
        <v>70.833333333333343</v>
      </c>
      <c r="L114" s="47">
        <f t="shared" si="12"/>
        <v>29.166666666666668</v>
      </c>
      <c r="M114" s="47">
        <f t="shared" si="13"/>
        <v>0</v>
      </c>
      <c r="N114" s="47">
        <f t="shared" si="6"/>
        <v>100.00000000000001</v>
      </c>
      <c r="O114" s="46">
        <v>37.6</v>
      </c>
      <c r="P114" s="47">
        <v>12</v>
      </c>
      <c r="Q114" s="47"/>
      <c r="R114" s="48">
        <f t="shared" si="10"/>
        <v>49.6</v>
      </c>
      <c r="S114" s="29">
        <v>5</v>
      </c>
      <c r="T114" s="286"/>
      <c r="U114" s="295"/>
      <c r="V114" s="38" t="s">
        <v>472</v>
      </c>
      <c r="W114" s="29" t="s">
        <v>74</v>
      </c>
      <c r="X114" s="29" t="s">
        <v>11</v>
      </c>
      <c r="Y114" s="39">
        <v>30.7</v>
      </c>
      <c r="Z114" s="38" t="s">
        <v>470</v>
      </c>
      <c r="AA114" s="29" t="s">
        <v>869</v>
      </c>
      <c r="AB114" s="29" t="s">
        <v>18</v>
      </c>
      <c r="AC114" s="29">
        <v>6.6</v>
      </c>
      <c r="AD114" s="38" t="s">
        <v>471</v>
      </c>
      <c r="AE114" s="29" t="s">
        <v>22</v>
      </c>
      <c r="AF114" s="29" t="s">
        <v>11</v>
      </c>
      <c r="AG114" s="39">
        <v>6.9</v>
      </c>
      <c r="AH114" s="38" t="s">
        <v>473</v>
      </c>
      <c r="AI114" s="29" t="s">
        <v>17</v>
      </c>
      <c r="AJ114" s="29" t="s">
        <v>18</v>
      </c>
      <c r="AK114" s="29">
        <v>5.4</v>
      </c>
      <c r="AL114" s="38"/>
      <c r="AO114" s="39"/>
      <c r="AP114" s="38"/>
      <c r="AS114" s="39"/>
      <c r="AW114" s="39"/>
      <c r="BA114" s="40"/>
    </row>
    <row r="115" spans="1:53" s="29" customFormat="1" x14ac:dyDescent="0.15">
      <c r="A115" s="29">
        <v>2013</v>
      </c>
      <c r="B115" s="295"/>
      <c r="C115" s="411" t="s">
        <v>606</v>
      </c>
      <c r="D115" s="411"/>
      <c r="E115" s="29">
        <v>365</v>
      </c>
      <c r="G115" s="66">
        <v>17</v>
      </c>
      <c r="H115" s="29">
        <v>7</v>
      </c>
      <c r="J115" s="73">
        <v>24</v>
      </c>
      <c r="K115" s="47">
        <f t="shared" si="11"/>
        <v>70.833333333333343</v>
      </c>
      <c r="L115" s="47">
        <f t="shared" si="12"/>
        <v>29.166666666666668</v>
      </c>
      <c r="M115" s="47">
        <f t="shared" si="13"/>
        <v>0</v>
      </c>
      <c r="N115" s="47">
        <f t="shared" si="6"/>
        <v>100.00000000000001</v>
      </c>
      <c r="O115" s="46">
        <v>37.6</v>
      </c>
      <c r="P115" s="47">
        <v>12</v>
      </c>
      <c r="Q115" s="47"/>
      <c r="R115" s="48">
        <f t="shared" si="10"/>
        <v>49.6</v>
      </c>
      <c r="S115" s="29">
        <v>5</v>
      </c>
      <c r="T115" s="286"/>
      <c r="U115" s="295"/>
      <c r="V115" s="38" t="s">
        <v>472</v>
      </c>
      <c r="W115" s="29" t="s">
        <v>74</v>
      </c>
      <c r="X115" s="29" t="s">
        <v>11</v>
      </c>
      <c r="Y115" s="39">
        <v>30.7</v>
      </c>
      <c r="Z115" s="38" t="s">
        <v>470</v>
      </c>
      <c r="AA115" s="29" t="s">
        <v>869</v>
      </c>
      <c r="AB115" s="29" t="s">
        <v>18</v>
      </c>
      <c r="AC115" s="29">
        <v>6.6</v>
      </c>
      <c r="AD115" s="38" t="s">
        <v>471</v>
      </c>
      <c r="AE115" s="29" t="s">
        <v>22</v>
      </c>
      <c r="AF115" s="29" t="s">
        <v>11</v>
      </c>
      <c r="AG115" s="39">
        <v>6.9</v>
      </c>
      <c r="AH115" s="38" t="s">
        <v>473</v>
      </c>
      <c r="AI115" s="29" t="s">
        <v>17</v>
      </c>
      <c r="AJ115" s="29" t="s">
        <v>18</v>
      </c>
      <c r="AK115" s="29">
        <v>5.4</v>
      </c>
      <c r="AL115" s="38"/>
      <c r="AO115" s="39"/>
      <c r="AP115" s="38"/>
      <c r="AS115" s="39"/>
      <c r="AW115" s="39"/>
      <c r="BA115" s="40"/>
    </row>
    <row r="116" spans="1:53" s="29" customFormat="1" x14ac:dyDescent="0.15">
      <c r="A116" s="29">
        <v>2014</v>
      </c>
      <c r="B116" s="295"/>
      <c r="C116" s="411" t="s">
        <v>606</v>
      </c>
      <c r="D116" s="411"/>
      <c r="E116" s="29">
        <v>277</v>
      </c>
      <c r="G116" s="66">
        <v>17</v>
      </c>
      <c r="H116" s="29">
        <v>7</v>
      </c>
      <c r="J116" s="73">
        <v>24</v>
      </c>
      <c r="K116" s="47">
        <f>G116/J116*100</f>
        <v>70.833333333333343</v>
      </c>
      <c r="L116" s="47">
        <f>H116/J116*100</f>
        <v>29.166666666666668</v>
      </c>
      <c r="M116" s="47">
        <f>I116/J116*100</f>
        <v>0</v>
      </c>
      <c r="N116" s="47">
        <f>K116+L116+M116</f>
        <v>100.00000000000001</v>
      </c>
      <c r="O116" s="46">
        <v>37.6</v>
      </c>
      <c r="P116" s="47">
        <v>12</v>
      </c>
      <c r="Q116" s="47"/>
      <c r="R116" s="48">
        <f>O116+P116+Q116</f>
        <v>49.6</v>
      </c>
      <c r="S116" s="29">
        <v>5</v>
      </c>
      <c r="T116" s="286"/>
      <c r="U116" s="295"/>
      <c r="V116" s="38" t="s">
        <v>472</v>
      </c>
      <c r="W116" s="29" t="s">
        <v>74</v>
      </c>
      <c r="X116" s="29" t="s">
        <v>11</v>
      </c>
      <c r="Y116" s="39">
        <v>30.7</v>
      </c>
      <c r="Z116" s="38" t="s">
        <v>470</v>
      </c>
      <c r="AA116" s="29" t="s">
        <v>869</v>
      </c>
      <c r="AB116" s="29" t="s">
        <v>18</v>
      </c>
      <c r="AC116" s="29">
        <v>6.6</v>
      </c>
      <c r="AD116" s="38" t="s">
        <v>471</v>
      </c>
      <c r="AE116" s="29" t="s">
        <v>22</v>
      </c>
      <c r="AF116" s="29" t="s">
        <v>11</v>
      </c>
      <c r="AG116" s="39">
        <v>6.9</v>
      </c>
      <c r="AH116" s="38" t="s">
        <v>473</v>
      </c>
      <c r="AI116" s="29" t="s">
        <v>17</v>
      </c>
      <c r="AJ116" s="29" t="s">
        <v>18</v>
      </c>
      <c r="AK116" s="29">
        <v>5.4</v>
      </c>
      <c r="AL116" s="38"/>
      <c r="AO116" s="39"/>
      <c r="AP116" s="38"/>
      <c r="AS116" s="39"/>
      <c r="AW116" s="39"/>
      <c r="BA116" s="40"/>
    </row>
    <row r="117" spans="1:53" s="171" customFormat="1" x14ac:dyDescent="0.15">
      <c r="A117" s="171">
        <v>2014</v>
      </c>
      <c r="B117" s="283">
        <v>41917</v>
      </c>
      <c r="C117" s="410" t="s">
        <v>1304</v>
      </c>
      <c r="D117" s="410"/>
      <c r="E117" s="171">
        <v>88</v>
      </c>
      <c r="F117" s="171">
        <v>1</v>
      </c>
      <c r="G117" s="233"/>
      <c r="I117" s="171">
        <v>24</v>
      </c>
      <c r="J117" s="241">
        <v>24</v>
      </c>
      <c r="K117" s="214">
        <f>G117/J117*100</f>
        <v>0</v>
      </c>
      <c r="L117" s="214">
        <f>H117/J117*100</f>
        <v>0</v>
      </c>
      <c r="M117" s="214">
        <f>I117/J117*100</f>
        <v>100</v>
      </c>
      <c r="N117" s="214">
        <f>K117+L117+M117</f>
        <v>100</v>
      </c>
      <c r="O117" s="213"/>
      <c r="P117" s="214"/>
      <c r="Q117" s="214">
        <v>39.6</v>
      </c>
      <c r="R117" s="215">
        <f>O117+P117+Q117</f>
        <v>39.6</v>
      </c>
      <c r="S117" s="171">
        <v>5</v>
      </c>
      <c r="T117" s="285">
        <v>41896</v>
      </c>
      <c r="U117" s="283">
        <v>41917</v>
      </c>
      <c r="V117" s="178" t="s">
        <v>469</v>
      </c>
      <c r="W117" s="171" t="s">
        <v>20</v>
      </c>
      <c r="X117" s="171" t="s">
        <v>12</v>
      </c>
      <c r="Y117" s="179">
        <v>32.4</v>
      </c>
      <c r="Z117" s="178" t="s">
        <v>1305</v>
      </c>
      <c r="AA117" s="171" t="s">
        <v>216</v>
      </c>
      <c r="AB117" s="171" t="s">
        <v>12</v>
      </c>
      <c r="AC117" s="171">
        <v>7.2</v>
      </c>
      <c r="AD117" s="178"/>
      <c r="AG117" s="179"/>
      <c r="AH117" s="178"/>
      <c r="AL117" s="178"/>
      <c r="AO117" s="179"/>
      <c r="AP117" s="178"/>
      <c r="AS117" s="179"/>
      <c r="AW117" s="179"/>
      <c r="BA117" s="180"/>
    </row>
    <row r="118" spans="1:53" s="171" customFormat="1" x14ac:dyDescent="0.15">
      <c r="A118" s="171">
        <v>2015</v>
      </c>
      <c r="B118" s="283"/>
      <c r="C118" s="410" t="s">
        <v>1304</v>
      </c>
      <c r="D118" s="410"/>
      <c r="E118" s="171">
        <v>0</v>
      </c>
      <c r="G118" s="233"/>
      <c r="I118" s="171">
        <v>24</v>
      </c>
      <c r="J118" s="241">
        <v>24</v>
      </c>
      <c r="K118" s="214">
        <f t="shared" ref="K118:K119" si="14">G118/J118*100</f>
        <v>0</v>
      </c>
      <c r="L118" s="214">
        <f t="shared" ref="L118:L119" si="15">H118/J118*100</f>
        <v>0</v>
      </c>
      <c r="M118" s="214">
        <f t="shared" ref="M118:M119" si="16">I118/J118*100</f>
        <v>100</v>
      </c>
      <c r="N118" s="214">
        <f t="shared" ref="N118:N119" si="17">K118+L118+M118</f>
        <v>100</v>
      </c>
      <c r="O118" s="213"/>
      <c r="P118" s="214"/>
      <c r="Q118" s="214">
        <v>39.6</v>
      </c>
      <c r="R118" s="215">
        <f t="shared" ref="R118:R119" si="18">O118+P118+Q118</f>
        <v>39.6</v>
      </c>
      <c r="S118" s="171">
        <v>5</v>
      </c>
      <c r="T118" s="285"/>
      <c r="U118" s="283"/>
      <c r="V118" s="178" t="s">
        <v>469</v>
      </c>
      <c r="W118" s="171" t="s">
        <v>20</v>
      </c>
      <c r="X118" s="171" t="s">
        <v>12</v>
      </c>
      <c r="Y118" s="179">
        <v>32.4</v>
      </c>
      <c r="Z118" s="178" t="s">
        <v>1305</v>
      </c>
      <c r="AA118" s="171" t="s">
        <v>216</v>
      </c>
      <c r="AB118" s="171" t="s">
        <v>12</v>
      </c>
      <c r="AC118" s="171">
        <v>7.2</v>
      </c>
      <c r="AD118" s="178"/>
      <c r="AG118" s="179"/>
      <c r="AH118" s="178"/>
      <c r="AL118" s="178"/>
      <c r="AO118" s="179"/>
      <c r="AP118" s="178"/>
      <c r="AS118" s="179"/>
      <c r="AW118" s="179"/>
      <c r="BA118" s="180"/>
    </row>
    <row r="119" spans="1:53" s="171" customFormat="1" x14ac:dyDescent="0.15">
      <c r="A119" s="171">
        <v>2015</v>
      </c>
      <c r="B119" s="283"/>
      <c r="C119" s="410" t="s">
        <v>1304</v>
      </c>
      <c r="D119" s="410"/>
      <c r="E119" s="171">
        <v>365</v>
      </c>
      <c r="G119" s="233"/>
      <c r="I119" s="171">
        <v>24</v>
      </c>
      <c r="J119" s="241">
        <v>24</v>
      </c>
      <c r="K119" s="214">
        <f t="shared" si="14"/>
        <v>0</v>
      </c>
      <c r="L119" s="214">
        <f t="shared" si="15"/>
        <v>0</v>
      </c>
      <c r="M119" s="214">
        <f t="shared" si="16"/>
        <v>100</v>
      </c>
      <c r="N119" s="214">
        <f t="shared" si="17"/>
        <v>100</v>
      </c>
      <c r="O119" s="213"/>
      <c r="P119" s="214"/>
      <c r="Q119" s="214">
        <v>39.6</v>
      </c>
      <c r="R119" s="215">
        <f t="shared" si="18"/>
        <v>39.6</v>
      </c>
      <c r="S119" s="171">
        <v>5</v>
      </c>
      <c r="T119" s="285"/>
      <c r="U119" s="283"/>
      <c r="V119" s="178" t="s">
        <v>469</v>
      </c>
      <c r="W119" s="171" t="s">
        <v>20</v>
      </c>
      <c r="X119" s="171" t="s">
        <v>12</v>
      </c>
      <c r="Y119" s="179">
        <v>32.4</v>
      </c>
      <c r="Z119" s="178" t="s">
        <v>1305</v>
      </c>
      <c r="AA119" s="171" t="s">
        <v>216</v>
      </c>
      <c r="AB119" s="171" t="s">
        <v>12</v>
      </c>
      <c r="AC119" s="171">
        <v>7.2</v>
      </c>
      <c r="AD119" s="178"/>
      <c r="AG119" s="179"/>
      <c r="AH119" s="178"/>
      <c r="AL119" s="178"/>
      <c r="AO119" s="179"/>
      <c r="AP119" s="178"/>
      <c r="AS119" s="179"/>
      <c r="AW119" s="179"/>
      <c r="BA119" s="180"/>
    </row>
    <row r="120" spans="1:53" s="171" customFormat="1" x14ac:dyDescent="0.15">
      <c r="A120" s="171">
        <v>2016</v>
      </c>
      <c r="B120" s="283"/>
      <c r="C120" s="410" t="s">
        <v>1304</v>
      </c>
      <c r="D120" s="410"/>
      <c r="E120" s="171">
        <v>0</v>
      </c>
      <c r="G120" s="233"/>
      <c r="I120" s="171">
        <v>24</v>
      </c>
      <c r="J120" s="241">
        <v>24</v>
      </c>
      <c r="K120" s="214">
        <f t="shared" ref="K120:K121" si="19">G120/J120*100</f>
        <v>0</v>
      </c>
      <c r="L120" s="214">
        <f t="shared" ref="L120:L121" si="20">H120/J120*100</f>
        <v>0</v>
      </c>
      <c r="M120" s="214">
        <f t="shared" ref="M120:M121" si="21">I120/J120*100</f>
        <v>100</v>
      </c>
      <c r="N120" s="214">
        <f t="shared" ref="N120:N121" si="22">K120+L120+M120</f>
        <v>100</v>
      </c>
      <c r="O120" s="213"/>
      <c r="P120" s="214"/>
      <c r="Q120" s="214">
        <v>39.6</v>
      </c>
      <c r="R120" s="215">
        <f t="shared" ref="R120:R121" si="23">O120+P120+Q120</f>
        <v>39.6</v>
      </c>
      <c r="S120" s="171">
        <v>5</v>
      </c>
      <c r="T120" s="285"/>
      <c r="U120" s="283"/>
      <c r="V120" s="178" t="s">
        <v>469</v>
      </c>
      <c r="W120" s="171" t="s">
        <v>20</v>
      </c>
      <c r="X120" s="171" t="s">
        <v>12</v>
      </c>
      <c r="Y120" s="179">
        <v>32.4</v>
      </c>
      <c r="Z120" s="178" t="s">
        <v>1305</v>
      </c>
      <c r="AA120" s="171" t="s">
        <v>216</v>
      </c>
      <c r="AB120" s="171" t="s">
        <v>12</v>
      </c>
      <c r="AC120" s="171">
        <v>7.2</v>
      </c>
      <c r="AD120" s="178"/>
      <c r="AG120" s="179"/>
      <c r="AH120" s="178"/>
      <c r="AL120" s="178"/>
      <c r="AO120" s="179"/>
      <c r="AP120" s="178"/>
      <c r="AS120" s="179"/>
      <c r="AW120" s="179"/>
      <c r="BA120" s="180"/>
    </row>
    <row r="121" spans="1:53" s="171" customFormat="1" x14ac:dyDescent="0.15">
      <c r="A121" s="171">
        <v>2016</v>
      </c>
      <c r="B121" s="283"/>
      <c r="C121" s="410" t="s">
        <v>1304</v>
      </c>
      <c r="D121" s="410"/>
      <c r="E121" s="171">
        <v>366</v>
      </c>
      <c r="G121" s="233"/>
      <c r="I121" s="171">
        <v>24</v>
      </c>
      <c r="J121" s="241">
        <v>24</v>
      </c>
      <c r="K121" s="214">
        <f t="shared" si="19"/>
        <v>0</v>
      </c>
      <c r="L121" s="214">
        <f t="shared" si="20"/>
        <v>0</v>
      </c>
      <c r="M121" s="214">
        <f t="shared" si="21"/>
        <v>100</v>
      </c>
      <c r="N121" s="214">
        <f t="shared" si="22"/>
        <v>100</v>
      </c>
      <c r="O121" s="213"/>
      <c r="P121" s="214"/>
      <c r="Q121" s="214">
        <v>39.6</v>
      </c>
      <c r="R121" s="215">
        <f t="shared" si="23"/>
        <v>39.6</v>
      </c>
      <c r="S121" s="171">
        <v>5</v>
      </c>
      <c r="T121" s="285"/>
      <c r="U121" s="283"/>
      <c r="V121" s="178" t="s">
        <v>469</v>
      </c>
      <c r="W121" s="171" t="s">
        <v>20</v>
      </c>
      <c r="X121" s="171" t="s">
        <v>12</v>
      </c>
      <c r="Y121" s="179">
        <v>32.4</v>
      </c>
      <c r="Z121" s="178" t="s">
        <v>1305</v>
      </c>
      <c r="AA121" s="171" t="s">
        <v>216</v>
      </c>
      <c r="AB121" s="171" t="s">
        <v>12</v>
      </c>
      <c r="AC121" s="171">
        <v>7.2</v>
      </c>
      <c r="AD121" s="178"/>
      <c r="AG121" s="179"/>
      <c r="AH121" s="178"/>
      <c r="AL121" s="178"/>
      <c r="AO121" s="179"/>
      <c r="AP121" s="178"/>
      <c r="AS121" s="179"/>
      <c r="AW121" s="179"/>
      <c r="BA121" s="180"/>
    </row>
    <row r="122" spans="1:53" s="171" customFormat="1" x14ac:dyDescent="0.15">
      <c r="A122" s="171">
        <v>2017</v>
      </c>
      <c r="B122" s="283"/>
      <c r="C122" s="410" t="s">
        <v>1304</v>
      </c>
      <c r="D122" s="410"/>
      <c r="E122" s="171">
        <v>207</v>
      </c>
      <c r="G122" s="233"/>
      <c r="I122" s="171">
        <v>24</v>
      </c>
      <c r="J122" s="241">
        <v>24</v>
      </c>
      <c r="K122" s="214">
        <f t="shared" ref="K122:K125" si="24">G122/J122*100</f>
        <v>0</v>
      </c>
      <c r="L122" s="214">
        <f t="shared" ref="L122:L125" si="25">H122/J122*100</f>
        <v>0</v>
      </c>
      <c r="M122" s="214">
        <f t="shared" ref="M122:M125" si="26">I122/J122*100</f>
        <v>100</v>
      </c>
      <c r="N122" s="214">
        <f t="shared" ref="N122:N125" si="27">K122+L122+M122</f>
        <v>100</v>
      </c>
      <c r="O122" s="213"/>
      <c r="P122" s="214"/>
      <c r="Q122" s="214">
        <v>39.6</v>
      </c>
      <c r="R122" s="215">
        <f t="shared" ref="R122" si="28">O122+P122+Q122</f>
        <v>39.6</v>
      </c>
      <c r="S122" s="171">
        <v>5</v>
      </c>
      <c r="T122" s="285"/>
      <c r="U122" s="283"/>
      <c r="V122" s="178" t="s">
        <v>469</v>
      </c>
      <c r="W122" s="171" t="s">
        <v>20</v>
      </c>
      <c r="X122" s="171" t="s">
        <v>12</v>
      </c>
      <c r="Y122" s="179">
        <v>32.4</v>
      </c>
      <c r="Z122" s="178" t="s">
        <v>1305</v>
      </c>
      <c r="AA122" s="171" t="s">
        <v>216</v>
      </c>
      <c r="AB122" s="171" t="s">
        <v>12</v>
      </c>
      <c r="AC122" s="171">
        <v>7.2</v>
      </c>
      <c r="AD122" s="178"/>
      <c r="AG122" s="179"/>
      <c r="AH122" s="178"/>
      <c r="AL122" s="178"/>
      <c r="AO122" s="179"/>
      <c r="AP122" s="178"/>
      <c r="AS122" s="179"/>
      <c r="AW122" s="179"/>
      <c r="BA122" s="180"/>
    </row>
    <row r="123" spans="1:53" s="171" customFormat="1" x14ac:dyDescent="0.15">
      <c r="A123" s="171">
        <v>2017</v>
      </c>
      <c r="B123" s="305">
        <v>42943</v>
      </c>
      <c r="C123" s="410" t="s">
        <v>1304</v>
      </c>
      <c r="D123" s="410"/>
      <c r="E123" s="171">
        <v>158</v>
      </c>
      <c r="F123" s="244">
        <v>0</v>
      </c>
      <c r="G123" s="233"/>
      <c r="I123" s="171">
        <v>23</v>
      </c>
      <c r="J123" s="241">
        <v>23</v>
      </c>
      <c r="K123" s="214">
        <f t="shared" si="24"/>
        <v>0</v>
      </c>
      <c r="L123" s="214">
        <f t="shared" si="25"/>
        <v>0</v>
      </c>
      <c r="M123" s="214">
        <f t="shared" si="26"/>
        <v>100</v>
      </c>
      <c r="N123" s="214">
        <f t="shared" si="27"/>
        <v>100</v>
      </c>
      <c r="O123" s="213"/>
      <c r="P123" s="214"/>
      <c r="Q123" s="214">
        <v>39.6</v>
      </c>
      <c r="R123" s="215">
        <f t="shared" ref="R123" si="29">O123+P123+Q123</f>
        <v>39.6</v>
      </c>
      <c r="S123" s="171">
        <v>5</v>
      </c>
      <c r="T123" s="285"/>
      <c r="U123" s="283"/>
      <c r="V123" s="178" t="s">
        <v>469</v>
      </c>
      <c r="W123" s="171" t="s">
        <v>20</v>
      </c>
      <c r="X123" s="171" t="s">
        <v>12</v>
      </c>
      <c r="Y123" s="179">
        <v>32.4</v>
      </c>
      <c r="Z123" s="178" t="s">
        <v>1305</v>
      </c>
      <c r="AA123" s="171" t="s">
        <v>216</v>
      </c>
      <c r="AB123" s="171" t="s">
        <v>12</v>
      </c>
      <c r="AC123" s="171">
        <v>7.2</v>
      </c>
      <c r="AD123" s="178"/>
      <c r="AG123" s="179"/>
      <c r="AH123" s="178"/>
      <c r="AL123" s="178"/>
      <c r="AO123" s="179"/>
      <c r="AP123" s="178"/>
      <c r="AS123" s="179"/>
      <c r="AW123" s="179"/>
      <c r="BA123" s="180"/>
    </row>
    <row r="124" spans="1:53" s="171" customFormat="1" x14ac:dyDescent="0.15">
      <c r="A124" s="171">
        <v>2018</v>
      </c>
      <c r="B124" s="283"/>
      <c r="C124" s="410" t="s">
        <v>1304</v>
      </c>
      <c r="D124" s="410"/>
      <c r="E124" s="171">
        <v>0</v>
      </c>
      <c r="G124" s="233"/>
      <c r="I124" s="171">
        <v>23</v>
      </c>
      <c r="J124" s="241">
        <v>23</v>
      </c>
      <c r="K124" s="214">
        <f t="shared" si="24"/>
        <v>0</v>
      </c>
      <c r="L124" s="214">
        <f t="shared" si="25"/>
        <v>0</v>
      </c>
      <c r="M124" s="214">
        <f t="shared" si="26"/>
        <v>100</v>
      </c>
      <c r="N124" s="214">
        <f t="shared" si="27"/>
        <v>100</v>
      </c>
      <c r="O124" s="213"/>
      <c r="P124" s="214"/>
      <c r="Q124" s="214">
        <v>39.6</v>
      </c>
      <c r="R124" s="215">
        <f t="shared" ref="R124:R125" si="30">O124+P124+Q124</f>
        <v>39.6</v>
      </c>
      <c r="S124" s="171">
        <v>5</v>
      </c>
      <c r="T124" s="285"/>
      <c r="U124" s="283"/>
      <c r="V124" s="178" t="s">
        <v>469</v>
      </c>
      <c r="W124" s="171" t="s">
        <v>20</v>
      </c>
      <c r="X124" s="171" t="s">
        <v>12</v>
      </c>
      <c r="Y124" s="179">
        <v>32.4</v>
      </c>
      <c r="Z124" s="178" t="s">
        <v>1305</v>
      </c>
      <c r="AA124" s="171" t="s">
        <v>216</v>
      </c>
      <c r="AB124" s="171" t="s">
        <v>12</v>
      </c>
      <c r="AC124" s="171">
        <v>7.2</v>
      </c>
      <c r="AD124" s="178"/>
      <c r="AG124" s="179"/>
      <c r="AH124" s="178"/>
      <c r="AL124" s="178"/>
      <c r="AO124" s="179"/>
      <c r="AP124" s="178"/>
      <c r="AS124" s="179"/>
      <c r="AW124" s="179"/>
      <c r="BA124" s="180"/>
    </row>
    <row r="125" spans="1:53" s="171" customFormat="1" x14ac:dyDescent="0.15">
      <c r="A125" s="171">
        <v>2018</v>
      </c>
      <c r="B125" s="283"/>
      <c r="C125" s="410" t="s">
        <v>1304</v>
      </c>
      <c r="D125" s="410"/>
      <c r="E125" s="171">
        <v>365</v>
      </c>
      <c r="G125" s="233"/>
      <c r="I125" s="171">
        <v>23</v>
      </c>
      <c r="J125" s="241">
        <v>23</v>
      </c>
      <c r="K125" s="214">
        <f t="shared" si="24"/>
        <v>0</v>
      </c>
      <c r="L125" s="214">
        <f t="shared" si="25"/>
        <v>0</v>
      </c>
      <c r="M125" s="214">
        <f t="shared" si="26"/>
        <v>100</v>
      </c>
      <c r="N125" s="214">
        <f t="shared" si="27"/>
        <v>100</v>
      </c>
      <c r="O125" s="213"/>
      <c r="P125" s="214"/>
      <c r="Q125" s="214">
        <v>39.6</v>
      </c>
      <c r="R125" s="215">
        <f t="shared" si="30"/>
        <v>39.6</v>
      </c>
      <c r="S125" s="171">
        <v>5</v>
      </c>
      <c r="T125" s="285">
        <v>43352</v>
      </c>
      <c r="U125" s="283"/>
      <c r="V125" s="178" t="s">
        <v>469</v>
      </c>
      <c r="W125" s="171" t="s">
        <v>20</v>
      </c>
      <c r="X125" s="171" t="s">
        <v>12</v>
      </c>
      <c r="Y125" s="179">
        <v>32.4</v>
      </c>
      <c r="Z125" s="178" t="s">
        <v>1305</v>
      </c>
      <c r="AA125" s="171" t="s">
        <v>216</v>
      </c>
      <c r="AB125" s="171" t="s">
        <v>12</v>
      </c>
      <c r="AC125" s="171">
        <v>7.2</v>
      </c>
      <c r="AD125" s="178"/>
      <c r="AG125" s="179"/>
      <c r="AH125" s="178"/>
      <c r="AL125" s="178"/>
      <c r="AO125" s="179"/>
      <c r="AP125" s="178"/>
      <c r="AS125" s="179"/>
      <c r="AW125" s="179"/>
      <c r="BA125" s="180"/>
    </row>
    <row r="126" spans="1:53" s="171" customFormat="1" x14ac:dyDescent="0.15">
      <c r="A126" s="171">
        <v>2019</v>
      </c>
      <c r="B126" s="283"/>
      <c r="C126" s="410" t="s">
        <v>1304</v>
      </c>
      <c r="D126" s="410"/>
      <c r="E126" s="171">
        <v>22</v>
      </c>
      <c r="G126" s="233"/>
      <c r="I126" s="171">
        <v>23</v>
      </c>
      <c r="J126" s="241">
        <v>23</v>
      </c>
      <c r="K126" s="214">
        <f t="shared" ref="K126:K129" si="31">G126/J126*100</f>
        <v>0</v>
      </c>
      <c r="L126" s="214">
        <f t="shared" ref="L126:L129" si="32">H126/J126*100</f>
        <v>0</v>
      </c>
      <c r="M126" s="214">
        <f t="shared" ref="M126:M129" si="33">I126/J126*100</f>
        <v>100</v>
      </c>
      <c r="N126" s="214">
        <f t="shared" ref="N126:N129" si="34">K126+L126+M126</f>
        <v>100</v>
      </c>
      <c r="O126" s="213"/>
      <c r="P126" s="214"/>
      <c r="Q126" s="214">
        <v>39.6</v>
      </c>
      <c r="R126" s="215">
        <f t="shared" ref="R126:R129" si="35">O126+P126+Q126</f>
        <v>39.6</v>
      </c>
      <c r="S126" s="171">
        <v>5</v>
      </c>
      <c r="T126" s="285"/>
      <c r="U126" s="283"/>
      <c r="V126" s="178" t="s">
        <v>469</v>
      </c>
      <c r="W126" s="171" t="s">
        <v>20</v>
      </c>
      <c r="X126" s="171" t="s">
        <v>12</v>
      </c>
      <c r="Y126" s="179">
        <v>32.4</v>
      </c>
      <c r="Z126" s="178" t="s">
        <v>1305</v>
      </c>
      <c r="AA126" s="171" t="s">
        <v>216</v>
      </c>
      <c r="AB126" s="171" t="s">
        <v>12</v>
      </c>
      <c r="AC126" s="171">
        <v>7.2</v>
      </c>
      <c r="AD126" s="178"/>
      <c r="AG126" s="179"/>
      <c r="AH126" s="178"/>
      <c r="AL126" s="178"/>
      <c r="AO126" s="179"/>
      <c r="AP126" s="178"/>
      <c r="AS126" s="179"/>
      <c r="AW126" s="179"/>
      <c r="BA126" s="180"/>
    </row>
    <row r="127" spans="1:53" s="29" customFormat="1" x14ac:dyDescent="0.15">
      <c r="A127" s="29">
        <v>2019</v>
      </c>
      <c r="B127" s="295">
        <v>43486</v>
      </c>
      <c r="C127" s="411" t="s">
        <v>1429</v>
      </c>
      <c r="D127" s="411"/>
      <c r="E127" s="29">
        <v>343</v>
      </c>
      <c r="F127" s="29">
        <v>1</v>
      </c>
      <c r="G127" s="66"/>
      <c r="I127" s="29">
        <v>23</v>
      </c>
      <c r="J127" s="73">
        <v>23</v>
      </c>
      <c r="K127" s="47">
        <f t="shared" si="31"/>
        <v>0</v>
      </c>
      <c r="L127" s="47">
        <f t="shared" si="32"/>
        <v>0</v>
      </c>
      <c r="M127" s="47">
        <f t="shared" si="33"/>
        <v>100</v>
      </c>
      <c r="N127" s="47">
        <f t="shared" si="34"/>
        <v>100</v>
      </c>
      <c r="O127" s="46"/>
      <c r="P127" s="47"/>
      <c r="Q127" s="47">
        <v>33.200000000000003</v>
      </c>
      <c r="R127" s="48">
        <f t="shared" si="35"/>
        <v>33.200000000000003</v>
      </c>
      <c r="S127" s="29">
        <v>5</v>
      </c>
      <c r="T127" s="286"/>
      <c r="U127" s="295">
        <v>43486</v>
      </c>
      <c r="V127" s="38" t="s">
        <v>469</v>
      </c>
      <c r="W127" s="29" t="s">
        <v>20</v>
      </c>
      <c r="X127" s="29" t="s">
        <v>12</v>
      </c>
      <c r="Y127" s="39">
        <v>28.6</v>
      </c>
      <c r="Z127" s="29" t="s">
        <v>1305</v>
      </c>
      <c r="AA127" s="29" t="s">
        <v>216</v>
      </c>
      <c r="AB127" s="29" t="s">
        <v>12</v>
      </c>
      <c r="AC127" s="39">
        <v>4.5999999999999996</v>
      </c>
      <c r="AG127" s="39"/>
      <c r="AH127" s="38"/>
      <c r="AL127" s="38"/>
      <c r="AO127" s="39"/>
      <c r="AS127" s="39"/>
      <c r="AW127" s="39"/>
      <c r="BA127" s="40"/>
    </row>
    <row r="128" spans="1:53" s="29" customFormat="1" x14ac:dyDescent="0.15">
      <c r="A128" s="29">
        <v>2020</v>
      </c>
      <c r="B128" s="295"/>
      <c r="C128" s="411" t="s">
        <v>1429</v>
      </c>
      <c r="D128" s="411"/>
      <c r="E128" s="29">
        <v>351</v>
      </c>
      <c r="F128" s="40"/>
      <c r="I128" s="29">
        <v>23</v>
      </c>
      <c r="J128" s="73">
        <v>23</v>
      </c>
      <c r="K128" s="47">
        <f t="shared" si="31"/>
        <v>0</v>
      </c>
      <c r="L128" s="47">
        <f t="shared" si="32"/>
        <v>0</v>
      </c>
      <c r="M128" s="47">
        <f t="shared" si="33"/>
        <v>100</v>
      </c>
      <c r="N128" s="332">
        <f t="shared" si="34"/>
        <v>100</v>
      </c>
      <c r="O128" s="47"/>
      <c r="P128" s="47"/>
      <c r="Q128" s="47">
        <v>33.200000000000003</v>
      </c>
      <c r="R128" s="48">
        <f t="shared" si="35"/>
        <v>33.200000000000003</v>
      </c>
      <c r="S128" s="37">
        <v>5</v>
      </c>
      <c r="T128" s="286"/>
      <c r="U128" s="292"/>
      <c r="V128" s="29" t="s">
        <v>469</v>
      </c>
      <c r="W128" s="29" t="s">
        <v>20</v>
      </c>
      <c r="X128" s="29" t="s">
        <v>12</v>
      </c>
      <c r="Y128" s="39">
        <v>28.6</v>
      </c>
      <c r="Z128" s="29" t="s">
        <v>1305</v>
      </c>
      <c r="AA128" s="29" t="s">
        <v>216</v>
      </c>
      <c r="AB128" s="29" t="s">
        <v>12</v>
      </c>
      <c r="AC128" s="39">
        <v>4.5999999999999996</v>
      </c>
      <c r="AG128" s="39"/>
      <c r="AK128" s="39"/>
      <c r="AO128" s="39"/>
      <c r="AS128" s="39"/>
      <c r="AW128" s="39"/>
      <c r="BA128" s="40"/>
    </row>
    <row r="129" spans="1:53" s="29" customFormat="1" x14ac:dyDescent="0.15">
      <c r="A129" s="29">
        <v>2020</v>
      </c>
      <c r="B129" s="303">
        <v>44182</v>
      </c>
      <c r="C129" s="411" t="s">
        <v>1429</v>
      </c>
      <c r="D129" s="411"/>
      <c r="E129" s="29">
        <v>15</v>
      </c>
      <c r="F129" s="343">
        <v>0</v>
      </c>
      <c r="I129" s="29">
        <v>22</v>
      </c>
      <c r="J129" s="73">
        <v>22</v>
      </c>
      <c r="K129" s="47">
        <f t="shared" si="31"/>
        <v>0</v>
      </c>
      <c r="L129" s="47">
        <f t="shared" si="32"/>
        <v>0</v>
      </c>
      <c r="M129" s="47">
        <f t="shared" si="33"/>
        <v>100</v>
      </c>
      <c r="N129" s="332">
        <f t="shared" si="34"/>
        <v>100</v>
      </c>
      <c r="O129" s="47"/>
      <c r="P129" s="47"/>
      <c r="Q129" s="47">
        <v>33.200000000000003</v>
      </c>
      <c r="R129" s="48">
        <f t="shared" si="35"/>
        <v>33.200000000000003</v>
      </c>
      <c r="S129" s="37">
        <v>5</v>
      </c>
      <c r="T129" s="286"/>
      <c r="U129" s="292"/>
      <c r="V129" s="29" t="s">
        <v>469</v>
      </c>
      <c r="W129" s="29" t="s">
        <v>20</v>
      </c>
      <c r="X129" s="29" t="s">
        <v>12</v>
      </c>
      <c r="Y129" s="39">
        <v>28.6</v>
      </c>
      <c r="Z129" s="29" t="s">
        <v>1305</v>
      </c>
      <c r="AA129" s="29" t="s">
        <v>216</v>
      </c>
      <c r="AB129" s="29" t="s">
        <v>12</v>
      </c>
      <c r="AC129" s="39">
        <v>4.5999999999999996</v>
      </c>
      <c r="AG129" s="39"/>
      <c r="AK129" s="39"/>
      <c r="AO129" s="39"/>
      <c r="AS129" s="39"/>
      <c r="AW129" s="39"/>
      <c r="BA129" s="40"/>
    </row>
    <row r="132" spans="1:53" ht="18" customHeight="1" x14ac:dyDescent="0.15">
      <c r="B132" s="16" t="s">
        <v>1264</v>
      </c>
      <c r="H132" s="4"/>
    </row>
    <row r="133" spans="1:53" ht="9" customHeight="1" x14ac:dyDescent="0.15">
      <c r="H133" s="4"/>
    </row>
    <row r="134" spans="1:53" s="195" customFormat="1" ht="9" customHeight="1" x14ac:dyDescent="0.15">
      <c r="A134" s="193"/>
      <c r="B134" s="194" t="s">
        <v>1215</v>
      </c>
      <c r="C134" s="194"/>
      <c r="D134" s="194"/>
      <c r="E134" s="194"/>
      <c r="F134" s="194"/>
      <c r="G134" s="194" t="s">
        <v>1216</v>
      </c>
      <c r="H134" s="194"/>
      <c r="I134" s="194"/>
      <c r="J134" s="194"/>
      <c r="K134" s="194"/>
      <c r="L134" s="194"/>
      <c r="M134" s="194"/>
      <c r="N134" s="194"/>
      <c r="R134" s="388" t="s">
        <v>1217</v>
      </c>
      <c r="S134" s="388"/>
      <c r="T134" s="388"/>
      <c r="U134" s="388"/>
      <c r="V134" s="388"/>
      <c r="W134" s="388"/>
      <c r="X134" s="196"/>
      <c r="Y134" s="196"/>
      <c r="AA134" s="196"/>
      <c r="AB134" s="196"/>
      <c r="AC134" s="196"/>
      <c r="AD134" s="196"/>
    </row>
    <row r="135" spans="1:53" s="200" customFormat="1" ht="9" customHeight="1" x14ac:dyDescent="0.15">
      <c r="A135" s="197"/>
      <c r="B135" s="198" t="s">
        <v>1219</v>
      </c>
      <c r="C135" s="199"/>
      <c r="D135" s="199"/>
      <c r="E135" s="199"/>
      <c r="F135" s="199"/>
      <c r="G135" s="198" t="s">
        <v>1218</v>
      </c>
      <c r="H135" s="199"/>
      <c r="I135" s="199"/>
      <c r="J135" s="199"/>
      <c r="K135" s="199"/>
      <c r="L135" s="199"/>
      <c r="M135" s="199"/>
      <c r="N135" s="199"/>
      <c r="R135" s="201" t="s">
        <v>1220</v>
      </c>
      <c r="S135" s="202"/>
      <c r="T135" s="203"/>
      <c r="U135" s="203"/>
      <c r="V135" s="203"/>
      <c r="W135" s="201" t="s">
        <v>1221</v>
      </c>
      <c r="X135" s="203"/>
      <c r="Y135" s="203"/>
      <c r="AA135" s="203"/>
      <c r="AB135" s="203"/>
      <c r="AC135" s="203"/>
      <c r="AD135" s="203"/>
    </row>
    <row r="136" spans="1:53" s="186" customFormat="1" ht="12" customHeight="1" x14ac:dyDescent="0.15">
      <c r="A136" s="204" t="s">
        <v>3</v>
      </c>
      <c r="B136" s="205" t="s">
        <v>8</v>
      </c>
      <c r="C136" s="205" t="s">
        <v>9</v>
      </c>
      <c r="D136" s="205" t="s">
        <v>10</v>
      </c>
      <c r="E136" s="206" t="s">
        <v>1195</v>
      </c>
      <c r="F136" s="205"/>
      <c r="G136" s="186" t="s">
        <v>3</v>
      </c>
      <c r="H136" s="389" t="s">
        <v>0</v>
      </c>
      <c r="I136" s="389"/>
      <c r="J136" s="389" t="s">
        <v>1</v>
      </c>
      <c r="K136" s="389"/>
      <c r="L136" s="389" t="s">
        <v>2</v>
      </c>
      <c r="M136" s="389"/>
      <c r="N136" s="390" t="s">
        <v>1195</v>
      </c>
      <c r="O136" s="390"/>
      <c r="P136" s="207"/>
      <c r="Q136" s="207"/>
      <c r="R136" s="208" t="s">
        <v>3</v>
      </c>
      <c r="S136" s="209" t="s">
        <v>135</v>
      </c>
      <c r="T136" s="207" t="s">
        <v>133</v>
      </c>
      <c r="U136" s="205" t="s">
        <v>134</v>
      </c>
      <c r="V136" s="207"/>
      <c r="W136" s="210" t="s">
        <v>26</v>
      </c>
    </row>
    <row r="137" spans="1:53" s="140" customFormat="1" x14ac:dyDescent="0.15">
      <c r="A137" s="140">
        <v>1959</v>
      </c>
      <c r="B137" s="143">
        <f>(K6*($E6/365)) + (K7*($E7/365))</f>
        <v>0</v>
      </c>
      <c r="C137" s="143">
        <f>(L6*($E6/365)) + (L7*($E7/365))</f>
        <v>0</v>
      </c>
      <c r="D137" s="143">
        <f>(M6*($E6/365)) + (M7*($E7/365))</f>
        <v>93.333333333333329</v>
      </c>
      <c r="E137" s="144">
        <f>B137+C137+D137</f>
        <v>93.333333333333329</v>
      </c>
      <c r="G137" s="140">
        <v>1959</v>
      </c>
      <c r="H137" s="417">
        <f>(O6/$R6*100*($E6/365))+(O7/$R7*100*($E7/365))</f>
        <v>0</v>
      </c>
      <c r="I137" s="417"/>
      <c r="J137" s="417">
        <f>(P6/$R6*100*($E6/365))+(P7/$R7*100*($E7/365))</f>
        <v>0</v>
      </c>
      <c r="K137" s="417"/>
      <c r="L137" s="417">
        <f>(Q6/$R6*100*($E6/365))+(Q7/$R7*100*($E7/365))</f>
        <v>100</v>
      </c>
      <c r="M137" s="417"/>
      <c r="N137" s="412">
        <f>H137+J137+L137</f>
        <v>100</v>
      </c>
      <c r="O137" s="412"/>
      <c r="R137" s="140">
        <v>1959</v>
      </c>
      <c r="S137" s="143">
        <f>(O6*($E6/365)) + (O7*($E7/365))</f>
        <v>0</v>
      </c>
      <c r="T137" s="143">
        <f>(P6*($E6/365)) + (P7*($E7/365))</f>
        <v>0</v>
      </c>
      <c r="U137" s="143">
        <f>(Q6*($E6/365)) + (Q7*($E7/365))</f>
        <v>48.1</v>
      </c>
      <c r="V137" s="143"/>
      <c r="W137" s="143">
        <f>S137+T137+U137</f>
        <v>48.1</v>
      </c>
    </row>
    <row r="138" spans="1:53" x14ac:dyDescent="0.15">
      <c r="A138" s="1">
        <v>1960</v>
      </c>
      <c r="B138" s="5">
        <f>(K8*($E8/366))+(K9*($E9/366))</f>
        <v>0</v>
      </c>
      <c r="C138" s="5">
        <f>(L8*($E8/366))+(L9*($E9/366))</f>
        <v>0</v>
      </c>
      <c r="D138" s="5">
        <f>(M8*($E8/366))+(M9*($E9/366))</f>
        <v>93.2136351808483</v>
      </c>
      <c r="E138" s="18">
        <f>B138+C138+D138</f>
        <v>93.2136351808483</v>
      </c>
      <c r="G138" s="1">
        <v>1960</v>
      </c>
      <c r="H138" s="409">
        <f>(O8/$R8*100*($E8/366))+(O9/$R9*100*($E9/366))</f>
        <v>0</v>
      </c>
      <c r="I138" s="409"/>
      <c r="J138" s="409">
        <f>(P8/$R8*100*($E8/366))+(P9/$R9*100*($E9/366))</f>
        <v>0</v>
      </c>
      <c r="K138" s="409"/>
      <c r="L138" s="409">
        <f>(Q8/$R8*100*($E8/366))+(Q9/$R9*100*($E9/366))</f>
        <v>100.00000000000001</v>
      </c>
      <c r="M138" s="409"/>
      <c r="N138" s="379">
        <f t="shared" ref="N138:N169" si="36">H138+J138+L138</f>
        <v>100.00000000000001</v>
      </c>
      <c r="O138" s="379"/>
      <c r="R138" s="1">
        <v>1960</v>
      </c>
      <c r="S138" s="5">
        <f>(O8*($E8/366))+(O9*($E9/366))</f>
        <v>0</v>
      </c>
      <c r="T138" s="5">
        <f>(P8*($E8/366))+(P9*($E9/366))</f>
        <v>0</v>
      </c>
      <c r="U138" s="5">
        <f>(Q8*($E8/366))+(Q9*($E9/366))</f>
        <v>48.351366120218586</v>
      </c>
      <c r="V138" s="5"/>
      <c r="W138" s="5">
        <f>S138+T138+U138</f>
        <v>48.351366120218586</v>
      </c>
    </row>
    <row r="139" spans="1:53" x14ac:dyDescent="0.15">
      <c r="A139" s="1">
        <v>1961</v>
      </c>
      <c r="B139" s="5">
        <f>(K10*($E10/365))+(K11*($E11/365))</f>
        <v>0</v>
      </c>
      <c r="C139" s="5">
        <f>(L10*($E10/365))+(L11*($E11/365))</f>
        <v>0</v>
      </c>
      <c r="D139" s="5">
        <f>(M10*($E10/365))+(M11*($E11/365))</f>
        <v>92.857142857142861</v>
      </c>
      <c r="E139" s="18">
        <f t="shared" ref="E139:E191" si="37">B139+C139+D139</f>
        <v>92.857142857142861</v>
      </c>
      <c r="G139" s="1">
        <v>1961</v>
      </c>
      <c r="H139" s="409">
        <f>(O10/$R10*100*($E10/365))+(O11/$R11*100*($E11/365))</f>
        <v>0</v>
      </c>
      <c r="I139" s="409"/>
      <c r="J139" s="409">
        <f>(P10/$R10*100*($E10/365))+(P11/$R11*100*($E11/365))</f>
        <v>0</v>
      </c>
      <c r="K139" s="409"/>
      <c r="L139" s="409">
        <f>(Q10/$R10*100*($E10/365))+(Q11/$R11*100*($E11/365))</f>
        <v>100</v>
      </c>
      <c r="M139" s="409"/>
      <c r="N139" s="379">
        <f t="shared" si="36"/>
        <v>100</v>
      </c>
      <c r="O139" s="379"/>
      <c r="R139" s="1">
        <v>1961</v>
      </c>
      <c r="S139" s="5">
        <f>(O10*($E10/365))+(O11*($E11/365))</f>
        <v>0</v>
      </c>
      <c r="T139" s="5">
        <f>(P10*($E10/365))+(P11*($E11/365))</f>
        <v>0</v>
      </c>
      <c r="U139" s="5">
        <f>(Q10*($E10/365))+(Q11*($E11/365))</f>
        <v>49.1</v>
      </c>
      <c r="V139" s="5"/>
      <c r="W139" s="5">
        <f t="shared" ref="W139:W191" si="38">S139+T139+U139</f>
        <v>49.1</v>
      </c>
    </row>
    <row r="140" spans="1:53" x14ac:dyDescent="0.15">
      <c r="A140" s="1">
        <v>1962</v>
      </c>
      <c r="B140" s="5">
        <f>(K12*($E12/365))+(K13*($E13/365))</f>
        <v>0</v>
      </c>
      <c r="C140" s="5">
        <f>(L12*($E12/365))+(L13*($E13/365))</f>
        <v>0</v>
      </c>
      <c r="D140" s="5">
        <f>(M12*($E12/365))+(M13*($E13/365))</f>
        <v>92.857142857142861</v>
      </c>
      <c r="E140" s="18">
        <f t="shared" si="37"/>
        <v>92.857142857142861</v>
      </c>
      <c r="G140" s="1">
        <v>1962</v>
      </c>
      <c r="H140" s="409">
        <f>(O12/$R12*100*($E12/365))+(O13/$R13*100*($E13/365))</f>
        <v>0</v>
      </c>
      <c r="I140" s="409"/>
      <c r="J140" s="409">
        <f>(P12/$R12*100*($E12/365))+(P13/$R13*100*($E13/365))</f>
        <v>0</v>
      </c>
      <c r="K140" s="409"/>
      <c r="L140" s="409">
        <f>(Q12/$R12*100*($E12/365))+(Q13/$R13*100*($E13/365))</f>
        <v>100</v>
      </c>
      <c r="M140" s="409"/>
      <c r="N140" s="379">
        <f t="shared" si="36"/>
        <v>100</v>
      </c>
      <c r="O140" s="379"/>
      <c r="R140" s="1">
        <v>1962</v>
      </c>
      <c r="S140" s="5">
        <f>(O12*($E12/365))+(O13*($E13/365))</f>
        <v>0</v>
      </c>
      <c r="T140" s="5">
        <f>(P12*($E12/365))+(P13*($E13/365))</f>
        <v>0</v>
      </c>
      <c r="U140" s="5">
        <f>(Q12*($E12/365))+(Q13*($E13/365))</f>
        <v>49.1</v>
      </c>
      <c r="V140" s="5"/>
      <c r="W140" s="5">
        <f t="shared" si="38"/>
        <v>49.1</v>
      </c>
    </row>
    <row r="141" spans="1:53" x14ac:dyDescent="0.15">
      <c r="A141" s="1">
        <v>1963</v>
      </c>
      <c r="B141" s="5">
        <f>(K14*($E14/365))+(K15*($E15/365))</f>
        <v>0</v>
      </c>
      <c r="C141" s="5">
        <f>(L14*($E14/365))+(L15*($E15/365))</f>
        <v>0</v>
      </c>
      <c r="D141" s="5">
        <f>(M14*($E14/365))+(M15*($E15/365))</f>
        <v>92.857142857142861</v>
      </c>
      <c r="E141" s="18">
        <f t="shared" si="37"/>
        <v>92.857142857142861</v>
      </c>
      <c r="G141" s="1">
        <v>1963</v>
      </c>
      <c r="H141" s="409">
        <f>(O14/$R14*100*($E14/365))+(O15/$R15*100*($E15/365))</f>
        <v>0</v>
      </c>
      <c r="I141" s="409"/>
      <c r="J141" s="409">
        <f>(P14/$R14*100*($E14/365))+(P15/$R15*100*($E15/365))</f>
        <v>0</v>
      </c>
      <c r="K141" s="409"/>
      <c r="L141" s="409">
        <f>(Q14/$R14*100*($E14/365))+(Q15/$R15*100*($E15/365))</f>
        <v>100</v>
      </c>
      <c r="M141" s="409"/>
      <c r="N141" s="379">
        <f t="shared" si="36"/>
        <v>100</v>
      </c>
      <c r="O141" s="379"/>
      <c r="R141" s="1">
        <v>1963</v>
      </c>
      <c r="S141" s="5">
        <f>(O14*($E14/365))+(O15*($E15/365))</f>
        <v>0</v>
      </c>
      <c r="T141" s="5">
        <f>(P14*($E14/365))+(P15*($E15/365))</f>
        <v>0</v>
      </c>
      <c r="U141" s="5">
        <f>(Q14*($E14/365))+(Q15*($E15/365))</f>
        <v>49.1</v>
      </c>
      <c r="V141" s="5"/>
      <c r="W141" s="5">
        <f t="shared" si="38"/>
        <v>49.1</v>
      </c>
    </row>
    <row r="142" spans="1:53" x14ac:dyDescent="0.15">
      <c r="A142" s="1">
        <v>1964</v>
      </c>
      <c r="B142" s="5">
        <f>(K16*($E16/366))+(K17*($E17/366))</f>
        <v>0</v>
      </c>
      <c r="C142" s="5">
        <f>(L16*($E16/366))+(L17*($E17/366))</f>
        <v>0</v>
      </c>
      <c r="D142" s="5">
        <f>(M16*($E16/366))+(M17*($E17/366))</f>
        <v>94.59406713505075</v>
      </c>
      <c r="E142" s="18">
        <f t="shared" si="37"/>
        <v>94.59406713505075</v>
      </c>
      <c r="G142" s="1">
        <v>1964</v>
      </c>
      <c r="H142" s="409">
        <f>(O16/$R16*100*($E16/366))+(O17/$R17*100*($E17/366))</f>
        <v>0</v>
      </c>
      <c r="I142" s="409"/>
      <c r="J142" s="409">
        <f>(P16/$R16*100*($E16/366))+(P17/$R17*100*($E17/366))</f>
        <v>0</v>
      </c>
      <c r="K142" s="409"/>
      <c r="L142" s="409">
        <f>(Q16/$R16*100*($E16/366))+(Q17/$R17*100*($E17/366))</f>
        <v>100</v>
      </c>
      <c r="M142" s="409"/>
      <c r="N142" s="379">
        <f t="shared" si="36"/>
        <v>100</v>
      </c>
      <c r="O142" s="379"/>
      <c r="R142" s="1">
        <v>1964</v>
      </c>
      <c r="S142" s="5">
        <f>(O16*($E16/366))+(O17*($E17/366))</f>
        <v>0</v>
      </c>
      <c r="T142" s="5">
        <f>(P16*($E16/366))+(P17*($E17/366))</f>
        <v>0</v>
      </c>
      <c r="U142" s="5">
        <f>(Q16*($E16/366))+(Q17*($E17/366))</f>
        <v>48.954098360655735</v>
      </c>
      <c r="V142" s="5"/>
      <c r="W142" s="5">
        <f t="shared" si="38"/>
        <v>48.954098360655735</v>
      </c>
    </row>
    <row r="143" spans="1:53" x14ac:dyDescent="0.15">
      <c r="A143" s="1">
        <v>1965</v>
      </c>
      <c r="B143" s="5">
        <f>(K18*($E18/365))+(K19*($E19/365))</f>
        <v>0</v>
      </c>
      <c r="C143" s="5">
        <f>(L18*($E18/365))+(L19*($E19/365))</f>
        <v>0</v>
      </c>
      <c r="D143" s="5">
        <f>(M18*($E18/365))+(M19*($E19/365))</f>
        <v>100</v>
      </c>
      <c r="E143" s="18">
        <f t="shared" si="37"/>
        <v>100</v>
      </c>
      <c r="G143" s="1">
        <v>1965</v>
      </c>
      <c r="H143" s="409">
        <f>(O18/$R18*100*($E18/365))+(O19/$R19*100*($E19/365))</f>
        <v>0</v>
      </c>
      <c r="I143" s="409"/>
      <c r="J143" s="409">
        <f>(P18/$R18*100*($E18/365))+(P19/$R19*100*($E19/365))</f>
        <v>0</v>
      </c>
      <c r="K143" s="409"/>
      <c r="L143" s="409">
        <f>(Q18/$R18*100*($E18/365))+(Q19/$R19*100*($E19/365))</f>
        <v>100</v>
      </c>
      <c r="M143" s="409"/>
      <c r="N143" s="379">
        <f t="shared" si="36"/>
        <v>100</v>
      </c>
      <c r="O143" s="379"/>
      <c r="R143" s="1">
        <v>1965</v>
      </c>
      <c r="S143" s="5">
        <f>(O18*($E18/365))+(O19*($E19/365))</f>
        <v>0</v>
      </c>
      <c r="T143" s="5">
        <f>(P18*($E18/365))+(P19*($E19/365))</f>
        <v>0</v>
      </c>
      <c r="U143" s="5">
        <f>(Q18*($E18/365))+(Q19*($E19/365))</f>
        <v>48.5</v>
      </c>
      <c r="V143" s="5"/>
      <c r="W143" s="5">
        <f t="shared" si="38"/>
        <v>48.5</v>
      </c>
    </row>
    <row r="144" spans="1:53" x14ac:dyDescent="0.15">
      <c r="A144" s="1">
        <v>1966</v>
      </c>
      <c r="B144" s="5">
        <f>(K20*($E20/365))+(K21*($E21/365))</f>
        <v>0</v>
      </c>
      <c r="C144" s="5">
        <f>(L20*($E20/365))+(L21*($E21/365))</f>
        <v>0</v>
      </c>
      <c r="D144" s="5">
        <f>(M20*($E20/365))+(M21*($E21/365))</f>
        <v>100</v>
      </c>
      <c r="E144" s="18">
        <f t="shared" si="37"/>
        <v>100</v>
      </c>
      <c r="G144" s="1">
        <v>1966</v>
      </c>
      <c r="H144" s="409">
        <f>(O20/$R20*100*($E20/365))+(O21/$R21*100*($E21/365))</f>
        <v>0</v>
      </c>
      <c r="I144" s="409"/>
      <c r="J144" s="409">
        <f>(P20/$R20*100*($E20/365))+(P21/$R21*100*($E21/365))</f>
        <v>0</v>
      </c>
      <c r="K144" s="409"/>
      <c r="L144" s="409">
        <f>(Q20/$R20*100*($E20/365))+(Q21/$R21*100*($E21/365))</f>
        <v>100</v>
      </c>
      <c r="M144" s="409"/>
      <c r="N144" s="379">
        <f t="shared" si="36"/>
        <v>100</v>
      </c>
      <c r="O144" s="379"/>
      <c r="R144" s="1">
        <v>1966</v>
      </c>
      <c r="S144" s="5">
        <f>(O20*($E20/365))+(O21*($E21/365))</f>
        <v>0</v>
      </c>
      <c r="T144" s="5">
        <f>(P20*($E20/365))+(P21*($E21/365))</f>
        <v>0</v>
      </c>
      <c r="U144" s="5">
        <f>(Q20*($E20/365))+(Q21*($E21/365))</f>
        <v>48.5</v>
      </c>
      <c r="V144" s="5"/>
      <c r="W144" s="5">
        <f t="shared" si="38"/>
        <v>48.5</v>
      </c>
    </row>
    <row r="145" spans="1:23" x14ac:dyDescent="0.15">
      <c r="A145" s="1">
        <v>1967</v>
      </c>
      <c r="B145" s="5">
        <f>(K22*($E22/365))+(K23*($E23/365))</f>
        <v>0</v>
      </c>
      <c r="C145" s="5">
        <f>(L22*($E22/365))+(L23*($E23/365))</f>
        <v>0</v>
      </c>
      <c r="D145" s="5">
        <f>(M22*($E22/365))+(M23*($E23/365))</f>
        <v>100</v>
      </c>
      <c r="E145" s="18">
        <f t="shared" si="37"/>
        <v>100</v>
      </c>
      <c r="G145" s="1">
        <v>1967</v>
      </c>
      <c r="H145" s="409">
        <f>(O22/$R22*100*($E22/365))+(O23/$R23*100*($E23/365))</f>
        <v>0</v>
      </c>
      <c r="I145" s="409"/>
      <c r="J145" s="409">
        <f>(P22/$R22*100*($E22/365))+(P23/$R23*100*($E23/365))</f>
        <v>0</v>
      </c>
      <c r="K145" s="409"/>
      <c r="L145" s="409">
        <f>(Q22/$R22*100*($E22/365))+(Q23/$R23*100*($E23/365))</f>
        <v>100</v>
      </c>
      <c r="M145" s="409"/>
      <c r="N145" s="379">
        <f t="shared" si="36"/>
        <v>100</v>
      </c>
      <c r="O145" s="379"/>
      <c r="R145" s="1">
        <v>1967</v>
      </c>
      <c r="S145" s="5">
        <f>(O22*($E22/365))+(O23*($E23/365))</f>
        <v>0</v>
      </c>
      <c r="T145" s="5">
        <f>(P22*($E22/365))+(P23*($E23/365))</f>
        <v>0</v>
      </c>
      <c r="U145" s="5">
        <f>(Q22*($E22/365))+(Q23*($E23/365))</f>
        <v>48.5</v>
      </c>
      <c r="V145" s="5"/>
      <c r="W145" s="5">
        <f t="shared" si="38"/>
        <v>48.5</v>
      </c>
    </row>
    <row r="146" spans="1:23" x14ac:dyDescent="0.15">
      <c r="A146" s="1">
        <v>1968</v>
      </c>
      <c r="B146" s="5">
        <f>(K24*($E24/366))+(K25*($E25/366))</f>
        <v>0</v>
      </c>
      <c r="C146" s="5">
        <f>(L24*($E24/366))+(L25*($E25/366))</f>
        <v>0</v>
      </c>
      <c r="D146" s="5">
        <f>(M24*($E24/366))+(M25*($E25/366))</f>
        <v>100</v>
      </c>
      <c r="E146" s="18">
        <f t="shared" si="37"/>
        <v>100</v>
      </c>
      <c r="G146" s="1">
        <v>1968</v>
      </c>
      <c r="H146" s="409">
        <f>(O24/$R24*100*($E24/366))+(O25/$R25*100*($E25/366))</f>
        <v>0</v>
      </c>
      <c r="I146" s="409"/>
      <c r="J146" s="409">
        <f>(P24/$R24*100*($E24/366))+(P25/$R25*100*($E25/366))</f>
        <v>0</v>
      </c>
      <c r="K146" s="409"/>
      <c r="L146" s="409">
        <f>(Q24/$R24*100*($E24/366))+(Q25/$R25*100*($E25/366))</f>
        <v>100</v>
      </c>
      <c r="M146" s="409"/>
      <c r="N146" s="379">
        <f t="shared" si="36"/>
        <v>100</v>
      </c>
      <c r="O146" s="379"/>
      <c r="R146" s="1">
        <v>1968</v>
      </c>
      <c r="S146" s="5">
        <f>(O24*($E24/366))+(O25*($E25/366))</f>
        <v>0</v>
      </c>
      <c r="T146" s="5">
        <f>(P24*($E24/366))+(P25*($E25/366))</f>
        <v>0</v>
      </c>
      <c r="U146" s="5">
        <f>(Q24*($E24/366))+(Q25*($E25/366))</f>
        <v>49.809836065573776</v>
      </c>
      <c r="V146" s="5"/>
      <c r="W146" s="5">
        <f t="shared" si="38"/>
        <v>49.809836065573776</v>
      </c>
    </row>
    <row r="147" spans="1:23" x14ac:dyDescent="0.15">
      <c r="A147" s="1">
        <v>1969</v>
      </c>
      <c r="B147" s="5">
        <f>(K26*($E26/365))+(K27*($E27/365))</f>
        <v>0</v>
      </c>
      <c r="C147" s="5">
        <f>(L26*($E26/365))+(L27*($E27/365))</f>
        <v>0</v>
      </c>
      <c r="D147" s="5">
        <f>(M26*($E26/365))+(M27*($E27/365))</f>
        <v>100</v>
      </c>
      <c r="E147" s="18">
        <f t="shared" si="37"/>
        <v>100</v>
      </c>
      <c r="G147" s="1">
        <v>1969</v>
      </c>
      <c r="H147" s="409">
        <f>(O26/$R26*100*($E26/365))+(O27/$R27*100*($E27/365))</f>
        <v>0</v>
      </c>
      <c r="I147" s="409"/>
      <c r="J147" s="409">
        <f>(P26/$R26*100*($E26/365))+(P27/$R27*100*($E27/365))</f>
        <v>0</v>
      </c>
      <c r="K147" s="409"/>
      <c r="L147" s="409">
        <f>(Q26/$R26*100*($E26/365))+(Q27/$R27*100*($E27/365))</f>
        <v>100</v>
      </c>
      <c r="M147" s="409"/>
      <c r="N147" s="379">
        <f t="shared" si="36"/>
        <v>100</v>
      </c>
      <c r="O147" s="379"/>
      <c r="R147" s="1">
        <v>1969</v>
      </c>
      <c r="S147" s="5">
        <f>(O26*($E26/365))+(O27*($E27/365))</f>
        <v>0</v>
      </c>
      <c r="T147" s="5">
        <f>(P26*($E26/365))+(P27*($E27/365))</f>
        <v>0</v>
      </c>
      <c r="U147" s="5">
        <f>(Q26*($E26/365))+(Q27*($E27/365))</f>
        <v>53.6</v>
      </c>
      <c r="V147" s="5"/>
      <c r="W147" s="5">
        <f t="shared" si="38"/>
        <v>53.6</v>
      </c>
    </row>
    <row r="148" spans="1:23" x14ac:dyDescent="0.15">
      <c r="A148" s="1">
        <v>1970</v>
      </c>
      <c r="B148" s="5">
        <f>(K28*($E28/365))+(K29*($E29/365))</f>
        <v>0</v>
      </c>
      <c r="C148" s="5">
        <f>(L28*($E28/365))+(L29*($E29/365))</f>
        <v>0</v>
      </c>
      <c r="D148" s="5">
        <f>(M28*($E28/365))+(M29*($E29/365))</f>
        <v>100</v>
      </c>
      <c r="E148" s="18">
        <f t="shared" si="37"/>
        <v>100</v>
      </c>
      <c r="G148" s="1">
        <v>1970</v>
      </c>
      <c r="H148" s="409">
        <f>(O28/$R28*100*($E28/365))+(O29/$R29*100*($E29/365))</f>
        <v>0</v>
      </c>
      <c r="I148" s="409"/>
      <c r="J148" s="409">
        <f>(P28/$R28*100*($E28/365))+(P29/$R29*100*($E29/365))</f>
        <v>0</v>
      </c>
      <c r="K148" s="409"/>
      <c r="L148" s="409">
        <f>(Q28/$R28*100*($E28/365))+(Q29/$R29*100*($E29/365))</f>
        <v>100</v>
      </c>
      <c r="M148" s="409"/>
      <c r="N148" s="379">
        <f t="shared" si="36"/>
        <v>100</v>
      </c>
      <c r="O148" s="379"/>
      <c r="R148" s="1">
        <v>1970</v>
      </c>
      <c r="S148" s="5">
        <f>(O28*($E28/365))+(O29*($E29/365))</f>
        <v>0</v>
      </c>
      <c r="T148" s="5">
        <f>(P28*($E28/365))+(P29*($E29/365))</f>
        <v>0</v>
      </c>
      <c r="U148" s="5">
        <f>(Q28*($E28/365))+(Q29*($E29/365))</f>
        <v>51.797260273972597</v>
      </c>
      <c r="V148" s="5"/>
      <c r="W148" s="5">
        <f t="shared" si="38"/>
        <v>51.797260273972597</v>
      </c>
    </row>
    <row r="149" spans="1:23" x14ac:dyDescent="0.15">
      <c r="A149" s="1">
        <v>1971</v>
      </c>
      <c r="B149" s="5">
        <f>(K30*($E30/365))+(K31*($E31/365))</f>
        <v>0</v>
      </c>
      <c r="C149" s="5">
        <f>(L30*($E30/365))+(L31*($E31/365))</f>
        <v>0</v>
      </c>
      <c r="D149" s="5">
        <f>(M30*($E30/365))+(M31*($E31/365))</f>
        <v>100</v>
      </c>
      <c r="E149" s="18">
        <f t="shared" si="37"/>
        <v>100</v>
      </c>
      <c r="G149" s="1">
        <v>1971</v>
      </c>
      <c r="H149" s="409">
        <f>(O30/$R30*100*($E30/365))+(O31/$R31*100*($E31/365))</f>
        <v>0</v>
      </c>
      <c r="I149" s="409"/>
      <c r="J149" s="409">
        <f>(P30/$R30*100*($E30/365))+(P31/$R31*100*($E31/365))</f>
        <v>0</v>
      </c>
      <c r="K149" s="409"/>
      <c r="L149" s="409">
        <f>(Q30/$R30*100*($E30/365))+(Q31/$R31*100*($E31/365))</f>
        <v>100</v>
      </c>
      <c r="M149" s="409"/>
      <c r="N149" s="379">
        <f t="shared" si="36"/>
        <v>100</v>
      </c>
      <c r="O149" s="379"/>
      <c r="R149" s="1">
        <v>1971</v>
      </c>
      <c r="S149" s="5">
        <f>(O30*($E30/365))+(O31*($E31/365))</f>
        <v>0</v>
      </c>
      <c r="T149" s="5">
        <f>(P30*($E30/365))+(P31*($E31/365))</f>
        <v>0</v>
      </c>
      <c r="U149" s="5">
        <f>(Q30*($E30/365))+(Q31*($E31/365))</f>
        <v>46.6</v>
      </c>
      <c r="V149" s="5"/>
      <c r="W149" s="5">
        <f t="shared" si="38"/>
        <v>46.6</v>
      </c>
    </row>
    <row r="150" spans="1:23" x14ac:dyDescent="0.15">
      <c r="A150" s="1">
        <v>1972</v>
      </c>
      <c r="B150" s="5">
        <f>(K32*($E32/366))+(K33*($E33/366))</f>
        <v>0</v>
      </c>
      <c r="C150" s="5">
        <f>(L32*($E32/366))+(L33*($E33/366))</f>
        <v>0</v>
      </c>
      <c r="D150" s="5">
        <f>(M32*($E32/366))+(M33*($E33/366))</f>
        <v>100</v>
      </c>
      <c r="E150" s="18">
        <f t="shared" si="37"/>
        <v>100</v>
      </c>
      <c r="G150" s="1">
        <v>1972</v>
      </c>
      <c r="H150" s="409">
        <f>(O32/$R32*100*($E32/366))+(O33/$R33*100*($E33/366))</f>
        <v>0</v>
      </c>
      <c r="I150" s="409"/>
      <c r="J150" s="409">
        <f>(P32/$R32*100*($E32/366))+(P33/$R33*100*($E33/366))</f>
        <v>0</v>
      </c>
      <c r="K150" s="409"/>
      <c r="L150" s="409">
        <f>(Q32/$R32*100*($E32/366))+(Q33/$R33*100*($E33/366))</f>
        <v>100</v>
      </c>
      <c r="M150" s="409"/>
      <c r="N150" s="379">
        <f t="shared" si="36"/>
        <v>100</v>
      </c>
      <c r="O150" s="379"/>
      <c r="R150" s="1">
        <v>1972</v>
      </c>
      <c r="S150" s="5">
        <f>(O32*($E32/366))+(O33*($E33/366))</f>
        <v>0</v>
      </c>
      <c r="T150" s="5">
        <f>(P32*($E32/366))+(P33*($E33/366))</f>
        <v>0</v>
      </c>
      <c r="U150" s="5">
        <f>(Q32*($E32/366))+(Q33*($E33/366))</f>
        <v>46.6</v>
      </c>
      <c r="V150" s="5"/>
      <c r="W150" s="5">
        <f t="shared" si="38"/>
        <v>46.6</v>
      </c>
    </row>
    <row r="151" spans="1:23" x14ac:dyDescent="0.15">
      <c r="A151" s="1">
        <v>1973</v>
      </c>
      <c r="B151" s="5">
        <f>(K34*($E34/365))+(K35*($E35/365))</f>
        <v>0</v>
      </c>
      <c r="C151" s="5">
        <f>(L34*($E34/365))+(L35*($E35/365))</f>
        <v>0</v>
      </c>
      <c r="D151" s="5">
        <f>(M34*($E34/365))+(M35*($E35/365))</f>
        <v>100</v>
      </c>
      <c r="E151" s="18">
        <f t="shared" si="37"/>
        <v>100</v>
      </c>
      <c r="G151" s="1">
        <v>1973</v>
      </c>
      <c r="H151" s="409">
        <f>(O34/$R34*100*($E34/365))+(O35/$R35*100*($E35/365))</f>
        <v>0</v>
      </c>
      <c r="I151" s="409"/>
      <c r="J151" s="409">
        <f>(P34/$R34*100*($E34/365))+(P35/$R35*100*($E35/365))</f>
        <v>0</v>
      </c>
      <c r="K151" s="409"/>
      <c r="L151" s="409">
        <f>(Q34/$R34*100*($E34/365))+(Q35/$R35*100*($E35/365))</f>
        <v>100</v>
      </c>
      <c r="M151" s="409"/>
      <c r="N151" s="379">
        <f t="shared" si="36"/>
        <v>100</v>
      </c>
      <c r="O151" s="379"/>
      <c r="R151" s="1">
        <v>1973</v>
      </c>
      <c r="S151" s="5">
        <f>(O34*($E34/365))+(O35*($E35/365))</f>
        <v>0</v>
      </c>
      <c r="T151" s="5">
        <f>(P34*($E34/365))+(P35*($E35/365))</f>
        <v>0</v>
      </c>
      <c r="U151" s="5">
        <f>(Q34*($E34/365))+(Q35*($E35/365))</f>
        <v>46.260273972602747</v>
      </c>
      <c r="V151" s="5"/>
      <c r="W151" s="5">
        <f t="shared" si="38"/>
        <v>46.260273972602747</v>
      </c>
    </row>
    <row r="152" spans="1:23" x14ac:dyDescent="0.15">
      <c r="A152" s="1">
        <v>1974</v>
      </c>
      <c r="B152" s="5">
        <f>(K36*($E36/365))+(K37*($E37/365))</f>
        <v>0</v>
      </c>
      <c r="C152" s="5">
        <f>(L36*($E36/365))+(L37*($E37/365))</f>
        <v>0</v>
      </c>
      <c r="D152" s="5">
        <f>(M36*($E36/365))+(M37*($E37/365))</f>
        <v>100</v>
      </c>
      <c r="E152" s="18">
        <f t="shared" si="37"/>
        <v>100</v>
      </c>
      <c r="G152" s="1">
        <v>1974</v>
      </c>
      <c r="H152" s="409">
        <f>(O36/$R36*100*($E36/365))+(O37/$R37*100*($E37/365))</f>
        <v>0</v>
      </c>
      <c r="I152" s="409"/>
      <c r="J152" s="409">
        <f>(P36/$R36*100*($E36/365))+(P37/$R37*100*($E37/365))</f>
        <v>0</v>
      </c>
      <c r="K152" s="409"/>
      <c r="L152" s="409">
        <f>(Q36/$R36*100*($E36/365))+(Q37/$R37*100*($E37/365))</f>
        <v>100</v>
      </c>
      <c r="M152" s="409"/>
      <c r="N152" s="379">
        <f t="shared" si="36"/>
        <v>100</v>
      </c>
      <c r="O152" s="379"/>
      <c r="R152" s="1">
        <v>1974</v>
      </c>
      <c r="S152" s="5">
        <f>(O36*($E36/365))+(O37*($E37/365))</f>
        <v>0</v>
      </c>
      <c r="T152" s="5">
        <f>(P36*($E36/365))+(P37*($E37/365))</f>
        <v>0</v>
      </c>
      <c r="U152" s="5">
        <f>(Q36*($E36/365))+(Q37*($E37/365))</f>
        <v>44.6</v>
      </c>
      <c r="V152" s="5"/>
      <c r="W152" s="5">
        <f t="shared" si="38"/>
        <v>44.6</v>
      </c>
    </row>
    <row r="153" spans="1:23" x14ac:dyDescent="0.15">
      <c r="A153" s="1">
        <v>1975</v>
      </c>
      <c r="B153" s="5">
        <f>(K38*($E38/365))+(K39*($E39/365))</f>
        <v>0</v>
      </c>
      <c r="C153" s="5">
        <f>(L38*($E38/365))+(L39*($E39/365))</f>
        <v>0</v>
      </c>
      <c r="D153" s="5">
        <f>(M38*($E38/365))+(M39*($E39/365))</f>
        <v>100</v>
      </c>
      <c r="E153" s="18">
        <f t="shared" si="37"/>
        <v>100</v>
      </c>
      <c r="G153" s="1">
        <v>1975</v>
      </c>
      <c r="H153" s="409">
        <f>(O38/$R38*100*($E38/365))+(O39/$R39*100*($E39/365))</f>
        <v>0</v>
      </c>
      <c r="I153" s="409"/>
      <c r="J153" s="409">
        <f>(P38/$R38*100*($E38/365))+(P39/$R39*100*($E39/365))</f>
        <v>0</v>
      </c>
      <c r="K153" s="409"/>
      <c r="L153" s="409">
        <f>(Q38/$R38*100*($E38/365))+(Q39/$R39*100*($E39/365))</f>
        <v>100</v>
      </c>
      <c r="M153" s="409"/>
      <c r="N153" s="379">
        <f t="shared" si="36"/>
        <v>100</v>
      </c>
      <c r="O153" s="379"/>
      <c r="R153" s="1">
        <v>1975</v>
      </c>
      <c r="S153" s="5">
        <f>(O38*($E38/365))+(O39*($E39/365))</f>
        <v>0</v>
      </c>
      <c r="T153" s="5">
        <f>(P38*($E38/365))+(P39*($E39/365))</f>
        <v>0</v>
      </c>
      <c r="U153" s="5">
        <f>(Q38*($E38/365))+(Q39*($E39/365))</f>
        <v>44.6</v>
      </c>
      <c r="V153" s="5"/>
      <c r="W153" s="5">
        <f t="shared" si="38"/>
        <v>44.6</v>
      </c>
    </row>
    <row r="154" spans="1:23" x14ac:dyDescent="0.15">
      <c r="A154" s="1">
        <v>1976</v>
      </c>
      <c r="B154" s="5">
        <f>(K40*($E40/366))+(K41*($E41/366))</f>
        <v>12.158469945355192</v>
      </c>
      <c r="C154" s="5">
        <f>(L40*($E40/366))+(L41*($E41/366))</f>
        <v>10.942622950819672</v>
      </c>
      <c r="D154" s="5">
        <f>(M40*($E40/366))+(M41*($E41/366))</f>
        <v>75.683060109289613</v>
      </c>
      <c r="E154" s="18">
        <f t="shared" si="37"/>
        <v>98.784153005464475</v>
      </c>
      <c r="G154" s="1">
        <v>1976</v>
      </c>
      <c r="H154" s="409">
        <f>(O40/$R40*100*($E40/366))+(O41/$R41*100*($E41/366))</f>
        <v>12.723980175371709</v>
      </c>
      <c r="I154" s="409"/>
      <c r="J154" s="409">
        <f>(P40/$R40*100*($E40/366))+(P41/$R41*100*($E41/366))</f>
        <v>11.592959715338671</v>
      </c>
      <c r="K154" s="409"/>
      <c r="L154" s="409">
        <f>(Q40/$R40*100*($E40/366))+(Q41/$R41*100*($E41/366))</f>
        <v>75.683060109289613</v>
      </c>
      <c r="M154" s="409"/>
      <c r="N154" s="379">
        <f t="shared" si="36"/>
        <v>100</v>
      </c>
      <c r="O154" s="379"/>
      <c r="R154" s="1">
        <v>1976</v>
      </c>
      <c r="S154" s="5">
        <f>(O40*($E40/366))+(O41*($E41/366))</f>
        <v>6.5655737704918034</v>
      </c>
      <c r="T154" s="5">
        <f>(P40*($E40/366))+(P41*($E41/366))</f>
        <v>5.9819672131147543</v>
      </c>
      <c r="U154" s="5">
        <f>(Q40*($E40/366))+(Q41*($E41/366))</f>
        <v>33.754644808743166</v>
      </c>
      <c r="V154" s="5"/>
      <c r="W154" s="5">
        <f t="shared" si="38"/>
        <v>46.302185792349725</v>
      </c>
    </row>
    <row r="155" spans="1:23" x14ac:dyDescent="0.15">
      <c r="A155" s="1">
        <v>1977</v>
      </c>
      <c r="B155" s="5">
        <f>(K42*($E42/365))+(K43*($E43/365))</f>
        <v>50</v>
      </c>
      <c r="C155" s="5">
        <f>(L42*($E42/365))+(L43*($E43/365))</f>
        <v>45</v>
      </c>
      <c r="D155" s="5">
        <f>(M42*($E42/365))+(M43*($E43/365))</f>
        <v>0</v>
      </c>
      <c r="E155" s="18">
        <f t="shared" si="37"/>
        <v>95</v>
      </c>
      <c r="G155" s="1">
        <v>1977</v>
      </c>
      <c r="H155" s="409">
        <f>(O42/$R42*100*($E42/365))+(O43/$R43*100*($E43/365))</f>
        <v>52.325581395348827</v>
      </c>
      <c r="I155" s="409"/>
      <c r="J155" s="409">
        <f>(P42/$R42*100*($E42/365))+(P43/$R43*100*($E43/365))</f>
        <v>47.674418604651166</v>
      </c>
      <c r="K155" s="409"/>
      <c r="L155" s="409">
        <f>(Q42/$R42*100*($E42/365))+(Q43/$R43*100*($E43/365))</f>
        <v>0</v>
      </c>
      <c r="M155" s="409"/>
      <c r="N155" s="379">
        <f t="shared" si="36"/>
        <v>100</v>
      </c>
      <c r="O155" s="379"/>
      <c r="R155" s="1">
        <v>1977</v>
      </c>
      <c r="S155" s="5">
        <f>(O42*($E42/365))+(O43*($E43/365))</f>
        <v>27</v>
      </c>
      <c r="T155" s="5">
        <f>(P42*($E42/365))+(P43*($E43/365))</f>
        <v>24.6</v>
      </c>
      <c r="U155" s="5">
        <f>(Q42*($E42/365))+(Q43*($E43/365))</f>
        <v>0</v>
      </c>
      <c r="V155" s="5"/>
      <c r="W155" s="5">
        <f t="shared" si="38"/>
        <v>51.6</v>
      </c>
    </row>
    <row r="156" spans="1:23" x14ac:dyDescent="0.15">
      <c r="A156" s="1">
        <v>1978</v>
      </c>
      <c r="B156" s="5">
        <f>(K44*($E44/365))+(K45*($E45/365))</f>
        <v>59.805335255948087</v>
      </c>
      <c r="C156" s="5">
        <f>(L44*($E44/365))+(L45*($E45/365))</f>
        <v>35.136986301369866</v>
      </c>
      <c r="D156" s="5">
        <f>(M44*($E44/365))+(M45*($E45/365))</f>
        <v>0</v>
      </c>
      <c r="E156" s="18">
        <f t="shared" si="37"/>
        <v>94.942321557317953</v>
      </c>
      <c r="G156" s="1">
        <v>1978</v>
      </c>
      <c r="H156" s="409">
        <f>(O44/$R44*100*($E44/365))+(O45/$R45*100*($E45/365))</f>
        <v>62.774769034724429</v>
      </c>
      <c r="I156" s="409"/>
      <c r="J156" s="409">
        <f>(P44/$R44*100*($E44/365))+(P45/$R45*100*($E45/365))</f>
        <v>37.225230965275571</v>
      </c>
      <c r="K156" s="409"/>
      <c r="L156" s="409">
        <f>(Q44/$R44*100*($E44/365))+(Q45/$R45*100*($E45/365))</f>
        <v>0</v>
      </c>
      <c r="M156" s="409"/>
      <c r="N156" s="379">
        <f t="shared" si="36"/>
        <v>100</v>
      </c>
      <c r="O156" s="379"/>
      <c r="R156" s="1">
        <v>1978</v>
      </c>
      <c r="S156" s="5">
        <f>(O44*($E44/365))+(O45*($E45/365))</f>
        <v>23.536986301369865</v>
      </c>
      <c r="T156" s="5">
        <f>(P44*($E44/365))+(P45*($E45/365))</f>
        <v>19.208219178082192</v>
      </c>
      <c r="U156" s="5">
        <f>(Q44*($E44/365))+(Q45*($E45/365))</f>
        <v>0</v>
      </c>
      <c r="V156" s="5"/>
      <c r="W156" s="5">
        <f t="shared" si="38"/>
        <v>42.745205479452054</v>
      </c>
    </row>
    <row r="157" spans="1:23" x14ac:dyDescent="0.15">
      <c r="A157" s="1">
        <v>1979</v>
      </c>
      <c r="B157" s="5">
        <f>(K46*($E46/365))+(K47*($E47/365))</f>
        <v>87.450818827891652</v>
      </c>
      <c r="C157" s="5">
        <f>(L46*($E46/365))+(L47*($E47/365))</f>
        <v>7.3972602739726021</v>
      </c>
      <c r="D157" s="5">
        <f>(M46*($E46/365))+(M47*($E47/365))</f>
        <v>0</v>
      </c>
      <c r="E157" s="18">
        <f t="shared" si="37"/>
        <v>94.848079101864258</v>
      </c>
      <c r="G157" s="1">
        <v>1979</v>
      </c>
      <c r="H157" s="409">
        <f>(O46/$R46*100*($E46/365))+(O47/$R47*100*($E47/365))</f>
        <v>91.89402017882044</v>
      </c>
      <c r="I157" s="409"/>
      <c r="J157" s="409">
        <f>(P46/$R46*100*($E46/365))+(P47/$R47*100*($E47/365))</f>
        <v>8.1059798211795595</v>
      </c>
      <c r="K157" s="409"/>
      <c r="L157" s="409">
        <f>(Q46/$R46*100*($E46/365))+(Q47/$R47*100*($E47/365))</f>
        <v>0</v>
      </c>
      <c r="M157" s="409"/>
      <c r="N157" s="379">
        <f t="shared" si="36"/>
        <v>100</v>
      </c>
      <c r="O157" s="379"/>
      <c r="R157" s="1">
        <v>1979</v>
      </c>
      <c r="S157" s="5">
        <f>(O46*($E46/365))+(O47*($E47/365))</f>
        <v>15.771506849315069</v>
      </c>
      <c r="T157" s="5">
        <f>(P46*($E46/365))+(P47*($E47/365))</f>
        <v>4.0610958904109591</v>
      </c>
      <c r="U157" s="5">
        <f>(Q46*($E46/365))+(Q47*($E47/365))</f>
        <v>0</v>
      </c>
      <c r="V157" s="5"/>
      <c r="W157" s="5">
        <f t="shared" si="38"/>
        <v>19.832602739726028</v>
      </c>
    </row>
    <row r="158" spans="1:23" x14ac:dyDescent="0.15">
      <c r="A158" s="1">
        <v>1980</v>
      </c>
      <c r="B158" s="5">
        <f>(K48*($E48/366))+(K49*($E49/366))</f>
        <v>61.904761904761905</v>
      </c>
      <c r="C158" s="5">
        <f>(L48*($E48/366))+(L49*($E49/366))</f>
        <v>33.333333333333329</v>
      </c>
      <c r="D158" s="5">
        <f>(M48*($E48/366))+(M49*($E49/366))</f>
        <v>0</v>
      </c>
      <c r="E158" s="18">
        <f t="shared" si="37"/>
        <v>95.238095238095241</v>
      </c>
      <c r="G158" s="1">
        <v>1980</v>
      </c>
      <c r="H158" s="409">
        <f>(O48/$R48*100*($E48/366))+(O49/$R49*100*($E49/366))</f>
        <v>63.473053892215567</v>
      </c>
      <c r="I158" s="409"/>
      <c r="J158" s="409">
        <f>(P48/$R48*100*($E48/366))+(P49/$R49*100*($E49/366))</f>
        <v>36.526946107784433</v>
      </c>
      <c r="K158" s="409"/>
      <c r="L158" s="409">
        <f>(Q48/$R48*100*($E48/366))+(Q49/$R49*100*($E49/366))</f>
        <v>0</v>
      </c>
      <c r="M158" s="409"/>
      <c r="N158" s="379">
        <f t="shared" si="36"/>
        <v>100</v>
      </c>
      <c r="O158" s="379"/>
      <c r="R158" s="1">
        <v>1980</v>
      </c>
      <c r="S158" s="5">
        <f>(O48*($E48/366))+(O49*($E49/366))</f>
        <v>31.799999999999997</v>
      </c>
      <c r="T158" s="5">
        <f>(P48*($E48/366))+(P49*($E49/366))</f>
        <v>18.3</v>
      </c>
      <c r="U158" s="5">
        <f>(Q48*($E48/366))+(Q49*($E49/366))</f>
        <v>0</v>
      </c>
      <c r="V158" s="5"/>
      <c r="W158" s="5">
        <f t="shared" si="38"/>
        <v>50.099999999999994</v>
      </c>
    </row>
    <row r="159" spans="1:23" x14ac:dyDescent="0.15">
      <c r="A159" s="1">
        <v>1981</v>
      </c>
      <c r="B159" s="5">
        <f>(K50*($E50/365))+(K51*($E51/365))</f>
        <v>47.779952163513812</v>
      </c>
      <c r="C159" s="5">
        <f>(L50*($E50/365))+(L51*($E51/365))</f>
        <v>46.971080669710808</v>
      </c>
      <c r="D159" s="5">
        <f>(M50*($E50/365))+(M51*($E51/365))</f>
        <v>0</v>
      </c>
      <c r="E159" s="18">
        <f t="shared" si="37"/>
        <v>94.751032833224627</v>
      </c>
      <c r="G159" s="1">
        <v>1981</v>
      </c>
      <c r="H159" s="409">
        <f>(O50/$R50*100*($E50/365))+(O51/$R51*100*($E51/365))</f>
        <v>47.428340916215987</v>
      </c>
      <c r="I159" s="409"/>
      <c r="J159" s="409">
        <f>(P50/$R50*100*($E50/365))+(P51/$R51*100*($E51/365))</f>
        <v>52.57165908378402</v>
      </c>
      <c r="K159" s="409"/>
      <c r="L159" s="409">
        <f>(Q50/$R50*100*($E50/365))+(Q51/$R51*100*($E51/365))</f>
        <v>0</v>
      </c>
      <c r="M159" s="409"/>
      <c r="N159" s="379">
        <f t="shared" si="36"/>
        <v>100</v>
      </c>
      <c r="O159" s="379"/>
      <c r="R159" s="1">
        <v>1981</v>
      </c>
      <c r="S159" s="5">
        <f>(O50*($E50/365))+(O51*($E51/365))</f>
        <v>18.973698630136987</v>
      </c>
      <c r="T159" s="5">
        <f>(P50*($E50/365))+(P51*($E51/365))</f>
        <v>18.3</v>
      </c>
      <c r="U159" s="5">
        <f>(Q50*($E50/365))+(Q51*($E51/365))</f>
        <v>0</v>
      </c>
      <c r="V159" s="5"/>
      <c r="W159" s="5">
        <f t="shared" si="38"/>
        <v>37.273698630136991</v>
      </c>
    </row>
    <row r="160" spans="1:23" x14ac:dyDescent="0.15">
      <c r="A160" s="1">
        <v>1982</v>
      </c>
      <c r="B160" s="5">
        <f>(K52*($E52/365))+(K53*($E53/365))</f>
        <v>29.832572298325726</v>
      </c>
      <c r="C160" s="5">
        <f>(L52*($E52/365))+(L53*($E53/365))</f>
        <v>42.6179604261796</v>
      </c>
      <c r="D160" s="5">
        <f>(M52*($E52/365))+(M53*($E53/365))</f>
        <v>23.287671232876711</v>
      </c>
      <c r="E160" s="18">
        <f t="shared" si="37"/>
        <v>95.738203957382041</v>
      </c>
      <c r="G160" s="1">
        <v>1982</v>
      </c>
      <c r="H160" s="409">
        <f>(O52/$R52*100*($E52/365))+(O53/$R53*100*($E53/365))</f>
        <v>28.635766560330264</v>
      </c>
      <c r="I160" s="409"/>
      <c r="J160" s="409">
        <f>(P52/$R52*100*($E52/365))+(P53/$R53*100*($E53/365))</f>
        <v>48.076562206793014</v>
      </c>
      <c r="K160" s="409"/>
      <c r="L160" s="409">
        <f>(Q52/$R52*100*($E52/365))+(Q53/$R53*100*($E53/365))</f>
        <v>23.287671232876711</v>
      </c>
      <c r="M160" s="409"/>
      <c r="N160" s="379">
        <f t="shared" si="36"/>
        <v>100</v>
      </c>
      <c r="O160" s="379"/>
      <c r="R160" s="1">
        <v>1982</v>
      </c>
      <c r="S160" s="5">
        <f>(O52*($E52/365))+(O53*($E53/365))</f>
        <v>8.3616438356164373</v>
      </c>
      <c r="T160" s="5">
        <f>(P52*($E52/365))+(P53*($E53/365))</f>
        <v>14.038356164383561</v>
      </c>
      <c r="U160" s="5">
        <f>(Q52*($E52/365))+(Q53*($E53/365))</f>
        <v>11.084931506849315</v>
      </c>
      <c r="V160" s="5"/>
      <c r="W160" s="5">
        <f t="shared" si="38"/>
        <v>33.484931506849314</v>
      </c>
    </row>
    <row r="161" spans="1:23" x14ac:dyDescent="0.15">
      <c r="A161" s="1">
        <v>1983</v>
      </c>
      <c r="B161" s="5">
        <f>(K54*($E54/365))+(K55*($E55/365))</f>
        <v>0</v>
      </c>
      <c r="C161" s="5">
        <f>(L54*($E54/365))+(L55*($E55/365))</f>
        <v>0</v>
      </c>
      <c r="D161" s="5">
        <f>(M54*($E54/365))+(M55*($E55/365))</f>
        <v>100</v>
      </c>
      <c r="E161" s="18">
        <f t="shared" si="37"/>
        <v>100</v>
      </c>
      <c r="G161" s="1">
        <v>1983</v>
      </c>
      <c r="H161" s="409">
        <f>(O54/$R54*100*($E54/365))+(O55/$R55*100*($E55/365))</f>
        <v>0</v>
      </c>
      <c r="I161" s="409"/>
      <c r="J161" s="409">
        <f>(P54/$R54*100*($E54/365))+(P55/$R55*100*($E55/365))</f>
        <v>0</v>
      </c>
      <c r="K161" s="409"/>
      <c r="L161" s="409">
        <f>(Q54/$R54*100*($E54/365))+(Q55/$R55*100*($E55/365))</f>
        <v>100</v>
      </c>
      <c r="M161" s="409"/>
      <c r="N161" s="379">
        <f t="shared" si="36"/>
        <v>100</v>
      </c>
      <c r="O161" s="379"/>
      <c r="R161" s="1">
        <v>1983</v>
      </c>
      <c r="S161" s="5">
        <f>(O54*($E54/365))+(O55*($E55/365))</f>
        <v>0</v>
      </c>
      <c r="T161" s="5">
        <f>(P54*($E54/365))+(P55*($E55/365))</f>
        <v>0</v>
      </c>
      <c r="U161" s="5">
        <f>(Q54*($E54/365))+(Q55*($E55/365))</f>
        <v>47.6</v>
      </c>
      <c r="V161" s="5"/>
      <c r="W161" s="5">
        <f t="shared" si="38"/>
        <v>47.6</v>
      </c>
    </row>
    <row r="162" spans="1:23" x14ac:dyDescent="0.15">
      <c r="A162" s="1">
        <v>1984</v>
      </c>
      <c r="B162" s="5">
        <f>(K56*($E56/366))+(K57*($E57/366))</f>
        <v>0</v>
      </c>
      <c r="C162" s="5">
        <f>(L56*($E56/366))+(L57*($E57/366))</f>
        <v>0</v>
      </c>
      <c r="D162" s="5">
        <f>(M56*($E56/366))+(M57*($E57/366))</f>
        <v>100</v>
      </c>
      <c r="E162" s="18">
        <f t="shared" si="37"/>
        <v>100</v>
      </c>
      <c r="G162" s="1">
        <v>1984</v>
      </c>
      <c r="H162" s="409">
        <f>(O56/$R56*100*($E56/366))+(O57/$R57*100*($E57/366))</f>
        <v>0</v>
      </c>
      <c r="I162" s="409"/>
      <c r="J162" s="409">
        <f>(P56/$R56*100*($E56/366))+(P57/$R57*100*($E57/366))</f>
        <v>0</v>
      </c>
      <c r="K162" s="409"/>
      <c r="L162" s="409">
        <f>(Q56/$R56*100*($E56/366))+(Q57/$R57*100*($E57/366))</f>
        <v>100</v>
      </c>
      <c r="M162" s="409"/>
      <c r="N162" s="379">
        <f t="shared" si="36"/>
        <v>100</v>
      </c>
      <c r="O162" s="379"/>
      <c r="R162" s="1">
        <v>1984</v>
      </c>
      <c r="S162" s="5">
        <f>(O56*($E56/366))+(O57*($E57/366))</f>
        <v>0</v>
      </c>
      <c r="T162" s="5">
        <f>(P56*($E56/366))+(P57*($E57/366))</f>
        <v>0</v>
      </c>
      <c r="U162" s="5">
        <f>(Q56*($E56/366))+(Q57*($E57/366))</f>
        <v>47.6</v>
      </c>
      <c r="V162" s="5"/>
      <c r="W162" s="5">
        <f t="shared" si="38"/>
        <v>47.6</v>
      </c>
    </row>
    <row r="163" spans="1:23" x14ac:dyDescent="0.15">
      <c r="A163" s="1">
        <v>1985</v>
      </c>
      <c r="B163" s="5">
        <f>(K58*($E58/365))+(K59*($E59/365))</f>
        <v>0</v>
      </c>
      <c r="C163" s="5">
        <f>(L58*($E58/365))+(L59*($E59/365))</f>
        <v>0</v>
      </c>
      <c r="D163" s="5">
        <f>(M58*($E58/365))+(M59*($E59/365))</f>
        <v>100</v>
      </c>
      <c r="E163" s="18">
        <f t="shared" si="37"/>
        <v>100</v>
      </c>
      <c r="G163" s="1">
        <v>1985</v>
      </c>
      <c r="H163" s="409">
        <f>(O58/$R58*100*($E58/365))+(O59/$R59*100*($E59/365))</f>
        <v>0</v>
      </c>
      <c r="I163" s="409"/>
      <c r="J163" s="409">
        <f>(P58/$R58*100*($E58/365))+(P59/$R59*100*($E59/365))</f>
        <v>0</v>
      </c>
      <c r="K163" s="409"/>
      <c r="L163" s="409">
        <f>(Q58/$R58*100*($E58/365))+(Q59/$R59*100*($E59/365))</f>
        <v>100</v>
      </c>
      <c r="M163" s="409"/>
      <c r="N163" s="379">
        <f t="shared" si="36"/>
        <v>100</v>
      </c>
      <c r="O163" s="379"/>
      <c r="R163" s="1">
        <v>1985</v>
      </c>
      <c r="S163" s="5">
        <f>(O58*($E58/365))+(O59*($E59/365))</f>
        <v>0</v>
      </c>
      <c r="T163" s="5">
        <f>(P58*($E58/365))+(P59*($E59/365))</f>
        <v>0</v>
      </c>
      <c r="U163" s="5">
        <f>(Q58*($E58/365))+(Q59*($E59/365))</f>
        <v>47.112328767123287</v>
      </c>
      <c r="V163" s="5"/>
      <c r="W163" s="5">
        <f t="shared" si="38"/>
        <v>47.112328767123287</v>
      </c>
    </row>
    <row r="164" spans="1:23" x14ac:dyDescent="0.15">
      <c r="A164" s="1">
        <v>1986</v>
      </c>
      <c r="B164" s="5">
        <f>(K60*($E60/365))+(K61*($E61/365))</f>
        <v>0</v>
      </c>
      <c r="C164" s="5">
        <f>(L60*($E60/365))+(L61*($E61/365))</f>
        <v>0</v>
      </c>
      <c r="D164" s="5">
        <f>(M60*($E60/365))+(M61*($E61/365))</f>
        <v>100</v>
      </c>
      <c r="E164" s="18">
        <f t="shared" si="37"/>
        <v>100</v>
      </c>
      <c r="G164" s="1">
        <v>1986</v>
      </c>
      <c r="H164" s="409">
        <f>(O60/$R60*100*($E60/365))+(O61/$R61*100*($E61/365))</f>
        <v>0</v>
      </c>
      <c r="I164" s="409"/>
      <c r="J164" s="409">
        <f>(P60/$R60*100*($E60/365))+(P61/$R61*100*($E61/365))</f>
        <v>0</v>
      </c>
      <c r="K164" s="409"/>
      <c r="L164" s="409">
        <f>(Q60/$R60*100*($E60/365))+(Q61/$R61*100*($E61/365))</f>
        <v>100</v>
      </c>
      <c r="M164" s="409"/>
      <c r="N164" s="379">
        <f t="shared" si="36"/>
        <v>100</v>
      </c>
      <c r="O164" s="379"/>
      <c r="R164" s="1">
        <v>1986</v>
      </c>
      <c r="S164" s="5">
        <f>(O60*($E60/365))+(O61*($E61/365))</f>
        <v>0</v>
      </c>
      <c r="T164" s="5">
        <f>(P60*($E60/365))+(P61*($E61/365))</f>
        <v>0</v>
      </c>
      <c r="U164" s="5">
        <f>(Q60*($E60/365))+(Q61*($E61/365))</f>
        <v>45.6</v>
      </c>
      <c r="V164" s="5"/>
      <c r="W164" s="5">
        <f t="shared" si="38"/>
        <v>45.6</v>
      </c>
    </row>
    <row r="165" spans="1:23" x14ac:dyDescent="0.15">
      <c r="A165" s="1">
        <v>1987</v>
      </c>
      <c r="B165" s="5">
        <f>(K62*($E62/365))+(K63*($E63/365))</f>
        <v>0</v>
      </c>
      <c r="C165" s="5">
        <f>(L62*($E62/365))+(L63*($E63/365))</f>
        <v>0</v>
      </c>
      <c r="D165" s="5">
        <f>(M62*($E62/365))+(M63*($E63/365))</f>
        <v>100</v>
      </c>
      <c r="E165" s="18">
        <f>B165+C165+D165</f>
        <v>100</v>
      </c>
      <c r="G165" s="1">
        <v>1987</v>
      </c>
      <c r="H165" s="409">
        <f>(O62/$R62*100*($E62/365))+(O63/$R63*100*($E63/365))</f>
        <v>0</v>
      </c>
      <c r="I165" s="409"/>
      <c r="J165" s="409">
        <f>(P62/$R62*100*($E62/365))+(P63/$R63*100*($E63/365))</f>
        <v>0</v>
      </c>
      <c r="K165" s="409"/>
      <c r="L165" s="409">
        <f>(Q62/$R62*100*($E62/365))+(Q63/$R63*100*($E63/365))</f>
        <v>100</v>
      </c>
      <c r="M165" s="409"/>
      <c r="N165" s="379">
        <f t="shared" si="36"/>
        <v>100</v>
      </c>
      <c r="O165" s="379"/>
      <c r="R165" s="1">
        <v>1987</v>
      </c>
      <c r="S165" s="5">
        <f>(O62*($E62/365))+(O63*($E63/365))</f>
        <v>0</v>
      </c>
      <c r="T165" s="5">
        <f>(P62*($E62/365))+(P63*($E63/365))</f>
        <v>0</v>
      </c>
      <c r="U165" s="5">
        <f>(Q62*($E62/365))+(Q63*($E63/365))</f>
        <v>45.6</v>
      </c>
      <c r="V165" s="5"/>
      <c r="W165" s="5">
        <f t="shared" si="38"/>
        <v>45.6</v>
      </c>
    </row>
    <row r="166" spans="1:23" x14ac:dyDescent="0.15">
      <c r="A166" s="1">
        <v>1988</v>
      </c>
      <c r="B166" s="5">
        <f>(K64*($E64/366))+(K65*($E65/366))</f>
        <v>0</v>
      </c>
      <c r="C166" s="5">
        <f>(L64*($E64/366))+(L65*($E65/366))</f>
        <v>0</v>
      </c>
      <c r="D166" s="5">
        <f>(M64*($E64/366))+(M65*($E65/366))</f>
        <v>100</v>
      </c>
      <c r="E166" s="18">
        <f t="shared" si="37"/>
        <v>100</v>
      </c>
      <c r="G166" s="1">
        <v>1988</v>
      </c>
      <c r="H166" s="409">
        <f>(O64/$R64*100*($E64/366))+(O65/$R65*100*($E65/366))</f>
        <v>0</v>
      </c>
      <c r="I166" s="409"/>
      <c r="J166" s="409">
        <f>(P64/$R64*100*($E64/366))+(P65/$R65*100*($E65/366))</f>
        <v>0</v>
      </c>
      <c r="K166" s="409"/>
      <c r="L166" s="409">
        <f>(Q64/$R64*100*($E64/366))+(Q65/$R65*100*($E65/366))</f>
        <v>100</v>
      </c>
      <c r="M166" s="409"/>
      <c r="N166" s="379">
        <f t="shared" si="36"/>
        <v>100</v>
      </c>
      <c r="O166" s="379"/>
      <c r="R166" s="1">
        <v>1988</v>
      </c>
      <c r="S166" s="5">
        <f>(O64*($E64/366))+(O65*($E65/366))</f>
        <v>0</v>
      </c>
      <c r="T166" s="5">
        <f>(P64*($E64/366))+(P65*($E65/366))</f>
        <v>0</v>
      </c>
      <c r="U166" s="5">
        <f>(Q64*($E64/366))+(Q65*($E65/366))</f>
        <v>45.381147540983605</v>
      </c>
      <c r="V166" s="5"/>
      <c r="W166" s="5">
        <f t="shared" si="38"/>
        <v>45.381147540983605</v>
      </c>
    </row>
    <row r="167" spans="1:23" x14ac:dyDescent="0.15">
      <c r="A167" s="1">
        <v>1989</v>
      </c>
      <c r="B167" s="5">
        <f>(K66*($E66/365))+(K67*($E67/365))</f>
        <v>0</v>
      </c>
      <c r="C167" s="5">
        <f>(L66*($E66/365))+(L67*($E67/365))</f>
        <v>0</v>
      </c>
      <c r="D167" s="5">
        <f>(M66*($E66/365))+(M67*($E67/365))</f>
        <v>100</v>
      </c>
      <c r="E167" s="18">
        <f t="shared" si="37"/>
        <v>100</v>
      </c>
      <c r="G167" s="1">
        <v>1989</v>
      </c>
      <c r="H167" s="409">
        <f>(O66/$R66*100*($E66/365))+(O67/$R67*100*($E67/365))</f>
        <v>0</v>
      </c>
      <c r="I167" s="409"/>
      <c r="J167" s="409">
        <f>(P66/$R66*100*($E66/365))+(P67/$R67*100*($E67/365))</f>
        <v>0</v>
      </c>
      <c r="K167" s="409"/>
      <c r="L167" s="409">
        <f>(Q66/$R66*100*($E66/365))+(Q67/$R67*100*($E67/365))</f>
        <v>100</v>
      </c>
      <c r="M167" s="409"/>
      <c r="N167" s="379">
        <f t="shared" si="36"/>
        <v>100</v>
      </c>
      <c r="O167" s="379"/>
      <c r="R167" s="1">
        <v>1989</v>
      </c>
      <c r="S167" s="5">
        <f>(O66*($E66/365))+(O67*($E67/365))</f>
        <v>0</v>
      </c>
      <c r="T167" s="5">
        <f>(P66*($E66/365))+(P67*($E67/365))</f>
        <v>0</v>
      </c>
      <c r="U167" s="5">
        <f>(Q66*($E66/365))+(Q67*($E67/365))</f>
        <v>44.7</v>
      </c>
      <c r="V167" s="5"/>
      <c r="W167" s="5">
        <f t="shared" si="38"/>
        <v>44.7</v>
      </c>
    </row>
    <row r="168" spans="1:23" x14ac:dyDescent="0.15">
      <c r="A168" s="1">
        <v>1990</v>
      </c>
      <c r="B168" s="5">
        <f>(K68*($E68/365))+(K69*($E69/365))</f>
        <v>0</v>
      </c>
      <c r="C168" s="5">
        <f>(L68*($E68/365))+(L69*($E69/365))</f>
        <v>0</v>
      </c>
      <c r="D168" s="5">
        <f>(M68*($E68/365))+(M69*($E69/365))</f>
        <v>100</v>
      </c>
      <c r="E168" s="18">
        <f t="shared" si="37"/>
        <v>100</v>
      </c>
      <c r="G168" s="1">
        <v>1990</v>
      </c>
      <c r="H168" s="409">
        <f>(O68/$R68*100*($E68/365))+(O69/$R69*100*($E69/365))</f>
        <v>0</v>
      </c>
      <c r="I168" s="409"/>
      <c r="J168" s="409">
        <f>(P68/$R68*100*($E68/365))+(P69/$R69*100*($E69/365))</f>
        <v>0</v>
      </c>
      <c r="K168" s="409"/>
      <c r="L168" s="409">
        <f>(Q68/$R68*100*($E68/365))+(Q69/$R69*100*($E69/365))</f>
        <v>100</v>
      </c>
      <c r="M168" s="409"/>
      <c r="N168" s="379">
        <f t="shared" si="36"/>
        <v>100</v>
      </c>
      <c r="O168" s="379"/>
      <c r="R168" s="1">
        <v>1990</v>
      </c>
      <c r="S168" s="5">
        <f>(O68*($E68/365))+(O69*($E69/365))</f>
        <v>0</v>
      </c>
      <c r="T168" s="5">
        <f>(P68*($E68/365))+(P69*($E69/365))</f>
        <v>0</v>
      </c>
      <c r="U168" s="5">
        <f>(Q68*($E68/365))+(Q69*($E69/365))</f>
        <v>44.7</v>
      </c>
      <c r="V168" s="5"/>
      <c r="W168" s="5">
        <f t="shared" si="38"/>
        <v>44.7</v>
      </c>
    </row>
    <row r="169" spans="1:23" x14ac:dyDescent="0.15">
      <c r="A169" s="1">
        <v>1991</v>
      </c>
      <c r="B169" s="5">
        <f>(K70*($E70/365))+(K71*($E71/365))</f>
        <v>15.264187866927593</v>
      </c>
      <c r="C169" s="5">
        <f>(L70*($E70/365))+(L71*($E71/365))</f>
        <v>8.2191780821917799</v>
      </c>
      <c r="D169" s="5">
        <f>(M70*($E70/365))+(M71*($E71/365))</f>
        <v>75.342465753424662</v>
      </c>
      <c r="E169" s="18">
        <f t="shared" si="37"/>
        <v>98.825831702544036</v>
      </c>
      <c r="G169" s="1">
        <v>1991</v>
      </c>
      <c r="H169" s="409">
        <f>(O70/$R70*100*($E70/365))+(O71/$R71*100*($E71/365))</f>
        <v>16.404601839610699</v>
      </c>
      <c r="I169" s="409"/>
      <c r="J169" s="409">
        <f>(P70/$R70*100*($E70/365))+(P71/$R71*100*($E71/365))</f>
        <v>8.252932406964641</v>
      </c>
      <c r="K169" s="409"/>
      <c r="L169" s="409">
        <f>(Q70/$R70*100*($E70/365))+(Q71/$R71*100*($E71/365))</f>
        <v>75.342465753424662</v>
      </c>
      <c r="M169" s="409"/>
      <c r="N169" s="379">
        <f t="shared" si="36"/>
        <v>100</v>
      </c>
      <c r="O169" s="379"/>
      <c r="R169" s="1">
        <v>1991</v>
      </c>
      <c r="S169" s="5">
        <f>(O70*($E70/365))+(O71*($E71/365))</f>
        <v>7.9890410958904106</v>
      </c>
      <c r="T169" s="5">
        <f>(P70*($E70/365))+(P71*($E71/365))</f>
        <v>4.0191780821917806</v>
      </c>
      <c r="U169" s="5">
        <f>(Q70*($E70/365))+(Q71*($E71/365))</f>
        <v>33.678082191780824</v>
      </c>
      <c r="V169" s="5"/>
      <c r="W169" s="5">
        <f t="shared" si="38"/>
        <v>45.686301369863017</v>
      </c>
    </row>
    <row r="170" spans="1:23" x14ac:dyDescent="0.15">
      <c r="A170" s="1">
        <v>1992</v>
      </c>
      <c r="B170" s="5">
        <f>(K72*($E72/366))+(K73*($E73/366))</f>
        <v>65</v>
      </c>
      <c r="C170" s="5">
        <f>(L72*($E72/366))+(L73*($E73/366))</f>
        <v>30</v>
      </c>
      <c r="D170" s="5">
        <f>(M72*($E72/366))+(M73*($E73/366))</f>
        <v>0</v>
      </c>
      <c r="E170" s="18">
        <f t="shared" si="37"/>
        <v>95</v>
      </c>
      <c r="G170" s="1">
        <v>1992</v>
      </c>
      <c r="H170" s="409">
        <f>(O72/$R72*100*($E72/366))+(O73/$R73*100*($E73/366))</f>
        <v>66.529774127310063</v>
      </c>
      <c r="I170" s="409"/>
      <c r="J170" s="409">
        <f>(P72/$R72*100*($E72/366))+(P73/$R73*100*($E73/366))</f>
        <v>33.470225872689937</v>
      </c>
      <c r="K170" s="409"/>
      <c r="L170" s="409">
        <f>(Q72/$R72*100*($E72/366))+(Q73/$R73*100*($E73/366))</f>
        <v>0</v>
      </c>
      <c r="M170" s="409"/>
      <c r="N170" s="379">
        <f t="shared" ref="N170:N190" si="39">H170+J170+L170</f>
        <v>100</v>
      </c>
      <c r="O170" s="379"/>
      <c r="R170" s="1">
        <v>1992</v>
      </c>
      <c r="S170" s="5">
        <f>(O72*($E72/366))+(O73*($E73/366))</f>
        <v>32.4</v>
      </c>
      <c r="T170" s="5">
        <f>(P72*($E72/366))+(P73*($E73/366))</f>
        <v>16.3</v>
      </c>
      <c r="U170" s="5">
        <f>(Q72*($E72/366))+(Q73*($E73/366))</f>
        <v>0</v>
      </c>
      <c r="V170" s="5"/>
      <c r="W170" s="5">
        <f t="shared" si="38"/>
        <v>48.7</v>
      </c>
    </row>
    <row r="171" spans="1:23" x14ac:dyDescent="0.15">
      <c r="A171" s="1">
        <v>1993</v>
      </c>
      <c r="B171" s="5">
        <f>(K74*($E74/365))+(K75*($E75/365))</f>
        <v>61.904761904761905</v>
      </c>
      <c r="C171" s="5">
        <f>(L74*($E74/365))+(L75*($E75/365))</f>
        <v>33.333333333333329</v>
      </c>
      <c r="D171" s="5">
        <f>(M74*($E74/365))+(M75*($E75/365))</f>
        <v>0</v>
      </c>
      <c r="E171" s="18">
        <f t="shared" si="37"/>
        <v>95.238095238095241</v>
      </c>
      <c r="G171" s="1">
        <v>1993</v>
      </c>
      <c r="H171" s="409">
        <f>(O74/$R74*100*($E74/365))+(O75/$R75*100*($E75/365))</f>
        <v>66.529774127310063</v>
      </c>
      <c r="I171" s="409"/>
      <c r="J171" s="409">
        <f>(P74/$R74*100*($E74/365))+(P75/$R75*100*($E75/365))</f>
        <v>33.470225872689937</v>
      </c>
      <c r="K171" s="409"/>
      <c r="L171" s="409">
        <f>(Q74/$R74*100*($E74/365))+(Q75/$R75*100*($E75/365))</f>
        <v>0</v>
      </c>
      <c r="M171" s="409"/>
      <c r="N171" s="379">
        <f t="shared" si="39"/>
        <v>100</v>
      </c>
      <c r="O171" s="379"/>
      <c r="R171" s="1">
        <v>1993</v>
      </c>
      <c r="S171" s="5">
        <f>(O74*($E74/365))+(O75*($E75/365))</f>
        <v>32.4</v>
      </c>
      <c r="T171" s="5">
        <f>(P74*($E74/365))+(P75*($E75/365))</f>
        <v>16.3</v>
      </c>
      <c r="U171" s="5">
        <f>(Q74*($E74/365))+(Q75*($E75/365))</f>
        <v>0</v>
      </c>
      <c r="V171" s="5"/>
      <c r="W171" s="5">
        <f t="shared" si="38"/>
        <v>48.7</v>
      </c>
    </row>
    <row r="172" spans="1:23" x14ac:dyDescent="0.15">
      <c r="A172" s="1">
        <v>1994</v>
      </c>
      <c r="B172" s="5">
        <f>(K76*($E76/365))+(K77*($E77/365))</f>
        <v>47.149380300065232</v>
      </c>
      <c r="C172" s="5">
        <f>(L76*($E76/365))+(L77*($E77/365))</f>
        <v>25.388127853881276</v>
      </c>
      <c r="D172" s="5">
        <f>(M76*($E76/365))+(M77*($E77/365))</f>
        <v>23.835616438356162</v>
      </c>
      <c r="E172" s="18">
        <f t="shared" si="37"/>
        <v>96.373124592302673</v>
      </c>
      <c r="G172" s="1">
        <v>1994</v>
      </c>
      <c r="H172" s="409">
        <f>(O76/$R76*100*($E76/365))+(O77/$R77*100*($E77/365))</f>
        <v>50.671992349019717</v>
      </c>
      <c r="I172" s="409"/>
      <c r="J172" s="409">
        <f>(P76/$R76*100*($E76/365))+(P77/$R77*100*($E77/365))</f>
        <v>25.492391212624117</v>
      </c>
      <c r="K172" s="409"/>
      <c r="L172" s="409">
        <f>(Q76/$R76*100*($E76/365))+(Q77/$R77*100*($E77/365))</f>
        <v>23.835616438356162</v>
      </c>
      <c r="M172" s="409"/>
      <c r="N172" s="379">
        <f t="shared" si="39"/>
        <v>100</v>
      </c>
      <c r="O172" s="379"/>
      <c r="R172" s="1">
        <v>1994</v>
      </c>
      <c r="S172" s="5">
        <f>(O76*($E76/365))+(O77*($E77/365))</f>
        <v>24.6772602739726</v>
      </c>
      <c r="T172" s="5">
        <f>(P76*($E76/365))+(P77*($E77/365))</f>
        <v>12.414794520547945</v>
      </c>
      <c r="U172" s="5">
        <f>(Q76*($E76/365))+(Q77*($E77/365))</f>
        <v>10.988219178082192</v>
      </c>
      <c r="V172" s="5"/>
      <c r="W172" s="5">
        <f t="shared" si="38"/>
        <v>48.080273972602733</v>
      </c>
    </row>
    <row r="173" spans="1:23" x14ac:dyDescent="0.15">
      <c r="A173" s="1">
        <v>1995</v>
      </c>
      <c r="B173" s="5">
        <f>(K78*($E78/365))+(K79*($E79/365))</f>
        <v>0</v>
      </c>
      <c r="C173" s="5">
        <f>(L78*($E78/365))+(L79*($E79/365))</f>
        <v>0</v>
      </c>
      <c r="D173" s="5">
        <f>(M78*($E78/365))+(M79*($E79/365))</f>
        <v>100</v>
      </c>
      <c r="E173" s="18">
        <f t="shared" si="37"/>
        <v>100</v>
      </c>
      <c r="G173" s="1">
        <v>1995</v>
      </c>
      <c r="H173" s="409">
        <f>(O78/$R78*100*($E78/365))+(O79/$R79*100*($E79/365))</f>
        <v>0</v>
      </c>
      <c r="I173" s="409"/>
      <c r="J173" s="409">
        <f>(P78/$R78*100*($E78/365))+(P79/$R79*100*($E79/365))</f>
        <v>0</v>
      </c>
      <c r="K173" s="409"/>
      <c r="L173" s="409">
        <f>(Q78/$R78*100*($E78/365))+(Q79/$R79*100*($E79/365))</f>
        <v>100</v>
      </c>
      <c r="M173" s="409"/>
      <c r="N173" s="379">
        <f t="shared" si="39"/>
        <v>100</v>
      </c>
      <c r="O173" s="379"/>
      <c r="R173" s="1">
        <v>1995</v>
      </c>
      <c r="S173" s="5">
        <f>(O78*($E78/365))+(O79*($E79/365))</f>
        <v>0</v>
      </c>
      <c r="T173" s="5">
        <f>(P78*($E78/365))+(P79*($E79/365))</f>
        <v>0</v>
      </c>
      <c r="U173" s="5">
        <f>(Q78*($E78/365))+(Q79*($E79/365))</f>
        <v>46.1</v>
      </c>
      <c r="V173" s="5"/>
      <c r="W173" s="5">
        <f t="shared" si="38"/>
        <v>46.1</v>
      </c>
    </row>
    <row r="174" spans="1:23" x14ac:dyDescent="0.15">
      <c r="A174" s="1">
        <v>1996</v>
      </c>
      <c r="B174" s="5">
        <f>(K80*($E80/366))+(K81*($E81/366))</f>
        <v>0</v>
      </c>
      <c r="C174" s="5">
        <f>(L80*($E80/366))+(L81*($E81/366))</f>
        <v>0</v>
      </c>
      <c r="D174" s="5">
        <f>(M80*($E80/366))+(M81*($E81/366))</f>
        <v>100</v>
      </c>
      <c r="E174" s="18">
        <f t="shared" si="37"/>
        <v>100</v>
      </c>
      <c r="G174" s="1">
        <v>1996</v>
      </c>
      <c r="H174" s="409">
        <f>(O80/$R80*100*($E80/366))+(O81/$R81*100*($E81/366))</f>
        <v>0</v>
      </c>
      <c r="I174" s="409"/>
      <c r="J174" s="409">
        <f>(P80/$R80*100*($E80/366))+(P81/$R81*100*($E81/366))</f>
        <v>0</v>
      </c>
      <c r="K174" s="409"/>
      <c r="L174" s="409">
        <f>(Q80/$R80*100*($E80/366))+(Q81/$R81*100*($E81/366))</f>
        <v>100</v>
      </c>
      <c r="M174" s="409"/>
      <c r="N174" s="379">
        <f t="shared" si="39"/>
        <v>100</v>
      </c>
      <c r="O174" s="379"/>
      <c r="R174" s="1">
        <v>1996</v>
      </c>
      <c r="S174" s="5">
        <f>(O80*($E80/366))+(O81*($E81/366))</f>
        <v>0</v>
      </c>
      <c r="T174" s="5">
        <f>(P80*($E80/366))+(P81*($E81/366))</f>
        <v>0</v>
      </c>
      <c r="U174" s="5">
        <f>(Q80*($E80/366))+(Q81*($E81/366))</f>
        <v>46.1</v>
      </c>
      <c r="V174" s="5"/>
      <c r="W174" s="5">
        <f t="shared" si="38"/>
        <v>46.1</v>
      </c>
    </row>
    <row r="175" spans="1:23" x14ac:dyDescent="0.15">
      <c r="A175" s="1">
        <v>1997</v>
      </c>
      <c r="B175" s="5">
        <f>(K82*($E82/365))+(K83*($E83/365))</f>
        <v>0</v>
      </c>
      <c r="C175" s="5">
        <f>(L82*($E82/365))+(L83*($E83/365))</f>
        <v>0</v>
      </c>
      <c r="D175" s="5">
        <f>(M82*($E82/365))+(M83*($E83/365))</f>
        <v>100</v>
      </c>
      <c r="E175" s="18">
        <f t="shared" si="37"/>
        <v>100</v>
      </c>
      <c r="G175" s="1">
        <v>1997</v>
      </c>
      <c r="H175" s="409">
        <f>(O82/$R82*100*($E82/365))+(O83/$R83*100*($E83/365))</f>
        <v>0</v>
      </c>
      <c r="I175" s="409"/>
      <c r="J175" s="409">
        <f>(P82/$R82*100*($E82/365))+(P83/$R83*100*($E83/365))</f>
        <v>0</v>
      </c>
      <c r="K175" s="409"/>
      <c r="L175" s="409">
        <f>(Q82/$R82*100*($E82/365))+(Q83/$R83*100*($E83/365))</f>
        <v>100</v>
      </c>
      <c r="M175" s="409"/>
      <c r="N175" s="379">
        <f t="shared" si="39"/>
        <v>100</v>
      </c>
      <c r="O175" s="379"/>
      <c r="R175" s="1">
        <v>1997</v>
      </c>
      <c r="S175" s="5">
        <f>(O82*($E82/365))+(O83*($E83/365))</f>
        <v>0</v>
      </c>
      <c r="T175" s="5">
        <f>(P82*($E82/365))+(P83*($E83/365))</f>
        <v>0</v>
      </c>
      <c r="U175" s="5">
        <f>(Q82*($E82/365))+(Q83*($E83/365))</f>
        <v>46.1</v>
      </c>
      <c r="V175" s="5"/>
      <c r="W175" s="5">
        <f t="shared" si="38"/>
        <v>46.1</v>
      </c>
    </row>
    <row r="176" spans="1:23" x14ac:dyDescent="0.15">
      <c r="A176" s="1">
        <v>1998</v>
      </c>
      <c r="B176" s="5">
        <f>(K84*($E84/365))+(K85*($E85/365))</f>
        <v>0</v>
      </c>
      <c r="C176" s="5">
        <f>(L84*($E84/365))+(L85*($E85/365))</f>
        <v>0</v>
      </c>
      <c r="D176" s="5">
        <f>(M84*($E84/365))+(M85*($E85/365))</f>
        <v>100</v>
      </c>
      <c r="E176" s="18">
        <f t="shared" si="37"/>
        <v>100</v>
      </c>
      <c r="G176" s="1">
        <v>1998</v>
      </c>
      <c r="H176" s="409">
        <f>(O84/$R84*100*($E84/365))+(O85/$R85*100*($E85/365))</f>
        <v>0</v>
      </c>
      <c r="I176" s="409"/>
      <c r="J176" s="409">
        <f>(P84/$R84*100*($E84/365))+(P85/$R85*100*($E85/365))</f>
        <v>0</v>
      </c>
      <c r="K176" s="409"/>
      <c r="L176" s="409">
        <f>(Q84/$R84*100*($E84/365))+(Q85/$R85*100*($E85/365))</f>
        <v>100</v>
      </c>
      <c r="M176" s="409"/>
      <c r="N176" s="379">
        <f t="shared" si="39"/>
        <v>100</v>
      </c>
      <c r="O176" s="379"/>
      <c r="R176" s="1">
        <v>1998</v>
      </c>
      <c r="S176" s="5">
        <f>(O84*($E84/365))+(O85*($E85/365))</f>
        <v>0</v>
      </c>
      <c r="T176" s="5">
        <f>(P84*($E84/365))+(P85*($E85/365))</f>
        <v>0</v>
      </c>
      <c r="U176" s="5">
        <f>(Q84*($E84/365))+(Q85*($E85/365))</f>
        <v>44.050136986301375</v>
      </c>
      <c r="V176" s="5"/>
      <c r="W176" s="5">
        <f t="shared" si="38"/>
        <v>44.050136986301375</v>
      </c>
    </row>
    <row r="177" spans="1:23" x14ac:dyDescent="0.15">
      <c r="A177" s="1">
        <v>1999</v>
      </c>
      <c r="B177" s="5">
        <f>(K86*($E86/365))+(K87*($E87/365))</f>
        <v>0</v>
      </c>
      <c r="C177" s="5">
        <f>(L86*($E86/365))+(L87*($E87/365))</f>
        <v>0</v>
      </c>
      <c r="D177" s="5">
        <f>(M86*($E86/365))+(M87*($E87/365))</f>
        <v>100</v>
      </c>
      <c r="E177" s="18">
        <f t="shared" si="37"/>
        <v>100</v>
      </c>
      <c r="G177" s="1">
        <v>1999</v>
      </c>
      <c r="H177" s="409">
        <f>(O86/$R86*100*($E86/365))+(O87/$R87*100*($E87/365))</f>
        <v>0</v>
      </c>
      <c r="I177" s="409"/>
      <c r="J177" s="409">
        <f>(P86/$R86*100*($E86/365))+(P87/$R87*100*($E87/365))</f>
        <v>0</v>
      </c>
      <c r="K177" s="409"/>
      <c r="L177" s="409">
        <f>(Q86/$R86*100*($E86/365))+(Q87/$R87*100*($E87/365))</f>
        <v>100</v>
      </c>
      <c r="M177" s="409"/>
      <c r="N177" s="379">
        <f t="shared" si="39"/>
        <v>100</v>
      </c>
      <c r="O177" s="379"/>
      <c r="R177" s="1">
        <v>1999</v>
      </c>
      <c r="S177" s="5">
        <f>(O86*($E86/365))+(O87*($E87/365))</f>
        <v>0</v>
      </c>
      <c r="T177" s="5">
        <f>(P86*($E86/365))+(P87*($E87/365))</f>
        <v>0</v>
      </c>
      <c r="U177" s="5">
        <f>(Q86*($E86/365))+(Q87*($E87/365))</f>
        <v>37.5</v>
      </c>
      <c r="V177" s="5"/>
      <c r="W177" s="5">
        <f t="shared" si="38"/>
        <v>37.5</v>
      </c>
    </row>
    <row r="178" spans="1:23" x14ac:dyDescent="0.15">
      <c r="A178" s="1">
        <v>2000</v>
      </c>
      <c r="B178" s="5">
        <f>(K88*($E88/366))+(K89*($E89/366))</f>
        <v>0</v>
      </c>
      <c r="C178" s="5">
        <f>(L88*($E88/366))+(L89*($E89/366))</f>
        <v>0</v>
      </c>
      <c r="D178" s="5">
        <f>(M88*($E88/366))+(M89*($E89/366))</f>
        <v>100</v>
      </c>
      <c r="E178" s="18">
        <f t="shared" si="37"/>
        <v>100</v>
      </c>
      <c r="G178" s="1">
        <v>2000</v>
      </c>
      <c r="H178" s="409">
        <f>(O88/$R88*100*($E88/366))+(O89/$R89*100*($E89/366))</f>
        <v>0</v>
      </c>
      <c r="I178" s="409"/>
      <c r="J178" s="409">
        <f>(P88/$R88*100*($E88/366))+(P89/$R89*100*($E89/366))</f>
        <v>0</v>
      </c>
      <c r="K178" s="409"/>
      <c r="L178" s="409">
        <f>(Q88/$R88*100*($E88/366))+(Q89/$R89*100*($E89/366))</f>
        <v>100</v>
      </c>
      <c r="M178" s="409"/>
      <c r="N178" s="379">
        <f t="shared" si="39"/>
        <v>100</v>
      </c>
      <c r="O178" s="379"/>
      <c r="R178" s="1">
        <v>2000</v>
      </c>
      <c r="S178" s="5">
        <f>(O88*($E88/366))+(O89*($E89/366))</f>
        <v>0</v>
      </c>
      <c r="T178" s="5">
        <f>(P88*($E88/366))+(P89*($E89/366))</f>
        <v>0</v>
      </c>
      <c r="U178" s="5">
        <f>(Q88*($E88/366))+(Q89*($E89/366))</f>
        <v>37.5</v>
      </c>
      <c r="V178" s="5"/>
      <c r="W178" s="5">
        <f t="shared" si="38"/>
        <v>37.5</v>
      </c>
    </row>
    <row r="179" spans="1:23" x14ac:dyDescent="0.15">
      <c r="A179" s="1">
        <v>2001</v>
      </c>
      <c r="B179" s="5">
        <f>(K90*($E90/365))+(K91*($E91/365))</f>
        <v>0</v>
      </c>
      <c r="C179" s="5">
        <f>(L90*($E90/365))+(L91*($E91/365))</f>
        <v>0</v>
      </c>
      <c r="D179" s="5">
        <f>(M90*($E90/365))+(M91*($E91/365))</f>
        <v>100</v>
      </c>
      <c r="E179" s="18">
        <f t="shared" si="37"/>
        <v>100</v>
      </c>
      <c r="G179" s="1">
        <v>2001</v>
      </c>
      <c r="H179" s="409">
        <f>(O90/$R90*100*($E90/365))+(O91/$R91*100*($E91/365))</f>
        <v>0</v>
      </c>
      <c r="I179" s="409"/>
      <c r="J179" s="409">
        <f>(P90/$R90*100*($E90/365))+(P91/$R91*100*($E91/365))</f>
        <v>0</v>
      </c>
      <c r="K179" s="409"/>
      <c r="L179" s="409">
        <f>(Q90/$R90*100*($E90/365))+(Q91/$R91*100*($E91/365))</f>
        <v>100</v>
      </c>
      <c r="M179" s="409"/>
      <c r="N179" s="379">
        <f t="shared" si="39"/>
        <v>100</v>
      </c>
      <c r="O179" s="379"/>
      <c r="R179" s="1">
        <v>2001</v>
      </c>
      <c r="S179" s="5">
        <f>(O90*($E90/365))+(O91*($E91/365))</f>
        <v>0</v>
      </c>
      <c r="T179" s="5">
        <f>(P90*($E90/365))+(P91*($E91/365))</f>
        <v>0</v>
      </c>
      <c r="U179" s="5">
        <f>(Q90*($E90/365))+(Q91*($E91/365))</f>
        <v>37.5</v>
      </c>
      <c r="V179" s="5"/>
      <c r="W179" s="5">
        <f t="shared" si="38"/>
        <v>37.5</v>
      </c>
    </row>
    <row r="180" spans="1:23" x14ac:dyDescent="0.15">
      <c r="A180" s="1">
        <v>2002</v>
      </c>
      <c r="B180" s="5">
        <f>(K92*($E92/365))+(K93*($E93/365))</f>
        <v>0</v>
      </c>
      <c r="C180" s="5">
        <f>(L92*($E92/365))+(L93*($E93/365))</f>
        <v>0</v>
      </c>
      <c r="D180" s="5">
        <f>(M92*($E92/365))+(M93*($E93/365))</f>
        <v>100</v>
      </c>
      <c r="E180" s="18">
        <f t="shared" si="37"/>
        <v>100</v>
      </c>
      <c r="G180" s="1">
        <v>2002</v>
      </c>
      <c r="H180" s="409">
        <f>(O92/$R92*100*($E92/365))+(O93/$R93*100*($E93/365))</f>
        <v>0</v>
      </c>
      <c r="I180" s="409"/>
      <c r="J180" s="409">
        <f>(P92/$R92*100*($E92/365))+(P93/$R93*100*($E93/365))</f>
        <v>0</v>
      </c>
      <c r="K180" s="409"/>
      <c r="L180" s="409">
        <f>(Q92/$R92*100*($E92/365))+(Q93/$R93*100*($E93/365))</f>
        <v>100</v>
      </c>
      <c r="M180" s="409"/>
      <c r="N180" s="379">
        <f t="shared" si="39"/>
        <v>100</v>
      </c>
      <c r="O180" s="379"/>
      <c r="R180" s="1">
        <v>2002</v>
      </c>
      <c r="S180" s="5">
        <f>(O92*($E92/365))+(O93*($E93/365))</f>
        <v>0</v>
      </c>
      <c r="T180" s="5">
        <f>(P92*($E92/365))+(P93*($E93/365))</f>
        <v>0</v>
      </c>
      <c r="U180" s="5">
        <f>(Q92*($E92/365))+(Q93*($E93/365))</f>
        <v>38.447397260273974</v>
      </c>
      <c r="V180" s="5"/>
      <c r="W180" s="5">
        <f t="shared" si="38"/>
        <v>38.447397260273974</v>
      </c>
    </row>
    <row r="181" spans="1:23" x14ac:dyDescent="0.15">
      <c r="A181" s="1">
        <v>2003</v>
      </c>
      <c r="B181" s="5">
        <f>(K94*($E94/365))+(K95*($E95/365))</f>
        <v>0</v>
      </c>
      <c r="C181" s="5">
        <f>(L94*($E94/365))+(L95*($E95/365))</f>
        <v>0</v>
      </c>
      <c r="D181" s="5">
        <f>(M94*($E94/365))+(M95*($E95/365))</f>
        <v>100</v>
      </c>
      <c r="E181" s="18">
        <f t="shared" si="37"/>
        <v>100</v>
      </c>
      <c r="G181" s="1">
        <v>2003</v>
      </c>
      <c r="H181" s="409">
        <f>(O94/$R94*100*($E94/365))+(O95/$R95*100*($E95/365))</f>
        <v>0</v>
      </c>
      <c r="I181" s="409"/>
      <c r="J181" s="409">
        <f>(P94/$R94*100*($E94/365))+(P95/$R95*100*($E95/365))</f>
        <v>0</v>
      </c>
      <c r="K181" s="409"/>
      <c r="L181" s="409">
        <f>(Q94/$R94*100*($E94/365))+(Q95/$R95*100*($E95/365))</f>
        <v>100</v>
      </c>
      <c r="M181" s="409"/>
      <c r="N181" s="379">
        <f t="shared" si="39"/>
        <v>100</v>
      </c>
      <c r="O181" s="379"/>
      <c r="R181" s="1">
        <v>2003</v>
      </c>
      <c r="S181" s="5">
        <f>(O94*($E94/365))+(O95*($E95/365))</f>
        <v>0</v>
      </c>
      <c r="T181" s="5">
        <f>(P94*($E94/365))+(P95*($E95/365))</f>
        <v>0</v>
      </c>
      <c r="U181" s="5">
        <f>(Q94*($E94/365))+(Q95*($E95/365))</f>
        <v>41.3</v>
      </c>
      <c r="V181" s="5"/>
      <c r="W181" s="5">
        <f t="shared" si="38"/>
        <v>41.3</v>
      </c>
    </row>
    <row r="182" spans="1:23" x14ac:dyDescent="0.15">
      <c r="A182" s="1">
        <v>2004</v>
      </c>
      <c r="B182" s="5">
        <f>(K96*($E96/366))+(K97*($E97/366))</f>
        <v>0</v>
      </c>
      <c r="C182" s="5">
        <f>(L96*($E96/366))+(L97*($E97/366))</f>
        <v>0</v>
      </c>
      <c r="D182" s="5">
        <f>(M96*($E96/366))+(M97*($E97/366))</f>
        <v>100</v>
      </c>
      <c r="E182" s="18">
        <f t="shared" si="37"/>
        <v>100</v>
      </c>
      <c r="G182" s="1">
        <v>2004</v>
      </c>
      <c r="H182" s="409">
        <f>(O96/$R96*100*($E96/366))+(O97/$R97*100*($E97/366))</f>
        <v>0</v>
      </c>
      <c r="I182" s="409"/>
      <c r="J182" s="409">
        <f>(P96/$R96*100*($E96/366))+(P97/$R97*100*($E97/366))</f>
        <v>0</v>
      </c>
      <c r="K182" s="409"/>
      <c r="L182" s="409">
        <f>(Q96/$R96*100*($E96/366))+(Q97/$R97*100*($E97/366))</f>
        <v>100</v>
      </c>
      <c r="M182" s="409"/>
      <c r="N182" s="379">
        <f t="shared" si="39"/>
        <v>100</v>
      </c>
      <c r="O182" s="379"/>
      <c r="R182" s="1">
        <v>2004</v>
      </c>
      <c r="S182" s="5">
        <f>(O96*($E96/366))+(O97*($E97/366))</f>
        <v>0</v>
      </c>
      <c r="T182" s="5">
        <f>(P96*($E96/366))+(P97*($E97/366))</f>
        <v>0</v>
      </c>
      <c r="U182" s="5">
        <f>(Q96*($E96/366))+(Q97*($E97/366))</f>
        <v>41.3</v>
      </c>
      <c r="V182" s="5"/>
      <c r="W182" s="5">
        <f t="shared" si="38"/>
        <v>41.3</v>
      </c>
    </row>
    <row r="183" spans="1:23" x14ac:dyDescent="0.15">
      <c r="A183" s="1">
        <v>2005</v>
      </c>
      <c r="B183" s="5">
        <f>(K98*($E98/365))+(K99*($E99/365))</f>
        <v>0</v>
      </c>
      <c r="C183" s="5">
        <f>(L98*($E98/365))+(L99*($E99/365))</f>
        <v>0</v>
      </c>
      <c r="D183" s="5">
        <f>(M98*($E98/365))+(M99*($E99/365))</f>
        <v>100</v>
      </c>
      <c r="E183" s="18">
        <f t="shared" si="37"/>
        <v>100</v>
      </c>
      <c r="G183" s="1">
        <v>2005</v>
      </c>
      <c r="H183" s="409">
        <f>(O98/$R98*100*($E98/365))+(O99/$R99*100*($E99/365))</f>
        <v>0</v>
      </c>
      <c r="I183" s="409"/>
      <c r="J183" s="409">
        <f>(P98/$R98*100*($E98/365))+(P99/$R99*100*($E99/365))</f>
        <v>0</v>
      </c>
      <c r="K183" s="409"/>
      <c r="L183" s="409">
        <f>(Q98/$R98*100*($E98/365))+(Q99/$R99*100*($E99/365))</f>
        <v>100</v>
      </c>
      <c r="M183" s="409"/>
      <c r="N183" s="379">
        <f t="shared" si="39"/>
        <v>100</v>
      </c>
      <c r="O183" s="379"/>
      <c r="R183" s="1">
        <v>2005</v>
      </c>
      <c r="S183" s="5">
        <f>(O98*($E98/365))+(O99*($E99/365))</f>
        <v>0</v>
      </c>
      <c r="T183" s="5">
        <f>(P98*($E98/365))+(P99*($E99/365))</f>
        <v>0</v>
      </c>
      <c r="U183" s="5">
        <f>(Q98*($E98/365))+(Q99*($E99/365))</f>
        <v>41.3</v>
      </c>
      <c r="V183" s="5"/>
      <c r="W183" s="5">
        <f t="shared" si="38"/>
        <v>41.3</v>
      </c>
    </row>
    <row r="184" spans="1:23" x14ac:dyDescent="0.15">
      <c r="A184" s="1">
        <v>2006</v>
      </c>
      <c r="B184" s="5">
        <f>(K100*($E100/365))+(K101*($E101/365))</f>
        <v>16.43835616438356</v>
      </c>
      <c r="C184" s="5">
        <f>(L100*($E100/365))+(L101*($E101/365))</f>
        <v>7.6712328767123283</v>
      </c>
      <c r="D184" s="5">
        <f>(M100*($E100/365))+(M101*($E101/365))</f>
        <v>75.890410958904113</v>
      </c>
      <c r="E184" s="18">
        <f t="shared" si="37"/>
        <v>100</v>
      </c>
      <c r="G184" s="1">
        <v>2006</v>
      </c>
      <c r="H184" s="409">
        <f>(O100/$R100*100*($E100/365))+(O101/$R101*100*($E101/365))</f>
        <v>16.923986032769271</v>
      </c>
      <c r="I184" s="409"/>
      <c r="J184" s="409">
        <f>(P100/$R100*100*($E100/365))+(P101/$R101*100*($E101/365))</f>
        <v>7.1856030083266189</v>
      </c>
      <c r="K184" s="409"/>
      <c r="L184" s="409">
        <f>(Q100/$R100*100*($E100/365))+(Q101/$R101*100*($E101/365))</f>
        <v>75.890410958904113</v>
      </c>
      <c r="M184" s="409"/>
      <c r="N184" s="379">
        <f t="shared" si="39"/>
        <v>100</v>
      </c>
      <c r="O184" s="379"/>
      <c r="R184" s="1">
        <v>2006</v>
      </c>
      <c r="S184" s="5">
        <f>(O100*($E100/365))+(O101*($E101/365))</f>
        <v>8.6312328767123283</v>
      </c>
      <c r="T184" s="5">
        <f>(P100*($E100/365))+(P101*($E101/365))</f>
        <v>3.6646575342465755</v>
      </c>
      <c r="U184" s="5">
        <f>(Q100*($E100/365))+(Q101*($E101/365))</f>
        <v>31.342739726027396</v>
      </c>
      <c r="V184" s="5"/>
      <c r="W184" s="5">
        <f t="shared" si="38"/>
        <v>43.638630136986301</v>
      </c>
    </row>
    <row r="185" spans="1:23" x14ac:dyDescent="0.15">
      <c r="A185" s="1">
        <v>2007</v>
      </c>
      <c r="B185" s="5">
        <f>(K102*($E102/365))+(K103*($E103/365))</f>
        <v>68.181818181818173</v>
      </c>
      <c r="C185" s="5">
        <f>(L102*($E102/365))+(L103*($E103/365))</f>
        <v>31.818181818181817</v>
      </c>
      <c r="D185" s="5">
        <f>(M102*($E102/365))+(M103*($E103/365))</f>
        <v>0</v>
      </c>
      <c r="E185" s="18">
        <f t="shared" si="37"/>
        <v>99.999999999999986</v>
      </c>
      <c r="G185" s="1">
        <v>2007</v>
      </c>
      <c r="H185" s="409">
        <f>(O102/$R102*100*($E102/365))+(O103/$R103*100*($E103/365))</f>
        <v>70.196078431372541</v>
      </c>
      <c r="I185" s="409"/>
      <c r="J185" s="409">
        <f>(P102/$R102*100*($E102/365))+(P103/$R103*100*($E103/365))</f>
        <v>29.803921568627452</v>
      </c>
      <c r="K185" s="409"/>
      <c r="L185" s="409">
        <f>(Q102/$R102*100*($E102/365))+(Q103/$R103*100*($E103/365))</f>
        <v>0</v>
      </c>
      <c r="M185" s="409"/>
      <c r="N185" s="379">
        <f t="shared" si="39"/>
        <v>100</v>
      </c>
      <c r="O185" s="379"/>
      <c r="R185" s="1">
        <v>2007</v>
      </c>
      <c r="S185" s="5">
        <f>(O102*($E102/365))+(O103*($E103/365))</f>
        <v>35.799999999999997</v>
      </c>
      <c r="T185" s="5">
        <f>(P102*($E102/365))+(P103*($E103/365))</f>
        <v>15.2</v>
      </c>
      <c r="U185" s="5">
        <f>(Q102*($E102/365))+(Q103*($E103/365))</f>
        <v>0</v>
      </c>
      <c r="V185" s="5"/>
      <c r="W185" s="5">
        <f t="shared" si="38"/>
        <v>51</v>
      </c>
    </row>
    <row r="186" spans="1:23" x14ac:dyDescent="0.15">
      <c r="A186" s="1">
        <v>2008</v>
      </c>
      <c r="B186" s="5">
        <f>(K104*($E104/366))+(K105*($E105/366))</f>
        <v>68.181818181818173</v>
      </c>
      <c r="C186" s="5">
        <f>(L104*($E104/366))+(L105*($E105/366))</f>
        <v>31.818181818181817</v>
      </c>
      <c r="D186" s="5">
        <f>(M104*($E104/366))+(M105*($E105/366))</f>
        <v>0</v>
      </c>
      <c r="E186" s="18">
        <f t="shared" si="37"/>
        <v>99.999999999999986</v>
      </c>
      <c r="G186" s="1">
        <v>2008</v>
      </c>
      <c r="H186" s="409">
        <f>(O104/$R104*100*($E104/366))+(O105/$R105*100*($E105/366))</f>
        <v>70.196078431372541</v>
      </c>
      <c r="I186" s="409"/>
      <c r="J186" s="409">
        <f>(P104/$R104*100*($E104/366))+(P105/$R105*100*($E105/366))</f>
        <v>29.803921568627452</v>
      </c>
      <c r="K186" s="409"/>
      <c r="L186" s="409">
        <f>(Q104/$R104*100*($E104/366))+(Q105/$R105*100*($E105/366))</f>
        <v>0</v>
      </c>
      <c r="M186" s="409"/>
      <c r="N186" s="379">
        <f t="shared" si="39"/>
        <v>100</v>
      </c>
      <c r="O186" s="379"/>
      <c r="R186" s="1">
        <v>2008</v>
      </c>
      <c r="S186" s="5">
        <f>(O104*($E104/366))+(O105*($E105/366))</f>
        <v>35.799999999999997</v>
      </c>
      <c r="T186" s="5">
        <f>(P104*($E104/366))+(P105*($E105/366))</f>
        <v>15.2</v>
      </c>
      <c r="U186" s="5">
        <f>(Q104*($E104/366))+(Q105*($E105/366))</f>
        <v>0</v>
      </c>
      <c r="V186" s="5"/>
      <c r="W186" s="5">
        <f t="shared" si="38"/>
        <v>51</v>
      </c>
    </row>
    <row r="187" spans="1:23" x14ac:dyDescent="0.15">
      <c r="A187" s="1">
        <v>2009</v>
      </c>
      <c r="B187" s="5">
        <f>(K106*($E106/365))+(K107*($E107/365))</f>
        <v>68.181818181818173</v>
      </c>
      <c r="C187" s="5">
        <f>(L106*($E106/365))+(L107*($E107/365))</f>
        <v>31.818181818181817</v>
      </c>
      <c r="D187" s="5">
        <f>(M106*($E106/365))+(M107*($E107/365))</f>
        <v>0</v>
      </c>
      <c r="E187" s="18">
        <f t="shared" si="37"/>
        <v>99.999999999999986</v>
      </c>
      <c r="G187" s="1">
        <v>2009</v>
      </c>
      <c r="H187" s="409">
        <f>(O106/$R106*100*($E106/365))+(O107/$R107*100*($E107/365))</f>
        <v>70.196078431372541</v>
      </c>
      <c r="I187" s="409"/>
      <c r="J187" s="409">
        <f>(P106/$R106*100*($E106/365))+(P107/$R107*100*($E107/365))</f>
        <v>29.803921568627452</v>
      </c>
      <c r="K187" s="409"/>
      <c r="L187" s="409">
        <f>(Q106/$R106*100*($E106/365))+(Q107/$R107*100*($E107/365))</f>
        <v>0</v>
      </c>
      <c r="M187" s="409"/>
      <c r="N187" s="379">
        <f t="shared" si="39"/>
        <v>100</v>
      </c>
      <c r="O187" s="379"/>
      <c r="R187" s="1">
        <v>2009</v>
      </c>
      <c r="S187" s="5">
        <f>(O106*($E106/365))+(O107*($E107/365))</f>
        <v>35.799999999999997</v>
      </c>
      <c r="T187" s="5">
        <f>(P106*($E106/365))+(P107*($E107/365))</f>
        <v>15.2</v>
      </c>
      <c r="U187" s="5">
        <f>(Q106*($E106/365))+(Q107*($E107/365))</f>
        <v>0</v>
      </c>
      <c r="V187" s="5"/>
      <c r="W187" s="5">
        <f t="shared" si="38"/>
        <v>51</v>
      </c>
    </row>
    <row r="188" spans="1:23" x14ac:dyDescent="0.15">
      <c r="A188" s="1">
        <v>2010</v>
      </c>
      <c r="B188" s="5">
        <f>(K108*($E108/365))+(K109*($E109/365))</f>
        <v>68.930053964300541</v>
      </c>
      <c r="C188" s="5">
        <f>(L108*($E108/365))+(L109*($E109/365))</f>
        <v>31.069946035699459</v>
      </c>
      <c r="D188" s="5">
        <f>(M108*($E108/365))+(M109*($E109/365))</f>
        <v>0</v>
      </c>
      <c r="E188" s="18">
        <f t="shared" si="37"/>
        <v>100</v>
      </c>
      <c r="G188" s="1">
        <v>2010</v>
      </c>
      <c r="H188" s="409">
        <f>(O108/$R108*100*($E108/365))+(O109/$R109*100*($E109/365))</f>
        <v>71.779279630544224</v>
      </c>
      <c r="I188" s="409"/>
      <c r="J188" s="409">
        <f>(P108/$R108*100*($E108/365))+(P109/$R109*100*($E109/365))</f>
        <v>28.220720369455783</v>
      </c>
      <c r="K188" s="409"/>
      <c r="L188" s="409">
        <f>(Q108/$R108*100*($E108/365))+(Q109/$R109*100*($E109/365))</f>
        <v>0</v>
      </c>
      <c r="M188" s="409"/>
      <c r="N188" s="379">
        <f t="shared" si="39"/>
        <v>100</v>
      </c>
      <c r="O188" s="379"/>
      <c r="R188" s="1">
        <v>2010</v>
      </c>
      <c r="S188" s="5">
        <f>(O108*($E108/365))+(O109*($E109/365))</f>
        <v>36.307945205479449</v>
      </c>
      <c r="T188" s="5">
        <f>(P108*($E108/365))+(P109*($E109/365))</f>
        <v>14.296986301369863</v>
      </c>
      <c r="U188" s="5">
        <f>(Q108*($E108/365))+(Q109*($E109/365))</f>
        <v>0</v>
      </c>
      <c r="V188" s="5"/>
      <c r="W188" s="5">
        <f t="shared" si="38"/>
        <v>50.604931506849312</v>
      </c>
    </row>
    <row r="189" spans="1:23" x14ac:dyDescent="0.15">
      <c r="A189" s="1">
        <v>2011</v>
      </c>
      <c r="B189" s="5">
        <f>(K110*($E110/365))+(K111*($E111/365))</f>
        <v>70.833333333333343</v>
      </c>
      <c r="C189" s="5">
        <f>(L110*($E110/365))+(L111*($E111/365))</f>
        <v>29.166666666666668</v>
      </c>
      <c r="D189" s="5">
        <f>(M110*($E110/365))+(M111*($E111/365))</f>
        <v>0</v>
      </c>
      <c r="E189" s="18">
        <f t="shared" si="37"/>
        <v>100.00000000000001</v>
      </c>
      <c r="G189" s="1">
        <v>2011</v>
      </c>
      <c r="H189" s="409">
        <f>(O110/$R110*100*($E110/365))+(O111/$R111*100*($E111/365))</f>
        <v>75.806451612903231</v>
      </c>
      <c r="I189" s="409"/>
      <c r="J189" s="409">
        <f>(P110/$R110*100*($E110/365))+(P111/$R111*100*($E111/365))</f>
        <v>24.193548387096772</v>
      </c>
      <c r="K189" s="409"/>
      <c r="L189" s="409">
        <f>(Q110/$R110*100*($E110/365))+(Q111/$R111*100*($E111/365))</f>
        <v>0</v>
      </c>
      <c r="M189" s="409"/>
      <c r="N189" s="379">
        <f t="shared" si="39"/>
        <v>100</v>
      </c>
      <c r="O189" s="379"/>
      <c r="R189" s="1">
        <v>2011</v>
      </c>
      <c r="S189" s="5">
        <f>(O110*($E110/365))+(O111*($E111/365))</f>
        <v>37.6</v>
      </c>
      <c r="T189" s="5">
        <f>(P110*($E110/365))+(P111*($E111/365))</f>
        <v>12</v>
      </c>
      <c r="U189" s="5">
        <f>(Q110*($E110/365))+(Q111*($E111/365))</f>
        <v>0</v>
      </c>
      <c r="V189" s="5"/>
      <c r="W189" s="5">
        <f t="shared" si="38"/>
        <v>49.6</v>
      </c>
    </row>
    <row r="190" spans="1:23" x14ac:dyDescent="0.15">
      <c r="A190" s="1">
        <v>2012</v>
      </c>
      <c r="B190" s="5">
        <f>(K112*($E112/366))+(K113*($E113/366))</f>
        <v>70.833333333333343</v>
      </c>
      <c r="C190" s="5">
        <f>(L112*($E112/366))+(L113*($E113/366))</f>
        <v>29.166666666666668</v>
      </c>
      <c r="D190" s="5">
        <f>(M112*($E112/366))+(M113*($E113/366))</f>
        <v>0</v>
      </c>
      <c r="E190" s="18">
        <f t="shared" si="37"/>
        <v>100.00000000000001</v>
      </c>
      <c r="G190" s="1">
        <v>2012</v>
      </c>
      <c r="H190" s="409">
        <f>(O112/$R112*100*($E112/366))+(O113/$R113*100*($E113/366))</f>
        <v>75.806451612903231</v>
      </c>
      <c r="I190" s="409"/>
      <c r="J190" s="409">
        <f>(P112/$R112*100*($E112/366))+(P113/$R113*100*($E113/366))</f>
        <v>24.193548387096772</v>
      </c>
      <c r="K190" s="409"/>
      <c r="L190" s="409">
        <f>(Q112/$R112*100*($E112/366))+(Q113/$R113*100*($E113/366))</f>
        <v>0</v>
      </c>
      <c r="M190" s="409"/>
      <c r="N190" s="379">
        <f t="shared" si="39"/>
        <v>100</v>
      </c>
      <c r="O190" s="379"/>
      <c r="R190" s="1">
        <v>2012</v>
      </c>
      <c r="S190" s="5">
        <f>(O112*($E112/366))+(O113*($E113/366))</f>
        <v>37.6</v>
      </c>
      <c r="T190" s="5">
        <f>(P112*($E112/366))+(P113*($E113/366))</f>
        <v>12</v>
      </c>
      <c r="U190" s="5">
        <f>(Q112*($E112/366))+(Q113*($E113/366))</f>
        <v>0</v>
      </c>
      <c r="V190" s="5"/>
      <c r="W190" s="5">
        <f t="shared" si="38"/>
        <v>49.6</v>
      </c>
    </row>
    <row r="191" spans="1:23" x14ac:dyDescent="0.15">
      <c r="A191" s="1">
        <v>2013</v>
      </c>
      <c r="B191" s="5">
        <f>(K114*($E114/365))+(K115*($E115/365))</f>
        <v>70.833333333333343</v>
      </c>
      <c r="C191" s="5">
        <f>(L114*($E114/365))+(L115*($E115/365))</f>
        <v>29.166666666666668</v>
      </c>
      <c r="D191" s="5">
        <f>(M114*($E114/365))+(M115*($E115/365))</f>
        <v>0</v>
      </c>
      <c r="E191" s="18">
        <f t="shared" si="37"/>
        <v>100.00000000000001</v>
      </c>
      <c r="G191" s="1">
        <v>2013</v>
      </c>
      <c r="H191" s="409">
        <f>(O114/$R114*100*($E114/365))+(O115/$R115*100*($E115/365))</f>
        <v>75.806451612903231</v>
      </c>
      <c r="I191" s="409"/>
      <c r="J191" s="409">
        <f>(P114/$R114*100*($E114/365))+(P115/$R115*100*($E115/365))</f>
        <v>24.193548387096772</v>
      </c>
      <c r="K191" s="409"/>
      <c r="L191" s="409">
        <f>(Q114/$R114*100*($E114/365))+(Q115/$R115*100*($E115/365))</f>
        <v>0</v>
      </c>
      <c r="M191" s="409"/>
      <c r="N191" s="379">
        <f>H191+J191+L191</f>
        <v>100</v>
      </c>
      <c r="O191" s="379"/>
      <c r="R191" s="1">
        <v>2013</v>
      </c>
      <c r="S191" s="5">
        <f>(O114*($E114/365))+(O115*($E115/365))</f>
        <v>37.6</v>
      </c>
      <c r="T191" s="5">
        <f>(P114*($E114/365))+(P115*($E115/365))</f>
        <v>12</v>
      </c>
      <c r="U191" s="5">
        <f>(Q114*($E114/365))+(Q115*($E115/365))</f>
        <v>0</v>
      </c>
      <c r="W191" s="5">
        <f t="shared" si="38"/>
        <v>49.6</v>
      </c>
    </row>
    <row r="192" spans="1:23" x14ac:dyDescent="0.15">
      <c r="A192" s="1">
        <v>2014</v>
      </c>
      <c r="B192" s="5">
        <f>(K116*($E116/365))+(K117*($E117/365))</f>
        <v>53.755707762557087</v>
      </c>
      <c r="C192" s="5">
        <f>(L116*($E116/365))+(L117*($E117/365))</f>
        <v>22.134703196347033</v>
      </c>
      <c r="D192" s="5">
        <f>(M116*($E116/365))+(M117*($E117/365))</f>
        <v>24.109589041095891</v>
      </c>
      <c r="E192" s="18">
        <f>B192+C192+D192</f>
        <v>100</v>
      </c>
      <c r="G192" s="1">
        <v>2014</v>
      </c>
      <c r="H192" s="409">
        <f>(O116/$R116*100*($E116/365))+(O117/$R117*100*($E117/365))</f>
        <v>57.529827662395057</v>
      </c>
      <c r="I192" s="409"/>
      <c r="J192" s="409">
        <f>(P116/$R116*100*($E116/365))+(P117/$R117*100*($E117/365))</f>
        <v>18.360583296509056</v>
      </c>
      <c r="K192" s="409"/>
      <c r="L192" s="409">
        <f>(Q116/$R116*100*($E116/365))+(Q117/$R117*100*($E117/365))</f>
        <v>24.109589041095891</v>
      </c>
      <c r="M192" s="409"/>
      <c r="N192" s="379">
        <f>H192+J192+L192</f>
        <v>100</v>
      </c>
      <c r="O192" s="379"/>
      <c r="R192" s="1">
        <v>2014</v>
      </c>
      <c r="S192" s="5">
        <f>(O116*($E116/365))+(O117*($E117/365))</f>
        <v>28.534794520547948</v>
      </c>
      <c r="T192" s="5">
        <f>(P116*($E116/365))+(P117*($E117/365))</f>
        <v>9.1068493150684926</v>
      </c>
      <c r="U192" s="5">
        <f>(Q116*($E116/365))+(Q117*($E117/365))</f>
        <v>9.5473972602739732</v>
      </c>
      <c r="W192" s="5">
        <f>S192+T192+U192</f>
        <v>47.189041095890417</v>
      </c>
    </row>
    <row r="193" spans="1:23" x14ac:dyDescent="0.15">
      <c r="A193" s="1">
        <v>2015</v>
      </c>
      <c r="B193" s="5">
        <f>(K118*($E118/365))+(K119*($E119/365))</f>
        <v>0</v>
      </c>
      <c r="C193" s="5">
        <f>(L118*($E118/365))+(L119*($E119/365))</f>
        <v>0</v>
      </c>
      <c r="D193" s="5">
        <f>(M118*($E118/365))+(M119*($E119/365))</f>
        <v>100</v>
      </c>
      <c r="E193" s="18">
        <f>B193+C193+D193</f>
        <v>100</v>
      </c>
      <c r="G193" s="1">
        <v>2015</v>
      </c>
      <c r="H193" s="409">
        <f>(O118/$R118*100*($E118/365))+(O119/$R119*100*($E119/365))</f>
        <v>0</v>
      </c>
      <c r="I193" s="409"/>
      <c r="J193" s="409">
        <f>(P118/$R118*100*($E118/365))+(P119/$R119*100*($E119/365))</f>
        <v>0</v>
      </c>
      <c r="K193" s="409"/>
      <c r="L193" s="409">
        <f>(Q118/$R118*100*($E118/365))+(Q119/$R119*100*($E119/365))</f>
        <v>100</v>
      </c>
      <c r="M193" s="409"/>
      <c r="N193" s="379">
        <f>H193+J193+L193</f>
        <v>100</v>
      </c>
      <c r="O193" s="379"/>
      <c r="R193" s="1">
        <v>2015</v>
      </c>
      <c r="S193" s="5">
        <f>(O118*($E118/365))+(O119*($E119/365))</f>
        <v>0</v>
      </c>
      <c r="T193" s="5">
        <f>(P118*($E118/365))+(P119*($E119/365))</f>
        <v>0</v>
      </c>
      <c r="U193" s="5">
        <f>(Q118*($E118/365))+(Q119*($E119/365))</f>
        <v>39.6</v>
      </c>
      <c r="W193" s="5">
        <f>S193+T193+U193</f>
        <v>39.6</v>
      </c>
    </row>
    <row r="194" spans="1:23" x14ac:dyDescent="0.15">
      <c r="A194" s="1">
        <v>2016</v>
      </c>
      <c r="B194" s="5">
        <f>(K120*($E120/366))+(K121*($E121/366))</f>
        <v>0</v>
      </c>
      <c r="C194" s="5">
        <f>(L120*($E120/366))+(L121*($E121/366))</f>
        <v>0</v>
      </c>
      <c r="D194" s="5">
        <f>(M120*($E120/366))+(M121*($E121/366))</f>
        <v>100</v>
      </c>
      <c r="E194" s="18">
        <f t="shared" ref="E194" si="40">B194+C194+D194</f>
        <v>100</v>
      </c>
      <c r="G194" s="1">
        <v>2016</v>
      </c>
      <c r="H194" s="409">
        <f>(O120/$R120*100*($E120/366))+(O121/$R121*100*($E121/366))</f>
        <v>0</v>
      </c>
      <c r="I194" s="409"/>
      <c r="J194" s="409">
        <f>(P120/$R120*100*($E120/366))+(P121/$R121*100*($E121/366))</f>
        <v>0</v>
      </c>
      <c r="K194" s="409"/>
      <c r="L194" s="409">
        <f>(Q120/$R120*100*($E120/366))+(Q121/$R121*100*($E121/366))</f>
        <v>100</v>
      </c>
      <c r="M194" s="409"/>
      <c r="N194" s="379">
        <f t="shared" ref="N194" si="41">H194+J194+L194</f>
        <v>100</v>
      </c>
      <c r="O194" s="379"/>
      <c r="R194" s="1">
        <v>2016</v>
      </c>
      <c r="S194" s="5">
        <f>(O120*($E120/366))+(O121*($E121/366))</f>
        <v>0</v>
      </c>
      <c r="T194" s="5">
        <f>(P120*($E120/366))+(P121*($E121/366))</f>
        <v>0</v>
      </c>
      <c r="U194" s="5">
        <f>(Q120*($E120/366))+(Q121*($E121/366))</f>
        <v>39.6</v>
      </c>
      <c r="W194" s="5">
        <f t="shared" ref="W194" si="42">S194+T194+U194</f>
        <v>39.6</v>
      </c>
    </row>
    <row r="195" spans="1:23" x14ac:dyDescent="0.15">
      <c r="A195" s="1">
        <v>2017</v>
      </c>
      <c r="B195" s="5">
        <f>(K122*($E122/365))+(K123*($E123/365))</f>
        <v>0</v>
      </c>
      <c r="C195" s="5">
        <f>(L122*($E122/365))+(L123*($E123/365))</f>
        <v>0</v>
      </c>
      <c r="D195" s="5">
        <f>(M122*($E122/365))+(M123*($E123/365))</f>
        <v>100</v>
      </c>
      <c r="E195" s="18">
        <f t="shared" ref="E195" si="43">B195+C195+D195</f>
        <v>100</v>
      </c>
      <c r="G195" s="1">
        <v>2017</v>
      </c>
      <c r="H195" s="409">
        <f>(O122/$R122*100*($E122/365))+(O123/$R123*100*($E123/365))</f>
        <v>0</v>
      </c>
      <c r="I195" s="409"/>
      <c r="J195" s="409">
        <f>(P122/$R122*100*($E122/365))+(P123/$R123*100*($E123/365))</f>
        <v>0</v>
      </c>
      <c r="K195" s="409"/>
      <c r="L195" s="409">
        <f>(Q122/$R122*100*($E122/365))+(Q123/$R123*100*($E123/365))</f>
        <v>100</v>
      </c>
      <c r="M195" s="409"/>
      <c r="N195" s="379">
        <f t="shared" ref="N195" si="44">H195+J195+L195</f>
        <v>100</v>
      </c>
      <c r="O195" s="379"/>
      <c r="R195" s="1">
        <v>2017</v>
      </c>
      <c r="S195" s="5">
        <f>(O122*($E122/365))+(O123*($E123/365))</f>
        <v>0</v>
      </c>
      <c r="T195" s="5">
        <f>(P122*($E122/365))+(P123*($E123/365))</f>
        <v>0</v>
      </c>
      <c r="U195" s="5">
        <f>(Q122*($E122/365))+(Q123*($E123/365))</f>
        <v>39.6</v>
      </c>
      <c r="W195" s="5">
        <f t="shared" ref="W195" si="45">S195+T195+U195</f>
        <v>39.6</v>
      </c>
    </row>
    <row r="196" spans="1:23" x14ac:dyDescent="0.15">
      <c r="A196" s="1">
        <v>2018</v>
      </c>
      <c r="B196" s="5">
        <f>(K124*($E124/365))+(K125*($E125/365))</f>
        <v>0</v>
      </c>
      <c r="C196" s="5">
        <f>(L124*($E124/365))+(L125*($E125/365))</f>
        <v>0</v>
      </c>
      <c r="D196" s="5">
        <f>(M124*($E124/365))+(M125*($E125/365))</f>
        <v>100</v>
      </c>
      <c r="E196" s="18">
        <f t="shared" ref="E196" si="46">B196+C196+D196</f>
        <v>100</v>
      </c>
      <c r="G196" s="1">
        <v>2018</v>
      </c>
      <c r="H196" s="409">
        <f>(O124/$R124*100*($E124/365))+(O125/$R125*100*($E125/365))</f>
        <v>0</v>
      </c>
      <c r="I196" s="409"/>
      <c r="J196" s="409">
        <f>(P124/$R124*100*($E124/365))+(P125/$R125*100*($E125/365))</f>
        <v>0</v>
      </c>
      <c r="K196" s="409"/>
      <c r="L196" s="409">
        <f>(Q124/$R124*100*($E124/365))+(Q125/$R125*100*($E125/365))</f>
        <v>100</v>
      </c>
      <c r="M196" s="409"/>
      <c r="N196" s="379">
        <f t="shared" ref="N196" si="47">H196+J196+L196</f>
        <v>100</v>
      </c>
      <c r="O196" s="379"/>
      <c r="R196" s="1">
        <v>2018</v>
      </c>
      <c r="S196" s="5">
        <f>(O124*($E124/365))+(O125*($E125/365))</f>
        <v>0</v>
      </c>
      <c r="T196" s="5">
        <f>(P124*($E124/365))+(P125*($E125/365))</f>
        <v>0</v>
      </c>
      <c r="U196" s="5">
        <f>(Q124*($E124/365))+(Q125*($E125/365))</f>
        <v>39.6</v>
      </c>
      <c r="W196" s="5">
        <f t="shared" ref="W196" si="48">S196+T196+U196</f>
        <v>39.6</v>
      </c>
    </row>
    <row r="197" spans="1:23" x14ac:dyDescent="0.15">
      <c r="A197" s="1">
        <v>2019</v>
      </c>
      <c r="B197" s="5">
        <f>(K126*($E126/365))+(K127*($E127/365))</f>
        <v>0</v>
      </c>
      <c r="C197" s="5">
        <f>(L126*($E126/365))+(L127*($E127/365))</f>
        <v>0</v>
      </c>
      <c r="D197" s="5">
        <f>(M126*($E126/365))+(M127*($E127/365))</f>
        <v>100</v>
      </c>
      <c r="E197" s="18">
        <f t="shared" ref="E197:E198" si="49">B197+C197+D197</f>
        <v>100</v>
      </c>
      <c r="G197" s="1">
        <v>2019</v>
      </c>
      <c r="H197" s="409">
        <f>(O126/$R126*100*($E126/365))+(O127/$R127*100*($E127/365))</f>
        <v>0</v>
      </c>
      <c r="I197" s="409"/>
      <c r="J197" s="409">
        <f>(P126/$R126*100*($E126/365))+(P127/$R127*100*($E127/365))</f>
        <v>0</v>
      </c>
      <c r="K197" s="409"/>
      <c r="L197" s="409">
        <f>(Q126/$R126*100*($E126/365))+(Q127/$R127*100*($E127/365))</f>
        <v>100</v>
      </c>
      <c r="M197" s="409"/>
      <c r="N197" s="379">
        <f t="shared" ref="N197" si="50">H197+J197+L197</f>
        <v>100</v>
      </c>
      <c r="O197" s="379"/>
      <c r="R197" s="1">
        <v>2019</v>
      </c>
      <c r="S197" s="5">
        <f>(O126*($E126/365))+(O127*($E127/365))</f>
        <v>0</v>
      </c>
      <c r="T197" s="5">
        <f>(P126*($E126/365))+(P127*($E127/365))</f>
        <v>0</v>
      </c>
      <c r="U197" s="5">
        <f>(Q126*($E126/365))+(Q127*($E127/365))</f>
        <v>33.58575342465754</v>
      </c>
      <c r="W197" s="5">
        <f t="shared" ref="W197:W198" si="51">S197+T197+U197</f>
        <v>33.58575342465754</v>
      </c>
    </row>
    <row r="198" spans="1:23" x14ac:dyDescent="0.15">
      <c r="A198" s="1">
        <v>2020</v>
      </c>
      <c r="B198" s="5">
        <f>(K128*($E128/366))+(K129*($E129/366))</f>
        <v>0</v>
      </c>
      <c r="C198" s="5">
        <f>(L128*($E128/366))+(L129*($E129/366))</f>
        <v>0</v>
      </c>
      <c r="D198" s="5">
        <f>(M128*($E128/366))+(M129*($E129/366))</f>
        <v>100</v>
      </c>
      <c r="E198" s="18">
        <f t="shared" si="49"/>
        <v>100</v>
      </c>
      <c r="G198" s="1">
        <v>2020</v>
      </c>
      <c r="H198" s="409">
        <f>(O128/$R128*100*($E128/366))+(O129/$R129*100*($E129/366))</f>
        <v>0</v>
      </c>
      <c r="I198" s="409"/>
      <c r="J198" s="409">
        <f>(P128/$R128*100*($E128/366))+(P129/$R129*100*($E129/366))</f>
        <v>0</v>
      </c>
      <c r="K198" s="409"/>
      <c r="L198" s="409">
        <f>(Q128/$R128*100*($E128/366))+(Q129/$R129*100*($E129/366))</f>
        <v>100</v>
      </c>
      <c r="M198" s="409"/>
      <c r="N198" s="379">
        <f t="shared" ref="N198" si="52">H198+J198+L198</f>
        <v>100</v>
      </c>
      <c r="O198" s="379"/>
      <c r="R198" s="1">
        <v>2020</v>
      </c>
      <c r="S198" s="5">
        <f>(O128*($E128/366))+(O129*($E129/366))</f>
        <v>0</v>
      </c>
      <c r="T198" s="5">
        <f>(P128*($E128/366))+(P129*($E129/366))</f>
        <v>0</v>
      </c>
      <c r="U198" s="5">
        <f>(Q128*($E128/366))+(Q129*($E129/366))</f>
        <v>33.200000000000003</v>
      </c>
      <c r="W198" s="5">
        <f t="shared" si="51"/>
        <v>33.200000000000003</v>
      </c>
    </row>
  </sheetData>
  <mergeCells count="398">
    <mergeCell ref="C128:D128"/>
    <mergeCell ref="C129:D129"/>
    <mergeCell ref="H198:I198"/>
    <mergeCell ref="J198:K198"/>
    <mergeCell ref="L198:M198"/>
    <mergeCell ref="N198:O198"/>
    <mergeCell ref="C125:D125"/>
    <mergeCell ref="C126:D126"/>
    <mergeCell ref="C127:D127"/>
    <mergeCell ref="H197:I197"/>
    <mergeCell ref="J197:K197"/>
    <mergeCell ref="L197:M197"/>
    <mergeCell ref="N197:O197"/>
    <mergeCell ref="H195:I195"/>
    <mergeCell ref="J195:K195"/>
    <mergeCell ref="L195:M195"/>
    <mergeCell ref="N195:O195"/>
    <mergeCell ref="H192:I192"/>
    <mergeCell ref="J192:K192"/>
    <mergeCell ref="L192:M192"/>
    <mergeCell ref="N192:O192"/>
    <mergeCell ref="H142:I142"/>
    <mergeCell ref="J142:K142"/>
    <mergeCell ref="L142:M142"/>
    <mergeCell ref="N142:O142"/>
    <mergeCell ref="H145:I145"/>
    <mergeCell ref="J145:K145"/>
    <mergeCell ref="L145:M145"/>
    <mergeCell ref="N145:O145"/>
    <mergeCell ref="H146:I146"/>
    <mergeCell ref="H139:I139"/>
    <mergeCell ref="H141:I141"/>
    <mergeCell ref="J141:K141"/>
    <mergeCell ref="L141:M141"/>
    <mergeCell ref="N141:O141"/>
    <mergeCell ref="J139:K139"/>
    <mergeCell ref="L139:M139"/>
    <mergeCell ref="N139:O139"/>
    <mergeCell ref="H140:I140"/>
    <mergeCell ref="J140:K140"/>
    <mergeCell ref="L140:M140"/>
    <mergeCell ref="N140:O140"/>
    <mergeCell ref="L146:M146"/>
    <mergeCell ref="N146:O146"/>
    <mergeCell ref="H143:I143"/>
    <mergeCell ref="J143:K143"/>
    <mergeCell ref="L143:M143"/>
    <mergeCell ref="N143:O143"/>
    <mergeCell ref="C110:D110"/>
    <mergeCell ref="C103:D103"/>
    <mergeCell ref="C104:D104"/>
    <mergeCell ref="C111:D111"/>
    <mergeCell ref="C112:D112"/>
    <mergeCell ref="C113:D113"/>
    <mergeCell ref="C105:D105"/>
    <mergeCell ref="C106:D106"/>
    <mergeCell ref="C107:D107"/>
    <mergeCell ref="C108:D108"/>
    <mergeCell ref="C114:D114"/>
    <mergeCell ref="C115:D115"/>
    <mergeCell ref="C119:D119"/>
    <mergeCell ref="C118:D118"/>
    <mergeCell ref="C122:D122"/>
    <mergeCell ref="C123:D123"/>
    <mergeCell ref="C120:D120"/>
    <mergeCell ref="C121:D121"/>
    <mergeCell ref="C124:D124"/>
    <mergeCell ref="C116:D116"/>
    <mergeCell ref="C117:D117"/>
    <mergeCell ref="C94:D94"/>
    <mergeCell ref="C95:D95"/>
    <mergeCell ref="C96:D96"/>
    <mergeCell ref="C109:D109"/>
    <mergeCell ref="C97:D97"/>
    <mergeCell ref="C98:D98"/>
    <mergeCell ref="C99:D99"/>
    <mergeCell ref="C100:D100"/>
    <mergeCell ref="C101:D101"/>
    <mergeCell ref="C102:D102"/>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34:W134"/>
    <mergeCell ref="H136:I136"/>
    <mergeCell ref="J136:K136"/>
    <mergeCell ref="L136:M136"/>
    <mergeCell ref="N136:O136"/>
    <mergeCell ref="H138:I138"/>
    <mergeCell ref="J138:K138"/>
    <mergeCell ref="L138:M138"/>
    <mergeCell ref="N138:O138"/>
    <mergeCell ref="H137:I137"/>
    <mergeCell ref="J137:K137"/>
    <mergeCell ref="L137:M137"/>
    <mergeCell ref="N137:O137"/>
    <mergeCell ref="H144:I144"/>
    <mergeCell ref="J144:K144"/>
    <mergeCell ref="L144:M144"/>
    <mergeCell ref="N144:O144"/>
    <mergeCell ref="J146:K146"/>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63:I163"/>
    <mergeCell ref="J163:K163"/>
    <mergeCell ref="L163:M163"/>
    <mergeCell ref="N163:O163"/>
    <mergeCell ref="H164:I164"/>
    <mergeCell ref="J164:K164"/>
    <mergeCell ref="L164:M164"/>
    <mergeCell ref="N164:O164"/>
    <mergeCell ref="J166:K166"/>
    <mergeCell ref="L166:M166"/>
    <mergeCell ref="N166:O166"/>
    <mergeCell ref="H165:I165"/>
    <mergeCell ref="J165:K165"/>
    <mergeCell ref="L165:M165"/>
    <mergeCell ref="N165:O165"/>
    <mergeCell ref="H166:I166"/>
    <mergeCell ref="H174:I174"/>
    <mergeCell ref="H175:I175"/>
    <mergeCell ref="H176:I176"/>
    <mergeCell ref="J171:K171"/>
    <mergeCell ref="J172:K172"/>
    <mergeCell ref="J168:K168"/>
    <mergeCell ref="J169:K169"/>
    <mergeCell ref="J170:K170"/>
    <mergeCell ref="H168:I168"/>
    <mergeCell ref="H169:I169"/>
    <mergeCell ref="H170:I170"/>
    <mergeCell ref="H171:I171"/>
    <mergeCell ref="H172:I172"/>
    <mergeCell ref="J175:K175"/>
    <mergeCell ref="J177:K177"/>
    <mergeCell ref="J178:K178"/>
    <mergeCell ref="J179:K179"/>
    <mergeCell ref="J180:K180"/>
    <mergeCell ref="J181:K181"/>
    <mergeCell ref="J182:K182"/>
    <mergeCell ref="J176:K176"/>
    <mergeCell ref="H180:I180"/>
    <mergeCell ref="H182:I182"/>
    <mergeCell ref="AT4:AW4"/>
    <mergeCell ref="AX4:BA4"/>
    <mergeCell ref="N168:O168"/>
    <mergeCell ref="N169:O169"/>
    <mergeCell ref="N170:O170"/>
    <mergeCell ref="L180:M180"/>
    <mergeCell ref="L181:M181"/>
    <mergeCell ref="L182:M182"/>
    <mergeCell ref="L183:M183"/>
    <mergeCell ref="L174:M174"/>
    <mergeCell ref="L175:M175"/>
    <mergeCell ref="L176:M176"/>
    <mergeCell ref="L177:M177"/>
    <mergeCell ref="L178:M178"/>
    <mergeCell ref="L179:M179"/>
    <mergeCell ref="N173:O173"/>
    <mergeCell ref="N174:O174"/>
    <mergeCell ref="N175:O175"/>
    <mergeCell ref="N176:O176"/>
    <mergeCell ref="L168:M168"/>
    <mergeCell ref="L169:M169"/>
    <mergeCell ref="L170:M170"/>
    <mergeCell ref="L171:M171"/>
    <mergeCell ref="L167:M167"/>
    <mergeCell ref="H191:I191"/>
    <mergeCell ref="J191:K191"/>
    <mergeCell ref="L191:M191"/>
    <mergeCell ref="N189:O189"/>
    <mergeCell ref="N190:O190"/>
    <mergeCell ref="N183:O183"/>
    <mergeCell ref="N184:O184"/>
    <mergeCell ref="N185:O185"/>
    <mergeCell ref="N186:O186"/>
    <mergeCell ref="N187:O187"/>
    <mergeCell ref="N188:O188"/>
    <mergeCell ref="L187:M187"/>
    <mergeCell ref="J183:K183"/>
    <mergeCell ref="H183:I183"/>
    <mergeCell ref="L189:M189"/>
    <mergeCell ref="L190:M190"/>
    <mergeCell ref="H186:I186"/>
    <mergeCell ref="J184:K184"/>
    <mergeCell ref="J185:K185"/>
    <mergeCell ref="H196:I196"/>
    <mergeCell ref="J196:K196"/>
    <mergeCell ref="L196:M196"/>
    <mergeCell ref="N196:O196"/>
    <mergeCell ref="H194:I194"/>
    <mergeCell ref="J194:K194"/>
    <mergeCell ref="L194:M194"/>
    <mergeCell ref="N194:O194"/>
    <mergeCell ref="H177:I177"/>
    <mergeCell ref="H178:I178"/>
    <mergeCell ref="H179:I179"/>
    <mergeCell ref="H181:I181"/>
    <mergeCell ref="H193:I193"/>
    <mergeCell ref="J193:K193"/>
    <mergeCell ref="L193:M193"/>
    <mergeCell ref="N193:O193"/>
    <mergeCell ref="N191:O191"/>
    <mergeCell ref="N177:O177"/>
    <mergeCell ref="N178:O178"/>
    <mergeCell ref="N179:O179"/>
    <mergeCell ref="N180:O180"/>
    <mergeCell ref="N181:O181"/>
    <mergeCell ref="N182:O182"/>
    <mergeCell ref="H187:I187"/>
    <mergeCell ref="H167:I167"/>
    <mergeCell ref="J167:K167"/>
    <mergeCell ref="N167:O167"/>
    <mergeCell ref="H190:I190"/>
    <mergeCell ref="H184:I184"/>
    <mergeCell ref="H185:I185"/>
    <mergeCell ref="J189:K189"/>
    <mergeCell ref="J190:K190"/>
    <mergeCell ref="J186:K186"/>
    <mergeCell ref="J187:K187"/>
    <mergeCell ref="J188:K188"/>
    <mergeCell ref="H188:I188"/>
    <mergeCell ref="H189:I189"/>
    <mergeCell ref="L188:M188"/>
    <mergeCell ref="N171:O171"/>
    <mergeCell ref="N172:O172"/>
    <mergeCell ref="L186:M186"/>
    <mergeCell ref="L173:M173"/>
    <mergeCell ref="L172:M172"/>
    <mergeCell ref="L184:M184"/>
    <mergeCell ref="L185:M185"/>
    <mergeCell ref="H173:I173"/>
    <mergeCell ref="J173:K173"/>
    <mergeCell ref="J174:K17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A198"/>
  <sheetViews>
    <sheetView zoomScale="179" zoomScaleNormal="120" workbookViewId="0">
      <pane xSplit="1" ySplit="5" topLeftCell="C72" activePane="bottomRight" state="frozen"/>
      <selection pane="topRight" activeCell="B1" sqref="B1"/>
      <selection pane="bottomLeft" activeCell="A6" sqref="A6"/>
      <selection pane="bottomRight" activeCell="AB27" sqref="AB27"/>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69</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1234</v>
      </c>
      <c r="D6" s="416"/>
      <c r="E6" s="140">
        <v>350</v>
      </c>
      <c r="G6" s="148">
        <v>4</v>
      </c>
      <c r="H6" s="140">
        <v>3</v>
      </c>
      <c r="J6" s="154">
        <v>7</v>
      </c>
      <c r="K6" s="134">
        <f t="shared" ref="K6:M7" si="0">G6/$J6*100</f>
        <v>57.142857142857139</v>
      </c>
      <c r="L6" s="134">
        <f t="shared" si="0"/>
        <v>42.857142857142854</v>
      </c>
      <c r="M6" s="134">
        <f t="shared" si="0"/>
        <v>0</v>
      </c>
      <c r="N6" s="150">
        <f>K6+L6+M6</f>
        <v>100</v>
      </c>
      <c r="O6" s="133">
        <f>Y6+AG6</f>
        <v>36.700000000000003</v>
      </c>
      <c r="P6" s="134">
        <v>24</v>
      </c>
      <c r="Q6" s="134"/>
      <c r="R6" s="135">
        <f>O6+P6+Q6</f>
        <v>60.7</v>
      </c>
      <c r="S6" s="140">
        <v>2</v>
      </c>
      <c r="T6" s="308"/>
      <c r="U6" s="296"/>
      <c r="V6" s="139" t="s">
        <v>131</v>
      </c>
      <c r="W6" s="140" t="s">
        <v>22</v>
      </c>
      <c r="X6" s="140" t="s">
        <v>11</v>
      </c>
      <c r="Y6" s="141">
        <v>25.5</v>
      </c>
      <c r="Z6" s="140" t="s">
        <v>80</v>
      </c>
      <c r="AA6" s="140" t="s">
        <v>17</v>
      </c>
      <c r="AB6" s="140" t="s">
        <v>18</v>
      </c>
      <c r="AC6" s="141">
        <v>24</v>
      </c>
      <c r="AD6" s="140" t="s">
        <v>328</v>
      </c>
      <c r="AE6" s="140" t="s">
        <v>869</v>
      </c>
      <c r="AF6" s="140" t="s">
        <v>11</v>
      </c>
      <c r="AG6" s="141">
        <v>11.2</v>
      </c>
      <c r="AL6" s="139"/>
      <c r="AO6" s="141"/>
      <c r="AP6" s="139"/>
      <c r="AS6" s="141"/>
      <c r="AW6" s="141"/>
      <c r="BA6" s="142"/>
    </row>
    <row r="7" spans="1:53" s="140" customFormat="1" x14ac:dyDescent="0.15">
      <c r="A7" s="146">
        <v>1959</v>
      </c>
      <c r="B7" s="296">
        <v>21901</v>
      </c>
      <c r="C7" s="416" t="s">
        <v>449</v>
      </c>
      <c r="D7" s="416"/>
      <c r="E7" s="140">
        <f>365-E6</f>
        <v>15</v>
      </c>
      <c r="F7" s="140">
        <v>1</v>
      </c>
      <c r="G7" s="148">
        <v>3</v>
      </c>
      <c r="H7" s="140">
        <v>2</v>
      </c>
      <c r="I7" s="140">
        <v>2</v>
      </c>
      <c r="J7" s="154">
        <v>7</v>
      </c>
      <c r="K7" s="134">
        <f t="shared" si="0"/>
        <v>42.857142857142854</v>
      </c>
      <c r="L7" s="134">
        <f t="shared" si="0"/>
        <v>28.571428571428569</v>
      </c>
      <c r="M7" s="134">
        <f t="shared" si="0"/>
        <v>28.571428571428569</v>
      </c>
      <c r="N7" s="150">
        <f>K7+L7+M7</f>
        <v>99.999999999999986</v>
      </c>
      <c r="O7" s="133">
        <v>37.700000000000003</v>
      </c>
      <c r="P7" s="134">
        <v>24</v>
      </c>
      <c r="Q7" s="134">
        <v>26</v>
      </c>
      <c r="R7" s="135">
        <f>O7+P7+Q7</f>
        <v>87.7</v>
      </c>
      <c r="S7" s="156">
        <v>3</v>
      </c>
      <c r="T7" s="296">
        <v>21848</v>
      </c>
      <c r="U7" s="297">
        <v>21901</v>
      </c>
      <c r="V7" s="139" t="s">
        <v>131</v>
      </c>
      <c r="W7" s="140" t="s">
        <v>22</v>
      </c>
      <c r="X7" s="140" t="s">
        <v>11</v>
      </c>
      <c r="Y7" s="141">
        <v>26</v>
      </c>
      <c r="Z7" s="140" t="s">
        <v>80</v>
      </c>
      <c r="AA7" s="140" t="s">
        <v>17</v>
      </c>
      <c r="AB7" s="140" t="s">
        <v>18</v>
      </c>
      <c r="AC7" s="140">
        <v>24</v>
      </c>
      <c r="AD7" s="139" t="s">
        <v>454</v>
      </c>
      <c r="AE7" s="140" t="s">
        <v>20</v>
      </c>
      <c r="AF7" s="140" t="s">
        <v>12</v>
      </c>
      <c r="AG7" s="141">
        <v>26</v>
      </c>
      <c r="AH7" s="140" t="s">
        <v>328</v>
      </c>
      <c r="AI7" s="140" t="s">
        <v>869</v>
      </c>
      <c r="AJ7" s="140" t="s">
        <v>11</v>
      </c>
      <c r="AK7" s="140">
        <v>11.7</v>
      </c>
      <c r="AL7" s="139"/>
      <c r="AO7" s="141"/>
      <c r="AP7" s="139"/>
      <c r="AS7" s="141"/>
      <c r="AW7" s="141"/>
      <c r="BA7" s="142"/>
    </row>
    <row r="8" spans="1:53" s="29" customFormat="1" x14ac:dyDescent="0.15">
      <c r="A8" s="52">
        <v>1960</v>
      </c>
      <c r="B8" s="295"/>
      <c r="C8" s="411" t="s">
        <v>449</v>
      </c>
      <c r="D8" s="411"/>
      <c r="E8" s="29">
        <v>0</v>
      </c>
      <c r="G8" s="66">
        <v>3</v>
      </c>
      <c r="H8" s="29">
        <v>2</v>
      </c>
      <c r="I8" s="29">
        <v>2</v>
      </c>
      <c r="J8" s="73">
        <v>7</v>
      </c>
      <c r="K8" s="47">
        <f t="shared" ref="K8:M23" si="1">G8/$J8*100</f>
        <v>42.857142857142854</v>
      </c>
      <c r="L8" s="47">
        <f t="shared" si="1"/>
        <v>28.571428571428569</v>
      </c>
      <c r="M8" s="47">
        <f t="shared" si="1"/>
        <v>28.571428571428569</v>
      </c>
      <c r="N8" s="68">
        <f>K8+L8+M8</f>
        <v>99.999999999999986</v>
      </c>
      <c r="O8" s="46">
        <v>37.700000000000003</v>
      </c>
      <c r="P8" s="47">
        <v>24</v>
      </c>
      <c r="Q8" s="47">
        <v>26</v>
      </c>
      <c r="R8" s="48">
        <f>O8+P8+Q8</f>
        <v>87.7</v>
      </c>
      <c r="S8" s="29">
        <v>3</v>
      </c>
      <c r="T8" s="286"/>
      <c r="U8" s="295"/>
      <c r="V8" s="38" t="s">
        <v>131</v>
      </c>
      <c r="W8" s="29" t="s">
        <v>22</v>
      </c>
      <c r="X8" s="29" t="s">
        <v>11</v>
      </c>
      <c r="Y8" s="39">
        <v>26</v>
      </c>
      <c r="Z8" s="29" t="s">
        <v>80</v>
      </c>
      <c r="AA8" s="29" t="s">
        <v>17</v>
      </c>
      <c r="AB8" s="29" t="s">
        <v>18</v>
      </c>
      <c r="AC8" s="29">
        <v>24</v>
      </c>
      <c r="AD8" s="38" t="s">
        <v>454</v>
      </c>
      <c r="AE8" s="29" t="s">
        <v>20</v>
      </c>
      <c r="AF8" s="29" t="s">
        <v>12</v>
      </c>
      <c r="AG8" s="39">
        <v>26</v>
      </c>
      <c r="AH8" s="29" t="s">
        <v>328</v>
      </c>
      <c r="AI8" s="29" t="s">
        <v>869</v>
      </c>
      <c r="AJ8" s="29" t="s">
        <v>11</v>
      </c>
      <c r="AK8" s="29">
        <v>11.7</v>
      </c>
      <c r="AL8" s="38"/>
      <c r="AO8" s="39"/>
      <c r="AP8" s="38"/>
      <c r="AS8" s="39"/>
      <c r="AW8" s="39"/>
      <c r="BA8" s="40"/>
    </row>
    <row r="9" spans="1:53" s="29" customFormat="1" x14ac:dyDescent="0.15">
      <c r="A9" s="52">
        <v>1960</v>
      </c>
      <c r="B9" s="295"/>
      <c r="C9" s="411" t="s">
        <v>448</v>
      </c>
      <c r="D9" s="411"/>
      <c r="E9" s="29">
        <v>366</v>
      </c>
      <c r="F9" s="29">
        <v>1</v>
      </c>
      <c r="G9" s="66">
        <v>3</v>
      </c>
      <c r="H9" s="29">
        <v>2</v>
      </c>
      <c r="I9" s="29">
        <v>2</v>
      </c>
      <c r="J9" s="73">
        <v>7</v>
      </c>
      <c r="K9" s="47">
        <f t="shared" si="1"/>
        <v>42.857142857142854</v>
      </c>
      <c r="L9" s="47">
        <f t="shared" si="1"/>
        <v>28.571428571428569</v>
      </c>
      <c r="M9" s="47">
        <f t="shared" si="1"/>
        <v>28.571428571428569</v>
      </c>
      <c r="N9" s="68">
        <f>K9+L9+M9</f>
        <v>99.999999999999986</v>
      </c>
      <c r="O9" s="46">
        <v>37.700000000000003</v>
      </c>
      <c r="P9" s="47">
        <v>24</v>
      </c>
      <c r="Q9" s="47">
        <v>26</v>
      </c>
      <c r="R9" s="48">
        <f t="shared" ref="R9:R67" si="2">O9+P9+Q9</f>
        <v>87.7</v>
      </c>
      <c r="S9" s="29">
        <v>3</v>
      </c>
      <c r="T9" s="286"/>
      <c r="U9" s="295"/>
      <c r="V9" s="38" t="s">
        <v>131</v>
      </c>
      <c r="W9" s="29" t="s">
        <v>22</v>
      </c>
      <c r="X9" s="29" t="s">
        <v>11</v>
      </c>
      <c r="Y9" s="39">
        <v>26</v>
      </c>
      <c r="Z9" s="29" t="s">
        <v>80</v>
      </c>
      <c r="AA9" s="29" t="s">
        <v>17</v>
      </c>
      <c r="AB9" s="29" t="s">
        <v>18</v>
      </c>
      <c r="AC9" s="29">
        <v>24</v>
      </c>
      <c r="AD9" s="38" t="s">
        <v>454</v>
      </c>
      <c r="AE9" s="29" t="s">
        <v>20</v>
      </c>
      <c r="AF9" s="29" t="s">
        <v>12</v>
      </c>
      <c r="AG9" s="39">
        <v>26</v>
      </c>
      <c r="AH9" s="29" t="s">
        <v>328</v>
      </c>
      <c r="AI9" s="29" t="s">
        <v>869</v>
      </c>
      <c r="AJ9" s="29" t="s">
        <v>11</v>
      </c>
      <c r="AK9" s="29">
        <v>11.7</v>
      </c>
      <c r="AL9" s="38"/>
      <c r="AO9" s="39"/>
      <c r="AP9" s="38"/>
      <c r="AS9" s="39"/>
      <c r="AW9" s="39"/>
      <c r="BA9" s="40"/>
    </row>
    <row r="10" spans="1:53" s="29" customFormat="1" x14ac:dyDescent="0.15">
      <c r="A10" s="52">
        <v>1961</v>
      </c>
      <c r="B10" s="295"/>
      <c r="C10" s="411" t="s">
        <v>448</v>
      </c>
      <c r="D10" s="411"/>
      <c r="E10" s="29">
        <v>0</v>
      </c>
      <c r="G10" s="66">
        <v>3</v>
      </c>
      <c r="H10" s="29">
        <v>2</v>
      </c>
      <c r="I10" s="29">
        <v>2</v>
      </c>
      <c r="J10" s="73">
        <v>7</v>
      </c>
      <c r="K10" s="47">
        <f t="shared" si="1"/>
        <v>42.857142857142854</v>
      </c>
      <c r="L10" s="47">
        <f t="shared" si="1"/>
        <v>28.571428571428569</v>
      </c>
      <c r="M10" s="47">
        <f t="shared" si="1"/>
        <v>28.571428571428569</v>
      </c>
      <c r="N10" s="68">
        <f t="shared" ref="N10:N73" si="3">K10+L10+M10</f>
        <v>99.999999999999986</v>
      </c>
      <c r="O10" s="46">
        <v>37.700000000000003</v>
      </c>
      <c r="P10" s="47">
        <v>24</v>
      </c>
      <c r="Q10" s="47">
        <v>26</v>
      </c>
      <c r="R10" s="48">
        <f t="shared" si="2"/>
        <v>87.7</v>
      </c>
      <c r="S10" s="29">
        <v>3</v>
      </c>
      <c r="T10" s="286"/>
      <c r="U10" s="295"/>
      <c r="V10" s="38" t="s">
        <v>131</v>
      </c>
      <c r="W10" s="29" t="s">
        <v>22</v>
      </c>
      <c r="X10" s="29" t="s">
        <v>11</v>
      </c>
      <c r="Y10" s="39">
        <v>26</v>
      </c>
      <c r="Z10" s="29" t="s">
        <v>80</v>
      </c>
      <c r="AA10" s="29" t="s">
        <v>17</v>
      </c>
      <c r="AB10" s="29" t="s">
        <v>18</v>
      </c>
      <c r="AC10" s="29">
        <v>24</v>
      </c>
      <c r="AD10" s="38" t="s">
        <v>454</v>
      </c>
      <c r="AE10" s="29" t="s">
        <v>20</v>
      </c>
      <c r="AF10" s="29" t="s">
        <v>12</v>
      </c>
      <c r="AG10" s="39">
        <v>26</v>
      </c>
      <c r="AH10" s="29" t="s">
        <v>328</v>
      </c>
      <c r="AI10" s="29" t="s">
        <v>869</v>
      </c>
      <c r="AJ10" s="29" t="s">
        <v>11</v>
      </c>
      <c r="AK10" s="29">
        <v>11.7</v>
      </c>
      <c r="AL10" s="38"/>
      <c r="AO10" s="39"/>
      <c r="AP10" s="38"/>
      <c r="AS10" s="39"/>
      <c r="AW10" s="39"/>
      <c r="BA10" s="40"/>
    </row>
    <row r="11" spans="1:53" s="29" customFormat="1" x14ac:dyDescent="0.15">
      <c r="A11" s="52">
        <v>1961</v>
      </c>
      <c r="B11" s="295"/>
      <c r="C11" s="411" t="s">
        <v>416</v>
      </c>
      <c r="D11" s="411"/>
      <c r="E11" s="29">
        <v>365</v>
      </c>
      <c r="F11" s="29">
        <v>1</v>
      </c>
      <c r="G11" s="66">
        <v>3</v>
      </c>
      <c r="H11" s="29">
        <v>2</v>
      </c>
      <c r="I11" s="29">
        <v>2</v>
      </c>
      <c r="J11" s="73">
        <v>7</v>
      </c>
      <c r="K11" s="47">
        <f t="shared" si="1"/>
        <v>42.857142857142854</v>
      </c>
      <c r="L11" s="47">
        <f t="shared" si="1"/>
        <v>28.571428571428569</v>
      </c>
      <c r="M11" s="47">
        <f t="shared" si="1"/>
        <v>28.571428571428569</v>
      </c>
      <c r="N11" s="68">
        <f t="shared" si="3"/>
        <v>99.999999999999986</v>
      </c>
      <c r="O11" s="46">
        <v>37.700000000000003</v>
      </c>
      <c r="P11" s="47">
        <v>24</v>
      </c>
      <c r="Q11" s="47">
        <v>26</v>
      </c>
      <c r="R11" s="48">
        <f t="shared" si="2"/>
        <v>87.7</v>
      </c>
      <c r="S11" s="29">
        <v>3</v>
      </c>
      <c r="T11" s="286"/>
      <c r="U11" s="295"/>
      <c r="V11" s="38" t="s">
        <v>131</v>
      </c>
      <c r="W11" s="29" t="s">
        <v>22</v>
      </c>
      <c r="X11" s="29" t="s">
        <v>11</v>
      </c>
      <c r="Y11" s="39">
        <v>26</v>
      </c>
      <c r="Z11" s="29" t="s">
        <v>80</v>
      </c>
      <c r="AA11" s="29" t="s">
        <v>17</v>
      </c>
      <c r="AB11" s="29" t="s">
        <v>18</v>
      </c>
      <c r="AC11" s="29">
        <v>24</v>
      </c>
      <c r="AD11" s="38" t="s">
        <v>454</v>
      </c>
      <c r="AE11" s="29" t="s">
        <v>20</v>
      </c>
      <c r="AF11" s="29" t="s">
        <v>12</v>
      </c>
      <c r="AG11" s="39">
        <v>26</v>
      </c>
      <c r="AH11" s="29" t="s">
        <v>328</v>
      </c>
      <c r="AI11" s="29" t="s">
        <v>869</v>
      </c>
      <c r="AJ11" s="29" t="s">
        <v>11</v>
      </c>
      <c r="AK11" s="29">
        <v>11.7</v>
      </c>
      <c r="AL11" s="38"/>
      <c r="AO11" s="39"/>
      <c r="AP11" s="38"/>
      <c r="AS11" s="39"/>
      <c r="AW11" s="39"/>
      <c r="BA11" s="40"/>
    </row>
    <row r="12" spans="1:53" s="29" customFormat="1" x14ac:dyDescent="0.15">
      <c r="A12" s="52">
        <v>1962</v>
      </c>
      <c r="B12" s="295"/>
      <c r="C12" s="411" t="s">
        <v>416</v>
      </c>
      <c r="D12" s="411"/>
      <c r="E12" s="29">
        <v>0</v>
      </c>
      <c r="G12" s="66">
        <v>3</v>
      </c>
      <c r="H12" s="29">
        <v>2</v>
      </c>
      <c r="I12" s="29">
        <v>2</v>
      </c>
      <c r="J12" s="73">
        <v>7</v>
      </c>
      <c r="K12" s="47">
        <f t="shared" si="1"/>
        <v>42.857142857142854</v>
      </c>
      <c r="L12" s="47">
        <f t="shared" si="1"/>
        <v>28.571428571428569</v>
      </c>
      <c r="M12" s="47">
        <f t="shared" si="1"/>
        <v>28.571428571428569</v>
      </c>
      <c r="N12" s="68">
        <f t="shared" si="3"/>
        <v>99.999999999999986</v>
      </c>
      <c r="O12" s="46">
        <v>37.700000000000003</v>
      </c>
      <c r="P12" s="47">
        <v>24</v>
      </c>
      <c r="Q12" s="47">
        <v>26</v>
      </c>
      <c r="R12" s="48">
        <f t="shared" si="2"/>
        <v>87.7</v>
      </c>
      <c r="S12" s="29">
        <v>3</v>
      </c>
      <c r="T12" s="286"/>
      <c r="U12" s="295"/>
      <c r="V12" s="38" t="s">
        <v>131</v>
      </c>
      <c r="W12" s="29" t="s">
        <v>22</v>
      </c>
      <c r="X12" s="29" t="s">
        <v>11</v>
      </c>
      <c r="Y12" s="39">
        <v>26</v>
      </c>
      <c r="Z12" s="29" t="s">
        <v>80</v>
      </c>
      <c r="AA12" s="29" t="s">
        <v>17</v>
      </c>
      <c r="AB12" s="29" t="s">
        <v>18</v>
      </c>
      <c r="AC12" s="29">
        <v>24</v>
      </c>
      <c r="AD12" s="38" t="s">
        <v>454</v>
      </c>
      <c r="AE12" s="29" t="s">
        <v>20</v>
      </c>
      <c r="AF12" s="29" t="s">
        <v>12</v>
      </c>
      <c r="AG12" s="39">
        <v>26</v>
      </c>
      <c r="AH12" s="29" t="s">
        <v>328</v>
      </c>
      <c r="AI12" s="29" t="s">
        <v>869</v>
      </c>
      <c r="AJ12" s="29" t="s">
        <v>11</v>
      </c>
      <c r="AK12" s="29">
        <v>11.7</v>
      </c>
      <c r="AL12" s="38"/>
      <c r="AO12" s="39"/>
      <c r="AP12" s="38"/>
      <c r="AS12" s="39"/>
      <c r="AW12" s="39"/>
      <c r="BA12" s="40"/>
    </row>
    <row r="13" spans="1:53" s="29" customFormat="1" x14ac:dyDescent="0.15">
      <c r="A13" s="52">
        <v>1962</v>
      </c>
      <c r="B13" s="295"/>
      <c r="C13" s="411" t="s">
        <v>812</v>
      </c>
      <c r="D13" s="411"/>
      <c r="E13" s="29">
        <v>365</v>
      </c>
      <c r="F13" s="29">
        <v>1</v>
      </c>
      <c r="G13" s="66">
        <v>3</v>
      </c>
      <c r="H13" s="29">
        <v>2</v>
      </c>
      <c r="I13" s="29">
        <v>2</v>
      </c>
      <c r="J13" s="73">
        <v>7</v>
      </c>
      <c r="K13" s="47">
        <f t="shared" si="1"/>
        <v>42.857142857142854</v>
      </c>
      <c r="L13" s="47">
        <f t="shared" si="1"/>
        <v>28.571428571428569</v>
      </c>
      <c r="M13" s="47">
        <f t="shared" si="1"/>
        <v>28.571428571428569</v>
      </c>
      <c r="N13" s="68">
        <f t="shared" si="3"/>
        <v>99.999999999999986</v>
      </c>
      <c r="O13" s="46">
        <v>37.700000000000003</v>
      </c>
      <c r="P13" s="47">
        <v>24</v>
      </c>
      <c r="Q13" s="47">
        <v>26</v>
      </c>
      <c r="R13" s="48">
        <f t="shared" si="2"/>
        <v>87.7</v>
      </c>
      <c r="S13" s="29">
        <v>3</v>
      </c>
      <c r="T13" s="286"/>
      <c r="U13" s="295"/>
      <c r="V13" s="38" t="s">
        <v>131</v>
      </c>
      <c r="W13" s="29" t="s">
        <v>22</v>
      </c>
      <c r="X13" s="29" t="s">
        <v>11</v>
      </c>
      <c r="Y13" s="39">
        <v>26</v>
      </c>
      <c r="Z13" s="29" t="s">
        <v>80</v>
      </c>
      <c r="AA13" s="29" t="s">
        <v>17</v>
      </c>
      <c r="AB13" s="29" t="s">
        <v>18</v>
      </c>
      <c r="AC13" s="29">
        <v>24</v>
      </c>
      <c r="AD13" s="38" t="s">
        <v>454</v>
      </c>
      <c r="AE13" s="29" t="s">
        <v>20</v>
      </c>
      <c r="AF13" s="29" t="s">
        <v>12</v>
      </c>
      <c r="AG13" s="39">
        <v>26</v>
      </c>
      <c r="AH13" s="29" t="s">
        <v>328</v>
      </c>
      <c r="AI13" s="29" t="s">
        <v>869</v>
      </c>
      <c r="AJ13" s="29" t="s">
        <v>11</v>
      </c>
      <c r="AK13" s="29">
        <v>11.7</v>
      </c>
      <c r="AL13" s="38"/>
      <c r="AO13" s="39"/>
      <c r="AP13" s="38"/>
      <c r="AS13" s="39"/>
      <c r="AW13" s="39"/>
      <c r="BA13" s="40"/>
    </row>
    <row r="14" spans="1:53" s="29" customFormat="1" x14ac:dyDescent="0.15">
      <c r="A14" s="52">
        <v>1962.6</v>
      </c>
      <c r="B14" s="295"/>
      <c r="C14" s="411" t="s">
        <v>812</v>
      </c>
      <c r="D14" s="411"/>
      <c r="E14" s="29">
        <v>345</v>
      </c>
      <c r="G14" s="66">
        <v>3</v>
      </c>
      <c r="H14" s="29">
        <v>2</v>
      </c>
      <c r="I14" s="29">
        <v>2</v>
      </c>
      <c r="J14" s="73">
        <v>7</v>
      </c>
      <c r="K14" s="47">
        <f t="shared" si="1"/>
        <v>42.857142857142854</v>
      </c>
      <c r="L14" s="47">
        <f t="shared" si="1"/>
        <v>28.571428571428569</v>
      </c>
      <c r="M14" s="47">
        <f t="shared" si="1"/>
        <v>28.571428571428569</v>
      </c>
      <c r="N14" s="68">
        <f t="shared" si="3"/>
        <v>99.999999999999986</v>
      </c>
      <c r="O14" s="46">
        <v>37.700000000000003</v>
      </c>
      <c r="P14" s="47">
        <v>24</v>
      </c>
      <c r="Q14" s="47">
        <v>26</v>
      </c>
      <c r="R14" s="48">
        <f t="shared" si="2"/>
        <v>87.7</v>
      </c>
      <c r="S14" s="29">
        <v>3</v>
      </c>
      <c r="T14" s="286"/>
      <c r="U14" s="295"/>
      <c r="V14" s="38" t="s">
        <v>131</v>
      </c>
      <c r="W14" s="29" t="s">
        <v>22</v>
      </c>
      <c r="X14" s="29" t="s">
        <v>11</v>
      </c>
      <c r="Y14" s="39">
        <v>26</v>
      </c>
      <c r="Z14" s="29" t="s">
        <v>80</v>
      </c>
      <c r="AA14" s="29" t="s">
        <v>17</v>
      </c>
      <c r="AB14" s="29" t="s">
        <v>18</v>
      </c>
      <c r="AC14" s="29">
        <v>24</v>
      </c>
      <c r="AD14" s="38" t="s">
        <v>454</v>
      </c>
      <c r="AE14" s="29" t="s">
        <v>20</v>
      </c>
      <c r="AF14" s="29" t="s">
        <v>12</v>
      </c>
      <c r="AG14" s="39">
        <v>26</v>
      </c>
      <c r="AH14" s="29" t="s">
        <v>328</v>
      </c>
      <c r="AI14" s="29" t="s">
        <v>869</v>
      </c>
      <c r="AJ14" s="29" t="s">
        <v>11</v>
      </c>
      <c r="AK14" s="29">
        <v>11.7</v>
      </c>
      <c r="AL14" s="38"/>
      <c r="AO14" s="39"/>
      <c r="AP14" s="38"/>
      <c r="AS14" s="39"/>
      <c r="AW14" s="39"/>
      <c r="BA14" s="40"/>
    </row>
    <row r="15" spans="1:53" s="171" customFormat="1" x14ac:dyDescent="0.15">
      <c r="A15" s="216">
        <v>1963.05714285714</v>
      </c>
      <c r="B15" s="283">
        <v>23357</v>
      </c>
      <c r="C15" s="410" t="s">
        <v>850</v>
      </c>
      <c r="D15" s="410"/>
      <c r="E15" s="171">
        <f>365-E14</f>
        <v>20</v>
      </c>
      <c r="F15" s="171">
        <v>1</v>
      </c>
      <c r="G15" s="233">
        <v>3</v>
      </c>
      <c r="H15" s="171">
        <v>2</v>
      </c>
      <c r="I15" s="171">
        <v>2</v>
      </c>
      <c r="J15" s="241">
        <v>7</v>
      </c>
      <c r="K15" s="214">
        <f t="shared" si="1"/>
        <v>42.857142857142854</v>
      </c>
      <c r="L15" s="214">
        <f t="shared" si="1"/>
        <v>28.571428571428569</v>
      </c>
      <c r="M15" s="214">
        <f t="shared" si="1"/>
        <v>28.571428571428569</v>
      </c>
      <c r="N15" s="235">
        <f t="shared" si="3"/>
        <v>99.999999999999986</v>
      </c>
      <c r="O15" s="213">
        <v>36.5</v>
      </c>
      <c r="P15" s="214">
        <v>24</v>
      </c>
      <c r="Q15" s="214">
        <v>26.5</v>
      </c>
      <c r="R15" s="215">
        <f t="shared" si="2"/>
        <v>87</v>
      </c>
      <c r="S15" s="171">
        <v>3</v>
      </c>
      <c r="T15" s="285">
        <v>23311</v>
      </c>
      <c r="U15" s="283">
        <v>23357</v>
      </c>
      <c r="V15" s="178" t="s">
        <v>131</v>
      </c>
      <c r="W15" s="171" t="s">
        <v>22</v>
      </c>
      <c r="X15" s="171" t="s">
        <v>11</v>
      </c>
      <c r="Y15" s="179">
        <v>25.5</v>
      </c>
      <c r="Z15" s="171" t="s">
        <v>80</v>
      </c>
      <c r="AA15" s="171" t="s">
        <v>17</v>
      </c>
      <c r="AB15" s="171" t="s">
        <v>18</v>
      </c>
      <c r="AC15" s="171">
        <v>24</v>
      </c>
      <c r="AD15" s="178" t="s">
        <v>454</v>
      </c>
      <c r="AE15" s="171" t="s">
        <v>20</v>
      </c>
      <c r="AF15" s="171" t="s">
        <v>12</v>
      </c>
      <c r="AG15" s="179">
        <v>26.5</v>
      </c>
      <c r="AH15" s="171" t="s">
        <v>328</v>
      </c>
      <c r="AI15" s="171" t="s">
        <v>869</v>
      </c>
      <c r="AJ15" s="171" t="s">
        <v>11</v>
      </c>
      <c r="AK15" s="171">
        <v>11</v>
      </c>
      <c r="AL15" s="178"/>
      <c r="AO15" s="179"/>
      <c r="AP15" s="178"/>
      <c r="AS15" s="179"/>
      <c r="AW15" s="179"/>
      <c r="BA15" s="180"/>
    </row>
    <row r="16" spans="1:53" s="171" customFormat="1" x14ac:dyDescent="0.15">
      <c r="A16" s="216">
        <v>1963.5142857142901</v>
      </c>
      <c r="B16" s="283"/>
      <c r="C16" s="410" t="s">
        <v>850</v>
      </c>
      <c r="D16" s="410"/>
      <c r="E16" s="171">
        <v>0</v>
      </c>
      <c r="G16" s="233">
        <v>3</v>
      </c>
      <c r="H16" s="171">
        <v>2</v>
      </c>
      <c r="I16" s="171">
        <v>2</v>
      </c>
      <c r="J16" s="241">
        <v>7</v>
      </c>
      <c r="K16" s="214">
        <f t="shared" si="1"/>
        <v>42.857142857142854</v>
      </c>
      <c r="L16" s="214">
        <f t="shared" si="1"/>
        <v>28.571428571428569</v>
      </c>
      <c r="M16" s="214">
        <f t="shared" si="1"/>
        <v>28.571428571428569</v>
      </c>
      <c r="N16" s="235">
        <f t="shared" si="3"/>
        <v>99.999999999999986</v>
      </c>
      <c r="O16" s="213">
        <v>36.5</v>
      </c>
      <c r="P16" s="214">
        <v>24</v>
      </c>
      <c r="Q16" s="214">
        <v>26.5</v>
      </c>
      <c r="R16" s="215">
        <f t="shared" si="2"/>
        <v>87</v>
      </c>
      <c r="S16" s="171">
        <v>3</v>
      </c>
      <c r="T16" s="285"/>
      <c r="U16" s="283"/>
      <c r="V16" s="178" t="s">
        <v>131</v>
      </c>
      <c r="W16" s="171" t="s">
        <v>22</v>
      </c>
      <c r="X16" s="171" t="s">
        <v>11</v>
      </c>
      <c r="Y16" s="179">
        <v>25.5</v>
      </c>
      <c r="Z16" s="171" t="s">
        <v>80</v>
      </c>
      <c r="AA16" s="171" t="s">
        <v>17</v>
      </c>
      <c r="AB16" s="171" t="s">
        <v>18</v>
      </c>
      <c r="AC16" s="171">
        <v>24</v>
      </c>
      <c r="AD16" s="178" t="s">
        <v>454</v>
      </c>
      <c r="AE16" s="171" t="s">
        <v>20</v>
      </c>
      <c r="AF16" s="171" t="s">
        <v>12</v>
      </c>
      <c r="AG16" s="179">
        <v>26.5</v>
      </c>
      <c r="AH16" s="171" t="s">
        <v>328</v>
      </c>
      <c r="AI16" s="171" t="s">
        <v>869</v>
      </c>
      <c r="AJ16" s="171" t="s">
        <v>11</v>
      </c>
      <c r="AK16" s="171">
        <v>11</v>
      </c>
      <c r="AL16" s="178"/>
      <c r="AO16" s="179"/>
      <c r="AP16" s="178"/>
      <c r="AS16" s="179"/>
      <c r="AW16" s="179"/>
      <c r="BA16" s="180"/>
    </row>
    <row r="17" spans="1:53" s="171" customFormat="1" x14ac:dyDescent="0.15">
      <c r="A17" s="216">
        <v>1963.9714285714299</v>
      </c>
      <c r="B17" s="283"/>
      <c r="C17" s="410" t="s">
        <v>455</v>
      </c>
      <c r="D17" s="410"/>
      <c r="E17" s="171">
        <v>366</v>
      </c>
      <c r="F17" s="171">
        <v>1</v>
      </c>
      <c r="G17" s="233">
        <v>3</v>
      </c>
      <c r="H17" s="171">
        <v>2</v>
      </c>
      <c r="I17" s="171">
        <v>2</v>
      </c>
      <c r="J17" s="241">
        <v>7</v>
      </c>
      <c r="K17" s="214">
        <f t="shared" si="1"/>
        <v>42.857142857142854</v>
      </c>
      <c r="L17" s="214">
        <f t="shared" si="1"/>
        <v>28.571428571428569</v>
      </c>
      <c r="M17" s="214">
        <f t="shared" si="1"/>
        <v>28.571428571428569</v>
      </c>
      <c r="N17" s="235">
        <f t="shared" si="3"/>
        <v>99.999999999999986</v>
      </c>
      <c r="O17" s="213">
        <v>36.5</v>
      </c>
      <c r="P17" s="214">
        <v>24</v>
      </c>
      <c r="Q17" s="214">
        <v>26.5</v>
      </c>
      <c r="R17" s="215">
        <f t="shared" si="2"/>
        <v>87</v>
      </c>
      <c r="S17" s="171">
        <v>3</v>
      </c>
      <c r="T17" s="285"/>
      <c r="U17" s="283"/>
      <c r="V17" s="178" t="s">
        <v>131</v>
      </c>
      <c r="W17" s="171" t="s">
        <v>22</v>
      </c>
      <c r="X17" s="171" t="s">
        <v>11</v>
      </c>
      <c r="Y17" s="179">
        <v>25.5</v>
      </c>
      <c r="Z17" s="171" t="s">
        <v>80</v>
      </c>
      <c r="AA17" s="171" t="s">
        <v>17</v>
      </c>
      <c r="AB17" s="171" t="s">
        <v>18</v>
      </c>
      <c r="AC17" s="171">
        <v>24</v>
      </c>
      <c r="AD17" s="178" t="s">
        <v>454</v>
      </c>
      <c r="AE17" s="171" t="s">
        <v>20</v>
      </c>
      <c r="AF17" s="171" t="s">
        <v>12</v>
      </c>
      <c r="AG17" s="179">
        <v>26.5</v>
      </c>
      <c r="AH17" s="171" t="s">
        <v>328</v>
      </c>
      <c r="AI17" s="171" t="s">
        <v>869</v>
      </c>
      <c r="AJ17" s="171" t="s">
        <v>11</v>
      </c>
      <c r="AK17" s="171">
        <v>11</v>
      </c>
      <c r="AL17" s="178"/>
      <c r="AO17" s="179"/>
      <c r="AP17" s="178"/>
      <c r="AS17" s="179"/>
      <c r="AW17" s="179"/>
      <c r="BA17" s="180"/>
    </row>
    <row r="18" spans="1:53" s="171" customFormat="1" x14ac:dyDescent="0.15">
      <c r="A18" s="216">
        <v>1965</v>
      </c>
      <c r="B18" s="283"/>
      <c r="C18" s="410" t="s">
        <v>455</v>
      </c>
      <c r="D18" s="410"/>
      <c r="E18" s="171">
        <v>0</v>
      </c>
      <c r="G18" s="233">
        <v>3</v>
      </c>
      <c r="H18" s="171">
        <v>2</v>
      </c>
      <c r="I18" s="171">
        <v>2</v>
      </c>
      <c r="J18" s="241">
        <v>7</v>
      </c>
      <c r="K18" s="214">
        <f t="shared" si="1"/>
        <v>42.857142857142854</v>
      </c>
      <c r="L18" s="214">
        <f t="shared" si="1"/>
        <v>28.571428571428569</v>
      </c>
      <c r="M18" s="214">
        <f t="shared" si="1"/>
        <v>28.571428571428569</v>
      </c>
      <c r="N18" s="235">
        <f t="shared" si="3"/>
        <v>99.999999999999986</v>
      </c>
      <c r="O18" s="213">
        <v>36.5</v>
      </c>
      <c r="P18" s="214">
        <v>24</v>
      </c>
      <c r="Q18" s="214">
        <v>26.5</v>
      </c>
      <c r="R18" s="215">
        <f t="shared" si="2"/>
        <v>87</v>
      </c>
      <c r="S18" s="171">
        <v>3</v>
      </c>
      <c r="T18" s="285"/>
      <c r="U18" s="283"/>
      <c r="V18" s="178" t="s">
        <v>131</v>
      </c>
      <c r="W18" s="171" t="s">
        <v>22</v>
      </c>
      <c r="X18" s="171" t="s">
        <v>11</v>
      </c>
      <c r="Y18" s="179">
        <v>25.5</v>
      </c>
      <c r="Z18" s="171" t="s">
        <v>80</v>
      </c>
      <c r="AA18" s="171" t="s">
        <v>17</v>
      </c>
      <c r="AB18" s="171" t="s">
        <v>18</v>
      </c>
      <c r="AC18" s="171">
        <v>24</v>
      </c>
      <c r="AD18" s="178" t="s">
        <v>454</v>
      </c>
      <c r="AE18" s="171" t="s">
        <v>20</v>
      </c>
      <c r="AF18" s="171" t="s">
        <v>12</v>
      </c>
      <c r="AG18" s="179">
        <v>26.5</v>
      </c>
      <c r="AH18" s="171" t="s">
        <v>328</v>
      </c>
      <c r="AI18" s="171" t="s">
        <v>869</v>
      </c>
      <c r="AJ18" s="171" t="s">
        <v>11</v>
      </c>
      <c r="AK18" s="171">
        <v>11</v>
      </c>
      <c r="AL18" s="178"/>
      <c r="AO18" s="179"/>
      <c r="AP18" s="178"/>
      <c r="AS18" s="179"/>
      <c r="AW18" s="179"/>
      <c r="BA18" s="180"/>
    </row>
    <row r="19" spans="1:53" s="171" customFormat="1" x14ac:dyDescent="0.15">
      <c r="A19" s="216">
        <v>1964.88571428572</v>
      </c>
      <c r="B19" s="283"/>
      <c r="C19" s="439" t="s">
        <v>414</v>
      </c>
      <c r="D19" s="410"/>
      <c r="E19" s="171">
        <v>365</v>
      </c>
      <c r="F19" s="171">
        <v>1</v>
      </c>
      <c r="G19" s="233">
        <v>3</v>
      </c>
      <c r="H19" s="171">
        <v>2</v>
      </c>
      <c r="I19" s="171">
        <v>2</v>
      </c>
      <c r="J19" s="241">
        <v>7</v>
      </c>
      <c r="K19" s="214">
        <f t="shared" si="1"/>
        <v>42.857142857142854</v>
      </c>
      <c r="L19" s="214">
        <f t="shared" si="1"/>
        <v>28.571428571428569</v>
      </c>
      <c r="M19" s="214">
        <f t="shared" si="1"/>
        <v>28.571428571428569</v>
      </c>
      <c r="N19" s="235">
        <f t="shared" si="3"/>
        <v>99.999999999999986</v>
      </c>
      <c r="O19" s="213">
        <v>36.5</v>
      </c>
      <c r="P19" s="214">
        <v>24</v>
      </c>
      <c r="Q19" s="214">
        <v>26.5</v>
      </c>
      <c r="R19" s="215">
        <f t="shared" si="2"/>
        <v>87</v>
      </c>
      <c r="S19" s="171">
        <v>3</v>
      </c>
      <c r="T19" s="285"/>
      <c r="U19" s="283"/>
      <c r="V19" s="178" t="s">
        <v>131</v>
      </c>
      <c r="W19" s="171" t="s">
        <v>22</v>
      </c>
      <c r="X19" s="171" t="s">
        <v>11</v>
      </c>
      <c r="Y19" s="179">
        <v>25.5</v>
      </c>
      <c r="Z19" s="171" t="s">
        <v>80</v>
      </c>
      <c r="AA19" s="171" t="s">
        <v>17</v>
      </c>
      <c r="AB19" s="171" t="s">
        <v>18</v>
      </c>
      <c r="AC19" s="171">
        <v>24</v>
      </c>
      <c r="AD19" s="178" t="s">
        <v>454</v>
      </c>
      <c r="AE19" s="171" t="s">
        <v>20</v>
      </c>
      <c r="AF19" s="171" t="s">
        <v>12</v>
      </c>
      <c r="AG19" s="179">
        <v>26.5</v>
      </c>
      <c r="AH19" s="171" t="s">
        <v>328</v>
      </c>
      <c r="AI19" s="171" t="s">
        <v>869</v>
      </c>
      <c r="AJ19" s="171" t="s">
        <v>11</v>
      </c>
      <c r="AK19" s="171">
        <v>11</v>
      </c>
      <c r="AL19" s="178"/>
      <c r="AO19" s="179"/>
      <c r="AP19" s="178"/>
      <c r="AS19" s="179"/>
      <c r="AW19" s="179"/>
      <c r="BA19" s="180"/>
    </row>
    <row r="20" spans="1:53" s="171" customFormat="1" x14ac:dyDescent="0.15">
      <c r="A20" s="216">
        <v>1966</v>
      </c>
      <c r="B20" s="283"/>
      <c r="C20" s="439" t="s">
        <v>414</v>
      </c>
      <c r="D20" s="410"/>
      <c r="E20" s="171">
        <v>0</v>
      </c>
      <c r="G20" s="233">
        <v>3</v>
      </c>
      <c r="H20" s="171">
        <v>2</v>
      </c>
      <c r="I20" s="171">
        <v>2</v>
      </c>
      <c r="J20" s="241">
        <v>7</v>
      </c>
      <c r="K20" s="214">
        <f t="shared" si="1"/>
        <v>42.857142857142854</v>
      </c>
      <c r="L20" s="214">
        <f t="shared" si="1"/>
        <v>28.571428571428569</v>
      </c>
      <c r="M20" s="214">
        <f t="shared" si="1"/>
        <v>28.571428571428569</v>
      </c>
      <c r="N20" s="235">
        <f t="shared" si="3"/>
        <v>99.999999999999986</v>
      </c>
      <c r="O20" s="213">
        <v>36.5</v>
      </c>
      <c r="P20" s="214">
        <v>24</v>
      </c>
      <c r="Q20" s="214">
        <v>26.5</v>
      </c>
      <c r="R20" s="215">
        <f t="shared" si="2"/>
        <v>87</v>
      </c>
      <c r="S20" s="171">
        <v>3</v>
      </c>
      <c r="T20" s="285"/>
      <c r="U20" s="283"/>
      <c r="V20" s="178" t="s">
        <v>131</v>
      </c>
      <c r="W20" s="171" t="s">
        <v>22</v>
      </c>
      <c r="X20" s="171" t="s">
        <v>11</v>
      </c>
      <c r="Y20" s="179">
        <v>25.5</v>
      </c>
      <c r="Z20" s="171" t="s">
        <v>80</v>
      </c>
      <c r="AA20" s="171" t="s">
        <v>17</v>
      </c>
      <c r="AB20" s="171" t="s">
        <v>18</v>
      </c>
      <c r="AC20" s="171">
        <v>24</v>
      </c>
      <c r="AD20" s="178" t="s">
        <v>454</v>
      </c>
      <c r="AE20" s="171" t="s">
        <v>20</v>
      </c>
      <c r="AF20" s="171" t="s">
        <v>12</v>
      </c>
      <c r="AG20" s="179">
        <v>26.5</v>
      </c>
      <c r="AH20" s="171" t="s">
        <v>328</v>
      </c>
      <c r="AI20" s="171" t="s">
        <v>869</v>
      </c>
      <c r="AJ20" s="171" t="s">
        <v>11</v>
      </c>
      <c r="AK20" s="171">
        <v>11</v>
      </c>
      <c r="AL20" s="178"/>
      <c r="AO20" s="179"/>
      <c r="AP20" s="178"/>
      <c r="AS20" s="179"/>
      <c r="AW20" s="179"/>
      <c r="BA20" s="180"/>
    </row>
    <row r="21" spans="1:53" s="171" customFormat="1" x14ac:dyDescent="0.15">
      <c r="A21" s="216">
        <v>1965.8</v>
      </c>
      <c r="B21" s="283"/>
      <c r="C21" s="410" t="s">
        <v>415</v>
      </c>
      <c r="D21" s="410"/>
      <c r="E21" s="171">
        <v>365</v>
      </c>
      <c r="F21" s="171">
        <v>1</v>
      </c>
      <c r="G21" s="233">
        <v>3</v>
      </c>
      <c r="H21" s="171">
        <v>2</v>
      </c>
      <c r="I21" s="171">
        <v>2</v>
      </c>
      <c r="J21" s="241">
        <v>7</v>
      </c>
      <c r="K21" s="214">
        <f t="shared" si="1"/>
        <v>42.857142857142854</v>
      </c>
      <c r="L21" s="214">
        <f t="shared" si="1"/>
        <v>28.571428571428569</v>
      </c>
      <c r="M21" s="214">
        <f t="shared" si="1"/>
        <v>28.571428571428569</v>
      </c>
      <c r="N21" s="235">
        <f t="shared" si="3"/>
        <v>99.999999999999986</v>
      </c>
      <c r="O21" s="213">
        <v>36.5</v>
      </c>
      <c r="P21" s="214">
        <v>24</v>
      </c>
      <c r="Q21" s="214">
        <v>26.5</v>
      </c>
      <c r="R21" s="215">
        <f t="shared" si="2"/>
        <v>87</v>
      </c>
      <c r="S21" s="171">
        <v>3</v>
      </c>
      <c r="T21" s="285"/>
      <c r="U21" s="283"/>
      <c r="V21" s="178" t="s">
        <v>131</v>
      </c>
      <c r="W21" s="171" t="s">
        <v>22</v>
      </c>
      <c r="X21" s="171" t="s">
        <v>11</v>
      </c>
      <c r="Y21" s="179">
        <v>25.5</v>
      </c>
      <c r="Z21" s="171" t="s">
        <v>80</v>
      </c>
      <c r="AA21" s="171" t="s">
        <v>17</v>
      </c>
      <c r="AB21" s="171" t="s">
        <v>18</v>
      </c>
      <c r="AC21" s="171">
        <v>24</v>
      </c>
      <c r="AD21" s="178" t="s">
        <v>454</v>
      </c>
      <c r="AE21" s="171" t="s">
        <v>20</v>
      </c>
      <c r="AF21" s="171" t="s">
        <v>12</v>
      </c>
      <c r="AG21" s="179">
        <v>26.5</v>
      </c>
      <c r="AH21" s="171" t="s">
        <v>328</v>
      </c>
      <c r="AI21" s="171" t="s">
        <v>869</v>
      </c>
      <c r="AJ21" s="171" t="s">
        <v>11</v>
      </c>
      <c r="AK21" s="171">
        <v>11</v>
      </c>
      <c r="AL21" s="178"/>
      <c r="AO21" s="179"/>
      <c r="AP21" s="178"/>
      <c r="AS21" s="179"/>
      <c r="AW21" s="179"/>
      <c r="BA21" s="180"/>
    </row>
    <row r="22" spans="1:53" s="171" customFormat="1" x14ac:dyDescent="0.15">
      <c r="A22" s="216">
        <v>1967</v>
      </c>
      <c r="B22" s="283"/>
      <c r="C22" s="410" t="s">
        <v>415</v>
      </c>
      <c r="D22" s="410"/>
      <c r="E22" s="171">
        <v>363</v>
      </c>
      <c r="G22" s="233">
        <v>3</v>
      </c>
      <c r="H22" s="171">
        <v>2</v>
      </c>
      <c r="I22" s="171">
        <v>2</v>
      </c>
      <c r="J22" s="241">
        <v>7</v>
      </c>
      <c r="K22" s="214">
        <f t="shared" si="1"/>
        <v>42.857142857142854</v>
      </c>
      <c r="L22" s="214">
        <f t="shared" si="1"/>
        <v>28.571428571428569</v>
      </c>
      <c r="M22" s="214">
        <f t="shared" si="1"/>
        <v>28.571428571428569</v>
      </c>
      <c r="N22" s="235">
        <f t="shared" si="3"/>
        <v>99.999999999999986</v>
      </c>
      <c r="O22" s="213">
        <v>36.5</v>
      </c>
      <c r="P22" s="214">
        <v>24</v>
      </c>
      <c r="Q22" s="214">
        <v>26.5</v>
      </c>
      <c r="R22" s="215">
        <f t="shared" si="2"/>
        <v>87</v>
      </c>
      <c r="S22" s="171">
        <v>3</v>
      </c>
      <c r="T22" s="285"/>
      <c r="U22" s="283"/>
      <c r="V22" s="178" t="s">
        <v>131</v>
      </c>
      <c r="W22" s="171" t="s">
        <v>22</v>
      </c>
      <c r="X22" s="171" t="s">
        <v>11</v>
      </c>
      <c r="Y22" s="179">
        <v>25.5</v>
      </c>
      <c r="Z22" s="171" t="s">
        <v>80</v>
      </c>
      <c r="AA22" s="171" t="s">
        <v>17</v>
      </c>
      <c r="AB22" s="171" t="s">
        <v>18</v>
      </c>
      <c r="AC22" s="171">
        <v>24</v>
      </c>
      <c r="AD22" s="178" t="s">
        <v>454</v>
      </c>
      <c r="AE22" s="171" t="s">
        <v>20</v>
      </c>
      <c r="AF22" s="171" t="s">
        <v>12</v>
      </c>
      <c r="AG22" s="179">
        <v>26.5</v>
      </c>
      <c r="AH22" s="171" t="s">
        <v>328</v>
      </c>
      <c r="AI22" s="171" t="s">
        <v>869</v>
      </c>
      <c r="AJ22" s="171" t="s">
        <v>11</v>
      </c>
      <c r="AK22" s="171">
        <v>11</v>
      </c>
      <c r="AL22" s="178"/>
      <c r="AO22" s="179"/>
      <c r="AP22" s="178"/>
      <c r="AS22" s="179"/>
      <c r="AW22" s="179"/>
      <c r="BA22" s="180"/>
    </row>
    <row r="23" spans="1:53" s="29" customFormat="1" x14ac:dyDescent="0.15">
      <c r="A23" s="52">
        <v>1966.7142857142901</v>
      </c>
      <c r="B23" s="295">
        <v>24836</v>
      </c>
      <c r="C23" s="411" t="s">
        <v>813</v>
      </c>
      <c r="D23" s="411"/>
      <c r="E23" s="29">
        <f>365-E22</f>
        <v>2</v>
      </c>
      <c r="F23" s="29">
        <v>1</v>
      </c>
      <c r="G23" s="66">
        <v>3</v>
      </c>
      <c r="H23" s="29">
        <v>2</v>
      </c>
      <c r="I23" s="29">
        <v>2</v>
      </c>
      <c r="J23" s="73">
        <v>7</v>
      </c>
      <c r="K23" s="47">
        <f t="shared" si="1"/>
        <v>42.857142857142854</v>
      </c>
      <c r="L23" s="47">
        <f t="shared" si="1"/>
        <v>28.571428571428569</v>
      </c>
      <c r="M23" s="47">
        <f t="shared" si="1"/>
        <v>28.571428571428569</v>
      </c>
      <c r="N23" s="68">
        <f t="shared" si="3"/>
        <v>99.999999999999986</v>
      </c>
      <c r="O23" s="46">
        <v>35</v>
      </c>
      <c r="P23" s="47">
        <v>22.5</v>
      </c>
      <c r="Q23" s="47">
        <v>25.5</v>
      </c>
      <c r="R23" s="48">
        <f t="shared" si="2"/>
        <v>83</v>
      </c>
      <c r="S23" s="29">
        <v>3</v>
      </c>
      <c r="T23" s="286">
        <v>24774</v>
      </c>
      <c r="U23" s="295">
        <v>24836</v>
      </c>
      <c r="V23" s="38" t="s">
        <v>131</v>
      </c>
      <c r="W23" s="29" t="s">
        <v>22</v>
      </c>
      <c r="X23" s="29" t="s">
        <v>11</v>
      </c>
      <c r="Y23" s="39">
        <v>24.5</v>
      </c>
      <c r="Z23" s="29" t="s">
        <v>80</v>
      </c>
      <c r="AA23" s="29" t="s">
        <v>17</v>
      </c>
      <c r="AB23" s="29" t="s">
        <v>18</v>
      </c>
      <c r="AC23" s="29">
        <v>22.5</v>
      </c>
      <c r="AD23" s="38" t="s">
        <v>454</v>
      </c>
      <c r="AE23" s="29" t="s">
        <v>20</v>
      </c>
      <c r="AF23" s="29" t="s">
        <v>12</v>
      </c>
      <c r="AG23" s="39">
        <v>25.5</v>
      </c>
      <c r="AH23" s="29" t="s">
        <v>328</v>
      </c>
      <c r="AI23" s="29" t="s">
        <v>869</v>
      </c>
      <c r="AJ23" s="29" t="s">
        <v>11</v>
      </c>
      <c r="AK23" s="29">
        <v>10.5</v>
      </c>
      <c r="AL23" s="38"/>
      <c r="AO23" s="39"/>
      <c r="AP23" s="38"/>
      <c r="AS23" s="39"/>
      <c r="AW23" s="39"/>
      <c r="BA23" s="40"/>
    </row>
    <row r="24" spans="1:53" s="29" customFormat="1" x14ac:dyDescent="0.15">
      <c r="A24" s="52">
        <v>1968</v>
      </c>
      <c r="B24" s="295"/>
      <c r="C24" s="411" t="s">
        <v>813</v>
      </c>
      <c r="D24" s="411"/>
      <c r="E24" s="29">
        <v>0</v>
      </c>
      <c r="G24" s="66">
        <v>3</v>
      </c>
      <c r="H24" s="29">
        <v>2</v>
      </c>
      <c r="I24" s="29">
        <v>2</v>
      </c>
      <c r="J24" s="73">
        <v>7</v>
      </c>
      <c r="K24" s="47">
        <f t="shared" ref="K24:M59" si="4">G24/$J24*100</f>
        <v>42.857142857142854</v>
      </c>
      <c r="L24" s="47">
        <f t="shared" si="4"/>
        <v>28.571428571428569</v>
      </c>
      <c r="M24" s="47">
        <f t="shared" si="4"/>
        <v>28.571428571428569</v>
      </c>
      <c r="N24" s="68">
        <f t="shared" si="3"/>
        <v>99.999999999999986</v>
      </c>
      <c r="O24" s="46">
        <v>35</v>
      </c>
      <c r="P24" s="47">
        <v>22.5</v>
      </c>
      <c r="Q24" s="47">
        <v>25.5</v>
      </c>
      <c r="R24" s="48">
        <f t="shared" si="2"/>
        <v>83</v>
      </c>
      <c r="S24" s="29">
        <v>3</v>
      </c>
      <c r="T24" s="286"/>
      <c r="U24" s="295"/>
      <c r="V24" s="38" t="s">
        <v>131</v>
      </c>
      <c r="W24" s="29" t="s">
        <v>22</v>
      </c>
      <c r="X24" s="29" t="s">
        <v>11</v>
      </c>
      <c r="Y24" s="39">
        <v>24.5</v>
      </c>
      <c r="Z24" s="29" t="s">
        <v>80</v>
      </c>
      <c r="AA24" s="29" t="s">
        <v>17</v>
      </c>
      <c r="AB24" s="29" t="s">
        <v>18</v>
      </c>
      <c r="AC24" s="29">
        <v>22.5</v>
      </c>
      <c r="AD24" s="38" t="s">
        <v>454</v>
      </c>
      <c r="AE24" s="29" t="s">
        <v>20</v>
      </c>
      <c r="AF24" s="29" t="s">
        <v>12</v>
      </c>
      <c r="AG24" s="39">
        <v>25.5</v>
      </c>
      <c r="AH24" s="29" t="s">
        <v>328</v>
      </c>
      <c r="AI24" s="29" t="s">
        <v>869</v>
      </c>
      <c r="AJ24" s="29" t="s">
        <v>11</v>
      </c>
      <c r="AK24" s="29">
        <v>10.5</v>
      </c>
      <c r="AL24" s="38"/>
      <c r="AO24" s="39"/>
      <c r="AP24" s="38"/>
      <c r="AS24" s="39"/>
      <c r="AW24" s="39"/>
      <c r="BA24" s="40"/>
    </row>
    <row r="25" spans="1:53" s="29" customFormat="1" x14ac:dyDescent="0.15">
      <c r="A25" s="52">
        <v>1967.62857142857</v>
      </c>
      <c r="B25" s="295"/>
      <c r="C25" s="411" t="s">
        <v>851</v>
      </c>
      <c r="D25" s="411"/>
      <c r="E25" s="29">
        <v>366</v>
      </c>
      <c r="F25" s="29">
        <v>1</v>
      </c>
      <c r="G25" s="66">
        <v>3</v>
      </c>
      <c r="H25" s="29">
        <v>2</v>
      </c>
      <c r="I25" s="29">
        <v>2</v>
      </c>
      <c r="J25" s="73">
        <v>7</v>
      </c>
      <c r="K25" s="47">
        <f t="shared" si="4"/>
        <v>42.857142857142854</v>
      </c>
      <c r="L25" s="47">
        <f t="shared" si="4"/>
        <v>28.571428571428569</v>
      </c>
      <c r="M25" s="47">
        <f t="shared" si="4"/>
        <v>28.571428571428569</v>
      </c>
      <c r="N25" s="68">
        <f t="shared" si="3"/>
        <v>99.999999999999986</v>
      </c>
      <c r="O25" s="46">
        <v>35</v>
      </c>
      <c r="P25" s="47">
        <v>22.5</v>
      </c>
      <c r="Q25" s="47">
        <v>25.5</v>
      </c>
      <c r="R25" s="48">
        <f t="shared" si="2"/>
        <v>83</v>
      </c>
      <c r="S25" s="29">
        <v>3</v>
      </c>
      <c r="T25" s="286"/>
      <c r="U25" s="295"/>
      <c r="V25" s="38" t="s">
        <v>131</v>
      </c>
      <c r="W25" s="29" t="s">
        <v>22</v>
      </c>
      <c r="X25" s="29" t="s">
        <v>11</v>
      </c>
      <c r="Y25" s="39">
        <v>24.5</v>
      </c>
      <c r="Z25" s="29" t="s">
        <v>80</v>
      </c>
      <c r="AA25" s="29" t="s">
        <v>17</v>
      </c>
      <c r="AB25" s="29" t="s">
        <v>18</v>
      </c>
      <c r="AC25" s="29">
        <v>22.5</v>
      </c>
      <c r="AD25" s="38" t="s">
        <v>454</v>
      </c>
      <c r="AE25" s="29" t="s">
        <v>20</v>
      </c>
      <c r="AF25" s="29" t="s">
        <v>12</v>
      </c>
      <c r="AG25" s="39">
        <v>25.5</v>
      </c>
      <c r="AH25" s="29" t="s">
        <v>328</v>
      </c>
      <c r="AI25" s="29" t="s">
        <v>869</v>
      </c>
      <c r="AJ25" s="29" t="s">
        <v>11</v>
      </c>
      <c r="AK25" s="29">
        <v>10.5</v>
      </c>
      <c r="AL25" s="38"/>
      <c r="AO25" s="39"/>
      <c r="AP25" s="38"/>
      <c r="AS25" s="39"/>
      <c r="AW25" s="39"/>
      <c r="BA25" s="40"/>
    </row>
    <row r="26" spans="1:53" s="29" customFormat="1" x14ac:dyDescent="0.15">
      <c r="A26" s="52">
        <v>1969</v>
      </c>
      <c r="B26" s="295"/>
      <c r="C26" s="411" t="s">
        <v>851</v>
      </c>
      <c r="D26" s="411"/>
      <c r="E26" s="29">
        <v>0</v>
      </c>
      <c r="G26" s="66">
        <v>3</v>
      </c>
      <c r="H26" s="29">
        <v>2</v>
      </c>
      <c r="I26" s="29">
        <v>2</v>
      </c>
      <c r="J26" s="73">
        <v>7</v>
      </c>
      <c r="K26" s="47">
        <f t="shared" si="4"/>
        <v>42.857142857142854</v>
      </c>
      <c r="L26" s="47">
        <f t="shared" si="4"/>
        <v>28.571428571428569</v>
      </c>
      <c r="M26" s="47">
        <f t="shared" si="4"/>
        <v>28.571428571428569</v>
      </c>
      <c r="N26" s="68">
        <f t="shared" si="3"/>
        <v>99.999999999999986</v>
      </c>
      <c r="O26" s="46">
        <v>35</v>
      </c>
      <c r="P26" s="47">
        <v>22.5</v>
      </c>
      <c r="Q26" s="47">
        <v>25.5</v>
      </c>
      <c r="R26" s="48">
        <f t="shared" si="2"/>
        <v>83</v>
      </c>
      <c r="S26" s="29">
        <v>3</v>
      </c>
      <c r="T26" s="286"/>
      <c r="U26" s="295"/>
      <c r="V26" s="38" t="s">
        <v>131</v>
      </c>
      <c r="W26" s="29" t="s">
        <v>22</v>
      </c>
      <c r="X26" s="29" t="s">
        <v>11</v>
      </c>
      <c r="Y26" s="39">
        <v>24.5</v>
      </c>
      <c r="Z26" s="29" t="s">
        <v>80</v>
      </c>
      <c r="AA26" s="29" t="s">
        <v>17</v>
      </c>
      <c r="AB26" s="29" t="s">
        <v>18</v>
      </c>
      <c r="AC26" s="29">
        <v>22.5</v>
      </c>
      <c r="AD26" s="38" t="s">
        <v>454</v>
      </c>
      <c r="AE26" s="29" t="s">
        <v>20</v>
      </c>
      <c r="AF26" s="29" t="s">
        <v>12</v>
      </c>
      <c r="AG26" s="39">
        <v>25.5</v>
      </c>
      <c r="AH26" s="29" t="s">
        <v>328</v>
      </c>
      <c r="AI26" s="29" t="s">
        <v>869</v>
      </c>
      <c r="AJ26" s="29" t="s">
        <v>11</v>
      </c>
      <c r="AK26" s="29">
        <v>10.5</v>
      </c>
      <c r="AL26" s="38"/>
      <c r="AO26" s="39"/>
      <c r="AP26" s="38"/>
      <c r="AS26" s="39"/>
      <c r="AW26" s="39"/>
      <c r="BA26" s="40"/>
    </row>
    <row r="27" spans="1:53" s="29" customFormat="1" x14ac:dyDescent="0.15">
      <c r="A27" s="52">
        <v>1968.5428571428599</v>
      </c>
      <c r="B27" s="295"/>
      <c r="C27" s="411" t="s">
        <v>456</v>
      </c>
      <c r="D27" s="411"/>
      <c r="E27" s="29">
        <v>365</v>
      </c>
      <c r="F27" s="29">
        <v>1</v>
      </c>
      <c r="G27" s="66">
        <v>3</v>
      </c>
      <c r="H27" s="29">
        <v>2</v>
      </c>
      <c r="I27" s="29">
        <v>2</v>
      </c>
      <c r="J27" s="73">
        <v>7</v>
      </c>
      <c r="K27" s="47">
        <f t="shared" si="4"/>
        <v>42.857142857142854</v>
      </c>
      <c r="L27" s="47">
        <f t="shared" si="4"/>
        <v>28.571428571428569</v>
      </c>
      <c r="M27" s="47">
        <f t="shared" si="4"/>
        <v>28.571428571428569</v>
      </c>
      <c r="N27" s="68">
        <f t="shared" si="3"/>
        <v>99.999999999999986</v>
      </c>
      <c r="O27" s="46">
        <v>35</v>
      </c>
      <c r="P27" s="47">
        <v>22.5</v>
      </c>
      <c r="Q27" s="47">
        <v>25.5</v>
      </c>
      <c r="R27" s="48">
        <f t="shared" si="2"/>
        <v>83</v>
      </c>
      <c r="S27" s="29">
        <v>3</v>
      </c>
      <c r="T27" s="286"/>
      <c r="U27" s="295"/>
      <c r="V27" s="38" t="s">
        <v>131</v>
      </c>
      <c r="W27" s="29" t="s">
        <v>22</v>
      </c>
      <c r="X27" s="29" t="s">
        <v>11</v>
      </c>
      <c r="Y27" s="39">
        <v>24.5</v>
      </c>
      <c r="Z27" s="29" t="s">
        <v>80</v>
      </c>
      <c r="AA27" s="29" t="s">
        <v>17</v>
      </c>
      <c r="AB27" s="29" t="s">
        <v>18</v>
      </c>
      <c r="AC27" s="29">
        <v>22.5</v>
      </c>
      <c r="AD27" s="38" t="s">
        <v>454</v>
      </c>
      <c r="AE27" s="29" t="s">
        <v>20</v>
      </c>
      <c r="AF27" s="29" t="s">
        <v>12</v>
      </c>
      <c r="AG27" s="39">
        <v>25.5</v>
      </c>
      <c r="AH27" s="29" t="s">
        <v>328</v>
      </c>
      <c r="AI27" s="29" t="s">
        <v>869</v>
      </c>
      <c r="AJ27" s="29" t="s">
        <v>11</v>
      </c>
      <c r="AK27" s="29">
        <v>10.5</v>
      </c>
      <c r="AL27" s="38"/>
      <c r="AO27" s="39"/>
      <c r="AP27" s="38"/>
      <c r="AS27" s="39"/>
      <c r="AW27" s="39"/>
      <c r="BA27" s="40"/>
    </row>
    <row r="28" spans="1:53" s="29" customFormat="1" x14ac:dyDescent="0.15">
      <c r="A28" s="52">
        <v>1970</v>
      </c>
      <c r="B28" s="295"/>
      <c r="C28" s="411" t="s">
        <v>456</v>
      </c>
      <c r="D28" s="411"/>
      <c r="E28" s="29">
        <v>0</v>
      </c>
      <c r="G28" s="66">
        <v>3</v>
      </c>
      <c r="H28" s="29">
        <v>2</v>
      </c>
      <c r="I28" s="29">
        <v>2</v>
      </c>
      <c r="J28" s="73">
        <v>7</v>
      </c>
      <c r="K28" s="47">
        <f t="shared" si="4"/>
        <v>42.857142857142854</v>
      </c>
      <c r="L28" s="47">
        <f t="shared" si="4"/>
        <v>28.571428571428569</v>
      </c>
      <c r="M28" s="47">
        <f t="shared" si="4"/>
        <v>28.571428571428569</v>
      </c>
      <c r="N28" s="68">
        <f t="shared" si="3"/>
        <v>99.999999999999986</v>
      </c>
      <c r="O28" s="46">
        <v>35</v>
      </c>
      <c r="P28" s="47">
        <v>22.5</v>
      </c>
      <c r="Q28" s="47">
        <v>25.5</v>
      </c>
      <c r="R28" s="48">
        <f t="shared" si="2"/>
        <v>83</v>
      </c>
      <c r="S28" s="29">
        <v>3</v>
      </c>
      <c r="T28" s="286"/>
      <c r="U28" s="295"/>
      <c r="V28" s="38" t="s">
        <v>131</v>
      </c>
      <c r="W28" s="29" t="s">
        <v>22</v>
      </c>
      <c r="X28" s="29" t="s">
        <v>11</v>
      </c>
      <c r="Y28" s="39">
        <v>24.5</v>
      </c>
      <c r="Z28" s="29" t="s">
        <v>80</v>
      </c>
      <c r="AA28" s="29" t="s">
        <v>17</v>
      </c>
      <c r="AB28" s="29" t="s">
        <v>18</v>
      </c>
      <c r="AC28" s="29">
        <v>22.5</v>
      </c>
      <c r="AD28" s="38" t="s">
        <v>454</v>
      </c>
      <c r="AE28" s="29" t="s">
        <v>20</v>
      </c>
      <c r="AF28" s="29" t="s">
        <v>12</v>
      </c>
      <c r="AG28" s="39">
        <v>25.5</v>
      </c>
      <c r="AH28" s="29" t="s">
        <v>328</v>
      </c>
      <c r="AI28" s="29" t="s">
        <v>869</v>
      </c>
      <c r="AJ28" s="29" t="s">
        <v>11</v>
      </c>
      <c r="AK28" s="29">
        <v>10.5</v>
      </c>
      <c r="AL28" s="38"/>
      <c r="AO28" s="39"/>
      <c r="AP28" s="38"/>
      <c r="AS28" s="39"/>
      <c r="AW28" s="39"/>
      <c r="BA28" s="40"/>
    </row>
    <row r="29" spans="1:53" s="29" customFormat="1" x14ac:dyDescent="0.15">
      <c r="A29" s="52">
        <v>1970</v>
      </c>
      <c r="B29" s="295"/>
      <c r="C29" s="411" t="s">
        <v>417</v>
      </c>
      <c r="D29" s="411"/>
      <c r="E29" s="29">
        <v>365</v>
      </c>
      <c r="F29" s="29">
        <v>1</v>
      </c>
      <c r="G29" s="66">
        <v>3</v>
      </c>
      <c r="H29" s="29">
        <v>2</v>
      </c>
      <c r="I29" s="29">
        <v>2</v>
      </c>
      <c r="J29" s="73">
        <v>7</v>
      </c>
      <c r="K29" s="47">
        <f t="shared" si="4"/>
        <v>42.857142857142854</v>
      </c>
      <c r="L29" s="47">
        <f t="shared" si="4"/>
        <v>28.571428571428569</v>
      </c>
      <c r="M29" s="47">
        <f t="shared" si="4"/>
        <v>28.571428571428569</v>
      </c>
      <c r="N29" s="68">
        <f t="shared" si="3"/>
        <v>99.999999999999986</v>
      </c>
      <c r="O29" s="46">
        <v>35</v>
      </c>
      <c r="P29" s="47">
        <v>22.5</v>
      </c>
      <c r="Q29" s="47">
        <v>25.5</v>
      </c>
      <c r="R29" s="48">
        <f t="shared" si="2"/>
        <v>83</v>
      </c>
      <c r="S29" s="29">
        <v>3</v>
      </c>
      <c r="T29" s="286"/>
      <c r="U29" s="295"/>
      <c r="V29" s="38" t="s">
        <v>131</v>
      </c>
      <c r="W29" s="29" t="s">
        <v>22</v>
      </c>
      <c r="X29" s="29" t="s">
        <v>11</v>
      </c>
      <c r="Y29" s="39">
        <v>24.5</v>
      </c>
      <c r="Z29" s="29" t="s">
        <v>80</v>
      </c>
      <c r="AA29" s="29" t="s">
        <v>17</v>
      </c>
      <c r="AB29" s="29" t="s">
        <v>18</v>
      </c>
      <c r="AC29" s="29">
        <v>22.5</v>
      </c>
      <c r="AD29" s="38" t="s">
        <v>454</v>
      </c>
      <c r="AE29" s="29" t="s">
        <v>20</v>
      </c>
      <c r="AF29" s="29" t="s">
        <v>12</v>
      </c>
      <c r="AG29" s="39">
        <v>25.5</v>
      </c>
      <c r="AH29" s="29" t="s">
        <v>328</v>
      </c>
      <c r="AI29" s="29" t="s">
        <v>869</v>
      </c>
      <c r="AJ29" s="29" t="s">
        <v>11</v>
      </c>
      <c r="AK29" s="29">
        <v>10.5</v>
      </c>
      <c r="AL29" s="38"/>
      <c r="AO29" s="39"/>
      <c r="AP29" s="38"/>
      <c r="AS29" s="39"/>
      <c r="AW29" s="39"/>
      <c r="BA29" s="40"/>
    </row>
    <row r="30" spans="1:53" s="29" customFormat="1" x14ac:dyDescent="0.15">
      <c r="A30" s="52">
        <v>1971</v>
      </c>
      <c r="B30" s="295"/>
      <c r="C30" s="411" t="s">
        <v>417</v>
      </c>
      <c r="D30" s="411"/>
      <c r="E30" s="29">
        <v>341</v>
      </c>
      <c r="G30" s="66">
        <v>3</v>
      </c>
      <c r="H30" s="29">
        <v>2</v>
      </c>
      <c r="I30" s="29">
        <v>2</v>
      </c>
      <c r="J30" s="73">
        <v>7</v>
      </c>
      <c r="K30" s="47">
        <f t="shared" si="4"/>
        <v>42.857142857142854</v>
      </c>
      <c r="L30" s="47">
        <f t="shared" si="4"/>
        <v>28.571428571428569</v>
      </c>
      <c r="M30" s="47">
        <f t="shared" si="4"/>
        <v>28.571428571428569</v>
      </c>
      <c r="N30" s="68">
        <f t="shared" si="3"/>
        <v>99.999999999999986</v>
      </c>
      <c r="O30" s="46">
        <v>35</v>
      </c>
      <c r="P30" s="47">
        <v>22.5</v>
      </c>
      <c r="Q30" s="47">
        <v>25.5</v>
      </c>
      <c r="R30" s="48">
        <f t="shared" si="2"/>
        <v>83</v>
      </c>
      <c r="S30" s="29">
        <v>3</v>
      </c>
      <c r="T30" s="286"/>
      <c r="U30" s="295"/>
      <c r="V30" s="38" t="s">
        <v>131</v>
      </c>
      <c r="W30" s="29" t="s">
        <v>22</v>
      </c>
      <c r="X30" s="29" t="s">
        <v>11</v>
      </c>
      <c r="Y30" s="39">
        <v>24.5</v>
      </c>
      <c r="Z30" s="29" t="s">
        <v>80</v>
      </c>
      <c r="AA30" s="29" t="s">
        <v>17</v>
      </c>
      <c r="AB30" s="29" t="s">
        <v>18</v>
      </c>
      <c r="AC30" s="29">
        <v>22.5</v>
      </c>
      <c r="AD30" s="38" t="s">
        <v>454</v>
      </c>
      <c r="AE30" s="29" t="s">
        <v>20</v>
      </c>
      <c r="AF30" s="29" t="s">
        <v>12</v>
      </c>
      <c r="AG30" s="39">
        <v>25.5</v>
      </c>
      <c r="AH30" s="29" t="s">
        <v>328</v>
      </c>
      <c r="AI30" s="29" t="s">
        <v>869</v>
      </c>
      <c r="AJ30" s="29" t="s">
        <v>11</v>
      </c>
      <c r="AK30" s="29">
        <v>10.5</v>
      </c>
      <c r="AL30" s="38"/>
      <c r="AO30" s="39"/>
      <c r="AP30" s="38"/>
      <c r="AS30" s="39"/>
      <c r="AW30" s="39"/>
      <c r="BA30" s="40"/>
    </row>
    <row r="31" spans="1:53" s="171" customFormat="1" x14ac:dyDescent="0.15">
      <c r="A31" s="216">
        <v>1971</v>
      </c>
      <c r="B31" s="283">
        <v>26275</v>
      </c>
      <c r="C31" s="410" t="s">
        <v>418</v>
      </c>
      <c r="D31" s="410"/>
      <c r="E31" s="171">
        <f xml:space="preserve"> 365-E30</f>
        <v>24</v>
      </c>
      <c r="F31" s="171">
        <v>1</v>
      </c>
      <c r="G31" s="233">
        <v>3</v>
      </c>
      <c r="H31" s="171">
        <v>2</v>
      </c>
      <c r="I31" s="171">
        <v>2</v>
      </c>
      <c r="J31" s="241">
        <v>7</v>
      </c>
      <c r="K31" s="214">
        <f t="shared" si="4"/>
        <v>42.857142857142854</v>
      </c>
      <c r="L31" s="214">
        <f t="shared" si="4"/>
        <v>28.571428571428569</v>
      </c>
      <c r="M31" s="214">
        <f t="shared" si="4"/>
        <v>28.571428571428569</v>
      </c>
      <c r="N31" s="235">
        <f t="shared" si="3"/>
        <v>99.999999999999986</v>
      </c>
      <c r="O31" s="213">
        <v>36</v>
      </c>
      <c r="P31" s="214">
        <v>22</v>
      </c>
      <c r="Q31" s="214">
        <v>23</v>
      </c>
      <c r="R31" s="215">
        <f t="shared" si="2"/>
        <v>81</v>
      </c>
      <c r="S31" s="171">
        <v>3</v>
      </c>
      <c r="T31" s="285">
        <v>26237</v>
      </c>
      <c r="U31" s="283">
        <v>26275</v>
      </c>
      <c r="V31" s="178" t="s">
        <v>131</v>
      </c>
      <c r="W31" s="171" t="s">
        <v>22</v>
      </c>
      <c r="X31" s="171" t="s">
        <v>11</v>
      </c>
      <c r="Y31" s="179">
        <v>24.5</v>
      </c>
      <c r="Z31" s="171" t="s">
        <v>80</v>
      </c>
      <c r="AA31" s="171" t="s">
        <v>17</v>
      </c>
      <c r="AB31" s="171" t="s">
        <v>18</v>
      </c>
      <c r="AC31" s="171">
        <v>22</v>
      </c>
      <c r="AD31" s="178" t="s">
        <v>454</v>
      </c>
      <c r="AE31" s="171" t="s">
        <v>20</v>
      </c>
      <c r="AF31" s="171" t="s">
        <v>12</v>
      </c>
      <c r="AG31" s="179">
        <v>23</v>
      </c>
      <c r="AH31" s="171" t="s">
        <v>328</v>
      </c>
      <c r="AI31" s="171" t="s">
        <v>869</v>
      </c>
      <c r="AJ31" s="171" t="s">
        <v>11</v>
      </c>
      <c r="AK31" s="171">
        <v>11.5</v>
      </c>
      <c r="AL31" s="178"/>
      <c r="AO31" s="179"/>
      <c r="AP31" s="178"/>
      <c r="AS31" s="179"/>
      <c r="AW31" s="179"/>
      <c r="BA31" s="180"/>
    </row>
    <row r="32" spans="1:53" s="171" customFormat="1" x14ac:dyDescent="0.15">
      <c r="A32" s="216">
        <v>1972</v>
      </c>
      <c r="B32" s="283"/>
      <c r="C32" s="410" t="s">
        <v>418</v>
      </c>
      <c r="D32" s="410"/>
      <c r="E32" s="171">
        <v>0</v>
      </c>
      <c r="G32" s="233">
        <v>3</v>
      </c>
      <c r="H32" s="171">
        <v>2</v>
      </c>
      <c r="I32" s="171">
        <v>2</v>
      </c>
      <c r="J32" s="241">
        <v>7</v>
      </c>
      <c r="K32" s="214">
        <f t="shared" si="4"/>
        <v>42.857142857142854</v>
      </c>
      <c r="L32" s="214">
        <f t="shared" si="4"/>
        <v>28.571428571428569</v>
      </c>
      <c r="M32" s="214">
        <f t="shared" si="4"/>
        <v>28.571428571428569</v>
      </c>
      <c r="N32" s="235">
        <f t="shared" si="3"/>
        <v>99.999999999999986</v>
      </c>
      <c r="O32" s="213">
        <v>36</v>
      </c>
      <c r="P32" s="214">
        <v>22</v>
      </c>
      <c r="Q32" s="214">
        <v>23</v>
      </c>
      <c r="R32" s="215">
        <f t="shared" si="2"/>
        <v>81</v>
      </c>
      <c r="S32" s="171">
        <v>3</v>
      </c>
      <c r="T32" s="285"/>
      <c r="U32" s="283"/>
      <c r="V32" s="178" t="s">
        <v>131</v>
      </c>
      <c r="W32" s="171" t="s">
        <v>22</v>
      </c>
      <c r="X32" s="171" t="s">
        <v>11</v>
      </c>
      <c r="Y32" s="179">
        <v>24.5</v>
      </c>
      <c r="Z32" s="171" t="s">
        <v>80</v>
      </c>
      <c r="AA32" s="171" t="s">
        <v>17</v>
      </c>
      <c r="AB32" s="171" t="s">
        <v>18</v>
      </c>
      <c r="AC32" s="171">
        <v>22</v>
      </c>
      <c r="AD32" s="178" t="s">
        <v>454</v>
      </c>
      <c r="AE32" s="171" t="s">
        <v>20</v>
      </c>
      <c r="AF32" s="171" t="s">
        <v>12</v>
      </c>
      <c r="AG32" s="179">
        <v>23</v>
      </c>
      <c r="AH32" s="171" t="s">
        <v>328</v>
      </c>
      <c r="AI32" s="171" t="s">
        <v>869</v>
      </c>
      <c r="AJ32" s="171" t="s">
        <v>11</v>
      </c>
      <c r="AK32" s="171">
        <v>11.5</v>
      </c>
      <c r="AL32" s="178"/>
      <c r="AO32" s="179"/>
      <c r="AP32" s="178"/>
      <c r="AS32" s="179"/>
      <c r="AW32" s="179"/>
      <c r="BA32" s="180"/>
    </row>
    <row r="33" spans="1:53" s="171" customFormat="1" x14ac:dyDescent="0.15">
      <c r="A33" s="216">
        <v>1972</v>
      </c>
      <c r="B33" s="283"/>
      <c r="C33" s="410" t="s">
        <v>419</v>
      </c>
      <c r="D33" s="410"/>
      <c r="E33" s="171">
        <v>366</v>
      </c>
      <c r="F33" s="171">
        <v>1</v>
      </c>
      <c r="G33" s="233">
        <v>3</v>
      </c>
      <c r="H33" s="171">
        <v>2</v>
      </c>
      <c r="I33" s="171">
        <v>2</v>
      </c>
      <c r="J33" s="241">
        <v>7</v>
      </c>
      <c r="K33" s="214">
        <f t="shared" si="4"/>
        <v>42.857142857142854</v>
      </c>
      <c r="L33" s="214">
        <f t="shared" si="4"/>
        <v>28.571428571428569</v>
      </c>
      <c r="M33" s="214">
        <f t="shared" si="4"/>
        <v>28.571428571428569</v>
      </c>
      <c r="N33" s="235">
        <f t="shared" si="3"/>
        <v>99.999999999999986</v>
      </c>
      <c r="O33" s="213">
        <v>36</v>
      </c>
      <c r="P33" s="214">
        <v>22</v>
      </c>
      <c r="Q33" s="214">
        <v>23</v>
      </c>
      <c r="R33" s="215">
        <f t="shared" si="2"/>
        <v>81</v>
      </c>
      <c r="S33" s="171">
        <v>3</v>
      </c>
      <c r="T33" s="285"/>
      <c r="U33" s="283"/>
      <c r="V33" s="178" t="s">
        <v>131</v>
      </c>
      <c r="W33" s="171" t="s">
        <v>22</v>
      </c>
      <c r="X33" s="171" t="s">
        <v>11</v>
      </c>
      <c r="Y33" s="179">
        <v>24.5</v>
      </c>
      <c r="Z33" s="171" t="s">
        <v>80</v>
      </c>
      <c r="AA33" s="171" t="s">
        <v>17</v>
      </c>
      <c r="AB33" s="171" t="s">
        <v>18</v>
      </c>
      <c r="AC33" s="171">
        <v>22</v>
      </c>
      <c r="AD33" s="178" t="s">
        <v>454</v>
      </c>
      <c r="AE33" s="171" t="s">
        <v>20</v>
      </c>
      <c r="AF33" s="171" t="s">
        <v>12</v>
      </c>
      <c r="AG33" s="179">
        <v>23</v>
      </c>
      <c r="AH33" s="171" t="s">
        <v>328</v>
      </c>
      <c r="AI33" s="171" t="s">
        <v>869</v>
      </c>
      <c r="AJ33" s="171" t="s">
        <v>11</v>
      </c>
      <c r="AK33" s="171">
        <v>11.5</v>
      </c>
      <c r="AL33" s="178"/>
      <c r="AO33" s="179"/>
      <c r="AP33" s="178"/>
      <c r="AS33" s="179"/>
      <c r="AW33" s="179"/>
      <c r="BA33" s="180"/>
    </row>
    <row r="34" spans="1:53" s="171" customFormat="1" x14ac:dyDescent="0.15">
      <c r="A34" s="216">
        <v>1973</v>
      </c>
      <c r="B34" s="283"/>
      <c r="C34" s="410" t="s">
        <v>419</v>
      </c>
      <c r="D34" s="410"/>
      <c r="E34" s="171">
        <v>0</v>
      </c>
      <c r="G34" s="233">
        <v>3</v>
      </c>
      <c r="H34" s="171">
        <v>2</v>
      </c>
      <c r="I34" s="171">
        <v>2</v>
      </c>
      <c r="J34" s="241">
        <v>7</v>
      </c>
      <c r="K34" s="214">
        <f t="shared" si="4"/>
        <v>42.857142857142854</v>
      </c>
      <c r="L34" s="214">
        <f t="shared" si="4"/>
        <v>28.571428571428569</v>
      </c>
      <c r="M34" s="214">
        <f t="shared" si="4"/>
        <v>28.571428571428569</v>
      </c>
      <c r="N34" s="235">
        <f t="shared" si="3"/>
        <v>99.999999999999986</v>
      </c>
      <c r="O34" s="213">
        <v>36</v>
      </c>
      <c r="P34" s="214">
        <v>22</v>
      </c>
      <c r="Q34" s="214">
        <v>23</v>
      </c>
      <c r="R34" s="215">
        <f t="shared" si="2"/>
        <v>81</v>
      </c>
      <c r="S34" s="171">
        <v>3</v>
      </c>
      <c r="T34" s="285"/>
      <c r="U34" s="283"/>
      <c r="V34" s="178" t="s">
        <v>131</v>
      </c>
      <c r="W34" s="171" t="s">
        <v>22</v>
      </c>
      <c r="X34" s="171" t="s">
        <v>11</v>
      </c>
      <c r="Y34" s="179">
        <v>24.5</v>
      </c>
      <c r="Z34" s="171" t="s">
        <v>80</v>
      </c>
      <c r="AA34" s="171" t="s">
        <v>17</v>
      </c>
      <c r="AB34" s="171" t="s">
        <v>18</v>
      </c>
      <c r="AC34" s="171">
        <v>22</v>
      </c>
      <c r="AD34" s="178" t="s">
        <v>454</v>
      </c>
      <c r="AE34" s="171" t="s">
        <v>20</v>
      </c>
      <c r="AF34" s="171" t="s">
        <v>12</v>
      </c>
      <c r="AG34" s="179">
        <v>23</v>
      </c>
      <c r="AH34" s="171" t="s">
        <v>328</v>
      </c>
      <c r="AI34" s="171" t="s">
        <v>869</v>
      </c>
      <c r="AJ34" s="171" t="s">
        <v>11</v>
      </c>
      <c r="AK34" s="171">
        <v>11.5</v>
      </c>
      <c r="AL34" s="178"/>
      <c r="AO34" s="179"/>
      <c r="AP34" s="178"/>
      <c r="AS34" s="179"/>
      <c r="AW34" s="179"/>
      <c r="BA34" s="180"/>
    </row>
    <row r="35" spans="1:53" s="171" customFormat="1" x14ac:dyDescent="0.15">
      <c r="A35" s="216">
        <v>1973</v>
      </c>
      <c r="B35" s="283"/>
      <c r="C35" s="410" t="s">
        <v>420</v>
      </c>
      <c r="D35" s="410"/>
      <c r="E35" s="171">
        <v>365</v>
      </c>
      <c r="F35" s="171">
        <v>1</v>
      </c>
      <c r="G35" s="233">
        <v>3</v>
      </c>
      <c r="H35" s="171">
        <v>2</v>
      </c>
      <c r="I35" s="171">
        <v>2</v>
      </c>
      <c r="J35" s="241">
        <v>7</v>
      </c>
      <c r="K35" s="214">
        <f t="shared" si="4"/>
        <v>42.857142857142854</v>
      </c>
      <c r="L35" s="214">
        <f t="shared" si="4"/>
        <v>28.571428571428569</v>
      </c>
      <c r="M35" s="214">
        <f t="shared" si="4"/>
        <v>28.571428571428569</v>
      </c>
      <c r="N35" s="235">
        <f t="shared" si="3"/>
        <v>99.999999999999986</v>
      </c>
      <c r="O35" s="213">
        <v>36</v>
      </c>
      <c r="P35" s="214">
        <v>22</v>
      </c>
      <c r="Q35" s="214">
        <v>23</v>
      </c>
      <c r="R35" s="215">
        <f t="shared" si="2"/>
        <v>81</v>
      </c>
      <c r="S35" s="171">
        <v>3</v>
      </c>
      <c r="T35" s="285"/>
      <c r="U35" s="283"/>
      <c r="V35" s="178" t="s">
        <v>131</v>
      </c>
      <c r="W35" s="171" t="s">
        <v>22</v>
      </c>
      <c r="X35" s="171" t="s">
        <v>11</v>
      </c>
      <c r="Y35" s="179">
        <v>24.5</v>
      </c>
      <c r="Z35" s="171" t="s">
        <v>80</v>
      </c>
      <c r="AA35" s="171" t="s">
        <v>17</v>
      </c>
      <c r="AB35" s="171" t="s">
        <v>18</v>
      </c>
      <c r="AC35" s="171">
        <v>22</v>
      </c>
      <c r="AD35" s="178" t="s">
        <v>454</v>
      </c>
      <c r="AE35" s="171" t="s">
        <v>20</v>
      </c>
      <c r="AF35" s="171" t="s">
        <v>12</v>
      </c>
      <c r="AG35" s="179">
        <v>23</v>
      </c>
      <c r="AH35" s="171" t="s">
        <v>328</v>
      </c>
      <c r="AI35" s="171" t="s">
        <v>869</v>
      </c>
      <c r="AJ35" s="171" t="s">
        <v>11</v>
      </c>
      <c r="AK35" s="171">
        <v>11.5</v>
      </c>
      <c r="AL35" s="178"/>
      <c r="AO35" s="179"/>
      <c r="AP35" s="178"/>
      <c r="AS35" s="179"/>
      <c r="AW35" s="179"/>
      <c r="BA35" s="180"/>
    </row>
    <row r="36" spans="1:53" s="171" customFormat="1" x14ac:dyDescent="0.15">
      <c r="A36" s="216">
        <v>1974</v>
      </c>
      <c r="B36" s="283"/>
      <c r="C36" s="410" t="s">
        <v>420</v>
      </c>
      <c r="D36" s="410"/>
      <c r="E36" s="171">
        <v>0</v>
      </c>
      <c r="G36" s="233">
        <v>3</v>
      </c>
      <c r="H36" s="171">
        <v>2</v>
      </c>
      <c r="I36" s="171">
        <v>2</v>
      </c>
      <c r="J36" s="241">
        <v>7</v>
      </c>
      <c r="K36" s="214">
        <f t="shared" si="4"/>
        <v>42.857142857142854</v>
      </c>
      <c r="L36" s="214">
        <f t="shared" si="4"/>
        <v>28.571428571428569</v>
      </c>
      <c r="M36" s="214">
        <f t="shared" si="4"/>
        <v>28.571428571428569</v>
      </c>
      <c r="N36" s="235">
        <f t="shared" si="3"/>
        <v>99.999999999999986</v>
      </c>
      <c r="O36" s="213">
        <v>36</v>
      </c>
      <c r="P36" s="214">
        <v>22</v>
      </c>
      <c r="Q36" s="214">
        <v>23</v>
      </c>
      <c r="R36" s="215">
        <f t="shared" si="2"/>
        <v>81</v>
      </c>
      <c r="S36" s="171">
        <v>3</v>
      </c>
      <c r="T36" s="285"/>
      <c r="U36" s="283"/>
      <c r="V36" s="178" t="s">
        <v>131</v>
      </c>
      <c r="W36" s="171" t="s">
        <v>22</v>
      </c>
      <c r="X36" s="171" t="s">
        <v>11</v>
      </c>
      <c r="Y36" s="179">
        <v>24.5</v>
      </c>
      <c r="Z36" s="171" t="s">
        <v>80</v>
      </c>
      <c r="AA36" s="171" t="s">
        <v>17</v>
      </c>
      <c r="AB36" s="171" t="s">
        <v>18</v>
      </c>
      <c r="AC36" s="171">
        <v>22</v>
      </c>
      <c r="AD36" s="178" t="s">
        <v>454</v>
      </c>
      <c r="AE36" s="171" t="s">
        <v>20</v>
      </c>
      <c r="AF36" s="171" t="s">
        <v>12</v>
      </c>
      <c r="AG36" s="179">
        <v>23</v>
      </c>
      <c r="AH36" s="171" t="s">
        <v>328</v>
      </c>
      <c r="AI36" s="171" t="s">
        <v>869</v>
      </c>
      <c r="AJ36" s="171" t="s">
        <v>11</v>
      </c>
      <c r="AK36" s="171">
        <v>11.5</v>
      </c>
      <c r="AL36" s="178"/>
      <c r="AO36" s="179"/>
      <c r="AP36" s="178"/>
      <c r="AS36" s="179"/>
      <c r="AW36" s="179"/>
      <c r="BA36" s="180"/>
    </row>
    <row r="37" spans="1:53" s="171" customFormat="1" x14ac:dyDescent="0.15">
      <c r="A37" s="216">
        <v>1974</v>
      </c>
      <c r="B37" s="283"/>
      <c r="C37" s="410" t="s">
        <v>457</v>
      </c>
      <c r="D37" s="410"/>
      <c r="E37" s="171">
        <v>365</v>
      </c>
      <c r="F37" s="171">
        <v>1</v>
      </c>
      <c r="G37" s="233">
        <v>3</v>
      </c>
      <c r="H37" s="171">
        <v>2</v>
      </c>
      <c r="I37" s="171">
        <v>2</v>
      </c>
      <c r="J37" s="241">
        <v>7</v>
      </c>
      <c r="K37" s="214">
        <f t="shared" si="4"/>
        <v>42.857142857142854</v>
      </c>
      <c r="L37" s="214">
        <f t="shared" si="4"/>
        <v>28.571428571428569</v>
      </c>
      <c r="M37" s="214">
        <f t="shared" si="4"/>
        <v>28.571428571428569</v>
      </c>
      <c r="N37" s="235">
        <f t="shared" si="3"/>
        <v>99.999999999999986</v>
      </c>
      <c r="O37" s="213">
        <v>36</v>
      </c>
      <c r="P37" s="214">
        <v>22</v>
      </c>
      <c r="Q37" s="214">
        <v>23</v>
      </c>
      <c r="R37" s="215">
        <f t="shared" si="2"/>
        <v>81</v>
      </c>
      <c r="S37" s="171">
        <v>3</v>
      </c>
      <c r="T37" s="285"/>
      <c r="U37" s="283"/>
      <c r="V37" s="178" t="s">
        <v>131</v>
      </c>
      <c r="W37" s="171" t="s">
        <v>22</v>
      </c>
      <c r="X37" s="171" t="s">
        <v>11</v>
      </c>
      <c r="Y37" s="179">
        <v>24.5</v>
      </c>
      <c r="Z37" s="171" t="s">
        <v>80</v>
      </c>
      <c r="AA37" s="171" t="s">
        <v>17</v>
      </c>
      <c r="AB37" s="171" t="s">
        <v>18</v>
      </c>
      <c r="AC37" s="171">
        <v>22</v>
      </c>
      <c r="AD37" s="178" t="s">
        <v>454</v>
      </c>
      <c r="AE37" s="171" t="s">
        <v>20</v>
      </c>
      <c r="AF37" s="171" t="s">
        <v>12</v>
      </c>
      <c r="AG37" s="179">
        <v>23</v>
      </c>
      <c r="AH37" s="171" t="s">
        <v>328</v>
      </c>
      <c r="AI37" s="171" t="s">
        <v>869</v>
      </c>
      <c r="AJ37" s="171" t="s">
        <v>11</v>
      </c>
      <c r="AK37" s="171">
        <v>11.5</v>
      </c>
      <c r="AL37" s="178"/>
      <c r="AO37" s="179"/>
      <c r="AP37" s="178"/>
      <c r="AS37" s="179"/>
      <c r="AW37" s="179"/>
      <c r="BA37" s="180"/>
    </row>
    <row r="38" spans="1:53" s="171" customFormat="1" ht="8.25" customHeight="1" x14ac:dyDescent="0.15">
      <c r="A38" s="216">
        <v>1975</v>
      </c>
      <c r="B38" s="283"/>
      <c r="C38" s="410" t="s">
        <v>457</v>
      </c>
      <c r="D38" s="410"/>
      <c r="E38" s="171">
        <v>343</v>
      </c>
      <c r="G38" s="233">
        <v>3</v>
      </c>
      <c r="H38" s="171">
        <v>2</v>
      </c>
      <c r="I38" s="171">
        <v>2</v>
      </c>
      <c r="J38" s="241">
        <v>7</v>
      </c>
      <c r="K38" s="214">
        <f t="shared" si="4"/>
        <v>42.857142857142854</v>
      </c>
      <c r="L38" s="214">
        <f t="shared" si="4"/>
        <v>28.571428571428569</v>
      </c>
      <c r="M38" s="214">
        <f t="shared" si="4"/>
        <v>28.571428571428569</v>
      </c>
      <c r="N38" s="235">
        <f t="shared" si="3"/>
        <v>99.999999999999986</v>
      </c>
      <c r="O38" s="213">
        <v>36</v>
      </c>
      <c r="P38" s="214">
        <v>22</v>
      </c>
      <c r="Q38" s="214">
        <v>23</v>
      </c>
      <c r="R38" s="215">
        <f t="shared" si="2"/>
        <v>81</v>
      </c>
      <c r="S38" s="171">
        <v>3</v>
      </c>
      <c r="T38" s="285"/>
      <c r="U38" s="283"/>
      <c r="V38" s="178" t="s">
        <v>131</v>
      </c>
      <c r="W38" s="171" t="s">
        <v>22</v>
      </c>
      <c r="X38" s="171" t="s">
        <v>11</v>
      </c>
      <c r="Y38" s="179">
        <v>24.5</v>
      </c>
      <c r="Z38" s="171" t="s">
        <v>80</v>
      </c>
      <c r="AA38" s="171" t="s">
        <v>17</v>
      </c>
      <c r="AB38" s="171" t="s">
        <v>18</v>
      </c>
      <c r="AC38" s="171">
        <v>22</v>
      </c>
      <c r="AD38" s="178" t="s">
        <v>454</v>
      </c>
      <c r="AE38" s="171" t="s">
        <v>20</v>
      </c>
      <c r="AF38" s="171" t="s">
        <v>12</v>
      </c>
      <c r="AG38" s="179">
        <v>23</v>
      </c>
      <c r="AH38" s="171" t="s">
        <v>328</v>
      </c>
      <c r="AI38" s="171" t="s">
        <v>869</v>
      </c>
      <c r="AJ38" s="171" t="s">
        <v>11</v>
      </c>
      <c r="AK38" s="171">
        <v>11.5</v>
      </c>
      <c r="AL38" s="178"/>
      <c r="AO38" s="179"/>
      <c r="AP38" s="178"/>
      <c r="AS38" s="179"/>
      <c r="AW38" s="179"/>
      <c r="BA38" s="180"/>
    </row>
    <row r="39" spans="1:53" s="29" customFormat="1" x14ac:dyDescent="0.15">
      <c r="A39" s="52">
        <v>1975</v>
      </c>
      <c r="B39" s="295">
        <v>27738</v>
      </c>
      <c r="C39" s="411" t="s">
        <v>421</v>
      </c>
      <c r="D39" s="411"/>
      <c r="E39" s="29">
        <f>365-E38</f>
        <v>22</v>
      </c>
      <c r="F39" s="29">
        <v>1</v>
      </c>
      <c r="G39" s="66">
        <v>3</v>
      </c>
      <c r="H39" s="29">
        <v>2</v>
      </c>
      <c r="I39" s="29">
        <v>2</v>
      </c>
      <c r="J39" s="73">
        <v>7</v>
      </c>
      <c r="K39" s="47">
        <f t="shared" si="4"/>
        <v>42.857142857142854</v>
      </c>
      <c r="L39" s="47">
        <f t="shared" si="4"/>
        <v>28.571428571428569</v>
      </c>
      <c r="M39" s="47">
        <f t="shared" si="4"/>
        <v>28.571428571428569</v>
      </c>
      <c r="N39" s="68">
        <f t="shared" si="3"/>
        <v>99.999999999999986</v>
      </c>
      <c r="O39" s="46">
        <v>34</v>
      </c>
      <c r="P39" s="47">
        <v>23</v>
      </c>
      <c r="Q39" s="47">
        <v>27.5</v>
      </c>
      <c r="R39" s="48">
        <f t="shared" si="2"/>
        <v>84.5</v>
      </c>
      <c r="S39" s="29">
        <v>3</v>
      </c>
      <c r="T39" s="286">
        <v>27693</v>
      </c>
      <c r="U39" s="295">
        <v>27738</v>
      </c>
      <c r="V39" s="38" t="s">
        <v>131</v>
      </c>
      <c r="W39" s="29" t="s">
        <v>22</v>
      </c>
      <c r="X39" s="29" t="s">
        <v>11</v>
      </c>
      <c r="Y39" s="39">
        <v>23.5</v>
      </c>
      <c r="Z39" s="29" t="s">
        <v>80</v>
      </c>
      <c r="AA39" s="29" t="s">
        <v>17</v>
      </c>
      <c r="AB39" s="29" t="s">
        <v>18</v>
      </c>
      <c r="AC39" s="29">
        <v>23</v>
      </c>
      <c r="AD39" s="38" t="s">
        <v>454</v>
      </c>
      <c r="AE39" s="29" t="s">
        <v>20</v>
      </c>
      <c r="AF39" s="29" t="s">
        <v>12</v>
      </c>
      <c r="AG39" s="39">
        <v>27.5</v>
      </c>
      <c r="AH39" s="29" t="s">
        <v>328</v>
      </c>
      <c r="AI39" s="29" t="s">
        <v>869</v>
      </c>
      <c r="AJ39" s="29" t="s">
        <v>11</v>
      </c>
      <c r="AK39" s="29">
        <v>10.5</v>
      </c>
      <c r="AL39" s="38"/>
      <c r="AO39" s="39"/>
      <c r="AP39" s="38"/>
      <c r="AS39" s="39"/>
      <c r="AW39" s="39"/>
      <c r="BA39" s="40"/>
    </row>
    <row r="40" spans="1:53" s="29" customFormat="1" x14ac:dyDescent="0.15">
      <c r="A40" s="52">
        <v>1976</v>
      </c>
      <c r="B40" s="295"/>
      <c r="C40" s="411" t="s">
        <v>421</v>
      </c>
      <c r="D40" s="411"/>
      <c r="E40" s="29">
        <v>0</v>
      </c>
      <c r="G40" s="66">
        <v>3</v>
      </c>
      <c r="H40" s="29">
        <v>2</v>
      </c>
      <c r="I40" s="29">
        <v>2</v>
      </c>
      <c r="J40" s="73">
        <v>7</v>
      </c>
      <c r="K40" s="47">
        <f t="shared" si="4"/>
        <v>42.857142857142854</v>
      </c>
      <c r="L40" s="47">
        <f t="shared" si="4"/>
        <v>28.571428571428569</v>
      </c>
      <c r="M40" s="47">
        <f t="shared" si="4"/>
        <v>28.571428571428569</v>
      </c>
      <c r="N40" s="68">
        <f t="shared" si="3"/>
        <v>99.999999999999986</v>
      </c>
      <c r="O40" s="46">
        <v>34</v>
      </c>
      <c r="P40" s="47">
        <v>23</v>
      </c>
      <c r="Q40" s="47">
        <v>27.5</v>
      </c>
      <c r="R40" s="48">
        <f t="shared" si="2"/>
        <v>84.5</v>
      </c>
      <c r="S40" s="29">
        <v>3</v>
      </c>
      <c r="T40" s="286"/>
      <c r="U40" s="295"/>
      <c r="V40" s="38" t="s">
        <v>131</v>
      </c>
      <c r="W40" s="29" t="s">
        <v>22</v>
      </c>
      <c r="X40" s="29" t="s">
        <v>11</v>
      </c>
      <c r="Y40" s="39">
        <v>23.5</v>
      </c>
      <c r="Z40" s="29" t="s">
        <v>80</v>
      </c>
      <c r="AA40" s="29" t="s">
        <v>17</v>
      </c>
      <c r="AB40" s="29" t="s">
        <v>18</v>
      </c>
      <c r="AC40" s="29">
        <v>23</v>
      </c>
      <c r="AD40" s="38" t="s">
        <v>454</v>
      </c>
      <c r="AE40" s="29" t="s">
        <v>20</v>
      </c>
      <c r="AF40" s="29" t="s">
        <v>12</v>
      </c>
      <c r="AG40" s="39">
        <v>27.5</v>
      </c>
      <c r="AH40" s="29" t="s">
        <v>328</v>
      </c>
      <c r="AI40" s="29" t="s">
        <v>869</v>
      </c>
      <c r="AJ40" s="29" t="s">
        <v>11</v>
      </c>
      <c r="AK40" s="29">
        <v>10.5</v>
      </c>
      <c r="AL40" s="38"/>
      <c r="AO40" s="39"/>
      <c r="AP40" s="38"/>
      <c r="AS40" s="39"/>
      <c r="AW40" s="39"/>
      <c r="BA40" s="40"/>
    </row>
    <row r="41" spans="1:53" s="29" customFormat="1" x14ac:dyDescent="0.15">
      <c r="A41" s="52">
        <v>1976</v>
      </c>
      <c r="B41" s="295"/>
      <c r="C41" s="411" t="s">
        <v>422</v>
      </c>
      <c r="D41" s="411"/>
      <c r="E41" s="29">
        <v>366</v>
      </c>
      <c r="F41" s="29">
        <v>1</v>
      </c>
      <c r="G41" s="66">
        <v>3</v>
      </c>
      <c r="H41" s="29">
        <v>2</v>
      </c>
      <c r="I41" s="29">
        <v>2</v>
      </c>
      <c r="J41" s="73">
        <v>7</v>
      </c>
      <c r="K41" s="47">
        <f t="shared" si="4"/>
        <v>42.857142857142854</v>
      </c>
      <c r="L41" s="47">
        <f t="shared" si="4"/>
        <v>28.571428571428569</v>
      </c>
      <c r="M41" s="47">
        <f t="shared" si="4"/>
        <v>28.571428571428569</v>
      </c>
      <c r="N41" s="68">
        <f t="shared" si="3"/>
        <v>99.999999999999986</v>
      </c>
      <c r="O41" s="46">
        <v>34</v>
      </c>
      <c r="P41" s="47">
        <v>23</v>
      </c>
      <c r="Q41" s="47">
        <v>27.5</v>
      </c>
      <c r="R41" s="48">
        <f t="shared" si="2"/>
        <v>84.5</v>
      </c>
      <c r="S41" s="29">
        <v>3</v>
      </c>
      <c r="T41" s="286"/>
      <c r="U41" s="295"/>
      <c r="V41" s="38" t="s">
        <v>131</v>
      </c>
      <c r="W41" s="29" t="s">
        <v>22</v>
      </c>
      <c r="X41" s="29" t="s">
        <v>11</v>
      </c>
      <c r="Y41" s="39">
        <v>23.5</v>
      </c>
      <c r="Z41" s="29" t="s">
        <v>80</v>
      </c>
      <c r="AA41" s="29" t="s">
        <v>17</v>
      </c>
      <c r="AB41" s="29" t="s">
        <v>18</v>
      </c>
      <c r="AC41" s="29">
        <v>23</v>
      </c>
      <c r="AD41" s="38" t="s">
        <v>454</v>
      </c>
      <c r="AE41" s="29" t="s">
        <v>20</v>
      </c>
      <c r="AF41" s="29" t="s">
        <v>12</v>
      </c>
      <c r="AG41" s="39">
        <v>27.5</v>
      </c>
      <c r="AH41" s="29" t="s">
        <v>328</v>
      </c>
      <c r="AI41" s="29" t="s">
        <v>869</v>
      </c>
      <c r="AJ41" s="29" t="s">
        <v>11</v>
      </c>
      <c r="AK41" s="29">
        <v>10.5</v>
      </c>
      <c r="AL41" s="38"/>
      <c r="AO41" s="39"/>
      <c r="AP41" s="38"/>
      <c r="AS41" s="39"/>
      <c r="AW41" s="39"/>
      <c r="BA41" s="40"/>
    </row>
    <row r="42" spans="1:53" s="29" customFormat="1" x14ac:dyDescent="0.15">
      <c r="A42" s="52">
        <v>1977</v>
      </c>
      <c r="B42" s="295"/>
      <c r="C42" s="411" t="s">
        <v>422</v>
      </c>
      <c r="D42" s="411"/>
      <c r="E42" s="29">
        <v>0</v>
      </c>
      <c r="G42" s="66">
        <v>3</v>
      </c>
      <c r="H42" s="29">
        <v>2</v>
      </c>
      <c r="I42" s="29">
        <v>2</v>
      </c>
      <c r="J42" s="73">
        <v>7</v>
      </c>
      <c r="K42" s="47">
        <f t="shared" si="4"/>
        <v>42.857142857142854</v>
      </c>
      <c r="L42" s="47">
        <f t="shared" si="4"/>
        <v>28.571428571428569</v>
      </c>
      <c r="M42" s="47">
        <f t="shared" si="4"/>
        <v>28.571428571428569</v>
      </c>
      <c r="N42" s="68">
        <f t="shared" si="3"/>
        <v>99.999999999999986</v>
      </c>
      <c r="O42" s="46">
        <v>34</v>
      </c>
      <c r="P42" s="47">
        <v>23</v>
      </c>
      <c r="Q42" s="47">
        <v>27.5</v>
      </c>
      <c r="R42" s="48">
        <f t="shared" si="2"/>
        <v>84.5</v>
      </c>
      <c r="S42" s="29">
        <v>3</v>
      </c>
      <c r="T42" s="286"/>
      <c r="U42" s="295"/>
      <c r="V42" s="38" t="s">
        <v>131</v>
      </c>
      <c r="W42" s="29" t="s">
        <v>22</v>
      </c>
      <c r="X42" s="29" t="s">
        <v>11</v>
      </c>
      <c r="Y42" s="39">
        <v>23.5</v>
      </c>
      <c r="Z42" s="29" t="s">
        <v>80</v>
      </c>
      <c r="AA42" s="29" t="s">
        <v>17</v>
      </c>
      <c r="AB42" s="29" t="s">
        <v>18</v>
      </c>
      <c r="AC42" s="29">
        <v>23</v>
      </c>
      <c r="AD42" s="38" t="s">
        <v>454</v>
      </c>
      <c r="AE42" s="29" t="s">
        <v>20</v>
      </c>
      <c r="AF42" s="29" t="s">
        <v>12</v>
      </c>
      <c r="AG42" s="39">
        <v>27.5</v>
      </c>
      <c r="AH42" s="29" t="s">
        <v>328</v>
      </c>
      <c r="AI42" s="29" t="s">
        <v>869</v>
      </c>
      <c r="AJ42" s="29" t="s">
        <v>11</v>
      </c>
      <c r="AK42" s="29">
        <v>10.5</v>
      </c>
      <c r="AL42" s="38"/>
      <c r="AO42" s="39"/>
      <c r="AP42" s="38"/>
      <c r="AS42" s="39"/>
      <c r="AW42" s="39"/>
      <c r="BA42" s="40"/>
    </row>
    <row r="43" spans="1:53" s="29" customFormat="1" x14ac:dyDescent="0.15">
      <c r="A43" s="52">
        <v>1977</v>
      </c>
      <c r="B43" s="295"/>
      <c r="C43" s="411" t="s">
        <v>458</v>
      </c>
      <c r="D43" s="411"/>
      <c r="E43" s="29">
        <v>365</v>
      </c>
      <c r="F43" s="29">
        <v>1</v>
      </c>
      <c r="G43" s="66">
        <v>3</v>
      </c>
      <c r="H43" s="29">
        <v>2</v>
      </c>
      <c r="I43" s="29">
        <v>2</v>
      </c>
      <c r="J43" s="73">
        <v>7</v>
      </c>
      <c r="K43" s="47">
        <f t="shared" si="4"/>
        <v>42.857142857142854</v>
      </c>
      <c r="L43" s="47">
        <f t="shared" si="4"/>
        <v>28.571428571428569</v>
      </c>
      <c r="M43" s="47">
        <f t="shared" si="4"/>
        <v>28.571428571428569</v>
      </c>
      <c r="N43" s="68">
        <f t="shared" si="3"/>
        <v>99.999999999999986</v>
      </c>
      <c r="O43" s="46">
        <v>34</v>
      </c>
      <c r="P43" s="47">
        <v>23</v>
      </c>
      <c r="Q43" s="47">
        <v>27.5</v>
      </c>
      <c r="R43" s="48">
        <f t="shared" si="2"/>
        <v>84.5</v>
      </c>
      <c r="S43" s="29">
        <v>3</v>
      </c>
      <c r="T43" s="286"/>
      <c r="U43" s="295"/>
      <c r="V43" s="38" t="s">
        <v>131</v>
      </c>
      <c r="W43" s="29" t="s">
        <v>22</v>
      </c>
      <c r="X43" s="29" t="s">
        <v>11</v>
      </c>
      <c r="Y43" s="39">
        <v>23.5</v>
      </c>
      <c r="Z43" s="29" t="s">
        <v>80</v>
      </c>
      <c r="AA43" s="29" t="s">
        <v>17</v>
      </c>
      <c r="AB43" s="29" t="s">
        <v>18</v>
      </c>
      <c r="AC43" s="29">
        <v>23</v>
      </c>
      <c r="AD43" s="38" t="s">
        <v>454</v>
      </c>
      <c r="AE43" s="29" t="s">
        <v>20</v>
      </c>
      <c r="AF43" s="29" t="s">
        <v>12</v>
      </c>
      <c r="AG43" s="39">
        <v>27.5</v>
      </c>
      <c r="AH43" s="29" t="s">
        <v>328</v>
      </c>
      <c r="AI43" s="29" t="s">
        <v>869</v>
      </c>
      <c r="AJ43" s="29" t="s">
        <v>11</v>
      </c>
      <c r="AK43" s="29">
        <v>10.5</v>
      </c>
      <c r="AL43" s="38"/>
      <c r="AO43" s="39"/>
      <c r="AP43" s="38"/>
      <c r="AS43" s="39"/>
      <c r="AW43" s="39"/>
      <c r="BA43" s="40"/>
    </row>
    <row r="44" spans="1:53" s="29" customFormat="1" x14ac:dyDescent="0.15">
      <c r="A44" s="52">
        <v>1978</v>
      </c>
      <c r="B44" s="295"/>
      <c r="C44" s="411" t="s">
        <v>458</v>
      </c>
      <c r="D44" s="411"/>
      <c r="E44" s="29">
        <v>0</v>
      </c>
      <c r="G44" s="66">
        <v>3</v>
      </c>
      <c r="H44" s="29">
        <v>2</v>
      </c>
      <c r="I44" s="29">
        <v>2</v>
      </c>
      <c r="J44" s="73">
        <v>7</v>
      </c>
      <c r="K44" s="47">
        <f t="shared" si="4"/>
        <v>42.857142857142854</v>
      </c>
      <c r="L44" s="47">
        <f t="shared" si="4"/>
        <v>28.571428571428569</v>
      </c>
      <c r="M44" s="47">
        <f t="shared" si="4"/>
        <v>28.571428571428569</v>
      </c>
      <c r="N44" s="68">
        <f t="shared" si="3"/>
        <v>99.999999999999986</v>
      </c>
      <c r="O44" s="46">
        <v>34</v>
      </c>
      <c r="P44" s="47">
        <v>23</v>
      </c>
      <c r="Q44" s="47">
        <v>27.5</v>
      </c>
      <c r="R44" s="48">
        <f t="shared" si="2"/>
        <v>84.5</v>
      </c>
      <c r="S44" s="29">
        <v>3</v>
      </c>
      <c r="T44" s="286"/>
      <c r="U44" s="295"/>
      <c r="V44" s="38" t="s">
        <v>131</v>
      </c>
      <c r="W44" s="29" t="s">
        <v>22</v>
      </c>
      <c r="X44" s="29" t="s">
        <v>11</v>
      </c>
      <c r="Y44" s="39">
        <v>23.5</v>
      </c>
      <c r="Z44" s="29" t="s">
        <v>80</v>
      </c>
      <c r="AA44" s="29" t="s">
        <v>17</v>
      </c>
      <c r="AB44" s="29" t="s">
        <v>18</v>
      </c>
      <c r="AC44" s="29">
        <v>23</v>
      </c>
      <c r="AD44" s="38" t="s">
        <v>454</v>
      </c>
      <c r="AE44" s="29" t="s">
        <v>20</v>
      </c>
      <c r="AF44" s="29" t="s">
        <v>12</v>
      </c>
      <c r="AG44" s="39">
        <v>27.5</v>
      </c>
      <c r="AH44" s="29" t="s">
        <v>328</v>
      </c>
      <c r="AI44" s="29" t="s">
        <v>869</v>
      </c>
      <c r="AJ44" s="29" t="s">
        <v>11</v>
      </c>
      <c r="AK44" s="29">
        <v>10.5</v>
      </c>
      <c r="AL44" s="38"/>
      <c r="AO44" s="39"/>
      <c r="AP44" s="38"/>
      <c r="AS44" s="39"/>
      <c r="AW44" s="39"/>
      <c r="BA44" s="40"/>
    </row>
    <row r="45" spans="1:53" s="29" customFormat="1" x14ac:dyDescent="0.15">
      <c r="A45" s="52">
        <v>1978</v>
      </c>
      <c r="B45" s="295"/>
      <c r="C45" s="411" t="s">
        <v>423</v>
      </c>
      <c r="D45" s="411"/>
      <c r="E45" s="29">
        <v>365</v>
      </c>
      <c r="F45" s="29">
        <v>1</v>
      </c>
      <c r="G45" s="66">
        <v>3</v>
      </c>
      <c r="H45" s="29">
        <v>2</v>
      </c>
      <c r="I45" s="29">
        <v>2</v>
      </c>
      <c r="J45" s="73">
        <v>7</v>
      </c>
      <c r="K45" s="47">
        <f t="shared" si="4"/>
        <v>42.857142857142854</v>
      </c>
      <c r="L45" s="47">
        <f t="shared" si="4"/>
        <v>28.571428571428569</v>
      </c>
      <c r="M45" s="47">
        <f t="shared" si="4"/>
        <v>28.571428571428569</v>
      </c>
      <c r="N45" s="68">
        <f t="shared" si="3"/>
        <v>99.999999999999986</v>
      </c>
      <c r="O45" s="46">
        <v>34</v>
      </c>
      <c r="P45" s="47">
        <v>23</v>
      </c>
      <c r="Q45" s="47">
        <v>27.5</v>
      </c>
      <c r="R45" s="48">
        <f t="shared" si="2"/>
        <v>84.5</v>
      </c>
      <c r="S45" s="29">
        <v>3</v>
      </c>
      <c r="T45" s="286"/>
      <c r="U45" s="295"/>
      <c r="V45" s="38" t="s">
        <v>131</v>
      </c>
      <c r="W45" s="29" t="s">
        <v>22</v>
      </c>
      <c r="X45" s="29" t="s">
        <v>11</v>
      </c>
      <c r="Y45" s="39">
        <v>23.5</v>
      </c>
      <c r="Z45" s="29" t="s">
        <v>80</v>
      </c>
      <c r="AA45" s="29" t="s">
        <v>17</v>
      </c>
      <c r="AB45" s="29" t="s">
        <v>18</v>
      </c>
      <c r="AC45" s="29">
        <v>23</v>
      </c>
      <c r="AD45" s="38" t="s">
        <v>454</v>
      </c>
      <c r="AE45" s="29" t="s">
        <v>20</v>
      </c>
      <c r="AF45" s="29" t="s">
        <v>12</v>
      </c>
      <c r="AG45" s="39">
        <v>27.5</v>
      </c>
      <c r="AH45" s="29" t="s">
        <v>328</v>
      </c>
      <c r="AI45" s="29" t="s">
        <v>869</v>
      </c>
      <c r="AJ45" s="29" t="s">
        <v>11</v>
      </c>
      <c r="AK45" s="29">
        <v>10.5</v>
      </c>
      <c r="AL45" s="38"/>
      <c r="AO45" s="39"/>
      <c r="AP45" s="38"/>
      <c r="AS45" s="39"/>
      <c r="AW45" s="39"/>
      <c r="BA45" s="40"/>
    </row>
    <row r="46" spans="1:53" s="29" customFormat="1" x14ac:dyDescent="0.15">
      <c r="A46" s="52">
        <v>1979</v>
      </c>
      <c r="B46" s="295"/>
      <c r="C46" s="411" t="s">
        <v>423</v>
      </c>
      <c r="D46" s="411"/>
      <c r="E46" s="29">
        <v>360</v>
      </c>
      <c r="G46" s="66">
        <v>3</v>
      </c>
      <c r="H46" s="29">
        <v>2</v>
      </c>
      <c r="I46" s="29">
        <v>2</v>
      </c>
      <c r="J46" s="73">
        <v>7</v>
      </c>
      <c r="K46" s="47">
        <f t="shared" si="4"/>
        <v>42.857142857142854</v>
      </c>
      <c r="L46" s="47">
        <f t="shared" si="4"/>
        <v>28.571428571428569</v>
      </c>
      <c r="M46" s="47">
        <f t="shared" si="4"/>
        <v>28.571428571428569</v>
      </c>
      <c r="N46" s="68">
        <f t="shared" si="3"/>
        <v>99.999999999999986</v>
      </c>
      <c r="O46" s="46">
        <v>34</v>
      </c>
      <c r="P46" s="47">
        <v>23</v>
      </c>
      <c r="Q46" s="47">
        <v>27.5</v>
      </c>
      <c r="R46" s="48">
        <f t="shared" si="2"/>
        <v>84.5</v>
      </c>
      <c r="S46" s="29">
        <v>3</v>
      </c>
      <c r="T46" s="286"/>
      <c r="U46" s="295"/>
      <c r="V46" s="38" t="s">
        <v>131</v>
      </c>
      <c r="W46" s="29" t="s">
        <v>22</v>
      </c>
      <c r="X46" s="29" t="s">
        <v>11</v>
      </c>
      <c r="Y46" s="39">
        <v>23.5</v>
      </c>
      <c r="Z46" s="29" t="s">
        <v>80</v>
      </c>
      <c r="AA46" s="29" t="s">
        <v>17</v>
      </c>
      <c r="AB46" s="29" t="s">
        <v>18</v>
      </c>
      <c r="AC46" s="29">
        <v>23</v>
      </c>
      <c r="AD46" s="38" t="s">
        <v>454</v>
      </c>
      <c r="AE46" s="29" t="s">
        <v>20</v>
      </c>
      <c r="AF46" s="29" t="s">
        <v>12</v>
      </c>
      <c r="AG46" s="39">
        <v>27.5</v>
      </c>
      <c r="AH46" s="29" t="s">
        <v>328</v>
      </c>
      <c r="AI46" s="29" t="s">
        <v>869</v>
      </c>
      <c r="AJ46" s="29" t="s">
        <v>11</v>
      </c>
      <c r="AK46" s="29">
        <v>10.5</v>
      </c>
      <c r="AL46" s="38"/>
      <c r="AO46" s="39"/>
      <c r="AP46" s="38"/>
      <c r="AS46" s="39"/>
      <c r="AW46" s="39"/>
      <c r="BA46" s="40"/>
    </row>
    <row r="47" spans="1:53" s="171" customFormat="1" x14ac:dyDescent="0.15">
      <c r="A47" s="216">
        <v>1979</v>
      </c>
      <c r="B47" s="283">
        <v>29216</v>
      </c>
      <c r="C47" s="410" t="s">
        <v>424</v>
      </c>
      <c r="D47" s="410"/>
      <c r="E47" s="171">
        <f>365-E46</f>
        <v>5</v>
      </c>
      <c r="F47" s="171">
        <v>1</v>
      </c>
      <c r="G47" s="233">
        <v>3</v>
      </c>
      <c r="H47" s="171">
        <v>2</v>
      </c>
      <c r="I47" s="171">
        <v>2</v>
      </c>
      <c r="J47" s="241">
        <v>7</v>
      </c>
      <c r="K47" s="214">
        <f t="shared" si="4"/>
        <v>42.857142857142854</v>
      </c>
      <c r="L47" s="214">
        <f t="shared" si="4"/>
        <v>28.571428571428569</v>
      </c>
      <c r="M47" s="214">
        <f t="shared" si="4"/>
        <v>28.571428571428569</v>
      </c>
      <c r="N47" s="235">
        <f t="shared" si="3"/>
        <v>99.999999999999986</v>
      </c>
      <c r="O47" s="213">
        <v>37</v>
      </c>
      <c r="P47" s="214">
        <v>22</v>
      </c>
      <c r="Q47" s="214">
        <v>25.5</v>
      </c>
      <c r="R47" s="215">
        <f t="shared" si="2"/>
        <v>84.5</v>
      </c>
      <c r="S47" s="171">
        <v>3</v>
      </c>
      <c r="T47" s="285">
        <v>29149</v>
      </c>
      <c r="U47" s="283">
        <v>29216</v>
      </c>
      <c r="V47" s="178" t="s">
        <v>131</v>
      </c>
      <c r="W47" s="171" t="s">
        <v>22</v>
      </c>
      <c r="X47" s="171" t="s">
        <v>11</v>
      </c>
      <c r="Y47" s="179">
        <v>25.5</v>
      </c>
      <c r="Z47" s="171" t="s">
        <v>80</v>
      </c>
      <c r="AA47" s="171" t="s">
        <v>17</v>
      </c>
      <c r="AB47" s="171" t="s">
        <v>18</v>
      </c>
      <c r="AC47" s="171">
        <v>22</v>
      </c>
      <c r="AD47" s="178" t="s">
        <v>454</v>
      </c>
      <c r="AE47" s="171" t="s">
        <v>20</v>
      </c>
      <c r="AF47" s="171" t="s">
        <v>12</v>
      </c>
      <c r="AG47" s="179">
        <v>25.5</v>
      </c>
      <c r="AH47" s="171" t="s">
        <v>328</v>
      </c>
      <c r="AI47" s="171" t="s">
        <v>869</v>
      </c>
      <c r="AJ47" s="171" t="s">
        <v>11</v>
      </c>
      <c r="AK47" s="171">
        <v>11.5</v>
      </c>
      <c r="AL47" s="178"/>
      <c r="AO47" s="179"/>
      <c r="AP47" s="178"/>
      <c r="AS47" s="179"/>
      <c r="AW47" s="179"/>
      <c r="BA47" s="180"/>
    </row>
    <row r="48" spans="1:53" s="171" customFormat="1" x14ac:dyDescent="0.15">
      <c r="A48" s="216">
        <v>1980</v>
      </c>
      <c r="B48" s="283"/>
      <c r="C48" s="410" t="s">
        <v>424</v>
      </c>
      <c r="D48" s="410"/>
      <c r="E48" s="171">
        <v>0</v>
      </c>
      <c r="G48" s="233">
        <v>3</v>
      </c>
      <c r="H48" s="171">
        <v>2</v>
      </c>
      <c r="I48" s="171">
        <v>2</v>
      </c>
      <c r="J48" s="241">
        <v>7</v>
      </c>
      <c r="K48" s="214">
        <f t="shared" si="4"/>
        <v>42.857142857142854</v>
      </c>
      <c r="L48" s="214">
        <f t="shared" si="4"/>
        <v>28.571428571428569</v>
      </c>
      <c r="M48" s="214">
        <f t="shared" si="4"/>
        <v>28.571428571428569</v>
      </c>
      <c r="N48" s="235">
        <f t="shared" si="3"/>
        <v>99.999999999999986</v>
      </c>
      <c r="O48" s="213">
        <v>37</v>
      </c>
      <c r="P48" s="214">
        <v>22</v>
      </c>
      <c r="Q48" s="214">
        <v>25.5</v>
      </c>
      <c r="R48" s="215">
        <f t="shared" si="2"/>
        <v>84.5</v>
      </c>
      <c r="S48" s="171">
        <v>3</v>
      </c>
      <c r="T48" s="285"/>
      <c r="U48" s="283"/>
      <c r="V48" s="178" t="s">
        <v>131</v>
      </c>
      <c r="W48" s="171" t="s">
        <v>22</v>
      </c>
      <c r="X48" s="171" t="s">
        <v>11</v>
      </c>
      <c r="Y48" s="179">
        <v>25.5</v>
      </c>
      <c r="Z48" s="171" t="s">
        <v>80</v>
      </c>
      <c r="AA48" s="171" t="s">
        <v>17</v>
      </c>
      <c r="AB48" s="171" t="s">
        <v>18</v>
      </c>
      <c r="AC48" s="171">
        <v>22</v>
      </c>
      <c r="AD48" s="178" t="s">
        <v>454</v>
      </c>
      <c r="AE48" s="171" t="s">
        <v>20</v>
      </c>
      <c r="AF48" s="171" t="s">
        <v>12</v>
      </c>
      <c r="AG48" s="179">
        <v>25.5</v>
      </c>
      <c r="AH48" s="171" t="s">
        <v>328</v>
      </c>
      <c r="AI48" s="171" t="s">
        <v>869</v>
      </c>
      <c r="AJ48" s="171" t="s">
        <v>11</v>
      </c>
      <c r="AK48" s="171">
        <v>11.5</v>
      </c>
      <c r="AL48" s="178"/>
      <c r="AO48" s="179"/>
      <c r="AP48" s="178"/>
      <c r="AS48" s="179"/>
      <c r="AW48" s="179"/>
      <c r="BA48" s="180"/>
    </row>
    <row r="49" spans="1:53" s="171" customFormat="1" x14ac:dyDescent="0.15">
      <c r="A49" s="216">
        <v>1980</v>
      </c>
      <c r="B49" s="283"/>
      <c r="C49" s="410" t="s">
        <v>425</v>
      </c>
      <c r="D49" s="410"/>
      <c r="E49" s="171">
        <v>366</v>
      </c>
      <c r="F49" s="171">
        <v>1</v>
      </c>
      <c r="G49" s="233">
        <v>3</v>
      </c>
      <c r="H49" s="171">
        <v>2</v>
      </c>
      <c r="I49" s="171">
        <v>2</v>
      </c>
      <c r="J49" s="241">
        <v>7</v>
      </c>
      <c r="K49" s="214">
        <f t="shared" si="4"/>
        <v>42.857142857142854</v>
      </c>
      <c r="L49" s="214">
        <f t="shared" si="4"/>
        <v>28.571428571428569</v>
      </c>
      <c r="M49" s="214">
        <f t="shared" si="4"/>
        <v>28.571428571428569</v>
      </c>
      <c r="N49" s="235">
        <f t="shared" si="3"/>
        <v>99.999999999999986</v>
      </c>
      <c r="O49" s="213">
        <v>37</v>
      </c>
      <c r="P49" s="214">
        <v>22</v>
      </c>
      <c r="Q49" s="214">
        <v>25.5</v>
      </c>
      <c r="R49" s="215">
        <f t="shared" si="2"/>
        <v>84.5</v>
      </c>
      <c r="S49" s="171">
        <v>3</v>
      </c>
      <c r="T49" s="285"/>
      <c r="U49" s="283"/>
      <c r="V49" s="178" t="s">
        <v>131</v>
      </c>
      <c r="W49" s="171" t="s">
        <v>22</v>
      </c>
      <c r="X49" s="171" t="s">
        <v>11</v>
      </c>
      <c r="Y49" s="179">
        <v>25.5</v>
      </c>
      <c r="Z49" s="171" t="s">
        <v>80</v>
      </c>
      <c r="AA49" s="171" t="s">
        <v>17</v>
      </c>
      <c r="AB49" s="171" t="s">
        <v>18</v>
      </c>
      <c r="AC49" s="171">
        <v>22</v>
      </c>
      <c r="AD49" s="178" t="s">
        <v>454</v>
      </c>
      <c r="AE49" s="171" t="s">
        <v>20</v>
      </c>
      <c r="AF49" s="171" t="s">
        <v>12</v>
      </c>
      <c r="AG49" s="179">
        <v>25.5</v>
      </c>
      <c r="AH49" s="171" t="s">
        <v>328</v>
      </c>
      <c r="AI49" s="171" t="s">
        <v>869</v>
      </c>
      <c r="AJ49" s="171" t="s">
        <v>11</v>
      </c>
      <c r="AK49" s="171">
        <v>11.5</v>
      </c>
      <c r="AL49" s="178"/>
      <c r="AO49" s="179"/>
      <c r="AP49" s="178"/>
      <c r="AS49" s="179"/>
      <c r="AW49" s="179"/>
      <c r="BA49" s="180"/>
    </row>
    <row r="50" spans="1:53" s="171" customFormat="1" x14ac:dyDescent="0.15">
      <c r="A50" s="216">
        <v>1981</v>
      </c>
      <c r="B50" s="283"/>
      <c r="C50" s="410" t="s">
        <v>425</v>
      </c>
      <c r="D50" s="410"/>
      <c r="E50" s="171">
        <v>0</v>
      </c>
      <c r="G50" s="233">
        <v>3</v>
      </c>
      <c r="H50" s="171">
        <v>2</v>
      </c>
      <c r="I50" s="171">
        <v>2</v>
      </c>
      <c r="J50" s="241">
        <v>7</v>
      </c>
      <c r="K50" s="214">
        <f t="shared" si="4"/>
        <v>42.857142857142854</v>
      </c>
      <c r="L50" s="214">
        <f t="shared" si="4"/>
        <v>28.571428571428569</v>
      </c>
      <c r="M50" s="214">
        <f t="shared" si="4"/>
        <v>28.571428571428569</v>
      </c>
      <c r="N50" s="235">
        <f t="shared" si="3"/>
        <v>99.999999999999986</v>
      </c>
      <c r="O50" s="213">
        <v>37</v>
      </c>
      <c r="P50" s="214">
        <v>22</v>
      </c>
      <c r="Q50" s="214">
        <v>25.5</v>
      </c>
      <c r="R50" s="215">
        <f t="shared" si="2"/>
        <v>84.5</v>
      </c>
      <c r="S50" s="171">
        <v>3</v>
      </c>
      <c r="T50" s="285"/>
      <c r="U50" s="283"/>
      <c r="V50" s="178" t="s">
        <v>131</v>
      </c>
      <c r="W50" s="171" t="s">
        <v>22</v>
      </c>
      <c r="X50" s="171" t="s">
        <v>11</v>
      </c>
      <c r="Y50" s="179">
        <v>25.5</v>
      </c>
      <c r="Z50" s="171" t="s">
        <v>80</v>
      </c>
      <c r="AA50" s="171" t="s">
        <v>17</v>
      </c>
      <c r="AB50" s="171" t="s">
        <v>18</v>
      </c>
      <c r="AC50" s="171">
        <v>22</v>
      </c>
      <c r="AD50" s="178" t="s">
        <v>454</v>
      </c>
      <c r="AE50" s="171" t="s">
        <v>20</v>
      </c>
      <c r="AF50" s="171" t="s">
        <v>12</v>
      </c>
      <c r="AG50" s="179">
        <v>25.5</v>
      </c>
      <c r="AH50" s="171" t="s">
        <v>328</v>
      </c>
      <c r="AI50" s="171" t="s">
        <v>869</v>
      </c>
      <c r="AJ50" s="171" t="s">
        <v>11</v>
      </c>
      <c r="AK50" s="171">
        <v>11.5</v>
      </c>
      <c r="AL50" s="178"/>
      <c r="AO50" s="179"/>
      <c r="AP50" s="178"/>
      <c r="AS50" s="179"/>
      <c r="AW50" s="179"/>
      <c r="BA50" s="180"/>
    </row>
    <row r="51" spans="1:53" s="171" customFormat="1" x14ac:dyDescent="0.15">
      <c r="A51" s="216">
        <v>1981</v>
      </c>
      <c r="B51" s="283"/>
      <c r="C51" s="410" t="s">
        <v>426</v>
      </c>
      <c r="D51" s="410"/>
      <c r="E51" s="171">
        <v>365</v>
      </c>
      <c r="F51" s="171">
        <v>1</v>
      </c>
      <c r="G51" s="233">
        <v>3</v>
      </c>
      <c r="H51" s="171">
        <v>2</v>
      </c>
      <c r="I51" s="171">
        <v>2</v>
      </c>
      <c r="J51" s="241">
        <v>7</v>
      </c>
      <c r="K51" s="214">
        <f t="shared" si="4"/>
        <v>42.857142857142854</v>
      </c>
      <c r="L51" s="214">
        <f t="shared" si="4"/>
        <v>28.571428571428569</v>
      </c>
      <c r="M51" s="214">
        <f t="shared" si="4"/>
        <v>28.571428571428569</v>
      </c>
      <c r="N51" s="235">
        <f t="shared" si="3"/>
        <v>99.999999999999986</v>
      </c>
      <c r="O51" s="213">
        <v>37</v>
      </c>
      <c r="P51" s="214">
        <v>22</v>
      </c>
      <c r="Q51" s="214">
        <v>25.5</v>
      </c>
      <c r="R51" s="215">
        <f t="shared" si="2"/>
        <v>84.5</v>
      </c>
      <c r="S51" s="171">
        <v>3</v>
      </c>
      <c r="T51" s="285"/>
      <c r="U51" s="283"/>
      <c r="V51" s="178" t="s">
        <v>131</v>
      </c>
      <c r="W51" s="171" t="s">
        <v>22</v>
      </c>
      <c r="X51" s="171" t="s">
        <v>11</v>
      </c>
      <c r="Y51" s="179">
        <v>25.5</v>
      </c>
      <c r="Z51" s="171" t="s">
        <v>80</v>
      </c>
      <c r="AA51" s="171" t="s">
        <v>17</v>
      </c>
      <c r="AB51" s="171" t="s">
        <v>18</v>
      </c>
      <c r="AC51" s="171">
        <v>22</v>
      </c>
      <c r="AD51" s="178" t="s">
        <v>454</v>
      </c>
      <c r="AE51" s="171" t="s">
        <v>20</v>
      </c>
      <c r="AF51" s="171" t="s">
        <v>12</v>
      </c>
      <c r="AG51" s="179">
        <v>25.5</v>
      </c>
      <c r="AH51" s="171" t="s">
        <v>328</v>
      </c>
      <c r="AI51" s="171" t="s">
        <v>869</v>
      </c>
      <c r="AJ51" s="171" t="s">
        <v>11</v>
      </c>
      <c r="AK51" s="171">
        <v>11.5</v>
      </c>
      <c r="AL51" s="178"/>
      <c r="AO51" s="179"/>
      <c r="AP51" s="178"/>
      <c r="AS51" s="179"/>
      <c r="AW51" s="179"/>
      <c r="BA51" s="180"/>
    </row>
    <row r="52" spans="1:53" s="171" customFormat="1" x14ac:dyDescent="0.15">
      <c r="A52" s="216">
        <v>1982</v>
      </c>
      <c r="B52" s="283"/>
      <c r="C52" s="410" t="s">
        <v>426</v>
      </c>
      <c r="D52" s="410"/>
      <c r="E52" s="171">
        <v>0</v>
      </c>
      <c r="G52" s="233">
        <v>3</v>
      </c>
      <c r="H52" s="171">
        <v>2</v>
      </c>
      <c r="I52" s="171">
        <v>2</v>
      </c>
      <c r="J52" s="241">
        <v>7</v>
      </c>
      <c r="K52" s="214">
        <f t="shared" si="4"/>
        <v>42.857142857142854</v>
      </c>
      <c r="L52" s="214">
        <f t="shared" si="4"/>
        <v>28.571428571428569</v>
      </c>
      <c r="M52" s="214">
        <f t="shared" si="4"/>
        <v>28.571428571428569</v>
      </c>
      <c r="N52" s="235">
        <f t="shared" si="3"/>
        <v>99.999999999999986</v>
      </c>
      <c r="O52" s="213">
        <v>37</v>
      </c>
      <c r="P52" s="214">
        <v>22</v>
      </c>
      <c r="Q52" s="214">
        <v>25.5</v>
      </c>
      <c r="R52" s="215">
        <f t="shared" si="2"/>
        <v>84.5</v>
      </c>
      <c r="S52" s="171">
        <v>3</v>
      </c>
      <c r="T52" s="285"/>
      <c r="U52" s="283"/>
      <c r="V52" s="178" t="s">
        <v>131</v>
      </c>
      <c r="W52" s="171" t="s">
        <v>22</v>
      </c>
      <c r="X52" s="171" t="s">
        <v>11</v>
      </c>
      <c r="Y52" s="179">
        <v>25.5</v>
      </c>
      <c r="Z52" s="171" t="s">
        <v>80</v>
      </c>
      <c r="AA52" s="171" t="s">
        <v>17</v>
      </c>
      <c r="AB52" s="171" t="s">
        <v>18</v>
      </c>
      <c r="AC52" s="171">
        <v>22</v>
      </c>
      <c r="AD52" s="178" t="s">
        <v>454</v>
      </c>
      <c r="AE52" s="171" t="s">
        <v>20</v>
      </c>
      <c r="AF52" s="171" t="s">
        <v>12</v>
      </c>
      <c r="AG52" s="179">
        <v>25.5</v>
      </c>
      <c r="AH52" s="171" t="s">
        <v>328</v>
      </c>
      <c r="AI52" s="171" t="s">
        <v>869</v>
      </c>
      <c r="AJ52" s="171" t="s">
        <v>11</v>
      </c>
      <c r="AK52" s="171">
        <v>11.5</v>
      </c>
      <c r="AL52" s="178"/>
      <c r="AO52" s="179"/>
      <c r="AP52" s="178"/>
      <c r="AS52" s="179"/>
      <c r="AW52" s="179"/>
      <c r="BA52" s="180"/>
    </row>
    <row r="53" spans="1:53" s="171" customFormat="1" x14ac:dyDescent="0.15">
      <c r="A53" s="216">
        <v>1982</v>
      </c>
      <c r="B53" s="283"/>
      <c r="C53" s="410" t="s">
        <v>459</v>
      </c>
      <c r="D53" s="410"/>
      <c r="E53" s="171">
        <v>365</v>
      </c>
      <c r="F53" s="171">
        <v>1</v>
      </c>
      <c r="G53" s="233">
        <v>3</v>
      </c>
      <c r="H53" s="171">
        <v>2</v>
      </c>
      <c r="I53" s="171">
        <v>2</v>
      </c>
      <c r="J53" s="241">
        <v>7</v>
      </c>
      <c r="K53" s="214">
        <f t="shared" si="4"/>
        <v>42.857142857142854</v>
      </c>
      <c r="L53" s="214">
        <f t="shared" si="4"/>
        <v>28.571428571428569</v>
      </c>
      <c r="M53" s="214">
        <f t="shared" si="4"/>
        <v>28.571428571428569</v>
      </c>
      <c r="N53" s="235">
        <f t="shared" si="3"/>
        <v>99.999999999999986</v>
      </c>
      <c r="O53" s="213">
        <v>37</v>
      </c>
      <c r="P53" s="214">
        <v>22</v>
      </c>
      <c r="Q53" s="214">
        <v>25.5</v>
      </c>
      <c r="R53" s="215">
        <f t="shared" si="2"/>
        <v>84.5</v>
      </c>
      <c r="S53" s="171">
        <v>3</v>
      </c>
      <c r="T53" s="285"/>
      <c r="U53" s="283"/>
      <c r="V53" s="178" t="s">
        <v>131</v>
      </c>
      <c r="W53" s="171" t="s">
        <v>22</v>
      </c>
      <c r="X53" s="171" t="s">
        <v>11</v>
      </c>
      <c r="Y53" s="179">
        <v>25.5</v>
      </c>
      <c r="Z53" s="171" t="s">
        <v>80</v>
      </c>
      <c r="AA53" s="171" t="s">
        <v>17</v>
      </c>
      <c r="AB53" s="171" t="s">
        <v>18</v>
      </c>
      <c r="AC53" s="171">
        <v>22</v>
      </c>
      <c r="AD53" s="178" t="s">
        <v>454</v>
      </c>
      <c r="AE53" s="171" t="s">
        <v>20</v>
      </c>
      <c r="AF53" s="171" t="s">
        <v>12</v>
      </c>
      <c r="AG53" s="179">
        <v>25.5</v>
      </c>
      <c r="AH53" s="171" t="s">
        <v>328</v>
      </c>
      <c r="AI53" s="171" t="s">
        <v>869</v>
      </c>
      <c r="AJ53" s="171" t="s">
        <v>11</v>
      </c>
      <c r="AK53" s="171">
        <v>11.5</v>
      </c>
      <c r="AL53" s="178"/>
      <c r="AO53" s="179"/>
      <c r="AP53" s="178"/>
      <c r="AS53" s="179"/>
      <c r="AW53" s="179"/>
      <c r="BA53" s="180"/>
    </row>
    <row r="54" spans="1:53" s="171" customFormat="1" x14ac:dyDescent="0.15">
      <c r="A54" s="216">
        <v>1983</v>
      </c>
      <c r="B54" s="283"/>
      <c r="C54" s="410" t="s">
        <v>459</v>
      </c>
      <c r="D54" s="410"/>
      <c r="E54" s="171">
        <v>352</v>
      </c>
      <c r="G54" s="233">
        <v>3</v>
      </c>
      <c r="H54" s="171">
        <v>2</v>
      </c>
      <c r="I54" s="171">
        <v>2</v>
      </c>
      <c r="J54" s="241">
        <v>7</v>
      </c>
      <c r="K54" s="214">
        <f t="shared" si="4"/>
        <v>42.857142857142854</v>
      </c>
      <c r="L54" s="214">
        <f t="shared" si="4"/>
        <v>28.571428571428569</v>
      </c>
      <c r="M54" s="214">
        <f t="shared" si="4"/>
        <v>28.571428571428569</v>
      </c>
      <c r="N54" s="235">
        <f t="shared" si="3"/>
        <v>99.999999999999986</v>
      </c>
      <c r="O54" s="213">
        <v>37</v>
      </c>
      <c r="P54" s="214">
        <v>22</v>
      </c>
      <c r="Q54" s="214">
        <v>25.5</v>
      </c>
      <c r="R54" s="215">
        <f t="shared" si="2"/>
        <v>84.5</v>
      </c>
      <c r="S54" s="171">
        <v>3</v>
      </c>
      <c r="T54" s="285"/>
      <c r="U54" s="283"/>
      <c r="V54" s="178" t="s">
        <v>131</v>
      </c>
      <c r="W54" s="171" t="s">
        <v>22</v>
      </c>
      <c r="X54" s="171" t="s">
        <v>11</v>
      </c>
      <c r="Y54" s="179">
        <v>25.5</v>
      </c>
      <c r="Z54" s="171" t="s">
        <v>80</v>
      </c>
      <c r="AA54" s="171" t="s">
        <v>17</v>
      </c>
      <c r="AB54" s="171" t="s">
        <v>18</v>
      </c>
      <c r="AC54" s="171">
        <v>22</v>
      </c>
      <c r="AD54" s="178" t="s">
        <v>454</v>
      </c>
      <c r="AE54" s="171" t="s">
        <v>20</v>
      </c>
      <c r="AF54" s="171" t="s">
        <v>12</v>
      </c>
      <c r="AG54" s="179">
        <v>25.5</v>
      </c>
      <c r="AH54" s="171" t="s">
        <v>328</v>
      </c>
      <c r="AI54" s="171" t="s">
        <v>869</v>
      </c>
      <c r="AJ54" s="171" t="s">
        <v>11</v>
      </c>
      <c r="AK54" s="171">
        <v>11.5</v>
      </c>
      <c r="AL54" s="178"/>
      <c r="AO54" s="179"/>
      <c r="AP54" s="178"/>
      <c r="AS54" s="179"/>
      <c r="AW54" s="179"/>
      <c r="BA54" s="180"/>
    </row>
    <row r="55" spans="1:53" s="29" customFormat="1" x14ac:dyDescent="0.15">
      <c r="A55" s="52">
        <v>1983</v>
      </c>
      <c r="B55" s="295">
        <v>30669</v>
      </c>
      <c r="C55" s="411" t="s">
        <v>427</v>
      </c>
      <c r="D55" s="411"/>
      <c r="E55" s="29">
        <f>365-E54</f>
        <v>13</v>
      </c>
      <c r="F55" s="29">
        <v>1</v>
      </c>
      <c r="G55" s="66">
        <v>3</v>
      </c>
      <c r="H55" s="29">
        <v>2</v>
      </c>
      <c r="I55" s="29">
        <v>2</v>
      </c>
      <c r="J55" s="73">
        <v>7</v>
      </c>
      <c r="K55" s="47">
        <f t="shared" si="4"/>
        <v>42.857142857142854</v>
      </c>
      <c r="L55" s="47">
        <f t="shared" si="4"/>
        <v>28.571428571428569</v>
      </c>
      <c r="M55" s="47">
        <f t="shared" si="4"/>
        <v>28.571428571428569</v>
      </c>
      <c r="N55" s="68">
        <f t="shared" si="3"/>
        <v>99.999999999999986</v>
      </c>
      <c r="O55" s="46">
        <v>38.5</v>
      </c>
      <c r="P55" s="47">
        <v>21</v>
      </c>
      <c r="Q55" s="47">
        <v>23.5</v>
      </c>
      <c r="R55" s="48">
        <f t="shared" si="2"/>
        <v>83</v>
      </c>
      <c r="S55" s="29">
        <v>3</v>
      </c>
      <c r="T55" s="286">
        <v>30612</v>
      </c>
      <c r="U55" s="295">
        <v>30669</v>
      </c>
      <c r="V55" s="38" t="s">
        <v>131</v>
      </c>
      <c r="W55" s="29" t="s">
        <v>22</v>
      </c>
      <c r="X55" s="29" t="s">
        <v>11</v>
      </c>
      <c r="Y55" s="39">
        <v>27</v>
      </c>
      <c r="Z55" s="29" t="s">
        <v>80</v>
      </c>
      <c r="AA55" s="29" t="s">
        <v>17</v>
      </c>
      <c r="AB55" s="29" t="s">
        <v>18</v>
      </c>
      <c r="AC55" s="29">
        <v>21</v>
      </c>
      <c r="AD55" s="38" t="s">
        <v>454</v>
      </c>
      <c r="AE55" s="29" t="s">
        <v>20</v>
      </c>
      <c r="AF55" s="29" t="s">
        <v>12</v>
      </c>
      <c r="AG55" s="39">
        <v>23.5</v>
      </c>
      <c r="AH55" s="29" t="s">
        <v>328</v>
      </c>
      <c r="AI55" s="29" t="s">
        <v>869</v>
      </c>
      <c r="AJ55" s="29" t="s">
        <v>11</v>
      </c>
      <c r="AK55" s="29">
        <v>11.5</v>
      </c>
      <c r="AL55" s="38"/>
      <c r="AO55" s="39"/>
      <c r="AP55" s="38"/>
      <c r="AS55" s="39"/>
      <c r="AW55" s="39"/>
      <c r="BA55" s="40"/>
    </row>
    <row r="56" spans="1:53" s="29" customFormat="1" x14ac:dyDescent="0.15">
      <c r="A56" s="52">
        <v>1984</v>
      </c>
      <c r="B56" s="295"/>
      <c r="C56" s="411" t="s">
        <v>427</v>
      </c>
      <c r="D56" s="411"/>
      <c r="E56" s="29">
        <v>0</v>
      </c>
      <c r="G56" s="66">
        <v>3</v>
      </c>
      <c r="H56" s="29">
        <v>2</v>
      </c>
      <c r="I56" s="29">
        <v>2</v>
      </c>
      <c r="J56" s="73">
        <v>7</v>
      </c>
      <c r="K56" s="47">
        <f t="shared" si="4"/>
        <v>42.857142857142854</v>
      </c>
      <c r="L56" s="47">
        <f t="shared" si="4"/>
        <v>28.571428571428569</v>
      </c>
      <c r="M56" s="47">
        <f t="shared" si="4"/>
        <v>28.571428571428569</v>
      </c>
      <c r="N56" s="68">
        <f t="shared" si="3"/>
        <v>99.999999999999986</v>
      </c>
      <c r="O56" s="46">
        <v>38.5</v>
      </c>
      <c r="P56" s="47">
        <v>21</v>
      </c>
      <c r="Q56" s="47">
        <v>23.5</v>
      </c>
      <c r="R56" s="48">
        <f t="shared" si="2"/>
        <v>83</v>
      </c>
      <c r="S56" s="29">
        <v>3</v>
      </c>
      <c r="T56" s="286"/>
      <c r="U56" s="295"/>
      <c r="V56" s="38" t="s">
        <v>131</v>
      </c>
      <c r="W56" s="29" t="s">
        <v>22</v>
      </c>
      <c r="X56" s="29" t="s">
        <v>11</v>
      </c>
      <c r="Y56" s="39">
        <v>27</v>
      </c>
      <c r="Z56" s="29" t="s">
        <v>80</v>
      </c>
      <c r="AA56" s="29" t="s">
        <v>17</v>
      </c>
      <c r="AB56" s="29" t="s">
        <v>18</v>
      </c>
      <c r="AC56" s="29">
        <v>21</v>
      </c>
      <c r="AD56" s="38" t="s">
        <v>454</v>
      </c>
      <c r="AE56" s="29" t="s">
        <v>20</v>
      </c>
      <c r="AF56" s="29" t="s">
        <v>12</v>
      </c>
      <c r="AG56" s="39">
        <v>23.5</v>
      </c>
      <c r="AH56" s="29" t="s">
        <v>328</v>
      </c>
      <c r="AI56" s="29" t="s">
        <v>869</v>
      </c>
      <c r="AJ56" s="29" t="s">
        <v>11</v>
      </c>
      <c r="AK56" s="29">
        <v>11.5</v>
      </c>
      <c r="AL56" s="38"/>
      <c r="AO56" s="39"/>
      <c r="AP56" s="38"/>
      <c r="AS56" s="39"/>
      <c r="AW56" s="39"/>
      <c r="BA56" s="40"/>
    </row>
    <row r="57" spans="1:53" s="29" customFormat="1" x14ac:dyDescent="0.15">
      <c r="A57" s="52">
        <v>1984</v>
      </c>
      <c r="B57" s="295"/>
      <c r="C57" s="411" t="s">
        <v>428</v>
      </c>
      <c r="D57" s="411"/>
      <c r="E57" s="29">
        <v>366</v>
      </c>
      <c r="F57" s="29">
        <v>1</v>
      </c>
      <c r="G57" s="66">
        <v>3</v>
      </c>
      <c r="H57" s="29">
        <v>2</v>
      </c>
      <c r="I57" s="29">
        <v>2</v>
      </c>
      <c r="J57" s="73">
        <v>7</v>
      </c>
      <c r="K57" s="47">
        <f t="shared" si="4"/>
        <v>42.857142857142854</v>
      </c>
      <c r="L57" s="47">
        <f t="shared" si="4"/>
        <v>28.571428571428569</v>
      </c>
      <c r="M57" s="47">
        <f t="shared" si="4"/>
        <v>28.571428571428569</v>
      </c>
      <c r="N57" s="68">
        <f t="shared" si="3"/>
        <v>99.999999999999986</v>
      </c>
      <c r="O57" s="46">
        <v>38.5</v>
      </c>
      <c r="P57" s="47">
        <v>21</v>
      </c>
      <c r="Q57" s="47">
        <v>23.5</v>
      </c>
      <c r="R57" s="48">
        <f t="shared" si="2"/>
        <v>83</v>
      </c>
      <c r="S57" s="29">
        <v>3</v>
      </c>
      <c r="T57" s="286"/>
      <c r="U57" s="295"/>
      <c r="V57" s="38" t="s">
        <v>131</v>
      </c>
      <c r="W57" s="29" t="s">
        <v>22</v>
      </c>
      <c r="X57" s="29" t="s">
        <v>11</v>
      </c>
      <c r="Y57" s="39">
        <v>27</v>
      </c>
      <c r="Z57" s="29" t="s">
        <v>80</v>
      </c>
      <c r="AA57" s="29" t="s">
        <v>17</v>
      </c>
      <c r="AB57" s="29" t="s">
        <v>18</v>
      </c>
      <c r="AC57" s="29">
        <v>21</v>
      </c>
      <c r="AD57" s="38" t="s">
        <v>454</v>
      </c>
      <c r="AE57" s="29" t="s">
        <v>20</v>
      </c>
      <c r="AF57" s="29" t="s">
        <v>12</v>
      </c>
      <c r="AG57" s="39">
        <v>23.5</v>
      </c>
      <c r="AH57" s="29" t="s">
        <v>328</v>
      </c>
      <c r="AI57" s="29" t="s">
        <v>869</v>
      </c>
      <c r="AJ57" s="29" t="s">
        <v>11</v>
      </c>
      <c r="AK57" s="29">
        <v>11.5</v>
      </c>
      <c r="AL57" s="38"/>
      <c r="AO57" s="39"/>
      <c r="AP57" s="38"/>
      <c r="AS57" s="39"/>
      <c r="AW57" s="39"/>
      <c r="BA57" s="40"/>
    </row>
    <row r="58" spans="1:53" s="29" customFormat="1" x14ac:dyDescent="0.15">
      <c r="A58" s="52">
        <v>1985</v>
      </c>
      <c r="B58" s="295"/>
      <c r="C58" s="411" t="s">
        <v>428</v>
      </c>
      <c r="D58" s="411"/>
      <c r="E58" s="29">
        <v>0</v>
      </c>
      <c r="G58" s="66">
        <v>3</v>
      </c>
      <c r="H58" s="29">
        <v>2</v>
      </c>
      <c r="I58" s="29">
        <v>2</v>
      </c>
      <c r="J58" s="73">
        <v>7</v>
      </c>
      <c r="K58" s="47">
        <f t="shared" si="4"/>
        <v>42.857142857142854</v>
      </c>
      <c r="L58" s="47">
        <f t="shared" si="4"/>
        <v>28.571428571428569</v>
      </c>
      <c r="M58" s="47">
        <f t="shared" si="4"/>
        <v>28.571428571428569</v>
      </c>
      <c r="N58" s="68">
        <f t="shared" si="3"/>
        <v>99.999999999999986</v>
      </c>
      <c r="O58" s="46">
        <v>38.5</v>
      </c>
      <c r="P58" s="47">
        <v>21</v>
      </c>
      <c r="Q58" s="47">
        <v>23.5</v>
      </c>
      <c r="R58" s="48">
        <f t="shared" si="2"/>
        <v>83</v>
      </c>
      <c r="S58" s="29">
        <v>3</v>
      </c>
      <c r="T58" s="286"/>
      <c r="U58" s="295"/>
      <c r="V58" s="38" t="s">
        <v>131</v>
      </c>
      <c r="W58" s="29" t="s">
        <v>22</v>
      </c>
      <c r="X58" s="29" t="s">
        <v>11</v>
      </c>
      <c r="Y58" s="39">
        <v>27</v>
      </c>
      <c r="Z58" s="29" t="s">
        <v>80</v>
      </c>
      <c r="AA58" s="29" t="s">
        <v>17</v>
      </c>
      <c r="AB58" s="29" t="s">
        <v>18</v>
      </c>
      <c r="AC58" s="29">
        <v>21</v>
      </c>
      <c r="AD58" s="38" t="s">
        <v>454</v>
      </c>
      <c r="AE58" s="29" t="s">
        <v>20</v>
      </c>
      <c r="AF58" s="29" t="s">
        <v>12</v>
      </c>
      <c r="AG58" s="39">
        <v>23.5</v>
      </c>
      <c r="AH58" s="29" t="s">
        <v>328</v>
      </c>
      <c r="AI58" s="29" t="s">
        <v>869</v>
      </c>
      <c r="AJ58" s="29" t="s">
        <v>11</v>
      </c>
      <c r="AK58" s="29">
        <v>11.5</v>
      </c>
      <c r="AL58" s="38"/>
      <c r="AO58" s="39"/>
      <c r="AP58" s="38"/>
      <c r="AS58" s="39"/>
      <c r="AW58" s="39"/>
      <c r="BA58" s="40"/>
    </row>
    <row r="59" spans="1:53" s="29" customFormat="1" x14ac:dyDescent="0.15">
      <c r="A59" s="52">
        <v>1985</v>
      </c>
      <c r="B59" s="295"/>
      <c r="C59" s="411" t="s">
        <v>429</v>
      </c>
      <c r="D59" s="411"/>
      <c r="E59" s="29">
        <v>365</v>
      </c>
      <c r="F59" s="29">
        <v>1</v>
      </c>
      <c r="G59" s="66">
        <v>3</v>
      </c>
      <c r="H59" s="29">
        <v>2</v>
      </c>
      <c r="I59" s="29">
        <v>2</v>
      </c>
      <c r="J59" s="73">
        <v>7</v>
      </c>
      <c r="K59" s="47">
        <f t="shared" si="4"/>
        <v>42.857142857142854</v>
      </c>
      <c r="L59" s="47">
        <f t="shared" si="4"/>
        <v>28.571428571428569</v>
      </c>
      <c r="M59" s="47">
        <f t="shared" si="4"/>
        <v>28.571428571428569</v>
      </c>
      <c r="N59" s="68">
        <f t="shared" si="3"/>
        <v>99.999999999999986</v>
      </c>
      <c r="O59" s="46">
        <v>38.5</v>
      </c>
      <c r="P59" s="47">
        <v>21</v>
      </c>
      <c r="Q59" s="47">
        <v>23.5</v>
      </c>
      <c r="R59" s="48">
        <f t="shared" si="2"/>
        <v>83</v>
      </c>
      <c r="S59" s="29">
        <v>3</v>
      </c>
      <c r="T59" s="286"/>
      <c r="U59" s="295"/>
      <c r="V59" s="38" t="s">
        <v>131</v>
      </c>
      <c r="W59" s="29" t="s">
        <v>22</v>
      </c>
      <c r="X59" s="29" t="s">
        <v>11</v>
      </c>
      <c r="Y59" s="39">
        <v>27</v>
      </c>
      <c r="Z59" s="29" t="s">
        <v>80</v>
      </c>
      <c r="AA59" s="29" t="s">
        <v>17</v>
      </c>
      <c r="AB59" s="29" t="s">
        <v>18</v>
      </c>
      <c r="AC59" s="29">
        <v>21</v>
      </c>
      <c r="AD59" s="38" t="s">
        <v>454</v>
      </c>
      <c r="AE59" s="29" t="s">
        <v>20</v>
      </c>
      <c r="AF59" s="29" t="s">
        <v>12</v>
      </c>
      <c r="AG59" s="39">
        <v>23.5</v>
      </c>
      <c r="AH59" s="29" t="s">
        <v>328</v>
      </c>
      <c r="AI59" s="29" t="s">
        <v>869</v>
      </c>
      <c r="AJ59" s="29" t="s">
        <v>11</v>
      </c>
      <c r="AK59" s="29">
        <v>11.5</v>
      </c>
      <c r="AL59" s="38"/>
      <c r="AO59" s="39"/>
      <c r="AP59" s="38"/>
      <c r="AS59" s="39"/>
      <c r="AW59" s="39"/>
      <c r="BA59" s="40"/>
    </row>
    <row r="60" spans="1:53" s="29" customFormat="1" x14ac:dyDescent="0.15">
      <c r="A60" s="52">
        <v>1986</v>
      </c>
      <c r="B60" s="295"/>
      <c r="C60" s="411" t="s">
        <v>429</v>
      </c>
      <c r="D60" s="411"/>
      <c r="E60" s="29">
        <v>0</v>
      </c>
      <c r="G60" s="66">
        <v>3</v>
      </c>
      <c r="H60" s="29">
        <v>2</v>
      </c>
      <c r="I60" s="29">
        <v>2</v>
      </c>
      <c r="J60" s="73">
        <v>7</v>
      </c>
      <c r="K60" s="47">
        <f>G60/J60*100</f>
        <v>42.857142857142854</v>
      </c>
      <c r="L60" s="47">
        <f>H60/J60*100</f>
        <v>28.571428571428569</v>
      </c>
      <c r="M60" s="47">
        <f>I60/J60*100</f>
        <v>28.571428571428569</v>
      </c>
      <c r="N60" s="68">
        <f t="shared" si="3"/>
        <v>99.999999999999986</v>
      </c>
      <c r="O60" s="46">
        <v>38.5</v>
      </c>
      <c r="P60" s="47">
        <v>21</v>
      </c>
      <c r="Q60" s="47">
        <v>23.5</v>
      </c>
      <c r="R60" s="48">
        <f t="shared" si="2"/>
        <v>83</v>
      </c>
      <c r="S60" s="29">
        <v>3</v>
      </c>
      <c r="T60" s="286"/>
      <c r="U60" s="295"/>
      <c r="V60" s="38" t="s">
        <v>131</v>
      </c>
      <c r="W60" s="29" t="s">
        <v>22</v>
      </c>
      <c r="X60" s="29" t="s">
        <v>11</v>
      </c>
      <c r="Y60" s="39">
        <v>27</v>
      </c>
      <c r="Z60" s="29" t="s">
        <v>80</v>
      </c>
      <c r="AA60" s="29" t="s">
        <v>17</v>
      </c>
      <c r="AB60" s="29" t="s">
        <v>18</v>
      </c>
      <c r="AC60" s="29">
        <v>21</v>
      </c>
      <c r="AD60" s="38" t="s">
        <v>454</v>
      </c>
      <c r="AE60" s="29" t="s">
        <v>20</v>
      </c>
      <c r="AF60" s="29" t="s">
        <v>12</v>
      </c>
      <c r="AG60" s="39">
        <v>23.5</v>
      </c>
      <c r="AH60" s="29" t="s">
        <v>328</v>
      </c>
      <c r="AI60" s="29" t="s">
        <v>869</v>
      </c>
      <c r="AJ60" s="29" t="s">
        <v>11</v>
      </c>
      <c r="AK60" s="29">
        <v>11.5</v>
      </c>
      <c r="AL60" s="38"/>
      <c r="AO60" s="39"/>
      <c r="AP60" s="38"/>
      <c r="AS60" s="39"/>
      <c r="AW60" s="39"/>
      <c r="BA60" s="40"/>
    </row>
    <row r="61" spans="1:53" s="29" customFormat="1" x14ac:dyDescent="0.15">
      <c r="A61" s="52">
        <v>1986</v>
      </c>
      <c r="B61" s="295"/>
      <c r="C61" s="411" t="s">
        <v>460</v>
      </c>
      <c r="D61" s="411"/>
      <c r="E61" s="29">
        <v>365</v>
      </c>
      <c r="F61" s="29">
        <v>1</v>
      </c>
      <c r="G61" s="66">
        <v>3</v>
      </c>
      <c r="H61" s="29">
        <v>2</v>
      </c>
      <c r="I61" s="29">
        <v>2</v>
      </c>
      <c r="J61" s="73">
        <v>7</v>
      </c>
      <c r="K61" s="47">
        <f t="shared" ref="K61:K68" si="5">G61/J61*100</f>
        <v>42.857142857142854</v>
      </c>
      <c r="L61" s="47">
        <f t="shared" ref="L61:L68" si="6">H61/J61*100</f>
        <v>28.571428571428569</v>
      </c>
      <c r="M61" s="47">
        <f t="shared" ref="M61:M68" si="7">I61/J61*100</f>
        <v>28.571428571428569</v>
      </c>
      <c r="N61" s="68">
        <f t="shared" si="3"/>
        <v>99.999999999999986</v>
      </c>
      <c r="O61" s="46">
        <v>38.5</v>
      </c>
      <c r="P61" s="47">
        <v>21</v>
      </c>
      <c r="Q61" s="47">
        <v>23.5</v>
      </c>
      <c r="R61" s="48">
        <f t="shared" si="2"/>
        <v>83</v>
      </c>
      <c r="S61" s="29">
        <v>3</v>
      </c>
      <c r="T61" s="286"/>
      <c r="U61" s="295"/>
      <c r="V61" s="38" t="s">
        <v>131</v>
      </c>
      <c r="W61" s="29" t="s">
        <v>22</v>
      </c>
      <c r="X61" s="29" t="s">
        <v>11</v>
      </c>
      <c r="Y61" s="39">
        <v>27</v>
      </c>
      <c r="Z61" s="29" t="s">
        <v>80</v>
      </c>
      <c r="AA61" s="29" t="s">
        <v>17</v>
      </c>
      <c r="AB61" s="29" t="s">
        <v>18</v>
      </c>
      <c r="AC61" s="29">
        <v>21</v>
      </c>
      <c r="AD61" s="38" t="s">
        <v>454</v>
      </c>
      <c r="AE61" s="29" t="s">
        <v>20</v>
      </c>
      <c r="AF61" s="29" t="s">
        <v>12</v>
      </c>
      <c r="AG61" s="39">
        <v>23.5</v>
      </c>
      <c r="AH61" s="29" t="s">
        <v>328</v>
      </c>
      <c r="AI61" s="29" t="s">
        <v>869</v>
      </c>
      <c r="AJ61" s="29" t="s">
        <v>11</v>
      </c>
      <c r="AK61" s="29">
        <v>11.5</v>
      </c>
      <c r="AL61" s="38"/>
      <c r="AO61" s="39"/>
      <c r="AP61" s="38"/>
      <c r="AS61" s="39"/>
      <c r="AW61" s="39"/>
      <c r="BA61" s="40"/>
    </row>
    <row r="62" spans="1:53" s="29" customFormat="1" x14ac:dyDescent="0.15">
      <c r="A62" s="52">
        <v>1987</v>
      </c>
      <c r="B62" s="295"/>
      <c r="C62" s="411" t="s">
        <v>460</v>
      </c>
      <c r="D62" s="411"/>
      <c r="E62" s="29">
        <v>342</v>
      </c>
      <c r="G62" s="66">
        <v>3</v>
      </c>
      <c r="H62" s="29">
        <v>2</v>
      </c>
      <c r="I62" s="29">
        <v>2</v>
      </c>
      <c r="J62" s="73">
        <v>7</v>
      </c>
      <c r="K62" s="47">
        <f t="shared" si="5"/>
        <v>42.857142857142854</v>
      </c>
      <c r="L62" s="47">
        <f t="shared" si="6"/>
        <v>28.571428571428569</v>
      </c>
      <c r="M62" s="47">
        <f t="shared" si="7"/>
        <v>28.571428571428569</v>
      </c>
      <c r="N62" s="68">
        <f t="shared" si="3"/>
        <v>99.999999999999986</v>
      </c>
      <c r="O62" s="46">
        <v>38.5</v>
      </c>
      <c r="P62" s="47">
        <v>21</v>
      </c>
      <c r="Q62" s="47">
        <v>23.5</v>
      </c>
      <c r="R62" s="48">
        <f t="shared" si="2"/>
        <v>83</v>
      </c>
      <c r="S62" s="37">
        <v>3</v>
      </c>
      <c r="T62" s="286"/>
      <c r="U62" s="295"/>
      <c r="V62" s="38" t="s">
        <v>131</v>
      </c>
      <c r="W62" s="29" t="s">
        <v>22</v>
      </c>
      <c r="X62" s="29" t="s">
        <v>11</v>
      </c>
      <c r="Y62" s="39">
        <v>27</v>
      </c>
      <c r="Z62" s="29" t="s">
        <v>80</v>
      </c>
      <c r="AA62" s="29" t="s">
        <v>17</v>
      </c>
      <c r="AB62" s="29" t="s">
        <v>18</v>
      </c>
      <c r="AC62" s="29">
        <v>21</v>
      </c>
      <c r="AD62" s="38" t="s">
        <v>454</v>
      </c>
      <c r="AE62" s="29" t="s">
        <v>20</v>
      </c>
      <c r="AF62" s="29" t="s">
        <v>12</v>
      </c>
      <c r="AG62" s="39">
        <v>23.5</v>
      </c>
      <c r="AH62" s="29" t="s">
        <v>328</v>
      </c>
      <c r="AI62" s="29" t="s">
        <v>869</v>
      </c>
      <c r="AJ62" s="29" t="s">
        <v>11</v>
      </c>
      <c r="AK62" s="29">
        <v>11.5</v>
      </c>
      <c r="AL62" s="38"/>
      <c r="AO62" s="39"/>
      <c r="AP62" s="38"/>
      <c r="AS62" s="39"/>
      <c r="AW62" s="39"/>
      <c r="BA62" s="40"/>
    </row>
    <row r="63" spans="1:53" s="171" customFormat="1" x14ac:dyDescent="0.15">
      <c r="A63" s="216">
        <v>1987</v>
      </c>
      <c r="B63" s="283">
        <v>32120</v>
      </c>
      <c r="C63" s="410" t="s">
        <v>461</v>
      </c>
      <c r="D63" s="410"/>
      <c r="E63" s="171">
        <f>365-E62</f>
        <v>23</v>
      </c>
      <c r="F63" s="171">
        <v>1</v>
      </c>
      <c r="G63" s="233">
        <v>3</v>
      </c>
      <c r="H63" s="171">
        <v>2</v>
      </c>
      <c r="I63" s="171">
        <v>2</v>
      </c>
      <c r="J63" s="241">
        <v>7</v>
      </c>
      <c r="K63" s="214">
        <f t="shared" si="5"/>
        <v>42.857142857142854</v>
      </c>
      <c r="L63" s="214">
        <f t="shared" si="6"/>
        <v>28.571428571428569</v>
      </c>
      <c r="M63" s="214">
        <f t="shared" si="7"/>
        <v>28.571428571428569</v>
      </c>
      <c r="N63" s="235">
        <f t="shared" si="3"/>
        <v>99.999999999999986</v>
      </c>
      <c r="O63" s="213">
        <v>38</v>
      </c>
      <c r="P63" s="214">
        <v>21</v>
      </c>
      <c r="Q63" s="214">
        <v>20.5</v>
      </c>
      <c r="R63" s="215">
        <f t="shared" si="2"/>
        <v>79.5</v>
      </c>
      <c r="S63" s="190">
        <v>3</v>
      </c>
      <c r="T63" s="285">
        <v>32068</v>
      </c>
      <c r="U63" s="283">
        <v>32120</v>
      </c>
      <c r="V63" s="178" t="s">
        <v>131</v>
      </c>
      <c r="W63" s="171" t="s">
        <v>22</v>
      </c>
      <c r="X63" s="171" t="s">
        <v>11</v>
      </c>
      <c r="Y63" s="179">
        <v>25.5</v>
      </c>
      <c r="Z63" s="171" t="s">
        <v>80</v>
      </c>
      <c r="AA63" s="171" t="s">
        <v>17</v>
      </c>
      <c r="AB63" s="171" t="s">
        <v>18</v>
      </c>
      <c r="AC63" s="171">
        <v>21</v>
      </c>
      <c r="AD63" s="178" t="s">
        <v>454</v>
      </c>
      <c r="AE63" s="171" t="s">
        <v>20</v>
      </c>
      <c r="AF63" s="171" t="s">
        <v>12</v>
      </c>
      <c r="AG63" s="179">
        <v>20.5</v>
      </c>
      <c r="AH63" s="171" t="s">
        <v>328</v>
      </c>
      <c r="AI63" s="171" t="s">
        <v>869</v>
      </c>
      <c r="AJ63" s="171" t="s">
        <v>11</v>
      </c>
      <c r="AK63" s="171">
        <v>12.5</v>
      </c>
      <c r="AL63" s="178"/>
      <c r="AO63" s="179"/>
      <c r="AP63" s="178"/>
      <c r="AS63" s="179"/>
      <c r="AW63" s="179"/>
      <c r="BA63" s="180"/>
    </row>
    <row r="64" spans="1:53" s="171" customFormat="1" x14ac:dyDescent="0.15">
      <c r="A64" s="216">
        <v>1988</v>
      </c>
      <c r="B64" s="283"/>
      <c r="C64" s="410" t="s">
        <v>461</v>
      </c>
      <c r="D64" s="410"/>
      <c r="E64" s="171">
        <v>0</v>
      </c>
      <c r="G64" s="233">
        <v>3</v>
      </c>
      <c r="H64" s="171">
        <v>2</v>
      </c>
      <c r="I64" s="171">
        <v>2</v>
      </c>
      <c r="J64" s="241">
        <v>7</v>
      </c>
      <c r="K64" s="214">
        <f t="shared" si="5"/>
        <v>42.857142857142854</v>
      </c>
      <c r="L64" s="214">
        <f t="shared" si="6"/>
        <v>28.571428571428569</v>
      </c>
      <c r="M64" s="214">
        <f t="shared" si="7"/>
        <v>28.571428571428569</v>
      </c>
      <c r="N64" s="235">
        <f t="shared" si="3"/>
        <v>99.999999999999986</v>
      </c>
      <c r="O64" s="213">
        <v>38</v>
      </c>
      <c r="P64" s="214">
        <v>21</v>
      </c>
      <c r="Q64" s="214">
        <v>20.5</v>
      </c>
      <c r="R64" s="215">
        <f t="shared" si="2"/>
        <v>79.5</v>
      </c>
      <c r="S64" s="190">
        <v>3</v>
      </c>
      <c r="T64" s="285"/>
      <c r="U64" s="283"/>
      <c r="V64" s="178" t="s">
        <v>131</v>
      </c>
      <c r="W64" s="171" t="s">
        <v>22</v>
      </c>
      <c r="X64" s="171" t="s">
        <v>11</v>
      </c>
      <c r="Y64" s="179">
        <v>25.5</v>
      </c>
      <c r="Z64" s="171" t="s">
        <v>80</v>
      </c>
      <c r="AA64" s="171" t="s">
        <v>17</v>
      </c>
      <c r="AB64" s="171" t="s">
        <v>18</v>
      </c>
      <c r="AC64" s="171">
        <v>21</v>
      </c>
      <c r="AD64" s="178" t="s">
        <v>454</v>
      </c>
      <c r="AE64" s="171" t="s">
        <v>20</v>
      </c>
      <c r="AF64" s="171" t="s">
        <v>12</v>
      </c>
      <c r="AG64" s="179">
        <v>20.5</v>
      </c>
      <c r="AH64" s="171" t="s">
        <v>328</v>
      </c>
      <c r="AI64" s="171" t="s">
        <v>869</v>
      </c>
      <c r="AJ64" s="171" t="s">
        <v>11</v>
      </c>
      <c r="AK64" s="171">
        <v>12.5</v>
      </c>
      <c r="AL64" s="178"/>
      <c r="AO64" s="179"/>
      <c r="AP64" s="178"/>
      <c r="AS64" s="179"/>
      <c r="AW64" s="179"/>
      <c r="BA64" s="180"/>
    </row>
    <row r="65" spans="1:53" s="171" customFormat="1" x14ac:dyDescent="0.15">
      <c r="A65" s="216">
        <v>1988</v>
      </c>
      <c r="B65" s="283"/>
      <c r="C65" s="410" t="s">
        <v>430</v>
      </c>
      <c r="D65" s="410"/>
      <c r="E65" s="171">
        <v>366</v>
      </c>
      <c r="F65" s="171">
        <v>1</v>
      </c>
      <c r="G65" s="233">
        <v>3</v>
      </c>
      <c r="H65" s="171">
        <v>2</v>
      </c>
      <c r="I65" s="171">
        <v>2</v>
      </c>
      <c r="J65" s="241">
        <v>7</v>
      </c>
      <c r="K65" s="214">
        <f t="shared" si="5"/>
        <v>42.857142857142854</v>
      </c>
      <c r="L65" s="214">
        <f t="shared" si="6"/>
        <v>28.571428571428569</v>
      </c>
      <c r="M65" s="214">
        <f t="shared" si="7"/>
        <v>28.571428571428569</v>
      </c>
      <c r="N65" s="235">
        <f t="shared" si="3"/>
        <v>99.999999999999986</v>
      </c>
      <c r="O65" s="213">
        <v>38</v>
      </c>
      <c r="P65" s="214">
        <v>21</v>
      </c>
      <c r="Q65" s="214">
        <v>20.5</v>
      </c>
      <c r="R65" s="215">
        <f t="shared" si="2"/>
        <v>79.5</v>
      </c>
      <c r="S65" s="190">
        <v>3</v>
      </c>
      <c r="T65" s="285"/>
      <c r="U65" s="283"/>
      <c r="V65" s="178" t="s">
        <v>131</v>
      </c>
      <c r="W65" s="171" t="s">
        <v>22</v>
      </c>
      <c r="X65" s="171" t="s">
        <v>11</v>
      </c>
      <c r="Y65" s="179">
        <v>25.5</v>
      </c>
      <c r="Z65" s="171" t="s">
        <v>80</v>
      </c>
      <c r="AA65" s="171" t="s">
        <v>17</v>
      </c>
      <c r="AB65" s="171" t="s">
        <v>18</v>
      </c>
      <c r="AC65" s="171">
        <v>21</v>
      </c>
      <c r="AD65" s="178" t="s">
        <v>454</v>
      </c>
      <c r="AE65" s="171" t="s">
        <v>20</v>
      </c>
      <c r="AF65" s="171" t="s">
        <v>12</v>
      </c>
      <c r="AG65" s="179">
        <v>20.5</v>
      </c>
      <c r="AH65" s="171" t="s">
        <v>328</v>
      </c>
      <c r="AI65" s="171" t="s">
        <v>869</v>
      </c>
      <c r="AJ65" s="171" t="s">
        <v>11</v>
      </c>
      <c r="AK65" s="171">
        <v>12.5</v>
      </c>
      <c r="AL65" s="178"/>
      <c r="AO65" s="179"/>
      <c r="AP65" s="178"/>
      <c r="AS65" s="179"/>
      <c r="AW65" s="179"/>
      <c r="BA65" s="180"/>
    </row>
    <row r="66" spans="1:53" s="171" customFormat="1" x14ac:dyDescent="0.15">
      <c r="A66" s="216">
        <v>1989</v>
      </c>
      <c r="B66" s="283"/>
      <c r="C66" s="410" t="s">
        <v>430</v>
      </c>
      <c r="D66" s="410"/>
      <c r="E66" s="171">
        <v>0</v>
      </c>
      <c r="G66" s="233">
        <v>3</v>
      </c>
      <c r="H66" s="171">
        <v>2</v>
      </c>
      <c r="I66" s="171">
        <v>2</v>
      </c>
      <c r="J66" s="241">
        <v>7</v>
      </c>
      <c r="K66" s="214">
        <f t="shared" si="5"/>
        <v>42.857142857142854</v>
      </c>
      <c r="L66" s="214">
        <f t="shared" si="6"/>
        <v>28.571428571428569</v>
      </c>
      <c r="M66" s="214">
        <f t="shared" si="7"/>
        <v>28.571428571428569</v>
      </c>
      <c r="N66" s="235">
        <f t="shared" si="3"/>
        <v>99.999999999999986</v>
      </c>
      <c r="O66" s="213">
        <v>38</v>
      </c>
      <c r="P66" s="214">
        <v>21</v>
      </c>
      <c r="Q66" s="214">
        <v>20.5</v>
      </c>
      <c r="R66" s="215">
        <f t="shared" si="2"/>
        <v>79.5</v>
      </c>
      <c r="S66" s="190">
        <v>3</v>
      </c>
      <c r="T66" s="285"/>
      <c r="U66" s="283"/>
      <c r="V66" s="178" t="s">
        <v>131</v>
      </c>
      <c r="W66" s="171" t="s">
        <v>22</v>
      </c>
      <c r="X66" s="171" t="s">
        <v>11</v>
      </c>
      <c r="Y66" s="179">
        <v>25.5</v>
      </c>
      <c r="Z66" s="171" t="s">
        <v>80</v>
      </c>
      <c r="AA66" s="171" t="s">
        <v>17</v>
      </c>
      <c r="AB66" s="171" t="s">
        <v>18</v>
      </c>
      <c r="AC66" s="171">
        <v>21</v>
      </c>
      <c r="AD66" s="178" t="s">
        <v>454</v>
      </c>
      <c r="AE66" s="171" t="s">
        <v>20</v>
      </c>
      <c r="AF66" s="171" t="s">
        <v>12</v>
      </c>
      <c r="AG66" s="179">
        <v>20.5</v>
      </c>
      <c r="AH66" s="171" t="s">
        <v>328</v>
      </c>
      <c r="AI66" s="171" t="s">
        <v>869</v>
      </c>
      <c r="AJ66" s="171" t="s">
        <v>11</v>
      </c>
      <c r="AK66" s="171">
        <v>12.5</v>
      </c>
      <c r="AL66" s="178"/>
      <c r="AO66" s="179"/>
      <c r="AP66" s="178"/>
      <c r="AS66" s="179"/>
      <c r="AW66" s="179"/>
      <c r="BA66" s="180"/>
    </row>
    <row r="67" spans="1:53" s="54" customFormat="1" x14ac:dyDescent="0.15">
      <c r="A67" s="118">
        <v>1989</v>
      </c>
      <c r="B67" s="293"/>
      <c r="C67" s="414" t="s">
        <v>432</v>
      </c>
      <c r="D67" s="414"/>
      <c r="E67" s="54">
        <f>365-E66</f>
        <v>365</v>
      </c>
      <c r="F67" s="54">
        <v>1</v>
      </c>
      <c r="G67" s="249">
        <v>3</v>
      </c>
      <c r="H67" s="54">
        <v>2</v>
      </c>
      <c r="I67" s="54">
        <v>2</v>
      </c>
      <c r="J67" s="250">
        <v>7</v>
      </c>
      <c r="K67" s="226">
        <f t="shared" si="5"/>
        <v>42.857142857142854</v>
      </c>
      <c r="L67" s="226">
        <f t="shared" si="6"/>
        <v>28.571428571428569</v>
      </c>
      <c r="M67" s="226">
        <f t="shared" si="7"/>
        <v>28.571428571428569</v>
      </c>
      <c r="N67" s="227">
        <f t="shared" si="3"/>
        <v>99.999999999999986</v>
      </c>
      <c r="O67" s="225">
        <v>38</v>
      </c>
      <c r="P67" s="226">
        <v>21</v>
      </c>
      <c r="Q67" s="226">
        <v>20.5</v>
      </c>
      <c r="R67" s="227">
        <f t="shared" si="2"/>
        <v>79.5</v>
      </c>
      <c r="S67" s="258">
        <v>3</v>
      </c>
      <c r="T67" s="287"/>
      <c r="U67" s="293"/>
      <c r="V67" s="55" t="s">
        <v>131</v>
      </c>
      <c r="W67" s="54" t="s">
        <v>22</v>
      </c>
      <c r="X67" s="54" t="s">
        <v>11</v>
      </c>
      <c r="Y67" s="56">
        <v>25.5</v>
      </c>
      <c r="Z67" s="54" t="s">
        <v>80</v>
      </c>
      <c r="AA67" s="54" t="s">
        <v>17</v>
      </c>
      <c r="AB67" s="54" t="s">
        <v>18</v>
      </c>
      <c r="AC67" s="54">
        <v>21</v>
      </c>
      <c r="AD67" s="55" t="s">
        <v>454</v>
      </c>
      <c r="AE67" s="54" t="s">
        <v>20</v>
      </c>
      <c r="AF67" s="54" t="s">
        <v>12</v>
      </c>
      <c r="AG67" s="56">
        <v>20.5</v>
      </c>
      <c r="AH67" s="54" t="s">
        <v>328</v>
      </c>
      <c r="AI67" s="54" t="s">
        <v>869</v>
      </c>
      <c r="AJ67" s="54" t="s">
        <v>11</v>
      </c>
      <c r="AK67" s="56">
        <v>12.5</v>
      </c>
      <c r="AL67" s="55"/>
      <c r="AO67" s="56"/>
      <c r="AP67" s="55"/>
      <c r="AS67" s="56"/>
      <c r="AW67" s="56"/>
      <c r="BA67" s="57"/>
    </row>
    <row r="68" spans="1:53" s="171" customFormat="1" x14ac:dyDescent="0.15">
      <c r="A68" s="171">
        <v>1990</v>
      </c>
      <c r="B68" s="283"/>
      <c r="C68" s="410" t="s">
        <v>432</v>
      </c>
      <c r="D68" s="410"/>
      <c r="E68" s="171">
        <v>0</v>
      </c>
      <c r="G68" s="233">
        <v>3</v>
      </c>
      <c r="H68" s="171">
        <v>2</v>
      </c>
      <c r="I68" s="171">
        <v>2</v>
      </c>
      <c r="J68" s="241">
        <v>7</v>
      </c>
      <c r="K68" s="214">
        <f t="shared" si="5"/>
        <v>42.857142857142854</v>
      </c>
      <c r="L68" s="214">
        <f t="shared" si="6"/>
        <v>28.571428571428569</v>
      </c>
      <c r="M68" s="214">
        <f t="shared" si="7"/>
        <v>28.571428571428569</v>
      </c>
      <c r="N68" s="235">
        <f t="shared" si="3"/>
        <v>99.999999999999986</v>
      </c>
      <c r="O68" s="213">
        <v>38</v>
      </c>
      <c r="P68" s="214">
        <v>21</v>
      </c>
      <c r="Q68" s="214">
        <v>20.5</v>
      </c>
      <c r="R68" s="215">
        <f>O68+P68+Q68</f>
        <v>79.5</v>
      </c>
      <c r="S68" s="171">
        <v>3</v>
      </c>
      <c r="T68" s="285"/>
      <c r="U68" s="283"/>
      <c r="V68" s="178" t="s">
        <v>131</v>
      </c>
      <c r="W68" s="171" t="s">
        <v>22</v>
      </c>
      <c r="X68" s="171" t="s">
        <v>11</v>
      </c>
      <c r="Y68" s="179">
        <v>25.5</v>
      </c>
      <c r="Z68" s="171" t="s">
        <v>80</v>
      </c>
      <c r="AA68" s="171" t="s">
        <v>17</v>
      </c>
      <c r="AB68" s="171" t="s">
        <v>18</v>
      </c>
      <c r="AC68" s="171">
        <v>21</v>
      </c>
      <c r="AD68" s="178" t="s">
        <v>454</v>
      </c>
      <c r="AE68" s="171" t="s">
        <v>20</v>
      </c>
      <c r="AF68" s="171" t="s">
        <v>12</v>
      </c>
      <c r="AG68" s="179">
        <v>20.5</v>
      </c>
      <c r="AH68" s="171" t="s">
        <v>328</v>
      </c>
      <c r="AI68" s="171" t="s">
        <v>869</v>
      </c>
      <c r="AJ68" s="171" t="s">
        <v>11</v>
      </c>
      <c r="AK68" s="171">
        <v>12.5</v>
      </c>
      <c r="AL68" s="178"/>
      <c r="AO68" s="179"/>
      <c r="AP68" s="178"/>
      <c r="AS68" s="179"/>
      <c r="AW68" s="179"/>
      <c r="BA68" s="180"/>
    </row>
    <row r="69" spans="1:53" s="171" customFormat="1" x14ac:dyDescent="0.15">
      <c r="A69" s="171">
        <v>1990</v>
      </c>
      <c r="B69" s="283"/>
      <c r="C69" s="410" t="s">
        <v>433</v>
      </c>
      <c r="D69" s="410"/>
      <c r="E69" s="171">
        <f>365-E68</f>
        <v>365</v>
      </c>
      <c r="F69" s="171">
        <v>1</v>
      </c>
      <c r="G69" s="233">
        <v>3</v>
      </c>
      <c r="H69" s="171">
        <v>2</v>
      </c>
      <c r="I69" s="171">
        <v>2</v>
      </c>
      <c r="J69" s="241">
        <v>7</v>
      </c>
      <c r="K69" s="214">
        <f>G69/J69*100</f>
        <v>42.857142857142854</v>
      </c>
      <c r="L69" s="214">
        <f>H69/J69*100</f>
        <v>28.571428571428569</v>
      </c>
      <c r="M69" s="214">
        <f>I69/J69*100</f>
        <v>28.571428571428569</v>
      </c>
      <c r="N69" s="235">
        <f t="shared" si="3"/>
        <v>99.999999999999986</v>
      </c>
      <c r="O69" s="213">
        <v>38</v>
      </c>
      <c r="P69" s="214">
        <v>21</v>
      </c>
      <c r="Q69" s="214">
        <v>20.5</v>
      </c>
      <c r="R69" s="215">
        <f>O69+P69+Q69</f>
        <v>79.5</v>
      </c>
      <c r="S69" s="171">
        <v>3</v>
      </c>
      <c r="T69" s="285"/>
      <c r="U69" s="283"/>
      <c r="V69" s="178" t="s">
        <v>131</v>
      </c>
      <c r="W69" s="171" t="s">
        <v>22</v>
      </c>
      <c r="X69" s="171" t="s">
        <v>11</v>
      </c>
      <c r="Y69" s="179">
        <v>25.5</v>
      </c>
      <c r="Z69" s="171" t="s">
        <v>80</v>
      </c>
      <c r="AA69" s="171" t="s">
        <v>17</v>
      </c>
      <c r="AB69" s="171" t="s">
        <v>18</v>
      </c>
      <c r="AC69" s="171">
        <v>21</v>
      </c>
      <c r="AD69" s="178" t="s">
        <v>454</v>
      </c>
      <c r="AE69" s="171" t="s">
        <v>20</v>
      </c>
      <c r="AF69" s="171" t="s">
        <v>12</v>
      </c>
      <c r="AG69" s="179">
        <v>20.5</v>
      </c>
      <c r="AH69" s="171" t="s">
        <v>328</v>
      </c>
      <c r="AI69" s="171" t="s">
        <v>869</v>
      </c>
      <c r="AJ69" s="171" t="s">
        <v>11</v>
      </c>
      <c r="AK69" s="171">
        <v>12.5</v>
      </c>
      <c r="AL69" s="178"/>
      <c r="AO69" s="179"/>
      <c r="AP69" s="178"/>
      <c r="AS69" s="179"/>
      <c r="AW69" s="179"/>
      <c r="BA69" s="180"/>
    </row>
    <row r="70" spans="1:53" s="171" customFormat="1" x14ac:dyDescent="0.15">
      <c r="A70" s="171">
        <v>1991</v>
      </c>
      <c r="B70" s="283"/>
      <c r="C70" s="410" t="s">
        <v>433</v>
      </c>
      <c r="D70" s="410"/>
      <c r="E70" s="171">
        <v>337</v>
      </c>
      <c r="G70" s="233">
        <v>3</v>
      </c>
      <c r="H70" s="171">
        <v>2</v>
      </c>
      <c r="I70" s="171">
        <v>2</v>
      </c>
      <c r="J70" s="241">
        <v>7</v>
      </c>
      <c r="K70" s="214">
        <f>G70/J70*100</f>
        <v>42.857142857142854</v>
      </c>
      <c r="L70" s="214">
        <f>H70/J70*100</f>
        <v>28.571428571428569</v>
      </c>
      <c r="M70" s="214">
        <f>I70/J70*100</f>
        <v>28.571428571428569</v>
      </c>
      <c r="N70" s="235">
        <f t="shared" si="3"/>
        <v>99.999999999999986</v>
      </c>
      <c r="O70" s="213">
        <v>38</v>
      </c>
      <c r="P70" s="214">
        <v>21</v>
      </c>
      <c r="Q70" s="214">
        <v>20.5</v>
      </c>
      <c r="R70" s="215">
        <f t="shared" ref="R70:R113" si="8">O70+P70+Q70</f>
        <v>79.5</v>
      </c>
      <c r="S70" s="171">
        <v>3</v>
      </c>
      <c r="T70" s="285"/>
      <c r="U70" s="283"/>
      <c r="V70" s="178" t="s">
        <v>131</v>
      </c>
      <c r="W70" s="171" t="s">
        <v>22</v>
      </c>
      <c r="X70" s="171" t="s">
        <v>11</v>
      </c>
      <c r="Y70" s="179">
        <v>25.5</v>
      </c>
      <c r="Z70" s="171" t="s">
        <v>80</v>
      </c>
      <c r="AA70" s="171" t="s">
        <v>17</v>
      </c>
      <c r="AB70" s="171" t="s">
        <v>18</v>
      </c>
      <c r="AC70" s="171">
        <v>21</v>
      </c>
      <c r="AD70" s="178" t="s">
        <v>454</v>
      </c>
      <c r="AE70" s="171" t="s">
        <v>20</v>
      </c>
      <c r="AF70" s="171" t="s">
        <v>12</v>
      </c>
      <c r="AG70" s="179">
        <v>20.5</v>
      </c>
      <c r="AH70" s="171" t="s">
        <v>328</v>
      </c>
      <c r="AI70" s="171" t="s">
        <v>869</v>
      </c>
      <c r="AJ70" s="171" t="s">
        <v>11</v>
      </c>
      <c r="AK70" s="171">
        <v>12.5</v>
      </c>
      <c r="AL70" s="178"/>
      <c r="AO70" s="179"/>
      <c r="AP70" s="178"/>
      <c r="AS70" s="179"/>
      <c r="AW70" s="179"/>
      <c r="BA70" s="180"/>
    </row>
    <row r="71" spans="1:53" s="29" customFormat="1" x14ac:dyDescent="0.15">
      <c r="A71" s="29">
        <v>1991</v>
      </c>
      <c r="B71" s="295">
        <v>33576</v>
      </c>
      <c r="C71" s="411" t="s">
        <v>462</v>
      </c>
      <c r="D71" s="411"/>
      <c r="E71" s="29">
        <f>365-E70</f>
        <v>28</v>
      </c>
      <c r="F71" s="29">
        <v>1</v>
      </c>
      <c r="G71" s="66">
        <v>3</v>
      </c>
      <c r="H71" s="29">
        <v>2</v>
      </c>
      <c r="I71" s="29">
        <v>2</v>
      </c>
      <c r="J71" s="73">
        <v>7</v>
      </c>
      <c r="K71" s="47">
        <f>G71/J71*100</f>
        <v>42.857142857142854</v>
      </c>
      <c r="L71" s="47">
        <f>H71/J71*100</f>
        <v>28.571428571428569</v>
      </c>
      <c r="M71" s="47">
        <f>I71/J71*100</f>
        <v>28.571428571428569</v>
      </c>
      <c r="N71" s="68">
        <f t="shared" si="3"/>
        <v>99.999999999999986</v>
      </c>
      <c r="O71" s="46">
        <v>34.5</v>
      </c>
      <c r="P71" s="47">
        <v>18</v>
      </c>
      <c r="Q71" s="47">
        <v>20.5</v>
      </c>
      <c r="R71" s="48">
        <f t="shared" si="8"/>
        <v>73</v>
      </c>
      <c r="S71" s="29">
        <v>3</v>
      </c>
      <c r="T71" s="286">
        <v>33531</v>
      </c>
      <c r="U71" s="295">
        <v>33576</v>
      </c>
      <c r="V71" s="38" t="s">
        <v>131</v>
      </c>
      <c r="W71" s="29" t="s">
        <v>22</v>
      </c>
      <c r="X71" s="29" t="s">
        <v>11</v>
      </c>
      <c r="Y71" s="39">
        <v>22</v>
      </c>
      <c r="Z71" s="29" t="s">
        <v>80</v>
      </c>
      <c r="AA71" s="29" t="s">
        <v>17</v>
      </c>
      <c r="AB71" s="29" t="s">
        <v>18</v>
      </c>
      <c r="AC71" s="29">
        <v>18</v>
      </c>
      <c r="AD71" s="38" t="s">
        <v>454</v>
      </c>
      <c r="AE71" s="29" t="s">
        <v>20</v>
      </c>
      <c r="AF71" s="29" t="s">
        <v>12</v>
      </c>
      <c r="AG71" s="39">
        <v>20.5</v>
      </c>
      <c r="AH71" s="29" t="s">
        <v>328</v>
      </c>
      <c r="AI71" s="29" t="s">
        <v>869</v>
      </c>
      <c r="AJ71" s="29" t="s">
        <v>11</v>
      </c>
      <c r="AK71" s="29">
        <v>12.5</v>
      </c>
      <c r="AL71" s="38"/>
      <c r="AO71" s="39"/>
      <c r="AP71" s="38"/>
      <c r="AS71" s="39"/>
      <c r="AW71" s="39"/>
      <c r="BA71" s="40"/>
    </row>
    <row r="72" spans="1:53" s="29" customFormat="1" x14ac:dyDescent="0.15">
      <c r="A72" s="29">
        <v>1992</v>
      </c>
      <c r="B72" s="295"/>
      <c r="C72" s="411" t="s">
        <v>462</v>
      </c>
      <c r="D72" s="411"/>
      <c r="E72" s="29">
        <v>0</v>
      </c>
      <c r="G72" s="66">
        <v>3</v>
      </c>
      <c r="H72" s="29">
        <v>2</v>
      </c>
      <c r="I72" s="29">
        <v>2</v>
      </c>
      <c r="J72" s="73">
        <v>7</v>
      </c>
      <c r="K72" s="47">
        <f>G72/J72*100</f>
        <v>42.857142857142854</v>
      </c>
      <c r="L72" s="47">
        <f>H72/J72*100</f>
        <v>28.571428571428569</v>
      </c>
      <c r="M72" s="47">
        <f>I72/J72*100</f>
        <v>28.571428571428569</v>
      </c>
      <c r="N72" s="68">
        <f t="shared" si="3"/>
        <v>99.999999999999986</v>
      </c>
      <c r="O72" s="46">
        <v>34.5</v>
      </c>
      <c r="P72" s="47">
        <v>18</v>
      </c>
      <c r="Q72" s="47">
        <v>20.5</v>
      </c>
      <c r="R72" s="48">
        <f t="shared" si="8"/>
        <v>73</v>
      </c>
      <c r="S72" s="29">
        <v>3</v>
      </c>
      <c r="T72" s="286"/>
      <c r="U72" s="295"/>
      <c r="V72" s="38" t="s">
        <v>131</v>
      </c>
      <c r="W72" s="29" t="s">
        <v>22</v>
      </c>
      <c r="X72" s="29" t="s">
        <v>11</v>
      </c>
      <c r="Y72" s="39">
        <v>22</v>
      </c>
      <c r="Z72" s="29" t="s">
        <v>80</v>
      </c>
      <c r="AA72" s="29" t="s">
        <v>17</v>
      </c>
      <c r="AB72" s="29" t="s">
        <v>18</v>
      </c>
      <c r="AC72" s="29">
        <v>18</v>
      </c>
      <c r="AD72" s="38" t="s">
        <v>454</v>
      </c>
      <c r="AE72" s="29" t="s">
        <v>20</v>
      </c>
      <c r="AF72" s="29" t="s">
        <v>12</v>
      </c>
      <c r="AG72" s="39">
        <v>20.5</v>
      </c>
      <c r="AH72" s="29" t="s">
        <v>328</v>
      </c>
      <c r="AI72" s="29" t="s">
        <v>869</v>
      </c>
      <c r="AJ72" s="29" t="s">
        <v>11</v>
      </c>
      <c r="AK72" s="29">
        <v>12.5</v>
      </c>
      <c r="AL72" s="38"/>
      <c r="AO72" s="39"/>
      <c r="AP72" s="38"/>
      <c r="AS72" s="39"/>
      <c r="AW72" s="39"/>
      <c r="BA72" s="40"/>
    </row>
    <row r="73" spans="1:53" s="29" customFormat="1" x14ac:dyDescent="0.15">
      <c r="A73" s="29">
        <v>1992</v>
      </c>
      <c r="B73" s="295"/>
      <c r="C73" s="411" t="s">
        <v>434</v>
      </c>
      <c r="D73" s="411"/>
      <c r="E73" s="29">
        <v>366</v>
      </c>
      <c r="F73" s="29">
        <v>1</v>
      </c>
      <c r="G73" s="66">
        <v>3</v>
      </c>
      <c r="H73" s="29">
        <v>2</v>
      </c>
      <c r="I73" s="29">
        <v>2</v>
      </c>
      <c r="J73" s="73">
        <v>7</v>
      </c>
      <c r="K73" s="47">
        <f>G73/J73*100</f>
        <v>42.857142857142854</v>
      </c>
      <c r="L73" s="47">
        <f>H73/J73*100</f>
        <v>28.571428571428569</v>
      </c>
      <c r="M73" s="47">
        <f>I73/J73*100</f>
        <v>28.571428571428569</v>
      </c>
      <c r="N73" s="68">
        <f t="shared" si="3"/>
        <v>99.999999999999986</v>
      </c>
      <c r="O73" s="46">
        <v>34.5</v>
      </c>
      <c r="P73" s="47">
        <v>18</v>
      </c>
      <c r="Q73" s="47">
        <v>20.5</v>
      </c>
      <c r="R73" s="48">
        <f t="shared" si="8"/>
        <v>73</v>
      </c>
      <c r="S73" s="29">
        <v>3</v>
      </c>
      <c r="T73" s="286"/>
      <c r="U73" s="295"/>
      <c r="V73" s="38" t="s">
        <v>131</v>
      </c>
      <c r="W73" s="29" t="s">
        <v>22</v>
      </c>
      <c r="X73" s="29" t="s">
        <v>11</v>
      </c>
      <c r="Y73" s="39">
        <v>22</v>
      </c>
      <c r="Z73" s="29" t="s">
        <v>80</v>
      </c>
      <c r="AA73" s="29" t="s">
        <v>17</v>
      </c>
      <c r="AB73" s="29" t="s">
        <v>18</v>
      </c>
      <c r="AC73" s="29">
        <v>18</v>
      </c>
      <c r="AD73" s="38" t="s">
        <v>454</v>
      </c>
      <c r="AE73" s="29" t="s">
        <v>20</v>
      </c>
      <c r="AF73" s="29" t="s">
        <v>12</v>
      </c>
      <c r="AG73" s="39">
        <v>20.5</v>
      </c>
      <c r="AH73" s="29" t="s">
        <v>328</v>
      </c>
      <c r="AI73" s="29" t="s">
        <v>869</v>
      </c>
      <c r="AJ73" s="29" t="s">
        <v>11</v>
      </c>
      <c r="AK73" s="29">
        <v>12.5</v>
      </c>
      <c r="AL73" s="38"/>
      <c r="AO73" s="39"/>
      <c r="AP73" s="38"/>
      <c r="AS73" s="39"/>
      <c r="AW73" s="39"/>
      <c r="BA73" s="40"/>
    </row>
    <row r="74" spans="1:53" s="29" customFormat="1" x14ac:dyDescent="0.15">
      <c r="A74" s="29">
        <v>1993</v>
      </c>
      <c r="B74" s="295"/>
      <c r="C74" s="411" t="s">
        <v>434</v>
      </c>
      <c r="D74" s="411"/>
      <c r="E74" s="29">
        <v>0</v>
      </c>
      <c r="G74" s="66">
        <v>3</v>
      </c>
      <c r="H74" s="29">
        <v>2</v>
      </c>
      <c r="I74" s="29">
        <v>2</v>
      </c>
      <c r="J74" s="73">
        <v>7</v>
      </c>
      <c r="K74" s="47">
        <f t="shared" ref="K74:K109" si="9">G74/J74*100</f>
        <v>42.857142857142854</v>
      </c>
      <c r="L74" s="47">
        <f t="shared" ref="L74:L109" si="10">H74/J74*100</f>
        <v>28.571428571428569</v>
      </c>
      <c r="M74" s="47">
        <f t="shared" ref="M74:M109" si="11">I74/J74*100</f>
        <v>28.571428571428569</v>
      </c>
      <c r="N74" s="68">
        <f t="shared" ref="N74:N112" si="12">K74+L74+M74</f>
        <v>99.999999999999986</v>
      </c>
      <c r="O74" s="46">
        <v>34.5</v>
      </c>
      <c r="P74" s="47">
        <v>18</v>
      </c>
      <c r="Q74" s="47">
        <v>20.5</v>
      </c>
      <c r="R74" s="48">
        <f t="shared" si="8"/>
        <v>73</v>
      </c>
      <c r="S74" s="29">
        <v>3</v>
      </c>
      <c r="T74" s="286"/>
      <c r="U74" s="295"/>
      <c r="V74" s="38" t="s">
        <v>131</v>
      </c>
      <c r="W74" s="29" t="s">
        <v>22</v>
      </c>
      <c r="X74" s="29" t="s">
        <v>11</v>
      </c>
      <c r="Y74" s="39">
        <v>22</v>
      </c>
      <c r="Z74" s="29" t="s">
        <v>80</v>
      </c>
      <c r="AA74" s="29" t="s">
        <v>17</v>
      </c>
      <c r="AB74" s="29" t="s">
        <v>18</v>
      </c>
      <c r="AC74" s="29">
        <v>18</v>
      </c>
      <c r="AD74" s="38" t="s">
        <v>454</v>
      </c>
      <c r="AE74" s="29" t="s">
        <v>20</v>
      </c>
      <c r="AF74" s="29" t="s">
        <v>12</v>
      </c>
      <c r="AG74" s="39">
        <v>20.5</v>
      </c>
      <c r="AH74" s="29" t="s">
        <v>328</v>
      </c>
      <c r="AI74" s="29" t="s">
        <v>869</v>
      </c>
      <c r="AJ74" s="29" t="s">
        <v>11</v>
      </c>
      <c r="AK74" s="29">
        <v>12.5</v>
      </c>
      <c r="AL74" s="38"/>
      <c r="AO74" s="39"/>
      <c r="AP74" s="38"/>
      <c r="AS74" s="39"/>
      <c r="AW74" s="39"/>
      <c r="BA74" s="40"/>
    </row>
    <row r="75" spans="1:53" s="29" customFormat="1" x14ac:dyDescent="0.15">
      <c r="A75" s="29">
        <v>1993</v>
      </c>
      <c r="B75" s="295"/>
      <c r="C75" s="411" t="s">
        <v>463</v>
      </c>
      <c r="D75" s="411"/>
      <c r="E75" s="29">
        <f>365-E74</f>
        <v>365</v>
      </c>
      <c r="F75" s="29">
        <v>1</v>
      </c>
      <c r="G75" s="66">
        <v>3</v>
      </c>
      <c r="H75" s="29">
        <v>2</v>
      </c>
      <c r="I75" s="29">
        <v>2</v>
      </c>
      <c r="J75" s="73">
        <v>7</v>
      </c>
      <c r="K75" s="47">
        <f t="shared" si="9"/>
        <v>42.857142857142854</v>
      </c>
      <c r="L75" s="47">
        <f t="shared" si="10"/>
        <v>28.571428571428569</v>
      </c>
      <c r="M75" s="47">
        <f t="shared" si="11"/>
        <v>28.571428571428569</v>
      </c>
      <c r="N75" s="68">
        <f t="shared" si="12"/>
        <v>99.999999999999986</v>
      </c>
      <c r="O75" s="46">
        <v>34.5</v>
      </c>
      <c r="P75" s="47">
        <v>18</v>
      </c>
      <c r="Q75" s="47">
        <v>20.5</v>
      </c>
      <c r="R75" s="48">
        <f t="shared" si="8"/>
        <v>73</v>
      </c>
      <c r="S75" s="29">
        <v>3</v>
      </c>
      <c r="T75" s="286"/>
      <c r="U75" s="295"/>
      <c r="V75" s="38" t="s">
        <v>131</v>
      </c>
      <c r="W75" s="29" t="s">
        <v>22</v>
      </c>
      <c r="X75" s="29" t="s">
        <v>11</v>
      </c>
      <c r="Y75" s="39">
        <v>22</v>
      </c>
      <c r="Z75" s="29" t="s">
        <v>80</v>
      </c>
      <c r="AA75" s="29" t="s">
        <v>17</v>
      </c>
      <c r="AB75" s="29" t="s">
        <v>18</v>
      </c>
      <c r="AC75" s="29">
        <v>18</v>
      </c>
      <c r="AD75" s="38" t="s">
        <v>454</v>
      </c>
      <c r="AE75" s="29" t="s">
        <v>20</v>
      </c>
      <c r="AF75" s="29" t="s">
        <v>12</v>
      </c>
      <c r="AG75" s="39">
        <v>20.5</v>
      </c>
      <c r="AH75" s="29" t="s">
        <v>328</v>
      </c>
      <c r="AI75" s="29" t="s">
        <v>869</v>
      </c>
      <c r="AJ75" s="29" t="s">
        <v>11</v>
      </c>
      <c r="AK75" s="29">
        <v>12.5</v>
      </c>
      <c r="AL75" s="38"/>
      <c r="AO75" s="39"/>
      <c r="AP75" s="38"/>
      <c r="AS75" s="39"/>
      <c r="AW75" s="39"/>
      <c r="BA75" s="40"/>
    </row>
    <row r="76" spans="1:53" s="29" customFormat="1" x14ac:dyDescent="0.15">
      <c r="A76" s="29">
        <v>1994</v>
      </c>
      <c r="B76" s="295"/>
      <c r="C76" s="411" t="s">
        <v>463</v>
      </c>
      <c r="D76" s="411"/>
      <c r="E76" s="29">
        <v>0</v>
      </c>
      <c r="G76" s="66">
        <v>3</v>
      </c>
      <c r="H76" s="29">
        <v>2</v>
      </c>
      <c r="I76" s="29">
        <v>2</v>
      </c>
      <c r="J76" s="73">
        <v>7</v>
      </c>
      <c r="K76" s="47">
        <f t="shared" si="9"/>
        <v>42.857142857142854</v>
      </c>
      <c r="L76" s="47">
        <f t="shared" si="10"/>
        <v>28.571428571428569</v>
      </c>
      <c r="M76" s="47">
        <f t="shared" si="11"/>
        <v>28.571428571428569</v>
      </c>
      <c r="N76" s="68">
        <f t="shared" si="12"/>
        <v>99.999999999999986</v>
      </c>
      <c r="O76" s="46">
        <v>34.5</v>
      </c>
      <c r="P76" s="47">
        <v>18</v>
      </c>
      <c r="Q76" s="47">
        <v>20.5</v>
      </c>
      <c r="R76" s="48">
        <f t="shared" si="8"/>
        <v>73</v>
      </c>
      <c r="S76" s="29">
        <v>3</v>
      </c>
      <c r="T76" s="286"/>
      <c r="U76" s="295"/>
      <c r="V76" s="38" t="s">
        <v>131</v>
      </c>
      <c r="W76" s="29" t="s">
        <v>22</v>
      </c>
      <c r="X76" s="29" t="s">
        <v>11</v>
      </c>
      <c r="Y76" s="39">
        <v>22</v>
      </c>
      <c r="Z76" s="29" t="s">
        <v>80</v>
      </c>
      <c r="AA76" s="29" t="s">
        <v>17</v>
      </c>
      <c r="AB76" s="29" t="s">
        <v>18</v>
      </c>
      <c r="AC76" s="29">
        <v>18</v>
      </c>
      <c r="AD76" s="38" t="s">
        <v>454</v>
      </c>
      <c r="AE76" s="29" t="s">
        <v>20</v>
      </c>
      <c r="AF76" s="29" t="s">
        <v>12</v>
      </c>
      <c r="AG76" s="39">
        <v>20.5</v>
      </c>
      <c r="AH76" s="29" t="s">
        <v>328</v>
      </c>
      <c r="AI76" s="29" t="s">
        <v>869</v>
      </c>
      <c r="AJ76" s="29" t="s">
        <v>11</v>
      </c>
      <c r="AK76" s="29">
        <v>12.5</v>
      </c>
      <c r="AL76" s="38"/>
      <c r="AO76" s="39"/>
      <c r="AP76" s="38"/>
      <c r="AS76" s="39"/>
      <c r="AW76" s="39"/>
      <c r="BA76" s="40"/>
    </row>
    <row r="77" spans="1:53" s="29" customFormat="1" x14ac:dyDescent="0.15">
      <c r="A77" s="29">
        <v>1994</v>
      </c>
      <c r="B77" s="295"/>
      <c r="C77" s="411" t="s">
        <v>439</v>
      </c>
      <c r="D77" s="411"/>
      <c r="E77" s="29">
        <f>365-E76</f>
        <v>365</v>
      </c>
      <c r="F77" s="29">
        <v>1</v>
      </c>
      <c r="G77" s="66">
        <v>3</v>
      </c>
      <c r="H77" s="29">
        <v>2</v>
      </c>
      <c r="I77" s="29">
        <v>2</v>
      </c>
      <c r="J77" s="73">
        <v>7</v>
      </c>
      <c r="K77" s="47">
        <f t="shared" si="9"/>
        <v>42.857142857142854</v>
      </c>
      <c r="L77" s="47">
        <f t="shared" si="10"/>
        <v>28.571428571428569</v>
      </c>
      <c r="M77" s="47">
        <f t="shared" si="11"/>
        <v>28.571428571428569</v>
      </c>
      <c r="N77" s="68">
        <f t="shared" si="12"/>
        <v>99.999999999999986</v>
      </c>
      <c r="O77" s="46">
        <v>34.5</v>
      </c>
      <c r="P77" s="47">
        <v>18</v>
      </c>
      <c r="Q77" s="47">
        <v>20.5</v>
      </c>
      <c r="R77" s="48">
        <f t="shared" si="8"/>
        <v>73</v>
      </c>
      <c r="S77" s="29">
        <v>3</v>
      </c>
      <c r="T77" s="286"/>
      <c r="U77" s="295"/>
      <c r="V77" s="38" t="s">
        <v>131</v>
      </c>
      <c r="W77" s="29" t="s">
        <v>22</v>
      </c>
      <c r="X77" s="29" t="s">
        <v>11</v>
      </c>
      <c r="Y77" s="39">
        <v>22</v>
      </c>
      <c r="Z77" s="29" t="s">
        <v>80</v>
      </c>
      <c r="AA77" s="29" t="s">
        <v>17</v>
      </c>
      <c r="AB77" s="29" t="s">
        <v>18</v>
      </c>
      <c r="AC77" s="29">
        <v>18</v>
      </c>
      <c r="AD77" s="38" t="s">
        <v>454</v>
      </c>
      <c r="AE77" s="29" t="s">
        <v>20</v>
      </c>
      <c r="AF77" s="29" t="s">
        <v>12</v>
      </c>
      <c r="AG77" s="39">
        <v>20.5</v>
      </c>
      <c r="AH77" s="29" t="s">
        <v>328</v>
      </c>
      <c r="AI77" s="29" t="s">
        <v>869</v>
      </c>
      <c r="AJ77" s="29" t="s">
        <v>11</v>
      </c>
      <c r="AK77" s="29">
        <v>12.5</v>
      </c>
      <c r="AL77" s="38"/>
      <c r="AO77" s="39"/>
      <c r="AP77" s="38"/>
      <c r="AS77" s="39"/>
      <c r="AW77" s="39"/>
      <c r="BA77" s="40"/>
    </row>
    <row r="78" spans="1:53" s="29" customFormat="1" x14ac:dyDescent="0.15">
      <c r="A78" s="29">
        <v>1995</v>
      </c>
      <c r="B78" s="295"/>
      <c r="C78" s="411" t="s">
        <v>439</v>
      </c>
      <c r="D78" s="411"/>
      <c r="E78" s="29">
        <v>346</v>
      </c>
      <c r="G78" s="66">
        <v>3</v>
      </c>
      <c r="H78" s="29">
        <v>2</v>
      </c>
      <c r="I78" s="29">
        <v>2</v>
      </c>
      <c r="J78" s="73">
        <v>7</v>
      </c>
      <c r="K78" s="47">
        <f t="shared" si="9"/>
        <v>42.857142857142854</v>
      </c>
      <c r="L78" s="47">
        <f t="shared" si="10"/>
        <v>28.571428571428569</v>
      </c>
      <c r="M78" s="47">
        <f t="shared" si="11"/>
        <v>28.571428571428569</v>
      </c>
      <c r="N78" s="68">
        <f t="shared" si="12"/>
        <v>99.999999999999986</v>
      </c>
      <c r="O78" s="46">
        <v>34.5</v>
      </c>
      <c r="P78" s="47">
        <v>18</v>
      </c>
      <c r="Q78" s="47">
        <v>20.5</v>
      </c>
      <c r="R78" s="48">
        <f t="shared" si="8"/>
        <v>73</v>
      </c>
      <c r="S78" s="29">
        <v>3</v>
      </c>
      <c r="T78" s="286"/>
      <c r="U78" s="295"/>
      <c r="V78" s="38" t="s">
        <v>131</v>
      </c>
      <c r="W78" s="29" t="s">
        <v>22</v>
      </c>
      <c r="X78" s="29" t="s">
        <v>11</v>
      </c>
      <c r="Y78" s="39">
        <v>22</v>
      </c>
      <c r="Z78" s="29" t="s">
        <v>80</v>
      </c>
      <c r="AA78" s="29" t="s">
        <v>17</v>
      </c>
      <c r="AB78" s="29" t="s">
        <v>18</v>
      </c>
      <c r="AC78" s="29">
        <v>18</v>
      </c>
      <c r="AD78" s="38" t="s">
        <v>454</v>
      </c>
      <c r="AE78" s="29" t="s">
        <v>20</v>
      </c>
      <c r="AF78" s="29" t="s">
        <v>12</v>
      </c>
      <c r="AG78" s="39">
        <v>20.5</v>
      </c>
      <c r="AH78" s="29" t="s">
        <v>328</v>
      </c>
      <c r="AI78" s="29" t="s">
        <v>869</v>
      </c>
      <c r="AJ78" s="29" t="s">
        <v>11</v>
      </c>
      <c r="AK78" s="29">
        <v>12.5</v>
      </c>
      <c r="AL78" s="38"/>
      <c r="AO78" s="39"/>
      <c r="AP78" s="38"/>
      <c r="AS78" s="39"/>
      <c r="AW78" s="39"/>
      <c r="BA78" s="40"/>
    </row>
    <row r="79" spans="1:53" s="171" customFormat="1" x14ac:dyDescent="0.15">
      <c r="A79" s="171">
        <v>1995</v>
      </c>
      <c r="B79" s="283">
        <v>35046</v>
      </c>
      <c r="C79" s="410" t="s">
        <v>431</v>
      </c>
      <c r="D79" s="410"/>
      <c r="E79" s="171">
        <f>365-E78</f>
        <v>19</v>
      </c>
      <c r="F79" s="171">
        <v>1</v>
      </c>
      <c r="G79" s="233">
        <v>3</v>
      </c>
      <c r="H79" s="171">
        <v>2</v>
      </c>
      <c r="I79" s="171">
        <v>2</v>
      </c>
      <c r="J79" s="241">
        <v>7</v>
      </c>
      <c r="K79" s="214">
        <f t="shared" si="9"/>
        <v>42.857142857142854</v>
      </c>
      <c r="L79" s="214">
        <f t="shared" si="10"/>
        <v>28.571428571428569</v>
      </c>
      <c r="M79" s="214">
        <f t="shared" si="11"/>
        <v>28.571428571428569</v>
      </c>
      <c r="N79" s="235">
        <f t="shared" si="12"/>
        <v>99.999999999999986</v>
      </c>
      <c r="O79" s="213">
        <v>37</v>
      </c>
      <c r="P79" s="214">
        <v>17</v>
      </c>
      <c r="Q79" s="214">
        <v>27</v>
      </c>
      <c r="R79" s="215">
        <f t="shared" si="8"/>
        <v>81</v>
      </c>
      <c r="S79" s="171">
        <v>3</v>
      </c>
      <c r="T79" s="285">
        <v>34994</v>
      </c>
      <c r="U79" s="283">
        <v>35046</v>
      </c>
      <c r="V79" s="178" t="s">
        <v>131</v>
      </c>
      <c r="W79" s="171" t="s">
        <v>22</v>
      </c>
      <c r="X79" s="171" t="s">
        <v>11</v>
      </c>
      <c r="Y79" s="179">
        <v>22.5</v>
      </c>
      <c r="Z79" s="171" t="s">
        <v>80</v>
      </c>
      <c r="AA79" s="171" t="s">
        <v>17</v>
      </c>
      <c r="AB79" s="171" t="s">
        <v>18</v>
      </c>
      <c r="AC79" s="171">
        <v>17</v>
      </c>
      <c r="AD79" s="178" t="s">
        <v>454</v>
      </c>
      <c r="AE79" s="171" t="s">
        <v>20</v>
      </c>
      <c r="AF79" s="171" t="s">
        <v>12</v>
      </c>
      <c r="AG79" s="179">
        <v>27</v>
      </c>
      <c r="AH79" s="171" t="s">
        <v>328</v>
      </c>
      <c r="AI79" s="171" t="s">
        <v>852</v>
      </c>
      <c r="AJ79" s="171" t="s">
        <v>11</v>
      </c>
      <c r="AK79" s="171">
        <v>14.5</v>
      </c>
      <c r="AL79" s="178"/>
      <c r="AO79" s="179"/>
      <c r="AP79" s="178"/>
      <c r="AS79" s="179"/>
      <c r="AW79" s="179"/>
      <c r="BA79" s="180"/>
    </row>
    <row r="80" spans="1:53" s="171" customFormat="1" x14ac:dyDescent="0.15">
      <c r="A80" s="171">
        <v>1996</v>
      </c>
      <c r="B80" s="283"/>
      <c r="C80" s="410" t="s">
        <v>431</v>
      </c>
      <c r="D80" s="410"/>
      <c r="E80" s="171">
        <v>0</v>
      </c>
      <c r="G80" s="233">
        <v>3</v>
      </c>
      <c r="H80" s="171">
        <v>2</v>
      </c>
      <c r="I80" s="171">
        <v>2</v>
      </c>
      <c r="J80" s="241">
        <v>7</v>
      </c>
      <c r="K80" s="214">
        <f t="shared" si="9"/>
        <v>42.857142857142854</v>
      </c>
      <c r="L80" s="214">
        <f t="shared" si="10"/>
        <v>28.571428571428569</v>
      </c>
      <c r="M80" s="214">
        <f t="shared" si="11"/>
        <v>28.571428571428569</v>
      </c>
      <c r="N80" s="235">
        <f t="shared" si="12"/>
        <v>99.999999999999986</v>
      </c>
      <c r="O80" s="213">
        <v>37</v>
      </c>
      <c r="P80" s="214">
        <v>17</v>
      </c>
      <c r="Q80" s="214">
        <v>27</v>
      </c>
      <c r="R80" s="215">
        <f t="shared" si="8"/>
        <v>81</v>
      </c>
      <c r="S80" s="171">
        <v>3</v>
      </c>
      <c r="T80" s="285"/>
      <c r="U80" s="283"/>
      <c r="V80" s="178" t="s">
        <v>131</v>
      </c>
      <c r="W80" s="171" t="s">
        <v>22</v>
      </c>
      <c r="X80" s="171" t="s">
        <v>11</v>
      </c>
      <c r="Y80" s="179">
        <v>22.5</v>
      </c>
      <c r="Z80" s="171" t="s">
        <v>80</v>
      </c>
      <c r="AA80" s="171" t="s">
        <v>17</v>
      </c>
      <c r="AB80" s="171" t="s">
        <v>18</v>
      </c>
      <c r="AC80" s="171">
        <v>17</v>
      </c>
      <c r="AD80" s="178" t="s">
        <v>454</v>
      </c>
      <c r="AE80" s="171" t="s">
        <v>20</v>
      </c>
      <c r="AF80" s="171" t="s">
        <v>12</v>
      </c>
      <c r="AG80" s="179">
        <v>27</v>
      </c>
      <c r="AH80" s="171" t="s">
        <v>328</v>
      </c>
      <c r="AI80" s="171" t="s">
        <v>852</v>
      </c>
      <c r="AJ80" s="171" t="s">
        <v>11</v>
      </c>
      <c r="AK80" s="171">
        <v>14.5</v>
      </c>
      <c r="AL80" s="178"/>
      <c r="AO80" s="179"/>
      <c r="AP80" s="178"/>
      <c r="AS80" s="179"/>
      <c r="AW80" s="179"/>
      <c r="BA80" s="180"/>
    </row>
    <row r="81" spans="1:53" s="171" customFormat="1" x14ac:dyDescent="0.15">
      <c r="A81" s="171">
        <v>1996</v>
      </c>
      <c r="B81" s="283"/>
      <c r="C81" s="410" t="s">
        <v>436</v>
      </c>
      <c r="D81" s="410"/>
      <c r="E81" s="171">
        <v>366</v>
      </c>
      <c r="F81" s="171">
        <v>1</v>
      </c>
      <c r="G81" s="233">
        <v>3</v>
      </c>
      <c r="H81" s="171">
        <v>2</v>
      </c>
      <c r="I81" s="171">
        <v>2</v>
      </c>
      <c r="J81" s="241">
        <v>7</v>
      </c>
      <c r="K81" s="214">
        <f t="shared" si="9"/>
        <v>42.857142857142854</v>
      </c>
      <c r="L81" s="214">
        <f t="shared" si="10"/>
        <v>28.571428571428569</v>
      </c>
      <c r="M81" s="214">
        <f t="shared" si="11"/>
        <v>28.571428571428569</v>
      </c>
      <c r="N81" s="235">
        <f t="shared" si="12"/>
        <v>99.999999999999986</v>
      </c>
      <c r="O81" s="213">
        <v>37</v>
      </c>
      <c r="P81" s="214">
        <v>17</v>
      </c>
      <c r="Q81" s="214">
        <v>27</v>
      </c>
      <c r="R81" s="215">
        <f t="shared" si="8"/>
        <v>81</v>
      </c>
      <c r="S81" s="171">
        <v>3</v>
      </c>
      <c r="T81" s="285"/>
      <c r="U81" s="283"/>
      <c r="V81" s="178" t="s">
        <v>131</v>
      </c>
      <c r="W81" s="171" t="s">
        <v>22</v>
      </c>
      <c r="X81" s="171" t="s">
        <v>11</v>
      </c>
      <c r="Y81" s="179">
        <v>22.5</v>
      </c>
      <c r="Z81" s="171" t="s">
        <v>80</v>
      </c>
      <c r="AA81" s="171" t="s">
        <v>17</v>
      </c>
      <c r="AB81" s="171" t="s">
        <v>18</v>
      </c>
      <c r="AC81" s="171">
        <v>17</v>
      </c>
      <c r="AD81" s="178" t="s">
        <v>454</v>
      </c>
      <c r="AE81" s="171" t="s">
        <v>20</v>
      </c>
      <c r="AF81" s="171" t="s">
        <v>12</v>
      </c>
      <c r="AG81" s="179">
        <v>27</v>
      </c>
      <c r="AH81" s="171" t="s">
        <v>328</v>
      </c>
      <c r="AI81" s="171" t="s">
        <v>852</v>
      </c>
      <c r="AJ81" s="171" t="s">
        <v>11</v>
      </c>
      <c r="AK81" s="171">
        <v>14.5</v>
      </c>
      <c r="AL81" s="178"/>
      <c r="AO81" s="179"/>
      <c r="AP81" s="178"/>
      <c r="AS81" s="179"/>
      <c r="AW81" s="179"/>
      <c r="BA81" s="180"/>
    </row>
    <row r="82" spans="1:53" s="171" customFormat="1" x14ac:dyDescent="0.15">
      <c r="A82" s="171">
        <v>1997</v>
      </c>
      <c r="B82" s="283"/>
      <c r="C82" s="410" t="s">
        <v>436</v>
      </c>
      <c r="D82" s="410"/>
      <c r="E82" s="171">
        <v>0</v>
      </c>
      <c r="G82" s="233">
        <v>3</v>
      </c>
      <c r="H82" s="171">
        <v>2</v>
      </c>
      <c r="I82" s="171">
        <v>2</v>
      </c>
      <c r="J82" s="241">
        <v>7</v>
      </c>
      <c r="K82" s="214">
        <f t="shared" si="9"/>
        <v>42.857142857142854</v>
      </c>
      <c r="L82" s="214">
        <f t="shared" si="10"/>
        <v>28.571428571428569</v>
      </c>
      <c r="M82" s="214">
        <f t="shared" si="11"/>
        <v>28.571428571428569</v>
      </c>
      <c r="N82" s="235">
        <f t="shared" si="12"/>
        <v>99.999999999999986</v>
      </c>
      <c r="O82" s="213">
        <v>37</v>
      </c>
      <c r="P82" s="214">
        <v>17</v>
      </c>
      <c r="Q82" s="214">
        <v>27</v>
      </c>
      <c r="R82" s="215">
        <f t="shared" si="8"/>
        <v>81</v>
      </c>
      <c r="S82" s="171">
        <v>3</v>
      </c>
      <c r="T82" s="285"/>
      <c r="U82" s="283"/>
      <c r="V82" s="178" t="s">
        <v>131</v>
      </c>
      <c r="W82" s="171" t="s">
        <v>22</v>
      </c>
      <c r="X82" s="171" t="s">
        <v>11</v>
      </c>
      <c r="Y82" s="179">
        <v>22.5</v>
      </c>
      <c r="Z82" s="171" t="s">
        <v>80</v>
      </c>
      <c r="AA82" s="171" t="s">
        <v>17</v>
      </c>
      <c r="AB82" s="171" t="s">
        <v>18</v>
      </c>
      <c r="AC82" s="171">
        <v>17</v>
      </c>
      <c r="AD82" s="178" t="s">
        <v>454</v>
      </c>
      <c r="AE82" s="171" t="s">
        <v>20</v>
      </c>
      <c r="AF82" s="171" t="s">
        <v>12</v>
      </c>
      <c r="AG82" s="179">
        <v>27</v>
      </c>
      <c r="AH82" s="171" t="s">
        <v>328</v>
      </c>
      <c r="AI82" s="171" t="s">
        <v>852</v>
      </c>
      <c r="AJ82" s="171" t="s">
        <v>11</v>
      </c>
      <c r="AK82" s="171">
        <v>14.5</v>
      </c>
      <c r="AL82" s="178"/>
      <c r="AO82" s="179"/>
      <c r="AP82" s="178"/>
      <c r="AS82" s="179"/>
      <c r="AW82" s="179"/>
      <c r="BA82" s="180"/>
    </row>
    <row r="83" spans="1:53" s="171" customFormat="1" x14ac:dyDescent="0.15">
      <c r="A83" s="171">
        <v>1997</v>
      </c>
      <c r="B83" s="283"/>
      <c r="C83" s="410" t="s">
        <v>437</v>
      </c>
      <c r="D83" s="410"/>
      <c r="E83" s="171">
        <f>365-E82</f>
        <v>365</v>
      </c>
      <c r="F83" s="171">
        <v>1</v>
      </c>
      <c r="G83" s="233">
        <v>3</v>
      </c>
      <c r="H83" s="171">
        <v>2</v>
      </c>
      <c r="I83" s="171">
        <v>2</v>
      </c>
      <c r="J83" s="241">
        <v>7</v>
      </c>
      <c r="K83" s="214">
        <f t="shared" si="9"/>
        <v>42.857142857142854</v>
      </c>
      <c r="L83" s="214">
        <f t="shared" si="10"/>
        <v>28.571428571428569</v>
      </c>
      <c r="M83" s="214">
        <f t="shared" si="11"/>
        <v>28.571428571428569</v>
      </c>
      <c r="N83" s="235">
        <f t="shared" si="12"/>
        <v>99.999999999999986</v>
      </c>
      <c r="O83" s="213">
        <v>37</v>
      </c>
      <c r="P83" s="214">
        <v>17</v>
      </c>
      <c r="Q83" s="214">
        <v>27</v>
      </c>
      <c r="R83" s="215">
        <f t="shared" si="8"/>
        <v>81</v>
      </c>
      <c r="S83" s="171">
        <v>3</v>
      </c>
      <c r="T83" s="285"/>
      <c r="U83" s="283"/>
      <c r="V83" s="178" t="s">
        <v>131</v>
      </c>
      <c r="W83" s="171" t="s">
        <v>22</v>
      </c>
      <c r="X83" s="171" t="s">
        <v>11</v>
      </c>
      <c r="Y83" s="179">
        <v>22.5</v>
      </c>
      <c r="Z83" s="171" t="s">
        <v>80</v>
      </c>
      <c r="AA83" s="171" t="s">
        <v>17</v>
      </c>
      <c r="AB83" s="171" t="s">
        <v>18</v>
      </c>
      <c r="AC83" s="171">
        <v>17</v>
      </c>
      <c r="AD83" s="178" t="s">
        <v>454</v>
      </c>
      <c r="AE83" s="171" t="s">
        <v>20</v>
      </c>
      <c r="AF83" s="171" t="s">
        <v>12</v>
      </c>
      <c r="AG83" s="179">
        <v>27</v>
      </c>
      <c r="AH83" s="171" t="s">
        <v>328</v>
      </c>
      <c r="AI83" s="171" t="s">
        <v>852</v>
      </c>
      <c r="AJ83" s="171" t="s">
        <v>11</v>
      </c>
      <c r="AK83" s="171">
        <v>14.5</v>
      </c>
      <c r="AL83" s="178"/>
      <c r="AO83" s="179"/>
      <c r="AP83" s="178"/>
      <c r="AS83" s="179"/>
      <c r="AW83" s="179"/>
      <c r="BA83" s="180"/>
    </row>
    <row r="84" spans="1:53" s="171" customFormat="1" x14ac:dyDescent="0.15">
      <c r="A84" s="171">
        <v>1998</v>
      </c>
      <c r="B84" s="283"/>
      <c r="C84" s="410" t="s">
        <v>437</v>
      </c>
      <c r="D84" s="410"/>
      <c r="E84" s="171">
        <v>0</v>
      </c>
      <c r="G84" s="233">
        <v>3</v>
      </c>
      <c r="H84" s="171">
        <v>2</v>
      </c>
      <c r="I84" s="171">
        <v>2</v>
      </c>
      <c r="J84" s="241">
        <v>7</v>
      </c>
      <c r="K84" s="214">
        <f t="shared" si="9"/>
        <v>42.857142857142854</v>
      </c>
      <c r="L84" s="214">
        <f t="shared" si="10"/>
        <v>28.571428571428569</v>
      </c>
      <c r="M84" s="214">
        <f t="shared" si="11"/>
        <v>28.571428571428569</v>
      </c>
      <c r="N84" s="235">
        <f t="shared" si="12"/>
        <v>99.999999999999986</v>
      </c>
      <c r="O84" s="213">
        <v>37</v>
      </c>
      <c r="P84" s="214">
        <v>17</v>
      </c>
      <c r="Q84" s="214">
        <v>27</v>
      </c>
      <c r="R84" s="215">
        <f t="shared" si="8"/>
        <v>81</v>
      </c>
      <c r="S84" s="171">
        <v>3</v>
      </c>
      <c r="T84" s="285"/>
      <c r="U84" s="283"/>
      <c r="V84" s="178" t="s">
        <v>131</v>
      </c>
      <c r="W84" s="171" t="s">
        <v>22</v>
      </c>
      <c r="X84" s="171" t="s">
        <v>11</v>
      </c>
      <c r="Y84" s="179">
        <v>22.5</v>
      </c>
      <c r="Z84" s="171" t="s">
        <v>80</v>
      </c>
      <c r="AA84" s="171" t="s">
        <v>17</v>
      </c>
      <c r="AB84" s="171" t="s">
        <v>18</v>
      </c>
      <c r="AC84" s="171">
        <v>17</v>
      </c>
      <c r="AD84" s="178" t="s">
        <v>454</v>
      </c>
      <c r="AE84" s="171" t="s">
        <v>20</v>
      </c>
      <c r="AF84" s="171" t="s">
        <v>12</v>
      </c>
      <c r="AG84" s="179">
        <v>27</v>
      </c>
      <c r="AH84" s="171" t="s">
        <v>328</v>
      </c>
      <c r="AI84" s="171" t="s">
        <v>852</v>
      </c>
      <c r="AJ84" s="171" t="s">
        <v>11</v>
      </c>
      <c r="AK84" s="171">
        <v>14.5</v>
      </c>
      <c r="AL84" s="178"/>
      <c r="AO84" s="179"/>
      <c r="AP84" s="178"/>
      <c r="AS84" s="179"/>
      <c r="AW84" s="179"/>
      <c r="BA84" s="180"/>
    </row>
    <row r="85" spans="1:53" s="171" customFormat="1" x14ac:dyDescent="0.15">
      <c r="A85" s="171">
        <v>1998</v>
      </c>
      <c r="B85" s="283"/>
      <c r="C85" s="410" t="s">
        <v>464</v>
      </c>
      <c r="D85" s="410"/>
      <c r="E85" s="171">
        <f>365-E84</f>
        <v>365</v>
      </c>
      <c r="F85" s="171">
        <v>1</v>
      </c>
      <c r="G85" s="233">
        <v>3</v>
      </c>
      <c r="H85" s="171">
        <v>2</v>
      </c>
      <c r="I85" s="171">
        <v>2</v>
      </c>
      <c r="J85" s="241">
        <v>7</v>
      </c>
      <c r="K85" s="214">
        <f t="shared" si="9"/>
        <v>42.857142857142854</v>
      </c>
      <c r="L85" s="214">
        <f t="shared" si="10"/>
        <v>28.571428571428569</v>
      </c>
      <c r="M85" s="214">
        <f t="shared" si="11"/>
        <v>28.571428571428569</v>
      </c>
      <c r="N85" s="235">
        <f t="shared" si="12"/>
        <v>99.999999999999986</v>
      </c>
      <c r="O85" s="213">
        <v>37</v>
      </c>
      <c r="P85" s="214">
        <v>17</v>
      </c>
      <c r="Q85" s="214">
        <v>27</v>
      </c>
      <c r="R85" s="215">
        <f t="shared" si="8"/>
        <v>81</v>
      </c>
      <c r="S85" s="171">
        <v>3</v>
      </c>
      <c r="T85" s="285"/>
      <c r="U85" s="283"/>
      <c r="V85" s="178" t="s">
        <v>131</v>
      </c>
      <c r="W85" s="171" t="s">
        <v>22</v>
      </c>
      <c r="X85" s="171" t="s">
        <v>11</v>
      </c>
      <c r="Y85" s="179">
        <v>22.5</v>
      </c>
      <c r="Z85" s="171" t="s">
        <v>80</v>
      </c>
      <c r="AA85" s="171" t="s">
        <v>17</v>
      </c>
      <c r="AB85" s="171" t="s">
        <v>18</v>
      </c>
      <c r="AC85" s="171">
        <v>17</v>
      </c>
      <c r="AD85" s="178" t="s">
        <v>454</v>
      </c>
      <c r="AE85" s="171" t="s">
        <v>20</v>
      </c>
      <c r="AF85" s="171" t="s">
        <v>12</v>
      </c>
      <c r="AG85" s="179">
        <v>27</v>
      </c>
      <c r="AH85" s="171" t="s">
        <v>328</v>
      </c>
      <c r="AI85" s="171" t="s">
        <v>852</v>
      </c>
      <c r="AJ85" s="171" t="s">
        <v>11</v>
      </c>
      <c r="AK85" s="171">
        <v>14.5</v>
      </c>
      <c r="AL85" s="178"/>
      <c r="AO85" s="179"/>
      <c r="AP85" s="178"/>
      <c r="AS85" s="179"/>
      <c r="AW85" s="179"/>
      <c r="BA85" s="180"/>
    </row>
    <row r="86" spans="1:53" s="171" customFormat="1" x14ac:dyDescent="0.15">
      <c r="A86" s="171">
        <v>1999</v>
      </c>
      <c r="B86" s="283"/>
      <c r="C86" s="410" t="s">
        <v>464</v>
      </c>
      <c r="D86" s="410"/>
      <c r="E86" s="171">
        <v>348</v>
      </c>
      <c r="G86" s="233">
        <v>3</v>
      </c>
      <c r="H86" s="171">
        <v>2</v>
      </c>
      <c r="I86" s="171">
        <v>2</v>
      </c>
      <c r="J86" s="241">
        <v>7</v>
      </c>
      <c r="K86" s="214">
        <f t="shared" si="9"/>
        <v>42.857142857142854</v>
      </c>
      <c r="L86" s="214">
        <f t="shared" si="10"/>
        <v>28.571428571428569</v>
      </c>
      <c r="M86" s="214">
        <f t="shared" si="11"/>
        <v>28.571428571428569</v>
      </c>
      <c r="N86" s="235">
        <f t="shared" si="12"/>
        <v>99.999999999999986</v>
      </c>
      <c r="O86" s="213">
        <v>37</v>
      </c>
      <c r="P86" s="214">
        <v>17</v>
      </c>
      <c r="Q86" s="214">
        <v>27</v>
      </c>
      <c r="R86" s="215">
        <f t="shared" si="8"/>
        <v>81</v>
      </c>
      <c r="S86" s="171">
        <v>3</v>
      </c>
      <c r="T86" s="285"/>
      <c r="U86" s="283"/>
      <c r="V86" s="178" t="s">
        <v>131</v>
      </c>
      <c r="W86" s="171" t="s">
        <v>22</v>
      </c>
      <c r="X86" s="171" t="s">
        <v>11</v>
      </c>
      <c r="Y86" s="179">
        <v>22.5</v>
      </c>
      <c r="Z86" s="171" t="s">
        <v>80</v>
      </c>
      <c r="AA86" s="171" t="s">
        <v>17</v>
      </c>
      <c r="AB86" s="171" t="s">
        <v>18</v>
      </c>
      <c r="AC86" s="171">
        <v>17</v>
      </c>
      <c r="AD86" s="178" t="s">
        <v>454</v>
      </c>
      <c r="AE86" s="171" t="s">
        <v>20</v>
      </c>
      <c r="AF86" s="171" t="s">
        <v>12</v>
      </c>
      <c r="AG86" s="179">
        <v>27</v>
      </c>
      <c r="AH86" s="171" t="s">
        <v>328</v>
      </c>
      <c r="AI86" s="171" t="s">
        <v>852</v>
      </c>
      <c r="AJ86" s="171" t="s">
        <v>11</v>
      </c>
      <c r="AK86" s="171">
        <v>14.5</v>
      </c>
      <c r="AL86" s="178"/>
      <c r="AO86" s="179"/>
      <c r="AP86" s="178"/>
      <c r="AS86" s="179"/>
      <c r="AW86" s="179"/>
      <c r="BA86" s="180"/>
    </row>
    <row r="87" spans="1:53" s="29" customFormat="1" x14ac:dyDescent="0.15">
      <c r="A87" s="29">
        <v>1999</v>
      </c>
      <c r="B87" s="295">
        <v>36509</v>
      </c>
      <c r="C87" s="411" t="s">
        <v>438</v>
      </c>
      <c r="D87" s="411"/>
      <c r="E87" s="29">
        <f>365-E86</f>
        <v>17</v>
      </c>
      <c r="F87" s="29">
        <v>1</v>
      </c>
      <c r="G87" s="66">
        <v>3</v>
      </c>
      <c r="H87" s="29">
        <v>2</v>
      </c>
      <c r="I87" s="29">
        <v>2</v>
      </c>
      <c r="J87" s="73">
        <v>7</v>
      </c>
      <c r="K87" s="47">
        <f t="shared" si="9"/>
        <v>42.857142857142854</v>
      </c>
      <c r="L87" s="47">
        <f t="shared" si="10"/>
        <v>28.571428571428569</v>
      </c>
      <c r="M87" s="47">
        <f t="shared" si="11"/>
        <v>28.571428571428569</v>
      </c>
      <c r="N87" s="68">
        <f t="shared" si="12"/>
        <v>99.999999999999986</v>
      </c>
      <c r="O87" s="46">
        <v>43.5</v>
      </c>
      <c r="P87" s="47">
        <v>17.5</v>
      </c>
      <c r="Q87" s="47">
        <v>25.5</v>
      </c>
      <c r="R87" s="48">
        <f t="shared" si="8"/>
        <v>86.5</v>
      </c>
      <c r="S87" s="29">
        <v>3</v>
      </c>
      <c r="T87" s="286">
        <v>36457</v>
      </c>
      <c r="U87" s="295">
        <v>36509</v>
      </c>
      <c r="V87" s="38" t="s">
        <v>131</v>
      </c>
      <c r="W87" s="29" t="s">
        <v>22</v>
      </c>
      <c r="X87" s="29" t="s">
        <v>11</v>
      </c>
      <c r="Y87" s="39">
        <v>21.5</v>
      </c>
      <c r="Z87" s="29" t="s">
        <v>80</v>
      </c>
      <c r="AA87" s="29" t="s">
        <v>17</v>
      </c>
      <c r="AB87" s="29" t="s">
        <v>18</v>
      </c>
      <c r="AC87" s="29">
        <v>17.5</v>
      </c>
      <c r="AD87" s="38" t="s">
        <v>454</v>
      </c>
      <c r="AE87" s="29" t="s">
        <v>20</v>
      </c>
      <c r="AF87" s="29" t="s">
        <v>12</v>
      </c>
      <c r="AG87" s="39">
        <v>25.5</v>
      </c>
      <c r="AH87" s="29" t="s">
        <v>328</v>
      </c>
      <c r="AI87" s="29" t="s">
        <v>852</v>
      </c>
      <c r="AJ87" s="29" t="s">
        <v>11</v>
      </c>
      <c r="AK87" s="29">
        <v>22</v>
      </c>
      <c r="AL87" s="38"/>
      <c r="AO87" s="39"/>
      <c r="AP87" s="38"/>
      <c r="AS87" s="39"/>
      <c r="AW87" s="39"/>
      <c r="BA87" s="40"/>
    </row>
    <row r="88" spans="1:53" s="29" customFormat="1" x14ac:dyDescent="0.15">
      <c r="A88" s="29">
        <v>2000</v>
      </c>
      <c r="B88" s="295"/>
      <c r="C88" s="411" t="s">
        <v>438</v>
      </c>
      <c r="D88" s="411"/>
      <c r="E88" s="29">
        <v>0</v>
      </c>
      <c r="G88" s="66">
        <v>3</v>
      </c>
      <c r="H88" s="29">
        <v>2</v>
      </c>
      <c r="I88" s="29">
        <v>2</v>
      </c>
      <c r="J88" s="73">
        <v>7</v>
      </c>
      <c r="K88" s="47">
        <f t="shared" si="9"/>
        <v>42.857142857142854</v>
      </c>
      <c r="L88" s="47">
        <f t="shared" si="10"/>
        <v>28.571428571428569</v>
      </c>
      <c r="M88" s="47">
        <f t="shared" si="11"/>
        <v>28.571428571428569</v>
      </c>
      <c r="N88" s="68">
        <f t="shared" si="12"/>
        <v>99.999999999999986</v>
      </c>
      <c r="O88" s="46">
        <v>43.5</v>
      </c>
      <c r="P88" s="47">
        <v>17.5</v>
      </c>
      <c r="Q88" s="47">
        <v>25.5</v>
      </c>
      <c r="R88" s="48">
        <f t="shared" si="8"/>
        <v>86.5</v>
      </c>
      <c r="S88" s="29">
        <v>3</v>
      </c>
      <c r="T88" s="286"/>
      <c r="U88" s="295"/>
      <c r="V88" s="38" t="s">
        <v>131</v>
      </c>
      <c r="W88" s="29" t="s">
        <v>22</v>
      </c>
      <c r="X88" s="29" t="s">
        <v>11</v>
      </c>
      <c r="Y88" s="39">
        <v>21.5</v>
      </c>
      <c r="Z88" s="29" t="s">
        <v>80</v>
      </c>
      <c r="AA88" s="29" t="s">
        <v>17</v>
      </c>
      <c r="AB88" s="29" t="s">
        <v>18</v>
      </c>
      <c r="AC88" s="29">
        <v>17.5</v>
      </c>
      <c r="AD88" s="38" t="s">
        <v>454</v>
      </c>
      <c r="AE88" s="29" t="s">
        <v>20</v>
      </c>
      <c r="AF88" s="29" t="s">
        <v>12</v>
      </c>
      <c r="AG88" s="39">
        <v>25.5</v>
      </c>
      <c r="AH88" s="29" t="s">
        <v>328</v>
      </c>
      <c r="AI88" s="29" t="s">
        <v>852</v>
      </c>
      <c r="AJ88" s="29" t="s">
        <v>11</v>
      </c>
      <c r="AK88" s="29">
        <v>22</v>
      </c>
      <c r="AL88" s="38"/>
      <c r="AO88" s="39"/>
      <c r="AP88" s="38"/>
      <c r="AS88" s="39"/>
      <c r="AW88" s="39"/>
      <c r="BA88" s="40"/>
    </row>
    <row r="89" spans="1:53" s="29" customFormat="1" x14ac:dyDescent="0.15">
      <c r="A89" s="29">
        <v>2000</v>
      </c>
      <c r="B89" s="295"/>
      <c r="C89" s="411" t="s">
        <v>465</v>
      </c>
      <c r="D89" s="411"/>
      <c r="E89" s="29">
        <v>366</v>
      </c>
      <c r="F89" s="29">
        <v>1</v>
      </c>
      <c r="G89" s="66">
        <v>3</v>
      </c>
      <c r="H89" s="29">
        <v>2</v>
      </c>
      <c r="I89" s="29">
        <v>2</v>
      </c>
      <c r="J89" s="73">
        <v>7</v>
      </c>
      <c r="K89" s="47">
        <f t="shared" si="9"/>
        <v>42.857142857142854</v>
      </c>
      <c r="L89" s="47">
        <f t="shared" si="10"/>
        <v>28.571428571428569</v>
      </c>
      <c r="M89" s="47">
        <f t="shared" si="11"/>
        <v>28.571428571428569</v>
      </c>
      <c r="N89" s="68">
        <f t="shared" si="12"/>
        <v>99.999999999999986</v>
      </c>
      <c r="O89" s="46">
        <v>43.5</v>
      </c>
      <c r="P89" s="47">
        <v>17.5</v>
      </c>
      <c r="Q89" s="47">
        <v>25.5</v>
      </c>
      <c r="R89" s="48">
        <f t="shared" si="8"/>
        <v>86.5</v>
      </c>
      <c r="S89" s="29">
        <v>3</v>
      </c>
      <c r="T89" s="286"/>
      <c r="U89" s="295"/>
      <c r="V89" s="38" t="s">
        <v>131</v>
      </c>
      <c r="W89" s="29" t="s">
        <v>22</v>
      </c>
      <c r="X89" s="29" t="s">
        <v>11</v>
      </c>
      <c r="Y89" s="39">
        <v>21.5</v>
      </c>
      <c r="Z89" s="29" t="s">
        <v>80</v>
      </c>
      <c r="AA89" s="29" t="s">
        <v>17</v>
      </c>
      <c r="AB89" s="29" t="s">
        <v>18</v>
      </c>
      <c r="AC89" s="29">
        <v>17.5</v>
      </c>
      <c r="AD89" s="38" t="s">
        <v>454</v>
      </c>
      <c r="AE89" s="29" t="s">
        <v>20</v>
      </c>
      <c r="AF89" s="29" t="s">
        <v>12</v>
      </c>
      <c r="AG89" s="39">
        <v>25.5</v>
      </c>
      <c r="AH89" s="29" t="s">
        <v>328</v>
      </c>
      <c r="AI89" s="29" t="s">
        <v>852</v>
      </c>
      <c r="AJ89" s="29" t="s">
        <v>11</v>
      </c>
      <c r="AK89" s="29">
        <v>22</v>
      </c>
      <c r="AL89" s="38"/>
      <c r="AO89" s="39"/>
      <c r="AP89" s="38"/>
      <c r="AS89" s="39"/>
      <c r="AW89" s="39"/>
      <c r="BA89" s="40"/>
    </row>
    <row r="90" spans="1:53" s="29" customFormat="1" x14ac:dyDescent="0.15">
      <c r="A90" s="29">
        <v>2001</v>
      </c>
      <c r="B90" s="295"/>
      <c r="C90" s="411" t="s">
        <v>465</v>
      </c>
      <c r="D90" s="411"/>
      <c r="E90" s="29">
        <v>0</v>
      </c>
      <c r="G90" s="66">
        <v>3</v>
      </c>
      <c r="H90" s="29">
        <v>2</v>
      </c>
      <c r="I90" s="29">
        <v>2</v>
      </c>
      <c r="J90" s="73">
        <v>7</v>
      </c>
      <c r="K90" s="47">
        <f t="shared" si="9"/>
        <v>42.857142857142854</v>
      </c>
      <c r="L90" s="47">
        <f t="shared" si="10"/>
        <v>28.571428571428569</v>
      </c>
      <c r="M90" s="47">
        <f t="shared" si="11"/>
        <v>28.571428571428569</v>
      </c>
      <c r="N90" s="68">
        <f t="shared" si="12"/>
        <v>99.999999999999986</v>
      </c>
      <c r="O90" s="46">
        <v>43.5</v>
      </c>
      <c r="P90" s="47">
        <v>17.5</v>
      </c>
      <c r="Q90" s="47">
        <v>25.5</v>
      </c>
      <c r="R90" s="48">
        <f t="shared" si="8"/>
        <v>86.5</v>
      </c>
      <c r="S90" s="29">
        <v>3</v>
      </c>
      <c r="T90" s="286"/>
      <c r="U90" s="295"/>
      <c r="V90" s="38" t="s">
        <v>131</v>
      </c>
      <c r="W90" s="29" t="s">
        <v>22</v>
      </c>
      <c r="X90" s="29" t="s">
        <v>11</v>
      </c>
      <c r="Y90" s="39">
        <v>21.5</v>
      </c>
      <c r="Z90" s="29" t="s">
        <v>80</v>
      </c>
      <c r="AA90" s="29" t="s">
        <v>17</v>
      </c>
      <c r="AB90" s="29" t="s">
        <v>18</v>
      </c>
      <c r="AC90" s="29">
        <v>17.5</v>
      </c>
      <c r="AD90" s="38" t="s">
        <v>454</v>
      </c>
      <c r="AE90" s="29" t="s">
        <v>20</v>
      </c>
      <c r="AF90" s="29" t="s">
        <v>12</v>
      </c>
      <c r="AG90" s="39">
        <v>25.5</v>
      </c>
      <c r="AH90" s="29" t="s">
        <v>328</v>
      </c>
      <c r="AI90" s="29" t="s">
        <v>852</v>
      </c>
      <c r="AJ90" s="29" t="s">
        <v>11</v>
      </c>
      <c r="AK90" s="29">
        <v>22</v>
      </c>
      <c r="AL90" s="38"/>
      <c r="AO90" s="39"/>
      <c r="AP90" s="38"/>
      <c r="AS90" s="39"/>
      <c r="AW90" s="39"/>
      <c r="BA90" s="40"/>
    </row>
    <row r="91" spans="1:53" s="29" customFormat="1" x14ac:dyDescent="0.15">
      <c r="A91" s="29">
        <v>2001</v>
      </c>
      <c r="B91" s="295"/>
      <c r="C91" s="411" t="s">
        <v>435</v>
      </c>
      <c r="D91" s="411"/>
      <c r="E91" s="29">
        <f>365-E90</f>
        <v>365</v>
      </c>
      <c r="F91" s="29">
        <v>1</v>
      </c>
      <c r="G91" s="66">
        <v>3</v>
      </c>
      <c r="H91" s="29">
        <v>2</v>
      </c>
      <c r="I91" s="29">
        <v>2</v>
      </c>
      <c r="J91" s="73">
        <v>7</v>
      </c>
      <c r="K91" s="47">
        <f t="shared" si="9"/>
        <v>42.857142857142854</v>
      </c>
      <c r="L91" s="47">
        <f t="shared" si="10"/>
        <v>28.571428571428569</v>
      </c>
      <c r="M91" s="47">
        <f t="shared" si="11"/>
        <v>28.571428571428569</v>
      </c>
      <c r="N91" s="68">
        <f t="shared" si="12"/>
        <v>99.999999999999986</v>
      </c>
      <c r="O91" s="46">
        <v>43.5</v>
      </c>
      <c r="P91" s="47">
        <v>17.5</v>
      </c>
      <c r="Q91" s="47">
        <v>25.5</v>
      </c>
      <c r="R91" s="48">
        <f t="shared" si="8"/>
        <v>86.5</v>
      </c>
      <c r="S91" s="29">
        <v>3</v>
      </c>
      <c r="T91" s="286"/>
      <c r="U91" s="295"/>
      <c r="V91" s="38" t="s">
        <v>131</v>
      </c>
      <c r="W91" s="29" t="s">
        <v>22</v>
      </c>
      <c r="X91" s="29" t="s">
        <v>11</v>
      </c>
      <c r="Y91" s="39">
        <v>21.5</v>
      </c>
      <c r="Z91" s="29" t="s">
        <v>80</v>
      </c>
      <c r="AA91" s="29" t="s">
        <v>17</v>
      </c>
      <c r="AB91" s="29" t="s">
        <v>18</v>
      </c>
      <c r="AC91" s="29">
        <v>17.5</v>
      </c>
      <c r="AD91" s="38" t="s">
        <v>454</v>
      </c>
      <c r="AE91" s="29" t="s">
        <v>20</v>
      </c>
      <c r="AF91" s="29" t="s">
        <v>12</v>
      </c>
      <c r="AG91" s="39">
        <v>25.5</v>
      </c>
      <c r="AH91" s="29" t="s">
        <v>328</v>
      </c>
      <c r="AI91" s="29" t="s">
        <v>852</v>
      </c>
      <c r="AJ91" s="29" t="s">
        <v>11</v>
      </c>
      <c r="AK91" s="29">
        <v>22</v>
      </c>
      <c r="AL91" s="38"/>
      <c r="AO91" s="39"/>
      <c r="AP91" s="38"/>
      <c r="AS91" s="39"/>
      <c r="AW91" s="39"/>
      <c r="BA91" s="40"/>
    </row>
    <row r="92" spans="1:53" s="29" customFormat="1" x14ac:dyDescent="0.15">
      <c r="A92" s="29">
        <v>2002</v>
      </c>
      <c r="B92" s="295"/>
      <c r="C92" s="411" t="s">
        <v>435</v>
      </c>
      <c r="D92" s="411"/>
      <c r="E92" s="29">
        <v>0</v>
      </c>
      <c r="G92" s="66">
        <v>3</v>
      </c>
      <c r="H92" s="29">
        <v>2</v>
      </c>
      <c r="I92" s="29">
        <v>2</v>
      </c>
      <c r="J92" s="73">
        <v>7</v>
      </c>
      <c r="K92" s="47">
        <f t="shared" si="9"/>
        <v>42.857142857142854</v>
      </c>
      <c r="L92" s="47">
        <f t="shared" si="10"/>
        <v>28.571428571428569</v>
      </c>
      <c r="M92" s="47">
        <f t="shared" si="11"/>
        <v>28.571428571428569</v>
      </c>
      <c r="N92" s="68">
        <f t="shared" si="12"/>
        <v>99.999999999999986</v>
      </c>
      <c r="O92" s="46">
        <v>43.5</v>
      </c>
      <c r="P92" s="47">
        <v>17.5</v>
      </c>
      <c r="Q92" s="47">
        <v>25.5</v>
      </c>
      <c r="R92" s="48">
        <f t="shared" si="8"/>
        <v>86.5</v>
      </c>
      <c r="S92" s="29">
        <v>3</v>
      </c>
      <c r="T92" s="286"/>
      <c r="U92" s="295"/>
      <c r="V92" s="38" t="s">
        <v>131</v>
      </c>
      <c r="W92" s="29" t="s">
        <v>22</v>
      </c>
      <c r="X92" s="29" t="s">
        <v>11</v>
      </c>
      <c r="Y92" s="39">
        <v>21.5</v>
      </c>
      <c r="Z92" s="29" t="s">
        <v>80</v>
      </c>
      <c r="AA92" s="29" t="s">
        <v>17</v>
      </c>
      <c r="AB92" s="29" t="s">
        <v>18</v>
      </c>
      <c r="AC92" s="29">
        <v>17.5</v>
      </c>
      <c r="AD92" s="38" t="s">
        <v>454</v>
      </c>
      <c r="AE92" s="29" t="s">
        <v>20</v>
      </c>
      <c r="AF92" s="29" t="s">
        <v>12</v>
      </c>
      <c r="AG92" s="39">
        <v>25.5</v>
      </c>
      <c r="AH92" s="29" t="s">
        <v>328</v>
      </c>
      <c r="AI92" s="29" t="s">
        <v>852</v>
      </c>
      <c r="AJ92" s="29" t="s">
        <v>11</v>
      </c>
      <c r="AK92" s="29">
        <v>22</v>
      </c>
      <c r="AL92" s="38"/>
      <c r="AO92" s="39"/>
      <c r="AP92" s="38"/>
      <c r="AS92" s="39"/>
      <c r="AW92" s="39"/>
      <c r="BA92" s="40"/>
    </row>
    <row r="93" spans="1:53" s="29" customFormat="1" x14ac:dyDescent="0.15">
      <c r="A93" s="29">
        <v>2002</v>
      </c>
      <c r="B93" s="295"/>
      <c r="C93" s="411" t="s">
        <v>440</v>
      </c>
      <c r="D93" s="411"/>
      <c r="E93" s="29">
        <f>365-E92</f>
        <v>365</v>
      </c>
      <c r="F93" s="29">
        <v>1</v>
      </c>
      <c r="G93" s="66">
        <v>3</v>
      </c>
      <c r="H93" s="29">
        <v>2</v>
      </c>
      <c r="I93" s="29">
        <v>2</v>
      </c>
      <c r="J93" s="73">
        <v>7</v>
      </c>
      <c r="K93" s="47">
        <f t="shared" si="9"/>
        <v>42.857142857142854</v>
      </c>
      <c r="L93" s="47">
        <f t="shared" si="10"/>
        <v>28.571428571428569</v>
      </c>
      <c r="M93" s="47">
        <f t="shared" si="11"/>
        <v>28.571428571428569</v>
      </c>
      <c r="N93" s="68">
        <f t="shared" si="12"/>
        <v>99.999999999999986</v>
      </c>
      <c r="O93" s="46">
        <v>43.5</v>
      </c>
      <c r="P93" s="47">
        <v>17.5</v>
      </c>
      <c r="Q93" s="47">
        <v>25.5</v>
      </c>
      <c r="R93" s="48">
        <f t="shared" si="8"/>
        <v>86.5</v>
      </c>
      <c r="S93" s="29">
        <v>3</v>
      </c>
      <c r="T93" s="286"/>
      <c r="U93" s="295"/>
      <c r="V93" s="38" t="s">
        <v>131</v>
      </c>
      <c r="W93" s="29" t="s">
        <v>22</v>
      </c>
      <c r="X93" s="29" t="s">
        <v>11</v>
      </c>
      <c r="Y93" s="39">
        <v>21.5</v>
      </c>
      <c r="Z93" s="29" t="s">
        <v>80</v>
      </c>
      <c r="AA93" s="29" t="s">
        <v>17</v>
      </c>
      <c r="AB93" s="29" t="s">
        <v>18</v>
      </c>
      <c r="AC93" s="29">
        <v>17.5</v>
      </c>
      <c r="AD93" s="38" t="s">
        <v>454</v>
      </c>
      <c r="AE93" s="29" t="s">
        <v>20</v>
      </c>
      <c r="AF93" s="29" t="s">
        <v>12</v>
      </c>
      <c r="AG93" s="39">
        <v>25.5</v>
      </c>
      <c r="AH93" s="29" t="s">
        <v>328</v>
      </c>
      <c r="AI93" s="29" t="s">
        <v>852</v>
      </c>
      <c r="AJ93" s="29" t="s">
        <v>11</v>
      </c>
      <c r="AK93" s="29">
        <v>22</v>
      </c>
      <c r="AL93" s="38"/>
      <c r="AO93" s="39"/>
      <c r="AP93" s="38"/>
      <c r="AS93" s="39"/>
      <c r="AW93" s="39"/>
      <c r="BA93" s="40"/>
    </row>
    <row r="94" spans="1:53" s="29" customFormat="1" x14ac:dyDescent="0.15">
      <c r="A94" s="29">
        <v>2003</v>
      </c>
      <c r="B94" s="295"/>
      <c r="C94" s="411" t="s">
        <v>440</v>
      </c>
      <c r="D94" s="411"/>
      <c r="E94" s="29">
        <v>343</v>
      </c>
      <c r="G94" s="66">
        <v>3</v>
      </c>
      <c r="H94" s="29">
        <v>2</v>
      </c>
      <c r="I94" s="29">
        <v>2</v>
      </c>
      <c r="J94" s="73">
        <v>7</v>
      </c>
      <c r="K94" s="47">
        <f t="shared" si="9"/>
        <v>42.857142857142854</v>
      </c>
      <c r="L94" s="47">
        <f t="shared" si="10"/>
        <v>28.571428571428569</v>
      </c>
      <c r="M94" s="47">
        <f t="shared" si="11"/>
        <v>28.571428571428569</v>
      </c>
      <c r="N94" s="68">
        <f t="shared" si="12"/>
        <v>99.999999999999986</v>
      </c>
      <c r="O94" s="46">
        <v>43.5</v>
      </c>
      <c r="P94" s="47">
        <v>17.5</v>
      </c>
      <c r="Q94" s="47">
        <v>25.5</v>
      </c>
      <c r="R94" s="48">
        <f t="shared" si="8"/>
        <v>86.5</v>
      </c>
      <c r="S94" s="29">
        <v>3</v>
      </c>
      <c r="T94" s="286"/>
      <c r="U94" s="295"/>
      <c r="V94" s="38" t="s">
        <v>131</v>
      </c>
      <c r="W94" s="29" t="s">
        <v>22</v>
      </c>
      <c r="X94" s="29" t="s">
        <v>11</v>
      </c>
      <c r="Y94" s="39">
        <v>21.5</v>
      </c>
      <c r="Z94" s="29" t="s">
        <v>80</v>
      </c>
      <c r="AA94" s="29" t="s">
        <v>17</v>
      </c>
      <c r="AB94" s="29" t="s">
        <v>18</v>
      </c>
      <c r="AC94" s="29">
        <v>17.5</v>
      </c>
      <c r="AD94" s="38" t="s">
        <v>454</v>
      </c>
      <c r="AE94" s="29" t="s">
        <v>20</v>
      </c>
      <c r="AF94" s="29" t="s">
        <v>12</v>
      </c>
      <c r="AG94" s="39">
        <v>25.5</v>
      </c>
      <c r="AH94" s="29" t="s">
        <v>328</v>
      </c>
      <c r="AI94" s="29" t="s">
        <v>852</v>
      </c>
      <c r="AJ94" s="29" t="s">
        <v>11</v>
      </c>
      <c r="AK94" s="29">
        <v>22</v>
      </c>
      <c r="AL94" s="38"/>
      <c r="AO94" s="39"/>
      <c r="AP94" s="38"/>
      <c r="AS94" s="39"/>
      <c r="AW94" s="39"/>
      <c r="BA94" s="40"/>
    </row>
    <row r="95" spans="1:53" s="171" customFormat="1" x14ac:dyDescent="0.15">
      <c r="A95" s="171">
        <v>2003</v>
      </c>
      <c r="B95" s="283">
        <v>37965</v>
      </c>
      <c r="C95" s="410" t="s">
        <v>441</v>
      </c>
      <c r="D95" s="410"/>
      <c r="E95" s="171">
        <f>365-E94</f>
        <v>22</v>
      </c>
      <c r="F95" s="171">
        <v>1</v>
      </c>
      <c r="G95" s="233">
        <v>3</v>
      </c>
      <c r="H95" s="171">
        <v>2</v>
      </c>
      <c r="I95" s="171">
        <v>2</v>
      </c>
      <c r="J95" s="241">
        <v>7</v>
      </c>
      <c r="K95" s="214">
        <f t="shared" si="9"/>
        <v>42.857142857142854</v>
      </c>
      <c r="L95" s="214">
        <f t="shared" si="10"/>
        <v>28.571428571428569</v>
      </c>
      <c r="M95" s="214">
        <f t="shared" si="11"/>
        <v>28.571428571428569</v>
      </c>
      <c r="N95" s="235">
        <f t="shared" si="12"/>
        <v>99.999999999999986</v>
      </c>
      <c r="O95" s="213">
        <v>45.5</v>
      </c>
      <c r="P95" s="214">
        <v>14</v>
      </c>
      <c r="Q95" s="214">
        <v>26</v>
      </c>
      <c r="R95" s="215">
        <f t="shared" si="8"/>
        <v>85.5</v>
      </c>
      <c r="S95" s="171">
        <v>3</v>
      </c>
      <c r="T95" s="285">
        <v>37913</v>
      </c>
      <c r="U95" s="283">
        <v>37965</v>
      </c>
      <c r="V95" s="178" t="s">
        <v>131</v>
      </c>
      <c r="W95" s="171" t="s">
        <v>22</v>
      </c>
      <c r="X95" s="171" t="s">
        <v>11</v>
      </c>
      <c r="Y95" s="179">
        <v>18</v>
      </c>
      <c r="Z95" s="171" t="s">
        <v>80</v>
      </c>
      <c r="AA95" s="171" t="s">
        <v>17</v>
      </c>
      <c r="AB95" s="171" t="s">
        <v>18</v>
      </c>
      <c r="AC95" s="171">
        <v>14</v>
      </c>
      <c r="AD95" s="178" t="s">
        <v>454</v>
      </c>
      <c r="AE95" s="171" t="s">
        <v>20</v>
      </c>
      <c r="AF95" s="171" t="s">
        <v>12</v>
      </c>
      <c r="AG95" s="179">
        <v>26</v>
      </c>
      <c r="AH95" s="171" t="s">
        <v>328</v>
      </c>
      <c r="AI95" s="171" t="s">
        <v>852</v>
      </c>
      <c r="AJ95" s="171" t="s">
        <v>11</v>
      </c>
      <c r="AK95" s="171">
        <v>27.5</v>
      </c>
      <c r="AL95" s="178"/>
      <c r="AO95" s="179"/>
      <c r="AP95" s="178"/>
      <c r="AS95" s="179"/>
      <c r="AW95" s="179"/>
      <c r="BA95" s="180"/>
    </row>
    <row r="96" spans="1:53" s="171" customFormat="1" x14ac:dyDescent="0.15">
      <c r="A96" s="171">
        <v>2004</v>
      </c>
      <c r="B96" s="283"/>
      <c r="C96" s="410" t="s">
        <v>441</v>
      </c>
      <c r="D96" s="410"/>
      <c r="E96" s="171">
        <v>0</v>
      </c>
      <c r="G96" s="233">
        <v>4</v>
      </c>
      <c r="H96" s="171">
        <v>1</v>
      </c>
      <c r="I96" s="171">
        <v>2</v>
      </c>
      <c r="J96" s="241">
        <v>7</v>
      </c>
      <c r="K96" s="214">
        <f t="shared" si="9"/>
        <v>57.142857142857139</v>
      </c>
      <c r="L96" s="214">
        <f t="shared" si="10"/>
        <v>14.285714285714285</v>
      </c>
      <c r="M96" s="214">
        <f t="shared" si="11"/>
        <v>28.571428571428569</v>
      </c>
      <c r="N96" s="235">
        <f t="shared" si="12"/>
        <v>99.999999999999986</v>
      </c>
      <c r="O96" s="213">
        <v>45.5</v>
      </c>
      <c r="P96" s="214">
        <v>14</v>
      </c>
      <c r="Q96" s="214">
        <v>26</v>
      </c>
      <c r="R96" s="215">
        <f t="shared" si="8"/>
        <v>85.5</v>
      </c>
      <c r="S96" s="171">
        <v>3</v>
      </c>
      <c r="T96" s="285"/>
      <c r="U96" s="283"/>
      <c r="V96" s="178" t="s">
        <v>131</v>
      </c>
      <c r="W96" s="171" t="s">
        <v>22</v>
      </c>
      <c r="X96" s="171" t="s">
        <v>11</v>
      </c>
      <c r="Y96" s="179">
        <v>18</v>
      </c>
      <c r="Z96" s="171" t="s">
        <v>80</v>
      </c>
      <c r="AA96" s="171" t="s">
        <v>17</v>
      </c>
      <c r="AB96" s="171" t="s">
        <v>18</v>
      </c>
      <c r="AC96" s="171">
        <v>14</v>
      </c>
      <c r="AD96" s="178" t="s">
        <v>454</v>
      </c>
      <c r="AE96" s="171" t="s">
        <v>20</v>
      </c>
      <c r="AF96" s="171" t="s">
        <v>12</v>
      </c>
      <c r="AG96" s="179">
        <v>26</v>
      </c>
      <c r="AH96" s="171" t="s">
        <v>328</v>
      </c>
      <c r="AI96" s="171" t="s">
        <v>852</v>
      </c>
      <c r="AJ96" s="171" t="s">
        <v>11</v>
      </c>
      <c r="AK96" s="171">
        <v>27.5</v>
      </c>
      <c r="AL96" s="178"/>
      <c r="AO96" s="179"/>
      <c r="AP96" s="178"/>
      <c r="AS96" s="179"/>
      <c r="AW96" s="179"/>
      <c r="BA96" s="180"/>
    </row>
    <row r="97" spans="1:53" s="171" customFormat="1" x14ac:dyDescent="0.15">
      <c r="A97" s="171">
        <v>2004</v>
      </c>
      <c r="B97" s="283"/>
      <c r="C97" s="410" t="s">
        <v>442</v>
      </c>
      <c r="D97" s="410"/>
      <c r="E97" s="171">
        <v>366</v>
      </c>
      <c r="F97" s="171">
        <v>1</v>
      </c>
      <c r="G97" s="233">
        <v>4</v>
      </c>
      <c r="H97" s="171">
        <v>1</v>
      </c>
      <c r="I97" s="171">
        <v>2</v>
      </c>
      <c r="J97" s="241">
        <v>7</v>
      </c>
      <c r="K97" s="214">
        <f t="shared" si="9"/>
        <v>57.142857142857139</v>
      </c>
      <c r="L97" s="214">
        <f t="shared" si="10"/>
        <v>14.285714285714285</v>
      </c>
      <c r="M97" s="214">
        <f t="shared" si="11"/>
        <v>28.571428571428569</v>
      </c>
      <c r="N97" s="235">
        <f t="shared" si="12"/>
        <v>99.999999999999986</v>
      </c>
      <c r="O97" s="213">
        <v>45.5</v>
      </c>
      <c r="P97" s="214">
        <v>14</v>
      </c>
      <c r="Q97" s="214">
        <v>26</v>
      </c>
      <c r="R97" s="215">
        <f t="shared" si="8"/>
        <v>85.5</v>
      </c>
      <c r="S97" s="171">
        <v>3</v>
      </c>
      <c r="T97" s="285"/>
      <c r="U97" s="283"/>
      <c r="V97" s="178" t="s">
        <v>131</v>
      </c>
      <c r="W97" s="171" t="s">
        <v>22</v>
      </c>
      <c r="X97" s="171" t="s">
        <v>11</v>
      </c>
      <c r="Y97" s="179">
        <v>18</v>
      </c>
      <c r="Z97" s="171" t="s">
        <v>80</v>
      </c>
      <c r="AA97" s="171" t="s">
        <v>17</v>
      </c>
      <c r="AB97" s="171" t="s">
        <v>18</v>
      </c>
      <c r="AC97" s="171">
        <v>14</v>
      </c>
      <c r="AD97" s="178" t="s">
        <v>454</v>
      </c>
      <c r="AE97" s="171" t="s">
        <v>20</v>
      </c>
      <c r="AF97" s="171" t="s">
        <v>12</v>
      </c>
      <c r="AG97" s="179">
        <v>26</v>
      </c>
      <c r="AH97" s="171" t="s">
        <v>328</v>
      </c>
      <c r="AI97" s="171" t="s">
        <v>852</v>
      </c>
      <c r="AJ97" s="171" t="s">
        <v>11</v>
      </c>
      <c r="AK97" s="171">
        <v>27.5</v>
      </c>
      <c r="AL97" s="178"/>
      <c r="AO97" s="179"/>
      <c r="AP97" s="178"/>
      <c r="AS97" s="179"/>
      <c r="AW97" s="179"/>
      <c r="BA97" s="180"/>
    </row>
    <row r="98" spans="1:53" s="171" customFormat="1" x14ac:dyDescent="0.15">
      <c r="A98" s="171">
        <v>2005</v>
      </c>
      <c r="B98" s="283"/>
      <c r="C98" s="410" t="s">
        <v>442</v>
      </c>
      <c r="D98" s="410"/>
      <c r="E98" s="171">
        <v>0</v>
      </c>
      <c r="G98" s="233">
        <v>4</v>
      </c>
      <c r="H98" s="171">
        <v>1</v>
      </c>
      <c r="I98" s="171">
        <v>2</v>
      </c>
      <c r="J98" s="241">
        <v>7</v>
      </c>
      <c r="K98" s="214">
        <f t="shared" si="9"/>
        <v>57.142857142857139</v>
      </c>
      <c r="L98" s="214">
        <f t="shared" si="10"/>
        <v>14.285714285714285</v>
      </c>
      <c r="M98" s="214">
        <f t="shared" si="11"/>
        <v>28.571428571428569</v>
      </c>
      <c r="N98" s="235">
        <f t="shared" si="12"/>
        <v>99.999999999999986</v>
      </c>
      <c r="O98" s="213">
        <v>45.5</v>
      </c>
      <c r="P98" s="214">
        <v>14</v>
      </c>
      <c r="Q98" s="214">
        <v>26</v>
      </c>
      <c r="R98" s="215">
        <f t="shared" si="8"/>
        <v>85.5</v>
      </c>
      <c r="S98" s="171">
        <v>3</v>
      </c>
      <c r="T98" s="285"/>
      <c r="U98" s="283"/>
      <c r="V98" s="178" t="s">
        <v>131</v>
      </c>
      <c r="W98" s="171" t="s">
        <v>22</v>
      </c>
      <c r="X98" s="171" t="s">
        <v>11</v>
      </c>
      <c r="Y98" s="179">
        <v>18</v>
      </c>
      <c r="Z98" s="171" t="s">
        <v>80</v>
      </c>
      <c r="AA98" s="171" t="s">
        <v>17</v>
      </c>
      <c r="AB98" s="171" t="s">
        <v>18</v>
      </c>
      <c r="AC98" s="171">
        <v>14</v>
      </c>
      <c r="AD98" s="178" t="s">
        <v>454</v>
      </c>
      <c r="AE98" s="171" t="s">
        <v>20</v>
      </c>
      <c r="AF98" s="171" t="s">
        <v>12</v>
      </c>
      <c r="AG98" s="179">
        <v>26</v>
      </c>
      <c r="AH98" s="171" t="s">
        <v>328</v>
      </c>
      <c r="AI98" s="171" t="s">
        <v>852</v>
      </c>
      <c r="AJ98" s="171" t="s">
        <v>11</v>
      </c>
      <c r="AK98" s="171">
        <v>27.5</v>
      </c>
      <c r="AL98" s="178"/>
      <c r="AO98" s="179"/>
      <c r="AP98" s="178"/>
      <c r="AS98" s="179"/>
      <c r="AW98" s="179"/>
      <c r="BA98" s="180"/>
    </row>
    <row r="99" spans="1:53" s="171" customFormat="1" x14ac:dyDescent="0.15">
      <c r="A99" s="171">
        <v>2005</v>
      </c>
      <c r="B99" s="283"/>
      <c r="C99" s="410" t="s">
        <v>466</v>
      </c>
      <c r="D99" s="410"/>
      <c r="E99" s="171">
        <f>365-E98</f>
        <v>365</v>
      </c>
      <c r="F99" s="171">
        <v>1</v>
      </c>
      <c r="G99" s="233">
        <v>4</v>
      </c>
      <c r="H99" s="171">
        <v>1</v>
      </c>
      <c r="I99" s="171">
        <v>2</v>
      </c>
      <c r="J99" s="241">
        <v>7</v>
      </c>
      <c r="K99" s="214">
        <f t="shared" si="9"/>
        <v>57.142857142857139</v>
      </c>
      <c r="L99" s="214">
        <f t="shared" si="10"/>
        <v>14.285714285714285</v>
      </c>
      <c r="M99" s="214">
        <f t="shared" si="11"/>
        <v>28.571428571428569</v>
      </c>
      <c r="N99" s="235">
        <f t="shared" si="12"/>
        <v>99.999999999999986</v>
      </c>
      <c r="O99" s="213">
        <v>45.5</v>
      </c>
      <c r="P99" s="214">
        <v>14</v>
      </c>
      <c r="Q99" s="214">
        <v>26</v>
      </c>
      <c r="R99" s="215">
        <f t="shared" si="8"/>
        <v>85.5</v>
      </c>
      <c r="S99" s="171">
        <v>3</v>
      </c>
      <c r="T99" s="285"/>
      <c r="U99" s="283"/>
      <c r="V99" s="178" t="s">
        <v>131</v>
      </c>
      <c r="W99" s="171" t="s">
        <v>22</v>
      </c>
      <c r="X99" s="171" t="s">
        <v>11</v>
      </c>
      <c r="Y99" s="179">
        <v>18</v>
      </c>
      <c r="Z99" s="171" t="s">
        <v>80</v>
      </c>
      <c r="AA99" s="171" t="s">
        <v>17</v>
      </c>
      <c r="AB99" s="171" t="s">
        <v>18</v>
      </c>
      <c r="AC99" s="171">
        <v>14</v>
      </c>
      <c r="AD99" s="178" t="s">
        <v>454</v>
      </c>
      <c r="AE99" s="171" t="s">
        <v>20</v>
      </c>
      <c r="AF99" s="171" t="s">
        <v>12</v>
      </c>
      <c r="AG99" s="179">
        <v>26</v>
      </c>
      <c r="AH99" s="171" t="s">
        <v>328</v>
      </c>
      <c r="AI99" s="171" t="s">
        <v>852</v>
      </c>
      <c r="AJ99" s="171" t="s">
        <v>11</v>
      </c>
      <c r="AK99" s="171">
        <v>27.5</v>
      </c>
      <c r="AL99" s="178"/>
      <c r="AO99" s="179"/>
      <c r="AP99" s="178"/>
      <c r="AS99" s="179"/>
      <c r="AW99" s="179"/>
      <c r="BA99" s="180"/>
    </row>
    <row r="100" spans="1:53" s="171" customFormat="1" x14ac:dyDescent="0.15">
      <c r="A100" s="171">
        <v>2006</v>
      </c>
      <c r="B100" s="283"/>
      <c r="C100" s="410" t="s">
        <v>466</v>
      </c>
      <c r="D100" s="410"/>
      <c r="E100" s="171">
        <v>0</v>
      </c>
      <c r="G100" s="233">
        <v>4</v>
      </c>
      <c r="H100" s="171">
        <v>1</v>
      </c>
      <c r="I100" s="171">
        <v>2</v>
      </c>
      <c r="J100" s="241">
        <v>7</v>
      </c>
      <c r="K100" s="214">
        <f t="shared" si="9"/>
        <v>57.142857142857139</v>
      </c>
      <c r="L100" s="214">
        <f t="shared" si="10"/>
        <v>14.285714285714285</v>
      </c>
      <c r="M100" s="214">
        <f t="shared" si="11"/>
        <v>28.571428571428569</v>
      </c>
      <c r="N100" s="235">
        <f t="shared" si="12"/>
        <v>99.999999999999986</v>
      </c>
      <c r="O100" s="213">
        <v>45.5</v>
      </c>
      <c r="P100" s="214">
        <v>14</v>
      </c>
      <c r="Q100" s="214">
        <v>26</v>
      </c>
      <c r="R100" s="215">
        <f t="shared" si="8"/>
        <v>85.5</v>
      </c>
      <c r="S100" s="171">
        <v>3</v>
      </c>
      <c r="T100" s="285"/>
      <c r="U100" s="283"/>
      <c r="V100" s="178" t="s">
        <v>131</v>
      </c>
      <c r="W100" s="171" t="s">
        <v>22</v>
      </c>
      <c r="X100" s="171" t="s">
        <v>11</v>
      </c>
      <c r="Y100" s="179">
        <v>18</v>
      </c>
      <c r="Z100" s="171" t="s">
        <v>80</v>
      </c>
      <c r="AA100" s="171" t="s">
        <v>17</v>
      </c>
      <c r="AB100" s="171" t="s">
        <v>18</v>
      </c>
      <c r="AC100" s="171">
        <v>14</v>
      </c>
      <c r="AD100" s="178" t="s">
        <v>454</v>
      </c>
      <c r="AE100" s="171" t="s">
        <v>20</v>
      </c>
      <c r="AF100" s="171" t="s">
        <v>12</v>
      </c>
      <c r="AG100" s="179">
        <v>26</v>
      </c>
      <c r="AH100" s="171" t="s">
        <v>328</v>
      </c>
      <c r="AI100" s="171" t="s">
        <v>852</v>
      </c>
      <c r="AJ100" s="171" t="s">
        <v>11</v>
      </c>
      <c r="AK100" s="171">
        <v>27.5</v>
      </c>
      <c r="AL100" s="178"/>
      <c r="AO100" s="179"/>
      <c r="AP100" s="178"/>
      <c r="AS100" s="179"/>
      <c r="AW100" s="179"/>
      <c r="BA100" s="180"/>
    </row>
    <row r="101" spans="1:53" s="171" customFormat="1" x14ac:dyDescent="0.15">
      <c r="A101" s="171">
        <v>2006</v>
      </c>
      <c r="B101" s="283"/>
      <c r="C101" s="410" t="s">
        <v>467</v>
      </c>
      <c r="D101" s="410"/>
      <c r="E101" s="171">
        <f>365-E100</f>
        <v>365</v>
      </c>
      <c r="F101" s="171">
        <v>1</v>
      </c>
      <c r="G101" s="233">
        <v>4</v>
      </c>
      <c r="H101" s="171">
        <v>1</v>
      </c>
      <c r="I101" s="171">
        <v>2</v>
      </c>
      <c r="J101" s="241">
        <v>7</v>
      </c>
      <c r="K101" s="214">
        <f t="shared" si="9"/>
        <v>57.142857142857139</v>
      </c>
      <c r="L101" s="214">
        <f t="shared" si="10"/>
        <v>14.285714285714285</v>
      </c>
      <c r="M101" s="214">
        <f t="shared" si="11"/>
        <v>28.571428571428569</v>
      </c>
      <c r="N101" s="235">
        <f t="shared" si="12"/>
        <v>99.999999999999986</v>
      </c>
      <c r="O101" s="213">
        <v>45.5</v>
      </c>
      <c r="P101" s="214">
        <v>14</v>
      </c>
      <c r="Q101" s="214">
        <v>26</v>
      </c>
      <c r="R101" s="215">
        <f t="shared" si="8"/>
        <v>85.5</v>
      </c>
      <c r="S101" s="171">
        <v>3</v>
      </c>
      <c r="T101" s="285"/>
      <c r="U101" s="283"/>
      <c r="V101" s="178" t="s">
        <v>131</v>
      </c>
      <c r="W101" s="171" t="s">
        <v>22</v>
      </c>
      <c r="X101" s="171" t="s">
        <v>11</v>
      </c>
      <c r="Y101" s="179">
        <v>18</v>
      </c>
      <c r="Z101" s="171" t="s">
        <v>80</v>
      </c>
      <c r="AA101" s="171" t="s">
        <v>17</v>
      </c>
      <c r="AB101" s="171" t="s">
        <v>18</v>
      </c>
      <c r="AC101" s="171">
        <v>14</v>
      </c>
      <c r="AD101" s="178" t="s">
        <v>454</v>
      </c>
      <c r="AE101" s="171" t="s">
        <v>20</v>
      </c>
      <c r="AF101" s="171" t="s">
        <v>12</v>
      </c>
      <c r="AG101" s="179">
        <v>26</v>
      </c>
      <c r="AH101" s="171" t="s">
        <v>328</v>
      </c>
      <c r="AI101" s="171" t="s">
        <v>852</v>
      </c>
      <c r="AJ101" s="171" t="s">
        <v>11</v>
      </c>
      <c r="AK101" s="171">
        <v>27.5</v>
      </c>
      <c r="AL101" s="178"/>
      <c r="AO101" s="179"/>
      <c r="AP101" s="178"/>
      <c r="AS101" s="179"/>
      <c r="AW101" s="179"/>
      <c r="BA101" s="180"/>
    </row>
    <row r="102" spans="1:53" s="171" customFormat="1" x14ac:dyDescent="0.15">
      <c r="A102" s="171">
        <v>2007</v>
      </c>
      <c r="B102" s="283"/>
      <c r="C102" s="410" t="s">
        <v>467</v>
      </c>
      <c r="D102" s="410"/>
      <c r="E102" s="171">
        <v>345</v>
      </c>
      <c r="G102" s="233">
        <v>4</v>
      </c>
      <c r="H102" s="171">
        <v>1</v>
      </c>
      <c r="I102" s="171">
        <v>2</v>
      </c>
      <c r="J102" s="241">
        <v>7</v>
      </c>
      <c r="K102" s="214">
        <f t="shared" si="9"/>
        <v>57.142857142857139</v>
      </c>
      <c r="L102" s="214">
        <f t="shared" si="10"/>
        <v>14.285714285714285</v>
      </c>
      <c r="M102" s="214">
        <f t="shared" si="11"/>
        <v>28.571428571428569</v>
      </c>
      <c r="N102" s="235">
        <f t="shared" si="12"/>
        <v>99.999999999999986</v>
      </c>
      <c r="O102" s="213">
        <v>45.5</v>
      </c>
      <c r="P102" s="214">
        <v>14</v>
      </c>
      <c r="Q102" s="214">
        <v>26</v>
      </c>
      <c r="R102" s="215">
        <f t="shared" si="8"/>
        <v>85.5</v>
      </c>
      <c r="S102" s="171">
        <v>3</v>
      </c>
      <c r="T102" s="285"/>
      <c r="U102" s="283"/>
      <c r="V102" s="178" t="s">
        <v>131</v>
      </c>
      <c r="W102" s="171" t="s">
        <v>22</v>
      </c>
      <c r="X102" s="171" t="s">
        <v>11</v>
      </c>
      <c r="Y102" s="179">
        <v>18</v>
      </c>
      <c r="Z102" s="171" t="s">
        <v>80</v>
      </c>
      <c r="AA102" s="171" t="s">
        <v>17</v>
      </c>
      <c r="AB102" s="171" t="s">
        <v>18</v>
      </c>
      <c r="AC102" s="171">
        <v>14</v>
      </c>
      <c r="AD102" s="178" t="s">
        <v>454</v>
      </c>
      <c r="AE102" s="171" t="s">
        <v>20</v>
      </c>
      <c r="AF102" s="171" t="s">
        <v>12</v>
      </c>
      <c r="AG102" s="179">
        <v>26</v>
      </c>
      <c r="AH102" s="171" t="s">
        <v>328</v>
      </c>
      <c r="AI102" s="171" t="s">
        <v>852</v>
      </c>
      <c r="AJ102" s="171" t="s">
        <v>11</v>
      </c>
      <c r="AK102" s="171">
        <v>27.5</v>
      </c>
      <c r="AL102" s="178"/>
      <c r="AO102" s="179"/>
      <c r="AP102" s="178"/>
      <c r="AS102" s="179"/>
      <c r="AW102" s="179"/>
      <c r="BA102" s="180"/>
    </row>
    <row r="103" spans="1:53" s="29" customFormat="1" x14ac:dyDescent="0.15">
      <c r="A103" s="29">
        <v>2007</v>
      </c>
      <c r="B103" s="295">
        <v>39428</v>
      </c>
      <c r="C103" s="411" t="s">
        <v>443</v>
      </c>
      <c r="D103" s="411"/>
      <c r="E103" s="29">
        <f>365-E102</f>
        <v>20</v>
      </c>
      <c r="F103" s="29">
        <v>1</v>
      </c>
      <c r="G103" s="66">
        <v>4</v>
      </c>
      <c r="H103" s="29">
        <v>1</v>
      </c>
      <c r="I103" s="29">
        <v>2</v>
      </c>
      <c r="J103" s="73">
        <v>7</v>
      </c>
      <c r="K103" s="47">
        <f t="shared" si="9"/>
        <v>57.142857142857139</v>
      </c>
      <c r="L103" s="47">
        <f t="shared" si="10"/>
        <v>14.285714285714285</v>
      </c>
      <c r="M103" s="47">
        <f t="shared" si="11"/>
        <v>28.571428571428569</v>
      </c>
      <c r="N103" s="68">
        <f t="shared" si="12"/>
        <v>99.999999999999986</v>
      </c>
      <c r="O103" s="46">
        <v>46.5</v>
      </c>
      <c r="P103" s="47">
        <v>15.5</v>
      </c>
      <c r="Q103" s="47">
        <v>21.5</v>
      </c>
      <c r="R103" s="48">
        <f t="shared" si="8"/>
        <v>83.5</v>
      </c>
      <c r="S103" s="29">
        <v>3</v>
      </c>
      <c r="T103" s="286">
        <v>39376</v>
      </c>
      <c r="U103" s="295">
        <v>39428</v>
      </c>
      <c r="V103" s="38" t="s">
        <v>131</v>
      </c>
      <c r="W103" s="29" t="s">
        <v>22</v>
      </c>
      <c r="X103" s="29" t="s">
        <v>11</v>
      </c>
      <c r="Y103" s="39">
        <v>15.5</v>
      </c>
      <c r="Z103" s="29" t="s">
        <v>80</v>
      </c>
      <c r="AA103" s="29" t="s">
        <v>17</v>
      </c>
      <c r="AB103" s="29" t="s">
        <v>18</v>
      </c>
      <c r="AC103" s="29">
        <v>15.5</v>
      </c>
      <c r="AD103" s="38" t="s">
        <v>454</v>
      </c>
      <c r="AE103" s="29" t="s">
        <v>20</v>
      </c>
      <c r="AF103" s="29" t="s">
        <v>12</v>
      </c>
      <c r="AG103" s="39">
        <v>21.5</v>
      </c>
      <c r="AH103" s="29" t="s">
        <v>328</v>
      </c>
      <c r="AI103" s="29" t="s">
        <v>852</v>
      </c>
      <c r="AJ103" s="29" t="s">
        <v>11</v>
      </c>
      <c r="AK103" s="29">
        <v>31</v>
      </c>
      <c r="AL103" s="38"/>
      <c r="AO103" s="39"/>
      <c r="AP103" s="38"/>
      <c r="AS103" s="39"/>
      <c r="AW103" s="39"/>
      <c r="BA103" s="40"/>
    </row>
    <row r="104" spans="1:53" s="29" customFormat="1" x14ac:dyDescent="0.15">
      <c r="A104" s="29">
        <v>2008</v>
      </c>
      <c r="B104" s="295"/>
      <c r="C104" s="411" t="s">
        <v>443</v>
      </c>
      <c r="D104" s="411"/>
      <c r="E104" s="29">
        <v>0</v>
      </c>
      <c r="G104" s="66">
        <v>4</v>
      </c>
      <c r="H104" s="29">
        <v>1</v>
      </c>
      <c r="I104" s="29">
        <v>2</v>
      </c>
      <c r="J104" s="73">
        <v>7</v>
      </c>
      <c r="K104" s="47">
        <f t="shared" si="9"/>
        <v>57.142857142857139</v>
      </c>
      <c r="L104" s="47">
        <f t="shared" si="10"/>
        <v>14.285714285714285</v>
      </c>
      <c r="M104" s="47">
        <f>I104/J104*100</f>
        <v>28.571428571428569</v>
      </c>
      <c r="N104" s="68">
        <f t="shared" si="12"/>
        <v>99.999999999999986</v>
      </c>
      <c r="O104" s="46">
        <v>46.5</v>
      </c>
      <c r="P104" s="47">
        <v>15.5</v>
      </c>
      <c r="Q104" s="47">
        <v>21.5</v>
      </c>
      <c r="R104" s="48">
        <f t="shared" si="8"/>
        <v>83.5</v>
      </c>
      <c r="S104" s="29">
        <v>3</v>
      </c>
      <c r="T104" s="286"/>
      <c r="U104" s="295"/>
      <c r="V104" s="38" t="s">
        <v>131</v>
      </c>
      <c r="W104" s="29" t="s">
        <v>22</v>
      </c>
      <c r="X104" s="29" t="s">
        <v>11</v>
      </c>
      <c r="Y104" s="39">
        <v>15.5</v>
      </c>
      <c r="Z104" s="29" t="s">
        <v>80</v>
      </c>
      <c r="AA104" s="29" t="s">
        <v>17</v>
      </c>
      <c r="AB104" s="29" t="s">
        <v>18</v>
      </c>
      <c r="AC104" s="29">
        <v>15.5</v>
      </c>
      <c r="AD104" s="38" t="s">
        <v>454</v>
      </c>
      <c r="AE104" s="29" t="s">
        <v>20</v>
      </c>
      <c r="AF104" s="29" t="s">
        <v>12</v>
      </c>
      <c r="AG104" s="39">
        <v>21.5</v>
      </c>
      <c r="AH104" s="29" t="s">
        <v>328</v>
      </c>
      <c r="AI104" s="29" t="s">
        <v>852</v>
      </c>
      <c r="AJ104" s="29" t="s">
        <v>11</v>
      </c>
      <c r="AK104" s="29">
        <v>31</v>
      </c>
      <c r="AL104" s="38"/>
      <c r="AO104" s="39"/>
      <c r="AP104" s="38"/>
      <c r="AS104" s="39"/>
      <c r="AW104" s="39"/>
      <c r="BA104" s="40"/>
    </row>
    <row r="105" spans="1:53" s="29" customFormat="1" x14ac:dyDescent="0.15">
      <c r="A105" s="29">
        <v>2008</v>
      </c>
      <c r="B105" s="295"/>
      <c r="C105" s="411" t="s">
        <v>444</v>
      </c>
      <c r="D105" s="411"/>
      <c r="E105" s="29">
        <v>366</v>
      </c>
      <c r="F105" s="29">
        <v>1</v>
      </c>
      <c r="G105" s="66">
        <v>4</v>
      </c>
      <c r="H105" s="29">
        <v>1</v>
      </c>
      <c r="I105" s="29">
        <v>2</v>
      </c>
      <c r="J105" s="73">
        <v>7</v>
      </c>
      <c r="K105" s="47">
        <f t="shared" si="9"/>
        <v>57.142857142857139</v>
      </c>
      <c r="L105" s="47">
        <f t="shared" si="10"/>
        <v>14.285714285714285</v>
      </c>
      <c r="M105" s="47">
        <f t="shared" si="11"/>
        <v>28.571428571428569</v>
      </c>
      <c r="N105" s="68">
        <f t="shared" si="12"/>
        <v>99.999999999999986</v>
      </c>
      <c r="O105" s="46">
        <v>46.5</v>
      </c>
      <c r="P105" s="47">
        <v>15.5</v>
      </c>
      <c r="Q105" s="47">
        <v>21.5</v>
      </c>
      <c r="R105" s="48">
        <f t="shared" si="8"/>
        <v>83.5</v>
      </c>
      <c r="S105" s="29">
        <v>3</v>
      </c>
      <c r="T105" s="286"/>
      <c r="U105" s="295"/>
      <c r="V105" s="38" t="s">
        <v>131</v>
      </c>
      <c r="W105" s="29" t="s">
        <v>22</v>
      </c>
      <c r="X105" s="29" t="s">
        <v>11</v>
      </c>
      <c r="Y105" s="39">
        <v>15.5</v>
      </c>
      <c r="Z105" s="29" t="s">
        <v>80</v>
      </c>
      <c r="AA105" s="29" t="s">
        <v>17</v>
      </c>
      <c r="AB105" s="29" t="s">
        <v>18</v>
      </c>
      <c r="AC105" s="29">
        <v>15.5</v>
      </c>
      <c r="AD105" s="38" t="s">
        <v>454</v>
      </c>
      <c r="AE105" s="29" t="s">
        <v>20</v>
      </c>
      <c r="AF105" s="29" t="s">
        <v>12</v>
      </c>
      <c r="AG105" s="39">
        <v>21.5</v>
      </c>
      <c r="AH105" s="29" t="s">
        <v>328</v>
      </c>
      <c r="AI105" s="29" t="s">
        <v>852</v>
      </c>
      <c r="AJ105" s="29" t="s">
        <v>11</v>
      </c>
      <c r="AK105" s="29">
        <v>31</v>
      </c>
      <c r="AL105" s="38"/>
      <c r="AO105" s="39"/>
      <c r="AP105" s="38"/>
      <c r="AS105" s="39"/>
      <c r="AW105" s="39"/>
      <c r="BA105" s="40"/>
    </row>
    <row r="106" spans="1:53" s="29" customFormat="1" x14ac:dyDescent="0.15">
      <c r="A106" s="29">
        <v>2009</v>
      </c>
      <c r="B106" s="295"/>
      <c r="C106" s="411" t="s">
        <v>444</v>
      </c>
      <c r="D106" s="411"/>
      <c r="E106" s="29">
        <v>0</v>
      </c>
      <c r="G106" s="66">
        <v>4</v>
      </c>
      <c r="H106" s="29">
        <v>1</v>
      </c>
      <c r="I106" s="29">
        <v>2</v>
      </c>
      <c r="J106" s="73">
        <v>7</v>
      </c>
      <c r="K106" s="47">
        <f t="shared" si="9"/>
        <v>57.142857142857139</v>
      </c>
      <c r="L106" s="47">
        <f t="shared" si="10"/>
        <v>14.285714285714285</v>
      </c>
      <c r="M106" s="47">
        <f t="shared" si="11"/>
        <v>28.571428571428569</v>
      </c>
      <c r="N106" s="68">
        <f t="shared" si="12"/>
        <v>99.999999999999986</v>
      </c>
      <c r="O106" s="46">
        <v>46.5</v>
      </c>
      <c r="P106" s="47">
        <v>15.5</v>
      </c>
      <c r="Q106" s="47">
        <v>21.5</v>
      </c>
      <c r="R106" s="48">
        <f t="shared" si="8"/>
        <v>83.5</v>
      </c>
      <c r="S106" s="29">
        <v>3</v>
      </c>
      <c r="T106" s="286"/>
      <c r="U106" s="295"/>
      <c r="V106" s="38" t="s">
        <v>131</v>
      </c>
      <c r="W106" s="29" t="s">
        <v>22</v>
      </c>
      <c r="X106" s="29" t="s">
        <v>11</v>
      </c>
      <c r="Y106" s="39">
        <v>15.5</v>
      </c>
      <c r="Z106" s="29" t="s">
        <v>80</v>
      </c>
      <c r="AA106" s="29" t="s">
        <v>17</v>
      </c>
      <c r="AB106" s="29" t="s">
        <v>18</v>
      </c>
      <c r="AC106" s="29">
        <v>15.5</v>
      </c>
      <c r="AD106" s="38" t="s">
        <v>454</v>
      </c>
      <c r="AE106" s="29" t="s">
        <v>20</v>
      </c>
      <c r="AF106" s="29" t="s">
        <v>12</v>
      </c>
      <c r="AG106" s="39">
        <v>21.5</v>
      </c>
      <c r="AH106" s="29" t="s">
        <v>328</v>
      </c>
      <c r="AI106" s="29" t="s">
        <v>852</v>
      </c>
      <c r="AJ106" s="29" t="s">
        <v>11</v>
      </c>
      <c r="AK106" s="29">
        <v>31</v>
      </c>
      <c r="AL106" s="38"/>
      <c r="AO106" s="39"/>
      <c r="AP106" s="38"/>
      <c r="AS106" s="39"/>
      <c r="AW106" s="39"/>
      <c r="BA106" s="40"/>
    </row>
    <row r="107" spans="1:53" s="29" customFormat="1" x14ac:dyDescent="0.15">
      <c r="A107" s="29">
        <v>2009</v>
      </c>
      <c r="B107" s="295"/>
      <c r="C107" s="411" t="s">
        <v>445</v>
      </c>
      <c r="D107" s="411"/>
      <c r="E107" s="29">
        <v>365</v>
      </c>
      <c r="F107" s="29">
        <v>1</v>
      </c>
      <c r="G107" s="66">
        <v>4</v>
      </c>
      <c r="H107" s="29">
        <v>1</v>
      </c>
      <c r="I107" s="29">
        <v>2</v>
      </c>
      <c r="J107" s="73">
        <v>7</v>
      </c>
      <c r="K107" s="47">
        <f t="shared" si="9"/>
        <v>57.142857142857139</v>
      </c>
      <c r="L107" s="47">
        <f t="shared" si="10"/>
        <v>14.285714285714285</v>
      </c>
      <c r="M107" s="47">
        <f t="shared" si="11"/>
        <v>28.571428571428569</v>
      </c>
      <c r="N107" s="68">
        <f t="shared" si="12"/>
        <v>99.999999999999986</v>
      </c>
      <c r="O107" s="46">
        <v>46.5</v>
      </c>
      <c r="P107" s="47">
        <v>15.5</v>
      </c>
      <c r="Q107" s="47">
        <v>21.5</v>
      </c>
      <c r="R107" s="48">
        <f t="shared" si="8"/>
        <v>83.5</v>
      </c>
      <c r="S107" s="29">
        <v>3</v>
      </c>
      <c r="T107" s="286"/>
      <c r="U107" s="295"/>
      <c r="V107" s="38" t="s">
        <v>131</v>
      </c>
      <c r="W107" s="29" t="s">
        <v>22</v>
      </c>
      <c r="X107" s="29" t="s">
        <v>11</v>
      </c>
      <c r="Y107" s="39">
        <v>15.5</v>
      </c>
      <c r="Z107" s="29" t="s">
        <v>80</v>
      </c>
      <c r="AA107" s="29" t="s">
        <v>17</v>
      </c>
      <c r="AB107" s="29" t="s">
        <v>18</v>
      </c>
      <c r="AC107" s="29">
        <v>15.5</v>
      </c>
      <c r="AD107" s="38" t="s">
        <v>454</v>
      </c>
      <c r="AE107" s="29" t="s">
        <v>20</v>
      </c>
      <c r="AF107" s="29" t="s">
        <v>12</v>
      </c>
      <c r="AG107" s="39">
        <v>21.5</v>
      </c>
      <c r="AH107" s="29" t="s">
        <v>328</v>
      </c>
      <c r="AI107" s="29" t="s">
        <v>852</v>
      </c>
      <c r="AJ107" s="29" t="s">
        <v>11</v>
      </c>
      <c r="AK107" s="29">
        <v>31</v>
      </c>
      <c r="AL107" s="38"/>
      <c r="AO107" s="39"/>
      <c r="AP107" s="38"/>
      <c r="AS107" s="39"/>
      <c r="AW107" s="39"/>
      <c r="BA107" s="40"/>
    </row>
    <row r="108" spans="1:53" s="29" customFormat="1" x14ac:dyDescent="0.15">
      <c r="A108" s="29">
        <v>2010</v>
      </c>
      <c r="B108" s="295"/>
      <c r="C108" s="411" t="s">
        <v>445</v>
      </c>
      <c r="D108" s="411"/>
      <c r="E108" s="29">
        <v>0</v>
      </c>
      <c r="G108" s="66">
        <v>4</v>
      </c>
      <c r="H108" s="29">
        <v>1</v>
      </c>
      <c r="I108" s="29">
        <v>2</v>
      </c>
      <c r="J108" s="73">
        <v>7</v>
      </c>
      <c r="K108" s="47">
        <f t="shared" si="9"/>
        <v>57.142857142857139</v>
      </c>
      <c r="L108" s="47">
        <f t="shared" si="10"/>
        <v>14.285714285714285</v>
      </c>
      <c r="M108" s="47">
        <f t="shared" si="11"/>
        <v>28.571428571428569</v>
      </c>
      <c r="N108" s="68">
        <f t="shared" si="12"/>
        <v>99.999999999999986</v>
      </c>
      <c r="O108" s="46">
        <v>46.5</v>
      </c>
      <c r="P108" s="47">
        <v>15.5</v>
      </c>
      <c r="Q108" s="47">
        <v>21.5</v>
      </c>
      <c r="R108" s="48">
        <f t="shared" si="8"/>
        <v>83.5</v>
      </c>
      <c r="S108" s="29">
        <v>3</v>
      </c>
      <c r="T108" s="286"/>
      <c r="U108" s="295"/>
      <c r="V108" s="38" t="s">
        <v>131</v>
      </c>
      <c r="W108" s="29" t="s">
        <v>22</v>
      </c>
      <c r="X108" s="29" t="s">
        <v>11</v>
      </c>
      <c r="Y108" s="39">
        <v>15.5</v>
      </c>
      <c r="Z108" s="29" t="s">
        <v>80</v>
      </c>
      <c r="AA108" s="29" t="s">
        <v>17</v>
      </c>
      <c r="AB108" s="29" t="s">
        <v>18</v>
      </c>
      <c r="AC108" s="29">
        <v>15.5</v>
      </c>
      <c r="AD108" s="38" t="s">
        <v>454</v>
      </c>
      <c r="AE108" s="29" t="s">
        <v>20</v>
      </c>
      <c r="AF108" s="29" t="s">
        <v>12</v>
      </c>
      <c r="AG108" s="39">
        <v>21.5</v>
      </c>
      <c r="AH108" s="29" t="s">
        <v>328</v>
      </c>
      <c r="AI108" s="29" t="s">
        <v>852</v>
      </c>
      <c r="AJ108" s="29" t="s">
        <v>11</v>
      </c>
      <c r="AK108" s="29">
        <v>31</v>
      </c>
      <c r="AL108" s="38"/>
      <c r="AO108" s="39"/>
      <c r="AP108" s="38"/>
      <c r="AS108" s="39"/>
      <c r="AW108" s="39"/>
      <c r="BA108" s="40"/>
    </row>
    <row r="109" spans="1:53" s="29" customFormat="1" x14ac:dyDescent="0.15">
      <c r="A109" s="29">
        <v>2010</v>
      </c>
      <c r="B109" s="295"/>
      <c r="C109" s="411" t="s">
        <v>468</v>
      </c>
      <c r="D109" s="411"/>
      <c r="E109" s="29">
        <v>365</v>
      </c>
      <c r="F109" s="29">
        <v>1</v>
      </c>
      <c r="G109" s="66">
        <v>4</v>
      </c>
      <c r="H109" s="29">
        <v>1</v>
      </c>
      <c r="I109" s="29">
        <v>2</v>
      </c>
      <c r="J109" s="73">
        <v>7</v>
      </c>
      <c r="K109" s="47">
        <f t="shared" si="9"/>
        <v>57.142857142857139</v>
      </c>
      <c r="L109" s="47">
        <f t="shared" si="10"/>
        <v>14.285714285714285</v>
      </c>
      <c r="M109" s="47">
        <f t="shared" si="11"/>
        <v>28.571428571428569</v>
      </c>
      <c r="N109" s="68">
        <f t="shared" si="12"/>
        <v>99.999999999999986</v>
      </c>
      <c r="O109" s="46">
        <v>46.5</v>
      </c>
      <c r="P109" s="47">
        <v>15.5</v>
      </c>
      <c r="Q109" s="47">
        <v>21.5</v>
      </c>
      <c r="R109" s="48">
        <f t="shared" si="8"/>
        <v>83.5</v>
      </c>
      <c r="S109" s="29">
        <v>3</v>
      </c>
      <c r="T109" s="286"/>
      <c r="U109" s="295"/>
      <c r="V109" s="38" t="s">
        <v>131</v>
      </c>
      <c r="W109" s="29" t="s">
        <v>22</v>
      </c>
      <c r="X109" s="29" t="s">
        <v>11</v>
      </c>
      <c r="Y109" s="39">
        <v>15.5</v>
      </c>
      <c r="Z109" s="29" t="s">
        <v>80</v>
      </c>
      <c r="AA109" s="29" t="s">
        <v>17</v>
      </c>
      <c r="AB109" s="29" t="s">
        <v>18</v>
      </c>
      <c r="AC109" s="29">
        <v>15.5</v>
      </c>
      <c r="AD109" s="38" t="s">
        <v>454</v>
      </c>
      <c r="AE109" s="29" t="s">
        <v>20</v>
      </c>
      <c r="AF109" s="29" t="s">
        <v>12</v>
      </c>
      <c r="AG109" s="39">
        <v>21.5</v>
      </c>
      <c r="AH109" s="29" t="s">
        <v>328</v>
      </c>
      <c r="AI109" s="29" t="s">
        <v>852</v>
      </c>
      <c r="AJ109" s="29" t="s">
        <v>11</v>
      </c>
      <c r="AK109" s="29">
        <v>31</v>
      </c>
      <c r="AL109" s="38"/>
      <c r="AO109" s="39"/>
      <c r="AP109" s="38"/>
      <c r="AS109" s="39"/>
      <c r="AW109" s="39"/>
      <c r="BA109" s="40"/>
    </row>
    <row r="110" spans="1:53" s="29" customFormat="1" x14ac:dyDescent="0.15">
      <c r="A110" s="29">
        <v>2011</v>
      </c>
      <c r="B110" s="295"/>
      <c r="C110" s="411" t="s">
        <v>468</v>
      </c>
      <c r="D110" s="411"/>
      <c r="E110" s="29">
        <v>347</v>
      </c>
      <c r="G110" s="66">
        <v>4</v>
      </c>
      <c r="H110" s="29">
        <v>1</v>
      </c>
      <c r="I110" s="29">
        <v>2</v>
      </c>
      <c r="J110" s="73">
        <v>7</v>
      </c>
      <c r="K110" s="47">
        <f t="shared" ref="K110:K112" si="13">G110/J110*100</f>
        <v>57.142857142857139</v>
      </c>
      <c r="L110" s="47">
        <f t="shared" ref="L110:L112" si="14">H110/J110*100</f>
        <v>14.285714285714285</v>
      </c>
      <c r="M110" s="47">
        <f t="shared" ref="M110:M112" si="15">I110/J110*100</f>
        <v>28.571428571428569</v>
      </c>
      <c r="N110" s="68">
        <f t="shared" si="12"/>
        <v>99.999999999999986</v>
      </c>
      <c r="O110" s="46">
        <v>46.5</v>
      </c>
      <c r="P110" s="47">
        <v>15.5</v>
      </c>
      <c r="Q110" s="47">
        <v>21.5</v>
      </c>
      <c r="R110" s="48">
        <f t="shared" si="8"/>
        <v>83.5</v>
      </c>
      <c r="S110" s="29">
        <v>3</v>
      </c>
      <c r="T110" s="286"/>
      <c r="U110" s="295"/>
      <c r="V110" s="38" t="s">
        <v>131</v>
      </c>
      <c r="W110" s="29" t="s">
        <v>22</v>
      </c>
      <c r="X110" s="29" t="s">
        <v>11</v>
      </c>
      <c r="Y110" s="39">
        <v>15.5</v>
      </c>
      <c r="Z110" s="29" t="s">
        <v>80</v>
      </c>
      <c r="AA110" s="29" t="s">
        <v>17</v>
      </c>
      <c r="AB110" s="29" t="s">
        <v>18</v>
      </c>
      <c r="AC110" s="29">
        <v>15.5</v>
      </c>
      <c r="AD110" s="38" t="s">
        <v>454</v>
      </c>
      <c r="AE110" s="29" t="s">
        <v>20</v>
      </c>
      <c r="AF110" s="29" t="s">
        <v>12</v>
      </c>
      <c r="AG110" s="39">
        <v>21.5</v>
      </c>
      <c r="AH110" s="29" t="s">
        <v>328</v>
      </c>
      <c r="AI110" s="29" t="s">
        <v>852</v>
      </c>
      <c r="AJ110" s="29" t="s">
        <v>11</v>
      </c>
      <c r="AK110" s="29">
        <v>31</v>
      </c>
      <c r="AL110" s="38"/>
      <c r="AO110" s="39"/>
      <c r="AP110" s="38"/>
      <c r="AS110" s="39"/>
      <c r="AW110" s="39"/>
      <c r="BA110" s="40"/>
    </row>
    <row r="111" spans="1:53" s="171" customFormat="1" x14ac:dyDescent="0.15">
      <c r="A111" s="171">
        <v>2011</v>
      </c>
      <c r="B111" s="283">
        <v>40891</v>
      </c>
      <c r="C111" s="410" t="s">
        <v>446</v>
      </c>
      <c r="D111" s="410"/>
      <c r="E111" s="171">
        <f>365-E110</f>
        <v>18</v>
      </c>
      <c r="F111" s="171">
        <v>1</v>
      </c>
      <c r="G111" s="233">
        <v>4</v>
      </c>
      <c r="H111" s="171">
        <v>1</v>
      </c>
      <c r="I111" s="171">
        <v>2</v>
      </c>
      <c r="J111" s="241">
        <v>7</v>
      </c>
      <c r="K111" s="214">
        <f t="shared" si="13"/>
        <v>57.142857142857139</v>
      </c>
      <c r="L111" s="214">
        <f t="shared" si="14"/>
        <v>14.285714285714285</v>
      </c>
      <c r="M111" s="214">
        <f t="shared" si="15"/>
        <v>28.571428571428569</v>
      </c>
      <c r="N111" s="235">
        <f t="shared" si="12"/>
        <v>99.999999999999986</v>
      </c>
      <c r="O111" s="213">
        <v>46.5</v>
      </c>
      <c r="P111" s="214">
        <v>14</v>
      </c>
      <c r="Q111" s="214">
        <v>23</v>
      </c>
      <c r="R111" s="215">
        <f t="shared" si="8"/>
        <v>83.5</v>
      </c>
      <c r="S111" s="171">
        <v>3</v>
      </c>
      <c r="T111" s="285">
        <v>40839</v>
      </c>
      <c r="U111" s="283">
        <v>40891</v>
      </c>
      <c r="V111" s="178" t="s">
        <v>131</v>
      </c>
      <c r="W111" s="171" t="s">
        <v>22</v>
      </c>
      <c r="X111" s="171" t="s">
        <v>11</v>
      </c>
      <c r="Y111" s="179">
        <v>15</v>
      </c>
      <c r="Z111" s="171" t="s">
        <v>80</v>
      </c>
      <c r="AA111" s="171" t="s">
        <v>17</v>
      </c>
      <c r="AB111" s="171" t="s">
        <v>18</v>
      </c>
      <c r="AC111" s="171">
        <v>14</v>
      </c>
      <c r="AD111" s="178" t="s">
        <v>454</v>
      </c>
      <c r="AE111" s="171" t="s">
        <v>20</v>
      </c>
      <c r="AF111" s="171" t="s">
        <v>12</v>
      </c>
      <c r="AG111" s="179">
        <v>23</v>
      </c>
      <c r="AH111" s="171" t="s">
        <v>328</v>
      </c>
      <c r="AI111" s="171" t="s">
        <v>852</v>
      </c>
      <c r="AJ111" s="171" t="s">
        <v>11</v>
      </c>
      <c r="AK111" s="171">
        <v>27</v>
      </c>
      <c r="AL111" s="178" t="s">
        <v>329</v>
      </c>
      <c r="AM111" s="171" t="s">
        <v>74</v>
      </c>
      <c r="AN111" s="171" t="s">
        <v>11</v>
      </c>
      <c r="AO111" s="179">
        <v>4.5</v>
      </c>
      <c r="AP111" s="178"/>
      <c r="AS111" s="179"/>
      <c r="AW111" s="179"/>
      <c r="BA111" s="180"/>
    </row>
    <row r="112" spans="1:53" s="171" customFormat="1" x14ac:dyDescent="0.15">
      <c r="A112" s="171">
        <v>2012</v>
      </c>
      <c r="B112" s="283"/>
      <c r="C112" s="410" t="s">
        <v>446</v>
      </c>
      <c r="D112" s="410"/>
      <c r="E112" s="171">
        <v>0</v>
      </c>
      <c r="G112" s="233">
        <v>4</v>
      </c>
      <c r="H112" s="171">
        <v>1</v>
      </c>
      <c r="I112" s="171">
        <v>2</v>
      </c>
      <c r="J112" s="241">
        <v>7</v>
      </c>
      <c r="K112" s="214">
        <f t="shared" si="13"/>
        <v>57.142857142857139</v>
      </c>
      <c r="L112" s="214">
        <f t="shared" si="14"/>
        <v>14.285714285714285</v>
      </c>
      <c r="M112" s="214">
        <f t="shared" si="15"/>
        <v>28.571428571428569</v>
      </c>
      <c r="N112" s="235">
        <f t="shared" si="12"/>
        <v>99.999999999999986</v>
      </c>
      <c r="O112" s="213">
        <v>46.5</v>
      </c>
      <c r="P112" s="214">
        <v>14</v>
      </c>
      <c r="Q112" s="214">
        <v>23</v>
      </c>
      <c r="R112" s="215">
        <f t="shared" si="8"/>
        <v>83.5</v>
      </c>
      <c r="S112" s="171">
        <v>3</v>
      </c>
      <c r="T112" s="285"/>
      <c r="U112" s="283"/>
      <c r="V112" s="178" t="s">
        <v>131</v>
      </c>
      <c r="W112" s="171" t="s">
        <v>22</v>
      </c>
      <c r="X112" s="171" t="s">
        <v>11</v>
      </c>
      <c r="Y112" s="179">
        <v>15</v>
      </c>
      <c r="Z112" s="171" t="s">
        <v>80</v>
      </c>
      <c r="AA112" s="171" t="s">
        <v>17</v>
      </c>
      <c r="AB112" s="171" t="s">
        <v>18</v>
      </c>
      <c r="AC112" s="171">
        <v>14</v>
      </c>
      <c r="AD112" s="178" t="s">
        <v>454</v>
      </c>
      <c r="AE112" s="171" t="s">
        <v>20</v>
      </c>
      <c r="AF112" s="171" t="s">
        <v>12</v>
      </c>
      <c r="AG112" s="179">
        <v>23</v>
      </c>
      <c r="AH112" s="171" t="s">
        <v>328</v>
      </c>
      <c r="AI112" s="171" t="s">
        <v>852</v>
      </c>
      <c r="AJ112" s="171" t="s">
        <v>11</v>
      </c>
      <c r="AK112" s="171">
        <v>27</v>
      </c>
      <c r="AL112" s="178" t="s">
        <v>329</v>
      </c>
      <c r="AM112" s="171" t="s">
        <v>74</v>
      </c>
      <c r="AN112" s="171" t="s">
        <v>11</v>
      </c>
      <c r="AO112" s="179">
        <v>4.5</v>
      </c>
      <c r="AP112" s="178"/>
      <c r="AS112" s="179"/>
      <c r="AW112" s="179"/>
      <c r="BA112" s="180"/>
    </row>
    <row r="113" spans="1:53" s="171" customFormat="1" x14ac:dyDescent="0.15">
      <c r="A113" s="171">
        <v>2012</v>
      </c>
      <c r="B113" s="283"/>
      <c r="C113" s="410" t="s">
        <v>447</v>
      </c>
      <c r="D113" s="410"/>
      <c r="E113" s="171">
        <v>366</v>
      </c>
      <c r="F113" s="171">
        <v>1</v>
      </c>
      <c r="G113" s="233">
        <v>4</v>
      </c>
      <c r="H113" s="171">
        <v>1</v>
      </c>
      <c r="I113" s="171">
        <v>2</v>
      </c>
      <c r="J113" s="241">
        <v>7</v>
      </c>
      <c r="K113" s="214">
        <f t="shared" ref="K113:K123" si="16">G113/J113*100</f>
        <v>57.142857142857139</v>
      </c>
      <c r="L113" s="214">
        <f t="shared" ref="L113:L123" si="17">H113/J113*100</f>
        <v>14.285714285714285</v>
      </c>
      <c r="M113" s="214">
        <f t="shared" ref="M113:M123" si="18">I113/J113*100</f>
        <v>28.571428571428569</v>
      </c>
      <c r="N113" s="235">
        <f t="shared" ref="N113:N123" si="19">K113+L113+M113</f>
        <v>99.999999999999986</v>
      </c>
      <c r="O113" s="213">
        <v>46.5</v>
      </c>
      <c r="P113" s="214">
        <v>14</v>
      </c>
      <c r="Q113" s="214">
        <v>23</v>
      </c>
      <c r="R113" s="215">
        <f t="shared" si="8"/>
        <v>83.5</v>
      </c>
      <c r="S113" s="171">
        <v>3</v>
      </c>
      <c r="T113" s="285"/>
      <c r="U113" s="283"/>
      <c r="V113" s="178" t="s">
        <v>131</v>
      </c>
      <c r="W113" s="171" t="s">
        <v>22</v>
      </c>
      <c r="X113" s="171" t="s">
        <v>11</v>
      </c>
      <c r="Y113" s="179">
        <v>15</v>
      </c>
      <c r="Z113" s="171" t="s">
        <v>80</v>
      </c>
      <c r="AA113" s="171" t="s">
        <v>17</v>
      </c>
      <c r="AB113" s="171" t="s">
        <v>18</v>
      </c>
      <c r="AC113" s="171">
        <v>14</v>
      </c>
      <c r="AD113" s="178" t="s">
        <v>454</v>
      </c>
      <c r="AE113" s="171" t="s">
        <v>20</v>
      </c>
      <c r="AF113" s="171" t="s">
        <v>12</v>
      </c>
      <c r="AG113" s="179">
        <v>23</v>
      </c>
      <c r="AH113" s="171" t="s">
        <v>328</v>
      </c>
      <c r="AI113" s="171" t="s">
        <v>852</v>
      </c>
      <c r="AJ113" s="171" t="s">
        <v>11</v>
      </c>
      <c r="AK113" s="171">
        <v>27</v>
      </c>
      <c r="AL113" s="178" t="s">
        <v>329</v>
      </c>
      <c r="AM113" s="171" t="s">
        <v>74</v>
      </c>
      <c r="AN113" s="171" t="s">
        <v>11</v>
      </c>
      <c r="AO113" s="179">
        <v>4.5</v>
      </c>
      <c r="AP113" s="178"/>
      <c r="AS113" s="179"/>
      <c r="AW113" s="179"/>
      <c r="BA113" s="180"/>
    </row>
    <row r="114" spans="1:53" s="171" customFormat="1" x14ac:dyDescent="0.15">
      <c r="A114" s="171">
        <v>2013</v>
      </c>
      <c r="B114" s="283"/>
      <c r="C114" s="410" t="s">
        <v>447</v>
      </c>
      <c r="D114" s="410"/>
      <c r="E114" s="171">
        <v>0</v>
      </c>
      <c r="G114" s="233">
        <v>4</v>
      </c>
      <c r="H114" s="171">
        <v>1</v>
      </c>
      <c r="I114" s="171">
        <v>2</v>
      </c>
      <c r="J114" s="241">
        <v>7</v>
      </c>
      <c r="K114" s="214">
        <f t="shared" si="16"/>
        <v>57.142857142857139</v>
      </c>
      <c r="L114" s="214">
        <f t="shared" si="17"/>
        <v>14.285714285714285</v>
      </c>
      <c r="M114" s="214">
        <f t="shared" si="18"/>
        <v>28.571428571428569</v>
      </c>
      <c r="N114" s="235">
        <f t="shared" si="19"/>
        <v>99.999999999999986</v>
      </c>
      <c r="O114" s="213">
        <v>46.5</v>
      </c>
      <c r="P114" s="214">
        <v>14</v>
      </c>
      <c r="Q114" s="214">
        <v>23</v>
      </c>
      <c r="R114" s="215">
        <f>O114+P114+Q114</f>
        <v>83.5</v>
      </c>
      <c r="S114" s="171">
        <v>3</v>
      </c>
      <c r="T114" s="285"/>
      <c r="U114" s="283"/>
      <c r="V114" s="178" t="s">
        <v>131</v>
      </c>
      <c r="W114" s="171" t="s">
        <v>22</v>
      </c>
      <c r="X114" s="171" t="s">
        <v>11</v>
      </c>
      <c r="Y114" s="179">
        <v>15</v>
      </c>
      <c r="Z114" s="171" t="s">
        <v>80</v>
      </c>
      <c r="AA114" s="171" t="s">
        <v>17</v>
      </c>
      <c r="AB114" s="171" t="s">
        <v>18</v>
      </c>
      <c r="AC114" s="171">
        <v>14</v>
      </c>
      <c r="AD114" s="178" t="s">
        <v>454</v>
      </c>
      <c r="AE114" s="171" t="s">
        <v>20</v>
      </c>
      <c r="AF114" s="171" t="s">
        <v>12</v>
      </c>
      <c r="AG114" s="179">
        <v>23</v>
      </c>
      <c r="AH114" s="171" t="s">
        <v>328</v>
      </c>
      <c r="AI114" s="171" t="s">
        <v>852</v>
      </c>
      <c r="AJ114" s="171" t="s">
        <v>11</v>
      </c>
      <c r="AK114" s="171">
        <v>27</v>
      </c>
      <c r="AL114" s="178" t="s">
        <v>329</v>
      </c>
      <c r="AM114" s="171" t="s">
        <v>74</v>
      </c>
      <c r="AN114" s="171" t="s">
        <v>11</v>
      </c>
      <c r="AO114" s="179">
        <v>4.5</v>
      </c>
      <c r="AP114" s="178"/>
      <c r="AS114" s="179"/>
      <c r="AW114" s="179"/>
      <c r="BA114" s="180"/>
    </row>
    <row r="115" spans="1:53" s="171" customFormat="1" x14ac:dyDescent="0.15">
      <c r="A115" s="171">
        <v>2013</v>
      </c>
      <c r="B115" s="283"/>
      <c r="C115" s="410" t="s">
        <v>1248</v>
      </c>
      <c r="D115" s="410"/>
      <c r="E115" s="171">
        <v>365</v>
      </c>
      <c r="F115" s="171">
        <v>1</v>
      </c>
      <c r="G115" s="233">
        <v>4</v>
      </c>
      <c r="H115" s="171">
        <v>1</v>
      </c>
      <c r="I115" s="171">
        <v>2</v>
      </c>
      <c r="J115" s="241">
        <v>7</v>
      </c>
      <c r="K115" s="214">
        <f t="shared" si="16"/>
        <v>57.142857142857139</v>
      </c>
      <c r="L115" s="214">
        <f t="shared" si="17"/>
        <v>14.285714285714285</v>
      </c>
      <c r="M115" s="214">
        <f t="shared" si="18"/>
        <v>28.571428571428569</v>
      </c>
      <c r="N115" s="235">
        <f t="shared" si="19"/>
        <v>99.999999999999986</v>
      </c>
      <c r="O115" s="213">
        <v>46.5</v>
      </c>
      <c r="P115" s="214">
        <v>14</v>
      </c>
      <c r="Q115" s="214">
        <v>23</v>
      </c>
      <c r="R115" s="215">
        <f>O115+P115+Q115</f>
        <v>83.5</v>
      </c>
      <c r="S115" s="171">
        <v>3</v>
      </c>
      <c r="T115" s="285"/>
      <c r="U115" s="283"/>
      <c r="V115" s="178" t="s">
        <v>131</v>
      </c>
      <c r="W115" s="171" t="s">
        <v>22</v>
      </c>
      <c r="X115" s="171" t="s">
        <v>11</v>
      </c>
      <c r="Y115" s="179">
        <v>15</v>
      </c>
      <c r="Z115" s="171" t="s">
        <v>80</v>
      </c>
      <c r="AA115" s="171" t="s">
        <v>17</v>
      </c>
      <c r="AB115" s="171" t="s">
        <v>18</v>
      </c>
      <c r="AC115" s="171">
        <v>14</v>
      </c>
      <c r="AD115" s="178" t="s">
        <v>454</v>
      </c>
      <c r="AE115" s="171" t="s">
        <v>20</v>
      </c>
      <c r="AF115" s="171" t="s">
        <v>12</v>
      </c>
      <c r="AG115" s="179">
        <v>23</v>
      </c>
      <c r="AH115" s="171" t="s">
        <v>328</v>
      </c>
      <c r="AI115" s="171" t="s">
        <v>852</v>
      </c>
      <c r="AJ115" s="171" t="s">
        <v>11</v>
      </c>
      <c r="AK115" s="171">
        <v>27</v>
      </c>
      <c r="AL115" s="178" t="s">
        <v>329</v>
      </c>
      <c r="AM115" s="171" t="s">
        <v>74</v>
      </c>
      <c r="AN115" s="171" t="s">
        <v>11</v>
      </c>
      <c r="AO115" s="179">
        <v>4.5</v>
      </c>
      <c r="AP115" s="178"/>
      <c r="AS115" s="179"/>
      <c r="AW115" s="179"/>
      <c r="BA115" s="180"/>
    </row>
    <row r="116" spans="1:53" s="171" customFormat="1" x14ac:dyDescent="0.15">
      <c r="A116" s="171">
        <v>2014</v>
      </c>
      <c r="B116" s="283"/>
      <c r="C116" s="410" t="s">
        <v>1248</v>
      </c>
      <c r="D116" s="410"/>
      <c r="E116" s="171">
        <v>0</v>
      </c>
      <c r="G116" s="233">
        <v>4</v>
      </c>
      <c r="H116" s="171">
        <v>1</v>
      </c>
      <c r="I116" s="171">
        <v>2</v>
      </c>
      <c r="J116" s="241">
        <v>7</v>
      </c>
      <c r="K116" s="214">
        <f t="shared" si="16"/>
        <v>57.142857142857139</v>
      </c>
      <c r="L116" s="214">
        <f t="shared" si="17"/>
        <v>14.285714285714285</v>
      </c>
      <c r="M116" s="214">
        <f t="shared" si="18"/>
        <v>28.571428571428569</v>
      </c>
      <c r="N116" s="235">
        <f t="shared" si="19"/>
        <v>99.999999999999986</v>
      </c>
      <c r="O116" s="213">
        <v>46.5</v>
      </c>
      <c r="P116" s="214">
        <v>14</v>
      </c>
      <c r="Q116" s="214">
        <v>23</v>
      </c>
      <c r="R116" s="215">
        <v>83.5</v>
      </c>
      <c r="S116" s="171">
        <v>3</v>
      </c>
      <c r="T116" s="285"/>
      <c r="U116" s="283"/>
      <c r="V116" s="178" t="s">
        <v>131</v>
      </c>
      <c r="W116" s="171" t="s">
        <v>22</v>
      </c>
      <c r="X116" s="171" t="s">
        <v>11</v>
      </c>
      <c r="Y116" s="179">
        <v>15</v>
      </c>
      <c r="Z116" s="171" t="s">
        <v>80</v>
      </c>
      <c r="AA116" s="171" t="s">
        <v>17</v>
      </c>
      <c r="AB116" s="171" t="s">
        <v>18</v>
      </c>
      <c r="AC116" s="171">
        <v>14</v>
      </c>
      <c r="AD116" s="178" t="s">
        <v>454</v>
      </c>
      <c r="AE116" s="171" t="s">
        <v>20</v>
      </c>
      <c r="AF116" s="171" t="s">
        <v>12</v>
      </c>
      <c r="AG116" s="179">
        <v>23</v>
      </c>
      <c r="AH116" s="171" t="s">
        <v>328</v>
      </c>
      <c r="AI116" s="171" t="s">
        <v>852</v>
      </c>
      <c r="AJ116" s="171" t="s">
        <v>11</v>
      </c>
      <c r="AK116" s="171">
        <v>27</v>
      </c>
      <c r="AL116" s="178" t="s">
        <v>329</v>
      </c>
      <c r="AM116" s="171" t="s">
        <v>74</v>
      </c>
      <c r="AN116" s="171" t="s">
        <v>11</v>
      </c>
      <c r="AO116" s="179">
        <v>4.5</v>
      </c>
      <c r="AP116" s="178"/>
      <c r="AS116" s="179"/>
      <c r="AW116" s="179"/>
      <c r="BA116" s="180"/>
    </row>
    <row r="117" spans="1:53" s="171" customFormat="1" x14ac:dyDescent="0.15">
      <c r="A117" s="171">
        <v>2014</v>
      </c>
      <c r="B117" s="283"/>
      <c r="C117" s="410" t="s">
        <v>1294</v>
      </c>
      <c r="D117" s="410"/>
      <c r="E117" s="171">
        <v>365</v>
      </c>
      <c r="F117" s="171">
        <v>1</v>
      </c>
      <c r="G117" s="233">
        <v>4</v>
      </c>
      <c r="H117" s="171">
        <v>1</v>
      </c>
      <c r="I117" s="171">
        <v>2</v>
      </c>
      <c r="J117" s="241">
        <v>7</v>
      </c>
      <c r="K117" s="214">
        <f t="shared" si="16"/>
        <v>57.142857142857139</v>
      </c>
      <c r="L117" s="214">
        <f t="shared" si="17"/>
        <v>14.285714285714285</v>
      </c>
      <c r="M117" s="214">
        <f t="shared" si="18"/>
        <v>28.571428571428569</v>
      </c>
      <c r="N117" s="235">
        <f t="shared" si="19"/>
        <v>99.999999999999986</v>
      </c>
      <c r="O117" s="213">
        <v>46.5</v>
      </c>
      <c r="P117" s="214">
        <v>14</v>
      </c>
      <c r="Q117" s="214">
        <v>23</v>
      </c>
      <c r="R117" s="215">
        <v>83.5</v>
      </c>
      <c r="S117" s="171">
        <v>3</v>
      </c>
      <c r="T117" s="285"/>
      <c r="U117" s="283"/>
      <c r="V117" s="178" t="s">
        <v>131</v>
      </c>
      <c r="W117" s="171" t="s">
        <v>22</v>
      </c>
      <c r="X117" s="171" t="s">
        <v>11</v>
      </c>
      <c r="Y117" s="179">
        <v>15</v>
      </c>
      <c r="Z117" s="171" t="s">
        <v>80</v>
      </c>
      <c r="AA117" s="171" t="s">
        <v>17</v>
      </c>
      <c r="AB117" s="171" t="s">
        <v>18</v>
      </c>
      <c r="AC117" s="171">
        <v>14</v>
      </c>
      <c r="AD117" s="178" t="s">
        <v>454</v>
      </c>
      <c r="AE117" s="171" t="s">
        <v>20</v>
      </c>
      <c r="AF117" s="171" t="s">
        <v>12</v>
      </c>
      <c r="AG117" s="179">
        <v>23</v>
      </c>
      <c r="AH117" s="171" t="s">
        <v>328</v>
      </c>
      <c r="AI117" s="171" t="s">
        <v>852</v>
      </c>
      <c r="AJ117" s="171" t="s">
        <v>11</v>
      </c>
      <c r="AK117" s="171">
        <v>27</v>
      </c>
      <c r="AL117" s="178" t="s">
        <v>329</v>
      </c>
      <c r="AM117" s="171" t="s">
        <v>74</v>
      </c>
      <c r="AN117" s="171" t="s">
        <v>11</v>
      </c>
      <c r="AO117" s="179">
        <v>4.5</v>
      </c>
      <c r="AP117" s="178"/>
      <c r="AS117" s="179"/>
      <c r="AW117" s="179"/>
      <c r="BA117" s="180"/>
    </row>
    <row r="118" spans="1:53" s="171" customFormat="1" x14ac:dyDescent="0.15">
      <c r="A118" s="171">
        <v>2015</v>
      </c>
      <c r="B118" s="283"/>
      <c r="C118" s="410" t="s">
        <v>1294</v>
      </c>
      <c r="D118" s="410"/>
      <c r="E118" s="171">
        <v>342</v>
      </c>
      <c r="G118" s="233">
        <v>4</v>
      </c>
      <c r="H118" s="171">
        <v>1</v>
      </c>
      <c r="I118" s="171">
        <v>2</v>
      </c>
      <c r="J118" s="241">
        <v>7</v>
      </c>
      <c r="K118" s="214">
        <f t="shared" si="16"/>
        <v>57.142857142857139</v>
      </c>
      <c r="L118" s="214">
        <f t="shared" si="17"/>
        <v>14.285714285714285</v>
      </c>
      <c r="M118" s="214">
        <f t="shared" si="18"/>
        <v>28.571428571428569</v>
      </c>
      <c r="N118" s="235">
        <f t="shared" si="19"/>
        <v>99.999999999999986</v>
      </c>
      <c r="O118" s="213">
        <v>46.5</v>
      </c>
      <c r="P118" s="214">
        <v>14</v>
      </c>
      <c r="Q118" s="214">
        <v>23</v>
      </c>
      <c r="R118" s="215">
        <v>83.5</v>
      </c>
      <c r="S118" s="171">
        <v>3</v>
      </c>
      <c r="T118" s="285"/>
      <c r="U118" s="283"/>
      <c r="V118" s="178" t="s">
        <v>131</v>
      </c>
      <c r="W118" s="171" t="s">
        <v>22</v>
      </c>
      <c r="X118" s="171" t="s">
        <v>11</v>
      </c>
      <c r="Y118" s="179">
        <v>15</v>
      </c>
      <c r="Z118" s="171" t="s">
        <v>80</v>
      </c>
      <c r="AA118" s="171" t="s">
        <v>17</v>
      </c>
      <c r="AB118" s="171" t="s">
        <v>18</v>
      </c>
      <c r="AC118" s="171">
        <v>14</v>
      </c>
      <c r="AD118" s="178" t="s">
        <v>454</v>
      </c>
      <c r="AE118" s="171" t="s">
        <v>20</v>
      </c>
      <c r="AF118" s="171" t="s">
        <v>12</v>
      </c>
      <c r="AG118" s="179">
        <v>23</v>
      </c>
      <c r="AH118" s="171" t="s">
        <v>328</v>
      </c>
      <c r="AI118" s="171" t="s">
        <v>852</v>
      </c>
      <c r="AJ118" s="171" t="s">
        <v>11</v>
      </c>
      <c r="AK118" s="171">
        <v>27</v>
      </c>
      <c r="AL118" s="178" t="s">
        <v>329</v>
      </c>
      <c r="AM118" s="171" t="s">
        <v>74</v>
      </c>
      <c r="AN118" s="171" t="s">
        <v>11</v>
      </c>
      <c r="AO118" s="179">
        <v>4.5</v>
      </c>
      <c r="AP118" s="178"/>
      <c r="AS118" s="179"/>
      <c r="AW118" s="179"/>
      <c r="BA118" s="180"/>
    </row>
    <row r="119" spans="1:53" s="29" customFormat="1" x14ac:dyDescent="0.15">
      <c r="A119" s="29">
        <v>2015</v>
      </c>
      <c r="B119" s="295">
        <v>42347</v>
      </c>
      <c r="C119" s="411" t="s">
        <v>1331</v>
      </c>
      <c r="D119" s="411"/>
      <c r="E119" s="29">
        <v>23</v>
      </c>
      <c r="F119" s="29">
        <v>1</v>
      </c>
      <c r="G119" s="66">
        <v>4</v>
      </c>
      <c r="H119" s="29">
        <v>1</v>
      </c>
      <c r="I119" s="29">
        <v>2</v>
      </c>
      <c r="J119" s="73">
        <v>7</v>
      </c>
      <c r="K119" s="47">
        <f t="shared" si="16"/>
        <v>57.142857142857139</v>
      </c>
      <c r="L119" s="47">
        <f t="shared" si="17"/>
        <v>14.285714285714285</v>
      </c>
      <c r="M119" s="47">
        <f t="shared" si="18"/>
        <v>28.571428571428569</v>
      </c>
      <c r="N119" s="68">
        <f t="shared" si="19"/>
        <v>99.999999999999986</v>
      </c>
      <c r="O119" s="46">
        <v>49</v>
      </c>
      <c r="P119" s="47">
        <v>14</v>
      </c>
      <c r="Q119" s="47">
        <v>28.6</v>
      </c>
      <c r="R119" s="48">
        <f t="shared" ref="R119" si="20">O119+P119+Q119</f>
        <v>91.6</v>
      </c>
      <c r="S119" s="29">
        <v>3</v>
      </c>
      <c r="T119" s="286">
        <v>42295</v>
      </c>
      <c r="U119" s="295">
        <v>42347</v>
      </c>
      <c r="V119" s="38" t="s">
        <v>131</v>
      </c>
      <c r="W119" s="29" t="s">
        <v>22</v>
      </c>
      <c r="X119" s="29" t="s">
        <v>11</v>
      </c>
      <c r="Y119" s="39">
        <v>16.5</v>
      </c>
      <c r="Z119" s="29" t="s">
        <v>80</v>
      </c>
      <c r="AA119" s="29" t="s">
        <v>17</v>
      </c>
      <c r="AB119" s="29" t="s">
        <v>18</v>
      </c>
      <c r="AC119" s="29">
        <v>14</v>
      </c>
      <c r="AD119" s="38" t="s">
        <v>454</v>
      </c>
      <c r="AE119" s="29" t="s">
        <v>20</v>
      </c>
      <c r="AF119" s="29" t="s">
        <v>12</v>
      </c>
      <c r="AG119" s="39">
        <v>21.5</v>
      </c>
      <c r="AH119" s="29" t="s">
        <v>328</v>
      </c>
      <c r="AI119" s="29" t="s">
        <v>852</v>
      </c>
      <c r="AJ119" s="29" t="s">
        <v>11</v>
      </c>
      <c r="AK119" s="29">
        <v>32.5</v>
      </c>
      <c r="AL119" s="38"/>
      <c r="AO119" s="39"/>
      <c r="AP119" s="38"/>
      <c r="AS119" s="39"/>
      <c r="AW119" s="39"/>
      <c r="BA119" s="40"/>
    </row>
    <row r="120" spans="1:53" s="29" customFormat="1" x14ac:dyDescent="0.15">
      <c r="A120" s="29">
        <v>2016</v>
      </c>
      <c r="B120" s="295"/>
      <c r="C120" s="411" t="s">
        <v>1331</v>
      </c>
      <c r="D120" s="411"/>
      <c r="E120" s="29">
        <v>0</v>
      </c>
      <c r="G120" s="66">
        <v>4</v>
      </c>
      <c r="H120" s="29">
        <v>1</v>
      </c>
      <c r="I120" s="29">
        <v>2</v>
      </c>
      <c r="J120" s="73">
        <v>7</v>
      </c>
      <c r="K120" s="47">
        <f t="shared" si="16"/>
        <v>57.142857142857139</v>
      </c>
      <c r="L120" s="47">
        <f t="shared" si="17"/>
        <v>14.285714285714285</v>
      </c>
      <c r="M120" s="47">
        <f t="shared" si="18"/>
        <v>28.571428571428569</v>
      </c>
      <c r="N120" s="68">
        <f t="shared" si="19"/>
        <v>99.999999999999986</v>
      </c>
      <c r="O120" s="46">
        <v>49</v>
      </c>
      <c r="P120" s="47">
        <v>14</v>
      </c>
      <c r="Q120" s="47">
        <v>28.6</v>
      </c>
      <c r="R120" s="48">
        <f t="shared" ref="R120:R121" si="21">O120+P120+Q120</f>
        <v>91.6</v>
      </c>
      <c r="S120" s="29">
        <v>3</v>
      </c>
      <c r="T120" s="286"/>
      <c r="U120" s="295"/>
      <c r="V120" s="38" t="s">
        <v>131</v>
      </c>
      <c r="W120" s="29" t="s">
        <v>22</v>
      </c>
      <c r="X120" s="29" t="s">
        <v>11</v>
      </c>
      <c r="Y120" s="39">
        <v>16.5</v>
      </c>
      <c r="Z120" s="29" t="s">
        <v>80</v>
      </c>
      <c r="AA120" s="29" t="s">
        <v>17</v>
      </c>
      <c r="AB120" s="29" t="s">
        <v>18</v>
      </c>
      <c r="AC120" s="29">
        <v>14</v>
      </c>
      <c r="AD120" s="38" t="s">
        <v>454</v>
      </c>
      <c r="AE120" s="29" t="s">
        <v>20</v>
      </c>
      <c r="AF120" s="29" t="s">
        <v>12</v>
      </c>
      <c r="AG120" s="39">
        <v>21.5</v>
      </c>
      <c r="AH120" s="29" t="s">
        <v>328</v>
      </c>
      <c r="AI120" s="29" t="s">
        <v>852</v>
      </c>
      <c r="AJ120" s="29" t="s">
        <v>11</v>
      </c>
      <c r="AK120" s="29">
        <v>32.5</v>
      </c>
      <c r="AL120" s="38"/>
      <c r="AO120" s="39"/>
      <c r="AP120" s="38"/>
      <c r="AS120" s="39"/>
      <c r="AW120" s="39"/>
      <c r="BA120" s="40"/>
    </row>
    <row r="121" spans="1:53" s="29" customFormat="1" x14ac:dyDescent="0.15">
      <c r="A121" s="29">
        <v>2016</v>
      </c>
      <c r="B121" s="295"/>
      <c r="C121" s="411" t="s">
        <v>1352</v>
      </c>
      <c r="D121" s="411"/>
      <c r="E121" s="29">
        <v>366</v>
      </c>
      <c r="F121" s="29">
        <v>1</v>
      </c>
      <c r="G121" s="66">
        <v>4</v>
      </c>
      <c r="H121" s="29">
        <v>1</v>
      </c>
      <c r="I121" s="29">
        <v>2</v>
      </c>
      <c r="J121" s="73">
        <v>7</v>
      </c>
      <c r="K121" s="47">
        <f t="shared" si="16"/>
        <v>57.142857142857139</v>
      </c>
      <c r="L121" s="47">
        <f t="shared" si="17"/>
        <v>14.285714285714285</v>
      </c>
      <c r="M121" s="47">
        <f t="shared" si="18"/>
        <v>28.571428571428569</v>
      </c>
      <c r="N121" s="68">
        <f t="shared" si="19"/>
        <v>99.999999999999986</v>
      </c>
      <c r="O121" s="46">
        <v>49</v>
      </c>
      <c r="P121" s="47">
        <v>14</v>
      </c>
      <c r="Q121" s="47">
        <v>28.6</v>
      </c>
      <c r="R121" s="48">
        <f t="shared" si="21"/>
        <v>91.6</v>
      </c>
      <c r="S121" s="29">
        <v>3</v>
      </c>
      <c r="T121" s="286"/>
      <c r="U121" s="295"/>
      <c r="V121" s="38" t="s">
        <v>131</v>
      </c>
      <c r="W121" s="29" t="s">
        <v>22</v>
      </c>
      <c r="X121" s="29" t="s">
        <v>11</v>
      </c>
      <c r="Y121" s="39">
        <v>16.5</v>
      </c>
      <c r="Z121" s="29" t="s">
        <v>80</v>
      </c>
      <c r="AA121" s="29" t="s">
        <v>17</v>
      </c>
      <c r="AB121" s="29" t="s">
        <v>18</v>
      </c>
      <c r="AC121" s="29">
        <v>14</v>
      </c>
      <c r="AD121" s="38" t="s">
        <v>454</v>
      </c>
      <c r="AE121" s="29" t="s">
        <v>20</v>
      </c>
      <c r="AF121" s="29" t="s">
        <v>12</v>
      </c>
      <c r="AG121" s="39">
        <v>21.5</v>
      </c>
      <c r="AH121" s="29" t="s">
        <v>328</v>
      </c>
      <c r="AI121" s="29" t="s">
        <v>852</v>
      </c>
      <c r="AJ121" s="29" t="s">
        <v>11</v>
      </c>
      <c r="AK121" s="29">
        <v>32.5</v>
      </c>
      <c r="AL121" s="38"/>
      <c r="AO121" s="39"/>
      <c r="AP121" s="38"/>
      <c r="AS121" s="39"/>
      <c r="AW121" s="39"/>
      <c r="BA121" s="40"/>
    </row>
    <row r="122" spans="1:53" s="29" customFormat="1" x14ac:dyDescent="0.15">
      <c r="A122" s="29">
        <v>2017</v>
      </c>
      <c r="B122" s="295"/>
      <c r="C122" s="411" t="s">
        <v>1352</v>
      </c>
      <c r="D122" s="411"/>
      <c r="E122" s="29">
        <v>0</v>
      </c>
      <c r="G122" s="66">
        <v>4</v>
      </c>
      <c r="H122" s="29">
        <v>1</v>
      </c>
      <c r="I122" s="29">
        <v>2</v>
      </c>
      <c r="J122" s="73">
        <v>7</v>
      </c>
      <c r="K122" s="47">
        <f t="shared" si="16"/>
        <v>57.142857142857139</v>
      </c>
      <c r="L122" s="47">
        <f t="shared" si="17"/>
        <v>14.285714285714285</v>
      </c>
      <c r="M122" s="47">
        <f t="shared" si="18"/>
        <v>28.571428571428569</v>
      </c>
      <c r="N122" s="68">
        <f t="shared" si="19"/>
        <v>99.999999999999986</v>
      </c>
      <c r="O122" s="46">
        <v>49</v>
      </c>
      <c r="P122" s="47">
        <v>14</v>
      </c>
      <c r="Q122" s="47">
        <v>28.6</v>
      </c>
      <c r="R122" s="48">
        <f t="shared" ref="R122:R123" si="22">O122+P122+Q122</f>
        <v>91.6</v>
      </c>
      <c r="S122" s="29">
        <v>3</v>
      </c>
      <c r="T122" s="286"/>
      <c r="U122" s="295"/>
      <c r="V122" s="38" t="s">
        <v>131</v>
      </c>
      <c r="W122" s="29" t="s">
        <v>22</v>
      </c>
      <c r="X122" s="29" t="s">
        <v>11</v>
      </c>
      <c r="Y122" s="39">
        <v>16.5</v>
      </c>
      <c r="Z122" s="29" t="s">
        <v>80</v>
      </c>
      <c r="AA122" s="29" t="s">
        <v>17</v>
      </c>
      <c r="AB122" s="29" t="s">
        <v>18</v>
      </c>
      <c r="AC122" s="29">
        <v>14</v>
      </c>
      <c r="AD122" s="38" t="s">
        <v>454</v>
      </c>
      <c r="AE122" s="29" t="s">
        <v>20</v>
      </c>
      <c r="AF122" s="29" t="s">
        <v>12</v>
      </c>
      <c r="AG122" s="39">
        <v>21.5</v>
      </c>
      <c r="AH122" s="29" t="s">
        <v>328</v>
      </c>
      <c r="AI122" s="29" t="s">
        <v>852</v>
      </c>
      <c r="AJ122" s="29" t="s">
        <v>11</v>
      </c>
      <c r="AK122" s="29">
        <v>32.5</v>
      </c>
      <c r="AL122" s="38"/>
      <c r="AO122" s="39"/>
      <c r="AP122" s="38"/>
      <c r="AS122" s="39"/>
      <c r="AW122" s="39"/>
      <c r="BA122" s="40"/>
    </row>
    <row r="123" spans="1:53" s="29" customFormat="1" x14ac:dyDescent="0.15">
      <c r="A123" s="29">
        <v>2017</v>
      </c>
      <c r="B123" s="295"/>
      <c r="C123" s="411" t="s">
        <v>1430</v>
      </c>
      <c r="D123" s="411"/>
      <c r="E123" s="29">
        <v>365</v>
      </c>
      <c r="F123" s="29">
        <v>1</v>
      </c>
      <c r="G123" s="66">
        <v>4</v>
      </c>
      <c r="H123" s="29">
        <v>1</v>
      </c>
      <c r="I123" s="29">
        <v>2</v>
      </c>
      <c r="J123" s="73">
        <v>7</v>
      </c>
      <c r="K123" s="47">
        <f t="shared" si="16"/>
        <v>57.142857142857139</v>
      </c>
      <c r="L123" s="47">
        <f t="shared" si="17"/>
        <v>14.285714285714285</v>
      </c>
      <c r="M123" s="47">
        <f t="shared" si="18"/>
        <v>28.571428571428569</v>
      </c>
      <c r="N123" s="68">
        <f t="shared" si="19"/>
        <v>99.999999999999986</v>
      </c>
      <c r="O123" s="46">
        <v>49</v>
      </c>
      <c r="P123" s="47">
        <v>14</v>
      </c>
      <c r="Q123" s="47">
        <v>28.6</v>
      </c>
      <c r="R123" s="48">
        <f t="shared" si="22"/>
        <v>91.6</v>
      </c>
      <c r="S123" s="29">
        <v>3</v>
      </c>
      <c r="T123" s="286"/>
      <c r="U123" s="295"/>
      <c r="V123" s="38" t="s">
        <v>131</v>
      </c>
      <c r="W123" s="29" t="s">
        <v>22</v>
      </c>
      <c r="X123" s="29" t="s">
        <v>11</v>
      </c>
      <c r="Y123" s="39">
        <v>16.5</v>
      </c>
      <c r="Z123" s="29" t="s">
        <v>80</v>
      </c>
      <c r="AA123" s="29" t="s">
        <v>17</v>
      </c>
      <c r="AB123" s="29" t="s">
        <v>18</v>
      </c>
      <c r="AC123" s="29">
        <v>14</v>
      </c>
      <c r="AD123" s="38" t="s">
        <v>454</v>
      </c>
      <c r="AE123" s="29" t="s">
        <v>20</v>
      </c>
      <c r="AF123" s="29" t="s">
        <v>12</v>
      </c>
      <c r="AG123" s="39">
        <v>21.5</v>
      </c>
      <c r="AH123" s="29" t="s">
        <v>328</v>
      </c>
      <c r="AI123" s="29" t="s">
        <v>852</v>
      </c>
      <c r="AJ123" s="29" t="s">
        <v>11</v>
      </c>
      <c r="AK123" s="29">
        <v>32.5</v>
      </c>
      <c r="AL123" s="38"/>
      <c r="AO123" s="39"/>
      <c r="AP123" s="38"/>
      <c r="AS123" s="39"/>
      <c r="AW123" s="39"/>
      <c r="BA123" s="40"/>
    </row>
    <row r="124" spans="1:53" s="29" customFormat="1" x14ac:dyDescent="0.15">
      <c r="A124" s="29">
        <v>2018</v>
      </c>
      <c r="B124" s="295"/>
      <c r="C124" s="411" t="s">
        <v>1430</v>
      </c>
      <c r="D124" s="411"/>
      <c r="E124" s="29">
        <v>0</v>
      </c>
      <c r="G124" s="66">
        <v>4</v>
      </c>
      <c r="H124" s="29">
        <v>1</v>
      </c>
      <c r="I124" s="29">
        <v>2</v>
      </c>
      <c r="J124" s="73">
        <v>7</v>
      </c>
      <c r="K124" s="47">
        <f t="shared" ref="K124:K125" si="23">G124/J124*100</f>
        <v>57.142857142857139</v>
      </c>
      <c r="L124" s="47">
        <f t="shared" ref="L124:L125" si="24">H124/J124*100</f>
        <v>14.285714285714285</v>
      </c>
      <c r="M124" s="47">
        <f t="shared" ref="M124:M125" si="25">I124/J124*100</f>
        <v>28.571428571428569</v>
      </c>
      <c r="N124" s="68">
        <f t="shared" ref="N124:N125" si="26">K124+L124+M124</f>
        <v>99.999999999999986</v>
      </c>
      <c r="O124" s="46">
        <v>49</v>
      </c>
      <c r="P124" s="47">
        <v>14</v>
      </c>
      <c r="Q124" s="47">
        <v>28.6</v>
      </c>
      <c r="R124" s="48">
        <f t="shared" ref="R124:R125" si="27">O124+P124+Q124</f>
        <v>91.6</v>
      </c>
      <c r="S124" s="29">
        <v>3</v>
      </c>
      <c r="T124" s="286"/>
      <c r="U124" s="295"/>
      <c r="V124" s="38" t="s">
        <v>131</v>
      </c>
      <c r="W124" s="29" t="s">
        <v>22</v>
      </c>
      <c r="X124" s="29" t="s">
        <v>11</v>
      </c>
      <c r="Y124" s="39">
        <v>16.5</v>
      </c>
      <c r="Z124" s="29" t="s">
        <v>80</v>
      </c>
      <c r="AA124" s="29" t="s">
        <v>17</v>
      </c>
      <c r="AB124" s="29" t="s">
        <v>18</v>
      </c>
      <c r="AC124" s="29">
        <v>14</v>
      </c>
      <c r="AD124" s="38" t="s">
        <v>454</v>
      </c>
      <c r="AE124" s="29" t="s">
        <v>20</v>
      </c>
      <c r="AF124" s="29" t="s">
        <v>12</v>
      </c>
      <c r="AG124" s="39">
        <v>21.5</v>
      </c>
      <c r="AH124" s="29" t="s">
        <v>328</v>
      </c>
      <c r="AI124" s="29" t="s">
        <v>852</v>
      </c>
      <c r="AJ124" s="29" t="s">
        <v>11</v>
      </c>
      <c r="AK124" s="29">
        <v>32.5</v>
      </c>
      <c r="AL124" s="38"/>
      <c r="AO124" s="39"/>
      <c r="AP124" s="38"/>
      <c r="AS124" s="39"/>
      <c r="AW124" s="39"/>
      <c r="BA124" s="40"/>
    </row>
    <row r="125" spans="1:53" s="29" customFormat="1" x14ac:dyDescent="0.15">
      <c r="A125" s="29">
        <v>2018</v>
      </c>
      <c r="B125" s="295"/>
      <c r="C125" s="411" t="s">
        <v>1431</v>
      </c>
      <c r="D125" s="411"/>
      <c r="E125" s="29">
        <v>365</v>
      </c>
      <c r="F125" s="29">
        <v>1</v>
      </c>
      <c r="G125" s="66">
        <v>4</v>
      </c>
      <c r="H125" s="29">
        <v>1</v>
      </c>
      <c r="I125" s="29">
        <v>2</v>
      </c>
      <c r="J125" s="73">
        <v>7</v>
      </c>
      <c r="K125" s="47">
        <f t="shared" si="23"/>
        <v>57.142857142857139</v>
      </c>
      <c r="L125" s="47">
        <f t="shared" si="24"/>
        <v>14.285714285714285</v>
      </c>
      <c r="M125" s="47">
        <f t="shared" si="25"/>
        <v>28.571428571428569</v>
      </c>
      <c r="N125" s="68">
        <f t="shared" si="26"/>
        <v>99.999999999999986</v>
      </c>
      <c r="O125" s="46">
        <v>49</v>
      </c>
      <c r="P125" s="47">
        <v>14</v>
      </c>
      <c r="Q125" s="47">
        <v>28.6</v>
      </c>
      <c r="R125" s="48">
        <f t="shared" si="27"/>
        <v>91.6</v>
      </c>
      <c r="S125" s="29">
        <v>3</v>
      </c>
      <c r="T125" s="286"/>
      <c r="U125" s="295"/>
      <c r="V125" s="38" t="s">
        <v>131</v>
      </c>
      <c r="W125" s="29" t="s">
        <v>22</v>
      </c>
      <c r="X125" s="29" t="s">
        <v>11</v>
      </c>
      <c r="Y125" s="39">
        <v>16.5</v>
      </c>
      <c r="Z125" s="29" t="s">
        <v>80</v>
      </c>
      <c r="AA125" s="29" t="s">
        <v>17</v>
      </c>
      <c r="AB125" s="29" t="s">
        <v>18</v>
      </c>
      <c r="AC125" s="29">
        <v>14</v>
      </c>
      <c r="AD125" s="38" t="s">
        <v>454</v>
      </c>
      <c r="AE125" s="29" t="s">
        <v>20</v>
      </c>
      <c r="AF125" s="29" t="s">
        <v>12</v>
      </c>
      <c r="AG125" s="39">
        <v>21.5</v>
      </c>
      <c r="AH125" s="29" t="s">
        <v>328</v>
      </c>
      <c r="AI125" s="29" t="s">
        <v>852</v>
      </c>
      <c r="AJ125" s="29" t="s">
        <v>11</v>
      </c>
      <c r="AK125" s="29">
        <v>32.5</v>
      </c>
      <c r="AL125" s="38"/>
      <c r="AO125" s="39"/>
      <c r="AP125" s="38"/>
      <c r="AS125" s="39"/>
      <c r="AW125" s="39"/>
      <c r="BA125" s="40"/>
    </row>
    <row r="126" spans="1:53" s="29" customFormat="1" x14ac:dyDescent="0.15">
      <c r="A126" s="29">
        <v>2019</v>
      </c>
      <c r="B126" s="295"/>
      <c r="C126" s="411" t="s">
        <v>1431</v>
      </c>
      <c r="D126" s="411"/>
      <c r="E126" s="29">
        <v>336</v>
      </c>
      <c r="G126" s="66">
        <v>4</v>
      </c>
      <c r="H126" s="29">
        <v>1</v>
      </c>
      <c r="I126" s="29">
        <v>2</v>
      </c>
      <c r="J126" s="73">
        <v>7</v>
      </c>
      <c r="K126" s="47">
        <f t="shared" ref="K126:K129" si="28">G126/J126*100</f>
        <v>57.142857142857139</v>
      </c>
      <c r="L126" s="47">
        <f t="shared" ref="L126:L129" si="29">H126/J126*100</f>
        <v>14.285714285714285</v>
      </c>
      <c r="M126" s="47">
        <f t="shared" ref="M126:M129" si="30">I126/J126*100</f>
        <v>28.571428571428569</v>
      </c>
      <c r="N126" s="68">
        <f t="shared" ref="N126:N129" si="31">K126+L126+M126</f>
        <v>99.999999999999986</v>
      </c>
      <c r="O126" s="46">
        <v>49</v>
      </c>
      <c r="P126" s="47">
        <v>14</v>
      </c>
      <c r="Q126" s="47">
        <v>28.6</v>
      </c>
      <c r="R126" s="48">
        <f t="shared" ref="R126:R129" si="32">O126+P126+Q126</f>
        <v>91.6</v>
      </c>
      <c r="S126" s="29">
        <v>3</v>
      </c>
      <c r="T126" s="286"/>
      <c r="U126" s="295"/>
      <c r="V126" s="38" t="s">
        <v>131</v>
      </c>
      <c r="W126" s="29" t="s">
        <v>22</v>
      </c>
      <c r="X126" s="29" t="s">
        <v>11</v>
      </c>
      <c r="Y126" s="39">
        <v>16.5</v>
      </c>
      <c r="Z126" s="29" t="s">
        <v>80</v>
      </c>
      <c r="AA126" s="29" t="s">
        <v>17</v>
      </c>
      <c r="AB126" s="29" t="s">
        <v>18</v>
      </c>
      <c r="AC126" s="29">
        <v>14</v>
      </c>
      <c r="AD126" s="38" t="s">
        <v>454</v>
      </c>
      <c r="AE126" s="29" t="s">
        <v>20</v>
      </c>
      <c r="AF126" s="29" t="s">
        <v>12</v>
      </c>
      <c r="AG126" s="39">
        <v>21.5</v>
      </c>
      <c r="AH126" s="29" t="s">
        <v>328</v>
      </c>
      <c r="AI126" s="29" t="s">
        <v>852</v>
      </c>
      <c r="AJ126" s="29" t="s">
        <v>11</v>
      </c>
      <c r="AK126" s="29">
        <v>32.5</v>
      </c>
      <c r="AL126" s="38"/>
      <c r="AO126" s="39"/>
      <c r="AP126" s="38"/>
      <c r="AS126" s="39"/>
      <c r="AW126" s="39"/>
      <c r="BA126" s="40"/>
    </row>
    <row r="127" spans="1:53" s="171" customFormat="1" x14ac:dyDescent="0.15">
      <c r="A127" s="171">
        <v>2019</v>
      </c>
      <c r="B127" s="283">
        <v>43801</v>
      </c>
      <c r="C127" s="410" t="s">
        <v>1432</v>
      </c>
      <c r="D127" s="410"/>
      <c r="E127" s="171">
        <v>29</v>
      </c>
      <c r="F127" s="171">
        <v>1</v>
      </c>
      <c r="G127" s="233">
        <v>4</v>
      </c>
      <c r="H127" s="171">
        <v>1</v>
      </c>
      <c r="I127" s="171">
        <v>2</v>
      </c>
      <c r="J127" s="241">
        <v>7</v>
      </c>
      <c r="K127" s="214">
        <f t="shared" si="28"/>
        <v>57.142857142857139</v>
      </c>
      <c r="L127" s="214">
        <f t="shared" si="29"/>
        <v>14.285714285714285</v>
      </c>
      <c r="M127" s="214">
        <f t="shared" si="30"/>
        <v>28.571428571428569</v>
      </c>
      <c r="N127" s="215">
        <f t="shared" si="31"/>
        <v>99.999999999999986</v>
      </c>
      <c r="O127" s="214">
        <v>40.6</v>
      </c>
      <c r="P127" s="214">
        <v>15.5</v>
      </c>
      <c r="Q127" s="214">
        <v>19.5</v>
      </c>
      <c r="R127" s="215">
        <f t="shared" si="32"/>
        <v>75.599999999999994</v>
      </c>
      <c r="S127" s="180">
        <v>3</v>
      </c>
      <c r="T127" s="351">
        <v>43758</v>
      </c>
      <c r="U127" s="353">
        <v>43801</v>
      </c>
      <c r="V127" s="171" t="s">
        <v>131</v>
      </c>
      <c r="W127" s="171" t="s">
        <v>22</v>
      </c>
      <c r="X127" s="171" t="s">
        <v>11</v>
      </c>
      <c r="Y127" s="179">
        <v>16.600000000000001</v>
      </c>
      <c r="Z127" s="171" t="s">
        <v>80</v>
      </c>
      <c r="AA127" s="171" t="s">
        <v>17</v>
      </c>
      <c r="AB127" s="171" t="s">
        <v>18</v>
      </c>
      <c r="AC127" s="179">
        <v>15.5</v>
      </c>
      <c r="AD127" s="171" t="s">
        <v>454</v>
      </c>
      <c r="AE127" s="171" t="s">
        <v>20</v>
      </c>
      <c r="AF127" s="171" t="s">
        <v>12</v>
      </c>
      <c r="AG127" s="179">
        <v>19.5</v>
      </c>
      <c r="AH127" s="171" t="s">
        <v>328</v>
      </c>
      <c r="AI127" s="171" t="s">
        <v>852</v>
      </c>
      <c r="AJ127" s="171" t="s">
        <v>11</v>
      </c>
      <c r="AK127" s="171">
        <v>24</v>
      </c>
      <c r="AL127" s="178"/>
      <c r="AO127" s="179"/>
      <c r="AP127" s="178"/>
      <c r="AS127" s="179"/>
      <c r="AW127" s="179"/>
      <c r="BA127" s="180"/>
    </row>
    <row r="128" spans="1:53" s="171" customFormat="1" x14ac:dyDescent="0.15">
      <c r="A128" s="171">
        <v>2020</v>
      </c>
      <c r="C128" s="410" t="s">
        <v>1432</v>
      </c>
      <c r="D128" s="410"/>
      <c r="E128" s="171">
        <v>0</v>
      </c>
      <c r="F128" s="180"/>
      <c r="G128" s="171">
        <v>4</v>
      </c>
      <c r="H128" s="171">
        <v>1</v>
      </c>
      <c r="I128" s="171">
        <v>2</v>
      </c>
      <c r="J128" s="180">
        <v>7</v>
      </c>
      <c r="K128" s="214">
        <f t="shared" si="28"/>
        <v>57.142857142857139</v>
      </c>
      <c r="L128" s="214">
        <f t="shared" si="29"/>
        <v>14.285714285714285</v>
      </c>
      <c r="M128" s="214">
        <f t="shared" si="30"/>
        <v>28.571428571428569</v>
      </c>
      <c r="N128" s="180">
        <f t="shared" si="31"/>
        <v>99.999999999999986</v>
      </c>
      <c r="O128" s="171">
        <v>40.6</v>
      </c>
      <c r="P128" s="171">
        <v>15.5</v>
      </c>
      <c r="Q128" s="171">
        <v>19.5</v>
      </c>
      <c r="R128" s="180">
        <f t="shared" si="32"/>
        <v>75.599999999999994</v>
      </c>
      <c r="S128" s="180">
        <v>3</v>
      </c>
      <c r="T128" s="180"/>
      <c r="U128" s="179"/>
      <c r="V128" s="171" t="s">
        <v>131</v>
      </c>
      <c r="W128" s="171" t="s">
        <v>22</v>
      </c>
      <c r="X128" s="171" t="s">
        <v>11</v>
      </c>
      <c r="Y128" s="179">
        <v>16.600000000000001</v>
      </c>
      <c r="Z128" s="171" t="s">
        <v>80</v>
      </c>
      <c r="AA128" s="171" t="s">
        <v>17</v>
      </c>
      <c r="AB128" s="171" t="s">
        <v>18</v>
      </c>
      <c r="AC128" s="179">
        <v>15.5</v>
      </c>
      <c r="AD128" s="171" t="s">
        <v>454</v>
      </c>
      <c r="AE128" s="171" t="s">
        <v>20</v>
      </c>
      <c r="AF128" s="171" t="s">
        <v>12</v>
      </c>
      <c r="AG128" s="179">
        <v>19.5</v>
      </c>
      <c r="AH128" s="171" t="s">
        <v>328</v>
      </c>
      <c r="AI128" s="171" t="s">
        <v>852</v>
      </c>
      <c r="AJ128" s="171" t="s">
        <v>11</v>
      </c>
      <c r="AK128" s="179">
        <v>24</v>
      </c>
      <c r="AO128" s="179"/>
      <c r="AS128" s="179"/>
      <c r="AW128" s="179"/>
      <c r="BA128" s="180"/>
    </row>
    <row r="129" spans="1:53" s="171" customFormat="1" x14ac:dyDescent="0.15">
      <c r="A129" s="171">
        <v>2020</v>
      </c>
      <c r="C129" s="410" t="s">
        <v>1485</v>
      </c>
      <c r="D129" s="410"/>
      <c r="E129" s="171">
        <v>366</v>
      </c>
      <c r="F129" s="180"/>
      <c r="G129" s="171">
        <v>4</v>
      </c>
      <c r="H129" s="171">
        <v>1</v>
      </c>
      <c r="I129" s="171">
        <v>2</v>
      </c>
      <c r="J129" s="180">
        <v>7</v>
      </c>
      <c r="K129" s="214">
        <f t="shared" si="28"/>
        <v>57.142857142857139</v>
      </c>
      <c r="L129" s="214">
        <f t="shared" si="29"/>
        <v>14.285714285714285</v>
      </c>
      <c r="M129" s="214">
        <f t="shared" si="30"/>
        <v>28.571428571428569</v>
      </c>
      <c r="N129" s="180">
        <f t="shared" si="31"/>
        <v>99.999999999999986</v>
      </c>
      <c r="O129" s="171">
        <v>40.6</v>
      </c>
      <c r="P129" s="171">
        <v>15.5</v>
      </c>
      <c r="Q129" s="171">
        <v>19.5</v>
      </c>
      <c r="R129" s="180">
        <f t="shared" si="32"/>
        <v>75.599999999999994</v>
      </c>
      <c r="S129" s="180">
        <v>3</v>
      </c>
      <c r="T129" s="180"/>
      <c r="U129" s="179"/>
      <c r="V129" s="171" t="s">
        <v>131</v>
      </c>
      <c r="W129" s="171" t="s">
        <v>22</v>
      </c>
      <c r="X129" s="171" t="s">
        <v>11</v>
      </c>
      <c r="Y129" s="179">
        <v>16.600000000000001</v>
      </c>
      <c r="Z129" s="171" t="s">
        <v>80</v>
      </c>
      <c r="AA129" s="171" t="s">
        <v>17</v>
      </c>
      <c r="AB129" s="171" t="s">
        <v>18</v>
      </c>
      <c r="AC129" s="179">
        <v>15.5</v>
      </c>
      <c r="AD129" s="171" t="s">
        <v>454</v>
      </c>
      <c r="AE129" s="171" t="s">
        <v>20</v>
      </c>
      <c r="AF129" s="171" t="s">
        <v>12</v>
      </c>
      <c r="AG129" s="179">
        <v>19.5</v>
      </c>
      <c r="AH129" s="171" t="s">
        <v>328</v>
      </c>
      <c r="AI129" s="171" t="s">
        <v>852</v>
      </c>
      <c r="AJ129" s="171" t="s">
        <v>11</v>
      </c>
      <c r="AK129" s="179">
        <v>24</v>
      </c>
      <c r="AO129" s="179"/>
      <c r="AS129" s="179"/>
      <c r="AW129" s="179"/>
      <c r="BA129" s="180"/>
    </row>
    <row r="132" spans="1:53" ht="18" customHeight="1" x14ac:dyDescent="0.15">
      <c r="B132" s="16" t="s">
        <v>1264</v>
      </c>
      <c r="H132" s="4"/>
    </row>
    <row r="133" spans="1:53" ht="9" customHeight="1" x14ac:dyDescent="0.15">
      <c r="H133" s="4"/>
    </row>
    <row r="134" spans="1:53" s="195" customFormat="1" ht="9" customHeight="1" x14ac:dyDescent="0.15">
      <c r="A134" s="193"/>
      <c r="B134" s="194" t="s">
        <v>1215</v>
      </c>
      <c r="C134" s="194"/>
      <c r="D134" s="194"/>
      <c r="E134" s="194"/>
      <c r="F134" s="194"/>
      <c r="G134" s="194" t="s">
        <v>1216</v>
      </c>
      <c r="H134" s="194"/>
      <c r="I134" s="194"/>
      <c r="J134" s="194"/>
      <c r="K134" s="194"/>
      <c r="L134" s="194"/>
      <c r="M134" s="194"/>
      <c r="N134" s="194"/>
      <c r="R134" s="388" t="s">
        <v>1217</v>
      </c>
      <c r="S134" s="388"/>
      <c r="T134" s="388"/>
      <c r="U134" s="388"/>
      <c r="V134" s="388"/>
      <c r="W134" s="388"/>
      <c r="X134" s="196"/>
      <c r="Y134" s="196"/>
      <c r="AA134" s="196"/>
      <c r="AB134" s="196"/>
      <c r="AC134" s="196"/>
      <c r="AD134" s="196"/>
    </row>
    <row r="135" spans="1:53" s="200" customFormat="1" ht="9" customHeight="1" x14ac:dyDescent="0.15">
      <c r="A135" s="197"/>
      <c r="B135" s="198" t="s">
        <v>1219</v>
      </c>
      <c r="C135" s="199"/>
      <c r="D135" s="199"/>
      <c r="E135" s="199"/>
      <c r="F135" s="199"/>
      <c r="G135" s="198" t="s">
        <v>1218</v>
      </c>
      <c r="H135" s="199"/>
      <c r="I135" s="199"/>
      <c r="J135" s="199"/>
      <c r="K135" s="199"/>
      <c r="L135" s="199"/>
      <c r="M135" s="199"/>
      <c r="N135" s="199"/>
      <c r="R135" s="201" t="s">
        <v>1220</v>
      </c>
      <c r="S135" s="202"/>
      <c r="T135" s="203"/>
      <c r="U135" s="203"/>
      <c r="V135" s="203"/>
      <c r="W135" s="201" t="s">
        <v>1221</v>
      </c>
      <c r="X135" s="203"/>
      <c r="Y135" s="203"/>
      <c r="AA135" s="203"/>
      <c r="AB135" s="203"/>
      <c r="AC135" s="203"/>
      <c r="AD135" s="203"/>
    </row>
    <row r="136" spans="1:53" s="186" customFormat="1" ht="12" customHeight="1" x14ac:dyDescent="0.15">
      <c r="A136" s="204" t="s">
        <v>3</v>
      </c>
      <c r="B136" s="205" t="s">
        <v>8</v>
      </c>
      <c r="C136" s="205" t="s">
        <v>9</v>
      </c>
      <c r="D136" s="205" t="s">
        <v>10</v>
      </c>
      <c r="E136" s="206" t="s">
        <v>1195</v>
      </c>
      <c r="F136" s="205"/>
      <c r="G136" s="186" t="s">
        <v>3</v>
      </c>
      <c r="H136" s="389" t="s">
        <v>0</v>
      </c>
      <c r="I136" s="389"/>
      <c r="J136" s="389" t="s">
        <v>1</v>
      </c>
      <c r="K136" s="389"/>
      <c r="L136" s="389" t="s">
        <v>2</v>
      </c>
      <c r="M136" s="389"/>
      <c r="N136" s="390" t="s">
        <v>1195</v>
      </c>
      <c r="O136" s="390"/>
      <c r="P136" s="207"/>
      <c r="Q136" s="207"/>
      <c r="R136" s="208" t="s">
        <v>3</v>
      </c>
      <c r="S136" s="209" t="s">
        <v>135</v>
      </c>
      <c r="T136" s="207" t="s">
        <v>133</v>
      </c>
      <c r="U136" s="205" t="s">
        <v>134</v>
      </c>
      <c r="V136" s="207"/>
      <c r="W136" s="210" t="s">
        <v>26</v>
      </c>
    </row>
    <row r="137" spans="1:53" s="140" customFormat="1" x14ac:dyDescent="0.15">
      <c r="A137" s="140">
        <v>1959</v>
      </c>
      <c r="B137" s="143">
        <f>(K6*($E6/365)) + (K7*($E7/365))</f>
        <v>56.55577299412915</v>
      </c>
      <c r="C137" s="143">
        <f>(L6*($E6/365)) + (L7*($E7/365))</f>
        <v>42.270058708414872</v>
      </c>
      <c r="D137" s="143">
        <f>(M6*($E6/365)) + (M7*($E7/365))</f>
        <v>1.1741682974559686</v>
      </c>
      <c r="E137" s="144">
        <f>B137+C137+D137</f>
        <v>99.999999999999986</v>
      </c>
      <c r="G137" s="140">
        <v>1959</v>
      </c>
      <c r="H137" s="417">
        <f>(O6/$R6*100*($E6/365))+(O7/$R7*100*($E7/365))</f>
        <v>59.743182497238152</v>
      </c>
      <c r="I137" s="417"/>
      <c r="J137" s="417">
        <f>(P6/$R6*100*($E6/365))+(P7/$R7*100*($E7/365))</f>
        <v>39.038467273930678</v>
      </c>
      <c r="K137" s="417"/>
      <c r="L137" s="417">
        <f>(Q6/$R6*100*($E6/365))+(Q7/$R7*100*($E7/365))</f>
        <v>1.2183502288311647</v>
      </c>
      <c r="M137" s="417"/>
      <c r="N137" s="412">
        <f>H137+J137+L137</f>
        <v>100</v>
      </c>
      <c r="O137" s="412"/>
      <c r="R137" s="140">
        <v>1959</v>
      </c>
      <c r="S137" s="143">
        <f>(O6*($E6/365)) + (O7*($E7/365))</f>
        <v>36.741095890410961</v>
      </c>
      <c r="T137" s="143">
        <f>(P6*($E6/365)) + (P7*($E7/365))</f>
        <v>24</v>
      </c>
      <c r="U137" s="143">
        <f>(Q6*($E6/365)) + (Q7*($E7/365))</f>
        <v>1.0684931506849313</v>
      </c>
      <c r="V137" s="143"/>
      <c r="W137" s="143">
        <f>S137+T137+U137</f>
        <v>61.80958904109589</v>
      </c>
    </row>
    <row r="138" spans="1:53" x14ac:dyDescent="0.15">
      <c r="A138" s="1">
        <v>1960</v>
      </c>
      <c r="B138" s="5">
        <f>(K8*($E8/366))+(K9*($E9/366))</f>
        <v>42.857142857142854</v>
      </c>
      <c r="C138" s="5">
        <f>(L8*($E8/366))+(L9*($E9/366))</f>
        <v>28.571428571428569</v>
      </c>
      <c r="D138" s="5">
        <f>(M8*($E8/366))+(M9*($E9/366))</f>
        <v>28.571428571428569</v>
      </c>
      <c r="E138" s="18">
        <f>B138+C138+D138</f>
        <v>99.999999999999986</v>
      </c>
      <c r="G138" s="1">
        <v>1960</v>
      </c>
      <c r="H138" s="409">
        <f>(O8/$R8*100*($E8/366))+(O9/$R9*100*($E9/366))</f>
        <v>42.987457240592931</v>
      </c>
      <c r="I138" s="409"/>
      <c r="J138" s="409">
        <f>(P8/$R8*100*($E8/366))+(P9/$R9*100*($E9/366))</f>
        <v>27.366020524515395</v>
      </c>
      <c r="K138" s="409"/>
      <c r="L138" s="409">
        <f>(Q8/$R8*100*($E8/366))+(Q9/$R9*100*($E9/366))</f>
        <v>29.646522234891677</v>
      </c>
      <c r="M138" s="409"/>
      <c r="N138" s="379">
        <f t="shared" ref="N138:N169" si="33">H138+J138+L138</f>
        <v>100</v>
      </c>
      <c r="O138" s="379"/>
      <c r="R138" s="1">
        <v>1960</v>
      </c>
      <c r="S138" s="5">
        <f>(O8*($E8/366))+(O9*($E9/366))</f>
        <v>37.700000000000003</v>
      </c>
      <c r="T138" s="5">
        <f>(P8*($E8/366))+(P9*($E9/366))</f>
        <v>24</v>
      </c>
      <c r="U138" s="5">
        <f>(Q8*($E8/366))+(Q9*($E9/366))</f>
        <v>26</v>
      </c>
      <c r="V138" s="5"/>
      <c r="W138" s="5">
        <f>S138+T138+U138</f>
        <v>87.7</v>
      </c>
    </row>
    <row r="139" spans="1:53" x14ac:dyDescent="0.15">
      <c r="A139" s="1">
        <v>1961</v>
      </c>
      <c r="B139" s="5">
        <f>(K10*($E10/365))+(K11*($E11/365))</f>
        <v>42.857142857142854</v>
      </c>
      <c r="C139" s="5">
        <f>(L10*($E10/365))+(L11*($E11/365))</f>
        <v>28.571428571428569</v>
      </c>
      <c r="D139" s="5">
        <f>(M10*($E10/365))+(M11*($E11/365))</f>
        <v>28.571428571428569</v>
      </c>
      <c r="E139" s="18">
        <f t="shared" ref="E139:E191" si="34">B139+C139+D139</f>
        <v>99.999999999999986</v>
      </c>
      <c r="G139" s="1">
        <v>1961</v>
      </c>
      <c r="H139" s="409">
        <f>(O10/$R10*100*($E10/365))+(O11/$R11*100*($E11/365))</f>
        <v>42.987457240592931</v>
      </c>
      <c r="I139" s="409"/>
      <c r="J139" s="409">
        <f>(P10/$R10*100*($E10/365))+(P11/$R11*100*($E11/365))</f>
        <v>27.366020524515395</v>
      </c>
      <c r="K139" s="409"/>
      <c r="L139" s="409">
        <f>(Q10/$R10*100*($E10/365))+(Q11/$R11*100*($E11/365))</f>
        <v>29.646522234891677</v>
      </c>
      <c r="M139" s="409"/>
      <c r="N139" s="379">
        <f t="shared" si="33"/>
        <v>100</v>
      </c>
      <c r="O139" s="379"/>
      <c r="R139" s="1">
        <v>1961</v>
      </c>
      <c r="S139" s="5">
        <f>(O10*($E10/365))+(O11*($E11/365))</f>
        <v>37.700000000000003</v>
      </c>
      <c r="T139" s="5">
        <f>(P10*($E10/365))+(P11*($E11/365))</f>
        <v>24</v>
      </c>
      <c r="U139" s="5">
        <f>(Q10*($E10/365))+(Q11*($E11/365))</f>
        <v>26</v>
      </c>
      <c r="V139" s="5"/>
      <c r="W139" s="5">
        <f t="shared" ref="W139:W191" si="35">S139+T139+U139</f>
        <v>87.7</v>
      </c>
    </row>
    <row r="140" spans="1:53" x14ac:dyDescent="0.15">
      <c r="A140" s="1">
        <v>1962</v>
      </c>
      <c r="B140" s="5">
        <f>(K12*($E12/365))+(K13*($E13/365))</f>
        <v>42.857142857142854</v>
      </c>
      <c r="C140" s="5">
        <f>(L12*($E12/365))+(L13*($E13/365))</f>
        <v>28.571428571428569</v>
      </c>
      <c r="D140" s="5">
        <f>(M12*($E12/365))+(M13*($E13/365))</f>
        <v>28.571428571428569</v>
      </c>
      <c r="E140" s="18">
        <f t="shared" si="34"/>
        <v>99.999999999999986</v>
      </c>
      <c r="G140" s="1">
        <v>1962</v>
      </c>
      <c r="H140" s="409">
        <f>(O12/$R12*100*($E12/365))+(O13/$R13*100*($E13/365))</f>
        <v>42.987457240592931</v>
      </c>
      <c r="I140" s="409"/>
      <c r="J140" s="409">
        <f>(P12/$R12*100*($E12/365))+(P13/$R13*100*($E13/365))</f>
        <v>27.366020524515395</v>
      </c>
      <c r="K140" s="409"/>
      <c r="L140" s="409">
        <f>(Q12/$R12*100*($E12/365))+(Q13/$R13*100*($E13/365))</f>
        <v>29.646522234891677</v>
      </c>
      <c r="M140" s="409"/>
      <c r="N140" s="379">
        <f t="shared" si="33"/>
        <v>100</v>
      </c>
      <c r="O140" s="379"/>
      <c r="R140" s="1">
        <v>1962</v>
      </c>
      <c r="S140" s="5">
        <f>(O12*($E12/365))+(O13*($E13/365))</f>
        <v>37.700000000000003</v>
      </c>
      <c r="T140" s="5">
        <f>(P12*($E12/365))+(P13*($E13/365))</f>
        <v>24</v>
      </c>
      <c r="U140" s="5">
        <f>(Q12*($E12/365))+(Q13*($E13/365))</f>
        <v>26</v>
      </c>
      <c r="V140" s="5"/>
      <c r="W140" s="5">
        <f t="shared" si="35"/>
        <v>87.7</v>
      </c>
    </row>
    <row r="141" spans="1:53" x14ac:dyDescent="0.15">
      <c r="A141" s="1">
        <v>1963</v>
      </c>
      <c r="B141" s="5">
        <f>(K14*($E14/365))+(K15*($E15/365))</f>
        <v>42.857142857142854</v>
      </c>
      <c r="C141" s="5">
        <f>(L14*($E14/365))+(L15*($E15/365))</f>
        <v>28.571428571428569</v>
      </c>
      <c r="D141" s="5">
        <f>(M14*($E14/365))+(M15*($E15/365))</f>
        <v>28.571428571428569</v>
      </c>
      <c r="E141" s="18">
        <f t="shared" si="34"/>
        <v>99.999999999999986</v>
      </c>
      <c r="G141" s="1">
        <v>1963</v>
      </c>
      <c r="H141" s="409">
        <f>(O14/$R14*100*($E14/365))+(O15/$R15*100*($E15/365))</f>
        <v>42.930830706231994</v>
      </c>
      <c r="I141" s="409"/>
      <c r="J141" s="409">
        <f>(P14/$R14*100*($E14/365))+(P15/$R15*100*($E15/365))</f>
        <v>27.378085531202316</v>
      </c>
      <c r="K141" s="409"/>
      <c r="L141" s="409">
        <f>(Q14/$R14*100*($E14/365))+(Q15/$R15*100*($E15/365))</f>
        <v>29.691083762565697</v>
      </c>
      <c r="M141" s="409"/>
      <c r="N141" s="379">
        <f t="shared" si="33"/>
        <v>100.00000000000001</v>
      </c>
      <c r="O141" s="379"/>
      <c r="R141" s="1">
        <v>1963</v>
      </c>
      <c r="S141" s="5">
        <f>(O14*($E14/365))+(O15*($E15/365))</f>
        <v>37.634246575342466</v>
      </c>
      <c r="T141" s="5">
        <f>(P14*($E14/365))+(P15*($E15/365))</f>
        <v>24</v>
      </c>
      <c r="U141" s="5">
        <f>(Q14*($E14/365))+(Q15*($E15/365))</f>
        <v>26.027397260273975</v>
      </c>
      <c r="V141" s="5"/>
      <c r="W141" s="5">
        <f t="shared" si="35"/>
        <v>87.661643835616445</v>
      </c>
    </row>
    <row r="142" spans="1:53" x14ac:dyDescent="0.15">
      <c r="A142" s="1">
        <v>1964</v>
      </c>
      <c r="B142" s="5">
        <f>(K16*($E16/366))+(K17*($E17/366))</f>
        <v>42.857142857142854</v>
      </c>
      <c r="C142" s="5">
        <f>(L16*($E16/366))+(L17*($E17/366))</f>
        <v>28.571428571428569</v>
      </c>
      <c r="D142" s="5">
        <f>(M16*($E16/366))+(M17*($E17/366))</f>
        <v>28.571428571428569</v>
      </c>
      <c r="E142" s="18">
        <f t="shared" si="34"/>
        <v>99.999999999999986</v>
      </c>
      <c r="G142" s="1">
        <v>1964</v>
      </c>
      <c r="H142" s="409">
        <f>(O16/$R16*100*($E16/366))+(O17/$R17*100*($E17/366))</f>
        <v>41.954022988505749</v>
      </c>
      <c r="I142" s="409"/>
      <c r="J142" s="409">
        <f>(P16/$R16*100*($E16/366))+(P17/$R17*100*($E17/366))</f>
        <v>27.586206896551722</v>
      </c>
      <c r="K142" s="409"/>
      <c r="L142" s="409">
        <f>(Q16/$R16*100*($E16/366))+(Q17/$R17*100*($E17/366))</f>
        <v>30.459770114942529</v>
      </c>
      <c r="M142" s="409"/>
      <c r="N142" s="379">
        <f t="shared" si="33"/>
        <v>100</v>
      </c>
      <c r="O142" s="379"/>
      <c r="R142" s="1">
        <v>1964</v>
      </c>
      <c r="S142" s="5">
        <f>(O16*($E16/366))+(O17*($E17/366))</f>
        <v>36.5</v>
      </c>
      <c r="T142" s="5">
        <f>(P16*($E16/366))+(P17*($E17/366))</f>
        <v>24</v>
      </c>
      <c r="U142" s="5">
        <f>(Q16*($E16/366))+(Q17*($E17/366))</f>
        <v>26.5</v>
      </c>
      <c r="V142" s="5"/>
      <c r="W142" s="5">
        <f t="shared" si="35"/>
        <v>87</v>
      </c>
    </row>
    <row r="143" spans="1:53" x14ac:dyDescent="0.15">
      <c r="A143" s="1">
        <v>1965</v>
      </c>
      <c r="B143" s="5">
        <f>(K18*($E18/365))+(K19*($E19/365))</f>
        <v>42.857142857142854</v>
      </c>
      <c r="C143" s="5">
        <f>(L18*($E18/365))+(L19*($E19/365))</f>
        <v>28.571428571428569</v>
      </c>
      <c r="D143" s="5">
        <f>(M18*($E18/365))+(M19*($E19/365))</f>
        <v>28.571428571428569</v>
      </c>
      <c r="E143" s="18">
        <f t="shared" si="34"/>
        <v>99.999999999999986</v>
      </c>
      <c r="G143" s="1">
        <v>1965</v>
      </c>
      <c r="H143" s="409">
        <f>(O18/$R18*100*($E18/365))+(O19/$R19*100*($E19/365))</f>
        <v>41.954022988505749</v>
      </c>
      <c r="I143" s="409"/>
      <c r="J143" s="409">
        <f>(P18/$R18*100*($E18/365))+(P19/$R19*100*($E19/365))</f>
        <v>27.586206896551722</v>
      </c>
      <c r="K143" s="409"/>
      <c r="L143" s="409">
        <f>(Q18/$R18*100*($E18/365))+(Q19/$R19*100*($E19/365))</f>
        <v>30.459770114942529</v>
      </c>
      <c r="M143" s="409"/>
      <c r="N143" s="379">
        <f t="shared" si="33"/>
        <v>100</v>
      </c>
      <c r="O143" s="379"/>
      <c r="R143" s="1">
        <v>1965</v>
      </c>
      <c r="S143" s="5">
        <f>(O18*($E18/365))+(O19*($E19/365))</f>
        <v>36.5</v>
      </c>
      <c r="T143" s="5">
        <f>(P18*($E18/365))+(P19*($E19/365))</f>
        <v>24</v>
      </c>
      <c r="U143" s="5">
        <f>(Q18*($E18/365))+(Q19*($E19/365))</f>
        <v>26.5</v>
      </c>
      <c r="V143" s="5"/>
      <c r="W143" s="5">
        <f t="shared" si="35"/>
        <v>87</v>
      </c>
    </row>
    <row r="144" spans="1:53" x14ac:dyDescent="0.15">
      <c r="A144" s="1">
        <v>1966</v>
      </c>
      <c r="B144" s="5">
        <f>(K20*($E20/365))+(K21*($E21/365))</f>
        <v>42.857142857142854</v>
      </c>
      <c r="C144" s="5">
        <f>(L20*($E20/365))+(L21*($E21/365))</f>
        <v>28.571428571428569</v>
      </c>
      <c r="D144" s="5">
        <f>(M20*($E20/365))+(M21*($E21/365))</f>
        <v>28.571428571428569</v>
      </c>
      <c r="E144" s="18">
        <f t="shared" si="34"/>
        <v>99.999999999999986</v>
      </c>
      <c r="G144" s="1">
        <v>1966</v>
      </c>
      <c r="H144" s="409">
        <f>(O20/$R20*100*($E20/365))+(O21/$R21*100*($E21/365))</f>
        <v>41.954022988505749</v>
      </c>
      <c r="I144" s="409"/>
      <c r="J144" s="409">
        <f>(P20/$R20*100*($E20/365))+(P21/$R21*100*($E21/365))</f>
        <v>27.586206896551722</v>
      </c>
      <c r="K144" s="409"/>
      <c r="L144" s="409">
        <f>(Q20/$R20*100*($E20/365))+(Q21/$R21*100*($E21/365))</f>
        <v>30.459770114942529</v>
      </c>
      <c r="M144" s="409"/>
      <c r="N144" s="379">
        <f t="shared" si="33"/>
        <v>100</v>
      </c>
      <c r="O144" s="379"/>
      <c r="R144" s="1">
        <v>1966</v>
      </c>
      <c r="S144" s="5">
        <f>(O20*($E20/365))+(O21*($E21/365))</f>
        <v>36.5</v>
      </c>
      <c r="T144" s="5">
        <f>(P20*($E20/365))+(P21*($E21/365))</f>
        <v>24</v>
      </c>
      <c r="U144" s="5">
        <f>(Q20*($E20/365))+(Q21*($E21/365))</f>
        <v>26.5</v>
      </c>
      <c r="V144" s="5"/>
      <c r="W144" s="5">
        <f t="shared" si="35"/>
        <v>87</v>
      </c>
    </row>
    <row r="145" spans="1:23" x14ac:dyDescent="0.15">
      <c r="A145" s="1">
        <v>1967</v>
      </c>
      <c r="B145" s="5">
        <f>(K22*($E22/365))+(K23*($E23/365))</f>
        <v>42.857142857142854</v>
      </c>
      <c r="C145" s="5">
        <f>(L22*($E22/365))+(L23*($E23/365))</f>
        <v>28.571428571428569</v>
      </c>
      <c r="D145" s="5">
        <f>(M22*($E22/365))+(M23*($E23/365))</f>
        <v>28.571428571428569</v>
      </c>
      <c r="E145" s="18">
        <f t="shared" si="34"/>
        <v>99.999999999999986</v>
      </c>
      <c r="G145" s="1">
        <v>1967</v>
      </c>
      <c r="H145" s="409">
        <f>(O22/$R22*100*($E22/365))+(O23/$R23*100*($E23/365))</f>
        <v>41.955199162260762</v>
      </c>
      <c r="I145" s="409"/>
      <c r="J145" s="409">
        <f>(P22/$R22*100*($E22/365))+(P23/$R23*100*($E23/365))</f>
        <v>27.583588961419604</v>
      </c>
      <c r="K145" s="409"/>
      <c r="L145" s="409">
        <f>(Q22/$R22*100*($E22/365))+(Q23/$R23*100*($E23/365))</f>
        <v>30.461211876319638</v>
      </c>
      <c r="M145" s="409"/>
      <c r="N145" s="379">
        <f t="shared" si="33"/>
        <v>100</v>
      </c>
      <c r="O145" s="379"/>
      <c r="R145" s="1">
        <v>1967</v>
      </c>
      <c r="S145" s="5">
        <f>(O22*($E22/365))+(O23*($E23/365))</f>
        <v>36.491780821917814</v>
      </c>
      <c r="T145" s="5">
        <f>(P22*($E22/365))+(P23*($E23/365))</f>
        <v>23.991780821917811</v>
      </c>
      <c r="U145" s="5">
        <f>(Q22*($E22/365))+(Q23*($E23/365))</f>
        <v>26.494520547945204</v>
      </c>
      <c r="V145" s="5"/>
      <c r="W145" s="5">
        <f t="shared" si="35"/>
        <v>86.978082191780828</v>
      </c>
    </row>
    <row r="146" spans="1:23" x14ac:dyDescent="0.15">
      <c r="A146" s="1">
        <v>1968</v>
      </c>
      <c r="B146" s="5">
        <f>(K24*($E24/366))+(K25*($E25/366))</f>
        <v>42.857142857142854</v>
      </c>
      <c r="C146" s="5">
        <f>(L24*($E24/366))+(L25*($E25/366))</f>
        <v>28.571428571428569</v>
      </c>
      <c r="D146" s="5">
        <f>(M24*($E24/366))+(M25*($E25/366))</f>
        <v>28.571428571428569</v>
      </c>
      <c r="E146" s="18">
        <f t="shared" si="34"/>
        <v>99.999999999999986</v>
      </c>
      <c r="G146" s="1">
        <v>1968</v>
      </c>
      <c r="H146" s="409">
        <f>(O24/$R24*100*($E24/366))+(O25/$R25*100*($E25/366))</f>
        <v>42.168674698795186</v>
      </c>
      <c r="I146" s="409"/>
      <c r="J146" s="409">
        <f>(P24/$R24*100*($E24/366))+(P25/$R25*100*($E25/366))</f>
        <v>27.108433734939759</v>
      </c>
      <c r="K146" s="409"/>
      <c r="L146" s="409">
        <f>(Q24/$R24*100*($E24/366))+(Q25/$R25*100*($E25/366))</f>
        <v>30.722891566265059</v>
      </c>
      <c r="M146" s="409"/>
      <c r="N146" s="379">
        <f t="shared" si="33"/>
        <v>100.00000000000001</v>
      </c>
      <c r="O146" s="379"/>
      <c r="R146" s="1">
        <v>1968</v>
      </c>
      <c r="S146" s="5">
        <f>(O24*($E24/366))+(O25*($E25/366))</f>
        <v>35</v>
      </c>
      <c r="T146" s="5">
        <f>(P24*($E24/366))+(P25*($E25/366))</f>
        <v>22.5</v>
      </c>
      <c r="U146" s="5">
        <f>(Q24*($E24/366))+(Q25*($E25/366))</f>
        <v>25.5</v>
      </c>
      <c r="V146" s="5"/>
      <c r="W146" s="5">
        <f t="shared" si="35"/>
        <v>83</v>
      </c>
    </row>
    <row r="147" spans="1:23" x14ac:dyDescent="0.15">
      <c r="A147" s="1">
        <v>1969</v>
      </c>
      <c r="B147" s="5">
        <f>(K26*($E26/365))+(K27*($E27/365))</f>
        <v>42.857142857142854</v>
      </c>
      <c r="C147" s="5">
        <f>(L26*($E26/365))+(L27*($E27/365))</f>
        <v>28.571428571428569</v>
      </c>
      <c r="D147" s="5">
        <f>(M26*($E26/365))+(M27*($E27/365))</f>
        <v>28.571428571428569</v>
      </c>
      <c r="E147" s="18">
        <f t="shared" si="34"/>
        <v>99.999999999999986</v>
      </c>
      <c r="G147" s="1">
        <v>1969</v>
      </c>
      <c r="H147" s="409">
        <f>(O26/$R26*100*($E26/365))+(O27/$R27*100*($E27/365))</f>
        <v>42.168674698795186</v>
      </c>
      <c r="I147" s="409"/>
      <c r="J147" s="409">
        <f>(P26/$R26*100*($E26/365))+(P27/$R27*100*($E27/365))</f>
        <v>27.108433734939759</v>
      </c>
      <c r="K147" s="409"/>
      <c r="L147" s="409">
        <f>(Q26/$R26*100*($E26/365))+(Q27/$R27*100*($E27/365))</f>
        <v>30.722891566265059</v>
      </c>
      <c r="M147" s="409"/>
      <c r="N147" s="379">
        <f t="shared" si="33"/>
        <v>100.00000000000001</v>
      </c>
      <c r="O147" s="379"/>
      <c r="R147" s="1">
        <v>1969</v>
      </c>
      <c r="S147" s="5">
        <f>(O26*($E26/365))+(O27*($E27/365))</f>
        <v>35</v>
      </c>
      <c r="T147" s="5">
        <f>(P26*($E26/365))+(P27*($E27/365))</f>
        <v>22.5</v>
      </c>
      <c r="U147" s="5">
        <f>(Q26*($E26/365))+(Q27*($E27/365))</f>
        <v>25.5</v>
      </c>
      <c r="V147" s="5"/>
      <c r="W147" s="5">
        <f t="shared" si="35"/>
        <v>83</v>
      </c>
    </row>
    <row r="148" spans="1:23" x14ac:dyDescent="0.15">
      <c r="A148" s="1">
        <v>1970</v>
      </c>
      <c r="B148" s="5">
        <f>(K28*($E28/365))+(K29*($E29/365))</f>
        <v>42.857142857142854</v>
      </c>
      <c r="C148" s="5">
        <f>(L28*($E28/365))+(L29*($E29/365))</f>
        <v>28.571428571428569</v>
      </c>
      <c r="D148" s="5">
        <f>(M28*($E28/365))+(M29*($E29/365))</f>
        <v>28.571428571428569</v>
      </c>
      <c r="E148" s="18">
        <f t="shared" si="34"/>
        <v>99.999999999999986</v>
      </c>
      <c r="G148" s="1">
        <v>1970</v>
      </c>
      <c r="H148" s="409">
        <f>(O28/$R28*100*($E28/365))+(O29/$R29*100*($E29/365))</f>
        <v>42.168674698795186</v>
      </c>
      <c r="I148" s="409"/>
      <c r="J148" s="409">
        <f>(P28/$R28*100*($E28/365))+(P29/$R29*100*($E29/365))</f>
        <v>27.108433734939759</v>
      </c>
      <c r="K148" s="409"/>
      <c r="L148" s="409">
        <f>(Q28/$R28*100*($E28/365))+(Q29/$R29*100*($E29/365))</f>
        <v>30.722891566265059</v>
      </c>
      <c r="M148" s="409"/>
      <c r="N148" s="379">
        <f t="shared" si="33"/>
        <v>100.00000000000001</v>
      </c>
      <c r="O148" s="379"/>
      <c r="R148" s="1">
        <v>1970</v>
      </c>
      <c r="S148" s="5">
        <f>(O28*($E28/365))+(O29*($E29/365))</f>
        <v>35</v>
      </c>
      <c r="T148" s="5">
        <f>(P28*($E28/365))+(P29*($E29/365))</f>
        <v>22.5</v>
      </c>
      <c r="U148" s="5">
        <f>(Q28*($E28/365))+(Q29*($E29/365))</f>
        <v>25.5</v>
      </c>
      <c r="V148" s="5"/>
      <c r="W148" s="5">
        <f t="shared" si="35"/>
        <v>83</v>
      </c>
    </row>
    <row r="149" spans="1:23" x14ac:dyDescent="0.15">
      <c r="A149" s="1">
        <v>1971</v>
      </c>
      <c r="B149" s="5">
        <f>(K30*($E30/365))+(K31*($E31/365))</f>
        <v>42.857142857142854</v>
      </c>
      <c r="C149" s="5">
        <f>(L30*($E30/365))+(L31*($E31/365))</f>
        <v>28.571428571428569</v>
      </c>
      <c r="D149" s="5">
        <f>(M30*($E30/365))+(M31*($E31/365))</f>
        <v>28.571428571428569</v>
      </c>
      <c r="E149" s="18">
        <f t="shared" si="34"/>
        <v>99.999999999999986</v>
      </c>
      <c r="G149" s="1">
        <v>1971</v>
      </c>
      <c r="H149" s="409">
        <f>(O30/$R30*100*($E30/365))+(O31/$R31*100*($E31/365))</f>
        <v>42.318314353303634</v>
      </c>
      <c r="I149" s="409"/>
      <c r="J149" s="409">
        <f>(P30/$R30*100*($E30/365))+(P31/$R31*100*($E31/365))</f>
        <v>27.111856864291259</v>
      </c>
      <c r="K149" s="409"/>
      <c r="L149" s="409">
        <f>(Q30/$R30*100*($E30/365))+(Q31/$R31*100*($E31/365))</f>
        <v>30.569828782405114</v>
      </c>
      <c r="M149" s="409"/>
      <c r="N149" s="379">
        <f t="shared" si="33"/>
        <v>100</v>
      </c>
      <c r="O149" s="379"/>
      <c r="R149" s="1">
        <v>1971</v>
      </c>
      <c r="S149" s="5">
        <f>(O30*($E30/365))+(O31*($E31/365))</f>
        <v>35.065753424657537</v>
      </c>
      <c r="T149" s="5">
        <f>(P30*($E30/365))+(P31*($E31/365))</f>
        <v>22.467123287671232</v>
      </c>
      <c r="U149" s="5">
        <f>(Q30*($E30/365))+(Q31*($E31/365))</f>
        <v>25.335616438356166</v>
      </c>
      <c r="V149" s="5"/>
      <c r="W149" s="5">
        <f t="shared" si="35"/>
        <v>82.868493150684941</v>
      </c>
    </row>
    <row r="150" spans="1:23" x14ac:dyDescent="0.15">
      <c r="A150" s="1">
        <v>1972</v>
      </c>
      <c r="B150" s="5">
        <f>(K32*($E32/366))+(K33*($E33/366))</f>
        <v>42.857142857142854</v>
      </c>
      <c r="C150" s="5">
        <f>(L32*($E32/366))+(L33*($E33/366))</f>
        <v>28.571428571428569</v>
      </c>
      <c r="D150" s="5">
        <f>(M32*($E32/366))+(M33*($E33/366))</f>
        <v>28.571428571428569</v>
      </c>
      <c r="E150" s="18">
        <f t="shared" si="34"/>
        <v>99.999999999999986</v>
      </c>
      <c r="G150" s="1">
        <v>1972</v>
      </c>
      <c r="H150" s="409">
        <f>(O32/$R32*100*($E32/366))+(O33/$R33*100*($E33/366))</f>
        <v>44.444444444444443</v>
      </c>
      <c r="I150" s="409"/>
      <c r="J150" s="409">
        <f>(P32/$R32*100*($E32/366))+(P33/$R33*100*($E33/366))</f>
        <v>27.160493827160494</v>
      </c>
      <c r="K150" s="409"/>
      <c r="L150" s="409">
        <f>(Q32/$R32*100*($E32/366))+(Q33/$R33*100*($E33/366))</f>
        <v>28.39506172839506</v>
      </c>
      <c r="M150" s="409"/>
      <c r="N150" s="379">
        <f t="shared" si="33"/>
        <v>100</v>
      </c>
      <c r="O150" s="379"/>
      <c r="R150" s="1">
        <v>1972</v>
      </c>
      <c r="S150" s="5">
        <f>(O32*($E32/366))+(O33*($E33/366))</f>
        <v>36</v>
      </c>
      <c r="T150" s="5">
        <f>(P32*($E32/366))+(P33*($E33/366))</f>
        <v>22</v>
      </c>
      <c r="U150" s="5">
        <f>(Q32*($E32/366))+(Q33*($E33/366))</f>
        <v>23</v>
      </c>
      <c r="V150" s="5"/>
      <c r="W150" s="5">
        <f t="shared" si="35"/>
        <v>81</v>
      </c>
    </row>
    <row r="151" spans="1:23" x14ac:dyDescent="0.15">
      <c r="A151" s="1">
        <v>1973</v>
      </c>
      <c r="B151" s="5">
        <f>(K34*($E34/365))+(K35*($E35/365))</f>
        <v>42.857142857142854</v>
      </c>
      <c r="C151" s="5">
        <f>(L34*($E34/365))+(L35*($E35/365))</f>
        <v>28.571428571428569</v>
      </c>
      <c r="D151" s="5">
        <f>(M34*($E34/365))+(M35*($E35/365))</f>
        <v>28.571428571428569</v>
      </c>
      <c r="E151" s="18">
        <f t="shared" si="34"/>
        <v>99.999999999999986</v>
      </c>
      <c r="G151" s="1">
        <v>1973</v>
      </c>
      <c r="H151" s="409">
        <f>(O34/$R34*100*($E34/365))+(O35/$R35*100*($E35/365))</f>
        <v>44.444444444444443</v>
      </c>
      <c r="I151" s="409"/>
      <c r="J151" s="409">
        <f>(P34/$R34*100*($E34/365))+(P35/$R35*100*($E35/365))</f>
        <v>27.160493827160494</v>
      </c>
      <c r="K151" s="409"/>
      <c r="L151" s="409">
        <f>(Q34/$R34*100*($E34/365))+(Q35/$R35*100*($E35/365))</f>
        <v>28.39506172839506</v>
      </c>
      <c r="M151" s="409"/>
      <c r="N151" s="379">
        <f t="shared" si="33"/>
        <v>100</v>
      </c>
      <c r="O151" s="379"/>
      <c r="R151" s="1">
        <v>1973</v>
      </c>
      <c r="S151" s="5">
        <f>(O34*($E34/365))+(O35*($E35/365))</f>
        <v>36</v>
      </c>
      <c r="T151" s="5">
        <f>(P34*($E34/365))+(P35*($E35/365))</f>
        <v>22</v>
      </c>
      <c r="U151" s="5">
        <f>(Q34*($E34/365))+(Q35*($E35/365))</f>
        <v>23</v>
      </c>
      <c r="V151" s="5"/>
      <c r="W151" s="5">
        <f t="shared" si="35"/>
        <v>81</v>
      </c>
    </row>
    <row r="152" spans="1:23" x14ac:dyDescent="0.15">
      <c r="A152" s="1">
        <v>1974</v>
      </c>
      <c r="B152" s="5">
        <f>(K36*($E36/365))+(K37*($E37/365))</f>
        <v>42.857142857142854</v>
      </c>
      <c r="C152" s="5">
        <f>(L36*($E36/365))+(L37*($E37/365))</f>
        <v>28.571428571428569</v>
      </c>
      <c r="D152" s="5">
        <f>(M36*($E36/365))+(M37*($E37/365))</f>
        <v>28.571428571428569</v>
      </c>
      <c r="E152" s="18">
        <f t="shared" si="34"/>
        <v>99.999999999999986</v>
      </c>
      <c r="G152" s="1">
        <v>1974</v>
      </c>
      <c r="H152" s="409">
        <f>(O36/$R36*100*($E36/365))+(O37/$R37*100*($E37/365))</f>
        <v>44.444444444444443</v>
      </c>
      <c r="I152" s="409"/>
      <c r="J152" s="409">
        <f>(P36/$R36*100*($E36/365))+(P37/$R37*100*($E37/365))</f>
        <v>27.160493827160494</v>
      </c>
      <c r="K152" s="409"/>
      <c r="L152" s="409">
        <f>(Q36/$R36*100*($E36/365))+(Q37/$R37*100*($E37/365))</f>
        <v>28.39506172839506</v>
      </c>
      <c r="M152" s="409"/>
      <c r="N152" s="379">
        <f t="shared" si="33"/>
        <v>100</v>
      </c>
      <c r="O152" s="379"/>
      <c r="R152" s="1">
        <v>1974</v>
      </c>
      <c r="S152" s="5">
        <f>(O36*($E36/365))+(O37*($E37/365))</f>
        <v>36</v>
      </c>
      <c r="T152" s="5">
        <f>(P36*($E36/365))+(P37*($E37/365))</f>
        <v>22</v>
      </c>
      <c r="U152" s="5">
        <f>(Q36*($E36/365))+(Q37*($E37/365))</f>
        <v>23</v>
      </c>
      <c r="V152" s="5"/>
      <c r="W152" s="5">
        <f t="shared" si="35"/>
        <v>81</v>
      </c>
    </row>
    <row r="153" spans="1:23" x14ac:dyDescent="0.15">
      <c r="A153" s="1">
        <v>1975</v>
      </c>
      <c r="B153" s="5">
        <f>(K38*($E38/365))+(K39*($E39/365))</f>
        <v>42.857142857142854</v>
      </c>
      <c r="C153" s="5">
        <f>(L38*($E38/365))+(L39*($E39/365))</f>
        <v>28.571428571428569</v>
      </c>
      <c r="D153" s="5">
        <f>(M38*($E38/365))+(M39*($E39/365))</f>
        <v>28.571428571428569</v>
      </c>
      <c r="E153" s="18">
        <f t="shared" si="34"/>
        <v>99.999999999999986</v>
      </c>
      <c r="G153" s="1">
        <v>1975</v>
      </c>
      <c r="H153" s="409">
        <f>(O38/$R38*100*($E38/365))+(O39/$R39*100*($E39/365))</f>
        <v>44.190826150784005</v>
      </c>
      <c r="I153" s="409"/>
      <c r="J153" s="409">
        <f>(P38/$R38*100*($E38/365))+(P39/$R39*100*($E39/365))</f>
        <v>27.164016303461331</v>
      </c>
      <c r="K153" s="409"/>
      <c r="L153" s="409">
        <f>(Q38/$R38*100*($E38/365))+(Q39/$R39*100*($E39/365))</f>
        <v>28.645157545754664</v>
      </c>
      <c r="M153" s="409"/>
      <c r="N153" s="379">
        <f t="shared" si="33"/>
        <v>100</v>
      </c>
      <c r="O153" s="379"/>
      <c r="R153" s="1">
        <v>1975</v>
      </c>
      <c r="S153" s="5">
        <f>(O38*($E38/365))+(O39*($E39/365))</f>
        <v>35.87945205479452</v>
      </c>
      <c r="T153" s="5">
        <f>(P38*($E38/365))+(P39*($E39/365))</f>
        <v>22.06027397260274</v>
      </c>
      <c r="U153" s="5">
        <f>(Q38*($E38/365))+(Q39*($E39/365))</f>
        <v>23.271232876712329</v>
      </c>
      <c r="V153" s="5"/>
      <c r="W153" s="5">
        <f t="shared" si="35"/>
        <v>81.210958904109589</v>
      </c>
    </row>
    <row r="154" spans="1:23" x14ac:dyDescent="0.15">
      <c r="A154" s="1">
        <v>1976</v>
      </c>
      <c r="B154" s="5">
        <f>(K40*($E40/366))+(K41*($E41/366))</f>
        <v>42.857142857142854</v>
      </c>
      <c r="C154" s="5">
        <f>(L40*($E40/366))+(L41*($E41/366))</f>
        <v>28.571428571428569</v>
      </c>
      <c r="D154" s="5">
        <f>(M40*($E40/366))+(M41*($E41/366))</f>
        <v>28.571428571428569</v>
      </c>
      <c r="E154" s="18">
        <f t="shared" si="34"/>
        <v>99.999999999999986</v>
      </c>
      <c r="G154" s="1">
        <v>1976</v>
      </c>
      <c r="H154" s="409">
        <f>(O40/$R40*100*($E40/366))+(O41/$R41*100*($E41/366))</f>
        <v>40.236686390532547</v>
      </c>
      <c r="I154" s="409"/>
      <c r="J154" s="409">
        <f>(P40/$R40*100*($E40/366))+(P41/$R41*100*($E41/366))</f>
        <v>27.218934911242602</v>
      </c>
      <c r="K154" s="409"/>
      <c r="L154" s="409">
        <f>(Q40/$R40*100*($E40/366))+(Q41/$R41*100*($E41/366))</f>
        <v>32.544378698224854</v>
      </c>
      <c r="M154" s="409"/>
      <c r="N154" s="379">
        <f t="shared" si="33"/>
        <v>100</v>
      </c>
      <c r="O154" s="379"/>
      <c r="R154" s="1">
        <v>1976</v>
      </c>
      <c r="S154" s="5">
        <f>(O40*($E40/366))+(O41*($E41/366))</f>
        <v>34</v>
      </c>
      <c r="T154" s="5">
        <f>(P40*($E40/366))+(P41*($E41/366))</f>
        <v>23</v>
      </c>
      <c r="U154" s="5">
        <f>(Q40*($E40/366))+(Q41*($E41/366))</f>
        <v>27.5</v>
      </c>
      <c r="V154" s="5"/>
      <c r="W154" s="5">
        <f t="shared" si="35"/>
        <v>84.5</v>
      </c>
    </row>
    <row r="155" spans="1:23" x14ac:dyDescent="0.15">
      <c r="A155" s="1">
        <v>1977</v>
      </c>
      <c r="B155" s="5">
        <f>(K42*($E42/365))+(K43*($E43/365))</f>
        <v>42.857142857142854</v>
      </c>
      <c r="C155" s="5">
        <f>(L42*($E42/365))+(L43*($E43/365))</f>
        <v>28.571428571428569</v>
      </c>
      <c r="D155" s="5">
        <f>(M42*($E42/365))+(M43*($E43/365))</f>
        <v>28.571428571428569</v>
      </c>
      <c r="E155" s="18">
        <f t="shared" si="34"/>
        <v>99.999999999999986</v>
      </c>
      <c r="G155" s="1">
        <v>1977</v>
      </c>
      <c r="H155" s="409">
        <f>(O42/$R42*100*($E42/365))+(O43/$R43*100*($E43/365))</f>
        <v>40.236686390532547</v>
      </c>
      <c r="I155" s="409"/>
      <c r="J155" s="409">
        <f>(P42/$R42*100*($E42/365))+(P43/$R43*100*($E43/365))</f>
        <v>27.218934911242602</v>
      </c>
      <c r="K155" s="409"/>
      <c r="L155" s="409">
        <f>(Q42/$R42*100*($E42/365))+(Q43/$R43*100*($E43/365))</f>
        <v>32.544378698224854</v>
      </c>
      <c r="M155" s="409"/>
      <c r="N155" s="379">
        <f t="shared" si="33"/>
        <v>100</v>
      </c>
      <c r="O155" s="379"/>
      <c r="R155" s="1">
        <v>1977</v>
      </c>
      <c r="S155" s="5">
        <f>(O42*($E42/365))+(O43*($E43/365))</f>
        <v>34</v>
      </c>
      <c r="T155" s="5">
        <f>(P42*($E42/365))+(P43*($E43/365))</f>
        <v>23</v>
      </c>
      <c r="U155" s="5">
        <f>(Q42*($E42/365))+(Q43*($E43/365))</f>
        <v>27.5</v>
      </c>
      <c r="V155" s="5"/>
      <c r="W155" s="5">
        <f t="shared" si="35"/>
        <v>84.5</v>
      </c>
    </row>
    <row r="156" spans="1:23" x14ac:dyDescent="0.15">
      <c r="A156" s="1">
        <v>1978</v>
      </c>
      <c r="B156" s="5">
        <f>(K44*($E44/365))+(K45*($E45/365))</f>
        <v>42.857142857142854</v>
      </c>
      <c r="C156" s="5">
        <f>(L44*($E44/365))+(L45*($E45/365))</f>
        <v>28.571428571428569</v>
      </c>
      <c r="D156" s="5">
        <f>(M44*($E44/365))+(M45*($E45/365))</f>
        <v>28.571428571428569</v>
      </c>
      <c r="E156" s="18">
        <f t="shared" si="34"/>
        <v>99.999999999999986</v>
      </c>
      <c r="G156" s="1">
        <v>1978</v>
      </c>
      <c r="H156" s="409">
        <f>(O44/$R44*100*($E44/365))+(O45/$R45*100*($E45/365))</f>
        <v>40.236686390532547</v>
      </c>
      <c r="I156" s="409"/>
      <c r="J156" s="409">
        <f>(P44/$R44*100*($E44/365))+(P45/$R45*100*($E45/365))</f>
        <v>27.218934911242602</v>
      </c>
      <c r="K156" s="409"/>
      <c r="L156" s="409">
        <f>(Q44/$R44*100*($E44/365))+(Q45/$R45*100*($E45/365))</f>
        <v>32.544378698224854</v>
      </c>
      <c r="M156" s="409"/>
      <c r="N156" s="379">
        <f t="shared" si="33"/>
        <v>100</v>
      </c>
      <c r="O156" s="379"/>
      <c r="R156" s="1">
        <v>1978</v>
      </c>
      <c r="S156" s="5">
        <f>(O44*($E44/365))+(O45*($E45/365))</f>
        <v>34</v>
      </c>
      <c r="T156" s="5">
        <f>(P44*($E44/365))+(P45*($E45/365))</f>
        <v>23</v>
      </c>
      <c r="U156" s="5">
        <f>(Q44*($E44/365))+(Q45*($E45/365))</f>
        <v>27.5</v>
      </c>
      <c r="V156" s="5"/>
      <c r="W156" s="5">
        <f t="shared" si="35"/>
        <v>84.5</v>
      </c>
    </row>
    <row r="157" spans="1:23" x14ac:dyDescent="0.15">
      <c r="A157" s="1">
        <v>1979</v>
      </c>
      <c r="B157" s="5">
        <f>(K46*($E46/365))+(K47*($E47/365))</f>
        <v>42.857142857142847</v>
      </c>
      <c r="C157" s="5">
        <f>(L46*($E46/365))+(L47*($E47/365))</f>
        <v>28.571428571428566</v>
      </c>
      <c r="D157" s="5">
        <f>(M46*($E46/365))+(M47*($E47/365))</f>
        <v>28.571428571428566</v>
      </c>
      <c r="E157" s="18">
        <f t="shared" si="34"/>
        <v>99.999999999999986</v>
      </c>
      <c r="G157" s="1">
        <v>1979</v>
      </c>
      <c r="H157" s="409">
        <f>(O46/$R46*100*($E46/365))+(O47/$R47*100*($E47/365))</f>
        <v>40.285320580368001</v>
      </c>
      <c r="I157" s="409"/>
      <c r="J157" s="409">
        <f>(P46/$R46*100*($E46/365))+(P47/$R47*100*($E47/365))</f>
        <v>27.202723514630783</v>
      </c>
      <c r="K157" s="409"/>
      <c r="L157" s="409">
        <f>(Q46/$R46*100*($E46/365))+(Q47/$R47*100*($E47/365))</f>
        <v>32.511955905001216</v>
      </c>
      <c r="M157" s="409"/>
      <c r="N157" s="379">
        <f t="shared" si="33"/>
        <v>100</v>
      </c>
      <c r="O157" s="379"/>
      <c r="R157" s="1">
        <v>1979</v>
      </c>
      <c r="S157" s="5">
        <f>(O46*($E46/365))+(O47*($E47/365))</f>
        <v>34.041095890410958</v>
      </c>
      <c r="T157" s="5">
        <f>(P46*($E46/365))+(P47*($E47/365))</f>
        <v>22.986301369863011</v>
      </c>
      <c r="U157" s="5">
        <f>(Q46*($E46/365))+(Q47*($E47/365))</f>
        <v>27.472602739726028</v>
      </c>
      <c r="V157" s="5"/>
      <c r="W157" s="5">
        <f t="shared" si="35"/>
        <v>84.5</v>
      </c>
    </row>
    <row r="158" spans="1:23" x14ac:dyDescent="0.15">
      <c r="A158" s="1">
        <v>1980</v>
      </c>
      <c r="B158" s="5">
        <f>(K48*($E48/366))+(K49*($E49/366))</f>
        <v>42.857142857142854</v>
      </c>
      <c r="C158" s="5">
        <f>(L48*($E48/366))+(L49*($E49/366))</f>
        <v>28.571428571428569</v>
      </c>
      <c r="D158" s="5">
        <f>(M48*($E48/366))+(M49*($E49/366))</f>
        <v>28.571428571428569</v>
      </c>
      <c r="E158" s="18">
        <f t="shared" si="34"/>
        <v>99.999999999999986</v>
      </c>
      <c r="G158" s="1">
        <v>1980</v>
      </c>
      <c r="H158" s="409">
        <f>(O48/$R48*100*($E48/366))+(O49/$R49*100*($E49/366))</f>
        <v>43.786982248520715</v>
      </c>
      <c r="I158" s="409"/>
      <c r="J158" s="409">
        <f>(P48/$R48*100*($E48/366))+(P49/$R49*100*($E49/366))</f>
        <v>26.035502958579883</v>
      </c>
      <c r="K158" s="409"/>
      <c r="L158" s="409">
        <f>(Q48/$R48*100*($E48/366))+(Q49/$R49*100*($E49/366))</f>
        <v>30.177514792899409</v>
      </c>
      <c r="M158" s="409"/>
      <c r="N158" s="379">
        <f t="shared" si="33"/>
        <v>100</v>
      </c>
      <c r="O158" s="379"/>
      <c r="R158" s="1">
        <v>1980</v>
      </c>
      <c r="S158" s="5">
        <f>(O48*($E48/366))+(O49*($E49/366))</f>
        <v>37</v>
      </c>
      <c r="T158" s="5">
        <f>(P48*($E48/366))+(P49*($E49/366))</f>
        <v>22</v>
      </c>
      <c r="U158" s="5">
        <f>(Q48*($E48/366))+(Q49*($E49/366))</f>
        <v>25.5</v>
      </c>
      <c r="V158" s="5"/>
      <c r="W158" s="5">
        <f t="shared" si="35"/>
        <v>84.5</v>
      </c>
    </row>
    <row r="159" spans="1:23" x14ac:dyDescent="0.15">
      <c r="A159" s="1">
        <v>1981</v>
      </c>
      <c r="B159" s="5">
        <f>(K50*($E50/365))+(K51*($E51/365))</f>
        <v>42.857142857142854</v>
      </c>
      <c r="C159" s="5">
        <f>(L50*($E50/365))+(L51*($E51/365))</f>
        <v>28.571428571428569</v>
      </c>
      <c r="D159" s="5">
        <f>(M50*($E50/365))+(M51*($E51/365))</f>
        <v>28.571428571428569</v>
      </c>
      <c r="E159" s="18">
        <f t="shared" si="34"/>
        <v>99.999999999999986</v>
      </c>
      <c r="G159" s="1">
        <v>1981</v>
      </c>
      <c r="H159" s="409">
        <f>(O50/$R50*100*($E50/365))+(O51/$R51*100*($E51/365))</f>
        <v>43.786982248520715</v>
      </c>
      <c r="I159" s="409"/>
      <c r="J159" s="409">
        <f>(P50/$R50*100*($E50/365))+(P51/$R51*100*($E51/365))</f>
        <v>26.035502958579883</v>
      </c>
      <c r="K159" s="409"/>
      <c r="L159" s="409">
        <f>(Q50/$R50*100*($E50/365))+(Q51/$R51*100*($E51/365))</f>
        <v>30.177514792899409</v>
      </c>
      <c r="M159" s="409"/>
      <c r="N159" s="379">
        <f t="shared" si="33"/>
        <v>100</v>
      </c>
      <c r="O159" s="379"/>
      <c r="R159" s="1">
        <v>1981</v>
      </c>
      <c r="S159" s="5">
        <f>(O50*($E50/365))+(O51*($E51/365))</f>
        <v>37</v>
      </c>
      <c r="T159" s="5">
        <f>(P50*($E50/365))+(P51*($E51/365))</f>
        <v>22</v>
      </c>
      <c r="U159" s="5">
        <f>(Q50*($E50/365))+(Q51*($E51/365))</f>
        <v>25.5</v>
      </c>
      <c r="V159" s="5"/>
      <c r="W159" s="5">
        <f t="shared" si="35"/>
        <v>84.5</v>
      </c>
    </row>
    <row r="160" spans="1:23" x14ac:dyDescent="0.15">
      <c r="A160" s="1">
        <v>1982</v>
      </c>
      <c r="B160" s="5">
        <f>(K52*($E52/365))+(K53*($E53/365))</f>
        <v>42.857142857142854</v>
      </c>
      <c r="C160" s="5">
        <f>(L52*($E52/365))+(L53*($E53/365))</f>
        <v>28.571428571428569</v>
      </c>
      <c r="D160" s="5">
        <f>(M52*($E52/365))+(M53*($E53/365))</f>
        <v>28.571428571428569</v>
      </c>
      <c r="E160" s="18">
        <f t="shared" si="34"/>
        <v>99.999999999999986</v>
      </c>
      <c r="G160" s="1">
        <v>1982</v>
      </c>
      <c r="H160" s="409">
        <f>(O52/$R52*100*($E52/365))+(O53/$R53*100*($E53/365))</f>
        <v>43.786982248520715</v>
      </c>
      <c r="I160" s="409"/>
      <c r="J160" s="409">
        <f>(P52/$R52*100*($E52/365))+(P53/$R53*100*($E53/365))</f>
        <v>26.035502958579883</v>
      </c>
      <c r="K160" s="409"/>
      <c r="L160" s="409">
        <f>(Q52/$R52*100*($E52/365))+(Q53/$R53*100*($E53/365))</f>
        <v>30.177514792899409</v>
      </c>
      <c r="M160" s="409"/>
      <c r="N160" s="379">
        <f t="shared" si="33"/>
        <v>100</v>
      </c>
      <c r="O160" s="379"/>
      <c r="R160" s="1">
        <v>1982</v>
      </c>
      <c r="S160" s="5">
        <f>(O52*($E52/365))+(O53*($E53/365))</f>
        <v>37</v>
      </c>
      <c r="T160" s="5">
        <f>(P52*($E52/365))+(P53*($E53/365))</f>
        <v>22</v>
      </c>
      <c r="U160" s="5">
        <f>(Q52*($E52/365))+(Q53*($E53/365))</f>
        <v>25.5</v>
      </c>
      <c r="V160" s="5"/>
      <c r="W160" s="5">
        <f t="shared" si="35"/>
        <v>84.5</v>
      </c>
    </row>
    <row r="161" spans="1:23" x14ac:dyDescent="0.15">
      <c r="A161" s="1">
        <v>1983</v>
      </c>
      <c r="B161" s="5">
        <f>(K54*($E54/365))+(K55*($E55/365))</f>
        <v>42.857142857142854</v>
      </c>
      <c r="C161" s="5">
        <f>(L54*($E54/365))+(L55*($E55/365))</f>
        <v>28.571428571428569</v>
      </c>
      <c r="D161" s="5">
        <f>(M54*($E54/365))+(M55*($E55/365))</f>
        <v>28.571428571428569</v>
      </c>
      <c r="E161" s="18">
        <f t="shared" si="34"/>
        <v>99.999999999999986</v>
      </c>
      <c r="G161" s="1">
        <v>1983</v>
      </c>
      <c r="H161" s="409">
        <f>(O54/$R54*100*($E54/365))+(O55/$R55*100*($E55/365))</f>
        <v>43.879533697731681</v>
      </c>
      <c r="I161" s="409"/>
      <c r="J161" s="409">
        <f>(P54/$R54*100*($E54/365))+(P55/$R55*100*($E55/365))</f>
        <v>26.009349874166361</v>
      </c>
      <c r="K161" s="409"/>
      <c r="L161" s="409">
        <f>(Q54/$R54*100*($E54/365))+(Q55/$R55*100*($E55/365))</f>
        <v>30.111116428101969</v>
      </c>
      <c r="M161" s="409"/>
      <c r="N161" s="379">
        <f t="shared" si="33"/>
        <v>100.00000000000001</v>
      </c>
      <c r="O161" s="379"/>
      <c r="R161" s="1">
        <v>1983</v>
      </c>
      <c r="S161" s="5">
        <f>(O54*($E54/365))+(O55*($E55/365))</f>
        <v>37.053424657534244</v>
      </c>
      <c r="T161" s="5">
        <f>(P54*($E54/365))+(P55*($E55/365))</f>
        <v>21.964383561643839</v>
      </c>
      <c r="U161" s="5">
        <f>(Q54*($E54/365))+(Q55*($E55/365))</f>
        <v>25.42876712328767</v>
      </c>
      <c r="V161" s="5"/>
      <c r="W161" s="5">
        <f t="shared" si="35"/>
        <v>84.446575342465749</v>
      </c>
    </row>
    <row r="162" spans="1:23" x14ac:dyDescent="0.15">
      <c r="A162" s="1">
        <v>1984</v>
      </c>
      <c r="B162" s="5">
        <f>(K56*($E56/366))+(K57*($E57/366))</f>
        <v>42.857142857142854</v>
      </c>
      <c r="C162" s="5">
        <f>(L56*($E56/366))+(L57*($E57/366))</f>
        <v>28.571428571428569</v>
      </c>
      <c r="D162" s="5">
        <f>(M56*($E56/366))+(M57*($E57/366))</f>
        <v>28.571428571428569</v>
      </c>
      <c r="E162" s="18">
        <f t="shared" si="34"/>
        <v>99.999999999999986</v>
      </c>
      <c r="G162" s="1">
        <v>1984</v>
      </c>
      <c r="H162" s="409">
        <f>(O56/$R56*100*($E56/366))+(O57/$R57*100*($E57/366))</f>
        <v>46.385542168674696</v>
      </c>
      <c r="I162" s="409"/>
      <c r="J162" s="409">
        <f>(P56/$R56*100*($E56/366))+(P57/$R57*100*($E57/366))</f>
        <v>25.301204819277107</v>
      </c>
      <c r="K162" s="409"/>
      <c r="L162" s="409">
        <f>(Q56/$R56*100*($E56/366))+(Q57/$R57*100*($E57/366))</f>
        <v>28.313253012048197</v>
      </c>
      <c r="M162" s="409"/>
      <c r="N162" s="379">
        <f t="shared" si="33"/>
        <v>100</v>
      </c>
      <c r="O162" s="379"/>
      <c r="R162" s="1">
        <v>1984</v>
      </c>
      <c r="S162" s="5">
        <f>(O56*($E56/366))+(O57*($E57/366))</f>
        <v>38.5</v>
      </c>
      <c r="T162" s="5">
        <f>(P56*($E56/366))+(P57*($E57/366))</f>
        <v>21</v>
      </c>
      <c r="U162" s="5">
        <f>(Q56*($E56/366))+(Q57*($E57/366))</f>
        <v>23.5</v>
      </c>
      <c r="V162" s="5"/>
      <c r="W162" s="5">
        <f t="shared" si="35"/>
        <v>83</v>
      </c>
    </row>
    <row r="163" spans="1:23" x14ac:dyDescent="0.15">
      <c r="A163" s="1">
        <v>1985</v>
      </c>
      <c r="B163" s="5">
        <f>(K58*($E58/365))+(K59*($E59/365))</f>
        <v>42.857142857142854</v>
      </c>
      <c r="C163" s="5">
        <f>(L58*($E58/365))+(L59*($E59/365))</f>
        <v>28.571428571428569</v>
      </c>
      <c r="D163" s="5">
        <f>(M58*($E58/365))+(M59*($E59/365))</f>
        <v>28.571428571428569</v>
      </c>
      <c r="E163" s="18">
        <f t="shared" si="34"/>
        <v>99.999999999999986</v>
      </c>
      <c r="G163" s="1">
        <v>1985</v>
      </c>
      <c r="H163" s="409">
        <f>(O58/$R58*100*($E58/365))+(O59/$R59*100*($E59/365))</f>
        <v>46.385542168674696</v>
      </c>
      <c r="I163" s="409"/>
      <c r="J163" s="409">
        <f>(P58/$R58*100*($E58/365))+(P59/$R59*100*($E59/365))</f>
        <v>25.301204819277107</v>
      </c>
      <c r="K163" s="409"/>
      <c r="L163" s="409">
        <f>(Q58/$R58*100*($E58/365))+(Q59/$R59*100*($E59/365))</f>
        <v>28.313253012048197</v>
      </c>
      <c r="M163" s="409"/>
      <c r="N163" s="379">
        <f t="shared" si="33"/>
        <v>100</v>
      </c>
      <c r="O163" s="379"/>
      <c r="R163" s="1">
        <v>1985</v>
      </c>
      <c r="S163" s="5">
        <f>(O58*($E58/365))+(O59*($E59/365))</f>
        <v>38.5</v>
      </c>
      <c r="T163" s="5">
        <f>(P58*($E58/365))+(P59*($E59/365))</f>
        <v>21</v>
      </c>
      <c r="U163" s="5">
        <f>(Q58*($E58/365))+(Q59*($E59/365))</f>
        <v>23.5</v>
      </c>
      <c r="V163" s="5"/>
      <c r="W163" s="5">
        <f t="shared" si="35"/>
        <v>83</v>
      </c>
    </row>
    <row r="164" spans="1:23" x14ac:dyDescent="0.15">
      <c r="A164" s="1">
        <v>1986</v>
      </c>
      <c r="B164" s="5">
        <f>(K60*($E60/365))+(K61*($E61/365))</f>
        <v>42.857142857142854</v>
      </c>
      <c r="C164" s="5">
        <f>(L60*($E60/365))+(L61*($E61/365))</f>
        <v>28.571428571428569</v>
      </c>
      <c r="D164" s="5">
        <f>(M60*($E60/365))+(M61*($E61/365))</f>
        <v>28.571428571428569</v>
      </c>
      <c r="E164" s="18">
        <f t="shared" si="34"/>
        <v>99.999999999999986</v>
      </c>
      <c r="G164" s="1">
        <v>1986</v>
      </c>
      <c r="H164" s="409">
        <f>(O60/$R60*100*($E60/365))+(O61/$R61*100*($E61/365))</f>
        <v>46.385542168674696</v>
      </c>
      <c r="I164" s="409"/>
      <c r="J164" s="409">
        <f>(P60/$R60*100*($E60/365))+(P61/$R61*100*($E61/365))</f>
        <v>25.301204819277107</v>
      </c>
      <c r="K164" s="409"/>
      <c r="L164" s="409">
        <f>(Q60/$R60*100*($E60/365))+(Q61/$R61*100*($E61/365))</f>
        <v>28.313253012048197</v>
      </c>
      <c r="M164" s="409"/>
      <c r="N164" s="379">
        <f t="shared" si="33"/>
        <v>100</v>
      </c>
      <c r="O164" s="379"/>
      <c r="R164" s="1">
        <v>1986</v>
      </c>
      <c r="S164" s="5">
        <f>(O60*($E60/365))+(O61*($E61/365))</f>
        <v>38.5</v>
      </c>
      <c r="T164" s="5">
        <f>(P60*($E60/365))+(P61*($E61/365))</f>
        <v>21</v>
      </c>
      <c r="U164" s="5">
        <f>(Q60*($E60/365))+(Q61*($E61/365))</f>
        <v>23.5</v>
      </c>
      <c r="V164" s="5"/>
      <c r="W164" s="5">
        <f t="shared" si="35"/>
        <v>83</v>
      </c>
    </row>
    <row r="165" spans="1:23" x14ac:dyDescent="0.15">
      <c r="A165" s="1">
        <v>1987</v>
      </c>
      <c r="B165" s="5">
        <f>(K62*($E62/365))+(K63*($E63/365))</f>
        <v>42.857142857142854</v>
      </c>
      <c r="C165" s="5">
        <f>(L62*($E62/365))+(L63*($E63/365))</f>
        <v>28.571428571428569</v>
      </c>
      <c r="D165" s="5">
        <f>(M62*($E62/365))+(M63*($E63/365))</f>
        <v>28.571428571428569</v>
      </c>
      <c r="E165" s="18">
        <f t="shared" si="34"/>
        <v>99.999999999999986</v>
      </c>
      <c r="G165" s="1">
        <v>1987</v>
      </c>
      <c r="H165" s="409">
        <f>(O62/$R62*100*($E62/365))+(O63/$R63*100*($E63/365))</f>
        <v>46.474593125668868</v>
      </c>
      <c r="I165" s="409"/>
      <c r="J165" s="409">
        <f>(P62/$R62*100*($E62/365))+(P63/$R63*100*($E63/365))</f>
        <v>25.371395117819432</v>
      </c>
      <c r="K165" s="409"/>
      <c r="L165" s="409">
        <f>(Q62/$R62*100*($E62/365))+(Q63/$R63*100*($E63/365))</f>
        <v>28.154011756511707</v>
      </c>
      <c r="M165" s="409"/>
      <c r="N165" s="379">
        <f t="shared" si="33"/>
        <v>100.00000000000001</v>
      </c>
      <c r="O165" s="379"/>
      <c r="R165" s="1">
        <v>1987</v>
      </c>
      <c r="S165" s="5">
        <f>(O62*($E62/365))+(O63*($E63/365))</f>
        <v>38.468493150684935</v>
      </c>
      <c r="T165" s="5">
        <f>(P62*($E62/365))+(P63*($E63/365))</f>
        <v>21</v>
      </c>
      <c r="U165" s="5">
        <f>(Q62*($E62/365))+(Q63*($E63/365))</f>
        <v>23.31095890410959</v>
      </c>
      <c r="V165" s="5"/>
      <c r="W165" s="5">
        <f t="shared" si="35"/>
        <v>82.779452054794518</v>
      </c>
    </row>
    <row r="166" spans="1:23" x14ac:dyDescent="0.15">
      <c r="A166" s="1">
        <v>1988</v>
      </c>
      <c r="B166" s="5">
        <f>(K64*($E64/366))+(K65*($E65/366))</f>
        <v>42.857142857142854</v>
      </c>
      <c r="C166" s="5">
        <f>(L64*($E64/366))+(L65*($E65/366))</f>
        <v>28.571428571428569</v>
      </c>
      <c r="D166" s="5">
        <f>(M64*($E64/366))+(M65*($E65/366))</f>
        <v>28.571428571428569</v>
      </c>
      <c r="E166" s="18">
        <f t="shared" si="34"/>
        <v>99.999999999999986</v>
      </c>
      <c r="G166" s="1">
        <v>1988</v>
      </c>
      <c r="H166" s="409">
        <f>(O64/$R64*100*($E64/366))+(O65/$R65*100*($E65/366))</f>
        <v>47.79874213836478</v>
      </c>
      <c r="I166" s="409"/>
      <c r="J166" s="409">
        <f>(P64/$R64*100*($E64/366))+(P65/$R65*100*($E65/366))</f>
        <v>26.415094339622641</v>
      </c>
      <c r="K166" s="409"/>
      <c r="L166" s="409">
        <f>(Q64/$R64*100*($E64/366))+(Q65/$R65*100*($E65/366))</f>
        <v>25.786163522012579</v>
      </c>
      <c r="M166" s="409"/>
      <c r="N166" s="379">
        <f t="shared" si="33"/>
        <v>100</v>
      </c>
      <c r="O166" s="379"/>
      <c r="R166" s="1">
        <v>1988</v>
      </c>
      <c r="S166" s="5">
        <f>(O64*($E64/366))+(O65*($E65/366))</f>
        <v>38</v>
      </c>
      <c r="T166" s="5">
        <f>(P64*($E64/366))+(P65*($E65/366))</f>
        <v>21</v>
      </c>
      <c r="U166" s="5">
        <f>(Q64*($E64/366))+(Q65*($E65/366))</f>
        <v>20.5</v>
      </c>
      <c r="V166" s="5"/>
      <c r="W166" s="5">
        <f t="shared" si="35"/>
        <v>79.5</v>
      </c>
    </row>
    <row r="167" spans="1:23" x14ac:dyDescent="0.15">
      <c r="A167" s="1">
        <v>1989</v>
      </c>
      <c r="B167" s="5">
        <f>(K66*($E66/365))+(K67*($E67/365))</f>
        <v>42.857142857142854</v>
      </c>
      <c r="C167" s="5">
        <f>(L66*($E66/365))+(L67*($E67/365))</f>
        <v>28.571428571428569</v>
      </c>
      <c r="D167" s="5">
        <f>(M66*($E66/365))+(M67*($E67/365))</f>
        <v>28.571428571428569</v>
      </c>
      <c r="E167" s="18">
        <f t="shared" si="34"/>
        <v>99.999999999999986</v>
      </c>
      <c r="G167" s="1">
        <v>1989</v>
      </c>
      <c r="H167" s="409">
        <f>(O66/$R66*100*($E66/365))+(O67/$R67*100*($E67/365))</f>
        <v>47.79874213836478</v>
      </c>
      <c r="I167" s="409"/>
      <c r="J167" s="409">
        <f>(P66/$R66*100*($E66/365))+(P67/$R67*100*($E67/365))</f>
        <v>26.415094339622641</v>
      </c>
      <c r="K167" s="409"/>
      <c r="L167" s="409">
        <f>(Q66/$R66*100*($E66/365))+(Q67/$R67*100*($E67/365))</f>
        <v>25.786163522012579</v>
      </c>
      <c r="M167" s="409"/>
      <c r="N167" s="379">
        <f t="shared" si="33"/>
        <v>100</v>
      </c>
      <c r="O167" s="379"/>
      <c r="R167" s="1">
        <v>1989</v>
      </c>
      <c r="S167" s="5">
        <f>(O66*($E66/365))+(O67*($E67/365))</f>
        <v>38</v>
      </c>
      <c r="T167" s="5">
        <f>(P66*($E66/365))+(P67*($E67/365))</f>
        <v>21</v>
      </c>
      <c r="U167" s="5">
        <f>(Q66*($E66/365))+(Q67*($E67/365))</f>
        <v>20.5</v>
      </c>
      <c r="V167" s="5"/>
      <c r="W167" s="5">
        <f t="shared" si="35"/>
        <v>79.5</v>
      </c>
    </row>
    <row r="168" spans="1:23" x14ac:dyDescent="0.15">
      <c r="A168" s="1">
        <v>1990</v>
      </c>
      <c r="B168" s="5">
        <f>(K68*($E68/365))+(K69*($E69/365))</f>
        <v>42.857142857142854</v>
      </c>
      <c r="C168" s="5">
        <f>(L68*($E68/365))+(L69*($E69/365))</f>
        <v>28.571428571428569</v>
      </c>
      <c r="D168" s="5">
        <f>(M68*($E68/365))+(M69*($E69/365))</f>
        <v>28.571428571428569</v>
      </c>
      <c r="E168" s="18">
        <f t="shared" si="34"/>
        <v>99.999999999999986</v>
      </c>
      <c r="G168" s="1">
        <v>1990</v>
      </c>
      <c r="H168" s="409">
        <f>(O68/$R68*100*($E68/365))+(O69/$R69*100*($E69/365))</f>
        <v>47.79874213836478</v>
      </c>
      <c r="I168" s="409"/>
      <c r="J168" s="409">
        <f>(P68/$R68*100*($E68/365))+(P69/$R69*100*($E69/365))</f>
        <v>26.415094339622641</v>
      </c>
      <c r="K168" s="409"/>
      <c r="L168" s="409">
        <f>(Q68/$R68*100*($E68/365))+(Q69/$R69*100*($E69/365))</f>
        <v>25.786163522012579</v>
      </c>
      <c r="M168" s="409"/>
      <c r="N168" s="379">
        <f t="shared" si="33"/>
        <v>100</v>
      </c>
      <c r="O168" s="379"/>
      <c r="R168" s="1">
        <v>1990</v>
      </c>
      <c r="S168" s="5">
        <f>(O68*($E68/365))+(O69*($E69/365))</f>
        <v>38</v>
      </c>
      <c r="T168" s="5">
        <f>(P68*($E68/365))+(P69*($E69/365))</f>
        <v>21</v>
      </c>
      <c r="U168" s="5">
        <f>(Q68*($E68/365))+(Q69*($E69/365))</f>
        <v>20.5</v>
      </c>
      <c r="V168" s="5"/>
      <c r="W168" s="5">
        <f t="shared" si="35"/>
        <v>79.5</v>
      </c>
    </row>
    <row r="169" spans="1:23" x14ac:dyDescent="0.15">
      <c r="A169" s="1">
        <v>1991</v>
      </c>
      <c r="B169" s="5">
        <f>(K70*($E70/365))+(K71*($E71/365))</f>
        <v>42.857142857142854</v>
      </c>
      <c r="C169" s="5">
        <f>(L70*($E70/365))+(L71*($E71/365))</f>
        <v>28.571428571428569</v>
      </c>
      <c r="D169" s="5">
        <f>(M70*($E70/365))+(M71*($E71/365))</f>
        <v>28.571428571428569</v>
      </c>
      <c r="E169" s="18">
        <f t="shared" si="34"/>
        <v>99.999999999999986</v>
      </c>
      <c r="G169" s="1">
        <v>1991</v>
      </c>
      <c r="H169" s="409">
        <f>(O70/$R70*100*($E70/365))+(O71/$R71*100*($E71/365))</f>
        <v>47.757434991402214</v>
      </c>
      <c r="I169" s="409"/>
      <c r="J169" s="409">
        <f>(P70/$R70*100*($E70/365))+(P71/$R71*100*($E71/365))</f>
        <v>26.28026781193682</v>
      </c>
      <c r="K169" s="409"/>
      <c r="L169" s="409">
        <f>(Q70/$R70*100*($E70/365))+(Q71/$R71*100*($E71/365))</f>
        <v>25.962297196660966</v>
      </c>
      <c r="M169" s="409"/>
      <c r="N169" s="379">
        <f t="shared" si="33"/>
        <v>100</v>
      </c>
      <c r="O169" s="379"/>
      <c r="R169" s="1">
        <v>1991</v>
      </c>
      <c r="S169" s="5">
        <f>(O70*($E70/365))+(O71*($E71/365))</f>
        <v>37.731506849315068</v>
      </c>
      <c r="T169" s="5">
        <f>(P70*($E70/365))+(P71*($E71/365))</f>
        <v>20.769863013698629</v>
      </c>
      <c r="U169" s="5">
        <f>(Q70*($E70/365))+(Q71*($E71/365))</f>
        <v>20.5</v>
      </c>
      <c r="V169" s="5"/>
      <c r="W169" s="5">
        <f t="shared" si="35"/>
        <v>79.001369863013693</v>
      </c>
    </row>
    <row r="170" spans="1:23" x14ac:dyDescent="0.15">
      <c r="A170" s="1">
        <v>1992</v>
      </c>
      <c r="B170" s="5">
        <f>(K72*($E72/366))+(K73*($E73/366))</f>
        <v>42.857142857142854</v>
      </c>
      <c r="C170" s="5">
        <f>(L72*($E72/366))+(L73*($E73/366))</f>
        <v>28.571428571428569</v>
      </c>
      <c r="D170" s="5">
        <f>(M72*($E72/366))+(M73*($E73/366))</f>
        <v>28.571428571428569</v>
      </c>
      <c r="E170" s="18">
        <f t="shared" si="34"/>
        <v>99.999999999999986</v>
      </c>
      <c r="G170" s="1">
        <v>1992</v>
      </c>
      <c r="H170" s="409">
        <f>(O72/$R72*100*($E72/366))+(O73/$R73*100*($E73/366))</f>
        <v>47.260273972602739</v>
      </c>
      <c r="I170" s="409"/>
      <c r="J170" s="409">
        <f>(P72/$R72*100*($E72/366))+(P73/$R73*100*($E73/366))</f>
        <v>24.657534246575342</v>
      </c>
      <c r="K170" s="409"/>
      <c r="L170" s="409">
        <f>(Q72/$R72*100*($E72/366))+(Q73/$R73*100*($E73/366))</f>
        <v>28.082191780821919</v>
      </c>
      <c r="M170" s="409"/>
      <c r="N170" s="379">
        <f t="shared" ref="N170:N190" si="36">H170+J170+L170</f>
        <v>100</v>
      </c>
      <c r="O170" s="379"/>
      <c r="R170" s="1">
        <v>1992</v>
      </c>
      <c r="S170" s="5">
        <f>(O72*($E72/366))+(O73*($E73/366))</f>
        <v>34.5</v>
      </c>
      <c r="T170" s="5">
        <f>(P72*($E72/366))+(P73*($E73/366))</f>
        <v>18</v>
      </c>
      <c r="U170" s="5">
        <f>(Q72*($E72/366))+(Q73*($E73/366))</f>
        <v>20.5</v>
      </c>
      <c r="V170" s="5"/>
      <c r="W170" s="5">
        <f t="shared" si="35"/>
        <v>73</v>
      </c>
    </row>
    <row r="171" spans="1:23" x14ac:dyDescent="0.15">
      <c r="A171" s="1">
        <v>1993</v>
      </c>
      <c r="B171" s="5">
        <f>(K74*($E74/365))+(K75*($E75/365))</f>
        <v>42.857142857142854</v>
      </c>
      <c r="C171" s="5">
        <f>(L74*($E74/365))+(L75*($E75/365))</f>
        <v>28.571428571428569</v>
      </c>
      <c r="D171" s="5">
        <f>(M74*($E74/365))+(M75*($E75/365))</f>
        <v>28.571428571428569</v>
      </c>
      <c r="E171" s="18">
        <f t="shared" si="34"/>
        <v>99.999999999999986</v>
      </c>
      <c r="G171" s="1">
        <v>1993</v>
      </c>
      <c r="H171" s="409">
        <f>(O74/$R74*100*($E74/365))+(O75/$R75*100*($E75/365))</f>
        <v>47.260273972602739</v>
      </c>
      <c r="I171" s="409"/>
      <c r="J171" s="409">
        <f>(P74/$R74*100*($E74/365))+(P75/$R75*100*($E75/365))</f>
        <v>24.657534246575342</v>
      </c>
      <c r="K171" s="409"/>
      <c r="L171" s="409">
        <f>(Q74/$R74*100*($E74/365))+(Q75/$R75*100*($E75/365))</f>
        <v>28.082191780821919</v>
      </c>
      <c r="M171" s="409"/>
      <c r="N171" s="379">
        <f t="shared" si="36"/>
        <v>100</v>
      </c>
      <c r="O171" s="379"/>
      <c r="R171" s="1">
        <v>1993</v>
      </c>
      <c r="S171" s="5">
        <f>(O74*($E74/365))+(O75*($E75/365))</f>
        <v>34.5</v>
      </c>
      <c r="T171" s="5">
        <f>(P74*($E74/365))+(P75*($E75/365))</f>
        <v>18</v>
      </c>
      <c r="U171" s="5">
        <f>(Q74*($E74/365))+(Q75*($E75/365))</f>
        <v>20.5</v>
      </c>
      <c r="V171" s="5"/>
      <c r="W171" s="5">
        <f t="shared" si="35"/>
        <v>73</v>
      </c>
    </row>
    <row r="172" spans="1:23" x14ac:dyDescent="0.15">
      <c r="A172" s="1">
        <v>1994</v>
      </c>
      <c r="B172" s="5">
        <f>(K76*($E76/365))+(K77*($E77/365))</f>
        <v>42.857142857142854</v>
      </c>
      <c r="C172" s="5">
        <f>(L76*($E76/365))+(L77*($E77/365))</f>
        <v>28.571428571428569</v>
      </c>
      <c r="D172" s="5">
        <f>(M76*($E76/365))+(M77*($E77/365))</f>
        <v>28.571428571428569</v>
      </c>
      <c r="E172" s="18">
        <f t="shared" si="34"/>
        <v>99.999999999999986</v>
      </c>
      <c r="G172" s="1">
        <v>1994</v>
      </c>
      <c r="H172" s="409">
        <f>(O76/$R76*100*($E76/365))+(O77/$R77*100*($E77/365))</f>
        <v>47.260273972602739</v>
      </c>
      <c r="I172" s="409"/>
      <c r="J172" s="409">
        <f>(P76/$R76*100*($E76/365))+(P77/$R77*100*($E77/365))</f>
        <v>24.657534246575342</v>
      </c>
      <c r="K172" s="409"/>
      <c r="L172" s="409">
        <f>(Q76/$R76*100*($E76/365))+(Q77/$R77*100*($E77/365))</f>
        <v>28.082191780821919</v>
      </c>
      <c r="M172" s="409"/>
      <c r="N172" s="379">
        <f t="shared" si="36"/>
        <v>100</v>
      </c>
      <c r="O172" s="379"/>
      <c r="R172" s="1">
        <v>1994</v>
      </c>
      <c r="S172" s="5">
        <f>(O76*($E76/365))+(O77*($E77/365))</f>
        <v>34.5</v>
      </c>
      <c r="T172" s="5">
        <f>(P76*($E76/365))+(P77*($E77/365))</f>
        <v>18</v>
      </c>
      <c r="U172" s="5">
        <f>(Q76*($E76/365))+(Q77*($E77/365))</f>
        <v>20.5</v>
      </c>
      <c r="V172" s="5"/>
      <c r="W172" s="5">
        <f t="shared" si="35"/>
        <v>73</v>
      </c>
    </row>
    <row r="173" spans="1:23" x14ac:dyDescent="0.15">
      <c r="A173" s="1">
        <v>1995</v>
      </c>
      <c r="B173" s="5">
        <f>(K78*($E78/365))+(K79*($E79/365))</f>
        <v>42.857142857142854</v>
      </c>
      <c r="C173" s="5">
        <f>(L78*($E78/365))+(L79*($E79/365))</f>
        <v>28.571428571428569</v>
      </c>
      <c r="D173" s="5">
        <f>(M78*($E78/365))+(M79*($E79/365))</f>
        <v>28.571428571428569</v>
      </c>
      <c r="E173" s="18">
        <f t="shared" si="34"/>
        <v>99.999999999999986</v>
      </c>
      <c r="G173" s="1">
        <v>1995</v>
      </c>
      <c r="H173" s="409">
        <f>(O78/$R78*100*($E78/365))+(O79/$R79*100*($E79/365))</f>
        <v>47.177961723529997</v>
      </c>
      <c r="I173" s="409"/>
      <c r="J173" s="409">
        <f>(P78/$R78*100*($E78/365))+(P79/$R79*100*($E79/365))</f>
        <v>24.466499401133792</v>
      </c>
      <c r="K173" s="409"/>
      <c r="L173" s="409">
        <f>(Q78/$R78*100*($E78/365))+(Q79/$R79*100*($E79/365))</f>
        <v>28.355538875336212</v>
      </c>
      <c r="M173" s="409"/>
      <c r="N173" s="379">
        <f t="shared" si="36"/>
        <v>100</v>
      </c>
      <c r="O173" s="379"/>
      <c r="R173" s="1">
        <v>1995</v>
      </c>
      <c r="S173" s="5">
        <f>(O78*($E78/365))+(O79*($E79/365))</f>
        <v>34.630136986301366</v>
      </c>
      <c r="T173" s="5">
        <f>(P78*($E78/365))+(P79*($E79/365))</f>
        <v>17.947945205479453</v>
      </c>
      <c r="U173" s="5">
        <f>(Q78*($E78/365))+(Q79*($E79/365))</f>
        <v>20.838356164383562</v>
      </c>
      <c r="V173" s="5"/>
      <c r="W173" s="5">
        <f t="shared" si="35"/>
        <v>73.416438356164377</v>
      </c>
    </row>
    <row r="174" spans="1:23" x14ac:dyDescent="0.15">
      <c r="A174" s="1">
        <v>1996</v>
      </c>
      <c r="B174" s="5">
        <f>(K80*($E80/366))+(K81*($E81/366))</f>
        <v>42.857142857142854</v>
      </c>
      <c r="C174" s="5">
        <f>(L80*($E80/366))+(L81*($E81/366))</f>
        <v>28.571428571428569</v>
      </c>
      <c r="D174" s="5">
        <f>(M80*($E80/366))+(M81*($E81/366))</f>
        <v>28.571428571428569</v>
      </c>
      <c r="E174" s="18">
        <f t="shared" si="34"/>
        <v>99.999999999999986</v>
      </c>
      <c r="G174" s="1">
        <v>1996</v>
      </c>
      <c r="H174" s="409">
        <f>(O80/$R80*100*($E80/366))+(O81/$R81*100*($E81/366))</f>
        <v>45.679012345679013</v>
      </c>
      <c r="I174" s="409"/>
      <c r="J174" s="409">
        <f>(P80/$R80*100*($E80/366))+(P81/$R81*100*($E81/366))</f>
        <v>20.987654320987652</v>
      </c>
      <c r="K174" s="409"/>
      <c r="L174" s="409">
        <f>(Q80/$R80*100*($E80/366))+(Q81/$R81*100*($E81/366))</f>
        <v>33.333333333333329</v>
      </c>
      <c r="M174" s="409"/>
      <c r="N174" s="379">
        <f t="shared" si="36"/>
        <v>99.999999999999986</v>
      </c>
      <c r="O174" s="379"/>
      <c r="R174" s="1">
        <v>1996</v>
      </c>
      <c r="S174" s="5">
        <f>(O80*($E80/366))+(O81*($E81/366))</f>
        <v>37</v>
      </c>
      <c r="T174" s="5">
        <f>(P80*($E80/366))+(P81*($E81/366))</f>
        <v>17</v>
      </c>
      <c r="U174" s="5">
        <f>(Q80*($E80/366))+(Q81*($E81/366))</f>
        <v>27</v>
      </c>
      <c r="V174" s="5"/>
      <c r="W174" s="5">
        <f t="shared" si="35"/>
        <v>81</v>
      </c>
    </row>
    <row r="175" spans="1:23" x14ac:dyDescent="0.15">
      <c r="A175" s="1">
        <v>1997</v>
      </c>
      <c r="B175" s="5">
        <f>(K82*($E82/365))+(K83*($E83/365))</f>
        <v>42.857142857142854</v>
      </c>
      <c r="C175" s="5">
        <f>(L82*($E82/365))+(L83*($E83/365))</f>
        <v>28.571428571428569</v>
      </c>
      <c r="D175" s="5">
        <f>(M82*($E82/365))+(M83*($E83/365))</f>
        <v>28.571428571428569</v>
      </c>
      <c r="E175" s="18">
        <f t="shared" si="34"/>
        <v>99.999999999999986</v>
      </c>
      <c r="G175" s="1">
        <v>1997</v>
      </c>
      <c r="H175" s="409">
        <f>(O82/$R82*100*($E82/365))+(O83/$R83*100*($E83/365))</f>
        <v>45.679012345679013</v>
      </c>
      <c r="I175" s="409"/>
      <c r="J175" s="409">
        <f>(P82/$R82*100*($E82/365))+(P83/$R83*100*($E83/365))</f>
        <v>20.987654320987652</v>
      </c>
      <c r="K175" s="409"/>
      <c r="L175" s="409">
        <f>(Q82/$R82*100*($E82/365))+(Q83/$R83*100*($E83/365))</f>
        <v>33.333333333333329</v>
      </c>
      <c r="M175" s="409"/>
      <c r="N175" s="379">
        <f t="shared" si="36"/>
        <v>99.999999999999986</v>
      </c>
      <c r="O175" s="379"/>
      <c r="R175" s="1">
        <v>1997</v>
      </c>
      <c r="S175" s="5">
        <f>(O82*($E82/365))+(O83*($E83/365))</f>
        <v>37</v>
      </c>
      <c r="T175" s="5">
        <f>(P82*($E82/365))+(P83*($E83/365))</f>
        <v>17</v>
      </c>
      <c r="U175" s="5">
        <f>(Q82*($E82/365))+(Q83*($E83/365))</f>
        <v>27</v>
      </c>
      <c r="V175" s="5"/>
      <c r="W175" s="5">
        <f t="shared" si="35"/>
        <v>81</v>
      </c>
    </row>
    <row r="176" spans="1:23" x14ac:dyDescent="0.15">
      <c r="A176" s="1">
        <v>1998</v>
      </c>
      <c r="B176" s="5">
        <f>(K84*($E84/365))+(K85*($E85/365))</f>
        <v>42.857142857142854</v>
      </c>
      <c r="C176" s="5">
        <f>(L84*($E84/365))+(L85*($E85/365))</f>
        <v>28.571428571428569</v>
      </c>
      <c r="D176" s="5">
        <f>(M84*($E84/365))+(M85*($E85/365))</f>
        <v>28.571428571428569</v>
      </c>
      <c r="E176" s="18">
        <f t="shared" si="34"/>
        <v>99.999999999999986</v>
      </c>
      <c r="G176" s="1">
        <v>1998</v>
      </c>
      <c r="H176" s="409">
        <f>(O84/$R84*100*($E84/365))+(O85/$R85*100*($E85/365))</f>
        <v>45.679012345679013</v>
      </c>
      <c r="I176" s="409"/>
      <c r="J176" s="409">
        <f>(P84/$R84*100*($E84/365))+(P85/$R85*100*($E85/365))</f>
        <v>20.987654320987652</v>
      </c>
      <c r="K176" s="409"/>
      <c r="L176" s="409">
        <f>(Q84/$R84*100*($E84/365))+(Q85/$R85*100*($E85/365))</f>
        <v>33.333333333333329</v>
      </c>
      <c r="M176" s="409"/>
      <c r="N176" s="379">
        <f t="shared" si="36"/>
        <v>99.999999999999986</v>
      </c>
      <c r="O176" s="379"/>
      <c r="R176" s="1">
        <v>1998</v>
      </c>
      <c r="S176" s="5">
        <f>(O84*($E84/365))+(O85*($E85/365))</f>
        <v>37</v>
      </c>
      <c r="T176" s="5">
        <f>(P84*($E84/365))+(P85*($E85/365))</f>
        <v>17</v>
      </c>
      <c r="U176" s="5">
        <f>(Q84*($E84/365))+(Q85*($E85/365))</f>
        <v>27</v>
      </c>
      <c r="V176" s="5"/>
      <c r="W176" s="5">
        <f t="shared" si="35"/>
        <v>81</v>
      </c>
    </row>
    <row r="177" spans="1:23" x14ac:dyDescent="0.15">
      <c r="A177" s="1">
        <v>1999</v>
      </c>
      <c r="B177" s="5">
        <f>(K86*($E86/365))+(K87*($E87/365))</f>
        <v>42.857142857142854</v>
      </c>
      <c r="C177" s="5">
        <f>(L86*($E86/365))+(L87*($E87/365))</f>
        <v>28.571428571428569</v>
      </c>
      <c r="D177" s="5">
        <f>(M86*($E86/365))+(M87*($E87/365))</f>
        <v>28.571428571428569</v>
      </c>
      <c r="E177" s="18">
        <f t="shared" si="34"/>
        <v>99.999999999999986</v>
      </c>
      <c r="G177" s="1">
        <v>1999</v>
      </c>
      <c r="H177" s="409">
        <f>(O86/$R86*100*($E86/365))+(O87/$R87*100*($E87/365))</f>
        <v>45.893724907106801</v>
      </c>
      <c r="I177" s="409"/>
      <c r="J177" s="409">
        <f>(P86/$R86*100*($E86/365))+(P87/$R87*100*($E87/365))</f>
        <v>20.952422848059872</v>
      </c>
      <c r="K177" s="409"/>
      <c r="L177" s="409">
        <f>(Q86/$R86*100*($E86/365))+(Q87/$R87*100*($E87/365))</f>
        <v>33.153852244833317</v>
      </c>
      <c r="M177" s="409"/>
      <c r="N177" s="379">
        <f t="shared" si="36"/>
        <v>99.999999999999986</v>
      </c>
      <c r="O177" s="379"/>
      <c r="R177" s="1">
        <v>1999</v>
      </c>
      <c r="S177" s="5">
        <f>(O86*($E86/365))+(O87*($E87/365))</f>
        <v>37.302739726027397</v>
      </c>
      <c r="T177" s="5">
        <f>(P86*($E86/365))+(P87*($E87/365))</f>
        <v>17.023287671232879</v>
      </c>
      <c r="U177" s="5">
        <f>(Q86*($E86/365))+(Q87*($E87/365))</f>
        <v>26.93013698630137</v>
      </c>
      <c r="V177" s="5"/>
      <c r="W177" s="5">
        <f t="shared" si="35"/>
        <v>81.256164383561639</v>
      </c>
    </row>
    <row r="178" spans="1:23" x14ac:dyDescent="0.15">
      <c r="A178" s="1">
        <v>2000</v>
      </c>
      <c r="B178" s="5">
        <f>(K88*($E88/366))+(K89*($E89/366))</f>
        <v>42.857142857142854</v>
      </c>
      <c r="C178" s="5">
        <f>(L88*($E88/366))+(L89*($E89/366))</f>
        <v>28.571428571428569</v>
      </c>
      <c r="D178" s="5">
        <f>(M88*($E88/366))+(M89*($E89/366))</f>
        <v>28.571428571428569</v>
      </c>
      <c r="E178" s="18">
        <f t="shared" si="34"/>
        <v>99.999999999999986</v>
      </c>
      <c r="G178" s="1">
        <v>2000</v>
      </c>
      <c r="H178" s="409">
        <f>(O88/$R88*100*($E88/366))+(O89/$R89*100*($E89/366))</f>
        <v>50.289017341040463</v>
      </c>
      <c r="I178" s="409"/>
      <c r="J178" s="409">
        <f>(P88/$R88*100*($E88/366))+(P89/$R89*100*($E89/366))</f>
        <v>20.23121387283237</v>
      </c>
      <c r="K178" s="409"/>
      <c r="L178" s="409">
        <f>(Q88/$R88*100*($E88/366))+(Q89/$R89*100*($E89/366))</f>
        <v>29.47976878612717</v>
      </c>
      <c r="M178" s="409"/>
      <c r="N178" s="379">
        <f t="shared" si="36"/>
        <v>100</v>
      </c>
      <c r="O178" s="379"/>
      <c r="R178" s="1">
        <v>2000</v>
      </c>
      <c r="S178" s="5">
        <f>(O88*($E88/366))+(O89*($E89/366))</f>
        <v>43.5</v>
      </c>
      <c r="T178" s="5">
        <f>(P88*($E88/366))+(P89*($E89/366))</f>
        <v>17.5</v>
      </c>
      <c r="U178" s="5">
        <f>(Q88*($E88/366))+(Q89*($E89/366))</f>
        <v>25.5</v>
      </c>
      <c r="V178" s="5"/>
      <c r="W178" s="5">
        <f t="shared" si="35"/>
        <v>86.5</v>
      </c>
    </row>
    <row r="179" spans="1:23" x14ac:dyDescent="0.15">
      <c r="A179" s="1">
        <v>2001</v>
      </c>
      <c r="B179" s="5">
        <f>(K90*($E90/365))+(K91*($E91/365))</f>
        <v>42.857142857142854</v>
      </c>
      <c r="C179" s="5">
        <f>(L90*($E90/365))+(L91*($E91/365))</f>
        <v>28.571428571428569</v>
      </c>
      <c r="D179" s="5">
        <f>(M90*($E90/365))+(M91*($E91/365))</f>
        <v>28.571428571428569</v>
      </c>
      <c r="E179" s="18">
        <f t="shared" si="34"/>
        <v>99.999999999999986</v>
      </c>
      <c r="G179" s="1">
        <v>2001</v>
      </c>
      <c r="H179" s="409">
        <f>(O90/$R90*100*($E90/365))+(O91/$R91*100*($E91/365))</f>
        <v>50.289017341040463</v>
      </c>
      <c r="I179" s="409"/>
      <c r="J179" s="409">
        <f>(P90/$R90*100*($E90/365))+(P91/$R91*100*($E91/365))</f>
        <v>20.23121387283237</v>
      </c>
      <c r="K179" s="409"/>
      <c r="L179" s="409">
        <f>(Q90/$R90*100*($E90/365))+(Q91/$R91*100*($E91/365))</f>
        <v>29.47976878612717</v>
      </c>
      <c r="M179" s="409"/>
      <c r="N179" s="379">
        <f t="shared" si="36"/>
        <v>100</v>
      </c>
      <c r="O179" s="379"/>
      <c r="R179" s="1">
        <v>2001</v>
      </c>
      <c r="S179" s="5">
        <f>(O90*($E90/365))+(O91*($E91/365))</f>
        <v>43.5</v>
      </c>
      <c r="T179" s="5">
        <f>(P90*($E90/365))+(P91*($E91/365))</f>
        <v>17.5</v>
      </c>
      <c r="U179" s="5">
        <f>(Q90*($E90/365))+(Q91*($E91/365))</f>
        <v>25.5</v>
      </c>
      <c r="V179" s="5"/>
      <c r="W179" s="5">
        <f t="shared" si="35"/>
        <v>86.5</v>
      </c>
    </row>
    <row r="180" spans="1:23" x14ac:dyDescent="0.15">
      <c r="A180" s="1">
        <v>2002</v>
      </c>
      <c r="B180" s="5">
        <f>(K92*($E92/365))+(K93*($E93/365))</f>
        <v>42.857142857142854</v>
      </c>
      <c r="C180" s="5">
        <f>(L92*($E92/365))+(L93*($E93/365))</f>
        <v>28.571428571428569</v>
      </c>
      <c r="D180" s="5">
        <f>(M92*($E92/365))+(M93*($E93/365))</f>
        <v>28.571428571428569</v>
      </c>
      <c r="E180" s="18">
        <f t="shared" si="34"/>
        <v>99.999999999999986</v>
      </c>
      <c r="G180" s="1">
        <v>2002</v>
      </c>
      <c r="H180" s="409">
        <f>(O92/$R92*100*($E92/365))+(O93/$R93*100*($E93/365))</f>
        <v>50.289017341040463</v>
      </c>
      <c r="I180" s="409"/>
      <c r="J180" s="409">
        <f>(P92/$R92*100*($E92/365))+(P93/$R93*100*($E93/365))</f>
        <v>20.23121387283237</v>
      </c>
      <c r="K180" s="409"/>
      <c r="L180" s="409">
        <f>(Q92/$R92*100*($E92/365))+(Q93/$R93*100*($E93/365))</f>
        <v>29.47976878612717</v>
      </c>
      <c r="M180" s="409"/>
      <c r="N180" s="379">
        <f t="shared" si="36"/>
        <v>100</v>
      </c>
      <c r="O180" s="379"/>
      <c r="R180" s="1">
        <v>2002</v>
      </c>
      <c r="S180" s="5">
        <f>(O92*($E92/365))+(O93*($E93/365))</f>
        <v>43.5</v>
      </c>
      <c r="T180" s="5">
        <f>(P92*($E92/365))+(P93*($E93/365))</f>
        <v>17.5</v>
      </c>
      <c r="U180" s="5">
        <f>(Q92*($E92/365))+(Q93*($E93/365))</f>
        <v>25.5</v>
      </c>
      <c r="V180" s="5"/>
      <c r="W180" s="5">
        <f t="shared" si="35"/>
        <v>86.5</v>
      </c>
    </row>
    <row r="181" spans="1:23" x14ac:dyDescent="0.15">
      <c r="A181" s="1">
        <v>2003</v>
      </c>
      <c r="B181" s="5">
        <f>(K94*($E94/365))+(K95*($E95/365))</f>
        <v>42.857142857142854</v>
      </c>
      <c r="C181" s="5">
        <f>(L94*($E94/365))+(L95*($E95/365))</f>
        <v>28.571428571428569</v>
      </c>
      <c r="D181" s="5">
        <f>(M94*($E94/365))+(M95*($E95/365))</f>
        <v>28.571428571428569</v>
      </c>
      <c r="E181" s="18">
        <f t="shared" si="34"/>
        <v>99.999999999999986</v>
      </c>
      <c r="G181" s="1">
        <v>2003</v>
      </c>
      <c r="H181" s="409">
        <f>(O94/$R94*100*($E94/365))+(O95/$R95*100*($E95/365))</f>
        <v>50.46546077231509</v>
      </c>
      <c r="I181" s="409"/>
      <c r="J181" s="409">
        <f>(P94/$R94*100*($E94/365))+(P95/$R95*100*($E95/365))</f>
        <v>19.998740483589476</v>
      </c>
      <c r="K181" s="409"/>
      <c r="L181" s="409">
        <f>(Q94/$R94*100*($E94/365))+(Q95/$R95*100*($E95/365))</f>
        <v>29.535798744095445</v>
      </c>
      <c r="M181" s="409"/>
      <c r="N181" s="379">
        <f t="shared" si="36"/>
        <v>100.00000000000001</v>
      </c>
      <c r="O181" s="379"/>
      <c r="R181" s="1">
        <v>2003</v>
      </c>
      <c r="S181" s="5">
        <f>(O94*($E94/365))+(O95*($E95/365))</f>
        <v>43.62054794520548</v>
      </c>
      <c r="T181" s="5">
        <f>(P94*($E94/365))+(P95*($E95/365))</f>
        <v>17.289041095890411</v>
      </c>
      <c r="U181" s="5">
        <f>(Q94*($E94/365))+(Q95*($E95/365))</f>
        <v>25.530136986301372</v>
      </c>
      <c r="V181" s="5"/>
      <c r="W181" s="5">
        <f t="shared" si="35"/>
        <v>86.439726027397256</v>
      </c>
    </row>
    <row r="182" spans="1:23" x14ac:dyDescent="0.15">
      <c r="A182" s="1">
        <v>2004</v>
      </c>
      <c r="B182" s="5">
        <f>(K96*($E96/366))+(K97*($E97/366))</f>
        <v>57.142857142857139</v>
      </c>
      <c r="C182" s="5">
        <f>(L96*($E96/366))+(L97*($E97/366))</f>
        <v>14.285714285714285</v>
      </c>
      <c r="D182" s="5">
        <f>(M96*($E96/366))+(M97*($E97/366))</f>
        <v>28.571428571428569</v>
      </c>
      <c r="E182" s="18">
        <f t="shared" si="34"/>
        <v>99.999999999999986</v>
      </c>
      <c r="G182" s="1">
        <v>2004</v>
      </c>
      <c r="H182" s="409">
        <f>(O96/$R96*100*($E96/366))+(O97/$R97*100*($E97/366))</f>
        <v>53.216374269005854</v>
      </c>
      <c r="I182" s="409"/>
      <c r="J182" s="409">
        <f>(P96/$R96*100*($E96/366))+(P97/$R97*100*($E97/366))</f>
        <v>16.374269005847953</v>
      </c>
      <c r="K182" s="409"/>
      <c r="L182" s="409">
        <f>(Q96/$R96*100*($E96/366))+(Q97/$R97*100*($E97/366))</f>
        <v>30.409356725146196</v>
      </c>
      <c r="M182" s="409"/>
      <c r="N182" s="379">
        <f t="shared" si="36"/>
        <v>100</v>
      </c>
      <c r="O182" s="379"/>
      <c r="R182" s="1">
        <v>2004</v>
      </c>
      <c r="S182" s="5">
        <f>(O96*($E96/366))+(O97*($E97/366))</f>
        <v>45.5</v>
      </c>
      <c r="T182" s="5">
        <f>(P96*($E96/366))+(P97*($E97/366))</f>
        <v>14</v>
      </c>
      <c r="U182" s="5">
        <f>(Q96*($E96/366))+(Q97*($E97/366))</f>
        <v>26</v>
      </c>
      <c r="V182" s="5"/>
      <c r="W182" s="5">
        <f t="shared" si="35"/>
        <v>85.5</v>
      </c>
    </row>
    <row r="183" spans="1:23" x14ac:dyDescent="0.15">
      <c r="A183" s="1">
        <v>2005</v>
      </c>
      <c r="B183" s="5">
        <f>(K98*($E98/365))+(K99*($E99/365))</f>
        <v>57.142857142857139</v>
      </c>
      <c r="C183" s="5">
        <f>(L98*($E98/365))+(L99*($E99/365))</f>
        <v>14.285714285714285</v>
      </c>
      <c r="D183" s="5">
        <f>(M98*($E98/365))+(M99*($E99/365))</f>
        <v>28.571428571428569</v>
      </c>
      <c r="E183" s="18">
        <f t="shared" si="34"/>
        <v>99.999999999999986</v>
      </c>
      <c r="G183" s="1">
        <v>2005</v>
      </c>
      <c r="H183" s="409">
        <f>(O98/$R98*100*($E98/365))+(O99/$R99*100*($E99/365))</f>
        <v>53.216374269005854</v>
      </c>
      <c r="I183" s="409"/>
      <c r="J183" s="409">
        <f>(P98/$R98*100*($E98/365))+(P99/$R99*100*($E99/365))</f>
        <v>16.374269005847953</v>
      </c>
      <c r="K183" s="409"/>
      <c r="L183" s="409">
        <f>(Q98/$R98*100*($E98/365))+(Q99/$R99*100*($E99/365))</f>
        <v>30.409356725146196</v>
      </c>
      <c r="M183" s="409"/>
      <c r="N183" s="379">
        <f t="shared" si="36"/>
        <v>100</v>
      </c>
      <c r="O183" s="379"/>
      <c r="R183" s="1">
        <v>2005</v>
      </c>
      <c r="S183" s="5">
        <f>(O98*($E98/365))+(O99*($E99/365))</f>
        <v>45.5</v>
      </c>
      <c r="T183" s="5">
        <f>(P98*($E98/365))+(P99*($E99/365))</f>
        <v>14</v>
      </c>
      <c r="U183" s="5">
        <f>(Q98*($E98/365))+(Q99*($E99/365))</f>
        <v>26</v>
      </c>
      <c r="V183" s="5"/>
      <c r="W183" s="5">
        <f t="shared" si="35"/>
        <v>85.5</v>
      </c>
    </row>
    <row r="184" spans="1:23" x14ac:dyDescent="0.15">
      <c r="A184" s="1">
        <v>2006</v>
      </c>
      <c r="B184" s="5">
        <f>(K100*($E100/365))+(K101*($E101/365))</f>
        <v>57.142857142857139</v>
      </c>
      <c r="C184" s="5">
        <f>(L100*($E100/365))+(L101*($E101/365))</f>
        <v>14.285714285714285</v>
      </c>
      <c r="D184" s="5">
        <f>(M100*($E100/365))+(M101*($E101/365))</f>
        <v>28.571428571428569</v>
      </c>
      <c r="E184" s="18">
        <f t="shared" si="34"/>
        <v>99.999999999999986</v>
      </c>
      <c r="G184" s="1">
        <v>2006</v>
      </c>
      <c r="H184" s="409">
        <f>(O100/$R100*100*($E100/365))+(O101/$R101*100*($E101/365))</f>
        <v>53.216374269005854</v>
      </c>
      <c r="I184" s="409"/>
      <c r="J184" s="409">
        <f>(P100/$R100*100*($E100/365))+(P101/$R101*100*($E101/365))</f>
        <v>16.374269005847953</v>
      </c>
      <c r="K184" s="409"/>
      <c r="L184" s="409">
        <f>(Q100/$R100*100*($E100/365))+(Q101/$R101*100*($E101/365))</f>
        <v>30.409356725146196</v>
      </c>
      <c r="M184" s="409"/>
      <c r="N184" s="379">
        <f t="shared" si="36"/>
        <v>100</v>
      </c>
      <c r="O184" s="379"/>
      <c r="R184" s="1">
        <v>2006</v>
      </c>
      <c r="S184" s="5">
        <f>(O100*($E100/365))+(O101*($E101/365))</f>
        <v>45.5</v>
      </c>
      <c r="T184" s="5">
        <f>(P100*($E100/365))+(P101*($E101/365))</f>
        <v>14</v>
      </c>
      <c r="U184" s="5">
        <f>(Q100*($E100/365))+(Q101*($E101/365))</f>
        <v>26</v>
      </c>
      <c r="V184" s="5"/>
      <c r="W184" s="5">
        <f t="shared" si="35"/>
        <v>85.5</v>
      </c>
    </row>
    <row r="185" spans="1:23" x14ac:dyDescent="0.15">
      <c r="A185" s="1">
        <v>2007</v>
      </c>
      <c r="B185" s="5">
        <f>(K102*($E102/365))+(K103*($E103/365))</f>
        <v>57.142857142857139</v>
      </c>
      <c r="C185" s="5">
        <f>(L102*($E102/365))+(L103*($E103/365))</f>
        <v>14.285714285714285</v>
      </c>
      <c r="D185" s="5">
        <f>(M102*($E102/365))+(M103*($E103/365))</f>
        <v>28.571428571428569</v>
      </c>
      <c r="E185" s="18">
        <f t="shared" si="34"/>
        <v>99.999999999999986</v>
      </c>
      <c r="G185" s="1">
        <v>2007</v>
      </c>
      <c r="H185" s="409">
        <f>(O102/$R102*100*($E102/365))+(O103/$R103*100*($E103/365))</f>
        <v>53.351839939443394</v>
      </c>
      <c r="I185" s="409"/>
      <c r="J185" s="409">
        <f>(P102/$R102*100*($E102/365))+(P103/$R103*100*($E103/365))</f>
        <v>16.49419258095201</v>
      </c>
      <c r="K185" s="409"/>
      <c r="L185" s="409">
        <f>(Q102/$R102*100*($E102/365))+(Q103/$R103*100*($E103/365))</f>
        <v>30.153967479604596</v>
      </c>
      <c r="M185" s="409"/>
      <c r="N185" s="379">
        <f t="shared" si="36"/>
        <v>100</v>
      </c>
      <c r="O185" s="379"/>
      <c r="R185" s="1">
        <v>2007</v>
      </c>
      <c r="S185" s="5">
        <f>(O102*($E102/365))+(O103*($E103/365))</f>
        <v>45.554794520547944</v>
      </c>
      <c r="T185" s="5">
        <f>(P102*($E102/365))+(P103*($E103/365))</f>
        <v>14.082191780821919</v>
      </c>
      <c r="U185" s="5">
        <f>(Q102*($E102/365))+(Q103*($E103/365))</f>
        <v>25.753424657534246</v>
      </c>
      <c r="V185" s="5"/>
      <c r="W185" s="5">
        <f t="shared" si="35"/>
        <v>85.390410958904113</v>
      </c>
    </row>
    <row r="186" spans="1:23" x14ac:dyDescent="0.15">
      <c r="A186" s="1">
        <v>2008</v>
      </c>
      <c r="B186" s="5">
        <f>(K104*($E104/366))+(K105*($E105/366))</f>
        <v>57.142857142857139</v>
      </c>
      <c r="C186" s="5">
        <f>(L104*($E104/366))+(L105*($E105/366))</f>
        <v>14.285714285714285</v>
      </c>
      <c r="D186" s="5">
        <f>(M104*($E104/366))+(M105*($E105/366))</f>
        <v>28.571428571428569</v>
      </c>
      <c r="E186" s="18">
        <f t="shared" si="34"/>
        <v>99.999999999999986</v>
      </c>
      <c r="G186" s="1">
        <v>2008</v>
      </c>
      <c r="H186" s="409">
        <f>(O104/$R104*100*($E104/366))+(O105/$R105*100*($E105/366))</f>
        <v>55.688622754491014</v>
      </c>
      <c r="I186" s="409"/>
      <c r="J186" s="409">
        <f>(P104/$R104*100*($E104/366))+(P105/$R105*100*($E105/366))</f>
        <v>18.562874251497004</v>
      </c>
      <c r="K186" s="409"/>
      <c r="L186" s="409">
        <f>(Q104/$R104*100*($E104/366))+(Q105/$R105*100*($E105/366))</f>
        <v>25.748502994011975</v>
      </c>
      <c r="M186" s="409"/>
      <c r="N186" s="379">
        <f t="shared" si="36"/>
        <v>99.999999999999986</v>
      </c>
      <c r="O186" s="379"/>
      <c r="R186" s="1">
        <v>2008</v>
      </c>
      <c r="S186" s="5">
        <f>(O104*($E104/366))+(O105*($E105/366))</f>
        <v>46.5</v>
      </c>
      <c r="T186" s="5">
        <f>(P104*($E104/366))+(P105*($E105/366))</f>
        <v>15.5</v>
      </c>
      <c r="U186" s="5">
        <f>(Q104*($E104/366))+(Q105*($E105/366))</f>
        <v>21.5</v>
      </c>
      <c r="V186" s="5"/>
      <c r="W186" s="5">
        <f t="shared" si="35"/>
        <v>83.5</v>
      </c>
    </row>
    <row r="187" spans="1:23" x14ac:dyDescent="0.15">
      <c r="A187" s="1">
        <v>2009</v>
      </c>
      <c r="B187" s="5">
        <f>(K106*($E106/365))+(K107*($E107/365))</f>
        <v>57.142857142857139</v>
      </c>
      <c r="C187" s="5">
        <f>(L106*($E106/365))+(L107*($E107/365))</f>
        <v>14.285714285714285</v>
      </c>
      <c r="D187" s="5">
        <f>(M106*($E106/365))+(M107*($E107/365))</f>
        <v>28.571428571428569</v>
      </c>
      <c r="E187" s="18">
        <f t="shared" si="34"/>
        <v>99.999999999999986</v>
      </c>
      <c r="G187" s="1">
        <v>2009</v>
      </c>
      <c r="H187" s="409">
        <f>(O106/$R106*100*($E106/365))+(O107/$R107*100*($E107/365))</f>
        <v>55.688622754491014</v>
      </c>
      <c r="I187" s="409"/>
      <c r="J187" s="409">
        <f>(P106/$R106*100*($E106/365))+(P107/$R107*100*($E107/365))</f>
        <v>18.562874251497004</v>
      </c>
      <c r="K187" s="409"/>
      <c r="L187" s="409">
        <f>(Q106/$R106*100*($E106/365))+(Q107/$R107*100*($E107/365))</f>
        <v>25.748502994011975</v>
      </c>
      <c r="M187" s="409"/>
      <c r="N187" s="379">
        <f t="shared" si="36"/>
        <v>99.999999999999986</v>
      </c>
      <c r="O187" s="379"/>
      <c r="R187" s="1">
        <v>2009</v>
      </c>
      <c r="S187" s="5">
        <f>(O106*($E106/365))+(O107*($E107/365))</f>
        <v>46.5</v>
      </c>
      <c r="T187" s="5">
        <f>(P106*($E106/365))+(P107*($E107/365))</f>
        <v>15.5</v>
      </c>
      <c r="U187" s="5">
        <f>(Q106*($E106/365))+(Q107*($E107/365))</f>
        <v>21.5</v>
      </c>
      <c r="V187" s="5"/>
      <c r="W187" s="5">
        <f t="shared" si="35"/>
        <v>83.5</v>
      </c>
    </row>
    <row r="188" spans="1:23" x14ac:dyDescent="0.15">
      <c r="A188" s="1">
        <v>2010</v>
      </c>
      <c r="B188" s="5">
        <f>(K108*($E108/365))+(K109*($E109/365))</f>
        <v>57.142857142857139</v>
      </c>
      <c r="C188" s="5">
        <f>(L108*($E108/365))+(L109*($E109/365))</f>
        <v>14.285714285714285</v>
      </c>
      <c r="D188" s="5">
        <f>(M108*($E108/365))+(M109*($E109/365))</f>
        <v>28.571428571428569</v>
      </c>
      <c r="E188" s="18">
        <f t="shared" si="34"/>
        <v>99.999999999999986</v>
      </c>
      <c r="G188" s="1">
        <v>2010</v>
      </c>
      <c r="H188" s="409">
        <f>(O108/$R108*100*($E108/365))+(O109/$R109*100*($E109/365))</f>
        <v>55.688622754491014</v>
      </c>
      <c r="I188" s="409"/>
      <c r="J188" s="409">
        <f>(P108/$R108*100*($E108/365))+(P109/$R109*100*($E109/365))</f>
        <v>18.562874251497004</v>
      </c>
      <c r="K188" s="409"/>
      <c r="L188" s="409">
        <f>(Q108/$R108*100*($E108/365))+(Q109/$R109*100*($E109/365))</f>
        <v>25.748502994011975</v>
      </c>
      <c r="M188" s="409"/>
      <c r="N188" s="379">
        <f t="shared" si="36"/>
        <v>99.999999999999986</v>
      </c>
      <c r="O188" s="379"/>
      <c r="R188" s="1">
        <v>2010</v>
      </c>
      <c r="S188" s="5">
        <f>(O108*($E108/365))+(O109*($E109/365))</f>
        <v>46.5</v>
      </c>
      <c r="T188" s="5">
        <f>(P108*($E108/365))+(P109*($E109/365))</f>
        <v>15.5</v>
      </c>
      <c r="U188" s="5">
        <f>(Q108*($E108/365))+(Q109*($E109/365))</f>
        <v>21.5</v>
      </c>
      <c r="V188" s="5"/>
      <c r="W188" s="5">
        <f t="shared" si="35"/>
        <v>83.5</v>
      </c>
    </row>
    <row r="189" spans="1:23" x14ac:dyDescent="0.15">
      <c r="A189" s="1">
        <v>2011</v>
      </c>
      <c r="B189" s="5">
        <f>(K110*($E110/365))+(K111*($E111/365))</f>
        <v>57.142857142857139</v>
      </c>
      <c r="C189" s="5">
        <f>(L110*($E110/365))+(L111*($E111/365))</f>
        <v>14.285714285714285</v>
      </c>
      <c r="D189" s="5">
        <f>(M110*($E110/365))+(M111*($E111/365))</f>
        <v>28.571428571428569</v>
      </c>
      <c r="E189" s="18">
        <f t="shared" si="34"/>
        <v>99.999999999999986</v>
      </c>
      <c r="G189" s="1">
        <v>2011</v>
      </c>
      <c r="H189" s="409">
        <f>(O110/$R110*100*($E110/365))+(O111/$R111*100*($E111/365))</f>
        <v>55.688622754491014</v>
      </c>
      <c r="I189" s="409"/>
      <c r="J189" s="409">
        <f>(P110/$R110*100*($E110/365))+(P111/$R111*100*($E111/365))</f>
        <v>18.474284308096134</v>
      </c>
      <c r="K189" s="409"/>
      <c r="L189" s="409">
        <f>(Q110/$R110*100*($E110/365))+(Q111/$R111*100*($E111/365))</f>
        <v>25.837092937412844</v>
      </c>
      <c r="M189" s="409"/>
      <c r="N189" s="379">
        <f t="shared" si="36"/>
        <v>100</v>
      </c>
      <c r="O189" s="379"/>
      <c r="R189" s="1">
        <v>2011</v>
      </c>
      <c r="S189" s="5">
        <f>(O110*($E110/365))+(O111*($E111/365))</f>
        <v>46.5</v>
      </c>
      <c r="T189" s="5">
        <f>(P110*($E110/365))+(P111*($E111/365))</f>
        <v>15.426027397260274</v>
      </c>
      <c r="U189" s="5">
        <f>(Q110*($E110/365))+(Q111*($E111/365))</f>
        <v>21.573972602739726</v>
      </c>
      <c r="V189" s="5"/>
      <c r="W189" s="5">
        <f t="shared" si="35"/>
        <v>83.5</v>
      </c>
    </row>
    <row r="190" spans="1:23" x14ac:dyDescent="0.15">
      <c r="A190" s="1">
        <v>2012</v>
      </c>
      <c r="B190" s="5">
        <f>(K112*($E112/366))+(K113*($E113/366))</f>
        <v>57.142857142857139</v>
      </c>
      <c r="C190" s="5">
        <f>(L112*($E112/366))+(L113*($E113/366))</f>
        <v>14.285714285714285</v>
      </c>
      <c r="D190" s="5">
        <f>(M112*($E112/366))+(M113*($E113/366))</f>
        <v>28.571428571428569</v>
      </c>
      <c r="E190" s="18">
        <f t="shared" si="34"/>
        <v>99.999999999999986</v>
      </c>
      <c r="G190" s="1">
        <v>2012</v>
      </c>
      <c r="H190" s="409">
        <f>(O112/$R112*100*($E112/366))+(O113/$R113*100*($E113/366))</f>
        <v>55.688622754491014</v>
      </c>
      <c r="I190" s="409"/>
      <c r="J190" s="409">
        <f>(P112/$R112*100*($E112/366))+(P113/$R113*100*($E113/366))</f>
        <v>16.766467065868262</v>
      </c>
      <c r="K190" s="409"/>
      <c r="L190" s="409">
        <f>(Q112/$R112*100*($E112/366))+(Q113/$R113*100*($E113/366))</f>
        <v>27.54491017964072</v>
      </c>
      <c r="M190" s="409"/>
      <c r="N190" s="379">
        <f t="shared" si="36"/>
        <v>100</v>
      </c>
      <c r="O190" s="379"/>
      <c r="R190" s="1">
        <v>2012</v>
      </c>
      <c r="S190" s="5">
        <f>(O112*($E112/366))+(O113*($E113/366))</f>
        <v>46.5</v>
      </c>
      <c r="T190" s="5">
        <f>(P112*($E112/366))+(P113*($E113/366))</f>
        <v>14</v>
      </c>
      <c r="U190" s="5">
        <f>(Q112*($E112/366))+(Q113*($E113/366))</f>
        <v>23</v>
      </c>
      <c r="V190" s="5"/>
      <c r="W190" s="5">
        <f t="shared" si="35"/>
        <v>83.5</v>
      </c>
    </row>
    <row r="191" spans="1:23" x14ac:dyDescent="0.15">
      <c r="A191" s="1">
        <v>2013</v>
      </c>
      <c r="B191" s="5">
        <f>(K114*($E114/365))+(K115*($E115/365))</f>
        <v>57.142857142857139</v>
      </c>
      <c r="C191" s="5">
        <f>(L114*($E114/365))+(L115*($E115/365))</f>
        <v>14.285714285714285</v>
      </c>
      <c r="D191" s="5">
        <f>(M114*($E114/365))+(M115*($E115/365))</f>
        <v>28.571428571428569</v>
      </c>
      <c r="E191" s="18">
        <f t="shared" si="34"/>
        <v>99.999999999999986</v>
      </c>
      <c r="G191" s="1">
        <v>2013</v>
      </c>
      <c r="H191" s="409">
        <f>(O114/$R114*100*($E114/365))+(O115/$R115*100*($E115/365))</f>
        <v>55.688622754491014</v>
      </c>
      <c r="I191" s="409"/>
      <c r="J191" s="409">
        <f>(P114/$R114*100*($E114/365))+(P115/$R115*100*($E115/365))</f>
        <v>16.766467065868262</v>
      </c>
      <c r="K191" s="409"/>
      <c r="L191" s="409">
        <f>(Q114/$R114*100*($E114/365))+(Q115/$R115*100*($E115/365))</f>
        <v>27.54491017964072</v>
      </c>
      <c r="M191" s="409"/>
      <c r="N191" s="379">
        <f>H191+J191+L191</f>
        <v>100</v>
      </c>
      <c r="O191" s="379"/>
      <c r="R191" s="1">
        <v>2013</v>
      </c>
      <c r="S191" s="5">
        <f>(O114*($E114/365))+(O115*($E115/365))</f>
        <v>46.5</v>
      </c>
      <c r="T191" s="5">
        <f>(P114*($E114/365))+(P115*($E115/365))</f>
        <v>14</v>
      </c>
      <c r="U191" s="5">
        <f>(Q114*($E114/365))+(Q115*($E115/365))</f>
        <v>23</v>
      </c>
      <c r="W191" s="5">
        <f t="shared" si="35"/>
        <v>83.5</v>
      </c>
    </row>
    <row r="192" spans="1:23" x14ac:dyDescent="0.15">
      <c r="A192" s="1">
        <v>2014</v>
      </c>
      <c r="B192" s="5">
        <f>(K116*($E116/365))+(K117*($E117/365))</f>
        <v>57.142857142857139</v>
      </c>
      <c r="C192" s="5">
        <f>(L116*($E116/365))+(L117*($E117/365))</f>
        <v>14.285714285714285</v>
      </c>
      <c r="D192" s="5">
        <f>(M116*($E116/365))+(M117*($E117/365))</f>
        <v>28.571428571428569</v>
      </c>
      <c r="E192" s="18">
        <f>B192+C192+D192</f>
        <v>99.999999999999986</v>
      </c>
      <c r="G192" s="1">
        <v>2014</v>
      </c>
      <c r="H192" s="409">
        <f>(O116/$R116*100*($E116/365))+(O117/$R117*100*($E117/365))</f>
        <v>55.688622754491014</v>
      </c>
      <c r="I192" s="409"/>
      <c r="J192" s="409">
        <f>(P116/$R116*100*($E116/365))+(P117/$R117*100*($E117/365))</f>
        <v>16.766467065868262</v>
      </c>
      <c r="K192" s="409"/>
      <c r="L192" s="409">
        <f>(Q116/$R116*100*($E116/365))+(Q117/$R117*100*($E117/365))</f>
        <v>27.54491017964072</v>
      </c>
      <c r="M192" s="409"/>
      <c r="N192" s="379">
        <f>H192+J192+L192</f>
        <v>100</v>
      </c>
      <c r="O192" s="379"/>
      <c r="R192" s="1">
        <v>2014</v>
      </c>
      <c r="S192" s="5">
        <f>(O116*($E116/365))+(O117*($E117/365))</f>
        <v>46.5</v>
      </c>
      <c r="T192" s="5">
        <f>(P116*($E116/365))+(P117*($E117/365))</f>
        <v>14</v>
      </c>
      <c r="U192" s="5">
        <f>(Q116*($E116/365))+(Q117*($E117/365))</f>
        <v>23</v>
      </c>
      <c r="W192" s="5">
        <f>S192+T192+U192</f>
        <v>83.5</v>
      </c>
    </row>
    <row r="193" spans="1:23" x14ac:dyDescent="0.15">
      <c r="A193" s="1">
        <v>2015</v>
      </c>
      <c r="B193" s="5">
        <f>(K118*($E118/365))+(K119*($E119/365))</f>
        <v>57.142857142857139</v>
      </c>
      <c r="C193" s="5">
        <f>(L118*($E118/365))+(L119*($E119/365))</f>
        <v>14.285714285714285</v>
      </c>
      <c r="D193" s="5">
        <f>(M118*($E118/365))+(M119*($E119/365))</f>
        <v>28.571428571428569</v>
      </c>
      <c r="E193" s="18">
        <f>B193+C193+D193</f>
        <v>99.999999999999986</v>
      </c>
      <c r="G193" s="1">
        <v>2015</v>
      </c>
      <c r="H193" s="409">
        <f>(O118/$R118*100*($E118/365))+(O119/$R119*100*($E119/365))</f>
        <v>55.550296786339985</v>
      </c>
      <c r="I193" s="409"/>
      <c r="J193" s="409">
        <f>(P118/$R118*100*($E118/365))+(P119/$R119*100*($E119/365))</f>
        <v>16.673041426866909</v>
      </c>
      <c r="K193" s="409"/>
      <c r="L193" s="409">
        <f>(Q118/$R118*100*($E118/365))+(Q119/$R119*100*($E119/365))</f>
        <v>27.77666178679311</v>
      </c>
      <c r="M193" s="409"/>
      <c r="N193" s="379">
        <f>H193+J193+L193</f>
        <v>100</v>
      </c>
      <c r="O193" s="379"/>
      <c r="R193" s="1">
        <v>2015</v>
      </c>
      <c r="S193" s="5">
        <f>(O118*($E118/365))+(O119*($E119/365))</f>
        <v>46.657534246575345</v>
      </c>
      <c r="T193" s="5">
        <f>(P118*($E118/365))+(P119*($E119/365))</f>
        <v>14</v>
      </c>
      <c r="U193" s="5">
        <f>(Q118*($E118/365))+(Q119*($E119/365))</f>
        <v>23.352876712328769</v>
      </c>
      <c r="W193" s="5">
        <f>S193+T193+U193</f>
        <v>84.010410958904117</v>
      </c>
    </row>
    <row r="194" spans="1:23" x14ac:dyDescent="0.15">
      <c r="A194" s="1">
        <v>2016</v>
      </c>
      <c r="B194" s="5">
        <f>(K120*($E120/366))+(K121*($E121/366))</f>
        <v>57.142857142857139</v>
      </c>
      <c r="C194" s="5">
        <f>(L120*($E120/366))+(L121*($E121/366))</f>
        <v>14.285714285714285</v>
      </c>
      <c r="D194" s="5">
        <f>(M120*($E120/366))+(M121*($E121/366))</f>
        <v>28.571428571428569</v>
      </c>
      <c r="E194" s="18">
        <f t="shared" ref="E194" si="37">B194+C194+D194</f>
        <v>99.999999999999986</v>
      </c>
      <c r="G194" s="1">
        <v>2016</v>
      </c>
      <c r="H194" s="409">
        <f>(O120/$R120*100*($E120/366))+(O121/$R121*100*($E121/366))</f>
        <v>53.493449781659393</v>
      </c>
      <c r="I194" s="409"/>
      <c r="J194" s="409">
        <f>(P120/$R120*100*($E120/366))+(P121/$R121*100*($E121/366))</f>
        <v>15.283842794759828</v>
      </c>
      <c r="K194" s="409"/>
      <c r="L194" s="409">
        <f>(Q120/$R120*100*($E120/366))+(Q121/$R121*100*($E121/366))</f>
        <v>31.222707423580793</v>
      </c>
      <c r="M194" s="409"/>
      <c r="N194" s="379">
        <f t="shared" ref="N194" si="38">H194+J194+L194</f>
        <v>100.00000000000003</v>
      </c>
      <c r="O194" s="379"/>
      <c r="R194" s="1">
        <v>2016</v>
      </c>
      <c r="S194" s="5">
        <f>(O120*($E120/366))+(O121*($E121/366))</f>
        <v>49</v>
      </c>
      <c r="T194" s="5">
        <f>(P120*($E120/366))+(P121*($E121/366))</f>
        <v>14</v>
      </c>
      <c r="U194" s="5">
        <f>(Q120*($E120/366))+(Q121*($E121/366))</f>
        <v>28.6</v>
      </c>
      <c r="W194" s="5">
        <f t="shared" ref="W194" si="39">S194+T194+U194</f>
        <v>91.6</v>
      </c>
    </row>
    <row r="195" spans="1:23" x14ac:dyDescent="0.15">
      <c r="A195" s="1">
        <v>2017</v>
      </c>
      <c r="B195" s="5">
        <f>(K122*($E122/365))+(K123*($E123/365))</f>
        <v>57.142857142857139</v>
      </c>
      <c r="C195" s="5">
        <f t="shared" ref="C195:D195" si="40">(L122*($E122/365))+(L123*($E123/365))</f>
        <v>14.285714285714285</v>
      </c>
      <c r="D195" s="5">
        <f t="shared" si="40"/>
        <v>28.571428571428569</v>
      </c>
      <c r="E195" s="18">
        <f t="shared" ref="E195" si="41">B195+C195+D195</f>
        <v>99.999999999999986</v>
      </c>
      <c r="G195" s="1">
        <v>2017</v>
      </c>
      <c r="H195" s="409">
        <f>(O122/$R122*100*($E122/365))+(O123/$R123*100*($E123/365))</f>
        <v>53.493449781659393</v>
      </c>
      <c r="I195" s="409"/>
      <c r="J195" s="409">
        <f>(P122/$R122*100*($E122/365))+(P123/$R123*100*($E123/365))</f>
        <v>15.283842794759828</v>
      </c>
      <c r="K195" s="409"/>
      <c r="L195" s="409">
        <f>(Q122/$R122*100*($E122/365))+(Q123/$R123*100*($E123/365))</f>
        <v>31.222707423580793</v>
      </c>
      <c r="M195" s="409"/>
      <c r="N195" s="379">
        <f t="shared" ref="N195" si="42">H195+J195+L195</f>
        <v>100.00000000000003</v>
      </c>
      <c r="O195" s="379"/>
      <c r="R195" s="1">
        <v>2017</v>
      </c>
      <c r="S195" s="5">
        <f>(O122*($E122/365))+(O123*($E123/365))</f>
        <v>49</v>
      </c>
      <c r="T195" s="5">
        <f t="shared" ref="T195:U195" si="43">(P122*($E122/365))+(P123*($E123/365))</f>
        <v>14</v>
      </c>
      <c r="U195" s="5">
        <f t="shared" si="43"/>
        <v>28.6</v>
      </c>
      <c r="W195" s="5">
        <f t="shared" ref="W195" si="44">S195+T195+U195</f>
        <v>91.6</v>
      </c>
    </row>
    <row r="196" spans="1:23" x14ac:dyDescent="0.15">
      <c r="A196" s="1">
        <v>2018</v>
      </c>
      <c r="B196" s="5">
        <f>(K124*($E124/365))+(K125*($E125/365))</f>
        <v>57.142857142857139</v>
      </c>
      <c r="C196" s="5">
        <f>(L124*($E124/365))+(L125*($E125/365))</f>
        <v>14.285714285714285</v>
      </c>
      <c r="D196" s="5">
        <f>(M124*($E124/365))+(M125*($E125/365))</f>
        <v>28.571428571428569</v>
      </c>
      <c r="E196" s="18">
        <f t="shared" ref="E196" si="45">B196+C196+D196</f>
        <v>99.999999999999986</v>
      </c>
      <c r="G196" s="1">
        <v>2018</v>
      </c>
      <c r="H196" s="409">
        <f>(O124/$R124*100*($E124/365))+(O125/$R125*100*($E125/365))</f>
        <v>53.493449781659393</v>
      </c>
      <c r="I196" s="409"/>
      <c r="J196" s="409">
        <f>(P124/$R124*100*($E124/365))+(P125/$R125*100*($E125/365))</f>
        <v>15.283842794759828</v>
      </c>
      <c r="K196" s="409"/>
      <c r="L196" s="409">
        <f>(Q124/$R124*100*($E124/365))+(Q125/$R125*100*($E125/365))</f>
        <v>31.222707423580793</v>
      </c>
      <c r="M196" s="409"/>
      <c r="N196" s="379">
        <f t="shared" ref="N196" si="46">H196+J196+L196</f>
        <v>100.00000000000003</v>
      </c>
      <c r="O196" s="379"/>
      <c r="R196" s="1">
        <v>2018</v>
      </c>
      <c r="S196" s="5">
        <f>(O124*($E124/365))+(O125*($E125/365))</f>
        <v>49</v>
      </c>
      <c r="T196" s="5">
        <f>(P124*($E124/365))+(P125*($E125/365))</f>
        <v>14</v>
      </c>
      <c r="U196" s="5">
        <f>(Q124*($E124/365))+(Q125*($E125/365))</f>
        <v>28.6</v>
      </c>
      <c r="W196" s="5">
        <f t="shared" ref="W196" si="47">S196+T196+U196</f>
        <v>91.6</v>
      </c>
    </row>
    <row r="197" spans="1:23" x14ac:dyDescent="0.15">
      <c r="A197" s="1">
        <v>2019</v>
      </c>
      <c r="B197" s="5">
        <f>(K126*($E126/365))+(K127*($E127/365))</f>
        <v>57.142857142857139</v>
      </c>
      <c r="C197" s="5">
        <f>(L126*($E126/365))+(L127*($E127/365))</f>
        <v>14.285714285714285</v>
      </c>
      <c r="D197" s="5">
        <f>(M126*($E126/365))+(M127*($E127/365))</f>
        <v>28.571428571428569</v>
      </c>
      <c r="E197" s="18">
        <f t="shared" ref="E197:E198" si="48">B197+C197+D197</f>
        <v>99.999999999999986</v>
      </c>
      <c r="G197" s="1">
        <v>2019</v>
      </c>
      <c r="H197" s="409">
        <f>(O126/$R126*100*($E126/365))+(O127/$R127*100*($E127/365))</f>
        <v>53.510154887794421</v>
      </c>
      <c r="I197" s="409"/>
      <c r="J197" s="409">
        <f>(P126/$R126*100*($E126/365))+(P127/$R127*100*($E127/365))</f>
        <v>15.698487393468554</v>
      </c>
      <c r="K197" s="409"/>
      <c r="L197" s="409">
        <f>(Q126/$R126*100*($E126/365))+(Q127/$R127*100*($E127/365))</f>
        <v>30.791357718737039</v>
      </c>
      <c r="M197" s="409"/>
      <c r="N197" s="379">
        <f t="shared" ref="N197" si="49">H197+J197+L197</f>
        <v>100</v>
      </c>
      <c r="O197" s="379"/>
      <c r="R197" s="1">
        <v>2019</v>
      </c>
      <c r="S197" s="5">
        <f>(O126*($E126/365))+(O127*($E127/365))</f>
        <v>48.332602739726028</v>
      </c>
      <c r="T197" s="5">
        <f>(P126*($E126/365))+(P127*($E127/365))</f>
        <v>14.11917808219178</v>
      </c>
      <c r="U197" s="5">
        <f>(Q126*($E126/365))+(Q127*($E127/365))</f>
        <v>27.876986301369865</v>
      </c>
      <c r="W197" s="5">
        <f t="shared" ref="W197:W198" si="50">S197+T197+U197</f>
        <v>90.328767123287676</v>
      </c>
    </row>
    <row r="198" spans="1:23" x14ac:dyDescent="0.15">
      <c r="A198" s="1">
        <v>2020</v>
      </c>
      <c r="B198" s="5">
        <f>(K128*($E128/366))+(K129*($E129/366))</f>
        <v>57.142857142857139</v>
      </c>
      <c r="C198" s="5">
        <f>(L128*($E128/366))+(L129*($E129/366))</f>
        <v>14.285714285714285</v>
      </c>
      <c r="D198" s="5">
        <f>(M128*($E128/366))+(M129*($E129/366))</f>
        <v>28.571428571428569</v>
      </c>
      <c r="E198" s="18">
        <f t="shared" si="48"/>
        <v>99.999999999999986</v>
      </c>
      <c r="G198" s="1">
        <v>2020</v>
      </c>
      <c r="H198" s="409">
        <f>(O128/$R128*100*($E128/366))+(O129/$R129*100*($E129/366))</f>
        <v>53.703703703703709</v>
      </c>
      <c r="I198" s="409"/>
      <c r="J198" s="409">
        <f>(P128/$R128*100*($E128/366))+(P129/$R129*100*($E129/366))</f>
        <v>20.502645502645503</v>
      </c>
      <c r="K198" s="409"/>
      <c r="L198" s="409">
        <f>(Q128/$R128*100*($E128/366))+(Q129/$R129*100*($E129/366))</f>
        <v>25.793650793650798</v>
      </c>
      <c r="M198" s="409"/>
      <c r="N198" s="379">
        <f t="shared" ref="N198" si="51">H198+J198+L198</f>
        <v>100.00000000000001</v>
      </c>
      <c r="O198" s="379"/>
      <c r="R198" s="1">
        <v>2020</v>
      </c>
      <c r="S198" s="5">
        <f>(O128*($E128/366))+(O129*($E129/366))</f>
        <v>40.6</v>
      </c>
      <c r="T198" s="5">
        <f>(P128*($E128/366))+(P129*($E129/366))</f>
        <v>15.5</v>
      </c>
      <c r="U198" s="5">
        <f>(Q128*($E128/366))+(Q129*($E129/366))</f>
        <v>19.5</v>
      </c>
      <c r="W198" s="5">
        <f t="shared" si="50"/>
        <v>75.599999999999994</v>
      </c>
    </row>
  </sheetData>
  <mergeCells count="398">
    <mergeCell ref="H198:I198"/>
    <mergeCell ref="J198:K198"/>
    <mergeCell ref="L198:M198"/>
    <mergeCell ref="N198:O198"/>
    <mergeCell ref="C126:D126"/>
    <mergeCell ref="C127:D127"/>
    <mergeCell ref="H197:I197"/>
    <mergeCell ref="J197:K197"/>
    <mergeCell ref="L197:M197"/>
    <mergeCell ref="N197:O197"/>
    <mergeCell ref="H195:I195"/>
    <mergeCell ref="J195:K195"/>
    <mergeCell ref="L195:M195"/>
    <mergeCell ref="N195:O195"/>
    <mergeCell ref="H140:I140"/>
    <mergeCell ref="J140:K140"/>
    <mergeCell ref="L140:M140"/>
    <mergeCell ref="N140:O140"/>
    <mergeCell ref="H141:I141"/>
    <mergeCell ref="J141:K141"/>
    <mergeCell ref="L141:M141"/>
    <mergeCell ref="N141:O141"/>
    <mergeCell ref="H138:I138"/>
    <mergeCell ref="J138:K138"/>
    <mergeCell ref="C83:D83"/>
    <mergeCell ref="C84:D84"/>
    <mergeCell ref="C88:D88"/>
    <mergeCell ref="C89:D89"/>
    <mergeCell ref="C90:D90"/>
    <mergeCell ref="H137:I137"/>
    <mergeCell ref="C102:D102"/>
    <mergeCell ref="C91:D91"/>
    <mergeCell ref="C92:D92"/>
    <mergeCell ref="C93:D93"/>
    <mergeCell ref="C97:D97"/>
    <mergeCell ref="C98:D98"/>
    <mergeCell ref="C99:D99"/>
    <mergeCell ref="C100:D100"/>
    <mergeCell ref="C101:D101"/>
    <mergeCell ref="C128:D128"/>
    <mergeCell ref="C129:D129"/>
    <mergeCell ref="C119:D119"/>
    <mergeCell ref="C120:D120"/>
    <mergeCell ref="C121:D121"/>
    <mergeCell ref="C124:D124"/>
    <mergeCell ref="C125:D125"/>
    <mergeCell ref="C118:D118"/>
    <mergeCell ref="C64:D64"/>
    <mergeCell ref="C65:D65"/>
    <mergeCell ref="C66:D66"/>
    <mergeCell ref="C113:D113"/>
    <mergeCell ref="C105:D105"/>
    <mergeCell ref="C106:D106"/>
    <mergeCell ref="C107:D107"/>
    <mergeCell ref="C108:D108"/>
    <mergeCell ref="C109:D109"/>
    <mergeCell ref="C79:D79"/>
    <mergeCell ref="C80:D80"/>
    <mergeCell ref="C81:D81"/>
    <mergeCell ref="C85:D85"/>
    <mergeCell ref="C86:D86"/>
    <mergeCell ref="C87:D87"/>
    <mergeCell ref="C96:D96"/>
    <mergeCell ref="C110:D110"/>
    <mergeCell ref="C103:D103"/>
    <mergeCell ref="C104:D104"/>
    <mergeCell ref="C111:D111"/>
    <mergeCell ref="C112:D112"/>
    <mergeCell ref="C94:D94"/>
    <mergeCell ref="C95:D95"/>
    <mergeCell ref="C82:D82"/>
    <mergeCell ref="C52:D52"/>
    <mergeCell ref="C53:D53"/>
    <mergeCell ref="C54:D54"/>
    <mergeCell ref="C55:D55"/>
    <mergeCell ref="C56:D56"/>
    <mergeCell ref="C57:D57"/>
    <mergeCell ref="C76:D76"/>
    <mergeCell ref="C77:D77"/>
    <mergeCell ref="C78:D78"/>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AL4:AO4"/>
    <mergeCell ref="U4:U5"/>
    <mergeCell ref="V4:Y4"/>
    <mergeCell ref="AP4:AS4"/>
    <mergeCell ref="C8:D8"/>
    <mergeCell ref="K4:N4"/>
    <mergeCell ref="O4:R4"/>
    <mergeCell ref="S4:S5"/>
    <mergeCell ref="T4:T5"/>
    <mergeCell ref="C7:D7"/>
    <mergeCell ref="C6:D6"/>
    <mergeCell ref="C19:D19"/>
    <mergeCell ref="C20:D20"/>
    <mergeCell ref="C21:D21"/>
    <mergeCell ref="C22:D22"/>
    <mergeCell ref="C23:D23"/>
    <mergeCell ref="C24:D24"/>
    <mergeCell ref="Z4:AC4"/>
    <mergeCell ref="AD4:AG4"/>
    <mergeCell ref="AH4:AK4"/>
    <mergeCell ref="G3:M3"/>
    <mergeCell ref="O3:Q3"/>
    <mergeCell ref="N137:O137"/>
    <mergeCell ref="L136:M136"/>
    <mergeCell ref="N136:O136"/>
    <mergeCell ref="J137:K137"/>
    <mergeCell ref="L137:M137"/>
    <mergeCell ref="J136:K136"/>
    <mergeCell ref="A4:A5"/>
    <mergeCell ref="B4:B5"/>
    <mergeCell ref="C4:D5"/>
    <mergeCell ref="E4:E5"/>
    <mergeCell ref="F4:F5"/>
    <mergeCell ref="G4:J4"/>
    <mergeCell ref="C11:D11"/>
    <mergeCell ref="C12:D12"/>
    <mergeCell ref="C9:D9"/>
    <mergeCell ref="C10:D10"/>
    <mergeCell ref="C13:D13"/>
    <mergeCell ref="C14:D14"/>
    <mergeCell ref="C15:D15"/>
    <mergeCell ref="C16:D16"/>
    <mergeCell ref="C17:D17"/>
    <mergeCell ref="C18:D18"/>
    <mergeCell ref="H139:I139"/>
    <mergeCell ref="J139:K139"/>
    <mergeCell ref="L139:M139"/>
    <mergeCell ref="N139:O139"/>
    <mergeCell ref="H148:I148"/>
    <mergeCell ref="J148:K148"/>
    <mergeCell ref="L148:M148"/>
    <mergeCell ref="N148:O148"/>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N192:O192"/>
    <mergeCell ref="L163:M163"/>
    <mergeCell ref="N163:O163"/>
    <mergeCell ref="H164:I164"/>
    <mergeCell ref="J164:K164"/>
    <mergeCell ref="H185:I185"/>
    <mergeCell ref="H186:I186"/>
    <mergeCell ref="H173:I173"/>
    <mergeCell ref="H174:I174"/>
    <mergeCell ref="H175:I175"/>
    <mergeCell ref="H176:I176"/>
    <mergeCell ref="J186:K186"/>
    <mergeCell ref="J187:K187"/>
    <mergeCell ref="L188:M188"/>
    <mergeCell ref="L189:M189"/>
    <mergeCell ref="L186:M186"/>
    <mergeCell ref="H192:I192"/>
    <mergeCell ref="J192:K192"/>
    <mergeCell ref="L192:M192"/>
    <mergeCell ref="L190:M190"/>
    <mergeCell ref="L179:M179"/>
    <mergeCell ref="L180:M180"/>
    <mergeCell ref="L181:M181"/>
    <mergeCell ref="L182:M182"/>
    <mergeCell ref="J188:K188"/>
    <mergeCell ref="J189:K189"/>
    <mergeCell ref="H154:I154"/>
    <mergeCell ref="H155:I155"/>
    <mergeCell ref="L155:M155"/>
    <mergeCell ref="L184:M184"/>
    <mergeCell ref="L185:M185"/>
    <mergeCell ref="L176:M176"/>
    <mergeCell ref="L178:M178"/>
    <mergeCell ref="H172:I172"/>
    <mergeCell ref="H159:I159"/>
    <mergeCell ref="J159:K159"/>
    <mergeCell ref="H157:I157"/>
    <mergeCell ref="H158:I158"/>
    <mergeCell ref="H177:I177"/>
    <mergeCell ref="H178:I178"/>
    <mergeCell ref="H162:I162"/>
    <mergeCell ref="J162:K162"/>
    <mergeCell ref="L162:M162"/>
    <mergeCell ref="H165:I165"/>
    <mergeCell ref="H163:I163"/>
    <mergeCell ref="J163:K163"/>
    <mergeCell ref="L164:M164"/>
    <mergeCell ref="H166:I166"/>
    <mergeCell ref="H188:I188"/>
    <mergeCell ref="H189:I189"/>
    <mergeCell ref="H190:I190"/>
    <mergeCell ref="H179:I179"/>
    <mergeCell ref="H180:I180"/>
    <mergeCell ref="H181:I181"/>
    <mergeCell ref="H182:I182"/>
    <mergeCell ref="H183:I183"/>
    <mergeCell ref="H184:I184"/>
    <mergeCell ref="H187:I187"/>
    <mergeCell ref="H160:I160"/>
    <mergeCell ref="J160:K160"/>
    <mergeCell ref="L160:M160"/>
    <mergeCell ref="N160:O160"/>
    <mergeCell ref="H161:I161"/>
    <mergeCell ref="J161:K161"/>
    <mergeCell ref="L161:M161"/>
    <mergeCell ref="N161:O161"/>
    <mergeCell ref="N155:O155"/>
    <mergeCell ref="H156:I156"/>
    <mergeCell ref="J157:K157"/>
    <mergeCell ref="AX4:BA4"/>
    <mergeCell ref="C114:D114"/>
    <mergeCell ref="C115:D115"/>
    <mergeCell ref="H191:I191"/>
    <mergeCell ref="J191:K191"/>
    <mergeCell ref="L191:M191"/>
    <mergeCell ref="N173:O173"/>
    <mergeCell ref="N174:O174"/>
    <mergeCell ref="N189:O189"/>
    <mergeCell ref="C116:D116"/>
    <mergeCell ref="C117:D117"/>
    <mergeCell ref="N190:O190"/>
    <mergeCell ref="N188:O188"/>
    <mergeCell ref="N176:O176"/>
    <mergeCell ref="N177:O177"/>
    <mergeCell ref="N178:O178"/>
    <mergeCell ref="N179:O179"/>
    <mergeCell ref="H136:I136"/>
    <mergeCell ref="N191:O191"/>
    <mergeCell ref="AT4:AW4"/>
    <mergeCell ref="H167:I167"/>
    <mergeCell ref="J165:K165"/>
    <mergeCell ref="L165:M165"/>
    <mergeCell ref="N165:O165"/>
    <mergeCell ref="L177:M177"/>
    <mergeCell ref="J185:K185"/>
    <mergeCell ref="J168:K168"/>
    <mergeCell ref="H171:I171"/>
    <mergeCell ref="N180:O180"/>
    <mergeCell ref="N181:O181"/>
    <mergeCell ref="N182:O182"/>
    <mergeCell ref="N183:O183"/>
    <mergeCell ref="L173:M173"/>
    <mergeCell ref="L174:M174"/>
    <mergeCell ref="L175:M175"/>
    <mergeCell ref="H168:I168"/>
    <mergeCell ref="H169:I169"/>
    <mergeCell ref="N172:O172"/>
    <mergeCell ref="N175:O175"/>
    <mergeCell ref="J172:K172"/>
    <mergeCell ref="J173:K173"/>
    <mergeCell ref="J174:K174"/>
    <mergeCell ref="J175:K175"/>
    <mergeCell ref="H170:I170"/>
    <mergeCell ref="L183:M183"/>
    <mergeCell ref="J154:K154"/>
    <mergeCell ref="L154:M154"/>
    <mergeCell ref="N154:O154"/>
    <mergeCell ref="J155:K155"/>
    <mergeCell ref="N171:O171"/>
    <mergeCell ref="L167:M167"/>
    <mergeCell ref="L168:M168"/>
    <mergeCell ref="L169:M169"/>
    <mergeCell ref="N168:O168"/>
    <mergeCell ref="N169:O169"/>
    <mergeCell ref="N170:O170"/>
    <mergeCell ref="N164:O164"/>
    <mergeCell ref="N166:O166"/>
    <mergeCell ref="N162:O162"/>
    <mergeCell ref="J170:K170"/>
    <mergeCell ref="J171:K171"/>
    <mergeCell ref="J166:K166"/>
    <mergeCell ref="L166:M166"/>
    <mergeCell ref="N187:O187"/>
    <mergeCell ref="N184:O184"/>
    <mergeCell ref="N185:O185"/>
    <mergeCell ref="N186:O186"/>
    <mergeCell ref="L187:M187"/>
    <mergeCell ref="J190:K190"/>
    <mergeCell ref="L170:M170"/>
    <mergeCell ref="L171:M171"/>
    <mergeCell ref="R134:W134"/>
    <mergeCell ref="N167:O167"/>
    <mergeCell ref="J169:K169"/>
    <mergeCell ref="N158:O158"/>
    <mergeCell ref="J156:K156"/>
    <mergeCell ref="L156:M156"/>
    <mergeCell ref="N156:O156"/>
    <mergeCell ref="J176:K176"/>
    <mergeCell ref="L157:M157"/>
    <mergeCell ref="N157:O157"/>
    <mergeCell ref="J158:K158"/>
    <mergeCell ref="L158:M158"/>
    <mergeCell ref="L138:M138"/>
    <mergeCell ref="N138:O138"/>
    <mergeCell ref="L159:M159"/>
    <mergeCell ref="N159:O159"/>
    <mergeCell ref="H196:I196"/>
    <mergeCell ref="J196:K196"/>
    <mergeCell ref="L196:M196"/>
    <mergeCell ref="N196:O196"/>
    <mergeCell ref="C122:D122"/>
    <mergeCell ref="C123:D123"/>
    <mergeCell ref="H194:I194"/>
    <mergeCell ref="J194:K194"/>
    <mergeCell ref="L194:M194"/>
    <mergeCell ref="N194:O194"/>
    <mergeCell ref="L172:M172"/>
    <mergeCell ref="J182:K182"/>
    <mergeCell ref="J183:K183"/>
    <mergeCell ref="J184:K184"/>
    <mergeCell ref="J177:K177"/>
    <mergeCell ref="J178:K178"/>
    <mergeCell ref="J179:K179"/>
    <mergeCell ref="J180:K180"/>
    <mergeCell ref="J181:K181"/>
    <mergeCell ref="J167:K167"/>
    <mergeCell ref="H193:I193"/>
    <mergeCell ref="J193:K193"/>
    <mergeCell ref="L193:M193"/>
    <mergeCell ref="N193:O19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A202"/>
  <sheetViews>
    <sheetView zoomScale="172" zoomScaleNormal="120" workbookViewId="0">
      <pane xSplit="1" ySplit="5" topLeftCell="B83" activePane="bottomRight" state="frozen"/>
      <selection pane="topRight" activeCell="B1" sqref="B1"/>
      <selection pane="bottomLeft" activeCell="A6" sqref="A6"/>
      <selection pane="bottomRight" activeCell="N136" sqref="N13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70</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6</v>
      </c>
      <c r="D4" s="382"/>
      <c r="E4" s="396" t="s">
        <v>5</v>
      </c>
      <c r="F4" s="396" t="s">
        <v>7</v>
      </c>
      <c r="G4" s="399" t="s">
        <v>1198</v>
      </c>
      <c r="H4" s="382"/>
      <c r="I4" s="382"/>
      <c r="J4" s="384"/>
      <c r="K4" s="399" t="s">
        <v>1199</v>
      </c>
      <c r="L4" s="382"/>
      <c r="M4" s="382"/>
      <c r="N4" s="384"/>
      <c r="O4" s="399" t="s">
        <v>1196</v>
      </c>
      <c r="P4" s="382"/>
      <c r="Q4" s="382"/>
      <c r="R4" s="382"/>
      <c r="S4" s="400" t="s">
        <v>13</v>
      </c>
      <c r="T4" s="396" t="s">
        <v>777</v>
      </c>
      <c r="U4" s="403" t="s">
        <v>4</v>
      </c>
      <c r="V4" s="381" t="s">
        <v>1186</v>
      </c>
      <c r="W4" s="382"/>
      <c r="X4" s="382"/>
      <c r="Y4" s="383"/>
      <c r="Z4" s="381" t="s">
        <v>1187</v>
      </c>
      <c r="AA4" s="382"/>
      <c r="AB4" s="382"/>
      <c r="AC4" s="383"/>
      <c r="AD4" s="381" t="s">
        <v>1188</v>
      </c>
      <c r="AE4" s="382"/>
      <c r="AF4" s="382"/>
      <c r="AG4" s="383"/>
      <c r="AH4" s="382" t="s">
        <v>1189</v>
      </c>
      <c r="AI4" s="382"/>
      <c r="AJ4" s="382"/>
      <c r="AK4" s="382"/>
      <c r="AL4" s="381" t="s">
        <v>1190</v>
      </c>
      <c r="AM4" s="382"/>
      <c r="AN4" s="382"/>
      <c r="AO4" s="383"/>
      <c r="AP4" s="381" t="s">
        <v>1191</v>
      </c>
      <c r="AQ4" s="382"/>
      <c r="AR4" s="382"/>
      <c r="AS4" s="383"/>
      <c r="AT4" s="381" t="s">
        <v>1260</v>
      </c>
      <c r="AU4" s="382"/>
      <c r="AV4" s="382"/>
      <c r="AW4" s="383"/>
      <c r="AX4" s="382" t="s">
        <v>1261</v>
      </c>
      <c r="AY4" s="382"/>
      <c r="AZ4" s="382"/>
      <c r="BA4" s="384"/>
    </row>
    <row r="5" spans="1:53" s="186" customFormat="1" x14ac:dyDescent="0.15">
      <c r="A5" s="395"/>
      <c r="B5" s="397"/>
      <c r="C5" s="398"/>
      <c r="D5" s="398"/>
      <c r="E5" s="397"/>
      <c r="F5" s="397"/>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397"/>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1235</v>
      </c>
      <c r="D6" s="416"/>
      <c r="E6" s="140">
        <v>287</v>
      </c>
      <c r="G6" s="148">
        <v>18</v>
      </c>
      <c r="J6" s="154">
        <v>18</v>
      </c>
      <c r="K6" s="134">
        <f t="shared" ref="K6:M8" si="0">G6/$J6*100</f>
        <v>100</v>
      </c>
      <c r="L6" s="134">
        <f t="shared" si="0"/>
        <v>0</v>
      </c>
      <c r="M6" s="134">
        <f t="shared" si="0"/>
        <v>0</v>
      </c>
      <c r="N6" s="150">
        <f>K6+L6+M6</f>
        <v>100</v>
      </c>
      <c r="O6" s="133">
        <v>51.4</v>
      </c>
      <c r="P6" s="134"/>
      <c r="Q6" s="134"/>
      <c r="R6" s="135">
        <f>O6+P6+Q6</f>
        <v>51.4</v>
      </c>
      <c r="S6" s="140">
        <v>1</v>
      </c>
      <c r="T6" s="308"/>
      <c r="U6" s="296"/>
      <c r="V6" s="139" t="s">
        <v>788</v>
      </c>
      <c r="W6" s="140" t="s">
        <v>74</v>
      </c>
      <c r="X6" s="140" t="s">
        <v>11</v>
      </c>
      <c r="Y6" s="141">
        <v>51.4</v>
      </c>
      <c r="AD6" s="139"/>
      <c r="AG6" s="141"/>
      <c r="AL6" s="139"/>
      <c r="AO6" s="141"/>
      <c r="AP6" s="139"/>
      <c r="AS6" s="141"/>
      <c r="AW6" s="141"/>
      <c r="BA6" s="142"/>
    </row>
    <row r="7" spans="1:53" s="140" customFormat="1" x14ac:dyDescent="0.15">
      <c r="A7" s="146">
        <v>1959</v>
      </c>
      <c r="B7" s="296">
        <v>21838</v>
      </c>
      <c r="C7" s="416" t="s">
        <v>853</v>
      </c>
      <c r="D7" s="416"/>
      <c r="E7" s="140">
        <f xml:space="preserve"> 365-E6</f>
        <v>78</v>
      </c>
      <c r="F7" s="140">
        <v>1</v>
      </c>
      <c r="G7" s="148">
        <v>19</v>
      </c>
      <c r="J7" s="154">
        <v>19</v>
      </c>
      <c r="K7" s="134">
        <f t="shared" si="0"/>
        <v>100</v>
      </c>
      <c r="L7" s="134">
        <f t="shared" si="0"/>
        <v>0</v>
      </c>
      <c r="M7" s="134">
        <f t="shared" si="0"/>
        <v>0</v>
      </c>
      <c r="N7" s="150">
        <f>K7+L7+M7</f>
        <v>100</v>
      </c>
      <c r="O7" s="133">
        <v>57.9</v>
      </c>
      <c r="P7" s="134"/>
      <c r="Q7" s="134"/>
      <c r="R7" s="135">
        <f>O7+P7+Q7</f>
        <v>57.9</v>
      </c>
      <c r="S7" s="140">
        <v>1</v>
      </c>
      <c r="T7" s="308">
        <v>21831</v>
      </c>
      <c r="U7" s="296">
        <v>21838</v>
      </c>
      <c r="V7" s="139" t="s">
        <v>788</v>
      </c>
      <c r="W7" s="140" t="s">
        <v>74</v>
      </c>
      <c r="X7" s="140" t="s">
        <v>11</v>
      </c>
      <c r="Y7" s="141">
        <v>57.9</v>
      </c>
      <c r="AD7" s="139"/>
      <c r="AG7" s="141"/>
      <c r="AL7" s="139"/>
      <c r="AO7" s="141"/>
      <c r="AP7" s="139"/>
      <c r="AS7" s="141"/>
      <c r="AW7" s="141"/>
      <c r="BA7" s="142"/>
    </row>
    <row r="8" spans="1:53" s="29" customFormat="1" x14ac:dyDescent="0.15">
      <c r="A8" s="52">
        <v>1960</v>
      </c>
      <c r="B8" s="295"/>
      <c r="C8" s="411" t="s">
        <v>853</v>
      </c>
      <c r="D8" s="411"/>
      <c r="E8" s="29">
        <v>0</v>
      </c>
      <c r="G8" s="66">
        <v>19</v>
      </c>
      <c r="J8" s="73">
        <v>19</v>
      </c>
      <c r="K8" s="47">
        <f t="shared" si="0"/>
        <v>100</v>
      </c>
      <c r="L8" s="47">
        <f t="shared" si="0"/>
        <v>0</v>
      </c>
      <c r="M8" s="47">
        <f t="shared" si="0"/>
        <v>0</v>
      </c>
      <c r="N8" s="68">
        <f>K8+L8+M8</f>
        <v>100</v>
      </c>
      <c r="O8" s="46">
        <v>57.9</v>
      </c>
      <c r="P8" s="47"/>
      <c r="Q8" s="47"/>
      <c r="R8" s="48">
        <f>O8+P8+Q8</f>
        <v>57.9</v>
      </c>
      <c r="S8" s="29">
        <v>1</v>
      </c>
      <c r="T8" s="286"/>
      <c r="U8" s="295"/>
      <c r="V8" s="38" t="s">
        <v>788</v>
      </c>
      <c r="W8" s="29" t="s">
        <v>74</v>
      </c>
      <c r="X8" s="29" t="s">
        <v>11</v>
      </c>
      <c r="Y8" s="39">
        <v>57.9</v>
      </c>
      <c r="AD8" s="38"/>
      <c r="AG8" s="39"/>
      <c r="AL8" s="38"/>
      <c r="AO8" s="39"/>
      <c r="AP8" s="38"/>
      <c r="AS8" s="39"/>
      <c r="AW8" s="39"/>
      <c r="BA8" s="40"/>
    </row>
    <row r="9" spans="1:53" s="29" customFormat="1" x14ac:dyDescent="0.15">
      <c r="A9" s="52">
        <v>1960</v>
      </c>
      <c r="B9" s="295"/>
      <c r="C9" s="411" t="s">
        <v>853</v>
      </c>
      <c r="D9" s="411"/>
      <c r="E9" s="29">
        <v>366</v>
      </c>
      <c r="G9" s="66">
        <v>19</v>
      </c>
      <c r="J9" s="73">
        <v>19</v>
      </c>
      <c r="K9" s="47">
        <f t="shared" ref="K9:M72" si="1">G9/$J9*100</f>
        <v>100</v>
      </c>
      <c r="L9" s="47">
        <f t="shared" si="1"/>
        <v>0</v>
      </c>
      <c r="M9" s="47">
        <f t="shared" si="1"/>
        <v>0</v>
      </c>
      <c r="N9" s="68">
        <f t="shared" ref="N9:N72" si="2">K9+L9+M9</f>
        <v>100</v>
      </c>
      <c r="O9" s="46">
        <v>57.9</v>
      </c>
      <c r="P9" s="47"/>
      <c r="Q9" s="47"/>
      <c r="R9" s="48">
        <f t="shared" ref="R9:R72" si="3">O9+P9+Q9</f>
        <v>57.9</v>
      </c>
      <c r="S9" s="29">
        <v>1</v>
      </c>
      <c r="T9" s="286"/>
      <c r="U9" s="295"/>
      <c r="V9" s="38" t="s">
        <v>788</v>
      </c>
      <c r="W9" s="29" t="s">
        <v>74</v>
      </c>
      <c r="X9" s="29" t="s">
        <v>11</v>
      </c>
      <c r="Y9" s="39">
        <v>57.9</v>
      </c>
      <c r="AD9" s="38"/>
      <c r="AG9" s="39"/>
      <c r="AL9" s="38"/>
      <c r="AO9" s="39"/>
      <c r="AP9" s="38"/>
      <c r="AS9" s="39"/>
      <c r="AW9" s="39"/>
      <c r="BA9" s="40"/>
    </row>
    <row r="10" spans="1:53" s="29" customFormat="1" x14ac:dyDescent="0.15">
      <c r="A10" s="52">
        <v>1961</v>
      </c>
      <c r="B10" s="295"/>
      <c r="C10" s="411" t="s">
        <v>853</v>
      </c>
      <c r="D10" s="411"/>
      <c r="E10" s="29">
        <v>0</v>
      </c>
      <c r="G10" s="66">
        <v>19</v>
      </c>
      <c r="J10" s="73">
        <v>19</v>
      </c>
      <c r="K10" s="47">
        <f t="shared" si="1"/>
        <v>100</v>
      </c>
      <c r="L10" s="47">
        <f t="shared" si="1"/>
        <v>0</v>
      </c>
      <c r="M10" s="47">
        <f t="shared" si="1"/>
        <v>0</v>
      </c>
      <c r="N10" s="68">
        <f t="shared" si="2"/>
        <v>100</v>
      </c>
      <c r="O10" s="46">
        <v>57.9</v>
      </c>
      <c r="P10" s="47"/>
      <c r="Q10" s="47"/>
      <c r="R10" s="48">
        <f t="shared" si="3"/>
        <v>57.9</v>
      </c>
      <c r="S10" s="29">
        <v>1</v>
      </c>
      <c r="T10" s="286"/>
      <c r="U10" s="295"/>
      <c r="V10" s="38" t="s">
        <v>788</v>
      </c>
      <c r="W10" s="29" t="s">
        <v>74</v>
      </c>
      <c r="X10" s="29" t="s">
        <v>11</v>
      </c>
      <c r="Y10" s="39">
        <v>57.9</v>
      </c>
      <c r="AD10" s="38"/>
      <c r="AG10" s="39"/>
      <c r="AL10" s="38"/>
      <c r="AO10" s="39"/>
      <c r="AP10" s="38"/>
      <c r="AS10" s="39"/>
      <c r="AW10" s="39"/>
      <c r="BA10" s="40"/>
    </row>
    <row r="11" spans="1:53" s="29" customFormat="1" x14ac:dyDescent="0.15">
      <c r="A11" s="52">
        <v>1961</v>
      </c>
      <c r="B11" s="295"/>
      <c r="C11" s="411" t="s">
        <v>853</v>
      </c>
      <c r="D11" s="411"/>
      <c r="E11" s="29">
        <v>365</v>
      </c>
      <c r="G11" s="66">
        <v>19</v>
      </c>
      <c r="J11" s="73">
        <v>19</v>
      </c>
      <c r="K11" s="47">
        <f t="shared" si="1"/>
        <v>100</v>
      </c>
      <c r="L11" s="47">
        <f t="shared" si="1"/>
        <v>0</v>
      </c>
      <c r="M11" s="47">
        <f t="shared" si="1"/>
        <v>0</v>
      </c>
      <c r="N11" s="68">
        <f t="shared" si="2"/>
        <v>100</v>
      </c>
      <c r="O11" s="46">
        <v>57.9</v>
      </c>
      <c r="P11" s="47"/>
      <c r="Q11" s="47"/>
      <c r="R11" s="48">
        <f t="shared" si="3"/>
        <v>57.9</v>
      </c>
      <c r="S11" s="29">
        <v>1</v>
      </c>
      <c r="T11" s="286"/>
      <c r="U11" s="295"/>
      <c r="V11" s="38" t="s">
        <v>788</v>
      </c>
      <c r="W11" s="29" t="s">
        <v>74</v>
      </c>
      <c r="X11" s="29" t="s">
        <v>11</v>
      </c>
      <c r="Y11" s="39">
        <v>57.9</v>
      </c>
      <c r="AD11" s="38"/>
      <c r="AG11" s="39"/>
      <c r="AL11" s="38"/>
      <c r="AO11" s="39"/>
      <c r="AP11" s="38"/>
      <c r="AS11" s="39"/>
      <c r="AW11" s="39"/>
      <c r="BA11" s="40"/>
    </row>
    <row r="12" spans="1:53" s="29" customFormat="1" x14ac:dyDescent="0.15">
      <c r="A12" s="52">
        <v>1962</v>
      </c>
      <c r="B12" s="295"/>
      <c r="C12" s="411" t="s">
        <v>853</v>
      </c>
      <c r="D12" s="411"/>
      <c r="E12" s="29">
        <v>0</v>
      </c>
      <c r="G12" s="66">
        <v>19</v>
      </c>
      <c r="J12" s="73">
        <v>19</v>
      </c>
      <c r="K12" s="47">
        <f t="shared" si="1"/>
        <v>100</v>
      </c>
      <c r="L12" s="47">
        <f t="shared" si="1"/>
        <v>0</v>
      </c>
      <c r="M12" s="47">
        <f t="shared" si="1"/>
        <v>0</v>
      </c>
      <c r="N12" s="68">
        <f t="shared" si="2"/>
        <v>100</v>
      </c>
      <c r="O12" s="46">
        <v>57.9</v>
      </c>
      <c r="P12" s="47"/>
      <c r="Q12" s="47"/>
      <c r="R12" s="48">
        <f t="shared" si="3"/>
        <v>57.9</v>
      </c>
      <c r="S12" s="29">
        <v>1</v>
      </c>
      <c r="T12" s="286"/>
      <c r="U12" s="295"/>
      <c r="V12" s="38" t="s">
        <v>788</v>
      </c>
      <c r="W12" s="29" t="s">
        <v>74</v>
      </c>
      <c r="X12" s="29" t="s">
        <v>11</v>
      </c>
      <c r="Y12" s="39">
        <v>57.9</v>
      </c>
      <c r="AD12" s="38"/>
      <c r="AG12" s="39"/>
      <c r="AL12" s="38"/>
      <c r="AO12" s="39"/>
      <c r="AP12" s="38"/>
      <c r="AS12" s="39"/>
      <c r="AW12" s="39"/>
      <c r="BA12" s="40"/>
    </row>
    <row r="13" spans="1:53" s="29" customFormat="1" x14ac:dyDescent="0.15">
      <c r="A13" s="52">
        <v>1962</v>
      </c>
      <c r="B13" s="295"/>
      <c r="C13" s="411" t="s">
        <v>853</v>
      </c>
      <c r="D13" s="411"/>
      <c r="E13" s="29">
        <v>365</v>
      </c>
      <c r="G13" s="66">
        <v>19</v>
      </c>
      <c r="J13" s="73">
        <v>19</v>
      </c>
      <c r="K13" s="47">
        <f t="shared" si="1"/>
        <v>100</v>
      </c>
      <c r="L13" s="47">
        <f t="shared" si="1"/>
        <v>0</v>
      </c>
      <c r="M13" s="47">
        <f t="shared" si="1"/>
        <v>0</v>
      </c>
      <c r="N13" s="68">
        <f t="shared" si="2"/>
        <v>100</v>
      </c>
      <c r="O13" s="46">
        <v>57.9</v>
      </c>
      <c r="P13" s="47"/>
      <c r="Q13" s="47"/>
      <c r="R13" s="48">
        <f t="shared" si="3"/>
        <v>57.9</v>
      </c>
      <c r="S13" s="29">
        <v>1</v>
      </c>
      <c r="T13" s="286"/>
      <c r="U13" s="295"/>
      <c r="V13" s="38" t="s">
        <v>788</v>
      </c>
      <c r="W13" s="29" t="s">
        <v>74</v>
      </c>
      <c r="X13" s="29" t="s">
        <v>11</v>
      </c>
      <c r="Y13" s="39">
        <v>57.9</v>
      </c>
      <c r="AD13" s="38"/>
      <c r="AG13" s="39"/>
      <c r="AL13" s="38"/>
      <c r="AO13" s="39"/>
      <c r="AP13" s="38"/>
      <c r="AS13" s="39"/>
      <c r="AW13" s="39"/>
      <c r="BA13" s="40"/>
    </row>
    <row r="14" spans="1:53" s="29" customFormat="1" x14ac:dyDescent="0.15">
      <c r="A14" s="52">
        <v>1962.6</v>
      </c>
      <c r="B14" s="295"/>
      <c r="C14" s="411" t="s">
        <v>853</v>
      </c>
      <c r="D14" s="411"/>
      <c r="E14" s="29">
        <v>291</v>
      </c>
      <c r="G14" s="66">
        <v>19</v>
      </c>
      <c r="J14" s="73">
        <v>19</v>
      </c>
      <c r="K14" s="47">
        <f t="shared" si="1"/>
        <v>100</v>
      </c>
      <c r="L14" s="47">
        <f t="shared" si="1"/>
        <v>0</v>
      </c>
      <c r="M14" s="47">
        <f t="shared" si="1"/>
        <v>0</v>
      </c>
      <c r="N14" s="68">
        <f t="shared" si="2"/>
        <v>100</v>
      </c>
      <c r="O14" s="46">
        <v>57.9</v>
      </c>
      <c r="P14" s="47"/>
      <c r="Q14" s="47"/>
      <c r="R14" s="48">
        <f t="shared" si="3"/>
        <v>57.9</v>
      </c>
      <c r="S14" s="29">
        <v>1</v>
      </c>
      <c r="T14" s="286"/>
      <c r="U14" s="295"/>
      <c r="V14" s="38" t="s">
        <v>788</v>
      </c>
      <c r="W14" s="29" t="s">
        <v>74</v>
      </c>
      <c r="X14" s="29" t="s">
        <v>11</v>
      </c>
      <c r="Y14" s="39">
        <v>57.9</v>
      </c>
      <c r="AD14" s="38"/>
      <c r="AG14" s="39"/>
      <c r="AL14" s="38"/>
      <c r="AO14" s="39"/>
      <c r="AP14" s="38"/>
      <c r="AS14" s="39"/>
      <c r="AW14" s="39"/>
      <c r="BA14" s="40"/>
    </row>
    <row r="15" spans="1:53" s="171" customFormat="1" x14ac:dyDescent="0.15">
      <c r="A15" s="216">
        <v>1963.05714285714</v>
      </c>
      <c r="B15" s="283">
        <v>23303</v>
      </c>
      <c r="C15" s="410" t="s">
        <v>789</v>
      </c>
      <c r="D15" s="410"/>
      <c r="E15" s="171">
        <f xml:space="preserve"> 365-E14</f>
        <v>74</v>
      </c>
      <c r="F15" s="171">
        <v>3</v>
      </c>
      <c r="G15" s="233">
        <v>23</v>
      </c>
      <c r="J15" s="241">
        <v>23</v>
      </c>
      <c r="K15" s="214">
        <f t="shared" si="1"/>
        <v>100</v>
      </c>
      <c r="L15" s="214">
        <f t="shared" si="1"/>
        <v>0</v>
      </c>
      <c r="M15" s="214">
        <f t="shared" si="1"/>
        <v>0</v>
      </c>
      <c r="N15" s="235">
        <f t="shared" si="2"/>
        <v>100</v>
      </c>
      <c r="O15" s="213">
        <v>57.9</v>
      </c>
      <c r="P15" s="214"/>
      <c r="Q15" s="214"/>
      <c r="R15" s="215">
        <f t="shared" si="3"/>
        <v>57.9</v>
      </c>
      <c r="S15" s="171">
        <v>1</v>
      </c>
      <c r="T15" s="285"/>
      <c r="U15" s="283">
        <v>23303</v>
      </c>
      <c r="V15" s="178" t="s">
        <v>788</v>
      </c>
      <c r="W15" s="171" t="s">
        <v>74</v>
      </c>
      <c r="X15" s="171" t="s">
        <v>11</v>
      </c>
      <c r="Y15" s="179">
        <v>57.9</v>
      </c>
      <c r="AD15" s="178"/>
      <c r="AG15" s="179"/>
      <c r="AL15" s="178"/>
      <c r="AO15" s="179"/>
      <c r="AP15" s="178"/>
      <c r="AS15" s="179"/>
      <c r="AW15" s="179"/>
      <c r="BA15" s="180"/>
    </row>
    <row r="16" spans="1:53" s="171" customFormat="1" x14ac:dyDescent="0.15">
      <c r="A16" s="216">
        <v>1963.5142857142901</v>
      </c>
      <c r="B16" s="283"/>
      <c r="C16" s="410" t="s">
        <v>789</v>
      </c>
      <c r="D16" s="410"/>
      <c r="E16" s="171">
        <v>290</v>
      </c>
      <c r="G16" s="233">
        <v>23</v>
      </c>
      <c r="J16" s="241">
        <v>23</v>
      </c>
      <c r="K16" s="214">
        <f t="shared" si="1"/>
        <v>100</v>
      </c>
      <c r="L16" s="214">
        <f t="shared" si="1"/>
        <v>0</v>
      </c>
      <c r="M16" s="214">
        <f t="shared" si="1"/>
        <v>0</v>
      </c>
      <c r="N16" s="235">
        <f t="shared" si="2"/>
        <v>100</v>
      </c>
      <c r="O16" s="213">
        <v>57.9</v>
      </c>
      <c r="P16" s="214"/>
      <c r="Q16" s="214"/>
      <c r="R16" s="215">
        <f t="shared" si="3"/>
        <v>57.9</v>
      </c>
      <c r="S16" s="171">
        <v>1</v>
      </c>
      <c r="T16" s="285"/>
      <c r="U16" s="283"/>
      <c r="V16" s="178" t="s">
        <v>788</v>
      </c>
      <c r="W16" s="171" t="s">
        <v>74</v>
      </c>
      <c r="X16" s="171" t="s">
        <v>11</v>
      </c>
      <c r="Y16" s="179">
        <v>57.9</v>
      </c>
      <c r="AD16" s="178"/>
      <c r="AG16" s="179"/>
      <c r="AL16" s="178"/>
      <c r="AO16" s="179"/>
      <c r="AP16" s="178"/>
      <c r="AS16" s="179"/>
      <c r="AW16" s="179"/>
      <c r="BA16" s="180"/>
    </row>
    <row r="17" spans="1:53" s="29" customFormat="1" x14ac:dyDescent="0.15">
      <c r="A17" s="52">
        <v>1963.9714285714299</v>
      </c>
      <c r="B17" s="295">
        <v>23667</v>
      </c>
      <c r="C17" s="411" t="s">
        <v>779</v>
      </c>
      <c r="D17" s="411"/>
      <c r="E17" s="29">
        <f xml:space="preserve"> 366-E16</f>
        <v>76</v>
      </c>
      <c r="F17" s="29">
        <v>1</v>
      </c>
      <c r="G17" s="66"/>
      <c r="I17" s="29">
        <v>23</v>
      </c>
      <c r="J17" s="73">
        <v>23</v>
      </c>
      <c r="K17" s="47">
        <f t="shared" si="1"/>
        <v>0</v>
      </c>
      <c r="L17" s="47">
        <f t="shared" si="1"/>
        <v>0</v>
      </c>
      <c r="M17" s="47">
        <f t="shared" si="1"/>
        <v>100</v>
      </c>
      <c r="N17" s="68">
        <f t="shared" si="2"/>
        <v>100</v>
      </c>
      <c r="O17" s="46"/>
      <c r="P17" s="47"/>
      <c r="Q17" s="47">
        <v>50.3</v>
      </c>
      <c r="R17" s="48">
        <f t="shared" si="3"/>
        <v>50.3</v>
      </c>
      <c r="S17" s="29">
        <v>1</v>
      </c>
      <c r="T17" s="286">
        <v>23665</v>
      </c>
      <c r="U17" s="295">
        <v>23667</v>
      </c>
      <c r="V17" s="38" t="s">
        <v>451</v>
      </c>
      <c r="W17" s="29" t="s">
        <v>20</v>
      </c>
      <c r="X17" s="29" t="s">
        <v>12</v>
      </c>
      <c r="Y17" s="39">
        <v>50.3</v>
      </c>
      <c r="AD17" s="38"/>
      <c r="AG17" s="39"/>
      <c r="AL17" s="38"/>
      <c r="AO17" s="39"/>
      <c r="AP17" s="38"/>
      <c r="AS17" s="39"/>
      <c r="AW17" s="39"/>
      <c r="BA17" s="40"/>
    </row>
    <row r="18" spans="1:53" s="29" customFormat="1" x14ac:dyDescent="0.15">
      <c r="A18" s="52">
        <v>1965</v>
      </c>
      <c r="B18" s="295"/>
      <c r="C18" s="411" t="s">
        <v>779</v>
      </c>
      <c r="D18" s="411"/>
      <c r="E18" s="29">
        <v>0</v>
      </c>
      <c r="G18" s="66"/>
      <c r="I18" s="29">
        <v>23</v>
      </c>
      <c r="J18" s="73">
        <v>23</v>
      </c>
      <c r="K18" s="47">
        <f t="shared" si="1"/>
        <v>0</v>
      </c>
      <c r="L18" s="47">
        <f t="shared" si="1"/>
        <v>0</v>
      </c>
      <c r="M18" s="47">
        <f t="shared" si="1"/>
        <v>100</v>
      </c>
      <c r="N18" s="68">
        <f t="shared" si="2"/>
        <v>100</v>
      </c>
      <c r="O18" s="46"/>
      <c r="P18" s="47"/>
      <c r="Q18" s="47">
        <v>50.3</v>
      </c>
      <c r="R18" s="48">
        <f t="shared" si="3"/>
        <v>50.3</v>
      </c>
      <c r="S18" s="29">
        <v>1</v>
      </c>
      <c r="T18" s="286"/>
      <c r="U18" s="295"/>
      <c r="V18" s="38" t="s">
        <v>451</v>
      </c>
      <c r="W18" s="29" t="s">
        <v>20</v>
      </c>
      <c r="X18" s="29" t="s">
        <v>12</v>
      </c>
      <c r="Y18" s="39">
        <v>50.3</v>
      </c>
      <c r="AD18" s="38"/>
      <c r="AG18" s="39"/>
      <c r="AL18" s="38"/>
      <c r="AO18" s="39"/>
      <c r="AP18" s="38"/>
      <c r="AS18" s="39"/>
      <c r="AW18" s="39"/>
      <c r="BA18" s="40"/>
    </row>
    <row r="19" spans="1:53" s="29" customFormat="1" x14ac:dyDescent="0.15">
      <c r="A19" s="52">
        <v>1964.88571428572</v>
      </c>
      <c r="B19" s="295"/>
      <c r="C19" s="411" t="s">
        <v>779</v>
      </c>
      <c r="D19" s="411"/>
      <c r="E19" s="29">
        <v>365</v>
      </c>
      <c r="G19" s="66"/>
      <c r="I19" s="29">
        <v>23</v>
      </c>
      <c r="J19" s="73">
        <v>23</v>
      </c>
      <c r="K19" s="47">
        <f t="shared" si="1"/>
        <v>0</v>
      </c>
      <c r="L19" s="47">
        <f t="shared" si="1"/>
        <v>0</v>
      </c>
      <c r="M19" s="47">
        <f t="shared" si="1"/>
        <v>100</v>
      </c>
      <c r="N19" s="68">
        <f t="shared" si="2"/>
        <v>100</v>
      </c>
      <c r="O19" s="46"/>
      <c r="P19" s="47"/>
      <c r="Q19" s="47">
        <v>50.3</v>
      </c>
      <c r="R19" s="48">
        <f t="shared" si="3"/>
        <v>50.3</v>
      </c>
      <c r="S19" s="29">
        <v>1</v>
      </c>
      <c r="T19" s="286"/>
      <c r="U19" s="295"/>
      <c r="V19" s="38" t="s">
        <v>451</v>
      </c>
      <c r="W19" s="29" t="s">
        <v>20</v>
      </c>
      <c r="X19" s="29" t="s">
        <v>12</v>
      </c>
      <c r="Y19" s="39">
        <v>50.3</v>
      </c>
      <c r="AD19" s="38"/>
      <c r="AG19" s="39"/>
      <c r="AL19" s="38"/>
      <c r="AO19" s="39"/>
      <c r="AP19" s="38"/>
      <c r="AS19" s="39"/>
      <c r="AW19" s="39"/>
      <c r="BA19" s="40"/>
    </row>
    <row r="20" spans="1:53" s="29" customFormat="1" x14ac:dyDescent="0.15">
      <c r="A20" s="52">
        <v>1966</v>
      </c>
      <c r="B20" s="295"/>
      <c r="C20" s="411" t="s">
        <v>779</v>
      </c>
      <c r="D20" s="411"/>
      <c r="E20" s="29">
        <v>95</v>
      </c>
      <c r="G20" s="66"/>
      <c r="I20" s="29">
        <v>23</v>
      </c>
      <c r="J20" s="73">
        <v>23</v>
      </c>
      <c r="K20" s="47">
        <f t="shared" si="1"/>
        <v>0</v>
      </c>
      <c r="L20" s="47">
        <f t="shared" si="1"/>
        <v>0</v>
      </c>
      <c r="M20" s="47">
        <f t="shared" si="1"/>
        <v>100</v>
      </c>
      <c r="N20" s="68">
        <f t="shared" si="2"/>
        <v>100</v>
      </c>
      <c r="O20" s="46"/>
      <c r="P20" s="47"/>
      <c r="Q20" s="47">
        <v>50.3</v>
      </c>
      <c r="R20" s="48">
        <f t="shared" si="3"/>
        <v>50.3</v>
      </c>
      <c r="S20" s="29">
        <v>1</v>
      </c>
      <c r="T20" s="286"/>
      <c r="U20" s="295"/>
      <c r="V20" s="38" t="s">
        <v>451</v>
      </c>
      <c r="W20" s="29" t="s">
        <v>20</v>
      </c>
      <c r="X20" s="29" t="s">
        <v>12</v>
      </c>
      <c r="Y20" s="39">
        <v>50.3</v>
      </c>
      <c r="AD20" s="38"/>
      <c r="AG20" s="39"/>
      <c r="AL20" s="38"/>
      <c r="AO20" s="39"/>
      <c r="AP20" s="38"/>
      <c r="AS20" s="39"/>
      <c r="AW20" s="39"/>
      <c r="BA20" s="40"/>
    </row>
    <row r="21" spans="1:53" s="171" customFormat="1" x14ac:dyDescent="0.15">
      <c r="A21" s="216">
        <v>1965.8</v>
      </c>
      <c r="B21" s="283">
        <v>24203</v>
      </c>
      <c r="C21" s="410" t="s">
        <v>780</v>
      </c>
      <c r="D21" s="410"/>
      <c r="E21" s="171">
        <f>365-E20</f>
        <v>270</v>
      </c>
      <c r="F21" s="171">
        <v>1</v>
      </c>
      <c r="G21" s="233"/>
      <c r="I21" s="171">
        <v>23</v>
      </c>
      <c r="J21" s="241">
        <v>23</v>
      </c>
      <c r="K21" s="214">
        <f t="shared" si="1"/>
        <v>0</v>
      </c>
      <c r="L21" s="214">
        <f t="shared" si="1"/>
        <v>0</v>
      </c>
      <c r="M21" s="214">
        <f t="shared" si="1"/>
        <v>100</v>
      </c>
      <c r="N21" s="235">
        <f t="shared" si="2"/>
        <v>100</v>
      </c>
      <c r="O21" s="213"/>
      <c r="P21" s="214"/>
      <c r="Q21" s="214">
        <v>57.8</v>
      </c>
      <c r="R21" s="215">
        <f t="shared" si="3"/>
        <v>57.8</v>
      </c>
      <c r="S21" s="171">
        <v>1</v>
      </c>
      <c r="T21" s="285">
        <v>24197</v>
      </c>
      <c r="U21" s="283">
        <v>24203</v>
      </c>
      <c r="V21" s="178" t="s">
        <v>451</v>
      </c>
      <c r="W21" s="171" t="s">
        <v>20</v>
      </c>
      <c r="X21" s="171" t="s">
        <v>12</v>
      </c>
      <c r="Y21" s="179">
        <v>57.8</v>
      </c>
      <c r="AD21" s="178"/>
      <c r="AG21" s="179"/>
      <c r="AL21" s="178"/>
      <c r="AO21" s="179"/>
      <c r="AP21" s="178"/>
      <c r="AS21" s="179"/>
      <c r="AW21" s="179"/>
      <c r="BA21" s="180"/>
    </row>
    <row r="22" spans="1:53" s="171" customFormat="1" x14ac:dyDescent="0.15">
      <c r="A22" s="216">
        <v>1967</v>
      </c>
      <c r="B22" s="283"/>
      <c r="C22" s="410" t="s">
        <v>780</v>
      </c>
      <c r="D22" s="410"/>
      <c r="E22" s="171">
        <v>0</v>
      </c>
      <c r="G22" s="233"/>
      <c r="I22" s="171">
        <v>23</v>
      </c>
      <c r="J22" s="241">
        <v>23</v>
      </c>
      <c r="K22" s="214">
        <f t="shared" si="1"/>
        <v>0</v>
      </c>
      <c r="L22" s="214">
        <f t="shared" si="1"/>
        <v>0</v>
      </c>
      <c r="M22" s="214">
        <f t="shared" si="1"/>
        <v>100</v>
      </c>
      <c r="N22" s="235">
        <f t="shared" si="2"/>
        <v>100</v>
      </c>
      <c r="O22" s="213"/>
      <c r="P22" s="214"/>
      <c r="Q22" s="214">
        <v>57.8</v>
      </c>
      <c r="R22" s="215">
        <f t="shared" si="3"/>
        <v>57.8</v>
      </c>
      <c r="S22" s="171">
        <v>1</v>
      </c>
      <c r="T22" s="285"/>
      <c r="U22" s="283"/>
      <c r="V22" s="178" t="s">
        <v>451</v>
      </c>
      <c r="W22" s="171" t="s">
        <v>20</v>
      </c>
      <c r="X22" s="171" t="s">
        <v>12</v>
      </c>
      <c r="Y22" s="179">
        <v>57.8</v>
      </c>
      <c r="AD22" s="178"/>
      <c r="AG22" s="179"/>
      <c r="AL22" s="178"/>
      <c r="AO22" s="179"/>
      <c r="AP22" s="178"/>
      <c r="AS22" s="179"/>
      <c r="AW22" s="179"/>
      <c r="BA22" s="180"/>
    </row>
    <row r="23" spans="1:53" s="171" customFormat="1" x14ac:dyDescent="0.15">
      <c r="A23" s="216">
        <v>1966.7142857142901</v>
      </c>
      <c r="B23" s="283"/>
      <c r="C23" s="410" t="s">
        <v>780</v>
      </c>
      <c r="D23" s="410"/>
      <c r="E23" s="171">
        <v>365</v>
      </c>
      <c r="G23" s="233"/>
      <c r="I23" s="171">
        <v>23</v>
      </c>
      <c r="J23" s="241">
        <v>23</v>
      </c>
      <c r="K23" s="214">
        <f t="shared" si="1"/>
        <v>0</v>
      </c>
      <c r="L23" s="214">
        <f t="shared" si="1"/>
        <v>0</v>
      </c>
      <c r="M23" s="214">
        <f t="shared" si="1"/>
        <v>100</v>
      </c>
      <c r="N23" s="235">
        <f t="shared" si="2"/>
        <v>100</v>
      </c>
      <c r="O23" s="213"/>
      <c r="P23" s="214"/>
      <c r="Q23" s="214">
        <v>57.8</v>
      </c>
      <c r="R23" s="215">
        <f t="shared" si="3"/>
        <v>57.8</v>
      </c>
      <c r="S23" s="171">
        <v>1</v>
      </c>
      <c r="T23" s="285"/>
      <c r="U23" s="283"/>
      <c r="V23" s="178" t="s">
        <v>451</v>
      </c>
      <c r="W23" s="171" t="s">
        <v>20</v>
      </c>
      <c r="X23" s="171" t="s">
        <v>12</v>
      </c>
      <c r="Y23" s="179">
        <v>57.8</v>
      </c>
      <c r="AD23" s="178"/>
      <c r="AG23" s="179"/>
      <c r="AL23" s="178"/>
      <c r="AO23" s="179"/>
      <c r="AP23" s="178"/>
      <c r="AS23" s="179"/>
      <c r="AW23" s="179"/>
      <c r="BA23" s="180"/>
    </row>
    <row r="24" spans="1:53" s="171" customFormat="1" x14ac:dyDescent="0.15">
      <c r="A24" s="216">
        <v>1968</v>
      </c>
      <c r="B24" s="283"/>
      <c r="C24" s="410" t="s">
        <v>780</v>
      </c>
      <c r="D24" s="410"/>
      <c r="E24" s="171">
        <v>0</v>
      </c>
      <c r="G24" s="233"/>
      <c r="I24" s="171">
        <v>23</v>
      </c>
      <c r="J24" s="241">
        <v>23</v>
      </c>
      <c r="K24" s="214">
        <f t="shared" si="1"/>
        <v>0</v>
      </c>
      <c r="L24" s="214">
        <f t="shared" si="1"/>
        <v>0</v>
      </c>
      <c r="M24" s="214">
        <f t="shared" si="1"/>
        <v>100</v>
      </c>
      <c r="N24" s="235">
        <f t="shared" si="2"/>
        <v>100</v>
      </c>
      <c r="O24" s="213"/>
      <c r="P24" s="214"/>
      <c r="Q24" s="214">
        <v>57.8</v>
      </c>
      <c r="R24" s="215">
        <f t="shared" si="3"/>
        <v>57.8</v>
      </c>
      <c r="S24" s="171">
        <v>1</v>
      </c>
      <c r="T24" s="285"/>
      <c r="U24" s="283"/>
      <c r="V24" s="178" t="s">
        <v>451</v>
      </c>
      <c r="W24" s="171" t="s">
        <v>20</v>
      </c>
      <c r="X24" s="171" t="s">
        <v>12</v>
      </c>
      <c r="Y24" s="179">
        <v>57.8</v>
      </c>
      <c r="AD24" s="178"/>
      <c r="AG24" s="179"/>
      <c r="AL24" s="178"/>
      <c r="AO24" s="179"/>
      <c r="AP24" s="178"/>
      <c r="AS24" s="179"/>
      <c r="AW24" s="179"/>
      <c r="BA24" s="180"/>
    </row>
    <row r="25" spans="1:53" s="171" customFormat="1" x14ac:dyDescent="0.15">
      <c r="A25" s="216">
        <v>1967.62857142857</v>
      </c>
      <c r="B25" s="283"/>
      <c r="C25" s="410" t="s">
        <v>780</v>
      </c>
      <c r="D25" s="410"/>
      <c r="E25" s="171">
        <v>366</v>
      </c>
      <c r="G25" s="233"/>
      <c r="I25" s="171">
        <v>23</v>
      </c>
      <c r="J25" s="241">
        <v>23</v>
      </c>
      <c r="K25" s="214">
        <f t="shared" si="1"/>
        <v>0</v>
      </c>
      <c r="L25" s="214">
        <f t="shared" si="1"/>
        <v>0</v>
      </c>
      <c r="M25" s="214">
        <f t="shared" si="1"/>
        <v>100</v>
      </c>
      <c r="N25" s="235">
        <f t="shared" si="2"/>
        <v>100</v>
      </c>
      <c r="O25" s="213"/>
      <c r="P25" s="214"/>
      <c r="Q25" s="214">
        <v>57.8</v>
      </c>
      <c r="R25" s="215">
        <f t="shared" si="3"/>
        <v>57.8</v>
      </c>
      <c r="S25" s="171">
        <v>1</v>
      </c>
      <c r="T25" s="285"/>
      <c r="U25" s="283"/>
      <c r="V25" s="178" t="s">
        <v>451</v>
      </c>
      <c r="W25" s="171" t="s">
        <v>20</v>
      </c>
      <c r="X25" s="171" t="s">
        <v>12</v>
      </c>
      <c r="Y25" s="179">
        <v>57.8</v>
      </c>
      <c r="AD25" s="178"/>
      <c r="AG25" s="179"/>
      <c r="AL25" s="178"/>
      <c r="AO25" s="179"/>
      <c r="AP25" s="178"/>
      <c r="AS25" s="179"/>
      <c r="AW25" s="179"/>
      <c r="BA25" s="180"/>
    </row>
    <row r="26" spans="1:53" s="171" customFormat="1" x14ac:dyDescent="0.15">
      <c r="A26" s="216">
        <v>1969</v>
      </c>
      <c r="B26" s="283"/>
      <c r="C26" s="410" t="s">
        <v>780</v>
      </c>
      <c r="D26" s="410"/>
      <c r="E26" s="171">
        <v>0</v>
      </c>
      <c r="G26" s="233"/>
      <c r="I26" s="171">
        <v>23</v>
      </c>
      <c r="J26" s="241">
        <v>23</v>
      </c>
      <c r="K26" s="214">
        <f t="shared" si="1"/>
        <v>0</v>
      </c>
      <c r="L26" s="214">
        <f t="shared" si="1"/>
        <v>0</v>
      </c>
      <c r="M26" s="214">
        <f t="shared" si="1"/>
        <v>100</v>
      </c>
      <c r="N26" s="235">
        <f t="shared" si="2"/>
        <v>100</v>
      </c>
      <c r="O26" s="213"/>
      <c r="P26" s="214"/>
      <c r="Q26" s="214">
        <v>57.8</v>
      </c>
      <c r="R26" s="215">
        <f t="shared" si="3"/>
        <v>57.8</v>
      </c>
      <c r="S26" s="171">
        <v>1</v>
      </c>
      <c r="T26" s="285"/>
      <c r="U26" s="283"/>
      <c r="V26" s="178" t="s">
        <v>451</v>
      </c>
      <c r="W26" s="171" t="s">
        <v>20</v>
      </c>
      <c r="X26" s="171" t="s">
        <v>12</v>
      </c>
      <c r="Y26" s="179">
        <v>57.8</v>
      </c>
      <c r="AD26" s="178"/>
      <c r="AG26" s="179"/>
      <c r="AL26" s="178"/>
      <c r="AO26" s="179"/>
      <c r="AP26" s="178"/>
      <c r="AS26" s="179"/>
      <c r="AW26" s="179"/>
      <c r="BA26" s="180"/>
    </row>
    <row r="27" spans="1:53" s="171" customFormat="1" x14ac:dyDescent="0.15">
      <c r="A27" s="216">
        <v>1968.5428571428599</v>
      </c>
      <c r="B27" s="283"/>
      <c r="C27" s="410" t="s">
        <v>780</v>
      </c>
      <c r="D27" s="410"/>
      <c r="E27" s="171">
        <v>365</v>
      </c>
      <c r="G27" s="233"/>
      <c r="I27" s="171">
        <v>23</v>
      </c>
      <c r="J27" s="241">
        <v>23</v>
      </c>
      <c r="K27" s="214">
        <f t="shared" si="1"/>
        <v>0</v>
      </c>
      <c r="L27" s="214">
        <f t="shared" si="1"/>
        <v>0</v>
      </c>
      <c r="M27" s="214">
        <f t="shared" si="1"/>
        <v>100</v>
      </c>
      <c r="N27" s="235">
        <f t="shared" si="2"/>
        <v>100</v>
      </c>
      <c r="O27" s="213"/>
      <c r="P27" s="214"/>
      <c r="Q27" s="214">
        <v>57.8</v>
      </c>
      <c r="R27" s="215">
        <f t="shared" si="3"/>
        <v>57.8</v>
      </c>
      <c r="S27" s="171">
        <v>1</v>
      </c>
      <c r="T27" s="285"/>
      <c r="U27" s="283"/>
      <c r="V27" s="178" t="s">
        <v>451</v>
      </c>
      <c r="W27" s="171" t="s">
        <v>20</v>
      </c>
      <c r="X27" s="171" t="s">
        <v>12</v>
      </c>
      <c r="Y27" s="179">
        <v>57.8</v>
      </c>
      <c r="AD27" s="178"/>
      <c r="AG27" s="179"/>
      <c r="AL27" s="178"/>
      <c r="AO27" s="179"/>
      <c r="AP27" s="178"/>
      <c r="AS27" s="179"/>
      <c r="AW27" s="179"/>
      <c r="BA27" s="180"/>
    </row>
    <row r="28" spans="1:53" s="171" customFormat="1" x14ac:dyDescent="0.15">
      <c r="A28" s="216">
        <v>1970</v>
      </c>
      <c r="B28" s="283"/>
      <c r="C28" s="410" t="s">
        <v>780</v>
      </c>
      <c r="D28" s="410"/>
      <c r="E28" s="171">
        <v>170</v>
      </c>
      <c r="G28" s="233"/>
      <c r="I28" s="171">
        <v>23</v>
      </c>
      <c r="J28" s="241">
        <v>23</v>
      </c>
      <c r="K28" s="214">
        <f t="shared" si="1"/>
        <v>0</v>
      </c>
      <c r="L28" s="214">
        <f t="shared" si="1"/>
        <v>0</v>
      </c>
      <c r="M28" s="214">
        <f t="shared" si="1"/>
        <v>100</v>
      </c>
      <c r="N28" s="235">
        <f t="shared" si="2"/>
        <v>100</v>
      </c>
      <c r="O28" s="213"/>
      <c r="P28" s="214"/>
      <c r="Q28" s="214">
        <v>57.8</v>
      </c>
      <c r="R28" s="215">
        <f t="shared" si="3"/>
        <v>57.8</v>
      </c>
      <c r="S28" s="171">
        <v>1</v>
      </c>
      <c r="T28" s="285"/>
      <c r="U28" s="283"/>
      <c r="V28" s="178" t="s">
        <v>451</v>
      </c>
      <c r="W28" s="171" t="s">
        <v>20</v>
      </c>
      <c r="X28" s="171" t="s">
        <v>12</v>
      </c>
      <c r="Y28" s="179">
        <v>57.8</v>
      </c>
      <c r="AD28" s="178"/>
      <c r="AG28" s="179"/>
      <c r="AL28" s="178"/>
      <c r="AO28" s="179"/>
      <c r="AP28" s="178"/>
      <c r="AS28" s="179"/>
      <c r="AW28" s="179"/>
      <c r="BA28" s="180"/>
    </row>
    <row r="29" spans="1:53" s="29" customFormat="1" x14ac:dyDescent="0.15">
      <c r="A29" s="52">
        <v>1970</v>
      </c>
      <c r="B29" s="295">
        <v>25739</v>
      </c>
      <c r="C29" s="411" t="s">
        <v>790</v>
      </c>
      <c r="D29" s="411"/>
      <c r="E29" s="29">
        <f xml:space="preserve"> 365-E28</f>
        <v>195</v>
      </c>
      <c r="F29" s="29">
        <v>1</v>
      </c>
      <c r="G29" s="66">
        <v>18</v>
      </c>
      <c r="J29" s="73">
        <v>18</v>
      </c>
      <c r="K29" s="47">
        <f t="shared" si="1"/>
        <v>100</v>
      </c>
      <c r="L29" s="47">
        <f t="shared" si="1"/>
        <v>0</v>
      </c>
      <c r="M29" s="47">
        <f t="shared" si="1"/>
        <v>0</v>
      </c>
      <c r="N29" s="68">
        <f t="shared" si="2"/>
        <v>100</v>
      </c>
      <c r="O29" s="46">
        <v>52.4</v>
      </c>
      <c r="P29" s="47"/>
      <c r="Q29" s="47"/>
      <c r="R29" s="48">
        <f t="shared" si="3"/>
        <v>52.4</v>
      </c>
      <c r="S29" s="29">
        <v>1</v>
      </c>
      <c r="T29" s="286">
        <v>25737</v>
      </c>
      <c r="U29" s="295">
        <v>25739</v>
      </c>
      <c r="V29" s="38" t="s">
        <v>788</v>
      </c>
      <c r="W29" s="29" t="s">
        <v>74</v>
      </c>
      <c r="X29" s="29" t="s">
        <v>11</v>
      </c>
      <c r="Y29" s="39">
        <v>52.4</v>
      </c>
      <c r="AD29" s="38"/>
      <c r="AG29" s="39"/>
      <c r="AL29" s="38"/>
      <c r="AO29" s="39"/>
      <c r="AP29" s="38"/>
      <c r="AS29" s="39"/>
      <c r="AW29" s="39"/>
      <c r="BA29" s="40"/>
    </row>
    <row r="30" spans="1:53" s="29" customFormat="1" x14ac:dyDescent="0.15">
      <c r="A30" s="52">
        <v>1971</v>
      </c>
      <c r="B30" s="295"/>
      <c r="C30" s="411" t="s">
        <v>790</v>
      </c>
      <c r="D30" s="411"/>
      <c r="E30" s="29">
        <v>0</v>
      </c>
      <c r="G30" s="66">
        <v>18</v>
      </c>
      <c r="J30" s="73">
        <v>18</v>
      </c>
      <c r="K30" s="47">
        <f t="shared" si="1"/>
        <v>100</v>
      </c>
      <c r="L30" s="47">
        <f t="shared" si="1"/>
        <v>0</v>
      </c>
      <c r="M30" s="47">
        <f t="shared" si="1"/>
        <v>0</v>
      </c>
      <c r="N30" s="68">
        <f t="shared" si="2"/>
        <v>100</v>
      </c>
      <c r="O30" s="46">
        <v>52.4</v>
      </c>
      <c r="P30" s="47"/>
      <c r="Q30" s="47"/>
      <c r="R30" s="48">
        <f t="shared" si="3"/>
        <v>52.4</v>
      </c>
      <c r="S30" s="29">
        <v>1</v>
      </c>
      <c r="T30" s="286"/>
      <c r="U30" s="295"/>
      <c r="V30" s="38" t="s">
        <v>788</v>
      </c>
      <c r="W30" s="29" t="s">
        <v>74</v>
      </c>
      <c r="X30" s="29" t="s">
        <v>11</v>
      </c>
      <c r="Y30" s="39">
        <v>52.4</v>
      </c>
      <c r="AD30" s="38"/>
      <c r="AG30" s="39"/>
      <c r="AL30" s="38"/>
      <c r="AO30" s="39"/>
      <c r="AP30" s="38"/>
      <c r="AS30" s="39"/>
      <c r="AW30" s="39"/>
      <c r="BA30" s="40"/>
    </row>
    <row r="31" spans="1:53" s="29" customFormat="1" x14ac:dyDescent="0.15">
      <c r="A31" s="52">
        <v>1971</v>
      </c>
      <c r="B31" s="295"/>
      <c r="C31" s="411" t="s">
        <v>790</v>
      </c>
      <c r="D31" s="411"/>
      <c r="E31" s="29">
        <v>365</v>
      </c>
      <c r="G31" s="66">
        <v>18</v>
      </c>
      <c r="J31" s="73">
        <v>18</v>
      </c>
      <c r="K31" s="47">
        <f t="shared" si="1"/>
        <v>100</v>
      </c>
      <c r="L31" s="47">
        <f t="shared" si="1"/>
        <v>0</v>
      </c>
      <c r="M31" s="47">
        <f t="shared" si="1"/>
        <v>0</v>
      </c>
      <c r="N31" s="68">
        <f t="shared" si="2"/>
        <v>100</v>
      </c>
      <c r="O31" s="46">
        <v>52.4</v>
      </c>
      <c r="P31" s="47"/>
      <c r="Q31" s="47"/>
      <c r="R31" s="48">
        <f t="shared" si="3"/>
        <v>52.4</v>
      </c>
      <c r="S31" s="29">
        <v>1</v>
      </c>
      <c r="T31" s="286"/>
      <c r="U31" s="295"/>
      <c r="V31" s="38" t="s">
        <v>788</v>
      </c>
      <c r="W31" s="29" t="s">
        <v>74</v>
      </c>
      <c r="X31" s="29" t="s">
        <v>11</v>
      </c>
      <c r="Y31" s="39">
        <v>52.4</v>
      </c>
      <c r="AD31" s="38"/>
      <c r="AG31" s="39"/>
      <c r="AL31" s="38"/>
      <c r="AO31" s="39"/>
      <c r="AP31" s="38"/>
      <c r="AS31" s="39"/>
      <c r="AW31" s="39"/>
      <c r="BA31" s="40"/>
    </row>
    <row r="32" spans="1:53" s="29" customFormat="1" x14ac:dyDescent="0.15">
      <c r="A32" s="52">
        <v>1972</v>
      </c>
      <c r="B32" s="295"/>
      <c r="C32" s="411" t="s">
        <v>790</v>
      </c>
      <c r="D32" s="411"/>
      <c r="E32" s="29">
        <v>0</v>
      </c>
      <c r="G32" s="66">
        <v>18</v>
      </c>
      <c r="J32" s="73">
        <v>18</v>
      </c>
      <c r="K32" s="47">
        <f t="shared" si="1"/>
        <v>100</v>
      </c>
      <c r="L32" s="47">
        <f t="shared" si="1"/>
        <v>0</v>
      </c>
      <c r="M32" s="47">
        <f t="shared" si="1"/>
        <v>0</v>
      </c>
      <c r="N32" s="68">
        <f t="shared" si="2"/>
        <v>100</v>
      </c>
      <c r="O32" s="46">
        <v>52.4</v>
      </c>
      <c r="P32" s="47"/>
      <c r="Q32" s="47"/>
      <c r="R32" s="48">
        <f t="shared" si="3"/>
        <v>52.4</v>
      </c>
      <c r="S32" s="29">
        <v>1</v>
      </c>
      <c r="T32" s="286"/>
      <c r="U32" s="295"/>
      <c r="V32" s="38" t="s">
        <v>788</v>
      </c>
      <c r="W32" s="29" t="s">
        <v>74</v>
      </c>
      <c r="X32" s="29" t="s">
        <v>11</v>
      </c>
      <c r="Y32" s="39">
        <v>52.4</v>
      </c>
      <c r="AD32" s="38"/>
      <c r="AG32" s="39"/>
      <c r="AL32" s="38"/>
      <c r="AO32" s="39"/>
      <c r="AP32" s="38"/>
      <c r="AS32" s="39"/>
      <c r="AW32" s="39"/>
      <c r="BA32" s="40"/>
    </row>
    <row r="33" spans="1:53" s="29" customFormat="1" x14ac:dyDescent="0.15">
      <c r="A33" s="52">
        <v>1972</v>
      </c>
      <c r="B33" s="295"/>
      <c r="C33" s="411" t="s">
        <v>790</v>
      </c>
      <c r="D33" s="411"/>
      <c r="E33" s="29">
        <v>366</v>
      </c>
      <c r="G33" s="66">
        <v>18</v>
      </c>
      <c r="J33" s="73">
        <v>18</v>
      </c>
      <c r="K33" s="47">
        <f t="shared" si="1"/>
        <v>100</v>
      </c>
      <c r="L33" s="47">
        <f t="shared" si="1"/>
        <v>0</v>
      </c>
      <c r="M33" s="47">
        <f t="shared" si="1"/>
        <v>0</v>
      </c>
      <c r="N33" s="68">
        <f t="shared" si="2"/>
        <v>100</v>
      </c>
      <c r="O33" s="46">
        <v>52.4</v>
      </c>
      <c r="P33" s="47"/>
      <c r="Q33" s="47"/>
      <c r="R33" s="48">
        <f t="shared" si="3"/>
        <v>52.4</v>
      </c>
      <c r="S33" s="29">
        <v>1</v>
      </c>
      <c r="T33" s="286"/>
      <c r="U33" s="295"/>
      <c r="V33" s="38" t="s">
        <v>788</v>
      </c>
      <c r="W33" s="29" t="s">
        <v>74</v>
      </c>
      <c r="X33" s="29" t="s">
        <v>11</v>
      </c>
      <c r="Y33" s="39">
        <v>52.4</v>
      </c>
      <c r="AD33" s="38"/>
      <c r="AG33" s="39"/>
      <c r="AL33" s="38"/>
      <c r="AO33" s="39"/>
      <c r="AP33" s="38"/>
      <c r="AS33" s="39"/>
      <c r="AW33" s="39"/>
      <c r="BA33" s="40"/>
    </row>
    <row r="34" spans="1:53" s="29" customFormat="1" x14ac:dyDescent="0.15">
      <c r="A34" s="52">
        <v>1973</v>
      </c>
      <c r="B34" s="295"/>
      <c r="C34" s="411" t="s">
        <v>790</v>
      </c>
      <c r="D34" s="411"/>
      <c r="E34" s="29">
        <v>0</v>
      </c>
      <c r="G34" s="66">
        <v>18</v>
      </c>
      <c r="J34" s="73">
        <v>18</v>
      </c>
      <c r="K34" s="47">
        <f t="shared" si="1"/>
        <v>100</v>
      </c>
      <c r="L34" s="47">
        <f t="shared" si="1"/>
        <v>0</v>
      </c>
      <c r="M34" s="47">
        <f t="shared" si="1"/>
        <v>0</v>
      </c>
      <c r="N34" s="68">
        <f t="shared" si="2"/>
        <v>100</v>
      </c>
      <c r="O34" s="46">
        <v>52.4</v>
      </c>
      <c r="P34" s="47"/>
      <c r="Q34" s="47"/>
      <c r="R34" s="48">
        <f t="shared" si="3"/>
        <v>52.4</v>
      </c>
      <c r="S34" s="29">
        <v>1</v>
      </c>
      <c r="T34" s="286"/>
      <c r="U34" s="295"/>
      <c r="V34" s="38" t="s">
        <v>788</v>
      </c>
      <c r="W34" s="29" t="s">
        <v>74</v>
      </c>
      <c r="X34" s="29" t="s">
        <v>11</v>
      </c>
      <c r="Y34" s="39">
        <v>52.4</v>
      </c>
      <c r="AD34" s="38"/>
      <c r="AG34" s="39"/>
      <c r="AL34" s="38"/>
      <c r="AO34" s="39"/>
      <c r="AP34" s="38"/>
      <c r="AS34" s="39"/>
      <c r="AW34" s="39"/>
      <c r="BA34" s="40"/>
    </row>
    <row r="35" spans="1:53" s="29" customFormat="1" x14ac:dyDescent="0.15">
      <c r="A35" s="52">
        <v>1973</v>
      </c>
      <c r="B35" s="295"/>
      <c r="C35" s="411" t="s">
        <v>790</v>
      </c>
      <c r="D35" s="411"/>
      <c r="E35" s="29">
        <v>365</v>
      </c>
      <c r="G35" s="66">
        <v>18</v>
      </c>
      <c r="J35" s="73">
        <v>18</v>
      </c>
      <c r="K35" s="47">
        <f t="shared" si="1"/>
        <v>100</v>
      </c>
      <c r="L35" s="47">
        <f t="shared" si="1"/>
        <v>0</v>
      </c>
      <c r="M35" s="47">
        <f t="shared" si="1"/>
        <v>0</v>
      </c>
      <c r="N35" s="68">
        <f t="shared" si="2"/>
        <v>100</v>
      </c>
      <c r="O35" s="46">
        <v>52.4</v>
      </c>
      <c r="P35" s="47"/>
      <c r="Q35" s="47"/>
      <c r="R35" s="48">
        <f t="shared" si="3"/>
        <v>52.4</v>
      </c>
      <c r="S35" s="29">
        <v>1</v>
      </c>
      <c r="T35" s="286"/>
      <c r="U35" s="295"/>
      <c r="V35" s="38" t="s">
        <v>788</v>
      </c>
      <c r="W35" s="29" t="s">
        <v>74</v>
      </c>
      <c r="X35" s="29" t="s">
        <v>11</v>
      </c>
      <c r="Y35" s="39">
        <v>52.4</v>
      </c>
      <c r="AD35" s="38"/>
      <c r="AG35" s="39"/>
      <c r="AL35" s="38"/>
      <c r="AO35" s="39"/>
      <c r="AP35" s="38"/>
      <c r="AS35" s="39"/>
      <c r="AW35" s="39"/>
      <c r="BA35" s="40"/>
    </row>
    <row r="36" spans="1:53" s="29" customFormat="1" x14ac:dyDescent="0.15">
      <c r="A36" s="52">
        <v>1974</v>
      </c>
      <c r="B36" s="295"/>
      <c r="C36" s="411" t="s">
        <v>790</v>
      </c>
      <c r="D36" s="411"/>
      <c r="E36" s="29">
        <v>63</v>
      </c>
      <c r="G36" s="66">
        <v>18</v>
      </c>
      <c r="J36" s="73">
        <v>18</v>
      </c>
      <c r="K36" s="47">
        <f t="shared" si="1"/>
        <v>100</v>
      </c>
      <c r="L36" s="47">
        <f t="shared" si="1"/>
        <v>0</v>
      </c>
      <c r="M36" s="47">
        <f t="shared" si="1"/>
        <v>0</v>
      </c>
      <c r="N36" s="68">
        <f t="shared" si="2"/>
        <v>100</v>
      </c>
      <c r="O36" s="46">
        <v>52.4</v>
      </c>
      <c r="P36" s="47"/>
      <c r="Q36" s="47"/>
      <c r="R36" s="48">
        <f t="shared" si="3"/>
        <v>52.4</v>
      </c>
      <c r="S36" s="29">
        <v>1</v>
      </c>
      <c r="T36" s="286"/>
      <c r="U36" s="295"/>
      <c r="V36" s="38" t="s">
        <v>788</v>
      </c>
      <c r="W36" s="29" t="s">
        <v>74</v>
      </c>
      <c r="X36" s="29" t="s">
        <v>11</v>
      </c>
      <c r="Y36" s="39">
        <v>52.4</v>
      </c>
      <c r="AD36" s="38"/>
      <c r="AG36" s="39"/>
      <c r="AL36" s="38"/>
      <c r="AO36" s="39"/>
      <c r="AP36" s="38"/>
      <c r="AS36" s="39"/>
      <c r="AW36" s="39"/>
      <c r="BA36" s="40"/>
    </row>
    <row r="37" spans="1:53" s="171" customFormat="1" x14ac:dyDescent="0.15">
      <c r="A37" s="216">
        <v>1974</v>
      </c>
      <c r="B37" s="283">
        <v>27093</v>
      </c>
      <c r="C37" s="410" t="s">
        <v>781</v>
      </c>
      <c r="D37" s="410"/>
      <c r="E37" s="171">
        <v>227</v>
      </c>
      <c r="F37" s="171">
        <v>1</v>
      </c>
      <c r="G37" s="233"/>
      <c r="I37" s="171">
        <v>20</v>
      </c>
      <c r="J37" s="241">
        <v>20</v>
      </c>
      <c r="K37" s="214">
        <f t="shared" si="1"/>
        <v>0</v>
      </c>
      <c r="L37" s="214">
        <f t="shared" si="1"/>
        <v>0</v>
      </c>
      <c r="M37" s="214">
        <f t="shared" si="1"/>
        <v>100</v>
      </c>
      <c r="N37" s="235">
        <f t="shared" si="2"/>
        <v>100</v>
      </c>
      <c r="O37" s="213"/>
      <c r="P37" s="214"/>
      <c r="Q37" s="214">
        <v>45.7</v>
      </c>
      <c r="R37" s="215">
        <f t="shared" si="3"/>
        <v>45.7</v>
      </c>
      <c r="S37" s="171">
        <v>4</v>
      </c>
      <c r="T37" s="285"/>
      <c r="U37" s="283">
        <v>27093</v>
      </c>
      <c r="V37" s="178" t="s">
        <v>451</v>
      </c>
      <c r="W37" s="171" t="s">
        <v>20</v>
      </c>
      <c r="X37" s="171" t="s">
        <v>12</v>
      </c>
      <c r="Y37" s="179">
        <v>45.7</v>
      </c>
      <c r="AD37" s="178"/>
      <c r="AG37" s="179"/>
      <c r="AL37" s="178"/>
      <c r="AO37" s="179"/>
      <c r="AP37" s="178"/>
      <c r="AS37" s="179"/>
      <c r="AW37" s="179"/>
      <c r="BA37" s="180"/>
    </row>
    <row r="38" spans="1:53" s="29" customFormat="1" x14ac:dyDescent="0.15">
      <c r="A38" s="52">
        <v>1974</v>
      </c>
      <c r="B38" s="295">
        <v>27320</v>
      </c>
      <c r="C38" s="411" t="s">
        <v>782</v>
      </c>
      <c r="D38" s="411"/>
      <c r="E38" s="29">
        <f xml:space="preserve"> 365-E37-E36</f>
        <v>75</v>
      </c>
      <c r="F38" s="29">
        <v>1</v>
      </c>
      <c r="G38" s="66"/>
      <c r="I38" s="29">
        <v>23</v>
      </c>
      <c r="J38" s="73">
        <v>23</v>
      </c>
      <c r="K38" s="47">
        <f t="shared" si="1"/>
        <v>0</v>
      </c>
      <c r="L38" s="47">
        <f t="shared" si="1"/>
        <v>0</v>
      </c>
      <c r="M38" s="47">
        <f t="shared" si="1"/>
        <v>100</v>
      </c>
      <c r="N38" s="68">
        <f t="shared" si="2"/>
        <v>100</v>
      </c>
      <c r="O38" s="46"/>
      <c r="P38" s="47"/>
      <c r="Q38" s="47">
        <v>50.2</v>
      </c>
      <c r="R38" s="48">
        <f t="shared" si="3"/>
        <v>50.2</v>
      </c>
      <c r="S38" s="29">
        <v>1</v>
      </c>
      <c r="T38" s="286">
        <v>27312</v>
      </c>
      <c r="U38" s="295">
        <v>27320</v>
      </c>
      <c r="V38" s="38" t="s">
        <v>451</v>
      </c>
      <c r="W38" s="29" t="s">
        <v>20</v>
      </c>
      <c r="X38" s="29" t="s">
        <v>12</v>
      </c>
      <c r="Y38" s="39">
        <v>50.2</v>
      </c>
      <c r="AD38" s="38"/>
      <c r="AG38" s="39"/>
      <c r="AL38" s="38"/>
      <c r="AO38" s="39"/>
      <c r="AP38" s="38"/>
      <c r="AS38" s="39"/>
      <c r="AW38" s="39"/>
      <c r="BA38" s="40"/>
    </row>
    <row r="39" spans="1:53" s="29" customFormat="1" x14ac:dyDescent="0.15">
      <c r="A39" s="52">
        <v>1975</v>
      </c>
      <c r="B39" s="295"/>
      <c r="C39" s="411" t="s">
        <v>782</v>
      </c>
      <c r="D39" s="411"/>
      <c r="E39" s="29">
        <v>0</v>
      </c>
      <c r="G39" s="66"/>
      <c r="I39" s="29">
        <v>23</v>
      </c>
      <c r="J39" s="73">
        <v>23</v>
      </c>
      <c r="K39" s="47">
        <f t="shared" si="1"/>
        <v>0</v>
      </c>
      <c r="L39" s="47">
        <f t="shared" si="1"/>
        <v>0</v>
      </c>
      <c r="M39" s="47">
        <f t="shared" si="1"/>
        <v>100</v>
      </c>
      <c r="N39" s="68">
        <f t="shared" si="2"/>
        <v>100</v>
      </c>
      <c r="O39" s="46"/>
      <c r="P39" s="47"/>
      <c r="Q39" s="47">
        <v>50.2</v>
      </c>
      <c r="R39" s="48">
        <f t="shared" si="3"/>
        <v>50.2</v>
      </c>
      <c r="S39" s="29">
        <v>1</v>
      </c>
      <c r="T39" s="286"/>
      <c r="U39" s="295"/>
      <c r="V39" s="38" t="s">
        <v>451</v>
      </c>
      <c r="W39" s="29" t="s">
        <v>20</v>
      </c>
      <c r="X39" s="29" t="s">
        <v>12</v>
      </c>
      <c r="Y39" s="39">
        <v>50.2</v>
      </c>
      <c r="AD39" s="38"/>
      <c r="AG39" s="39"/>
      <c r="AL39" s="38"/>
      <c r="AO39" s="39"/>
      <c r="AP39" s="38"/>
      <c r="AS39" s="39"/>
      <c r="AW39" s="39"/>
      <c r="BA39" s="40"/>
    </row>
    <row r="40" spans="1:53" s="29" customFormat="1" x14ac:dyDescent="0.15">
      <c r="A40" s="52">
        <v>1975</v>
      </c>
      <c r="B40" s="295"/>
      <c r="C40" s="411" t="s">
        <v>782</v>
      </c>
      <c r="D40" s="411"/>
      <c r="E40" s="29">
        <v>365</v>
      </c>
      <c r="G40" s="66"/>
      <c r="I40" s="29">
        <v>23</v>
      </c>
      <c r="J40" s="73">
        <v>23</v>
      </c>
      <c r="K40" s="47">
        <f t="shared" si="1"/>
        <v>0</v>
      </c>
      <c r="L40" s="47">
        <f t="shared" si="1"/>
        <v>0</v>
      </c>
      <c r="M40" s="47">
        <f t="shared" si="1"/>
        <v>100</v>
      </c>
      <c r="N40" s="68">
        <f t="shared" si="2"/>
        <v>100</v>
      </c>
      <c r="O40" s="46"/>
      <c r="P40" s="47"/>
      <c r="Q40" s="47">
        <v>50.2</v>
      </c>
      <c r="R40" s="48">
        <f t="shared" si="3"/>
        <v>50.2</v>
      </c>
      <c r="S40" s="29">
        <v>1</v>
      </c>
      <c r="T40" s="286"/>
      <c r="U40" s="295"/>
      <c r="V40" s="38" t="s">
        <v>451</v>
      </c>
      <c r="W40" s="29" t="s">
        <v>20</v>
      </c>
      <c r="X40" s="29" t="s">
        <v>12</v>
      </c>
      <c r="Y40" s="39">
        <v>50.2</v>
      </c>
      <c r="AD40" s="38"/>
      <c r="AG40" s="39"/>
      <c r="AL40" s="38"/>
      <c r="AO40" s="39"/>
      <c r="AP40" s="38"/>
      <c r="AS40" s="39"/>
      <c r="AW40" s="39"/>
      <c r="BA40" s="40"/>
    </row>
    <row r="41" spans="1:53" s="29" customFormat="1" x14ac:dyDescent="0.15">
      <c r="A41" s="52">
        <v>1976</v>
      </c>
      <c r="B41" s="295"/>
      <c r="C41" s="411" t="s">
        <v>782</v>
      </c>
      <c r="D41" s="411"/>
      <c r="E41" s="29">
        <v>96</v>
      </c>
      <c r="G41" s="66"/>
      <c r="I41" s="29">
        <v>23</v>
      </c>
      <c r="J41" s="73">
        <v>23</v>
      </c>
      <c r="K41" s="47">
        <f t="shared" si="1"/>
        <v>0</v>
      </c>
      <c r="L41" s="47">
        <f t="shared" si="1"/>
        <v>0</v>
      </c>
      <c r="M41" s="47">
        <f t="shared" si="1"/>
        <v>100</v>
      </c>
      <c r="N41" s="68">
        <f t="shared" si="2"/>
        <v>100</v>
      </c>
      <c r="O41" s="46"/>
      <c r="P41" s="47"/>
      <c r="Q41" s="47">
        <v>50.2</v>
      </c>
      <c r="R41" s="48">
        <f t="shared" si="3"/>
        <v>50.2</v>
      </c>
      <c r="S41" s="29">
        <v>1</v>
      </c>
      <c r="T41" s="286"/>
      <c r="U41" s="295"/>
      <c r="V41" s="38" t="s">
        <v>451</v>
      </c>
      <c r="W41" s="29" t="s">
        <v>20</v>
      </c>
      <c r="X41" s="29" t="s">
        <v>12</v>
      </c>
      <c r="Y41" s="39">
        <v>50.2</v>
      </c>
      <c r="AD41" s="38"/>
      <c r="AG41" s="39"/>
      <c r="AL41" s="38"/>
      <c r="AO41" s="39"/>
      <c r="AP41" s="38"/>
      <c r="AS41" s="39"/>
      <c r="AW41" s="39"/>
      <c r="BA41" s="40"/>
    </row>
    <row r="42" spans="1:53" s="171" customFormat="1" x14ac:dyDescent="0.15">
      <c r="A42" s="216">
        <v>1976</v>
      </c>
      <c r="B42" s="283">
        <v>27856</v>
      </c>
      <c r="C42" s="410" t="s">
        <v>783</v>
      </c>
      <c r="D42" s="410"/>
      <c r="E42" s="171">
        <f>366-E41</f>
        <v>270</v>
      </c>
      <c r="F42" s="171">
        <v>2</v>
      </c>
      <c r="G42" s="233"/>
      <c r="I42" s="171">
        <v>16</v>
      </c>
      <c r="J42" s="241">
        <v>16</v>
      </c>
      <c r="K42" s="214">
        <f t="shared" si="1"/>
        <v>0</v>
      </c>
      <c r="L42" s="214">
        <f t="shared" si="1"/>
        <v>0</v>
      </c>
      <c r="M42" s="214">
        <f t="shared" si="1"/>
        <v>100</v>
      </c>
      <c r="N42" s="235">
        <f t="shared" si="2"/>
        <v>100</v>
      </c>
      <c r="O42" s="213"/>
      <c r="P42" s="214"/>
      <c r="Q42" s="214">
        <v>50.2</v>
      </c>
      <c r="R42" s="215">
        <f t="shared" si="3"/>
        <v>50.2</v>
      </c>
      <c r="S42" s="171">
        <v>1</v>
      </c>
      <c r="T42" s="285"/>
      <c r="U42" s="283">
        <v>27856</v>
      </c>
      <c r="V42" s="178" t="s">
        <v>451</v>
      </c>
      <c r="W42" s="171" t="s">
        <v>20</v>
      </c>
      <c r="X42" s="171" t="s">
        <v>12</v>
      </c>
      <c r="Y42" s="179">
        <v>50.2</v>
      </c>
      <c r="AD42" s="178"/>
      <c r="AG42" s="179"/>
      <c r="AL42" s="178"/>
      <c r="AO42" s="179"/>
      <c r="AP42" s="178"/>
      <c r="AS42" s="179"/>
      <c r="AW42" s="179"/>
      <c r="BA42" s="180"/>
    </row>
    <row r="43" spans="1:53" s="171" customFormat="1" x14ac:dyDescent="0.15">
      <c r="A43" s="216">
        <v>1977</v>
      </c>
      <c r="B43" s="283"/>
      <c r="C43" s="410" t="s">
        <v>783</v>
      </c>
      <c r="D43" s="410"/>
      <c r="E43" s="171">
        <v>0</v>
      </c>
      <c r="G43" s="233"/>
      <c r="I43" s="171">
        <v>16</v>
      </c>
      <c r="J43" s="241">
        <v>16</v>
      </c>
      <c r="K43" s="214">
        <f t="shared" si="1"/>
        <v>0</v>
      </c>
      <c r="L43" s="214">
        <f t="shared" si="1"/>
        <v>0</v>
      </c>
      <c r="M43" s="214">
        <f t="shared" si="1"/>
        <v>100</v>
      </c>
      <c r="N43" s="235">
        <f t="shared" si="2"/>
        <v>100</v>
      </c>
      <c r="O43" s="213"/>
      <c r="P43" s="214"/>
      <c r="Q43" s="214">
        <v>50.2</v>
      </c>
      <c r="R43" s="215">
        <f t="shared" si="3"/>
        <v>50.2</v>
      </c>
      <c r="S43" s="171">
        <v>1</v>
      </c>
      <c r="T43" s="285"/>
      <c r="U43" s="283"/>
      <c r="V43" s="178" t="s">
        <v>451</v>
      </c>
      <c r="W43" s="171" t="s">
        <v>20</v>
      </c>
      <c r="X43" s="171" t="s">
        <v>12</v>
      </c>
      <c r="Y43" s="179">
        <v>50.2</v>
      </c>
      <c r="AD43" s="178"/>
      <c r="AG43" s="179"/>
      <c r="AL43" s="178"/>
      <c r="AO43" s="179"/>
      <c r="AP43" s="178"/>
      <c r="AS43" s="179"/>
      <c r="AW43" s="179"/>
      <c r="BA43" s="180"/>
    </row>
    <row r="44" spans="1:53" s="171" customFormat="1" x14ac:dyDescent="0.15">
      <c r="A44" s="216">
        <v>1977</v>
      </c>
      <c r="B44" s="283"/>
      <c r="C44" s="410" t="s">
        <v>783</v>
      </c>
      <c r="D44" s="410"/>
      <c r="E44" s="171">
        <v>365</v>
      </c>
      <c r="G44" s="233"/>
      <c r="I44" s="171">
        <v>16</v>
      </c>
      <c r="J44" s="241">
        <v>16</v>
      </c>
      <c r="K44" s="214">
        <f t="shared" si="1"/>
        <v>0</v>
      </c>
      <c r="L44" s="214">
        <f t="shared" si="1"/>
        <v>0</v>
      </c>
      <c r="M44" s="214">
        <f t="shared" si="1"/>
        <v>100</v>
      </c>
      <c r="N44" s="235">
        <f t="shared" si="2"/>
        <v>100</v>
      </c>
      <c r="O44" s="213"/>
      <c r="P44" s="214"/>
      <c r="Q44" s="214">
        <v>50.2</v>
      </c>
      <c r="R44" s="215">
        <f t="shared" si="3"/>
        <v>50.2</v>
      </c>
      <c r="S44" s="171">
        <v>1</v>
      </c>
      <c r="T44" s="285"/>
      <c r="U44" s="283"/>
      <c r="V44" s="178" t="s">
        <v>451</v>
      </c>
      <c r="W44" s="171" t="s">
        <v>20</v>
      </c>
      <c r="X44" s="171" t="s">
        <v>12</v>
      </c>
      <c r="Y44" s="179">
        <v>50.2</v>
      </c>
      <c r="AD44" s="178"/>
      <c r="AG44" s="179"/>
      <c r="AL44" s="178"/>
      <c r="AO44" s="179"/>
      <c r="AP44" s="178"/>
      <c r="AS44" s="179"/>
      <c r="AW44" s="179"/>
      <c r="BA44" s="180"/>
    </row>
    <row r="45" spans="1:53" s="171" customFormat="1" x14ac:dyDescent="0.15">
      <c r="A45" s="216">
        <v>1978</v>
      </c>
      <c r="B45" s="283"/>
      <c r="C45" s="410" t="s">
        <v>783</v>
      </c>
      <c r="D45" s="410"/>
      <c r="E45" s="171">
        <v>0</v>
      </c>
      <c r="G45" s="233"/>
      <c r="I45" s="171">
        <v>16</v>
      </c>
      <c r="J45" s="241">
        <v>16</v>
      </c>
      <c r="K45" s="214">
        <f t="shared" si="1"/>
        <v>0</v>
      </c>
      <c r="L45" s="214">
        <f t="shared" si="1"/>
        <v>0</v>
      </c>
      <c r="M45" s="214">
        <f t="shared" si="1"/>
        <v>100</v>
      </c>
      <c r="N45" s="235">
        <f t="shared" si="2"/>
        <v>100</v>
      </c>
      <c r="O45" s="213"/>
      <c r="P45" s="214"/>
      <c r="Q45" s="214">
        <v>50.2</v>
      </c>
      <c r="R45" s="215">
        <f t="shared" si="3"/>
        <v>50.2</v>
      </c>
      <c r="S45" s="171">
        <v>1</v>
      </c>
      <c r="T45" s="285"/>
      <c r="U45" s="283"/>
      <c r="V45" s="178" t="s">
        <v>451</v>
      </c>
      <c r="W45" s="171" t="s">
        <v>20</v>
      </c>
      <c r="X45" s="171" t="s">
        <v>12</v>
      </c>
      <c r="Y45" s="179">
        <v>50.2</v>
      </c>
      <c r="AD45" s="178"/>
      <c r="AG45" s="179"/>
      <c r="AL45" s="178"/>
      <c r="AO45" s="179"/>
      <c r="AP45" s="178"/>
      <c r="AS45" s="179"/>
      <c r="AW45" s="179"/>
      <c r="BA45" s="180"/>
    </row>
    <row r="46" spans="1:53" s="171" customFormat="1" x14ac:dyDescent="0.15">
      <c r="A46" s="216">
        <v>1978</v>
      </c>
      <c r="B46" s="283"/>
      <c r="C46" s="410" t="s">
        <v>783</v>
      </c>
      <c r="D46" s="410"/>
      <c r="E46" s="171">
        <v>365</v>
      </c>
      <c r="G46" s="233"/>
      <c r="I46" s="171">
        <v>16</v>
      </c>
      <c r="J46" s="241">
        <v>16</v>
      </c>
      <c r="K46" s="214">
        <f t="shared" si="1"/>
        <v>0</v>
      </c>
      <c r="L46" s="214">
        <f t="shared" si="1"/>
        <v>0</v>
      </c>
      <c r="M46" s="214">
        <f t="shared" si="1"/>
        <v>100</v>
      </c>
      <c r="N46" s="235">
        <f t="shared" si="2"/>
        <v>100</v>
      </c>
      <c r="O46" s="213"/>
      <c r="P46" s="214"/>
      <c r="Q46" s="214">
        <v>50.2</v>
      </c>
      <c r="R46" s="215">
        <f t="shared" si="3"/>
        <v>50.2</v>
      </c>
      <c r="S46" s="171">
        <v>1</v>
      </c>
      <c r="T46" s="285"/>
      <c r="U46" s="283"/>
      <c r="V46" s="178" t="s">
        <v>451</v>
      </c>
      <c r="W46" s="171" t="s">
        <v>20</v>
      </c>
      <c r="X46" s="171" t="s">
        <v>12</v>
      </c>
      <c r="Y46" s="179">
        <v>50.2</v>
      </c>
      <c r="AD46" s="178"/>
      <c r="AG46" s="179"/>
      <c r="AL46" s="178"/>
      <c r="AO46" s="179"/>
      <c r="AP46" s="178"/>
      <c r="AS46" s="179"/>
      <c r="AW46" s="179"/>
      <c r="BA46" s="180"/>
    </row>
    <row r="47" spans="1:53" s="171" customFormat="1" x14ac:dyDescent="0.15">
      <c r="A47" s="216">
        <v>1979</v>
      </c>
      <c r="B47" s="283"/>
      <c r="C47" s="410" t="s">
        <v>783</v>
      </c>
      <c r="D47" s="410"/>
      <c r="E47" s="171">
        <v>124</v>
      </c>
      <c r="G47" s="233"/>
      <c r="I47" s="171">
        <v>16</v>
      </c>
      <c r="J47" s="241">
        <v>16</v>
      </c>
      <c r="K47" s="214">
        <f t="shared" si="1"/>
        <v>0</v>
      </c>
      <c r="L47" s="214">
        <f t="shared" si="1"/>
        <v>0</v>
      </c>
      <c r="M47" s="214">
        <f t="shared" si="1"/>
        <v>100</v>
      </c>
      <c r="N47" s="235">
        <f t="shared" si="2"/>
        <v>100</v>
      </c>
      <c r="O47" s="213"/>
      <c r="P47" s="214"/>
      <c r="Q47" s="214">
        <v>50.2</v>
      </c>
      <c r="R47" s="215">
        <f t="shared" si="3"/>
        <v>50.2</v>
      </c>
      <c r="S47" s="171">
        <v>1</v>
      </c>
      <c r="T47" s="285"/>
      <c r="U47" s="283"/>
      <c r="V47" s="178" t="s">
        <v>451</v>
      </c>
      <c r="W47" s="171" t="s">
        <v>20</v>
      </c>
      <c r="X47" s="171" t="s">
        <v>12</v>
      </c>
      <c r="Y47" s="179">
        <v>50.2</v>
      </c>
      <c r="AD47" s="178"/>
      <c r="AG47" s="179"/>
      <c r="AL47" s="178"/>
      <c r="AO47" s="179"/>
      <c r="AP47" s="178"/>
      <c r="AS47" s="179"/>
      <c r="AW47" s="179"/>
      <c r="BA47" s="180"/>
    </row>
    <row r="48" spans="1:53" s="29" customFormat="1" x14ac:dyDescent="0.15">
      <c r="A48" s="52">
        <v>1979</v>
      </c>
      <c r="B48" s="295">
        <v>28980</v>
      </c>
      <c r="C48" s="411" t="s">
        <v>791</v>
      </c>
      <c r="D48" s="411"/>
      <c r="E48" s="29">
        <f>365-E47</f>
        <v>241</v>
      </c>
      <c r="F48" s="29">
        <v>1</v>
      </c>
      <c r="G48" s="66">
        <v>22</v>
      </c>
      <c r="J48" s="73">
        <v>22</v>
      </c>
      <c r="K48" s="47">
        <f t="shared" si="1"/>
        <v>100</v>
      </c>
      <c r="L48" s="47">
        <f t="shared" si="1"/>
        <v>0</v>
      </c>
      <c r="M48" s="47">
        <f t="shared" si="1"/>
        <v>0</v>
      </c>
      <c r="N48" s="68">
        <f t="shared" si="2"/>
        <v>100</v>
      </c>
      <c r="O48" s="46">
        <v>53.4</v>
      </c>
      <c r="P48" s="47"/>
      <c r="Q48" s="47"/>
      <c r="R48" s="48">
        <f t="shared" si="3"/>
        <v>53.4</v>
      </c>
      <c r="S48" s="29">
        <v>1</v>
      </c>
      <c r="T48" s="286">
        <v>28978</v>
      </c>
      <c r="U48" s="295">
        <v>28980</v>
      </c>
      <c r="V48" s="38" t="s">
        <v>788</v>
      </c>
      <c r="W48" s="29" t="s">
        <v>74</v>
      </c>
      <c r="X48" s="29" t="s">
        <v>11</v>
      </c>
      <c r="Y48" s="39">
        <v>53.4</v>
      </c>
      <c r="AD48" s="38"/>
      <c r="AG48" s="39"/>
      <c r="AL48" s="38"/>
      <c r="AO48" s="39"/>
      <c r="AP48" s="38"/>
      <c r="AS48" s="39"/>
      <c r="AW48" s="39"/>
      <c r="BA48" s="40"/>
    </row>
    <row r="49" spans="1:53" s="29" customFormat="1" x14ac:dyDescent="0.15">
      <c r="A49" s="52">
        <v>1980</v>
      </c>
      <c r="B49" s="295"/>
      <c r="C49" s="411" t="s">
        <v>791</v>
      </c>
      <c r="D49" s="411"/>
      <c r="E49" s="29">
        <v>0</v>
      </c>
      <c r="G49" s="66">
        <v>22</v>
      </c>
      <c r="J49" s="73">
        <v>22</v>
      </c>
      <c r="K49" s="47">
        <f t="shared" si="1"/>
        <v>100</v>
      </c>
      <c r="L49" s="47">
        <f t="shared" si="1"/>
        <v>0</v>
      </c>
      <c r="M49" s="47">
        <f t="shared" si="1"/>
        <v>0</v>
      </c>
      <c r="N49" s="68">
        <f t="shared" si="2"/>
        <v>100</v>
      </c>
      <c r="O49" s="46">
        <v>53.4</v>
      </c>
      <c r="P49" s="47"/>
      <c r="Q49" s="47"/>
      <c r="R49" s="48">
        <f t="shared" si="3"/>
        <v>53.4</v>
      </c>
      <c r="S49" s="29">
        <v>1</v>
      </c>
      <c r="T49" s="286"/>
      <c r="U49" s="295"/>
      <c r="V49" s="38" t="s">
        <v>788</v>
      </c>
      <c r="W49" s="29" t="s">
        <v>74</v>
      </c>
      <c r="X49" s="29" t="s">
        <v>11</v>
      </c>
      <c r="Y49" s="39">
        <v>53.4</v>
      </c>
      <c r="AD49" s="38"/>
      <c r="AG49" s="39"/>
      <c r="AL49" s="38"/>
      <c r="AO49" s="39"/>
      <c r="AP49" s="38"/>
      <c r="AS49" s="39"/>
      <c r="AW49" s="39"/>
      <c r="BA49" s="40"/>
    </row>
    <row r="50" spans="1:53" s="29" customFormat="1" x14ac:dyDescent="0.15">
      <c r="A50" s="52">
        <v>1980</v>
      </c>
      <c r="B50" s="295"/>
      <c r="C50" s="411" t="s">
        <v>791</v>
      </c>
      <c r="D50" s="411"/>
      <c r="E50" s="29">
        <v>366</v>
      </c>
      <c r="G50" s="66">
        <v>22</v>
      </c>
      <c r="J50" s="73">
        <v>22</v>
      </c>
      <c r="K50" s="47">
        <f t="shared" si="1"/>
        <v>100</v>
      </c>
      <c r="L50" s="47">
        <f t="shared" si="1"/>
        <v>0</v>
      </c>
      <c r="M50" s="47">
        <f t="shared" si="1"/>
        <v>0</v>
      </c>
      <c r="N50" s="68">
        <f t="shared" si="2"/>
        <v>100</v>
      </c>
      <c r="O50" s="46">
        <v>53.4</v>
      </c>
      <c r="P50" s="47"/>
      <c r="Q50" s="47"/>
      <c r="R50" s="48">
        <f t="shared" si="3"/>
        <v>53.4</v>
      </c>
      <c r="S50" s="29">
        <v>1</v>
      </c>
      <c r="T50" s="286"/>
      <c r="U50" s="295"/>
      <c r="V50" s="38" t="s">
        <v>788</v>
      </c>
      <c r="W50" s="29" t="s">
        <v>74</v>
      </c>
      <c r="X50" s="29" t="s">
        <v>11</v>
      </c>
      <c r="Y50" s="39">
        <v>53.4</v>
      </c>
      <c r="AD50" s="38"/>
      <c r="AG50" s="39"/>
      <c r="AL50" s="38"/>
      <c r="AO50" s="39"/>
      <c r="AP50" s="38"/>
      <c r="AS50" s="39"/>
      <c r="AW50" s="39"/>
      <c r="BA50" s="40"/>
    </row>
    <row r="51" spans="1:53" s="29" customFormat="1" x14ac:dyDescent="0.15">
      <c r="A51" s="52">
        <v>1981</v>
      </c>
      <c r="B51" s="295"/>
      <c r="C51" s="411" t="s">
        <v>791</v>
      </c>
      <c r="D51" s="411"/>
      <c r="E51" s="29">
        <v>0</v>
      </c>
      <c r="G51" s="66">
        <v>22</v>
      </c>
      <c r="J51" s="73">
        <v>22</v>
      </c>
      <c r="K51" s="47">
        <f t="shared" si="1"/>
        <v>100</v>
      </c>
      <c r="L51" s="47">
        <f t="shared" si="1"/>
        <v>0</v>
      </c>
      <c r="M51" s="47">
        <f t="shared" si="1"/>
        <v>0</v>
      </c>
      <c r="N51" s="68">
        <f t="shared" si="2"/>
        <v>100</v>
      </c>
      <c r="O51" s="46">
        <v>53.4</v>
      </c>
      <c r="P51" s="47"/>
      <c r="Q51" s="47"/>
      <c r="R51" s="48">
        <f t="shared" si="3"/>
        <v>53.4</v>
      </c>
      <c r="S51" s="29">
        <v>1</v>
      </c>
      <c r="T51" s="286"/>
      <c r="U51" s="295"/>
      <c r="V51" s="38" t="s">
        <v>788</v>
      </c>
      <c r="W51" s="29" t="s">
        <v>74</v>
      </c>
      <c r="X51" s="29" t="s">
        <v>11</v>
      </c>
      <c r="Y51" s="39">
        <v>53.4</v>
      </c>
      <c r="AD51" s="38"/>
      <c r="AG51" s="39"/>
      <c r="AL51" s="38"/>
      <c r="AO51" s="39"/>
      <c r="AP51" s="38"/>
      <c r="AS51" s="39"/>
      <c r="AW51" s="39"/>
      <c r="BA51" s="40"/>
    </row>
    <row r="52" spans="1:53" s="29" customFormat="1" x14ac:dyDescent="0.15">
      <c r="A52" s="52">
        <v>1981</v>
      </c>
      <c r="B52" s="295"/>
      <c r="C52" s="411" t="s">
        <v>791</v>
      </c>
      <c r="D52" s="411"/>
      <c r="E52" s="29">
        <v>365</v>
      </c>
      <c r="G52" s="66">
        <v>22</v>
      </c>
      <c r="J52" s="73">
        <v>22</v>
      </c>
      <c r="K52" s="47">
        <f t="shared" si="1"/>
        <v>100</v>
      </c>
      <c r="L52" s="47">
        <f t="shared" si="1"/>
        <v>0</v>
      </c>
      <c r="M52" s="47">
        <f t="shared" si="1"/>
        <v>0</v>
      </c>
      <c r="N52" s="68">
        <f t="shared" si="2"/>
        <v>100</v>
      </c>
      <c r="O52" s="46">
        <v>53.4</v>
      </c>
      <c r="P52" s="47"/>
      <c r="Q52" s="47"/>
      <c r="R52" s="48">
        <f t="shared" si="3"/>
        <v>53.4</v>
      </c>
      <c r="S52" s="29">
        <v>1</v>
      </c>
      <c r="T52" s="286"/>
      <c r="U52" s="295"/>
      <c r="V52" s="38" t="s">
        <v>788</v>
      </c>
      <c r="W52" s="29" t="s">
        <v>74</v>
      </c>
      <c r="X52" s="29" t="s">
        <v>11</v>
      </c>
      <c r="Y52" s="39">
        <v>53.4</v>
      </c>
      <c r="AD52" s="38"/>
      <c r="AG52" s="39"/>
      <c r="AL52" s="38"/>
      <c r="AO52" s="39"/>
      <c r="AP52" s="38"/>
      <c r="AS52" s="39"/>
      <c r="AW52" s="39"/>
      <c r="BA52" s="40"/>
    </row>
    <row r="53" spans="1:53" s="29" customFormat="1" x14ac:dyDescent="0.15">
      <c r="A53" s="52">
        <v>1982</v>
      </c>
      <c r="B53" s="295"/>
      <c r="C53" s="411" t="s">
        <v>791</v>
      </c>
      <c r="D53" s="411"/>
      <c r="E53" s="29">
        <v>0</v>
      </c>
      <c r="G53" s="66">
        <v>22</v>
      </c>
      <c r="J53" s="73">
        <v>22</v>
      </c>
      <c r="K53" s="47">
        <f t="shared" si="1"/>
        <v>100</v>
      </c>
      <c r="L53" s="47">
        <f t="shared" si="1"/>
        <v>0</v>
      </c>
      <c r="M53" s="47">
        <f t="shared" si="1"/>
        <v>0</v>
      </c>
      <c r="N53" s="68">
        <f t="shared" si="2"/>
        <v>100</v>
      </c>
      <c r="O53" s="46">
        <v>53.4</v>
      </c>
      <c r="P53" s="47"/>
      <c r="Q53" s="47"/>
      <c r="R53" s="48">
        <f t="shared" si="3"/>
        <v>53.4</v>
      </c>
      <c r="S53" s="29">
        <v>1</v>
      </c>
      <c r="T53" s="286"/>
      <c r="U53" s="295"/>
      <c r="V53" s="38" t="s">
        <v>788</v>
      </c>
      <c r="W53" s="29" t="s">
        <v>74</v>
      </c>
      <c r="X53" s="29" t="s">
        <v>11</v>
      </c>
      <c r="Y53" s="39">
        <v>53.4</v>
      </c>
      <c r="AD53" s="38"/>
      <c r="AG53" s="39"/>
      <c r="AL53" s="38"/>
      <c r="AO53" s="39"/>
      <c r="AP53" s="38"/>
      <c r="AS53" s="39"/>
      <c r="AW53" s="39"/>
      <c r="BA53" s="40"/>
    </row>
    <row r="54" spans="1:53" s="29" customFormat="1" x14ac:dyDescent="0.15">
      <c r="A54" s="52">
        <v>1982</v>
      </c>
      <c r="B54" s="295"/>
      <c r="C54" s="411" t="s">
        <v>791</v>
      </c>
      <c r="D54" s="411"/>
      <c r="E54" s="29">
        <v>365</v>
      </c>
      <c r="G54" s="66">
        <v>22</v>
      </c>
      <c r="J54" s="73">
        <v>22</v>
      </c>
      <c r="K54" s="47">
        <f t="shared" si="1"/>
        <v>100</v>
      </c>
      <c r="L54" s="47">
        <f t="shared" si="1"/>
        <v>0</v>
      </c>
      <c r="M54" s="47">
        <f t="shared" si="1"/>
        <v>0</v>
      </c>
      <c r="N54" s="68">
        <f t="shared" si="2"/>
        <v>100</v>
      </c>
      <c r="O54" s="46">
        <v>53.4</v>
      </c>
      <c r="P54" s="47"/>
      <c r="Q54" s="47"/>
      <c r="R54" s="48">
        <f t="shared" si="3"/>
        <v>53.4</v>
      </c>
      <c r="S54" s="29">
        <v>1</v>
      </c>
      <c r="T54" s="286"/>
      <c r="U54" s="295"/>
      <c r="V54" s="38" t="s">
        <v>788</v>
      </c>
      <c r="W54" s="29" t="s">
        <v>74</v>
      </c>
      <c r="X54" s="29" t="s">
        <v>11</v>
      </c>
      <c r="Y54" s="39">
        <v>53.4</v>
      </c>
      <c r="AD54" s="38"/>
      <c r="AG54" s="39"/>
      <c r="AL54" s="38"/>
      <c r="AO54" s="39"/>
      <c r="AP54" s="38"/>
      <c r="AS54" s="39"/>
      <c r="AW54" s="39"/>
      <c r="BA54" s="40"/>
    </row>
    <row r="55" spans="1:53" s="29" customFormat="1" x14ac:dyDescent="0.15">
      <c r="A55" s="52">
        <v>1983</v>
      </c>
      <c r="B55" s="295"/>
      <c r="C55" s="411" t="s">
        <v>791</v>
      </c>
      <c r="D55" s="411"/>
      <c r="E55" s="29">
        <v>162</v>
      </c>
      <c r="G55" s="66">
        <v>22</v>
      </c>
      <c r="J55" s="73">
        <v>22</v>
      </c>
      <c r="K55" s="47">
        <f t="shared" si="1"/>
        <v>100</v>
      </c>
      <c r="L55" s="47">
        <f t="shared" si="1"/>
        <v>0</v>
      </c>
      <c r="M55" s="47">
        <f t="shared" si="1"/>
        <v>0</v>
      </c>
      <c r="N55" s="68">
        <f t="shared" si="2"/>
        <v>100</v>
      </c>
      <c r="O55" s="46">
        <v>53.4</v>
      </c>
      <c r="P55" s="47"/>
      <c r="Q55" s="47"/>
      <c r="R55" s="48">
        <f t="shared" si="3"/>
        <v>53.4</v>
      </c>
      <c r="S55" s="29">
        <v>1</v>
      </c>
      <c r="T55" s="286"/>
      <c r="U55" s="295"/>
      <c r="V55" s="38" t="s">
        <v>788</v>
      </c>
      <c r="W55" s="29" t="s">
        <v>74</v>
      </c>
      <c r="X55" s="29" t="s">
        <v>11</v>
      </c>
      <c r="Y55" s="39">
        <v>53.4</v>
      </c>
      <c r="AD55" s="38"/>
      <c r="AG55" s="39"/>
      <c r="AL55" s="38"/>
      <c r="AO55" s="39"/>
      <c r="AP55" s="38"/>
      <c r="AS55" s="39"/>
      <c r="AW55" s="39"/>
      <c r="BA55" s="40"/>
    </row>
    <row r="56" spans="1:53" s="171" customFormat="1" x14ac:dyDescent="0.15">
      <c r="A56" s="216">
        <v>1983</v>
      </c>
      <c r="B56" s="283">
        <v>30479</v>
      </c>
      <c r="C56" s="410" t="s">
        <v>792</v>
      </c>
      <c r="D56" s="410"/>
      <c r="E56" s="171">
        <f>365-E55</f>
        <v>203</v>
      </c>
      <c r="F56" s="171">
        <v>1</v>
      </c>
      <c r="G56" s="233">
        <v>21</v>
      </c>
      <c r="J56" s="241">
        <v>21</v>
      </c>
      <c r="K56" s="214">
        <f t="shared" si="1"/>
        <v>100</v>
      </c>
      <c r="L56" s="214">
        <f t="shared" si="1"/>
        <v>0</v>
      </c>
      <c r="M56" s="214">
        <f t="shared" si="1"/>
        <v>0</v>
      </c>
      <c r="N56" s="235">
        <f t="shared" si="2"/>
        <v>100</v>
      </c>
      <c r="O56" s="213">
        <v>61.1</v>
      </c>
      <c r="P56" s="214"/>
      <c r="Q56" s="214"/>
      <c r="R56" s="215">
        <f t="shared" si="3"/>
        <v>61.1</v>
      </c>
      <c r="S56" s="171">
        <v>1</v>
      </c>
      <c r="T56" s="285">
        <v>30476</v>
      </c>
      <c r="U56" s="283">
        <v>30479</v>
      </c>
      <c r="V56" s="178" t="s">
        <v>788</v>
      </c>
      <c r="W56" s="171" t="s">
        <v>74</v>
      </c>
      <c r="X56" s="171" t="s">
        <v>11</v>
      </c>
      <c r="Y56" s="179">
        <v>61.1</v>
      </c>
      <c r="AD56" s="178"/>
      <c r="AG56" s="179"/>
      <c r="AL56" s="178"/>
      <c r="AO56" s="179"/>
      <c r="AP56" s="178"/>
      <c r="AS56" s="179"/>
      <c r="AW56" s="179"/>
      <c r="BA56" s="180"/>
    </row>
    <row r="57" spans="1:53" s="171" customFormat="1" x14ac:dyDescent="0.15">
      <c r="A57" s="216">
        <v>1984</v>
      </c>
      <c r="B57" s="283"/>
      <c r="C57" s="410" t="s">
        <v>792</v>
      </c>
      <c r="D57" s="410"/>
      <c r="E57" s="171">
        <v>0</v>
      </c>
      <c r="G57" s="233">
        <v>21</v>
      </c>
      <c r="J57" s="241">
        <v>21</v>
      </c>
      <c r="K57" s="214">
        <f t="shared" si="1"/>
        <v>100</v>
      </c>
      <c r="L57" s="214">
        <f t="shared" si="1"/>
        <v>0</v>
      </c>
      <c r="M57" s="214">
        <f t="shared" si="1"/>
        <v>0</v>
      </c>
      <c r="N57" s="235">
        <f t="shared" si="2"/>
        <v>100</v>
      </c>
      <c r="O57" s="213">
        <v>61.1</v>
      </c>
      <c r="P57" s="214"/>
      <c r="Q57" s="214"/>
      <c r="R57" s="215">
        <f t="shared" si="3"/>
        <v>61.1</v>
      </c>
      <c r="S57" s="171">
        <v>1</v>
      </c>
      <c r="T57" s="285"/>
      <c r="U57" s="283"/>
      <c r="V57" s="178" t="s">
        <v>788</v>
      </c>
      <c r="W57" s="171" t="s">
        <v>74</v>
      </c>
      <c r="X57" s="171" t="s">
        <v>11</v>
      </c>
      <c r="Y57" s="179">
        <v>61.1</v>
      </c>
      <c r="AD57" s="178"/>
      <c r="AG57" s="179"/>
      <c r="AL57" s="178"/>
      <c r="AO57" s="179"/>
      <c r="AP57" s="178"/>
      <c r="AS57" s="179"/>
      <c r="AW57" s="179"/>
      <c r="BA57" s="180"/>
    </row>
    <row r="58" spans="1:53" s="171" customFormat="1" x14ac:dyDescent="0.15">
      <c r="A58" s="216">
        <v>1984</v>
      </c>
      <c r="B58" s="283"/>
      <c r="C58" s="410" t="s">
        <v>792</v>
      </c>
      <c r="D58" s="410"/>
      <c r="E58" s="171">
        <v>366</v>
      </c>
      <c r="G58" s="233">
        <v>21</v>
      </c>
      <c r="J58" s="241">
        <v>21</v>
      </c>
      <c r="K58" s="214">
        <f t="shared" si="1"/>
        <v>100</v>
      </c>
      <c r="L58" s="214">
        <f t="shared" si="1"/>
        <v>0</v>
      </c>
      <c r="M58" s="214">
        <f t="shared" si="1"/>
        <v>0</v>
      </c>
      <c r="N58" s="235">
        <f t="shared" si="2"/>
        <v>100</v>
      </c>
      <c r="O58" s="213">
        <v>61.1</v>
      </c>
      <c r="P58" s="214"/>
      <c r="Q58" s="214"/>
      <c r="R58" s="215">
        <f t="shared" si="3"/>
        <v>61.1</v>
      </c>
      <c r="S58" s="171">
        <v>1</v>
      </c>
      <c r="T58" s="285"/>
      <c r="U58" s="283"/>
      <c r="V58" s="178" t="s">
        <v>788</v>
      </c>
      <c r="W58" s="171" t="s">
        <v>74</v>
      </c>
      <c r="X58" s="171" t="s">
        <v>11</v>
      </c>
      <c r="Y58" s="179">
        <v>61.1</v>
      </c>
      <c r="AD58" s="178"/>
      <c r="AG58" s="179"/>
      <c r="AL58" s="178"/>
      <c r="AO58" s="179"/>
      <c r="AP58" s="178"/>
      <c r="AS58" s="179"/>
      <c r="AW58" s="179"/>
      <c r="BA58" s="180"/>
    </row>
    <row r="59" spans="1:53" s="171" customFormat="1" x14ac:dyDescent="0.15">
      <c r="A59" s="216">
        <v>1985</v>
      </c>
      <c r="B59" s="283"/>
      <c r="C59" s="410" t="s">
        <v>792</v>
      </c>
      <c r="D59" s="410"/>
      <c r="E59" s="171">
        <v>0</v>
      </c>
      <c r="G59" s="233">
        <v>21</v>
      </c>
      <c r="J59" s="241">
        <v>21</v>
      </c>
      <c r="K59" s="214">
        <f t="shared" si="1"/>
        <v>100</v>
      </c>
      <c r="L59" s="214">
        <f t="shared" si="1"/>
        <v>0</v>
      </c>
      <c r="M59" s="214">
        <f t="shared" si="1"/>
        <v>0</v>
      </c>
      <c r="N59" s="235">
        <f t="shared" si="2"/>
        <v>100</v>
      </c>
      <c r="O59" s="213">
        <v>61.1</v>
      </c>
      <c r="P59" s="214"/>
      <c r="Q59" s="214"/>
      <c r="R59" s="215">
        <f t="shared" si="3"/>
        <v>61.1</v>
      </c>
      <c r="S59" s="171">
        <v>1</v>
      </c>
      <c r="T59" s="285"/>
      <c r="U59" s="283"/>
      <c r="V59" s="178" t="s">
        <v>788</v>
      </c>
      <c r="W59" s="171" t="s">
        <v>74</v>
      </c>
      <c r="X59" s="171" t="s">
        <v>11</v>
      </c>
      <c r="Y59" s="179">
        <v>61.1</v>
      </c>
      <c r="AD59" s="178"/>
      <c r="AG59" s="179"/>
      <c r="AL59" s="178"/>
      <c r="AO59" s="179"/>
      <c r="AP59" s="178"/>
      <c r="AS59" s="179"/>
      <c r="AW59" s="179"/>
      <c r="BA59" s="180"/>
    </row>
    <row r="60" spans="1:53" s="171" customFormat="1" x14ac:dyDescent="0.15">
      <c r="A60" s="216">
        <v>1985</v>
      </c>
      <c r="B60" s="283"/>
      <c r="C60" s="410" t="s">
        <v>792</v>
      </c>
      <c r="D60" s="410"/>
      <c r="E60" s="171">
        <v>365</v>
      </c>
      <c r="G60" s="233">
        <v>21</v>
      </c>
      <c r="J60" s="241">
        <v>21</v>
      </c>
      <c r="K60" s="214">
        <f t="shared" si="1"/>
        <v>100</v>
      </c>
      <c r="L60" s="214">
        <f t="shared" si="1"/>
        <v>0</v>
      </c>
      <c r="M60" s="214">
        <f t="shared" si="1"/>
        <v>0</v>
      </c>
      <c r="N60" s="235">
        <f t="shared" si="2"/>
        <v>100</v>
      </c>
      <c r="O60" s="213">
        <v>61.1</v>
      </c>
      <c r="P60" s="214"/>
      <c r="Q60" s="214"/>
      <c r="R60" s="215">
        <f t="shared" si="3"/>
        <v>61.1</v>
      </c>
      <c r="S60" s="171">
        <v>1</v>
      </c>
      <c r="T60" s="285"/>
      <c r="U60" s="283"/>
      <c r="V60" s="178" t="s">
        <v>788</v>
      </c>
      <c r="W60" s="171" t="s">
        <v>74</v>
      </c>
      <c r="X60" s="171" t="s">
        <v>11</v>
      </c>
      <c r="Y60" s="179">
        <v>61.1</v>
      </c>
      <c r="AD60" s="178"/>
      <c r="AG60" s="179"/>
      <c r="AL60" s="178"/>
      <c r="AO60" s="179"/>
      <c r="AP60" s="178"/>
      <c r="AS60" s="179"/>
      <c r="AW60" s="179"/>
      <c r="BA60" s="180"/>
    </row>
    <row r="61" spans="1:53" s="171" customFormat="1" x14ac:dyDescent="0.15">
      <c r="A61" s="216">
        <v>1986</v>
      </c>
      <c r="B61" s="283"/>
      <c r="C61" s="410" t="s">
        <v>792</v>
      </c>
      <c r="D61" s="410"/>
      <c r="E61" s="171">
        <v>0</v>
      </c>
      <c r="G61" s="233">
        <v>21</v>
      </c>
      <c r="J61" s="241">
        <v>21</v>
      </c>
      <c r="K61" s="214">
        <f t="shared" si="1"/>
        <v>100</v>
      </c>
      <c r="L61" s="214">
        <f t="shared" si="1"/>
        <v>0</v>
      </c>
      <c r="M61" s="214">
        <f t="shared" si="1"/>
        <v>0</v>
      </c>
      <c r="N61" s="235">
        <f t="shared" si="2"/>
        <v>100</v>
      </c>
      <c r="O61" s="213">
        <v>61.1</v>
      </c>
      <c r="P61" s="214"/>
      <c r="Q61" s="214"/>
      <c r="R61" s="215">
        <f t="shared" si="3"/>
        <v>61.1</v>
      </c>
      <c r="S61" s="171">
        <v>1</v>
      </c>
      <c r="T61" s="285"/>
      <c r="U61" s="283"/>
      <c r="V61" s="178" t="s">
        <v>788</v>
      </c>
      <c r="W61" s="171" t="s">
        <v>74</v>
      </c>
      <c r="X61" s="171" t="s">
        <v>11</v>
      </c>
      <c r="Y61" s="179">
        <v>61.1</v>
      </c>
      <c r="AD61" s="178"/>
      <c r="AG61" s="179"/>
      <c r="AL61" s="178"/>
      <c r="AO61" s="179"/>
      <c r="AP61" s="178"/>
      <c r="AS61" s="179"/>
      <c r="AW61" s="179"/>
      <c r="BA61" s="180"/>
    </row>
    <row r="62" spans="1:53" s="171" customFormat="1" x14ac:dyDescent="0.15">
      <c r="A62" s="216">
        <v>1986</v>
      </c>
      <c r="B62" s="283"/>
      <c r="C62" s="410" t="s">
        <v>792</v>
      </c>
      <c r="D62" s="410"/>
      <c r="E62" s="171">
        <v>365</v>
      </c>
      <c r="G62" s="233">
        <v>21</v>
      </c>
      <c r="J62" s="241">
        <v>21</v>
      </c>
      <c r="K62" s="214">
        <f t="shared" si="1"/>
        <v>100</v>
      </c>
      <c r="L62" s="214">
        <f t="shared" si="1"/>
        <v>0</v>
      </c>
      <c r="M62" s="214">
        <f t="shared" si="1"/>
        <v>0</v>
      </c>
      <c r="N62" s="235">
        <f t="shared" si="2"/>
        <v>100</v>
      </c>
      <c r="O62" s="213">
        <v>61.1</v>
      </c>
      <c r="P62" s="214"/>
      <c r="Q62" s="214"/>
      <c r="R62" s="215">
        <f t="shared" si="3"/>
        <v>61.1</v>
      </c>
      <c r="S62" s="171">
        <v>1</v>
      </c>
      <c r="T62" s="285"/>
      <c r="U62" s="283"/>
      <c r="V62" s="178" t="s">
        <v>788</v>
      </c>
      <c r="W62" s="171" t="s">
        <v>74</v>
      </c>
      <c r="X62" s="171" t="s">
        <v>11</v>
      </c>
      <c r="Y62" s="179">
        <v>61.1</v>
      </c>
      <c r="AD62" s="178"/>
      <c r="AG62" s="179"/>
      <c r="AL62" s="178"/>
      <c r="AO62" s="179"/>
      <c r="AP62" s="178"/>
      <c r="AS62" s="179"/>
      <c r="AW62" s="179"/>
      <c r="BA62" s="180"/>
    </row>
    <row r="63" spans="1:53" s="171" customFormat="1" x14ac:dyDescent="0.15">
      <c r="A63" s="216">
        <v>1987</v>
      </c>
      <c r="B63" s="283"/>
      <c r="C63" s="410" t="s">
        <v>792</v>
      </c>
      <c r="D63" s="410"/>
      <c r="E63" s="171">
        <v>163</v>
      </c>
      <c r="G63" s="233">
        <v>21</v>
      </c>
      <c r="J63" s="241">
        <v>21</v>
      </c>
      <c r="K63" s="214">
        <f t="shared" si="1"/>
        <v>100</v>
      </c>
      <c r="L63" s="214">
        <f t="shared" si="1"/>
        <v>0</v>
      </c>
      <c r="M63" s="214">
        <f t="shared" si="1"/>
        <v>0</v>
      </c>
      <c r="N63" s="235">
        <f t="shared" si="2"/>
        <v>100</v>
      </c>
      <c r="O63" s="213">
        <v>61.1</v>
      </c>
      <c r="P63" s="214"/>
      <c r="Q63" s="214"/>
      <c r="R63" s="215">
        <f t="shared" si="3"/>
        <v>61.1</v>
      </c>
      <c r="S63" s="171">
        <v>1</v>
      </c>
      <c r="T63" s="285"/>
      <c r="U63" s="283"/>
      <c r="V63" s="178" t="s">
        <v>788</v>
      </c>
      <c r="W63" s="171" t="s">
        <v>74</v>
      </c>
      <c r="X63" s="171" t="s">
        <v>11</v>
      </c>
      <c r="Y63" s="179">
        <v>61.1</v>
      </c>
      <c r="AD63" s="178"/>
      <c r="AG63" s="179"/>
      <c r="AL63" s="178"/>
      <c r="AO63" s="179"/>
      <c r="AP63" s="178"/>
      <c r="AS63" s="179"/>
      <c r="AW63" s="179"/>
      <c r="BA63" s="180"/>
    </row>
    <row r="64" spans="1:53" s="29" customFormat="1" x14ac:dyDescent="0.15">
      <c r="A64" s="52">
        <v>1987</v>
      </c>
      <c r="B64" s="295">
        <v>31941</v>
      </c>
      <c r="C64" s="411" t="s">
        <v>793</v>
      </c>
      <c r="D64" s="411"/>
      <c r="E64" s="29">
        <f>365-E63</f>
        <v>202</v>
      </c>
      <c r="F64" s="29">
        <v>1</v>
      </c>
      <c r="G64" s="66">
        <v>21</v>
      </c>
      <c r="J64" s="73">
        <v>21</v>
      </c>
      <c r="K64" s="47">
        <f t="shared" si="1"/>
        <v>100</v>
      </c>
      <c r="L64" s="47">
        <f t="shared" si="1"/>
        <v>0</v>
      </c>
      <c r="M64" s="47">
        <f t="shared" si="1"/>
        <v>0</v>
      </c>
      <c r="N64" s="68">
        <f t="shared" si="2"/>
        <v>100</v>
      </c>
      <c r="O64" s="46">
        <v>57.8</v>
      </c>
      <c r="P64" s="47"/>
      <c r="Q64" s="47"/>
      <c r="R64" s="48">
        <f t="shared" si="3"/>
        <v>57.8</v>
      </c>
      <c r="S64" s="29">
        <v>1</v>
      </c>
      <c r="T64" s="286">
        <v>31939</v>
      </c>
      <c r="U64" s="295">
        <v>31941</v>
      </c>
      <c r="V64" s="38" t="s">
        <v>788</v>
      </c>
      <c r="W64" s="29" t="s">
        <v>74</v>
      </c>
      <c r="X64" s="29" t="s">
        <v>11</v>
      </c>
      <c r="Y64" s="39">
        <v>57.8</v>
      </c>
      <c r="AD64" s="38"/>
      <c r="AG64" s="39"/>
      <c r="AL64" s="38"/>
      <c r="AO64" s="39"/>
      <c r="AP64" s="38"/>
      <c r="AS64" s="39"/>
      <c r="AW64" s="39"/>
      <c r="BA64" s="40"/>
    </row>
    <row r="65" spans="1:53" s="29" customFormat="1" x14ac:dyDescent="0.15">
      <c r="A65" s="52">
        <v>1988</v>
      </c>
      <c r="B65" s="295"/>
      <c r="C65" s="411" t="s">
        <v>793</v>
      </c>
      <c r="D65" s="411"/>
      <c r="E65" s="29">
        <v>0</v>
      </c>
      <c r="G65" s="66">
        <v>21</v>
      </c>
      <c r="J65" s="73">
        <v>21</v>
      </c>
      <c r="K65" s="47">
        <f t="shared" si="1"/>
        <v>100</v>
      </c>
      <c r="L65" s="47">
        <f t="shared" si="1"/>
        <v>0</v>
      </c>
      <c r="M65" s="47">
        <f t="shared" si="1"/>
        <v>0</v>
      </c>
      <c r="N65" s="68">
        <f t="shared" si="2"/>
        <v>100</v>
      </c>
      <c r="O65" s="46">
        <v>57.8</v>
      </c>
      <c r="P65" s="47"/>
      <c r="Q65" s="47"/>
      <c r="R65" s="48">
        <f t="shared" si="3"/>
        <v>57.8</v>
      </c>
      <c r="S65" s="29">
        <v>1</v>
      </c>
      <c r="T65" s="286"/>
      <c r="U65" s="295"/>
      <c r="V65" s="38" t="s">
        <v>788</v>
      </c>
      <c r="W65" s="29" t="s">
        <v>74</v>
      </c>
      <c r="X65" s="29" t="s">
        <v>11</v>
      </c>
      <c r="Y65" s="39">
        <v>57.8</v>
      </c>
      <c r="AD65" s="38"/>
      <c r="AG65" s="39"/>
      <c r="AL65" s="38"/>
      <c r="AO65" s="39"/>
      <c r="AP65" s="38"/>
      <c r="AS65" s="39"/>
      <c r="AW65" s="39"/>
      <c r="BA65" s="40"/>
    </row>
    <row r="66" spans="1:53" s="29" customFormat="1" x14ac:dyDescent="0.15">
      <c r="A66" s="52">
        <v>1988</v>
      </c>
      <c r="B66" s="295"/>
      <c r="C66" s="411" t="s">
        <v>793</v>
      </c>
      <c r="D66" s="411"/>
      <c r="E66" s="29">
        <v>366</v>
      </c>
      <c r="G66" s="66">
        <v>21</v>
      </c>
      <c r="J66" s="73">
        <v>21</v>
      </c>
      <c r="K66" s="47">
        <f t="shared" si="1"/>
        <v>100</v>
      </c>
      <c r="L66" s="47">
        <f t="shared" si="1"/>
        <v>0</v>
      </c>
      <c r="M66" s="47">
        <f t="shared" si="1"/>
        <v>0</v>
      </c>
      <c r="N66" s="68">
        <f t="shared" si="2"/>
        <v>100</v>
      </c>
      <c r="O66" s="46">
        <v>57.8</v>
      </c>
      <c r="P66" s="47"/>
      <c r="Q66" s="47"/>
      <c r="R66" s="48">
        <f t="shared" si="3"/>
        <v>57.8</v>
      </c>
      <c r="S66" s="29">
        <v>1</v>
      </c>
      <c r="T66" s="286"/>
      <c r="U66" s="295"/>
      <c r="V66" s="38" t="s">
        <v>788</v>
      </c>
      <c r="W66" s="29" t="s">
        <v>74</v>
      </c>
      <c r="X66" s="29" t="s">
        <v>11</v>
      </c>
      <c r="Y66" s="39">
        <v>57.8</v>
      </c>
      <c r="AD66" s="38"/>
      <c r="AG66" s="39"/>
      <c r="AL66" s="38"/>
      <c r="AO66" s="39"/>
      <c r="AP66" s="38"/>
      <c r="AS66" s="39"/>
      <c r="AW66" s="39"/>
      <c r="BA66" s="40"/>
    </row>
    <row r="67" spans="1:53" s="29" customFormat="1" x14ac:dyDescent="0.15">
      <c r="A67" s="52">
        <v>1989</v>
      </c>
      <c r="B67" s="295"/>
      <c r="C67" s="411" t="s">
        <v>793</v>
      </c>
      <c r="D67" s="411"/>
      <c r="E67" s="29">
        <v>0</v>
      </c>
      <c r="G67" s="66">
        <v>21</v>
      </c>
      <c r="J67" s="73">
        <v>21</v>
      </c>
      <c r="K67" s="47">
        <f t="shared" si="1"/>
        <v>100</v>
      </c>
      <c r="L67" s="47">
        <f t="shared" si="1"/>
        <v>0</v>
      </c>
      <c r="M67" s="47">
        <f t="shared" si="1"/>
        <v>0</v>
      </c>
      <c r="N67" s="68">
        <f t="shared" si="2"/>
        <v>100</v>
      </c>
      <c r="O67" s="46">
        <v>57.8</v>
      </c>
      <c r="P67" s="47"/>
      <c r="Q67" s="47"/>
      <c r="R67" s="48">
        <f>O67+P67+Q67</f>
        <v>57.8</v>
      </c>
      <c r="S67" s="29">
        <v>1</v>
      </c>
      <c r="T67" s="286"/>
      <c r="U67" s="295"/>
      <c r="V67" s="38" t="s">
        <v>788</v>
      </c>
      <c r="W67" s="29" t="s">
        <v>74</v>
      </c>
      <c r="X67" s="29" t="s">
        <v>11</v>
      </c>
      <c r="Y67" s="39">
        <v>57.8</v>
      </c>
      <c r="AD67" s="38"/>
      <c r="AG67" s="39"/>
      <c r="AL67" s="38"/>
      <c r="AO67" s="39"/>
      <c r="AP67" s="38"/>
      <c r="AS67" s="39"/>
      <c r="AW67" s="39"/>
      <c r="BA67" s="40"/>
    </row>
    <row r="68" spans="1:53" s="74" customFormat="1" x14ac:dyDescent="0.15">
      <c r="A68" s="92">
        <v>1989</v>
      </c>
      <c r="B68" s="302"/>
      <c r="C68" s="437" t="s">
        <v>793</v>
      </c>
      <c r="D68" s="437"/>
      <c r="E68" s="74">
        <f>365-E67</f>
        <v>365</v>
      </c>
      <c r="G68" s="75">
        <v>21</v>
      </c>
      <c r="J68" s="76">
        <v>21</v>
      </c>
      <c r="K68" s="77">
        <f t="shared" si="1"/>
        <v>100</v>
      </c>
      <c r="L68" s="77">
        <f t="shared" si="1"/>
        <v>0</v>
      </c>
      <c r="M68" s="77">
        <f t="shared" si="1"/>
        <v>0</v>
      </c>
      <c r="N68" s="80">
        <f t="shared" si="2"/>
        <v>100</v>
      </c>
      <c r="O68" s="78">
        <v>57.8</v>
      </c>
      <c r="P68" s="77"/>
      <c r="Q68" s="77"/>
      <c r="R68" s="80">
        <f t="shared" si="3"/>
        <v>57.8</v>
      </c>
      <c r="S68" s="122">
        <v>1</v>
      </c>
      <c r="T68" s="304"/>
      <c r="U68" s="302"/>
      <c r="V68" s="81" t="s">
        <v>788</v>
      </c>
      <c r="W68" s="74" t="s">
        <v>74</v>
      </c>
      <c r="X68" s="74" t="s">
        <v>11</v>
      </c>
      <c r="Y68" s="82">
        <v>57.8</v>
      </c>
      <c r="AD68" s="81"/>
      <c r="AG68" s="82"/>
      <c r="AL68" s="81"/>
      <c r="AO68" s="82"/>
      <c r="AP68" s="81"/>
      <c r="AS68" s="82"/>
      <c r="AW68" s="82"/>
      <c r="BA68" s="83"/>
    </row>
    <row r="69" spans="1:53" s="29" customFormat="1" x14ac:dyDescent="0.15">
      <c r="A69" s="29">
        <v>1990</v>
      </c>
      <c r="B69" s="295"/>
      <c r="C69" s="411" t="s">
        <v>793</v>
      </c>
      <c r="D69" s="411"/>
      <c r="E69" s="29">
        <v>332</v>
      </c>
      <c r="G69" s="66">
        <v>21</v>
      </c>
      <c r="J69" s="73">
        <v>21</v>
      </c>
      <c r="K69" s="47">
        <f t="shared" si="1"/>
        <v>100</v>
      </c>
      <c r="L69" s="47">
        <f t="shared" si="1"/>
        <v>0</v>
      </c>
      <c r="M69" s="47">
        <f t="shared" si="1"/>
        <v>0</v>
      </c>
      <c r="N69" s="68">
        <f t="shared" si="2"/>
        <v>100</v>
      </c>
      <c r="O69" s="46">
        <v>57.8</v>
      </c>
      <c r="P69" s="47"/>
      <c r="Q69" s="47"/>
      <c r="R69" s="48">
        <f t="shared" si="3"/>
        <v>57.8</v>
      </c>
      <c r="S69" s="29">
        <v>1</v>
      </c>
      <c r="T69" s="286"/>
      <c r="U69" s="295"/>
      <c r="V69" s="38" t="s">
        <v>788</v>
      </c>
      <c r="W69" s="29" t="s">
        <v>74</v>
      </c>
      <c r="X69" s="29" t="s">
        <v>11</v>
      </c>
      <c r="Y69" s="39">
        <v>57.8</v>
      </c>
      <c r="AD69" s="38"/>
      <c r="AG69" s="39"/>
      <c r="AL69" s="38"/>
      <c r="AO69" s="39"/>
      <c r="AP69" s="38"/>
      <c r="AS69" s="39"/>
      <c r="AW69" s="39"/>
      <c r="BA69" s="40"/>
    </row>
    <row r="70" spans="1:53" s="171" customFormat="1" x14ac:dyDescent="0.15">
      <c r="A70" s="171">
        <v>1990</v>
      </c>
      <c r="B70" s="283">
        <v>33206</v>
      </c>
      <c r="C70" s="410" t="s">
        <v>794</v>
      </c>
      <c r="D70" s="410"/>
      <c r="E70" s="171">
        <f>365-E69</f>
        <v>33</v>
      </c>
      <c r="F70" s="171">
        <v>2</v>
      </c>
      <c r="G70" s="233">
        <v>22</v>
      </c>
      <c r="J70" s="241">
        <v>22</v>
      </c>
      <c r="K70" s="214">
        <f t="shared" si="1"/>
        <v>100</v>
      </c>
      <c r="L70" s="214">
        <f t="shared" si="1"/>
        <v>0</v>
      </c>
      <c r="M70" s="214">
        <f t="shared" si="1"/>
        <v>0</v>
      </c>
      <c r="N70" s="235">
        <f t="shared" si="2"/>
        <v>100</v>
      </c>
      <c r="O70" s="213">
        <v>57.8</v>
      </c>
      <c r="P70" s="214"/>
      <c r="Q70" s="214"/>
      <c r="R70" s="215">
        <f t="shared" si="3"/>
        <v>57.8</v>
      </c>
      <c r="S70" s="171">
        <v>1</v>
      </c>
      <c r="T70" s="285"/>
      <c r="U70" s="283">
        <v>33206</v>
      </c>
      <c r="V70" s="178" t="s">
        <v>788</v>
      </c>
      <c r="W70" s="171" t="s">
        <v>74</v>
      </c>
      <c r="X70" s="171" t="s">
        <v>11</v>
      </c>
      <c r="Y70" s="179">
        <v>57.8</v>
      </c>
      <c r="AD70" s="178"/>
      <c r="AG70" s="179"/>
      <c r="AL70" s="178"/>
      <c r="AO70" s="179"/>
      <c r="AP70" s="178"/>
      <c r="AS70" s="179"/>
      <c r="AW70" s="179"/>
      <c r="BA70" s="180"/>
    </row>
    <row r="71" spans="1:53" s="171" customFormat="1" x14ac:dyDescent="0.15">
      <c r="A71" s="171">
        <v>1991</v>
      </c>
      <c r="B71" s="283"/>
      <c r="C71" s="410" t="s">
        <v>794</v>
      </c>
      <c r="D71" s="410"/>
      <c r="E71" s="171">
        <v>0</v>
      </c>
      <c r="G71" s="233">
        <v>22</v>
      </c>
      <c r="J71" s="241">
        <v>22</v>
      </c>
      <c r="K71" s="214">
        <f t="shared" si="1"/>
        <v>100</v>
      </c>
      <c r="L71" s="214">
        <f t="shared" si="1"/>
        <v>0</v>
      </c>
      <c r="M71" s="214">
        <f t="shared" si="1"/>
        <v>0</v>
      </c>
      <c r="N71" s="235">
        <f t="shared" si="2"/>
        <v>100</v>
      </c>
      <c r="O71" s="213">
        <v>57.8</v>
      </c>
      <c r="P71" s="214"/>
      <c r="Q71" s="214"/>
      <c r="R71" s="215">
        <f t="shared" si="3"/>
        <v>57.8</v>
      </c>
      <c r="S71" s="171">
        <v>1</v>
      </c>
      <c r="T71" s="285"/>
      <c r="U71" s="283"/>
      <c r="V71" s="178" t="s">
        <v>788</v>
      </c>
      <c r="W71" s="171" t="s">
        <v>74</v>
      </c>
      <c r="X71" s="171" t="s">
        <v>11</v>
      </c>
      <c r="Y71" s="179">
        <v>57.8</v>
      </c>
      <c r="AD71" s="178"/>
      <c r="AG71" s="179"/>
      <c r="AL71" s="178"/>
      <c r="AO71" s="179"/>
      <c r="AP71" s="178"/>
      <c r="AS71" s="179"/>
      <c r="AW71" s="179"/>
      <c r="BA71" s="180"/>
    </row>
    <row r="72" spans="1:53" s="171" customFormat="1" x14ac:dyDescent="0.15">
      <c r="A72" s="171">
        <v>1991</v>
      </c>
      <c r="B72" s="283"/>
      <c r="C72" s="410" t="s">
        <v>794</v>
      </c>
      <c r="D72" s="410"/>
      <c r="E72" s="171">
        <f>365-E71</f>
        <v>365</v>
      </c>
      <c r="G72" s="233">
        <v>22</v>
      </c>
      <c r="J72" s="241">
        <v>22</v>
      </c>
      <c r="K72" s="214">
        <f t="shared" si="1"/>
        <v>100</v>
      </c>
      <c r="L72" s="214">
        <f t="shared" si="1"/>
        <v>0</v>
      </c>
      <c r="M72" s="214">
        <f t="shared" si="1"/>
        <v>0</v>
      </c>
      <c r="N72" s="235">
        <f t="shared" si="2"/>
        <v>100</v>
      </c>
      <c r="O72" s="213">
        <v>57.8</v>
      </c>
      <c r="P72" s="214"/>
      <c r="Q72" s="214"/>
      <c r="R72" s="215">
        <f t="shared" si="3"/>
        <v>57.8</v>
      </c>
      <c r="S72" s="171">
        <v>1</v>
      </c>
      <c r="T72" s="285"/>
      <c r="U72" s="283"/>
      <c r="V72" s="178" t="s">
        <v>788</v>
      </c>
      <c r="W72" s="171" t="s">
        <v>74</v>
      </c>
      <c r="X72" s="171" t="s">
        <v>11</v>
      </c>
      <c r="Y72" s="179">
        <v>57.8</v>
      </c>
      <c r="AD72" s="178"/>
      <c r="AG72" s="179"/>
      <c r="AL72" s="178"/>
      <c r="AO72" s="179"/>
      <c r="AP72" s="178"/>
      <c r="AS72" s="179"/>
      <c r="AW72" s="179"/>
      <c r="BA72" s="180"/>
    </row>
    <row r="73" spans="1:53" s="171" customFormat="1" x14ac:dyDescent="0.15">
      <c r="A73" s="171">
        <v>1992</v>
      </c>
      <c r="B73" s="283"/>
      <c r="C73" s="410" t="s">
        <v>794</v>
      </c>
      <c r="D73" s="410"/>
      <c r="E73" s="171">
        <v>101</v>
      </c>
      <c r="G73" s="233">
        <v>22</v>
      </c>
      <c r="J73" s="241">
        <v>22</v>
      </c>
      <c r="K73" s="214">
        <f t="shared" ref="K73:M101" si="4">G73/$J73*100</f>
        <v>100</v>
      </c>
      <c r="L73" s="214">
        <f t="shared" si="4"/>
        <v>0</v>
      </c>
      <c r="M73" s="214">
        <f t="shared" si="4"/>
        <v>0</v>
      </c>
      <c r="N73" s="235">
        <f t="shared" ref="N73:N101" si="5">K73+L73+M73</f>
        <v>100</v>
      </c>
      <c r="O73" s="213">
        <v>57.8</v>
      </c>
      <c r="P73" s="214"/>
      <c r="Q73" s="214"/>
      <c r="R73" s="215">
        <f t="shared" ref="R73:R83" si="6">O73+P73+Q73</f>
        <v>57.8</v>
      </c>
      <c r="S73" s="171">
        <v>1</v>
      </c>
      <c r="T73" s="285"/>
      <c r="U73" s="283"/>
      <c r="V73" s="178" t="s">
        <v>788</v>
      </c>
      <c r="W73" s="171" t="s">
        <v>74</v>
      </c>
      <c r="X73" s="171" t="s">
        <v>11</v>
      </c>
      <c r="Y73" s="179">
        <v>57.8</v>
      </c>
      <c r="AD73" s="178"/>
      <c r="AG73" s="179"/>
      <c r="AL73" s="178"/>
      <c r="AO73" s="179"/>
      <c r="AP73" s="178"/>
      <c r="AS73" s="179"/>
      <c r="AW73" s="179"/>
      <c r="BA73" s="180"/>
    </row>
    <row r="74" spans="1:53" s="29" customFormat="1" x14ac:dyDescent="0.15">
      <c r="A74" s="29">
        <v>1992</v>
      </c>
      <c r="B74" s="295">
        <v>33705</v>
      </c>
      <c r="C74" s="411" t="s">
        <v>795</v>
      </c>
      <c r="D74" s="411"/>
      <c r="E74" s="29">
        <f>366-E73</f>
        <v>265</v>
      </c>
      <c r="F74" s="29">
        <v>1</v>
      </c>
      <c r="G74" s="66">
        <v>22</v>
      </c>
      <c r="J74" s="73">
        <v>22</v>
      </c>
      <c r="K74" s="47">
        <f t="shared" si="4"/>
        <v>100</v>
      </c>
      <c r="L74" s="47">
        <f t="shared" si="4"/>
        <v>0</v>
      </c>
      <c r="M74" s="47">
        <f t="shared" si="4"/>
        <v>0</v>
      </c>
      <c r="N74" s="68">
        <f t="shared" si="5"/>
        <v>100</v>
      </c>
      <c r="O74" s="46">
        <v>51.6</v>
      </c>
      <c r="P74" s="47"/>
      <c r="Q74" s="47"/>
      <c r="R74" s="48">
        <f t="shared" si="6"/>
        <v>51.6</v>
      </c>
      <c r="S74" s="29">
        <v>1</v>
      </c>
      <c r="T74" s="286">
        <v>33703</v>
      </c>
      <c r="U74" s="295">
        <v>33705</v>
      </c>
      <c r="V74" s="38" t="s">
        <v>788</v>
      </c>
      <c r="W74" s="29" t="s">
        <v>74</v>
      </c>
      <c r="X74" s="29" t="s">
        <v>11</v>
      </c>
      <c r="Y74" s="39">
        <v>51.6</v>
      </c>
      <c r="AD74" s="38"/>
      <c r="AG74" s="39"/>
      <c r="AL74" s="38"/>
      <c r="AO74" s="39"/>
      <c r="AP74" s="38"/>
      <c r="AS74" s="39"/>
      <c r="AW74" s="39"/>
      <c r="BA74" s="40"/>
    </row>
    <row r="75" spans="1:53" s="29" customFormat="1" x14ac:dyDescent="0.15">
      <c r="A75" s="29">
        <v>1993</v>
      </c>
      <c r="B75" s="295"/>
      <c r="C75" s="411" t="s">
        <v>795</v>
      </c>
      <c r="D75" s="411"/>
      <c r="E75" s="29">
        <v>0</v>
      </c>
      <c r="G75" s="66">
        <v>22</v>
      </c>
      <c r="J75" s="73">
        <v>22</v>
      </c>
      <c r="K75" s="47">
        <f t="shared" si="4"/>
        <v>100</v>
      </c>
      <c r="L75" s="47">
        <f t="shared" si="4"/>
        <v>0</v>
      </c>
      <c r="M75" s="47">
        <f t="shared" si="4"/>
        <v>0</v>
      </c>
      <c r="N75" s="68">
        <f t="shared" si="5"/>
        <v>100</v>
      </c>
      <c r="O75" s="46">
        <v>51.6</v>
      </c>
      <c r="P75" s="47"/>
      <c r="Q75" s="47"/>
      <c r="R75" s="48">
        <f t="shared" si="6"/>
        <v>51.6</v>
      </c>
      <c r="S75" s="29">
        <v>1</v>
      </c>
      <c r="T75" s="286"/>
      <c r="U75" s="295"/>
      <c r="V75" s="38" t="s">
        <v>788</v>
      </c>
      <c r="W75" s="29" t="s">
        <v>74</v>
      </c>
      <c r="X75" s="29" t="s">
        <v>11</v>
      </c>
      <c r="Y75" s="39">
        <v>51.6</v>
      </c>
      <c r="AD75" s="38"/>
      <c r="AG75" s="39"/>
      <c r="AL75" s="38"/>
      <c r="AO75" s="39"/>
      <c r="AP75" s="38"/>
      <c r="AS75" s="39"/>
      <c r="AW75" s="39"/>
      <c r="BA75" s="40"/>
    </row>
    <row r="76" spans="1:53" s="29" customFormat="1" x14ac:dyDescent="0.15">
      <c r="A76" s="29">
        <v>1993</v>
      </c>
      <c r="B76" s="295"/>
      <c r="C76" s="411" t="s">
        <v>795</v>
      </c>
      <c r="D76" s="411"/>
      <c r="E76" s="29">
        <f>365-E75</f>
        <v>365</v>
      </c>
      <c r="G76" s="66">
        <v>22</v>
      </c>
      <c r="J76" s="73">
        <v>22</v>
      </c>
      <c r="K76" s="47">
        <f t="shared" si="4"/>
        <v>100</v>
      </c>
      <c r="L76" s="47">
        <f t="shared" si="4"/>
        <v>0</v>
      </c>
      <c r="M76" s="47">
        <f t="shared" si="4"/>
        <v>0</v>
      </c>
      <c r="N76" s="68">
        <f t="shared" si="5"/>
        <v>100</v>
      </c>
      <c r="O76" s="46">
        <v>51.6</v>
      </c>
      <c r="P76" s="47"/>
      <c r="Q76" s="47"/>
      <c r="R76" s="48">
        <f t="shared" si="6"/>
        <v>51.6</v>
      </c>
      <c r="S76" s="29">
        <v>1</v>
      </c>
      <c r="T76" s="286"/>
      <c r="U76" s="295"/>
      <c r="V76" s="38" t="s">
        <v>788</v>
      </c>
      <c r="W76" s="29" t="s">
        <v>74</v>
      </c>
      <c r="X76" s="29" t="s">
        <v>11</v>
      </c>
      <c r="Y76" s="39">
        <v>51.6</v>
      </c>
      <c r="AD76" s="38"/>
      <c r="AG76" s="39"/>
      <c r="AL76" s="38"/>
      <c r="AO76" s="39"/>
      <c r="AP76" s="38"/>
      <c r="AS76" s="39"/>
      <c r="AW76" s="39"/>
      <c r="BA76" s="40"/>
    </row>
    <row r="77" spans="1:53" s="29" customFormat="1" x14ac:dyDescent="0.15">
      <c r="A77" s="29">
        <v>1994</v>
      </c>
      <c r="B77" s="295"/>
      <c r="C77" s="411" t="s">
        <v>795</v>
      </c>
      <c r="D77" s="411"/>
      <c r="E77" s="29">
        <v>0</v>
      </c>
      <c r="G77" s="66">
        <v>22</v>
      </c>
      <c r="J77" s="73">
        <v>22</v>
      </c>
      <c r="K77" s="47">
        <f t="shared" si="4"/>
        <v>100</v>
      </c>
      <c r="L77" s="47">
        <f t="shared" si="4"/>
        <v>0</v>
      </c>
      <c r="M77" s="47">
        <f t="shared" si="4"/>
        <v>0</v>
      </c>
      <c r="N77" s="68">
        <f t="shared" si="5"/>
        <v>100</v>
      </c>
      <c r="O77" s="46">
        <v>51.6</v>
      </c>
      <c r="P77" s="47"/>
      <c r="Q77" s="47"/>
      <c r="R77" s="48">
        <f t="shared" si="6"/>
        <v>51.6</v>
      </c>
      <c r="S77" s="29">
        <v>1</v>
      </c>
      <c r="T77" s="286"/>
      <c r="U77" s="295"/>
      <c r="V77" s="38" t="s">
        <v>788</v>
      </c>
      <c r="W77" s="29" t="s">
        <v>74</v>
      </c>
      <c r="X77" s="29" t="s">
        <v>11</v>
      </c>
      <c r="Y77" s="39">
        <v>51.6</v>
      </c>
      <c r="AD77" s="38"/>
      <c r="AG77" s="39"/>
      <c r="AL77" s="38"/>
      <c r="AO77" s="39"/>
      <c r="AP77" s="38"/>
      <c r="AS77" s="39"/>
      <c r="AW77" s="39"/>
      <c r="BA77" s="40"/>
    </row>
    <row r="78" spans="1:53" s="29" customFormat="1" x14ac:dyDescent="0.15">
      <c r="A78" s="29">
        <v>1994</v>
      </c>
      <c r="B78" s="295"/>
      <c r="C78" s="411" t="s">
        <v>795</v>
      </c>
      <c r="D78" s="411"/>
      <c r="E78" s="29">
        <f>365-E77</f>
        <v>365</v>
      </c>
      <c r="G78" s="66">
        <v>22</v>
      </c>
      <c r="J78" s="73">
        <v>22</v>
      </c>
      <c r="K78" s="47">
        <f t="shared" si="4"/>
        <v>100</v>
      </c>
      <c r="L78" s="47">
        <f t="shared" si="4"/>
        <v>0</v>
      </c>
      <c r="M78" s="47">
        <f t="shared" si="4"/>
        <v>0</v>
      </c>
      <c r="N78" s="68">
        <f t="shared" si="5"/>
        <v>100</v>
      </c>
      <c r="O78" s="46">
        <v>51.6</v>
      </c>
      <c r="P78" s="47"/>
      <c r="Q78" s="47"/>
      <c r="R78" s="48">
        <f t="shared" si="6"/>
        <v>51.6</v>
      </c>
      <c r="S78" s="29">
        <v>1</v>
      </c>
      <c r="T78" s="286"/>
      <c r="U78" s="295"/>
      <c r="V78" s="38" t="s">
        <v>788</v>
      </c>
      <c r="W78" s="29" t="s">
        <v>74</v>
      </c>
      <c r="X78" s="29" t="s">
        <v>11</v>
      </c>
      <c r="Y78" s="39">
        <v>51.6</v>
      </c>
      <c r="AD78" s="38"/>
      <c r="AG78" s="39"/>
      <c r="AL78" s="38"/>
      <c r="AO78" s="39"/>
      <c r="AP78" s="38"/>
      <c r="AS78" s="39"/>
      <c r="AW78" s="39"/>
      <c r="BA78" s="40"/>
    </row>
    <row r="79" spans="1:53" s="29" customFormat="1" x14ac:dyDescent="0.15">
      <c r="A79" s="29">
        <v>1995</v>
      </c>
      <c r="B79" s="295"/>
      <c r="C79" s="411" t="s">
        <v>795</v>
      </c>
      <c r="D79" s="411"/>
      <c r="E79" s="29">
        <v>0</v>
      </c>
      <c r="G79" s="66">
        <v>22</v>
      </c>
      <c r="J79" s="73">
        <v>22</v>
      </c>
      <c r="K79" s="47">
        <f t="shared" si="4"/>
        <v>100</v>
      </c>
      <c r="L79" s="47">
        <f t="shared" si="4"/>
        <v>0</v>
      </c>
      <c r="M79" s="47">
        <f t="shared" si="4"/>
        <v>0</v>
      </c>
      <c r="N79" s="68">
        <f t="shared" si="5"/>
        <v>100</v>
      </c>
      <c r="O79" s="46">
        <v>51.6</v>
      </c>
      <c r="P79" s="47"/>
      <c r="Q79" s="47"/>
      <c r="R79" s="48">
        <f t="shared" si="6"/>
        <v>51.6</v>
      </c>
      <c r="S79" s="29">
        <v>1</v>
      </c>
      <c r="T79" s="286"/>
      <c r="U79" s="295"/>
      <c r="V79" s="38" t="s">
        <v>788</v>
      </c>
      <c r="W79" s="29" t="s">
        <v>74</v>
      </c>
      <c r="X79" s="29" t="s">
        <v>11</v>
      </c>
      <c r="Y79" s="39">
        <v>51.6</v>
      </c>
      <c r="AD79" s="38"/>
      <c r="AG79" s="39"/>
      <c r="AL79" s="38"/>
      <c r="AO79" s="39"/>
      <c r="AP79" s="38"/>
      <c r="AS79" s="39"/>
      <c r="AW79" s="39"/>
      <c r="BA79" s="40"/>
    </row>
    <row r="80" spans="1:53" s="29" customFormat="1" x14ac:dyDescent="0.15">
      <c r="A80" s="29">
        <v>1995</v>
      </c>
      <c r="B80" s="295"/>
      <c r="C80" s="411" t="s">
        <v>795</v>
      </c>
      <c r="D80" s="411"/>
      <c r="E80" s="29">
        <f>365-E79</f>
        <v>365</v>
      </c>
      <c r="G80" s="66">
        <v>22</v>
      </c>
      <c r="J80" s="73">
        <v>22</v>
      </c>
      <c r="K80" s="47">
        <f t="shared" si="4"/>
        <v>100</v>
      </c>
      <c r="L80" s="47">
        <f t="shared" si="4"/>
        <v>0</v>
      </c>
      <c r="M80" s="47">
        <f t="shared" si="4"/>
        <v>0</v>
      </c>
      <c r="N80" s="68">
        <f t="shared" si="5"/>
        <v>100</v>
      </c>
      <c r="O80" s="46">
        <v>51.6</v>
      </c>
      <c r="P80" s="47"/>
      <c r="Q80" s="47"/>
      <c r="R80" s="48">
        <f t="shared" si="6"/>
        <v>51.6</v>
      </c>
      <c r="S80" s="29">
        <v>1</v>
      </c>
      <c r="T80" s="286"/>
      <c r="U80" s="295"/>
      <c r="V80" s="38" t="s">
        <v>788</v>
      </c>
      <c r="W80" s="29" t="s">
        <v>74</v>
      </c>
      <c r="X80" s="29" t="s">
        <v>11</v>
      </c>
      <c r="Y80" s="39">
        <v>51.6</v>
      </c>
      <c r="AD80" s="38"/>
      <c r="AG80" s="39"/>
      <c r="AL80" s="38"/>
      <c r="AO80" s="39"/>
      <c r="AP80" s="38"/>
      <c r="AS80" s="39"/>
      <c r="AW80" s="39"/>
      <c r="BA80" s="40"/>
    </row>
    <row r="81" spans="1:53" s="29" customFormat="1" x14ac:dyDescent="0.15">
      <c r="A81" s="29">
        <v>1996</v>
      </c>
      <c r="B81" s="295"/>
      <c r="C81" s="411" t="s">
        <v>795</v>
      </c>
      <c r="D81" s="411"/>
      <c r="E81" s="29">
        <v>0</v>
      </c>
      <c r="G81" s="66">
        <v>23</v>
      </c>
      <c r="J81" s="73">
        <v>23</v>
      </c>
      <c r="K81" s="47">
        <f t="shared" si="4"/>
        <v>100</v>
      </c>
      <c r="L81" s="47">
        <f t="shared" si="4"/>
        <v>0</v>
      </c>
      <c r="M81" s="47">
        <f t="shared" si="4"/>
        <v>0</v>
      </c>
      <c r="N81" s="68">
        <f t="shared" si="5"/>
        <v>100</v>
      </c>
      <c r="O81" s="46">
        <v>51.6</v>
      </c>
      <c r="P81" s="47"/>
      <c r="Q81" s="47"/>
      <c r="R81" s="48">
        <f t="shared" si="6"/>
        <v>51.6</v>
      </c>
      <c r="S81" s="29">
        <v>1</v>
      </c>
      <c r="T81" s="286"/>
      <c r="U81" s="295"/>
      <c r="V81" s="38" t="s">
        <v>788</v>
      </c>
      <c r="W81" s="29" t="s">
        <v>74</v>
      </c>
      <c r="X81" s="29" t="s">
        <v>11</v>
      </c>
      <c r="Y81" s="39">
        <v>51.6</v>
      </c>
      <c r="AD81" s="38"/>
      <c r="AG81" s="39"/>
      <c r="AL81" s="38"/>
      <c r="AO81" s="39"/>
      <c r="AP81" s="38"/>
      <c r="AS81" s="39"/>
      <c r="AW81" s="39"/>
      <c r="BA81" s="40"/>
    </row>
    <row r="82" spans="1:53" s="29" customFormat="1" x14ac:dyDescent="0.15">
      <c r="A82" s="29">
        <v>1996</v>
      </c>
      <c r="B82" s="295"/>
      <c r="C82" s="411" t="s">
        <v>795</v>
      </c>
      <c r="D82" s="411"/>
      <c r="E82" s="29">
        <f>366-E81</f>
        <v>366</v>
      </c>
      <c r="G82" s="66">
        <v>23</v>
      </c>
      <c r="J82" s="73">
        <v>23</v>
      </c>
      <c r="K82" s="47">
        <f t="shared" si="4"/>
        <v>100</v>
      </c>
      <c r="L82" s="47">
        <f t="shared" si="4"/>
        <v>0</v>
      </c>
      <c r="M82" s="47">
        <f t="shared" si="4"/>
        <v>0</v>
      </c>
      <c r="N82" s="68">
        <f t="shared" si="5"/>
        <v>100</v>
      </c>
      <c r="O82" s="46">
        <v>51.6</v>
      </c>
      <c r="P82" s="47"/>
      <c r="Q82" s="47"/>
      <c r="R82" s="48">
        <f t="shared" si="6"/>
        <v>51.6</v>
      </c>
      <c r="S82" s="29">
        <v>1</v>
      </c>
      <c r="T82" s="286"/>
      <c r="U82" s="295"/>
      <c r="V82" s="38" t="s">
        <v>788</v>
      </c>
      <c r="W82" s="29" t="s">
        <v>74</v>
      </c>
      <c r="X82" s="29" t="s">
        <v>11</v>
      </c>
      <c r="Y82" s="39">
        <v>51.6</v>
      </c>
      <c r="AD82" s="38"/>
      <c r="AG82" s="39"/>
      <c r="AL82" s="38"/>
      <c r="AO82" s="39"/>
      <c r="AP82" s="38"/>
      <c r="AS82" s="39"/>
      <c r="AW82" s="39"/>
      <c r="BA82" s="40"/>
    </row>
    <row r="83" spans="1:53" s="29" customFormat="1" x14ac:dyDescent="0.15">
      <c r="A83" s="29">
        <v>1997</v>
      </c>
      <c r="B83" s="295"/>
      <c r="C83" s="411" t="s">
        <v>795</v>
      </c>
      <c r="D83" s="411"/>
      <c r="E83" s="29">
        <v>121</v>
      </c>
      <c r="G83" s="66">
        <v>23</v>
      </c>
      <c r="J83" s="73">
        <v>23</v>
      </c>
      <c r="K83" s="47">
        <f t="shared" si="4"/>
        <v>100</v>
      </c>
      <c r="L83" s="47">
        <f t="shared" si="4"/>
        <v>0</v>
      </c>
      <c r="M83" s="47">
        <f t="shared" si="4"/>
        <v>0</v>
      </c>
      <c r="N83" s="68">
        <f t="shared" si="5"/>
        <v>100</v>
      </c>
      <c r="O83" s="46">
        <v>51.6</v>
      </c>
      <c r="P83" s="47"/>
      <c r="Q83" s="47"/>
      <c r="R83" s="48">
        <f t="shared" si="6"/>
        <v>51.6</v>
      </c>
      <c r="S83" s="29">
        <v>1</v>
      </c>
      <c r="T83" s="286"/>
      <c r="U83" s="295"/>
      <c r="V83" s="38" t="s">
        <v>788</v>
      </c>
      <c r="W83" s="29" t="s">
        <v>74</v>
      </c>
      <c r="X83" s="29" t="s">
        <v>11</v>
      </c>
      <c r="Y83" s="39">
        <v>51.6</v>
      </c>
      <c r="AD83" s="38"/>
      <c r="AG83" s="39"/>
      <c r="AL83" s="38"/>
      <c r="AO83" s="39"/>
      <c r="AP83" s="38"/>
      <c r="AS83" s="39"/>
      <c r="AW83" s="39"/>
      <c r="BA83" s="40"/>
    </row>
    <row r="84" spans="1:53" s="171" customFormat="1" x14ac:dyDescent="0.15">
      <c r="A84" s="171">
        <v>1997</v>
      </c>
      <c r="B84" s="283">
        <v>35552</v>
      </c>
      <c r="C84" s="410" t="s">
        <v>784</v>
      </c>
      <c r="D84" s="410"/>
      <c r="E84" s="171">
        <f>365-E83</f>
        <v>244</v>
      </c>
      <c r="F84" s="171">
        <v>1</v>
      </c>
      <c r="G84" s="233"/>
      <c r="I84" s="171">
        <v>22</v>
      </c>
      <c r="J84" s="241">
        <v>22</v>
      </c>
      <c r="K84" s="214">
        <f t="shared" si="4"/>
        <v>0</v>
      </c>
      <c r="L84" s="214">
        <f t="shared" si="4"/>
        <v>0</v>
      </c>
      <c r="M84" s="214">
        <f t="shared" si="4"/>
        <v>100</v>
      </c>
      <c r="N84" s="235">
        <f t="shared" si="5"/>
        <v>100</v>
      </c>
      <c r="O84" s="213"/>
      <c r="P84" s="214"/>
      <c r="Q84" s="214">
        <v>63.6</v>
      </c>
      <c r="R84" s="215">
        <f>O84+P84+Q84</f>
        <v>63.6</v>
      </c>
      <c r="S84" s="171">
        <v>1</v>
      </c>
      <c r="T84" s="285">
        <v>35551</v>
      </c>
      <c r="U84" s="283">
        <v>35552</v>
      </c>
      <c r="V84" s="178" t="s">
        <v>451</v>
      </c>
      <c r="W84" s="171" t="s">
        <v>20</v>
      </c>
      <c r="X84" s="171" t="s">
        <v>12</v>
      </c>
      <c r="Y84" s="179">
        <v>63.6</v>
      </c>
      <c r="AD84" s="178"/>
      <c r="AG84" s="179"/>
      <c r="AL84" s="178"/>
      <c r="AO84" s="179"/>
      <c r="AP84" s="178"/>
      <c r="AS84" s="179"/>
      <c r="AW84" s="179"/>
      <c r="BA84" s="180"/>
    </row>
    <row r="85" spans="1:53" s="171" customFormat="1" x14ac:dyDescent="0.15">
      <c r="A85" s="171">
        <v>1998</v>
      </c>
      <c r="B85" s="283"/>
      <c r="C85" s="410" t="s">
        <v>784</v>
      </c>
      <c r="D85" s="410"/>
      <c r="E85" s="171">
        <v>0</v>
      </c>
      <c r="G85" s="233"/>
      <c r="I85" s="171">
        <v>22</v>
      </c>
      <c r="J85" s="241">
        <v>22</v>
      </c>
      <c r="K85" s="214">
        <f t="shared" si="4"/>
        <v>0</v>
      </c>
      <c r="L85" s="214">
        <f t="shared" si="4"/>
        <v>0</v>
      </c>
      <c r="M85" s="214">
        <f t="shared" si="4"/>
        <v>100</v>
      </c>
      <c r="N85" s="235">
        <f t="shared" si="5"/>
        <v>100</v>
      </c>
      <c r="O85" s="213"/>
      <c r="P85" s="214"/>
      <c r="Q85" s="214">
        <v>63.6</v>
      </c>
      <c r="R85" s="215">
        <f t="shared" ref="R85:R101" si="7">O85+P85+Q85</f>
        <v>63.6</v>
      </c>
      <c r="S85" s="171">
        <v>1</v>
      </c>
      <c r="T85" s="285"/>
      <c r="U85" s="283"/>
      <c r="V85" s="178" t="s">
        <v>451</v>
      </c>
      <c r="W85" s="171" t="s">
        <v>20</v>
      </c>
      <c r="X85" s="171" t="s">
        <v>12</v>
      </c>
      <c r="Y85" s="179">
        <v>63.6</v>
      </c>
      <c r="AD85" s="178"/>
      <c r="AG85" s="179"/>
      <c r="AL85" s="178"/>
      <c r="AO85" s="179"/>
      <c r="AP85" s="178"/>
      <c r="AS85" s="179"/>
      <c r="AW85" s="179"/>
      <c r="BA85" s="180"/>
    </row>
    <row r="86" spans="1:53" s="171" customFormat="1" x14ac:dyDescent="0.15">
      <c r="A86" s="171">
        <v>1998</v>
      </c>
      <c r="B86" s="283"/>
      <c r="C86" s="410" t="s">
        <v>784</v>
      </c>
      <c r="D86" s="410"/>
      <c r="E86" s="171">
        <f>365-E85</f>
        <v>365</v>
      </c>
      <c r="G86" s="233"/>
      <c r="I86" s="171">
        <v>22</v>
      </c>
      <c r="J86" s="241">
        <v>22</v>
      </c>
      <c r="K86" s="214">
        <f t="shared" si="4"/>
        <v>0</v>
      </c>
      <c r="L86" s="214">
        <f t="shared" si="4"/>
        <v>0</v>
      </c>
      <c r="M86" s="214">
        <f t="shared" si="4"/>
        <v>100</v>
      </c>
      <c r="N86" s="235">
        <f t="shared" si="5"/>
        <v>100</v>
      </c>
      <c r="O86" s="213"/>
      <c r="P86" s="214"/>
      <c r="Q86" s="214">
        <v>63.6</v>
      </c>
      <c r="R86" s="215">
        <f t="shared" si="7"/>
        <v>63.6</v>
      </c>
      <c r="S86" s="171">
        <v>1</v>
      </c>
      <c r="T86" s="285"/>
      <c r="U86" s="283"/>
      <c r="V86" s="178" t="s">
        <v>451</v>
      </c>
      <c r="W86" s="171" t="s">
        <v>20</v>
      </c>
      <c r="X86" s="171" t="s">
        <v>12</v>
      </c>
      <c r="Y86" s="179">
        <v>63.6</v>
      </c>
      <c r="AD86" s="178"/>
      <c r="AG86" s="179"/>
      <c r="AL86" s="178"/>
      <c r="AO86" s="179"/>
      <c r="AP86" s="178"/>
      <c r="AS86" s="179"/>
      <c r="AW86" s="179"/>
      <c r="BA86" s="180"/>
    </row>
    <row r="87" spans="1:53" s="171" customFormat="1" x14ac:dyDescent="0.15">
      <c r="A87" s="171">
        <v>1999</v>
      </c>
      <c r="B87" s="283"/>
      <c r="C87" s="410" t="s">
        <v>784</v>
      </c>
      <c r="D87" s="410"/>
      <c r="E87" s="171">
        <v>0</v>
      </c>
      <c r="G87" s="233"/>
      <c r="I87" s="171">
        <v>22</v>
      </c>
      <c r="J87" s="241">
        <v>22</v>
      </c>
      <c r="K87" s="214">
        <f t="shared" si="4"/>
        <v>0</v>
      </c>
      <c r="L87" s="214">
        <f t="shared" si="4"/>
        <v>0</v>
      </c>
      <c r="M87" s="214">
        <f t="shared" si="4"/>
        <v>100</v>
      </c>
      <c r="N87" s="235">
        <f t="shared" si="5"/>
        <v>100</v>
      </c>
      <c r="O87" s="213"/>
      <c r="P87" s="214"/>
      <c r="Q87" s="214">
        <v>63.6</v>
      </c>
      <c r="R87" s="215">
        <f t="shared" si="7"/>
        <v>63.6</v>
      </c>
      <c r="S87" s="171">
        <v>1</v>
      </c>
      <c r="T87" s="285"/>
      <c r="U87" s="283"/>
      <c r="V87" s="178" t="s">
        <v>451</v>
      </c>
      <c r="W87" s="171" t="s">
        <v>20</v>
      </c>
      <c r="X87" s="171" t="s">
        <v>12</v>
      </c>
      <c r="Y87" s="179">
        <v>63.6</v>
      </c>
      <c r="AD87" s="178"/>
      <c r="AG87" s="179"/>
      <c r="AL87" s="178"/>
      <c r="AO87" s="179"/>
      <c r="AP87" s="178"/>
      <c r="AS87" s="179"/>
      <c r="AW87" s="179"/>
      <c r="BA87" s="180"/>
    </row>
    <row r="88" spans="1:53" s="171" customFormat="1" x14ac:dyDescent="0.15">
      <c r="A88" s="171">
        <v>1999</v>
      </c>
      <c r="B88" s="283"/>
      <c r="C88" s="410" t="s">
        <v>784</v>
      </c>
      <c r="D88" s="410"/>
      <c r="E88" s="171">
        <f>365-E87</f>
        <v>365</v>
      </c>
      <c r="G88" s="233"/>
      <c r="I88" s="171">
        <v>22</v>
      </c>
      <c r="J88" s="241">
        <v>22</v>
      </c>
      <c r="K88" s="214">
        <f t="shared" si="4"/>
        <v>0</v>
      </c>
      <c r="L88" s="214">
        <f t="shared" si="4"/>
        <v>0</v>
      </c>
      <c r="M88" s="214">
        <f t="shared" si="4"/>
        <v>100</v>
      </c>
      <c r="N88" s="235">
        <f t="shared" si="5"/>
        <v>100</v>
      </c>
      <c r="O88" s="213"/>
      <c r="P88" s="214"/>
      <c r="Q88" s="214">
        <v>63.6</v>
      </c>
      <c r="R88" s="215">
        <f t="shared" si="7"/>
        <v>63.6</v>
      </c>
      <c r="S88" s="171">
        <v>1</v>
      </c>
      <c r="T88" s="285"/>
      <c r="U88" s="283"/>
      <c r="V88" s="178" t="s">
        <v>451</v>
      </c>
      <c r="W88" s="171" t="s">
        <v>20</v>
      </c>
      <c r="X88" s="171" t="s">
        <v>12</v>
      </c>
      <c r="Y88" s="179">
        <v>63.6</v>
      </c>
      <c r="AD88" s="178"/>
      <c r="AG88" s="179"/>
      <c r="AL88" s="178"/>
      <c r="AO88" s="179"/>
      <c r="AP88" s="178"/>
      <c r="AS88" s="179"/>
      <c r="AW88" s="179"/>
      <c r="BA88" s="180"/>
    </row>
    <row r="89" spans="1:53" s="171" customFormat="1" x14ac:dyDescent="0.15">
      <c r="A89" s="171">
        <v>2000</v>
      </c>
      <c r="B89" s="283"/>
      <c r="C89" s="410" t="s">
        <v>784</v>
      </c>
      <c r="D89" s="410"/>
      <c r="E89" s="171">
        <v>0</v>
      </c>
      <c r="G89" s="233"/>
      <c r="I89" s="171">
        <v>22</v>
      </c>
      <c r="J89" s="241">
        <v>22</v>
      </c>
      <c r="K89" s="214">
        <f t="shared" si="4"/>
        <v>0</v>
      </c>
      <c r="L89" s="214">
        <f t="shared" si="4"/>
        <v>0</v>
      </c>
      <c r="M89" s="214">
        <f t="shared" si="4"/>
        <v>100</v>
      </c>
      <c r="N89" s="235">
        <f t="shared" si="5"/>
        <v>100</v>
      </c>
      <c r="O89" s="213"/>
      <c r="P89" s="214"/>
      <c r="Q89" s="214">
        <v>63.6</v>
      </c>
      <c r="R89" s="215">
        <f t="shared" si="7"/>
        <v>63.6</v>
      </c>
      <c r="S89" s="171">
        <v>1</v>
      </c>
      <c r="T89" s="285"/>
      <c r="U89" s="283"/>
      <c r="V89" s="178" t="s">
        <v>451</v>
      </c>
      <c r="W89" s="171" t="s">
        <v>20</v>
      </c>
      <c r="X89" s="171" t="s">
        <v>12</v>
      </c>
      <c r="Y89" s="179">
        <v>63.6</v>
      </c>
      <c r="AD89" s="178"/>
      <c r="AG89" s="179"/>
      <c r="AL89" s="178"/>
      <c r="AO89" s="179"/>
      <c r="AP89" s="178"/>
      <c r="AS89" s="179"/>
      <c r="AW89" s="179"/>
      <c r="BA89" s="180"/>
    </row>
    <row r="90" spans="1:53" s="171" customFormat="1" x14ac:dyDescent="0.15">
      <c r="A90" s="171">
        <v>2000</v>
      </c>
      <c r="B90" s="283"/>
      <c r="C90" s="410" t="s">
        <v>784</v>
      </c>
      <c r="D90" s="410"/>
      <c r="E90" s="171">
        <f>366-E89</f>
        <v>366</v>
      </c>
      <c r="G90" s="233"/>
      <c r="I90" s="171">
        <v>22</v>
      </c>
      <c r="J90" s="241">
        <v>22</v>
      </c>
      <c r="K90" s="214">
        <f t="shared" si="4"/>
        <v>0</v>
      </c>
      <c r="L90" s="214">
        <f t="shared" si="4"/>
        <v>0</v>
      </c>
      <c r="M90" s="214">
        <f t="shared" si="4"/>
        <v>100</v>
      </c>
      <c r="N90" s="235">
        <f t="shared" si="5"/>
        <v>100</v>
      </c>
      <c r="O90" s="213"/>
      <c r="P90" s="214"/>
      <c r="Q90" s="214">
        <v>63.6</v>
      </c>
      <c r="R90" s="215">
        <f t="shared" si="7"/>
        <v>63.6</v>
      </c>
      <c r="S90" s="171">
        <v>1</v>
      </c>
      <c r="T90" s="285"/>
      <c r="U90" s="283"/>
      <c r="V90" s="178" t="s">
        <v>451</v>
      </c>
      <c r="W90" s="171" t="s">
        <v>20</v>
      </c>
      <c r="X90" s="171" t="s">
        <v>12</v>
      </c>
      <c r="Y90" s="179">
        <v>63.6</v>
      </c>
      <c r="AD90" s="178"/>
      <c r="AG90" s="179"/>
      <c r="AL90" s="178"/>
      <c r="AO90" s="179"/>
      <c r="AP90" s="178"/>
      <c r="AS90" s="179"/>
      <c r="AW90" s="179"/>
      <c r="BA90" s="180"/>
    </row>
    <row r="91" spans="1:53" s="171" customFormat="1" x14ac:dyDescent="0.15">
      <c r="A91" s="171">
        <v>2001</v>
      </c>
      <c r="B91" s="283"/>
      <c r="C91" s="410" t="s">
        <v>784</v>
      </c>
      <c r="D91" s="410"/>
      <c r="E91" s="171">
        <v>158</v>
      </c>
      <c r="G91" s="233"/>
      <c r="I91" s="171">
        <v>22</v>
      </c>
      <c r="J91" s="241">
        <v>22</v>
      </c>
      <c r="K91" s="214">
        <f t="shared" si="4"/>
        <v>0</v>
      </c>
      <c r="L91" s="214">
        <f t="shared" si="4"/>
        <v>0</v>
      </c>
      <c r="M91" s="214">
        <f t="shared" si="4"/>
        <v>100</v>
      </c>
      <c r="N91" s="235">
        <f t="shared" si="5"/>
        <v>100</v>
      </c>
      <c r="O91" s="213"/>
      <c r="P91" s="214"/>
      <c r="Q91" s="214">
        <v>63.6</v>
      </c>
      <c r="R91" s="215">
        <f t="shared" si="7"/>
        <v>63.6</v>
      </c>
      <c r="S91" s="171">
        <v>1</v>
      </c>
      <c r="T91" s="285"/>
      <c r="U91" s="283"/>
      <c r="V91" s="178" t="s">
        <v>451</v>
      </c>
      <c r="W91" s="171" t="s">
        <v>20</v>
      </c>
      <c r="X91" s="171" t="s">
        <v>12</v>
      </c>
      <c r="Y91" s="179">
        <v>63.6</v>
      </c>
      <c r="AD91" s="178"/>
      <c r="AG91" s="179"/>
      <c r="AL91" s="178"/>
      <c r="AO91" s="179"/>
      <c r="AP91" s="178"/>
      <c r="AS91" s="179"/>
      <c r="AW91" s="179"/>
      <c r="BA91" s="180"/>
    </row>
    <row r="92" spans="1:53" s="29" customFormat="1" x14ac:dyDescent="0.15">
      <c r="A92" s="29">
        <v>2001</v>
      </c>
      <c r="B92" s="295">
        <v>37050</v>
      </c>
      <c r="C92" s="411" t="s">
        <v>785</v>
      </c>
      <c r="D92" s="411"/>
      <c r="E92" s="29">
        <f>365-E91</f>
        <v>207</v>
      </c>
      <c r="F92" s="29">
        <v>1</v>
      </c>
      <c r="G92" s="66"/>
      <c r="I92" s="29">
        <v>23</v>
      </c>
      <c r="J92" s="73">
        <v>23</v>
      </c>
      <c r="K92" s="47">
        <f t="shared" si="4"/>
        <v>0</v>
      </c>
      <c r="L92" s="47">
        <f t="shared" si="4"/>
        <v>0</v>
      </c>
      <c r="M92" s="47">
        <f t="shared" si="4"/>
        <v>100</v>
      </c>
      <c r="N92" s="68">
        <f t="shared" si="5"/>
        <v>100</v>
      </c>
      <c r="O92" s="46"/>
      <c r="P92" s="47"/>
      <c r="Q92" s="47">
        <v>62.5</v>
      </c>
      <c r="R92" s="48">
        <f t="shared" si="7"/>
        <v>62.5</v>
      </c>
      <c r="S92" s="29">
        <v>1</v>
      </c>
      <c r="T92" s="286">
        <v>37049</v>
      </c>
      <c r="U92" s="295">
        <v>37050</v>
      </c>
      <c r="V92" s="38" t="s">
        <v>451</v>
      </c>
      <c r="W92" s="29" t="s">
        <v>20</v>
      </c>
      <c r="X92" s="29" t="s">
        <v>12</v>
      </c>
      <c r="Y92" s="39">
        <v>62.5</v>
      </c>
      <c r="AD92" s="38"/>
      <c r="AG92" s="39"/>
      <c r="AL92" s="38"/>
      <c r="AO92" s="39"/>
      <c r="AP92" s="38"/>
      <c r="AS92" s="39"/>
      <c r="AW92" s="39"/>
      <c r="BA92" s="40"/>
    </row>
    <row r="93" spans="1:53" s="29" customFormat="1" x14ac:dyDescent="0.15">
      <c r="A93" s="29">
        <v>2002</v>
      </c>
      <c r="B93" s="295"/>
      <c r="C93" s="411" t="s">
        <v>785</v>
      </c>
      <c r="D93" s="411"/>
      <c r="E93" s="29">
        <v>0</v>
      </c>
      <c r="G93" s="66"/>
      <c r="I93" s="29">
        <v>23</v>
      </c>
      <c r="J93" s="73">
        <v>23</v>
      </c>
      <c r="K93" s="47">
        <f t="shared" si="4"/>
        <v>0</v>
      </c>
      <c r="L93" s="47">
        <f t="shared" si="4"/>
        <v>0</v>
      </c>
      <c r="M93" s="47">
        <f t="shared" si="4"/>
        <v>100</v>
      </c>
      <c r="N93" s="68">
        <f t="shared" si="5"/>
        <v>100</v>
      </c>
      <c r="O93" s="46"/>
      <c r="P93" s="47"/>
      <c r="Q93" s="47">
        <v>62.5</v>
      </c>
      <c r="R93" s="48">
        <f t="shared" si="7"/>
        <v>62.5</v>
      </c>
      <c r="S93" s="29">
        <v>1</v>
      </c>
      <c r="T93" s="286"/>
      <c r="U93" s="295"/>
      <c r="V93" s="38" t="s">
        <v>451</v>
      </c>
      <c r="W93" s="29" t="s">
        <v>20</v>
      </c>
      <c r="X93" s="29" t="s">
        <v>12</v>
      </c>
      <c r="Y93" s="39">
        <v>62.5</v>
      </c>
      <c r="AD93" s="38"/>
      <c r="AG93" s="39"/>
      <c r="AL93" s="38"/>
      <c r="AO93" s="39"/>
      <c r="AP93" s="38"/>
      <c r="AS93" s="39"/>
      <c r="AW93" s="39"/>
      <c r="BA93" s="40"/>
    </row>
    <row r="94" spans="1:53" s="29" customFormat="1" x14ac:dyDescent="0.15">
      <c r="A94" s="29">
        <v>2002</v>
      </c>
      <c r="B94" s="295"/>
      <c r="C94" s="411" t="s">
        <v>785</v>
      </c>
      <c r="D94" s="411"/>
      <c r="E94" s="29">
        <f>365-E93</f>
        <v>365</v>
      </c>
      <c r="G94" s="66"/>
      <c r="I94" s="29">
        <v>23</v>
      </c>
      <c r="J94" s="73">
        <v>23</v>
      </c>
      <c r="K94" s="47">
        <f t="shared" si="4"/>
        <v>0</v>
      </c>
      <c r="L94" s="47">
        <f t="shared" si="4"/>
        <v>0</v>
      </c>
      <c r="M94" s="47">
        <f t="shared" si="4"/>
        <v>100</v>
      </c>
      <c r="N94" s="68">
        <f t="shared" si="5"/>
        <v>100</v>
      </c>
      <c r="O94" s="46"/>
      <c r="P94" s="47"/>
      <c r="Q94" s="47">
        <v>62.5</v>
      </c>
      <c r="R94" s="48">
        <f t="shared" si="7"/>
        <v>62.5</v>
      </c>
      <c r="S94" s="29">
        <v>1</v>
      </c>
      <c r="T94" s="286"/>
      <c r="U94" s="295"/>
      <c r="V94" s="38" t="s">
        <v>451</v>
      </c>
      <c r="W94" s="29" t="s">
        <v>20</v>
      </c>
      <c r="X94" s="29" t="s">
        <v>12</v>
      </c>
      <c r="Y94" s="39">
        <v>62.5</v>
      </c>
      <c r="AD94" s="38"/>
      <c r="AG94" s="39"/>
      <c r="AL94" s="38"/>
      <c r="AO94" s="39"/>
      <c r="AP94" s="38"/>
      <c r="AS94" s="39"/>
      <c r="AW94" s="39"/>
      <c r="BA94" s="40"/>
    </row>
    <row r="95" spans="1:53" s="29" customFormat="1" x14ac:dyDescent="0.15">
      <c r="A95" s="29">
        <v>2003</v>
      </c>
      <c r="B95" s="295"/>
      <c r="C95" s="411" t="s">
        <v>785</v>
      </c>
      <c r="D95" s="411"/>
      <c r="E95" s="29">
        <v>0</v>
      </c>
      <c r="G95" s="66"/>
      <c r="I95" s="29">
        <v>23</v>
      </c>
      <c r="J95" s="73">
        <v>23</v>
      </c>
      <c r="K95" s="47">
        <f t="shared" si="4"/>
        <v>0</v>
      </c>
      <c r="L95" s="47">
        <f t="shared" si="4"/>
        <v>0</v>
      </c>
      <c r="M95" s="47">
        <f t="shared" si="4"/>
        <v>100</v>
      </c>
      <c r="N95" s="68">
        <f t="shared" si="5"/>
        <v>100</v>
      </c>
      <c r="O95" s="46"/>
      <c r="P95" s="47"/>
      <c r="Q95" s="47">
        <v>62.5</v>
      </c>
      <c r="R95" s="48">
        <f t="shared" si="7"/>
        <v>62.5</v>
      </c>
      <c r="S95" s="29">
        <v>1</v>
      </c>
      <c r="T95" s="286"/>
      <c r="U95" s="295"/>
      <c r="V95" s="38" t="s">
        <v>451</v>
      </c>
      <c r="W95" s="29" t="s">
        <v>20</v>
      </c>
      <c r="X95" s="29" t="s">
        <v>12</v>
      </c>
      <c r="Y95" s="39">
        <v>62.5</v>
      </c>
      <c r="AD95" s="38"/>
      <c r="AG95" s="39"/>
      <c r="AL95" s="38"/>
      <c r="AO95" s="39"/>
      <c r="AP95" s="38"/>
      <c r="AS95" s="39"/>
      <c r="AW95" s="39"/>
      <c r="BA95" s="40"/>
    </row>
    <row r="96" spans="1:53" s="29" customFormat="1" x14ac:dyDescent="0.15">
      <c r="A96" s="29">
        <v>2003</v>
      </c>
      <c r="B96" s="295"/>
      <c r="C96" s="411" t="s">
        <v>785</v>
      </c>
      <c r="D96" s="411"/>
      <c r="E96" s="29">
        <f>365-E95</f>
        <v>365</v>
      </c>
      <c r="G96" s="66"/>
      <c r="I96" s="29">
        <v>23</v>
      </c>
      <c r="J96" s="73">
        <v>23</v>
      </c>
      <c r="K96" s="47">
        <f t="shared" si="4"/>
        <v>0</v>
      </c>
      <c r="L96" s="47">
        <f t="shared" si="4"/>
        <v>0</v>
      </c>
      <c r="M96" s="47">
        <f t="shared" si="4"/>
        <v>100</v>
      </c>
      <c r="N96" s="68">
        <f t="shared" si="5"/>
        <v>100</v>
      </c>
      <c r="O96" s="46"/>
      <c r="P96" s="47"/>
      <c r="Q96" s="47">
        <v>62.5</v>
      </c>
      <c r="R96" s="48">
        <f t="shared" si="7"/>
        <v>62.5</v>
      </c>
      <c r="S96" s="29">
        <v>1</v>
      </c>
      <c r="T96" s="286"/>
      <c r="U96" s="295"/>
      <c r="V96" s="38" t="s">
        <v>451</v>
      </c>
      <c r="W96" s="29" t="s">
        <v>20</v>
      </c>
      <c r="X96" s="29" t="s">
        <v>12</v>
      </c>
      <c r="Y96" s="39">
        <v>62.5</v>
      </c>
      <c r="AD96" s="38"/>
      <c r="AG96" s="39"/>
      <c r="AL96" s="38"/>
      <c r="AO96" s="39"/>
      <c r="AP96" s="38"/>
      <c r="AS96" s="39"/>
      <c r="AW96" s="39"/>
      <c r="BA96" s="40"/>
    </row>
    <row r="97" spans="1:53" s="29" customFormat="1" x14ac:dyDescent="0.15">
      <c r="A97" s="29">
        <v>2004</v>
      </c>
      <c r="B97" s="295"/>
      <c r="C97" s="411" t="s">
        <v>785</v>
      </c>
      <c r="D97" s="411"/>
      <c r="E97" s="29">
        <v>0</v>
      </c>
      <c r="G97" s="66"/>
      <c r="I97" s="29">
        <v>23</v>
      </c>
      <c r="J97" s="73">
        <v>23</v>
      </c>
      <c r="K97" s="47">
        <f t="shared" si="4"/>
        <v>0</v>
      </c>
      <c r="L97" s="47">
        <f t="shared" si="4"/>
        <v>0</v>
      </c>
      <c r="M97" s="47">
        <f t="shared" si="4"/>
        <v>100</v>
      </c>
      <c r="N97" s="68">
        <f t="shared" si="5"/>
        <v>100</v>
      </c>
      <c r="O97" s="46"/>
      <c r="P97" s="47"/>
      <c r="Q97" s="47">
        <v>62.5</v>
      </c>
      <c r="R97" s="48">
        <f t="shared" si="7"/>
        <v>62.5</v>
      </c>
      <c r="S97" s="29">
        <v>1</v>
      </c>
      <c r="T97" s="286"/>
      <c r="U97" s="295"/>
      <c r="V97" s="38" t="s">
        <v>451</v>
      </c>
      <c r="W97" s="29" t="s">
        <v>20</v>
      </c>
      <c r="X97" s="29" t="s">
        <v>12</v>
      </c>
      <c r="Y97" s="39">
        <v>62.5</v>
      </c>
      <c r="AD97" s="38"/>
      <c r="AG97" s="39"/>
      <c r="AL97" s="38"/>
      <c r="AO97" s="39"/>
      <c r="AP97" s="38"/>
      <c r="AS97" s="39"/>
      <c r="AW97" s="39"/>
      <c r="BA97" s="40"/>
    </row>
    <row r="98" spans="1:53" s="29" customFormat="1" x14ac:dyDescent="0.15">
      <c r="A98" s="29">
        <v>2004</v>
      </c>
      <c r="B98" s="295"/>
      <c r="C98" s="411" t="s">
        <v>785</v>
      </c>
      <c r="D98" s="411"/>
      <c r="E98" s="29">
        <f>366-E97</f>
        <v>366</v>
      </c>
      <c r="G98" s="66"/>
      <c r="I98" s="29">
        <v>23</v>
      </c>
      <c r="J98" s="73">
        <v>23</v>
      </c>
      <c r="K98" s="47">
        <f t="shared" si="4"/>
        <v>0</v>
      </c>
      <c r="L98" s="47">
        <f t="shared" si="4"/>
        <v>0</v>
      </c>
      <c r="M98" s="47">
        <f t="shared" si="4"/>
        <v>100</v>
      </c>
      <c r="N98" s="68">
        <f t="shared" si="5"/>
        <v>100</v>
      </c>
      <c r="O98" s="46"/>
      <c r="P98" s="47"/>
      <c r="Q98" s="47">
        <v>62.5</v>
      </c>
      <c r="R98" s="48">
        <f t="shared" si="7"/>
        <v>62.5</v>
      </c>
      <c r="S98" s="29">
        <v>1</v>
      </c>
      <c r="T98" s="286"/>
      <c r="U98" s="295"/>
      <c r="V98" s="38" t="s">
        <v>451</v>
      </c>
      <c r="W98" s="29" t="s">
        <v>20</v>
      </c>
      <c r="X98" s="29" t="s">
        <v>12</v>
      </c>
      <c r="Y98" s="39">
        <v>62.5</v>
      </c>
      <c r="AD98" s="38"/>
      <c r="AG98" s="39"/>
      <c r="AL98" s="38"/>
      <c r="AO98" s="39"/>
      <c r="AP98" s="38"/>
      <c r="AS98" s="39"/>
      <c r="AW98" s="39"/>
      <c r="BA98" s="40"/>
    </row>
    <row r="99" spans="1:53" s="29" customFormat="1" x14ac:dyDescent="0.15">
      <c r="A99" s="29">
        <v>2005</v>
      </c>
      <c r="B99" s="295"/>
      <c r="C99" s="411" t="s">
        <v>785</v>
      </c>
      <c r="D99" s="411"/>
      <c r="E99" s="29">
        <v>125</v>
      </c>
      <c r="G99" s="66"/>
      <c r="I99" s="29">
        <v>23</v>
      </c>
      <c r="J99" s="73">
        <v>23</v>
      </c>
      <c r="K99" s="47">
        <f t="shared" si="4"/>
        <v>0</v>
      </c>
      <c r="L99" s="47">
        <f t="shared" si="4"/>
        <v>0</v>
      </c>
      <c r="M99" s="47">
        <f t="shared" si="4"/>
        <v>100</v>
      </c>
      <c r="N99" s="68">
        <f t="shared" si="5"/>
        <v>100</v>
      </c>
      <c r="O99" s="46"/>
      <c r="P99" s="47"/>
      <c r="Q99" s="47">
        <v>62.5</v>
      </c>
      <c r="R99" s="48">
        <f t="shared" si="7"/>
        <v>62.5</v>
      </c>
      <c r="S99" s="29">
        <v>1</v>
      </c>
      <c r="T99" s="286"/>
      <c r="U99" s="295"/>
      <c r="V99" s="38" t="s">
        <v>451</v>
      </c>
      <c r="W99" s="29" t="s">
        <v>20</v>
      </c>
      <c r="X99" s="29" t="s">
        <v>12</v>
      </c>
      <c r="Y99" s="39">
        <v>62.5</v>
      </c>
      <c r="AD99" s="38"/>
      <c r="AG99" s="39"/>
      <c r="AL99" s="38"/>
      <c r="AO99" s="39"/>
      <c r="AP99" s="38"/>
      <c r="AS99" s="39"/>
      <c r="AW99" s="39"/>
      <c r="BA99" s="40"/>
    </row>
    <row r="100" spans="1:53" s="171" customFormat="1" x14ac:dyDescent="0.15">
      <c r="A100" s="171">
        <v>2005</v>
      </c>
      <c r="B100" s="283">
        <v>38478</v>
      </c>
      <c r="C100" s="410" t="s">
        <v>786</v>
      </c>
      <c r="D100" s="410"/>
      <c r="E100" s="171">
        <f>365-E99</f>
        <v>240</v>
      </c>
      <c r="F100" s="171">
        <v>1</v>
      </c>
      <c r="G100" s="233"/>
      <c r="I100" s="171">
        <v>23</v>
      </c>
      <c r="J100" s="241">
        <v>23</v>
      </c>
      <c r="K100" s="214">
        <f t="shared" si="4"/>
        <v>0</v>
      </c>
      <c r="L100" s="214">
        <f t="shared" si="4"/>
        <v>0</v>
      </c>
      <c r="M100" s="214">
        <f t="shared" si="4"/>
        <v>100</v>
      </c>
      <c r="N100" s="235">
        <f t="shared" si="5"/>
        <v>100</v>
      </c>
      <c r="O100" s="213"/>
      <c r="P100" s="214"/>
      <c r="Q100" s="214">
        <v>55</v>
      </c>
      <c r="R100" s="215">
        <f t="shared" si="7"/>
        <v>55</v>
      </c>
      <c r="S100" s="171">
        <v>1</v>
      </c>
      <c r="T100" s="285">
        <v>38477</v>
      </c>
      <c r="U100" s="283">
        <v>38478</v>
      </c>
      <c r="V100" s="178" t="s">
        <v>451</v>
      </c>
      <c r="W100" s="171" t="s">
        <v>20</v>
      </c>
      <c r="X100" s="171" t="s">
        <v>12</v>
      </c>
      <c r="Y100" s="179">
        <v>55</v>
      </c>
      <c r="AD100" s="178"/>
      <c r="AG100" s="179"/>
      <c r="AL100" s="178"/>
      <c r="AO100" s="179"/>
      <c r="AP100" s="178"/>
      <c r="AS100" s="179"/>
      <c r="AW100" s="179"/>
      <c r="BA100" s="180"/>
    </row>
    <row r="101" spans="1:53" s="171" customFormat="1" x14ac:dyDescent="0.15">
      <c r="A101" s="171">
        <v>2006</v>
      </c>
      <c r="B101" s="283"/>
      <c r="C101" s="410" t="s">
        <v>786</v>
      </c>
      <c r="D101" s="410"/>
      <c r="E101" s="171">
        <v>0</v>
      </c>
      <c r="G101" s="233"/>
      <c r="I101" s="171">
        <v>23</v>
      </c>
      <c r="J101" s="241">
        <v>23</v>
      </c>
      <c r="K101" s="214">
        <f t="shared" si="4"/>
        <v>0</v>
      </c>
      <c r="L101" s="214">
        <f t="shared" si="4"/>
        <v>0</v>
      </c>
      <c r="M101" s="214">
        <f t="shared" si="4"/>
        <v>100</v>
      </c>
      <c r="N101" s="235">
        <f t="shared" si="5"/>
        <v>100</v>
      </c>
      <c r="O101" s="213"/>
      <c r="P101" s="214"/>
      <c r="Q101" s="214">
        <v>55</v>
      </c>
      <c r="R101" s="215">
        <f t="shared" si="7"/>
        <v>55</v>
      </c>
      <c r="S101" s="171">
        <v>1</v>
      </c>
      <c r="T101" s="285"/>
      <c r="U101" s="283"/>
      <c r="V101" s="178" t="s">
        <v>451</v>
      </c>
      <c r="W101" s="171" t="s">
        <v>20</v>
      </c>
      <c r="X101" s="171" t="s">
        <v>12</v>
      </c>
      <c r="Y101" s="179">
        <v>55</v>
      </c>
      <c r="AD101" s="178"/>
      <c r="AG101" s="179"/>
      <c r="AL101" s="178"/>
      <c r="AO101" s="179"/>
      <c r="AP101" s="178"/>
      <c r="AS101" s="179"/>
      <c r="AW101" s="179"/>
      <c r="BA101" s="180"/>
    </row>
    <row r="102" spans="1:53" s="171" customFormat="1" x14ac:dyDescent="0.15">
      <c r="A102" s="171">
        <v>2006</v>
      </c>
      <c r="B102" s="283"/>
      <c r="C102" s="410" t="s">
        <v>786</v>
      </c>
      <c r="D102" s="410"/>
      <c r="E102" s="171">
        <v>365</v>
      </c>
      <c r="G102" s="233"/>
      <c r="I102" s="171">
        <v>23</v>
      </c>
      <c r="J102" s="241">
        <v>23</v>
      </c>
      <c r="K102" s="214">
        <f>G102/$J102*100</f>
        <v>0</v>
      </c>
      <c r="L102" s="214">
        <f>H102/$J102*100</f>
        <v>0</v>
      </c>
      <c r="M102" s="214">
        <f>I102/$J102*100</f>
        <v>100</v>
      </c>
      <c r="N102" s="235">
        <f>K102+L102+M102</f>
        <v>100</v>
      </c>
      <c r="O102" s="213"/>
      <c r="P102" s="214"/>
      <c r="Q102" s="214">
        <v>55</v>
      </c>
      <c r="R102" s="215">
        <f>O102+P102+Q102</f>
        <v>55</v>
      </c>
      <c r="S102" s="171">
        <v>1</v>
      </c>
      <c r="T102" s="285"/>
      <c r="U102" s="283"/>
      <c r="V102" s="178" t="s">
        <v>451</v>
      </c>
      <c r="W102" s="171" t="s">
        <v>20</v>
      </c>
      <c r="X102" s="171" t="s">
        <v>12</v>
      </c>
      <c r="Y102" s="179">
        <v>55</v>
      </c>
      <c r="AD102" s="178"/>
      <c r="AG102" s="179"/>
      <c r="AL102" s="178"/>
      <c r="AO102" s="179"/>
      <c r="AP102" s="178"/>
      <c r="AS102" s="179"/>
      <c r="AW102" s="179"/>
      <c r="BA102" s="180"/>
    </row>
    <row r="103" spans="1:53" s="171" customFormat="1" x14ac:dyDescent="0.15">
      <c r="A103" s="171">
        <v>2007</v>
      </c>
      <c r="B103" s="283"/>
      <c r="C103" s="410" t="s">
        <v>786</v>
      </c>
      <c r="D103" s="410"/>
      <c r="E103" s="171">
        <v>177</v>
      </c>
      <c r="G103" s="233"/>
      <c r="I103" s="171">
        <v>23</v>
      </c>
      <c r="J103" s="241">
        <v>23</v>
      </c>
      <c r="K103" s="214">
        <f t="shared" ref="K103:K114" si="8">G103/$J103*100</f>
        <v>0</v>
      </c>
      <c r="L103" s="214">
        <f t="shared" ref="L103:L114" si="9">H103/$J103*100</f>
        <v>0</v>
      </c>
      <c r="M103" s="214">
        <f t="shared" ref="M103:M114" si="10">I103/$J103*100</f>
        <v>100</v>
      </c>
      <c r="N103" s="235">
        <f t="shared" ref="N103:N114" si="11">K103+L103+M103</f>
        <v>100</v>
      </c>
      <c r="O103" s="213"/>
      <c r="P103" s="214"/>
      <c r="Q103" s="214">
        <v>55</v>
      </c>
      <c r="R103" s="215">
        <f t="shared" ref="R103:R124" si="12">O103+P103+Q103</f>
        <v>55</v>
      </c>
      <c r="S103" s="171">
        <v>1</v>
      </c>
      <c r="T103" s="285"/>
      <c r="U103" s="283"/>
      <c r="V103" s="178" t="s">
        <v>451</v>
      </c>
      <c r="W103" s="171" t="s">
        <v>20</v>
      </c>
      <c r="X103" s="171" t="s">
        <v>12</v>
      </c>
      <c r="Y103" s="179">
        <v>55</v>
      </c>
      <c r="AD103" s="178"/>
      <c r="AG103" s="179"/>
      <c r="AL103" s="178"/>
      <c r="AO103" s="179"/>
      <c r="AP103" s="178"/>
      <c r="AS103" s="179"/>
      <c r="AW103" s="179"/>
      <c r="BA103" s="180"/>
    </row>
    <row r="104" spans="1:53" s="29" customFormat="1" x14ac:dyDescent="0.15">
      <c r="A104" s="29">
        <v>2007</v>
      </c>
      <c r="B104" s="295">
        <v>39260</v>
      </c>
      <c r="C104" s="411" t="s">
        <v>787</v>
      </c>
      <c r="D104" s="411"/>
      <c r="E104" s="29">
        <f>365-E103</f>
        <v>188</v>
      </c>
      <c r="F104" s="29">
        <v>2</v>
      </c>
      <c r="G104" s="66"/>
      <c r="I104" s="29">
        <v>22</v>
      </c>
      <c r="J104" s="73">
        <v>22</v>
      </c>
      <c r="K104" s="47">
        <f t="shared" si="8"/>
        <v>0</v>
      </c>
      <c r="L104" s="47">
        <f t="shared" si="9"/>
        <v>0</v>
      </c>
      <c r="M104" s="47">
        <f t="shared" si="10"/>
        <v>100</v>
      </c>
      <c r="N104" s="68">
        <f t="shared" si="11"/>
        <v>100</v>
      </c>
      <c r="O104" s="46"/>
      <c r="P104" s="47"/>
      <c r="Q104" s="47">
        <v>55</v>
      </c>
      <c r="R104" s="48">
        <f t="shared" si="12"/>
        <v>55</v>
      </c>
      <c r="S104" s="29">
        <v>1</v>
      </c>
      <c r="T104" s="286"/>
      <c r="U104" s="295">
        <v>39260</v>
      </c>
      <c r="V104" s="38" t="s">
        <v>451</v>
      </c>
      <c r="W104" s="29" t="s">
        <v>20</v>
      </c>
      <c r="X104" s="29" t="s">
        <v>12</v>
      </c>
      <c r="Y104" s="39">
        <v>55</v>
      </c>
      <c r="AD104" s="38"/>
      <c r="AG104" s="39"/>
      <c r="AL104" s="38"/>
      <c r="AO104" s="39"/>
      <c r="AP104" s="38"/>
      <c r="AS104" s="39"/>
      <c r="AW104" s="39"/>
      <c r="BA104" s="40"/>
    </row>
    <row r="105" spans="1:53" s="29" customFormat="1" x14ac:dyDescent="0.15">
      <c r="A105" s="29">
        <v>2008</v>
      </c>
      <c r="B105" s="295"/>
      <c r="C105" s="411" t="s">
        <v>787</v>
      </c>
      <c r="D105" s="411"/>
      <c r="E105" s="29">
        <v>0</v>
      </c>
      <c r="G105" s="66"/>
      <c r="I105" s="29">
        <v>22</v>
      </c>
      <c r="J105" s="73">
        <v>22</v>
      </c>
      <c r="K105" s="47">
        <f t="shared" si="8"/>
        <v>0</v>
      </c>
      <c r="L105" s="47">
        <f t="shared" si="9"/>
        <v>0</v>
      </c>
      <c r="M105" s="47">
        <f t="shared" si="10"/>
        <v>100</v>
      </c>
      <c r="N105" s="68">
        <f t="shared" si="11"/>
        <v>100</v>
      </c>
      <c r="O105" s="46"/>
      <c r="P105" s="47"/>
      <c r="Q105" s="47">
        <v>55</v>
      </c>
      <c r="R105" s="48">
        <f t="shared" si="12"/>
        <v>55</v>
      </c>
      <c r="S105" s="29">
        <v>1</v>
      </c>
      <c r="T105" s="286"/>
      <c r="U105" s="295"/>
      <c r="V105" s="38" t="s">
        <v>451</v>
      </c>
      <c r="W105" s="29" t="s">
        <v>20</v>
      </c>
      <c r="X105" s="29" t="s">
        <v>12</v>
      </c>
      <c r="Y105" s="39">
        <v>55</v>
      </c>
      <c r="AD105" s="38"/>
      <c r="AG105" s="39"/>
      <c r="AL105" s="38"/>
      <c r="AO105" s="39"/>
      <c r="AP105" s="38"/>
      <c r="AS105" s="39"/>
      <c r="AW105" s="39"/>
      <c r="BA105" s="40"/>
    </row>
    <row r="106" spans="1:53" s="29" customFormat="1" x14ac:dyDescent="0.15">
      <c r="A106" s="29">
        <v>2008</v>
      </c>
      <c r="B106" s="295"/>
      <c r="C106" s="411" t="s">
        <v>787</v>
      </c>
      <c r="D106" s="411"/>
      <c r="E106" s="29">
        <v>366</v>
      </c>
      <c r="G106" s="66"/>
      <c r="I106" s="29">
        <v>22</v>
      </c>
      <c r="J106" s="73">
        <v>22</v>
      </c>
      <c r="K106" s="47">
        <f t="shared" si="8"/>
        <v>0</v>
      </c>
      <c r="L106" s="47">
        <f t="shared" si="9"/>
        <v>0</v>
      </c>
      <c r="M106" s="47">
        <f t="shared" si="10"/>
        <v>100</v>
      </c>
      <c r="N106" s="68">
        <f t="shared" si="11"/>
        <v>100</v>
      </c>
      <c r="O106" s="46"/>
      <c r="P106" s="47"/>
      <c r="Q106" s="47">
        <v>55</v>
      </c>
      <c r="R106" s="48">
        <f t="shared" si="12"/>
        <v>55</v>
      </c>
      <c r="S106" s="29">
        <v>1</v>
      </c>
      <c r="T106" s="286"/>
      <c r="U106" s="295"/>
      <c r="V106" s="38" t="s">
        <v>451</v>
      </c>
      <c r="W106" s="29" t="s">
        <v>20</v>
      </c>
      <c r="X106" s="29" t="s">
        <v>12</v>
      </c>
      <c r="Y106" s="39">
        <v>55</v>
      </c>
      <c r="AD106" s="38"/>
      <c r="AG106" s="39"/>
      <c r="AL106" s="38"/>
      <c r="AO106" s="39"/>
      <c r="AP106" s="38"/>
      <c r="AS106" s="39"/>
      <c r="AW106" s="39"/>
      <c r="BA106" s="40"/>
    </row>
    <row r="107" spans="1:53" s="29" customFormat="1" x14ac:dyDescent="0.15">
      <c r="A107" s="29">
        <v>2009</v>
      </c>
      <c r="B107" s="295"/>
      <c r="C107" s="411" t="s">
        <v>787</v>
      </c>
      <c r="D107" s="411"/>
      <c r="E107" s="29">
        <v>0</v>
      </c>
      <c r="G107" s="66"/>
      <c r="I107" s="29">
        <v>22</v>
      </c>
      <c r="J107" s="73">
        <v>22</v>
      </c>
      <c r="K107" s="47">
        <f t="shared" si="8"/>
        <v>0</v>
      </c>
      <c r="L107" s="47">
        <f t="shared" si="9"/>
        <v>0</v>
      </c>
      <c r="M107" s="47">
        <f t="shared" si="10"/>
        <v>100</v>
      </c>
      <c r="N107" s="68">
        <f t="shared" si="11"/>
        <v>100</v>
      </c>
      <c r="O107" s="46"/>
      <c r="P107" s="47"/>
      <c r="Q107" s="47">
        <v>55</v>
      </c>
      <c r="R107" s="48">
        <f t="shared" si="12"/>
        <v>55</v>
      </c>
      <c r="S107" s="29">
        <v>1</v>
      </c>
      <c r="T107" s="286"/>
      <c r="U107" s="295"/>
      <c r="V107" s="38" t="s">
        <v>451</v>
      </c>
      <c r="W107" s="29" t="s">
        <v>20</v>
      </c>
      <c r="X107" s="29" t="s">
        <v>12</v>
      </c>
      <c r="Y107" s="39">
        <v>55</v>
      </c>
      <c r="AD107" s="38"/>
      <c r="AG107" s="39"/>
      <c r="AL107" s="38"/>
      <c r="AO107" s="39"/>
      <c r="AP107" s="38"/>
      <c r="AS107" s="39"/>
      <c r="AW107" s="39"/>
      <c r="BA107" s="40"/>
    </row>
    <row r="108" spans="1:53" s="29" customFormat="1" x14ac:dyDescent="0.15">
      <c r="A108" s="29">
        <v>2009</v>
      </c>
      <c r="B108" s="295"/>
      <c r="C108" s="411" t="s">
        <v>787</v>
      </c>
      <c r="D108" s="411"/>
      <c r="E108" s="29">
        <v>365</v>
      </c>
      <c r="G108" s="66"/>
      <c r="I108" s="29">
        <v>22</v>
      </c>
      <c r="J108" s="73">
        <v>22</v>
      </c>
      <c r="K108" s="47">
        <f t="shared" si="8"/>
        <v>0</v>
      </c>
      <c r="L108" s="47">
        <f t="shared" si="9"/>
        <v>0</v>
      </c>
      <c r="M108" s="47">
        <f t="shared" si="10"/>
        <v>100</v>
      </c>
      <c r="N108" s="68">
        <f t="shared" si="11"/>
        <v>100</v>
      </c>
      <c r="O108" s="46"/>
      <c r="P108" s="47"/>
      <c r="Q108" s="47">
        <v>55</v>
      </c>
      <c r="R108" s="48">
        <f t="shared" si="12"/>
        <v>55</v>
      </c>
      <c r="S108" s="29">
        <v>1</v>
      </c>
      <c r="T108" s="286"/>
      <c r="U108" s="295"/>
      <c r="V108" s="38" t="s">
        <v>451</v>
      </c>
      <c r="W108" s="29" t="s">
        <v>20</v>
      </c>
      <c r="X108" s="29" t="s">
        <v>12</v>
      </c>
      <c r="Y108" s="39">
        <v>55</v>
      </c>
      <c r="AD108" s="38"/>
      <c r="AG108" s="39"/>
      <c r="AL108" s="38"/>
      <c r="AO108" s="39"/>
      <c r="AP108" s="38"/>
      <c r="AS108" s="39"/>
      <c r="AW108" s="39"/>
      <c r="BA108" s="40"/>
    </row>
    <row r="109" spans="1:53" s="29" customFormat="1" x14ac:dyDescent="0.15">
      <c r="A109" s="29">
        <v>2010</v>
      </c>
      <c r="B109" s="295"/>
      <c r="C109" s="411" t="s">
        <v>787</v>
      </c>
      <c r="D109" s="411"/>
      <c r="E109" s="29">
        <v>138</v>
      </c>
      <c r="G109" s="66"/>
      <c r="I109" s="29">
        <v>22</v>
      </c>
      <c r="J109" s="73">
        <v>22</v>
      </c>
      <c r="K109" s="47">
        <f t="shared" si="8"/>
        <v>0</v>
      </c>
      <c r="L109" s="47">
        <f t="shared" si="9"/>
        <v>0</v>
      </c>
      <c r="M109" s="47">
        <f t="shared" si="10"/>
        <v>100</v>
      </c>
      <c r="N109" s="68">
        <f t="shared" si="11"/>
        <v>100</v>
      </c>
      <c r="O109" s="46"/>
      <c r="P109" s="47"/>
      <c r="Q109" s="47">
        <v>55</v>
      </c>
      <c r="R109" s="48">
        <f t="shared" si="12"/>
        <v>55</v>
      </c>
      <c r="S109" s="29">
        <v>1</v>
      </c>
      <c r="T109" s="286"/>
      <c r="U109" s="295"/>
      <c r="V109" s="38" t="s">
        <v>451</v>
      </c>
      <c r="W109" s="29" t="s">
        <v>20</v>
      </c>
      <c r="X109" s="29" t="s">
        <v>12</v>
      </c>
      <c r="Y109" s="39">
        <v>55</v>
      </c>
      <c r="AD109" s="38"/>
      <c r="AG109" s="39"/>
      <c r="AL109" s="38"/>
      <c r="AO109" s="39"/>
      <c r="AP109" s="38"/>
      <c r="AS109" s="39"/>
      <c r="AW109" s="39"/>
      <c r="BA109" s="40"/>
    </row>
    <row r="110" spans="1:53" s="171" customFormat="1" x14ac:dyDescent="0.15">
      <c r="A110" s="171">
        <v>2010</v>
      </c>
      <c r="B110" s="283">
        <v>40317</v>
      </c>
      <c r="C110" s="410" t="s">
        <v>796</v>
      </c>
      <c r="D110" s="410"/>
      <c r="E110" s="171">
        <f>365-E109</f>
        <v>227</v>
      </c>
      <c r="F110" s="171">
        <v>1</v>
      </c>
      <c r="G110" s="233">
        <v>23</v>
      </c>
      <c r="J110" s="241">
        <v>23</v>
      </c>
      <c r="K110" s="214">
        <f t="shared" si="8"/>
        <v>100</v>
      </c>
      <c r="L110" s="214">
        <f t="shared" si="9"/>
        <v>0</v>
      </c>
      <c r="M110" s="214">
        <f t="shared" si="10"/>
        <v>0</v>
      </c>
      <c r="N110" s="235">
        <f t="shared" si="11"/>
        <v>100</v>
      </c>
      <c r="O110" s="213">
        <v>55.9</v>
      </c>
      <c r="P110" s="214"/>
      <c r="Q110" s="214"/>
      <c r="R110" s="215">
        <f t="shared" si="12"/>
        <v>55.9</v>
      </c>
      <c r="S110" s="171">
        <v>2</v>
      </c>
      <c r="T110" s="285">
        <v>40304</v>
      </c>
      <c r="U110" s="283">
        <v>40317</v>
      </c>
      <c r="V110" s="178" t="s">
        <v>788</v>
      </c>
      <c r="W110" s="171" t="s">
        <v>74</v>
      </c>
      <c r="X110" s="171" t="s">
        <v>11</v>
      </c>
      <c r="Y110" s="179">
        <v>47.1</v>
      </c>
      <c r="Z110" s="171" t="s">
        <v>72</v>
      </c>
      <c r="AA110" s="171" t="s">
        <v>87</v>
      </c>
      <c r="AB110" s="171" t="s">
        <v>11</v>
      </c>
      <c r="AC110" s="171">
        <v>8.8000000000000007</v>
      </c>
      <c r="AD110" s="178"/>
      <c r="AG110" s="179"/>
      <c r="AL110" s="178"/>
      <c r="AO110" s="179"/>
      <c r="AP110" s="178"/>
      <c r="AS110" s="179"/>
      <c r="AW110" s="179"/>
      <c r="BA110" s="180"/>
    </row>
    <row r="111" spans="1:53" s="171" customFormat="1" x14ac:dyDescent="0.15">
      <c r="A111" s="171">
        <v>2011</v>
      </c>
      <c r="B111" s="283"/>
      <c r="C111" s="410" t="s">
        <v>796</v>
      </c>
      <c r="D111" s="410"/>
      <c r="E111" s="171">
        <v>0</v>
      </c>
      <c r="G111" s="233">
        <v>23</v>
      </c>
      <c r="J111" s="241">
        <v>23</v>
      </c>
      <c r="K111" s="214">
        <f t="shared" si="8"/>
        <v>100</v>
      </c>
      <c r="L111" s="214">
        <f t="shared" si="9"/>
        <v>0</v>
      </c>
      <c r="M111" s="214">
        <f t="shared" si="10"/>
        <v>0</v>
      </c>
      <c r="N111" s="235">
        <f t="shared" si="11"/>
        <v>100</v>
      </c>
      <c r="O111" s="213">
        <v>55.9</v>
      </c>
      <c r="P111" s="214"/>
      <c r="Q111" s="214"/>
      <c r="R111" s="215">
        <f t="shared" si="12"/>
        <v>55.9</v>
      </c>
      <c r="S111" s="171">
        <v>2</v>
      </c>
      <c r="T111" s="285"/>
      <c r="U111" s="283"/>
      <c r="V111" s="178" t="s">
        <v>788</v>
      </c>
      <c r="W111" s="171" t="s">
        <v>74</v>
      </c>
      <c r="X111" s="171" t="s">
        <v>11</v>
      </c>
      <c r="Y111" s="179">
        <v>47.1</v>
      </c>
      <c r="Z111" s="171" t="s">
        <v>72</v>
      </c>
      <c r="AA111" s="171" t="s">
        <v>87</v>
      </c>
      <c r="AB111" s="171" t="s">
        <v>11</v>
      </c>
      <c r="AC111" s="171">
        <v>8.8000000000000007</v>
      </c>
      <c r="AD111" s="178"/>
      <c r="AG111" s="179"/>
      <c r="AL111" s="178"/>
      <c r="AO111" s="179"/>
      <c r="AP111" s="178"/>
      <c r="AS111" s="179"/>
      <c r="AW111" s="179"/>
      <c r="BA111" s="180"/>
    </row>
    <row r="112" spans="1:53" s="171" customFormat="1" x14ac:dyDescent="0.15">
      <c r="A112" s="171">
        <v>2011</v>
      </c>
      <c r="B112" s="283"/>
      <c r="C112" s="410" t="s">
        <v>796</v>
      </c>
      <c r="D112" s="410"/>
      <c r="E112" s="171">
        <v>365</v>
      </c>
      <c r="G112" s="233">
        <v>23</v>
      </c>
      <c r="J112" s="241">
        <v>23</v>
      </c>
      <c r="K112" s="214">
        <f t="shared" si="8"/>
        <v>100</v>
      </c>
      <c r="L112" s="214">
        <f t="shared" si="9"/>
        <v>0</v>
      </c>
      <c r="M112" s="214">
        <f t="shared" si="10"/>
        <v>0</v>
      </c>
      <c r="N112" s="235">
        <f t="shared" si="11"/>
        <v>100</v>
      </c>
      <c r="O112" s="213">
        <v>55.9</v>
      </c>
      <c r="P112" s="214"/>
      <c r="Q112" s="214"/>
      <c r="R112" s="215">
        <f t="shared" si="12"/>
        <v>55.9</v>
      </c>
      <c r="S112" s="171">
        <v>2</v>
      </c>
      <c r="T112" s="285"/>
      <c r="U112" s="283"/>
      <c r="V112" s="178" t="s">
        <v>788</v>
      </c>
      <c r="W112" s="171" t="s">
        <v>74</v>
      </c>
      <c r="X112" s="171" t="s">
        <v>11</v>
      </c>
      <c r="Y112" s="179">
        <v>47.1</v>
      </c>
      <c r="Z112" s="171" t="s">
        <v>72</v>
      </c>
      <c r="AA112" s="171" t="s">
        <v>87</v>
      </c>
      <c r="AB112" s="171" t="s">
        <v>11</v>
      </c>
      <c r="AC112" s="171">
        <v>8.8000000000000007</v>
      </c>
      <c r="AD112" s="178"/>
      <c r="AG112" s="179"/>
      <c r="AL112" s="178"/>
      <c r="AO112" s="179"/>
      <c r="AP112" s="178"/>
      <c r="AS112" s="179"/>
      <c r="AW112" s="179"/>
      <c r="BA112" s="180"/>
    </row>
    <row r="113" spans="1:53" s="171" customFormat="1" x14ac:dyDescent="0.15">
      <c r="A113" s="171">
        <v>2012</v>
      </c>
      <c r="B113" s="283"/>
      <c r="C113" s="410" t="s">
        <v>796</v>
      </c>
      <c r="D113" s="410"/>
      <c r="E113" s="171">
        <v>0</v>
      </c>
      <c r="G113" s="233">
        <v>23</v>
      </c>
      <c r="J113" s="241">
        <v>23</v>
      </c>
      <c r="K113" s="214">
        <f t="shared" si="8"/>
        <v>100</v>
      </c>
      <c r="L113" s="214">
        <f t="shared" si="9"/>
        <v>0</v>
      </c>
      <c r="M113" s="214">
        <f t="shared" si="10"/>
        <v>0</v>
      </c>
      <c r="N113" s="235">
        <f t="shared" si="11"/>
        <v>100</v>
      </c>
      <c r="O113" s="213">
        <v>55.9</v>
      </c>
      <c r="P113" s="214"/>
      <c r="Q113" s="214"/>
      <c r="R113" s="215">
        <f t="shared" si="12"/>
        <v>55.9</v>
      </c>
      <c r="S113" s="171">
        <v>2</v>
      </c>
      <c r="T113" s="285"/>
      <c r="U113" s="283"/>
      <c r="V113" s="178" t="s">
        <v>788</v>
      </c>
      <c r="W113" s="171" t="s">
        <v>74</v>
      </c>
      <c r="X113" s="171" t="s">
        <v>11</v>
      </c>
      <c r="Y113" s="179">
        <v>47.1</v>
      </c>
      <c r="Z113" s="171" t="s">
        <v>72</v>
      </c>
      <c r="AA113" s="171" t="s">
        <v>87</v>
      </c>
      <c r="AB113" s="171" t="s">
        <v>11</v>
      </c>
      <c r="AC113" s="171">
        <v>8.8000000000000007</v>
      </c>
      <c r="AD113" s="178"/>
      <c r="AG113" s="179"/>
      <c r="AL113" s="178"/>
      <c r="AO113" s="179"/>
      <c r="AP113" s="178"/>
      <c r="AS113" s="179"/>
      <c r="AW113" s="179"/>
      <c r="BA113" s="180"/>
    </row>
    <row r="114" spans="1:53" s="171" customFormat="1" x14ac:dyDescent="0.15">
      <c r="A114" s="171">
        <v>2012</v>
      </c>
      <c r="B114" s="283"/>
      <c r="C114" s="410" t="s">
        <v>796</v>
      </c>
      <c r="D114" s="410"/>
      <c r="E114" s="171">
        <v>366</v>
      </c>
      <c r="G114" s="233">
        <v>23</v>
      </c>
      <c r="J114" s="241">
        <v>23</v>
      </c>
      <c r="K114" s="214">
        <f t="shared" si="8"/>
        <v>100</v>
      </c>
      <c r="L114" s="214">
        <f t="shared" si="9"/>
        <v>0</v>
      </c>
      <c r="M114" s="214">
        <f t="shared" si="10"/>
        <v>0</v>
      </c>
      <c r="N114" s="235">
        <f t="shared" si="11"/>
        <v>100</v>
      </c>
      <c r="O114" s="213">
        <v>55.9</v>
      </c>
      <c r="P114" s="214"/>
      <c r="Q114" s="214"/>
      <c r="R114" s="215">
        <f t="shared" si="12"/>
        <v>55.9</v>
      </c>
      <c r="S114" s="171">
        <v>2</v>
      </c>
      <c r="T114" s="285"/>
      <c r="U114" s="283"/>
      <c r="V114" s="178" t="s">
        <v>788</v>
      </c>
      <c r="W114" s="171" t="s">
        <v>74</v>
      </c>
      <c r="X114" s="171" t="s">
        <v>11</v>
      </c>
      <c r="Y114" s="179">
        <v>47.1</v>
      </c>
      <c r="Z114" s="171" t="s">
        <v>72</v>
      </c>
      <c r="AA114" s="171" t="s">
        <v>87</v>
      </c>
      <c r="AB114" s="171" t="s">
        <v>11</v>
      </c>
      <c r="AC114" s="171">
        <v>8.8000000000000007</v>
      </c>
      <c r="AD114" s="178"/>
      <c r="AG114" s="179"/>
      <c r="AL114" s="178"/>
      <c r="AO114" s="179"/>
      <c r="AP114" s="178"/>
      <c r="AS114" s="179"/>
      <c r="AW114" s="179"/>
      <c r="BA114" s="180"/>
    </row>
    <row r="115" spans="1:53" s="171" customFormat="1" x14ac:dyDescent="0.15">
      <c r="A115" s="171">
        <v>2013</v>
      </c>
      <c r="B115" s="283"/>
      <c r="C115" s="410" t="s">
        <v>796</v>
      </c>
      <c r="D115" s="410"/>
      <c r="E115" s="171">
        <v>0</v>
      </c>
      <c r="G115" s="233">
        <v>23</v>
      </c>
      <c r="J115" s="241">
        <v>23</v>
      </c>
      <c r="K115" s="214">
        <f t="shared" ref="K115:K124" si="13">G115/$J115*100</f>
        <v>100</v>
      </c>
      <c r="L115" s="214">
        <f t="shared" ref="L115:L124" si="14">H115/$J115*100</f>
        <v>0</v>
      </c>
      <c r="M115" s="214">
        <f t="shared" ref="M115:M124" si="15">I115/$J115*100</f>
        <v>0</v>
      </c>
      <c r="N115" s="235">
        <f t="shared" ref="N115:N124" si="16">K115+L115+M115</f>
        <v>100</v>
      </c>
      <c r="O115" s="213">
        <v>55.9</v>
      </c>
      <c r="P115" s="214"/>
      <c r="Q115" s="214"/>
      <c r="R115" s="215">
        <f t="shared" si="12"/>
        <v>55.9</v>
      </c>
      <c r="S115" s="171">
        <v>2</v>
      </c>
      <c r="T115" s="285"/>
      <c r="U115" s="283"/>
      <c r="V115" s="178" t="s">
        <v>788</v>
      </c>
      <c r="W115" s="171" t="s">
        <v>74</v>
      </c>
      <c r="X115" s="171" t="s">
        <v>11</v>
      </c>
      <c r="Y115" s="179">
        <v>47.1</v>
      </c>
      <c r="Z115" s="171" t="s">
        <v>72</v>
      </c>
      <c r="AA115" s="171" t="s">
        <v>87</v>
      </c>
      <c r="AB115" s="171" t="s">
        <v>11</v>
      </c>
      <c r="AC115" s="171">
        <v>8.8000000000000007</v>
      </c>
      <c r="AD115" s="178"/>
      <c r="AG115" s="179"/>
      <c r="AL115" s="178"/>
      <c r="AO115" s="179"/>
      <c r="AP115" s="178"/>
      <c r="AS115" s="179"/>
      <c r="AW115" s="179"/>
      <c r="BA115" s="180"/>
    </row>
    <row r="116" spans="1:53" s="171" customFormat="1" x14ac:dyDescent="0.15">
      <c r="A116" s="171">
        <v>2013</v>
      </c>
      <c r="B116" s="283"/>
      <c r="C116" s="410" t="s">
        <v>796</v>
      </c>
      <c r="D116" s="410"/>
      <c r="E116" s="171">
        <v>365</v>
      </c>
      <c r="G116" s="233">
        <v>23</v>
      </c>
      <c r="J116" s="241">
        <v>23</v>
      </c>
      <c r="K116" s="214">
        <f t="shared" si="13"/>
        <v>100</v>
      </c>
      <c r="L116" s="214">
        <f t="shared" si="14"/>
        <v>0</v>
      </c>
      <c r="M116" s="214">
        <f t="shared" si="15"/>
        <v>0</v>
      </c>
      <c r="N116" s="235">
        <f t="shared" si="16"/>
        <v>100</v>
      </c>
      <c r="O116" s="213">
        <v>55.9</v>
      </c>
      <c r="P116" s="214"/>
      <c r="Q116" s="214"/>
      <c r="R116" s="215">
        <f t="shared" si="12"/>
        <v>55.9</v>
      </c>
      <c r="S116" s="171">
        <v>2</v>
      </c>
      <c r="T116" s="285"/>
      <c r="U116" s="283"/>
      <c r="V116" s="178" t="s">
        <v>788</v>
      </c>
      <c r="W116" s="171" t="s">
        <v>74</v>
      </c>
      <c r="X116" s="171" t="s">
        <v>11</v>
      </c>
      <c r="Y116" s="179">
        <v>47.1</v>
      </c>
      <c r="Z116" s="171" t="s">
        <v>72</v>
      </c>
      <c r="AA116" s="171" t="s">
        <v>87</v>
      </c>
      <c r="AB116" s="171" t="s">
        <v>11</v>
      </c>
      <c r="AC116" s="171">
        <v>8.8000000000000007</v>
      </c>
      <c r="AD116" s="178"/>
      <c r="AG116" s="179"/>
      <c r="AL116" s="178"/>
      <c r="AO116" s="179"/>
      <c r="AP116" s="178"/>
      <c r="AS116" s="179"/>
      <c r="AW116" s="179"/>
      <c r="BA116" s="180"/>
    </row>
    <row r="117" spans="1:53" s="171" customFormat="1" x14ac:dyDescent="0.15">
      <c r="A117" s="171">
        <v>2014</v>
      </c>
      <c r="B117" s="283"/>
      <c r="C117" s="410" t="s">
        <v>796</v>
      </c>
      <c r="D117" s="410"/>
      <c r="E117" s="171">
        <v>0</v>
      </c>
      <c r="G117" s="233">
        <v>23</v>
      </c>
      <c r="J117" s="241">
        <v>23</v>
      </c>
      <c r="K117" s="214">
        <f t="shared" si="13"/>
        <v>100</v>
      </c>
      <c r="L117" s="214">
        <f t="shared" si="14"/>
        <v>0</v>
      </c>
      <c r="M117" s="214">
        <f t="shared" si="15"/>
        <v>0</v>
      </c>
      <c r="N117" s="235">
        <f t="shared" si="16"/>
        <v>100</v>
      </c>
      <c r="O117" s="213">
        <v>55.9</v>
      </c>
      <c r="P117" s="214"/>
      <c r="Q117" s="214"/>
      <c r="R117" s="215">
        <f t="shared" si="12"/>
        <v>55.9</v>
      </c>
      <c r="S117" s="171">
        <v>2</v>
      </c>
      <c r="T117" s="285"/>
      <c r="U117" s="283"/>
      <c r="V117" s="178" t="s">
        <v>788</v>
      </c>
      <c r="W117" s="171" t="s">
        <v>74</v>
      </c>
      <c r="X117" s="171" t="s">
        <v>11</v>
      </c>
      <c r="Y117" s="179">
        <v>47.1</v>
      </c>
      <c r="Z117" s="171" t="s">
        <v>72</v>
      </c>
      <c r="AA117" s="171" t="s">
        <v>87</v>
      </c>
      <c r="AB117" s="171" t="s">
        <v>11</v>
      </c>
      <c r="AC117" s="171">
        <v>8.8000000000000007</v>
      </c>
      <c r="AD117" s="178"/>
      <c r="AG117" s="179"/>
      <c r="AL117" s="178"/>
      <c r="AO117" s="179"/>
      <c r="AP117" s="178"/>
      <c r="AS117" s="179"/>
      <c r="AW117" s="179"/>
      <c r="BA117" s="180"/>
    </row>
    <row r="118" spans="1:53" s="171" customFormat="1" ht="8.25" customHeight="1" x14ac:dyDescent="0.15">
      <c r="A118" s="171">
        <v>2014</v>
      </c>
      <c r="B118" s="283"/>
      <c r="C118" s="410" t="s">
        <v>796</v>
      </c>
      <c r="D118" s="410"/>
      <c r="E118" s="171">
        <v>365</v>
      </c>
      <c r="G118" s="233">
        <v>23</v>
      </c>
      <c r="J118" s="241">
        <v>23</v>
      </c>
      <c r="K118" s="214">
        <f t="shared" si="13"/>
        <v>100</v>
      </c>
      <c r="L118" s="214">
        <f t="shared" si="14"/>
        <v>0</v>
      </c>
      <c r="M118" s="214">
        <f t="shared" si="15"/>
        <v>0</v>
      </c>
      <c r="N118" s="235">
        <f t="shared" si="16"/>
        <v>100</v>
      </c>
      <c r="O118" s="213">
        <v>55.9</v>
      </c>
      <c r="P118" s="214"/>
      <c r="Q118" s="214"/>
      <c r="R118" s="215">
        <f t="shared" si="12"/>
        <v>55.9</v>
      </c>
      <c r="S118" s="171">
        <v>2</v>
      </c>
      <c r="T118" s="285"/>
      <c r="U118" s="283"/>
      <c r="V118" s="178" t="s">
        <v>788</v>
      </c>
      <c r="W118" s="171" t="s">
        <v>74</v>
      </c>
      <c r="X118" s="171" t="s">
        <v>11</v>
      </c>
      <c r="Y118" s="179">
        <v>47.1</v>
      </c>
      <c r="Z118" s="171" t="s">
        <v>72</v>
      </c>
      <c r="AA118" s="171" t="s">
        <v>87</v>
      </c>
      <c r="AB118" s="171" t="s">
        <v>11</v>
      </c>
      <c r="AC118" s="171">
        <v>8.8000000000000007</v>
      </c>
      <c r="AD118" s="178"/>
      <c r="AG118" s="179"/>
      <c r="AL118" s="178"/>
      <c r="AO118" s="179"/>
      <c r="AP118" s="178"/>
      <c r="AS118" s="179"/>
      <c r="AW118" s="179"/>
      <c r="BA118" s="180"/>
    </row>
    <row r="119" spans="1:53" s="171" customFormat="1" x14ac:dyDescent="0.15">
      <c r="A119" s="171">
        <v>2015</v>
      </c>
      <c r="B119" s="283"/>
      <c r="C119" s="410" t="s">
        <v>796</v>
      </c>
      <c r="D119" s="410"/>
      <c r="E119" s="171">
        <v>127</v>
      </c>
      <c r="G119" s="233">
        <v>23</v>
      </c>
      <c r="J119" s="241">
        <v>23</v>
      </c>
      <c r="K119" s="214">
        <f t="shared" si="13"/>
        <v>100</v>
      </c>
      <c r="L119" s="214">
        <f t="shared" si="14"/>
        <v>0</v>
      </c>
      <c r="M119" s="214">
        <f t="shared" si="15"/>
        <v>0</v>
      </c>
      <c r="N119" s="235">
        <f t="shared" si="16"/>
        <v>100</v>
      </c>
      <c r="O119" s="213">
        <v>55.9</v>
      </c>
      <c r="P119" s="214"/>
      <c r="Q119" s="214"/>
      <c r="R119" s="215">
        <f t="shared" si="12"/>
        <v>55.9</v>
      </c>
      <c r="S119" s="171">
        <v>2</v>
      </c>
      <c r="T119" s="285"/>
      <c r="U119" s="283"/>
      <c r="V119" s="178" t="s">
        <v>788</v>
      </c>
      <c r="W119" s="171" t="s">
        <v>74</v>
      </c>
      <c r="X119" s="171" t="s">
        <v>11</v>
      </c>
      <c r="Y119" s="179">
        <v>47.1</v>
      </c>
      <c r="Z119" s="171" t="s">
        <v>72</v>
      </c>
      <c r="AA119" s="171" t="s">
        <v>87</v>
      </c>
      <c r="AB119" s="171" t="s">
        <v>11</v>
      </c>
      <c r="AC119" s="171">
        <v>8.8000000000000007</v>
      </c>
      <c r="AD119" s="178"/>
      <c r="AG119" s="179"/>
      <c r="AL119" s="178"/>
      <c r="AO119" s="179"/>
      <c r="AP119" s="178"/>
      <c r="AS119" s="179"/>
      <c r="AW119" s="179"/>
      <c r="BA119" s="180"/>
    </row>
    <row r="120" spans="1:53" s="29" customFormat="1" x14ac:dyDescent="0.15">
      <c r="A120" s="29">
        <v>2015</v>
      </c>
      <c r="B120" s="295">
        <v>42132</v>
      </c>
      <c r="C120" s="411" t="s">
        <v>1332</v>
      </c>
      <c r="D120" s="411"/>
      <c r="E120" s="29">
        <v>238</v>
      </c>
      <c r="F120" s="29">
        <v>1</v>
      </c>
      <c r="G120" s="66">
        <v>22</v>
      </c>
      <c r="J120" s="73">
        <v>22</v>
      </c>
      <c r="K120" s="47">
        <f t="shared" si="13"/>
        <v>100</v>
      </c>
      <c r="L120" s="47">
        <f t="shared" si="14"/>
        <v>0</v>
      </c>
      <c r="M120" s="47">
        <f t="shared" si="15"/>
        <v>0</v>
      </c>
      <c r="N120" s="68">
        <f t="shared" si="16"/>
        <v>100</v>
      </c>
      <c r="O120" s="46">
        <v>50.9</v>
      </c>
      <c r="P120" s="47"/>
      <c r="Q120" s="47"/>
      <c r="R120" s="48">
        <f t="shared" si="12"/>
        <v>50.9</v>
      </c>
      <c r="S120" s="29">
        <v>1</v>
      </c>
      <c r="T120" s="286">
        <v>42131</v>
      </c>
      <c r="U120" s="295">
        <v>42132</v>
      </c>
      <c r="V120" s="38" t="s">
        <v>788</v>
      </c>
      <c r="W120" s="29" t="s">
        <v>74</v>
      </c>
      <c r="X120" s="29" t="s">
        <v>11</v>
      </c>
      <c r="Y120" s="39">
        <v>50.9</v>
      </c>
      <c r="AD120" s="38"/>
      <c r="AG120" s="39"/>
      <c r="AL120" s="38"/>
      <c r="AO120" s="39"/>
      <c r="AP120" s="38"/>
      <c r="AS120" s="39"/>
      <c r="AW120" s="39"/>
      <c r="BA120" s="40"/>
    </row>
    <row r="121" spans="1:53" s="29" customFormat="1" x14ac:dyDescent="0.15">
      <c r="A121" s="29">
        <v>2016</v>
      </c>
      <c r="B121" s="295"/>
      <c r="C121" s="411" t="s">
        <v>1332</v>
      </c>
      <c r="D121" s="411"/>
      <c r="E121" s="29">
        <v>195</v>
      </c>
      <c r="G121" s="66">
        <v>22</v>
      </c>
      <c r="J121" s="73">
        <v>22</v>
      </c>
      <c r="K121" s="47">
        <f t="shared" si="13"/>
        <v>100</v>
      </c>
      <c r="L121" s="47">
        <f t="shared" si="14"/>
        <v>0</v>
      </c>
      <c r="M121" s="47">
        <f t="shared" si="15"/>
        <v>0</v>
      </c>
      <c r="N121" s="68">
        <f t="shared" si="16"/>
        <v>100</v>
      </c>
      <c r="O121" s="46">
        <v>50.9</v>
      </c>
      <c r="P121" s="47"/>
      <c r="Q121" s="47"/>
      <c r="R121" s="48">
        <f t="shared" si="12"/>
        <v>50.9</v>
      </c>
      <c r="S121" s="29">
        <v>1</v>
      </c>
      <c r="T121" s="286"/>
      <c r="U121" s="295"/>
      <c r="V121" s="38" t="s">
        <v>788</v>
      </c>
      <c r="W121" s="29" t="s">
        <v>74</v>
      </c>
      <c r="X121" s="29" t="s">
        <v>11</v>
      </c>
      <c r="Y121" s="39">
        <v>50.9</v>
      </c>
      <c r="AD121" s="38"/>
      <c r="AG121" s="39"/>
      <c r="AL121" s="38"/>
      <c r="AO121" s="39"/>
      <c r="AP121" s="38"/>
      <c r="AS121" s="39"/>
      <c r="AW121" s="39"/>
      <c r="BA121" s="40"/>
    </row>
    <row r="122" spans="1:53" s="171" customFormat="1" x14ac:dyDescent="0.15">
      <c r="A122" s="171">
        <v>2016</v>
      </c>
      <c r="B122" s="283">
        <v>42565</v>
      </c>
      <c r="C122" s="410" t="s">
        <v>1353</v>
      </c>
      <c r="D122" s="410"/>
      <c r="E122" s="171">
        <v>171</v>
      </c>
      <c r="F122" s="171">
        <v>2</v>
      </c>
      <c r="G122" s="233">
        <v>23</v>
      </c>
      <c r="J122" s="241">
        <v>23</v>
      </c>
      <c r="K122" s="214">
        <f t="shared" si="13"/>
        <v>100</v>
      </c>
      <c r="L122" s="214">
        <f t="shared" si="14"/>
        <v>0</v>
      </c>
      <c r="M122" s="214">
        <f t="shared" si="15"/>
        <v>0</v>
      </c>
      <c r="N122" s="235">
        <f t="shared" si="16"/>
        <v>100</v>
      </c>
      <c r="O122" s="213">
        <v>50.7</v>
      </c>
      <c r="P122" s="214"/>
      <c r="Q122" s="214"/>
      <c r="R122" s="215">
        <f t="shared" si="12"/>
        <v>50.7</v>
      </c>
      <c r="S122" s="171">
        <v>1</v>
      </c>
      <c r="T122" s="288"/>
      <c r="U122" s="288">
        <v>42565</v>
      </c>
      <c r="V122" s="178" t="s">
        <v>788</v>
      </c>
      <c r="W122" s="171" t="s">
        <v>74</v>
      </c>
      <c r="X122" s="171" t="s">
        <v>11</v>
      </c>
      <c r="Y122" s="179">
        <v>50.7</v>
      </c>
      <c r="AD122" s="178"/>
      <c r="AG122" s="179"/>
      <c r="AL122" s="178"/>
      <c r="AO122" s="179"/>
      <c r="AP122" s="178"/>
      <c r="AS122" s="179"/>
      <c r="AW122" s="179"/>
      <c r="BA122" s="180"/>
    </row>
    <row r="123" spans="1:53" s="171" customFormat="1" x14ac:dyDescent="0.15">
      <c r="A123" s="171">
        <v>2017</v>
      </c>
      <c r="B123" s="283"/>
      <c r="C123" s="410" t="s">
        <v>1353</v>
      </c>
      <c r="D123" s="410"/>
      <c r="E123" s="171">
        <v>161</v>
      </c>
      <c r="G123" s="233">
        <v>23</v>
      </c>
      <c r="J123" s="241">
        <v>23</v>
      </c>
      <c r="K123" s="214">
        <f t="shared" si="13"/>
        <v>100</v>
      </c>
      <c r="L123" s="214">
        <f t="shared" si="14"/>
        <v>0</v>
      </c>
      <c r="M123" s="214">
        <f t="shared" si="15"/>
        <v>0</v>
      </c>
      <c r="N123" s="235">
        <f t="shared" si="16"/>
        <v>100</v>
      </c>
      <c r="O123" s="213">
        <v>50.7</v>
      </c>
      <c r="P123" s="214"/>
      <c r="Q123" s="214"/>
      <c r="R123" s="215">
        <f t="shared" si="12"/>
        <v>50.7</v>
      </c>
      <c r="S123" s="171">
        <v>1</v>
      </c>
      <c r="T123" s="288"/>
      <c r="U123" s="288"/>
      <c r="V123" s="178" t="s">
        <v>788</v>
      </c>
      <c r="W123" s="171" t="s">
        <v>74</v>
      </c>
      <c r="X123" s="171" t="s">
        <v>11</v>
      </c>
      <c r="Y123" s="179">
        <v>50.7</v>
      </c>
      <c r="AD123" s="178"/>
      <c r="AG123" s="179"/>
      <c r="AL123" s="178"/>
      <c r="AO123" s="179"/>
      <c r="AP123" s="178"/>
      <c r="AS123" s="179"/>
      <c r="AW123" s="179"/>
      <c r="BA123" s="180"/>
    </row>
    <row r="124" spans="1:53" s="29" customFormat="1" x14ac:dyDescent="0.15">
      <c r="A124" s="29">
        <v>2017</v>
      </c>
      <c r="B124" s="295">
        <v>42897</v>
      </c>
      <c r="C124" s="411" t="s">
        <v>1385</v>
      </c>
      <c r="D124" s="411"/>
      <c r="E124" s="29">
        <v>204</v>
      </c>
      <c r="F124" s="29">
        <v>1</v>
      </c>
      <c r="G124" s="66">
        <v>23</v>
      </c>
      <c r="J124" s="73">
        <v>23</v>
      </c>
      <c r="K124" s="47">
        <f t="shared" si="13"/>
        <v>100</v>
      </c>
      <c r="L124" s="47">
        <f t="shared" si="14"/>
        <v>0</v>
      </c>
      <c r="M124" s="47">
        <f t="shared" si="15"/>
        <v>0</v>
      </c>
      <c r="N124" s="68">
        <f t="shared" si="16"/>
        <v>100</v>
      </c>
      <c r="O124" s="46">
        <v>48.8</v>
      </c>
      <c r="P124" s="47"/>
      <c r="Q124" s="47"/>
      <c r="R124" s="48">
        <f t="shared" si="12"/>
        <v>48.8</v>
      </c>
      <c r="S124" s="29">
        <v>4</v>
      </c>
      <c r="T124" s="286">
        <v>42894</v>
      </c>
      <c r="U124" s="295">
        <v>42897</v>
      </c>
      <c r="V124" s="38" t="s">
        <v>788</v>
      </c>
      <c r="W124" s="29" t="s">
        <v>74</v>
      </c>
      <c r="X124" s="29" t="s">
        <v>11</v>
      </c>
      <c r="Y124" s="39">
        <v>48.8</v>
      </c>
      <c r="AD124" s="38"/>
      <c r="AG124" s="39"/>
      <c r="AL124" s="38"/>
      <c r="AO124" s="39"/>
      <c r="AP124" s="38"/>
      <c r="AS124" s="39"/>
      <c r="AW124" s="39"/>
      <c r="BA124" s="40"/>
    </row>
    <row r="125" spans="1:53" s="29" customFormat="1" x14ac:dyDescent="0.15">
      <c r="A125" s="29">
        <v>2018</v>
      </c>
      <c r="B125" s="295"/>
      <c r="C125" s="411" t="s">
        <v>1385</v>
      </c>
      <c r="D125" s="411"/>
      <c r="E125" s="29">
        <v>0</v>
      </c>
      <c r="G125" s="66">
        <v>23</v>
      </c>
      <c r="J125" s="73">
        <v>23</v>
      </c>
      <c r="K125" s="47">
        <f t="shared" ref="K125:K126" si="17">G125/$J125*100</f>
        <v>100</v>
      </c>
      <c r="L125" s="47">
        <f t="shared" ref="L125:L126" si="18">H125/$J125*100</f>
        <v>0</v>
      </c>
      <c r="M125" s="47">
        <f t="shared" ref="M125:M126" si="19">I125/$J125*100</f>
        <v>0</v>
      </c>
      <c r="N125" s="68">
        <f t="shared" ref="N125:N126" si="20">K125+L125+M125</f>
        <v>100</v>
      </c>
      <c r="O125" s="46">
        <v>48.8</v>
      </c>
      <c r="P125" s="47"/>
      <c r="Q125" s="47"/>
      <c r="R125" s="48">
        <f t="shared" ref="R125:R126" si="21">O125+P125+Q125</f>
        <v>48.8</v>
      </c>
      <c r="S125" s="29">
        <v>4</v>
      </c>
      <c r="T125" s="286"/>
      <c r="U125" s="295"/>
      <c r="V125" s="38" t="s">
        <v>788</v>
      </c>
      <c r="W125" s="29" t="s">
        <v>74</v>
      </c>
      <c r="X125" s="29" t="s">
        <v>11</v>
      </c>
      <c r="Y125" s="39">
        <v>48.8</v>
      </c>
      <c r="AD125" s="38"/>
      <c r="AG125" s="39"/>
      <c r="AL125" s="38"/>
      <c r="AO125" s="39"/>
      <c r="AP125" s="38"/>
      <c r="AS125" s="39"/>
      <c r="AW125" s="39"/>
      <c r="BA125" s="40"/>
    </row>
    <row r="126" spans="1:53" s="29" customFormat="1" x14ac:dyDescent="0.15">
      <c r="A126" s="29">
        <v>2018</v>
      </c>
      <c r="B126" s="295"/>
      <c r="C126" s="411" t="s">
        <v>1385</v>
      </c>
      <c r="D126" s="411"/>
      <c r="E126" s="29">
        <v>365</v>
      </c>
      <c r="G126" s="66">
        <v>23</v>
      </c>
      <c r="J126" s="73">
        <v>23</v>
      </c>
      <c r="K126" s="47">
        <f t="shared" si="17"/>
        <v>100</v>
      </c>
      <c r="L126" s="47">
        <f t="shared" si="18"/>
        <v>0</v>
      </c>
      <c r="M126" s="47">
        <f t="shared" si="19"/>
        <v>0</v>
      </c>
      <c r="N126" s="68">
        <f t="shared" si="20"/>
        <v>100</v>
      </c>
      <c r="O126" s="46">
        <v>48.8</v>
      </c>
      <c r="P126" s="47"/>
      <c r="Q126" s="47"/>
      <c r="R126" s="48">
        <f t="shared" si="21"/>
        <v>48.8</v>
      </c>
      <c r="S126" s="29">
        <v>4</v>
      </c>
      <c r="T126" s="286"/>
      <c r="U126" s="295"/>
      <c r="V126" s="38" t="s">
        <v>788</v>
      </c>
      <c r="W126" s="29" t="s">
        <v>74</v>
      </c>
      <c r="X126" s="29" t="s">
        <v>11</v>
      </c>
      <c r="Y126" s="39">
        <v>48.8</v>
      </c>
      <c r="AD126" s="38"/>
      <c r="AG126" s="39"/>
      <c r="AL126" s="38"/>
      <c r="AO126" s="39"/>
      <c r="AP126" s="38"/>
      <c r="AS126" s="39"/>
      <c r="AW126" s="39"/>
      <c r="BA126" s="40"/>
    </row>
    <row r="127" spans="1:53" s="29" customFormat="1" x14ac:dyDescent="0.15">
      <c r="A127" s="29">
        <v>2019</v>
      </c>
      <c r="B127" s="295"/>
      <c r="C127" s="411" t="s">
        <v>1385</v>
      </c>
      <c r="D127" s="411"/>
      <c r="E127" s="29">
        <v>204</v>
      </c>
      <c r="G127" s="66">
        <v>23</v>
      </c>
      <c r="J127" s="73">
        <v>23</v>
      </c>
      <c r="K127" s="47">
        <f t="shared" ref="K127:K128" si="22">G127/$J127*100</f>
        <v>100</v>
      </c>
      <c r="L127" s="47">
        <f t="shared" ref="L127:L128" si="23">H127/$J127*100</f>
        <v>0</v>
      </c>
      <c r="M127" s="47">
        <f t="shared" ref="M127:M128" si="24">I127/$J127*100</f>
        <v>0</v>
      </c>
      <c r="N127" s="68">
        <f t="shared" ref="N127:N128" si="25">K127+L127+M127</f>
        <v>100</v>
      </c>
      <c r="O127" s="46">
        <v>48.8</v>
      </c>
      <c r="P127" s="47"/>
      <c r="Q127" s="47"/>
      <c r="R127" s="48">
        <f t="shared" ref="R127:R128" si="26">O127+P127+Q127</f>
        <v>48.8</v>
      </c>
      <c r="S127" s="29">
        <v>4</v>
      </c>
      <c r="T127" s="286"/>
      <c r="U127" s="295"/>
      <c r="V127" s="38" t="s">
        <v>788</v>
      </c>
      <c r="W127" s="29" t="s">
        <v>74</v>
      </c>
      <c r="X127" s="29" t="s">
        <v>11</v>
      </c>
      <c r="Y127" s="39">
        <v>48.8</v>
      </c>
      <c r="AD127" s="38"/>
      <c r="AG127" s="39"/>
      <c r="AL127" s="38"/>
      <c r="AO127" s="39"/>
      <c r="AP127" s="38"/>
      <c r="AS127" s="39"/>
      <c r="AW127" s="39"/>
      <c r="BA127" s="40"/>
    </row>
    <row r="128" spans="1:53" s="171" customFormat="1" x14ac:dyDescent="0.15">
      <c r="A128" s="171">
        <v>2019</v>
      </c>
      <c r="B128" s="283">
        <v>43670</v>
      </c>
      <c r="C128" s="410" t="s">
        <v>1433</v>
      </c>
      <c r="D128" s="410"/>
      <c r="E128" s="171">
        <v>142</v>
      </c>
      <c r="F128" s="171">
        <v>2</v>
      </c>
      <c r="G128" s="233">
        <v>24</v>
      </c>
      <c r="J128" s="241">
        <v>24</v>
      </c>
      <c r="K128" s="214">
        <f t="shared" si="22"/>
        <v>100</v>
      </c>
      <c r="L128" s="214">
        <f t="shared" si="23"/>
        <v>0</v>
      </c>
      <c r="M128" s="214">
        <f t="shared" si="24"/>
        <v>0</v>
      </c>
      <c r="N128" s="235">
        <f t="shared" si="25"/>
        <v>100</v>
      </c>
      <c r="O128" s="213">
        <v>45.8</v>
      </c>
      <c r="P128" s="214"/>
      <c r="Q128" s="214"/>
      <c r="R128" s="215">
        <f t="shared" si="26"/>
        <v>45.8</v>
      </c>
      <c r="S128" s="171">
        <v>4</v>
      </c>
      <c r="T128" s="288"/>
      <c r="U128" s="288">
        <v>43670</v>
      </c>
      <c r="V128" s="178" t="s">
        <v>788</v>
      </c>
      <c r="W128" s="171" t="s">
        <v>74</v>
      </c>
      <c r="X128" s="171" t="s">
        <v>11</v>
      </c>
      <c r="Y128" s="179">
        <v>45.8</v>
      </c>
      <c r="AD128" s="178"/>
      <c r="AG128" s="179"/>
      <c r="AL128" s="178"/>
      <c r="AO128" s="179"/>
      <c r="AP128" s="178"/>
      <c r="AS128" s="179"/>
      <c r="AW128" s="179"/>
      <c r="BA128" s="180"/>
    </row>
    <row r="129" spans="1:53" s="29" customFormat="1" x14ac:dyDescent="0.15">
      <c r="A129" s="29">
        <v>2019</v>
      </c>
      <c r="B129" s="295">
        <v>43812</v>
      </c>
      <c r="C129" s="411" t="s">
        <v>1434</v>
      </c>
      <c r="D129" s="411"/>
      <c r="E129" s="29">
        <v>19</v>
      </c>
      <c r="F129" s="40">
        <v>1</v>
      </c>
      <c r="G129" s="29">
        <v>24</v>
      </c>
      <c r="J129" s="73">
        <v>24</v>
      </c>
      <c r="K129" s="47">
        <f t="shared" ref="K129:K133" si="27">G129/$J129*100</f>
        <v>100</v>
      </c>
      <c r="L129" s="47">
        <f t="shared" ref="L129:L133" si="28">H129/$J129*100</f>
        <v>0</v>
      </c>
      <c r="M129" s="47">
        <f t="shared" ref="M129:M133" si="29">I129/$J129*100</f>
        <v>0</v>
      </c>
      <c r="N129" s="48">
        <f t="shared" ref="N129:N133" si="30">K129+L129+M129</f>
        <v>100</v>
      </c>
      <c r="O129" s="47">
        <v>56.2</v>
      </c>
      <c r="P129" s="47"/>
      <c r="Q129" s="47"/>
      <c r="R129" s="48">
        <f t="shared" ref="R129:R133" si="31">O129+P129+Q129</f>
        <v>56.2</v>
      </c>
      <c r="S129" s="29">
        <v>1</v>
      </c>
      <c r="T129" s="286">
        <v>43811</v>
      </c>
      <c r="U129" s="354">
        <v>43812</v>
      </c>
      <c r="V129" s="29" t="s">
        <v>788</v>
      </c>
      <c r="W129" s="29" t="s">
        <v>74</v>
      </c>
      <c r="X129" s="29" t="s">
        <v>11</v>
      </c>
      <c r="Y129" s="39">
        <v>56.2</v>
      </c>
      <c r="AC129" s="39"/>
      <c r="AG129" s="39"/>
      <c r="AK129" s="39"/>
      <c r="AO129" s="39"/>
      <c r="AS129" s="39"/>
      <c r="AW129" s="39"/>
      <c r="BA129" s="40"/>
    </row>
    <row r="130" spans="1:53" s="29" customFormat="1" x14ac:dyDescent="0.15">
      <c r="A130" s="29">
        <v>2020</v>
      </c>
      <c r="B130" s="295"/>
      <c r="C130" s="411" t="s">
        <v>1434</v>
      </c>
      <c r="D130" s="411"/>
      <c r="E130" s="29">
        <v>30</v>
      </c>
      <c r="F130" s="40"/>
      <c r="G130" s="29">
        <v>24</v>
      </c>
      <c r="J130" s="73">
        <v>24</v>
      </c>
      <c r="K130" s="47">
        <f t="shared" si="27"/>
        <v>100</v>
      </c>
      <c r="L130" s="47">
        <f t="shared" si="28"/>
        <v>0</v>
      </c>
      <c r="M130" s="47">
        <f t="shared" si="29"/>
        <v>0</v>
      </c>
      <c r="N130" s="48">
        <f t="shared" si="30"/>
        <v>100</v>
      </c>
      <c r="O130" s="47">
        <v>56.2</v>
      </c>
      <c r="P130" s="47"/>
      <c r="Q130" s="47"/>
      <c r="R130" s="48">
        <f t="shared" si="31"/>
        <v>56.2</v>
      </c>
      <c r="S130" s="40">
        <v>1</v>
      </c>
      <c r="T130" s="321"/>
      <c r="U130" s="354"/>
      <c r="V130" s="29" t="s">
        <v>788</v>
      </c>
      <c r="W130" s="29" t="s">
        <v>74</v>
      </c>
      <c r="X130" s="29" t="s">
        <v>11</v>
      </c>
      <c r="Y130" s="39">
        <v>56.2</v>
      </c>
      <c r="AC130" s="39"/>
      <c r="AG130" s="39"/>
      <c r="AK130" s="39"/>
      <c r="AO130" s="39"/>
      <c r="AS130" s="39"/>
      <c r="AW130" s="39"/>
      <c r="BA130" s="40"/>
    </row>
    <row r="131" spans="1:53" s="29" customFormat="1" x14ac:dyDescent="0.15">
      <c r="A131" s="29">
        <v>2020</v>
      </c>
      <c r="B131" s="303">
        <v>43861</v>
      </c>
      <c r="C131" s="411" t="s">
        <v>1434</v>
      </c>
      <c r="D131" s="411"/>
      <c r="E131" s="29">
        <v>12</v>
      </c>
      <c r="F131" s="343">
        <v>0</v>
      </c>
      <c r="G131" s="29">
        <v>23</v>
      </c>
      <c r="J131" s="73">
        <v>23</v>
      </c>
      <c r="K131" s="47">
        <f t="shared" si="27"/>
        <v>100</v>
      </c>
      <c r="L131" s="47">
        <f t="shared" si="28"/>
        <v>0</v>
      </c>
      <c r="M131" s="47">
        <f t="shared" si="29"/>
        <v>0</v>
      </c>
      <c r="N131" s="48">
        <f t="shared" si="30"/>
        <v>100</v>
      </c>
      <c r="O131" s="47">
        <v>56.2</v>
      </c>
      <c r="P131" s="47"/>
      <c r="Q131" s="47"/>
      <c r="R131" s="48">
        <f t="shared" si="31"/>
        <v>56.2</v>
      </c>
      <c r="S131" s="40">
        <v>1</v>
      </c>
      <c r="T131" s="321"/>
      <c r="U131" s="354"/>
      <c r="V131" s="29" t="s">
        <v>788</v>
      </c>
      <c r="W131" s="29" t="s">
        <v>74</v>
      </c>
      <c r="X131" s="29" t="s">
        <v>11</v>
      </c>
      <c r="Y131" s="39">
        <v>56.2</v>
      </c>
      <c r="AC131" s="39"/>
      <c r="AG131" s="39"/>
      <c r="AK131" s="39"/>
      <c r="AO131" s="39"/>
      <c r="AS131" s="39"/>
      <c r="AW131" s="39"/>
      <c r="BA131" s="40"/>
    </row>
    <row r="132" spans="1:53" s="29" customFormat="1" x14ac:dyDescent="0.15">
      <c r="A132" s="29">
        <v>2020</v>
      </c>
      <c r="B132" s="303">
        <v>43873</v>
      </c>
      <c r="C132" s="411" t="s">
        <v>1434</v>
      </c>
      <c r="D132" s="411"/>
      <c r="E132" s="29">
        <v>203</v>
      </c>
      <c r="F132" s="343">
        <v>0</v>
      </c>
      <c r="G132" s="29">
        <v>22</v>
      </c>
      <c r="J132" s="40">
        <v>22</v>
      </c>
      <c r="K132" s="29">
        <f t="shared" si="27"/>
        <v>100</v>
      </c>
      <c r="L132" s="29">
        <f t="shared" si="28"/>
        <v>0</v>
      </c>
      <c r="M132" s="29">
        <f t="shared" si="29"/>
        <v>0</v>
      </c>
      <c r="N132" s="40">
        <f t="shared" si="30"/>
        <v>100</v>
      </c>
      <c r="O132" s="29">
        <v>56.2</v>
      </c>
      <c r="R132" s="40">
        <f t="shared" si="31"/>
        <v>56.2</v>
      </c>
      <c r="S132" s="40">
        <v>1</v>
      </c>
      <c r="T132" s="40"/>
      <c r="U132" s="39"/>
      <c r="V132" s="29" t="s">
        <v>788</v>
      </c>
      <c r="W132" s="29" t="s">
        <v>74</v>
      </c>
      <c r="X132" s="29" t="s">
        <v>11</v>
      </c>
      <c r="Y132" s="39">
        <v>56.2</v>
      </c>
      <c r="AC132" s="39"/>
      <c r="AG132" s="39"/>
      <c r="AK132" s="39"/>
      <c r="AO132" s="39"/>
      <c r="AS132" s="39"/>
      <c r="AW132" s="39"/>
      <c r="BA132" s="40"/>
    </row>
    <row r="133" spans="1:53" s="29" customFormat="1" x14ac:dyDescent="0.15">
      <c r="A133" s="29">
        <v>2020</v>
      </c>
      <c r="B133" s="303">
        <v>44076</v>
      </c>
      <c r="C133" s="411" t="s">
        <v>1434</v>
      </c>
      <c r="D133" s="411"/>
      <c r="E133" s="29">
        <v>121</v>
      </c>
      <c r="F133" s="343">
        <v>0</v>
      </c>
      <c r="G133" s="29">
        <v>21</v>
      </c>
      <c r="J133" s="40">
        <v>21</v>
      </c>
      <c r="K133" s="29">
        <f t="shared" si="27"/>
        <v>100</v>
      </c>
      <c r="L133" s="29">
        <f t="shared" si="28"/>
        <v>0</v>
      </c>
      <c r="M133" s="29">
        <f t="shared" si="29"/>
        <v>0</v>
      </c>
      <c r="N133" s="40">
        <f t="shared" si="30"/>
        <v>100</v>
      </c>
      <c r="O133" s="29">
        <v>56.2</v>
      </c>
      <c r="R133" s="40">
        <f t="shared" si="31"/>
        <v>56.2</v>
      </c>
      <c r="S133" s="40">
        <v>1</v>
      </c>
      <c r="T133" s="40"/>
      <c r="U133" s="39"/>
      <c r="V133" s="29" t="s">
        <v>788</v>
      </c>
      <c r="W133" s="29" t="s">
        <v>74</v>
      </c>
      <c r="X133" s="29" t="s">
        <v>11</v>
      </c>
      <c r="Y133" s="39">
        <v>56.2</v>
      </c>
      <c r="AC133" s="39"/>
      <c r="AG133" s="39"/>
      <c r="AK133" s="39"/>
      <c r="AO133" s="39"/>
      <c r="AS133" s="39"/>
      <c r="AW133" s="39"/>
      <c r="BA133" s="40"/>
    </row>
    <row r="134" spans="1:53" x14ac:dyDescent="0.15">
      <c r="B134" s="311"/>
      <c r="F134" s="366"/>
    </row>
    <row r="136" spans="1:53" ht="18" customHeight="1" x14ac:dyDescent="0.15">
      <c r="B136" s="16" t="s">
        <v>1264</v>
      </c>
      <c r="H136" s="4"/>
    </row>
    <row r="137" spans="1:53" ht="9" customHeight="1" x14ac:dyDescent="0.15">
      <c r="H137" s="4"/>
    </row>
    <row r="138" spans="1:53" s="195" customFormat="1" ht="9" customHeight="1" x14ac:dyDescent="0.15">
      <c r="A138" s="193"/>
      <c r="B138" s="194" t="s">
        <v>1215</v>
      </c>
      <c r="C138" s="194"/>
      <c r="D138" s="194"/>
      <c r="E138" s="194"/>
      <c r="F138" s="194"/>
      <c r="G138" s="194" t="s">
        <v>1216</v>
      </c>
      <c r="H138" s="194"/>
      <c r="I138" s="194"/>
      <c r="J138" s="194"/>
      <c r="K138" s="194"/>
      <c r="L138" s="194"/>
      <c r="M138" s="194"/>
      <c r="N138" s="194"/>
      <c r="R138" s="388" t="s">
        <v>1217</v>
      </c>
      <c r="S138" s="388"/>
      <c r="T138" s="388"/>
      <c r="U138" s="388"/>
      <c r="V138" s="388"/>
      <c r="W138" s="388"/>
      <c r="X138" s="196"/>
      <c r="Y138" s="196"/>
      <c r="AA138" s="196"/>
      <c r="AB138" s="196"/>
      <c r="AC138" s="196"/>
      <c r="AD138" s="196"/>
    </row>
    <row r="139" spans="1:53" s="200" customFormat="1" ht="9" customHeight="1" x14ac:dyDescent="0.15">
      <c r="A139" s="197"/>
      <c r="B139" s="198" t="s">
        <v>1219</v>
      </c>
      <c r="C139" s="199"/>
      <c r="D139" s="199"/>
      <c r="E139" s="199"/>
      <c r="F139" s="199"/>
      <c r="G139" s="198" t="s">
        <v>1218</v>
      </c>
      <c r="H139" s="199"/>
      <c r="I139" s="199"/>
      <c r="J139" s="199"/>
      <c r="K139" s="199"/>
      <c r="L139" s="199"/>
      <c r="M139" s="199"/>
      <c r="N139" s="199"/>
      <c r="R139" s="201" t="s">
        <v>1220</v>
      </c>
      <c r="S139" s="202"/>
      <c r="T139" s="203"/>
      <c r="U139" s="203"/>
      <c r="V139" s="203"/>
      <c r="W139" s="201" t="s">
        <v>1221</v>
      </c>
      <c r="X139" s="203"/>
      <c r="Y139" s="203"/>
      <c r="AA139" s="203"/>
      <c r="AB139" s="203"/>
      <c r="AC139" s="203"/>
      <c r="AD139" s="203"/>
    </row>
    <row r="140" spans="1:53" s="186" customFormat="1" ht="12" customHeight="1" x14ac:dyDescent="0.15">
      <c r="A140" s="204" t="s">
        <v>3</v>
      </c>
      <c r="B140" s="205" t="s">
        <v>8</v>
      </c>
      <c r="C140" s="205" t="s">
        <v>9</v>
      </c>
      <c r="D140" s="205" t="s">
        <v>10</v>
      </c>
      <c r="E140" s="206" t="s">
        <v>1195</v>
      </c>
      <c r="F140" s="205"/>
      <c r="G140" s="186" t="s">
        <v>3</v>
      </c>
      <c r="H140" s="389" t="s">
        <v>0</v>
      </c>
      <c r="I140" s="389"/>
      <c r="J140" s="389" t="s">
        <v>1</v>
      </c>
      <c r="K140" s="389"/>
      <c r="L140" s="389" t="s">
        <v>2</v>
      </c>
      <c r="M140" s="389"/>
      <c r="N140" s="390" t="s">
        <v>1195</v>
      </c>
      <c r="O140" s="390"/>
      <c r="P140" s="207"/>
      <c r="Q140" s="207"/>
      <c r="R140" s="208" t="s">
        <v>3</v>
      </c>
      <c r="S140" s="209" t="s">
        <v>135</v>
      </c>
      <c r="T140" s="207" t="s">
        <v>133</v>
      </c>
      <c r="U140" s="205" t="s">
        <v>134</v>
      </c>
      <c r="V140" s="207"/>
      <c r="W140" s="210" t="s">
        <v>26</v>
      </c>
    </row>
    <row r="141" spans="1:53" s="140" customFormat="1" x14ac:dyDescent="0.15">
      <c r="A141" s="140">
        <v>1959</v>
      </c>
      <c r="B141" s="143">
        <f>(K6*($E6/365)) + (K7*($E7/365))</f>
        <v>100</v>
      </c>
      <c r="C141" s="143">
        <f>(L6*($E6/365)) + (L7*($E7/365))</f>
        <v>0</v>
      </c>
      <c r="D141" s="143">
        <f>(M6*($E6/365)) + (M7*($E7/365))</f>
        <v>0</v>
      </c>
      <c r="E141" s="144">
        <f>B141+C141+D141</f>
        <v>100</v>
      </c>
      <c r="G141" s="140">
        <v>1959</v>
      </c>
      <c r="H141" s="417">
        <f>(O6/$R6*100*($E6/365))+(O7/$R7*100*($E7/365))</f>
        <v>100</v>
      </c>
      <c r="I141" s="417"/>
      <c r="J141" s="417">
        <f>(P6/$R6*100*($E6/365))+(P7/$R7*100*($E7/365))</f>
        <v>0</v>
      </c>
      <c r="K141" s="417"/>
      <c r="L141" s="417">
        <f>(Q6/$R6*100*($E6/365))+(Q7/$R7*100*($E7/365))</f>
        <v>0</v>
      </c>
      <c r="M141" s="417"/>
      <c r="N141" s="412">
        <f>H141+J141+L141</f>
        <v>100</v>
      </c>
      <c r="O141" s="412"/>
      <c r="R141" s="140">
        <v>1959</v>
      </c>
      <c r="S141" s="143">
        <f>(O6*($E6/365)) + (O7*($E7/365))</f>
        <v>52.789041095890411</v>
      </c>
      <c r="T141" s="143">
        <f>(P6*($E6/365)) + (P7*($E7/365))</f>
        <v>0</v>
      </c>
      <c r="U141" s="143">
        <f>(Q6*($E6/365)) + (Q7*($E7/365))</f>
        <v>0</v>
      </c>
      <c r="V141" s="143"/>
      <c r="W141" s="143">
        <f>S141+T141+U141</f>
        <v>52.789041095890411</v>
      </c>
    </row>
    <row r="142" spans="1:53" x14ac:dyDescent="0.15">
      <c r="A142" s="1">
        <v>1960</v>
      </c>
      <c r="B142" s="5">
        <f>(K8*($E8/366))+(K9*($E9/366))</f>
        <v>100</v>
      </c>
      <c r="C142" s="5">
        <f>(L8*($E8/366))+(L9*($E9/366))</f>
        <v>0</v>
      </c>
      <c r="D142" s="5">
        <f>(M8*($E8/366))+(M9*($E9/366))</f>
        <v>0</v>
      </c>
      <c r="E142" s="18">
        <f>B142+C142+D142</f>
        <v>100</v>
      </c>
      <c r="G142" s="1">
        <v>1960</v>
      </c>
      <c r="H142" s="409">
        <f>(O8/$R8*100*($E8/366))+(O9/$R9*100*($E9/366))</f>
        <v>100</v>
      </c>
      <c r="I142" s="409"/>
      <c r="J142" s="409">
        <f>(P8/$R8*100*($E8/366))+(P9/$R9*100*($E9/366))</f>
        <v>0</v>
      </c>
      <c r="K142" s="409"/>
      <c r="L142" s="409">
        <f>(Q8/$R8*100*($E8/366))+(Q9/$R9*100*($E9/366))</f>
        <v>0</v>
      </c>
      <c r="M142" s="409"/>
      <c r="N142" s="379">
        <f t="shared" ref="N142:N173" si="32">H142+J142+L142</f>
        <v>100</v>
      </c>
      <c r="O142" s="379"/>
      <c r="R142" s="1">
        <v>1960</v>
      </c>
      <c r="S142" s="5">
        <f>(O8*($E8/366))+(O9*($E9/366))</f>
        <v>57.9</v>
      </c>
      <c r="T142" s="5">
        <f>(P8*($E8/366))+(P9*($E9/366))</f>
        <v>0</v>
      </c>
      <c r="U142" s="5">
        <f>(Q8*($E8/366))+(Q9*($E9/366))</f>
        <v>0</v>
      </c>
      <c r="V142" s="5"/>
      <c r="W142" s="5">
        <f>S142+T142+U142</f>
        <v>57.9</v>
      </c>
    </row>
    <row r="143" spans="1:53" x14ac:dyDescent="0.15">
      <c r="A143" s="1">
        <v>1961</v>
      </c>
      <c r="B143" s="5">
        <f>(K10*($E10/365))+(K11*($E11/365))</f>
        <v>100</v>
      </c>
      <c r="C143" s="5">
        <f>(L10*($E10/365))+(L11*($E11/365))</f>
        <v>0</v>
      </c>
      <c r="D143" s="5">
        <f>(M10*($E10/365))+(M11*($E11/365))</f>
        <v>0</v>
      </c>
      <c r="E143" s="18">
        <f t="shared" ref="E143:E195" si="33">B143+C143+D143</f>
        <v>100</v>
      </c>
      <c r="G143" s="1">
        <v>1961</v>
      </c>
      <c r="H143" s="409">
        <f>(O10/$R10*100*($E10/365))+(O11/$R11*100*($E11/365))</f>
        <v>100</v>
      </c>
      <c r="I143" s="409"/>
      <c r="J143" s="409">
        <f>(P10/$R10*100*($E10/365))+(P11/$R11*100*($E11/365))</f>
        <v>0</v>
      </c>
      <c r="K143" s="409"/>
      <c r="L143" s="409">
        <f>(Q10/$R10*100*($E10/365))+(Q11/$R11*100*($E11/365))</f>
        <v>0</v>
      </c>
      <c r="M143" s="409"/>
      <c r="N143" s="379">
        <f t="shared" si="32"/>
        <v>100</v>
      </c>
      <c r="O143" s="379"/>
      <c r="R143" s="1">
        <v>1961</v>
      </c>
      <c r="S143" s="5">
        <f>(O10*($E10/365))+(O11*($E11/365))</f>
        <v>57.9</v>
      </c>
      <c r="T143" s="5">
        <f>(P10*($E10/365))+(P11*($E11/365))</f>
        <v>0</v>
      </c>
      <c r="U143" s="5">
        <f>(Q10*($E10/365))+(Q11*($E11/365))</f>
        <v>0</v>
      </c>
      <c r="V143" s="5"/>
      <c r="W143" s="5">
        <f t="shared" ref="W143:W195" si="34">S143+T143+U143</f>
        <v>57.9</v>
      </c>
    </row>
    <row r="144" spans="1:53" x14ac:dyDescent="0.15">
      <c r="A144" s="1">
        <v>1962</v>
      </c>
      <c r="B144" s="5">
        <f>(K12*($E12/365))+(K13*($E13/365))</f>
        <v>100</v>
      </c>
      <c r="C144" s="5">
        <f>(L12*($E12/365))+(L13*($E13/365))</f>
        <v>0</v>
      </c>
      <c r="D144" s="5">
        <f>(M12*($E12/365))+(M13*($E13/365))</f>
        <v>0</v>
      </c>
      <c r="E144" s="18">
        <f t="shared" si="33"/>
        <v>100</v>
      </c>
      <c r="G144" s="1">
        <v>1962</v>
      </c>
      <c r="H144" s="409">
        <f>(O12/$R12*100*($E12/365))+(O13/$R13*100*($E13/365))</f>
        <v>100</v>
      </c>
      <c r="I144" s="409"/>
      <c r="J144" s="409">
        <f>(P12/$R12*100*($E12/365))+(P13/$R13*100*($E13/365))</f>
        <v>0</v>
      </c>
      <c r="K144" s="409"/>
      <c r="L144" s="409">
        <f>(Q12/$R12*100*($E12/365))+(Q13/$R13*100*($E13/365))</f>
        <v>0</v>
      </c>
      <c r="M144" s="409"/>
      <c r="N144" s="379">
        <f t="shared" si="32"/>
        <v>100</v>
      </c>
      <c r="O144" s="379"/>
      <c r="R144" s="1">
        <v>1962</v>
      </c>
      <c r="S144" s="5">
        <f>(O12*($E12/365))+(O13*($E13/365))</f>
        <v>57.9</v>
      </c>
      <c r="T144" s="5">
        <f>(P12*($E12/365))+(P13*($E13/365))</f>
        <v>0</v>
      </c>
      <c r="U144" s="5">
        <f>(Q12*($E12/365))+(Q13*($E13/365))</f>
        <v>0</v>
      </c>
      <c r="V144" s="5"/>
      <c r="W144" s="5">
        <f t="shared" si="34"/>
        <v>57.9</v>
      </c>
    </row>
    <row r="145" spans="1:23" x14ac:dyDescent="0.15">
      <c r="A145" s="1">
        <v>1963</v>
      </c>
      <c r="B145" s="5">
        <f>(K14*($E14/365))+(K15*($E15/365))</f>
        <v>100</v>
      </c>
      <c r="C145" s="5">
        <f>(L14*($E14/365))+(L15*($E15/365))</f>
        <v>0</v>
      </c>
      <c r="D145" s="5">
        <f>(M14*($E14/365))+(M15*($E15/365))</f>
        <v>0</v>
      </c>
      <c r="E145" s="18">
        <f t="shared" si="33"/>
        <v>100</v>
      </c>
      <c r="G145" s="1">
        <v>1963</v>
      </c>
      <c r="H145" s="409">
        <f>(O14/$R14*100*($E14/365))+(O15/$R15*100*($E15/365))</f>
        <v>100</v>
      </c>
      <c r="I145" s="409"/>
      <c r="J145" s="409">
        <f>(P14/$R14*100*($E14/365))+(P15/$R15*100*($E15/365))</f>
        <v>0</v>
      </c>
      <c r="K145" s="409"/>
      <c r="L145" s="409">
        <f>(Q14/$R14*100*($E14/365))+(Q15/$R15*100*($E15/365))</f>
        <v>0</v>
      </c>
      <c r="M145" s="409"/>
      <c r="N145" s="379">
        <f t="shared" si="32"/>
        <v>100</v>
      </c>
      <c r="O145" s="379"/>
      <c r="R145" s="1">
        <v>1963</v>
      </c>
      <c r="S145" s="5">
        <f>(O14*($E14/365))+(O15*($E15/365))</f>
        <v>57.9</v>
      </c>
      <c r="T145" s="5">
        <f>(P14*($E14/365))+(P15*($E15/365))</f>
        <v>0</v>
      </c>
      <c r="U145" s="5">
        <f>(Q14*($E14/365))+(Q15*($E15/365))</f>
        <v>0</v>
      </c>
      <c r="V145" s="5"/>
      <c r="W145" s="5">
        <f t="shared" si="34"/>
        <v>57.9</v>
      </c>
    </row>
    <row r="146" spans="1:23" x14ac:dyDescent="0.15">
      <c r="A146" s="1">
        <v>1964</v>
      </c>
      <c r="B146" s="5">
        <f>(K16*($E16/366))+(K17*($E17/366))</f>
        <v>79.234972677595621</v>
      </c>
      <c r="C146" s="5">
        <f>(L16*($E16/366))+(L17*($E17/366))</f>
        <v>0</v>
      </c>
      <c r="D146" s="5">
        <f>(M16*($E16/366))+(M17*($E17/366))</f>
        <v>20.765027322404372</v>
      </c>
      <c r="E146" s="18">
        <f t="shared" si="33"/>
        <v>100</v>
      </c>
      <c r="G146" s="1">
        <v>1964</v>
      </c>
      <c r="H146" s="409">
        <f>(O16/$R16*100*($E16/366))+(O17/$R17*100*($E17/366))</f>
        <v>79.234972677595621</v>
      </c>
      <c r="I146" s="409"/>
      <c r="J146" s="409">
        <f>(P16/$R16*100*($E16/366))+(P17/$R17*100*($E17/366))</f>
        <v>0</v>
      </c>
      <c r="K146" s="409"/>
      <c r="L146" s="409">
        <f>(Q16/$R16*100*($E16/366))+(Q17/$R17*100*($E17/366))</f>
        <v>20.765027322404372</v>
      </c>
      <c r="M146" s="409"/>
      <c r="N146" s="379">
        <f t="shared" si="32"/>
        <v>100</v>
      </c>
      <c r="O146" s="379"/>
      <c r="R146" s="1">
        <v>1964</v>
      </c>
      <c r="S146" s="5">
        <f>(O16*($E16/366))+(O17*($E17/366))</f>
        <v>45.877049180327866</v>
      </c>
      <c r="T146" s="5">
        <f>(P16*($E16/366))+(P17*($E17/366))</f>
        <v>0</v>
      </c>
      <c r="U146" s="5">
        <f>(Q16*($E16/366))+(Q17*($E17/366))</f>
        <v>10.444808743169398</v>
      </c>
      <c r="V146" s="5"/>
      <c r="W146" s="5">
        <f t="shared" si="34"/>
        <v>56.321857923497262</v>
      </c>
    </row>
    <row r="147" spans="1:23" x14ac:dyDescent="0.15">
      <c r="A147" s="1">
        <v>1965</v>
      </c>
      <c r="B147" s="5">
        <f>(K18*($E18/365))+(K19*($E19/365))</f>
        <v>0</v>
      </c>
      <c r="C147" s="5">
        <f>(L18*($E18/365))+(L19*($E19/365))</f>
        <v>0</v>
      </c>
      <c r="D147" s="5">
        <f>(M18*($E18/365))+(M19*($E19/365))</f>
        <v>100</v>
      </c>
      <c r="E147" s="18">
        <f t="shared" si="33"/>
        <v>100</v>
      </c>
      <c r="G147" s="1">
        <v>1965</v>
      </c>
      <c r="H147" s="409">
        <f>(O18/$R18*100*($E18/365))+(O19/$R19*100*($E19/365))</f>
        <v>0</v>
      </c>
      <c r="I147" s="409"/>
      <c r="J147" s="409">
        <f>(P18/$R18*100*($E18/365))+(P19/$R19*100*($E19/365))</f>
        <v>0</v>
      </c>
      <c r="K147" s="409"/>
      <c r="L147" s="409">
        <f>(Q18/$R18*100*($E18/365))+(Q19/$R19*100*($E19/365))</f>
        <v>100</v>
      </c>
      <c r="M147" s="409"/>
      <c r="N147" s="379">
        <f t="shared" si="32"/>
        <v>100</v>
      </c>
      <c r="O147" s="379"/>
      <c r="R147" s="1">
        <v>1965</v>
      </c>
      <c r="S147" s="5">
        <f>(O18*($E18/365))+(O19*($E19/365))</f>
        <v>0</v>
      </c>
      <c r="T147" s="5">
        <f>(P18*($E18/365))+(P19*($E19/365))</f>
        <v>0</v>
      </c>
      <c r="U147" s="5">
        <f>(Q18*($E18/365))+(Q19*($E19/365))</f>
        <v>50.3</v>
      </c>
      <c r="V147" s="5"/>
      <c r="W147" s="5">
        <f t="shared" si="34"/>
        <v>50.3</v>
      </c>
    </row>
    <row r="148" spans="1:23" x14ac:dyDescent="0.15">
      <c r="A148" s="1">
        <v>1966</v>
      </c>
      <c r="B148" s="5">
        <f>(K20*($E20/365))+(K21*($E21/365))</f>
        <v>0</v>
      </c>
      <c r="C148" s="5">
        <f>(L20*($E20/365))+(L21*($E21/365))</f>
        <v>0</v>
      </c>
      <c r="D148" s="5">
        <f>(M20*($E20/365))+(M21*($E21/365))</f>
        <v>100</v>
      </c>
      <c r="E148" s="18">
        <f t="shared" si="33"/>
        <v>100</v>
      </c>
      <c r="G148" s="1">
        <v>1966</v>
      </c>
      <c r="H148" s="409">
        <f>(O20/$R20*100*($E20/365))+(O21/$R21*100*($E21/365))</f>
        <v>0</v>
      </c>
      <c r="I148" s="409"/>
      <c r="J148" s="409">
        <f>(P20/$R20*100*($E20/365))+(P21/$R21*100*($E21/365))</f>
        <v>0</v>
      </c>
      <c r="K148" s="409"/>
      <c r="L148" s="409">
        <f>(Q20/$R20*100*($E20/365))+(Q21/$R21*100*($E21/365))</f>
        <v>100</v>
      </c>
      <c r="M148" s="409"/>
      <c r="N148" s="379">
        <f t="shared" si="32"/>
        <v>100</v>
      </c>
      <c r="O148" s="379"/>
      <c r="R148" s="1">
        <v>1966</v>
      </c>
      <c r="S148" s="5">
        <f>(O20*($E20/365))+(O21*($E21/365))</f>
        <v>0</v>
      </c>
      <c r="T148" s="5">
        <f>(P20*($E20/365))+(P21*($E21/365))</f>
        <v>0</v>
      </c>
      <c r="U148" s="5">
        <f>(Q20*($E20/365))+(Q21*($E21/365))</f>
        <v>55.847945205479448</v>
      </c>
      <c r="V148" s="5"/>
      <c r="W148" s="5">
        <f t="shared" si="34"/>
        <v>55.847945205479448</v>
      </c>
    </row>
    <row r="149" spans="1:23" x14ac:dyDescent="0.15">
      <c r="A149" s="1">
        <v>1967</v>
      </c>
      <c r="B149" s="5">
        <f>(K22*($E22/365))+(K23*($E23/365))</f>
        <v>0</v>
      </c>
      <c r="C149" s="5">
        <f>(L22*($E22/365))+(L23*($E23/365))</f>
        <v>0</v>
      </c>
      <c r="D149" s="5">
        <f>(M22*($E22/365))+(M23*($E23/365))</f>
        <v>100</v>
      </c>
      <c r="E149" s="18">
        <f t="shared" si="33"/>
        <v>100</v>
      </c>
      <c r="G149" s="1">
        <v>1967</v>
      </c>
      <c r="H149" s="409">
        <f>(O22/$R22*100*($E22/365))+(O23/$R23*100*($E23/365))</f>
        <v>0</v>
      </c>
      <c r="I149" s="409"/>
      <c r="J149" s="409">
        <f>(P22/$R22*100*($E22/365))+(P23/$R23*100*($E23/365))</f>
        <v>0</v>
      </c>
      <c r="K149" s="409"/>
      <c r="L149" s="409">
        <f>(Q22/$R22*100*($E22/365))+(Q23/$R23*100*($E23/365))</f>
        <v>100</v>
      </c>
      <c r="M149" s="409"/>
      <c r="N149" s="379">
        <f t="shared" si="32"/>
        <v>100</v>
      </c>
      <c r="O149" s="379"/>
      <c r="R149" s="1">
        <v>1967</v>
      </c>
      <c r="S149" s="5">
        <f>(O22*($E22/365))+(O23*($E23/365))</f>
        <v>0</v>
      </c>
      <c r="T149" s="5">
        <f>(P22*($E22/365))+(P23*($E23/365))</f>
        <v>0</v>
      </c>
      <c r="U149" s="5">
        <f>(Q22*($E22/365))+(Q23*($E23/365))</f>
        <v>57.8</v>
      </c>
      <c r="V149" s="5"/>
      <c r="W149" s="5">
        <f t="shared" si="34"/>
        <v>57.8</v>
      </c>
    </row>
    <row r="150" spans="1:23" x14ac:dyDescent="0.15">
      <c r="A150" s="1">
        <v>1968</v>
      </c>
      <c r="B150" s="5">
        <f>(K24*($E24/366))+(K25*($E25/366))</f>
        <v>0</v>
      </c>
      <c r="C150" s="5">
        <f>(L24*($E24/366))+(L25*($E25/366))</f>
        <v>0</v>
      </c>
      <c r="D150" s="5">
        <f>(M24*($E24/366))+(M25*($E25/366))</f>
        <v>100</v>
      </c>
      <c r="E150" s="18">
        <f t="shared" si="33"/>
        <v>100</v>
      </c>
      <c r="G150" s="1">
        <v>1968</v>
      </c>
      <c r="H150" s="409">
        <f>(O24/$R24*100*($E24/366))+(O25/$R25*100*($E25/366))</f>
        <v>0</v>
      </c>
      <c r="I150" s="409"/>
      <c r="J150" s="409">
        <f>(P24/$R24*100*($E24/366))+(P25/$R25*100*($E25/366))</f>
        <v>0</v>
      </c>
      <c r="K150" s="409"/>
      <c r="L150" s="409">
        <f>(Q24/$R24*100*($E24/366))+(Q25/$R25*100*($E25/366))</f>
        <v>100</v>
      </c>
      <c r="M150" s="409"/>
      <c r="N150" s="379">
        <f t="shared" si="32"/>
        <v>100</v>
      </c>
      <c r="O150" s="379"/>
      <c r="R150" s="1">
        <v>1968</v>
      </c>
      <c r="S150" s="5">
        <f>(O24*($E24/366))+(O25*($E25/366))</f>
        <v>0</v>
      </c>
      <c r="T150" s="5">
        <f>(P24*($E24/366))+(P25*($E25/366))</f>
        <v>0</v>
      </c>
      <c r="U150" s="5">
        <f>(Q24*($E24/366))+(Q25*($E25/366))</f>
        <v>57.8</v>
      </c>
      <c r="V150" s="5"/>
      <c r="W150" s="5">
        <f t="shared" si="34"/>
        <v>57.8</v>
      </c>
    </row>
    <row r="151" spans="1:23" x14ac:dyDescent="0.15">
      <c r="A151" s="1">
        <v>1969</v>
      </c>
      <c r="B151" s="5">
        <f>(K26*($E26/365))+(K27*($E27/365))</f>
        <v>0</v>
      </c>
      <c r="C151" s="5">
        <f>(L26*($E26/365))+(L27*($E27/365))</f>
        <v>0</v>
      </c>
      <c r="D151" s="5">
        <f>(M26*($E26/365))+(M27*($E27/365))</f>
        <v>100</v>
      </c>
      <c r="E151" s="18">
        <f t="shared" si="33"/>
        <v>100</v>
      </c>
      <c r="G151" s="1">
        <v>1969</v>
      </c>
      <c r="H151" s="409">
        <f>(O26/$R26*100*($E26/365))+(O27/$R27*100*($E27/365))</f>
        <v>0</v>
      </c>
      <c r="I151" s="409"/>
      <c r="J151" s="409">
        <f>(P26/$R26*100*($E26/365))+(P27/$R27*100*($E27/365))</f>
        <v>0</v>
      </c>
      <c r="K151" s="409"/>
      <c r="L151" s="409">
        <f>(Q26/$R26*100*($E26/365))+(Q27/$R27*100*($E27/365))</f>
        <v>100</v>
      </c>
      <c r="M151" s="409"/>
      <c r="N151" s="379">
        <f t="shared" si="32"/>
        <v>100</v>
      </c>
      <c r="O151" s="379"/>
      <c r="R151" s="1">
        <v>1969</v>
      </c>
      <c r="S151" s="5">
        <f>(O26*($E26/365))+(O27*($E27/365))</f>
        <v>0</v>
      </c>
      <c r="T151" s="5">
        <f>(P26*($E26/365))+(P27*($E27/365))</f>
        <v>0</v>
      </c>
      <c r="U151" s="5">
        <f>(Q26*($E26/365))+(Q27*($E27/365))</f>
        <v>57.8</v>
      </c>
      <c r="V151" s="5"/>
      <c r="W151" s="5">
        <f t="shared" si="34"/>
        <v>57.8</v>
      </c>
    </row>
    <row r="152" spans="1:23" x14ac:dyDescent="0.15">
      <c r="A152" s="1">
        <v>1970</v>
      </c>
      <c r="B152" s="5">
        <f>(K28*($E28/365))+(K29*($E29/365))</f>
        <v>53.424657534246577</v>
      </c>
      <c r="C152" s="5">
        <f>(L28*($E28/365))+(L29*($E29/365))</f>
        <v>0</v>
      </c>
      <c r="D152" s="5">
        <f>(M28*($E28/365))+(M29*($E29/365))</f>
        <v>46.575342465753423</v>
      </c>
      <c r="E152" s="18">
        <f t="shared" si="33"/>
        <v>100</v>
      </c>
      <c r="G152" s="1">
        <v>1970</v>
      </c>
      <c r="H152" s="409">
        <f>(O28/$R28*100*($E28/365))+(O29/$R29*100*($E29/365))</f>
        <v>53.424657534246577</v>
      </c>
      <c r="I152" s="409"/>
      <c r="J152" s="409">
        <f>(P28/$R28*100*($E28/365))+(P29/$R29*100*($E29/365))</f>
        <v>0</v>
      </c>
      <c r="K152" s="409"/>
      <c r="L152" s="409">
        <f>(Q28/$R28*100*($E28/365))+(Q29/$R29*100*($E29/365))</f>
        <v>46.575342465753423</v>
      </c>
      <c r="M152" s="409"/>
      <c r="N152" s="379">
        <f t="shared" si="32"/>
        <v>100</v>
      </c>
      <c r="O152" s="379"/>
      <c r="R152" s="1">
        <v>1970</v>
      </c>
      <c r="S152" s="5">
        <f>(O28*($E28/365))+(O29*($E29/365))</f>
        <v>27.994520547945207</v>
      </c>
      <c r="T152" s="5">
        <f>(P28*($E28/365))+(P29*($E29/365))</f>
        <v>0</v>
      </c>
      <c r="U152" s="5">
        <f>(Q28*($E28/365))+(Q29*($E29/365))</f>
        <v>26.920547945205477</v>
      </c>
      <c r="V152" s="5"/>
      <c r="W152" s="5">
        <f t="shared" si="34"/>
        <v>54.915068493150685</v>
      </c>
    </row>
    <row r="153" spans="1:23" x14ac:dyDescent="0.15">
      <c r="A153" s="1">
        <v>1971</v>
      </c>
      <c r="B153" s="5">
        <f>(K30*($E30/365))+(K31*($E31/365))</f>
        <v>100</v>
      </c>
      <c r="C153" s="5">
        <f>(L30*($E30/365))+(L31*($E31/365))</f>
        <v>0</v>
      </c>
      <c r="D153" s="5">
        <f>(M30*($E30/365))+(M31*($E31/365))</f>
        <v>0</v>
      </c>
      <c r="E153" s="18">
        <f t="shared" si="33"/>
        <v>100</v>
      </c>
      <c r="G153" s="1">
        <v>1971</v>
      </c>
      <c r="H153" s="409">
        <f>(O30/$R30*100*($E30/365))+(O31/$R31*100*($E31/365))</f>
        <v>100</v>
      </c>
      <c r="I153" s="409"/>
      <c r="J153" s="409">
        <f>(P30/$R30*100*($E30/365))+(P31/$R31*100*($E31/365))</f>
        <v>0</v>
      </c>
      <c r="K153" s="409"/>
      <c r="L153" s="409">
        <f>(Q30/$R30*100*($E30/365))+(Q31/$R31*100*($E31/365))</f>
        <v>0</v>
      </c>
      <c r="M153" s="409"/>
      <c r="N153" s="379">
        <f t="shared" si="32"/>
        <v>100</v>
      </c>
      <c r="O153" s="379"/>
      <c r="R153" s="1">
        <v>1971</v>
      </c>
      <c r="S153" s="5">
        <f>(O30*($E30/365))+(O31*($E31/365))</f>
        <v>52.4</v>
      </c>
      <c r="T153" s="5">
        <f>(P30*($E30/365))+(P31*($E31/365))</f>
        <v>0</v>
      </c>
      <c r="U153" s="5">
        <f>(Q30*($E30/365))+(Q31*($E31/365))</f>
        <v>0</v>
      </c>
      <c r="V153" s="5"/>
      <c r="W153" s="5">
        <f t="shared" si="34"/>
        <v>52.4</v>
      </c>
    </row>
    <row r="154" spans="1:23" x14ac:dyDescent="0.15">
      <c r="A154" s="1">
        <v>1972</v>
      </c>
      <c r="B154" s="5">
        <f>(K32*($E32/366))+(K33*($E33/366))</f>
        <v>100</v>
      </c>
      <c r="C154" s="5">
        <f>(L32*($E32/366))+(L33*($E33/366))</f>
        <v>0</v>
      </c>
      <c r="D154" s="5">
        <f>(M32*($E32/366))+(M33*($E33/366))</f>
        <v>0</v>
      </c>
      <c r="E154" s="18">
        <f t="shared" si="33"/>
        <v>100</v>
      </c>
      <c r="G154" s="1">
        <v>1972</v>
      </c>
      <c r="H154" s="409">
        <f>(O32/$R32*100*($E32/366))+(O33/$R33*100*($E33/366))</f>
        <v>100</v>
      </c>
      <c r="I154" s="409"/>
      <c r="J154" s="409">
        <f>(P32/$R32*100*($E32/366))+(P33/$R33*100*($E33/366))</f>
        <v>0</v>
      </c>
      <c r="K154" s="409"/>
      <c r="L154" s="409">
        <f>(Q32/$R32*100*($E32/366))+(Q33/$R33*100*($E33/366))</f>
        <v>0</v>
      </c>
      <c r="M154" s="409"/>
      <c r="N154" s="379">
        <f t="shared" si="32"/>
        <v>100</v>
      </c>
      <c r="O154" s="379"/>
      <c r="R154" s="1">
        <v>1972</v>
      </c>
      <c r="S154" s="5">
        <f>(O32*($E32/366))+(O33*($E33/366))</f>
        <v>52.4</v>
      </c>
      <c r="T154" s="5">
        <f>(P32*($E32/366))+(P33*($E33/366))</f>
        <v>0</v>
      </c>
      <c r="U154" s="5">
        <f>(Q32*($E32/366))+(Q33*($E33/366))</f>
        <v>0</v>
      </c>
      <c r="V154" s="5"/>
      <c r="W154" s="5">
        <f t="shared" si="34"/>
        <v>52.4</v>
      </c>
    </row>
    <row r="155" spans="1:23" x14ac:dyDescent="0.15">
      <c r="A155" s="1">
        <v>1973</v>
      </c>
      <c r="B155" s="5">
        <f>(K34*($E34/365))+(K35*($E35/365))</f>
        <v>100</v>
      </c>
      <c r="C155" s="5">
        <f>(L34*($E34/365))+(L35*($E35/365))</f>
        <v>0</v>
      </c>
      <c r="D155" s="5">
        <f>(M34*($E34/365))+(M35*($E35/365))</f>
        <v>0</v>
      </c>
      <c r="E155" s="18">
        <f t="shared" si="33"/>
        <v>100</v>
      </c>
      <c r="G155" s="1">
        <v>1973</v>
      </c>
      <c r="H155" s="409">
        <f>(O34/$R34*100*($E34/365))+(O35/$R35*100*($E35/365))</f>
        <v>100</v>
      </c>
      <c r="I155" s="409"/>
      <c r="J155" s="409">
        <f>(P34/$R34*100*($E34/365))+(P35/$R35*100*($E35/365))</f>
        <v>0</v>
      </c>
      <c r="K155" s="409"/>
      <c r="L155" s="409">
        <f>(Q34/$R34*100*($E34/365))+(Q35/$R35*100*($E35/365))</f>
        <v>0</v>
      </c>
      <c r="M155" s="409"/>
      <c r="N155" s="379">
        <f t="shared" si="32"/>
        <v>100</v>
      </c>
      <c r="O155" s="379"/>
      <c r="R155" s="1">
        <v>1973</v>
      </c>
      <c r="S155" s="5">
        <f>(O34*($E34/365))+(O35*($E35/365))</f>
        <v>52.4</v>
      </c>
      <c r="T155" s="5">
        <f>(P34*($E34/365))+(P35*($E35/365))</f>
        <v>0</v>
      </c>
      <c r="U155" s="5">
        <f>(Q34*($E34/365))+(Q35*($E35/365))</f>
        <v>0</v>
      </c>
      <c r="V155" s="5"/>
      <c r="W155" s="5">
        <f t="shared" si="34"/>
        <v>52.4</v>
      </c>
    </row>
    <row r="156" spans="1:23" x14ac:dyDescent="0.15">
      <c r="A156" s="1">
        <v>1974</v>
      </c>
      <c r="B156" s="5">
        <f>(K36*($E36/365))+(K37*($E37/365))+(K38*($E38/365))</f>
        <v>17.260273972602739</v>
      </c>
      <c r="C156" s="5">
        <f>(L36*($E36/365))+(L37*($E37/365))+(L38*($E38/365))</f>
        <v>0</v>
      </c>
      <c r="D156" s="5">
        <f>(M36*($E36/365))+(M37*($E37/365))+(M38*($E38/365))</f>
        <v>82.739726027397268</v>
      </c>
      <c r="E156" s="18">
        <f t="shared" si="33"/>
        <v>100</v>
      </c>
      <c r="G156" s="1">
        <v>1974</v>
      </c>
      <c r="H156" s="409">
        <f>(O36/$R36*100*($E36/365))+(O37/$R37*100*($E37/365))+(O38/$R38*100*($E38/365))</f>
        <v>17.260273972602739</v>
      </c>
      <c r="I156" s="409"/>
      <c r="J156" s="409">
        <f>(P36/$R36*100*($E36/365))+(P37/$R37*100*($E37/365))+(P38/$R38*100*($E38/365))</f>
        <v>0</v>
      </c>
      <c r="K156" s="409"/>
      <c r="L156" s="409">
        <f>(Q36/$R36*100*($E36/365))+(Q37/$R37*100*($E37/365))+(Q38/$R38*100*($E38/365))</f>
        <v>82.739726027397268</v>
      </c>
      <c r="M156" s="409"/>
      <c r="N156" s="379">
        <f t="shared" si="32"/>
        <v>100</v>
      </c>
      <c r="O156" s="379"/>
      <c r="R156" s="1">
        <v>1974</v>
      </c>
      <c r="S156" s="5">
        <f>(O36*($E36/365))+(O37*($E37/365))+(O38*($E38/365))</f>
        <v>9.0443835616438353</v>
      </c>
      <c r="T156" s="5">
        <f>(P36*($E36/365))+(P37*($E37/365))+(P38*($E38/365))</f>
        <v>0</v>
      </c>
      <c r="U156" s="5">
        <f>(Q36*($E36/365))+(Q37*($E37/365))+(Q38*($E38/365))</f>
        <v>38.736712328767126</v>
      </c>
      <c r="V156" s="5"/>
      <c r="W156" s="5">
        <f t="shared" si="34"/>
        <v>47.78109589041096</v>
      </c>
    </row>
    <row r="157" spans="1:23" x14ac:dyDescent="0.15">
      <c r="A157" s="1">
        <v>1975</v>
      </c>
      <c r="B157" s="5">
        <f>(K39*($E39/365))+(K40*($E40/365))</f>
        <v>0</v>
      </c>
      <c r="C157" s="5">
        <f>(L39*($E39/365))+(L40*($E40/365))</f>
        <v>0</v>
      </c>
      <c r="D157" s="5">
        <f>(M39*($E39/365))+(M40*($E40/365))</f>
        <v>100</v>
      </c>
      <c r="E157" s="18">
        <f t="shared" si="33"/>
        <v>100</v>
      </c>
      <c r="G157" s="1">
        <v>1975</v>
      </c>
      <c r="H157" s="409">
        <f>(O39/$R39*100*($E39/365))+(O40/$R40*100*($E40/365))</f>
        <v>0</v>
      </c>
      <c r="I157" s="409"/>
      <c r="J157" s="409">
        <f>(P39/$R39*100*($E39/365))+(P40/$R40*100*($E40/365))</f>
        <v>0</v>
      </c>
      <c r="K157" s="409"/>
      <c r="L157" s="409">
        <f>(Q39/$R39*100*($E39/365))+(Q40/$R40*100*($E40/365))</f>
        <v>100</v>
      </c>
      <c r="M157" s="409"/>
      <c r="N157" s="379">
        <f t="shared" si="32"/>
        <v>100</v>
      </c>
      <c r="O157" s="379"/>
      <c r="R157" s="1">
        <v>1975</v>
      </c>
      <c r="S157" s="5">
        <f>(O39*($E39/365))+(O40*($E40/365))</f>
        <v>0</v>
      </c>
      <c r="T157" s="5">
        <f>(P39*($E39/365))+(P40*($E40/365))</f>
        <v>0</v>
      </c>
      <c r="U157" s="5">
        <f>(Q39*($E39/365))+(Q40*($E40/365))</f>
        <v>50.2</v>
      </c>
      <c r="V157" s="5"/>
      <c r="W157" s="5">
        <f t="shared" si="34"/>
        <v>50.2</v>
      </c>
    </row>
    <row r="158" spans="1:23" x14ac:dyDescent="0.15">
      <c r="A158" s="1">
        <v>1976</v>
      </c>
      <c r="B158" s="5">
        <f>(K41*($E41/366))+(K42*($E42/366))</f>
        <v>0</v>
      </c>
      <c r="C158" s="5">
        <f>(L41*($E41/366))+(L42*($E42/366))</f>
        <v>0</v>
      </c>
      <c r="D158" s="5">
        <f>(M41*($E41/366))+(M42*($E42/366))</f>
        <v>100</v>
      </c>
      <c r="E158" s="18">
        <f t="shared" si="33"/>
        <v>100</v>
      </c>
      <c r="G158" s="1">
        <v>1976</v>
      </c>
      <c r="H158" s="409">
        <f>(O41/$R41*100*($E41/366))+(O42/$R42*100*($E42/366))</f>
        <v>0</v>
      </c>
      <c r="I158" s="409"/>
      <c r="J158" s="409">
        <f>(P41/$R41*100*($E41/366))+(P42/$R42*100*($E42/366))</f>
        <v>0</v>
      </c>
      <c r="K158" s="409"/>
      <c r="L158" s="409">
        <f>(Q41/$R41*100*($E41/366))+(Q42/$R42*100*($E42/366))</f>
        <v>100</v>
      </c>
      <c r="M158" s="409"/>
      <c r="N158" s="379">
        <f t="shared" si="32"/>
        <v>100</v>
      </c>
      <c r="O158" s="379"/>
      <c r="R158" s="1">
        <v>1976</v>
      </c>
      <c r="S158" s="5">
        <f>(O41*($E41/366))+(O42*($E42/366))</f>
        <v>0</v>
      </c>
      <c r="T158" s="5">
        <f>(P41*($E41/366))+(P42*($E42/366))</f>
        <v>0</v>
      </c>
      <c r="U158" s="5">
        <f>(Q41*($E41/366))+(Q42*($E42/366))</f>
        <v>50.2</v>
      </c>
      <c r="V158" s="5"/>
      <c r="W158" s="5">
        <f t="shared" si="34"/>
        <v>50.2</v>
      </c>
    </row>
    <row r="159" spans="1:23" x14ac:dyDescent="0.15">
      <c r="A159" s="1">
        <v>1977</v>
      </c>
      <c r="B159" s="5">
        <f>(K43*($E43/365))+(K44*($E44/365))</f>
        <v>0</v>
      </c>
      <c r="C159" s="5">
        <f>(L43*($E43/365))+(L44*($E44/365))</f>
        <v>0</v>
      </c>
      <c r="D159" s="5">
        <f>(M43*($E43/365))+(M44*($E44/365))</f>
        <v>100</v>
      </c>
      <c r="E159" s="18">
        <f t="shared" si="33"/>
        <v>100</v>
      </c>
      <c r="G159" s="1">
        <v>1977</v>
      </c>
      <c r="H159" s="409">
        <f>(O43/$R43*100*($E43/365))+(O44/$R44*100*($E44/365))</f>
        <v>0</v>
      </c>
      <c r="I159" s="409"/>
      <c r="J159" s="409">
        <f>(P43/$R43*100*($E43/365))+(P44/$R44*100*($E44/365))</f>
        <v>0</v>
      </c>
      <c r="K159" s="409"/>
      <c r="L159" s="409">
        <f>(Q43/$R43*100*($E43/365))+(Q44/$R44*100*($E44/365))</f>
        <v>100</v>
      </c>
      <c r="M159" s="409"/>
      <c r="N159" s="379">
        <f t="shared" si="32"/>
        <v>100</v>
      </c>
      <c r="O159" s="379"/>
      <c r="R159" s="1">
        <v>1977</v>
      </c>
      <c r="S159" s="5">
        <f>(O43*($E43/365))+(O44*($E44/365))</f>
        <v>0</v>
      </c>
      <c r="T159" s="5">
        <f>(P43*($E43/365))+(P44*($E44/365))</f>
        <v>0</v>
      </c>
      <c r="U159" s="5">
        <f>(Q43*($E43/365))+(Q44*($E44/365))</f>
        <v>50.2</v>
      </c>
      <c r="V159" s="5"/>
      <c r="W159" s="5">
        <f t="shared" si="34"/>
        <v>50.2</v>
      </c>
    </row>
    <row r="160" spans="1:23" x14ac:dyDescent="0.15">
      <c r="A160" s="1">
        <v>1978</v>
      </c>
      <c r="B160" s="5">
        <f>(K45*($E45/365))+(K46*($E46/365))</f>
        <v>0</v>
      </c>
      <c r="C160" s="5">
        <f>(L45*($E45/365))+(L46*($E46/365))</f>
        <v>0</v>
      </c>
      <c r="D160" s="5">
        <f>(M45*($E45/365))+(M46*($E46/365))</f>
        <v>100</v>
      </c>
      <c r="E160" s="18">
        <f t="shared" si="33"/>
        <v>100</v>
      </c>
      <c r="G160" s="1">
        <v>1978</v>
      </c>
      <c r="H160" s="409">
        <f>(O45/$R45*100*($E45/365))+(O46/$R46*100*($E46/365))</f>
        <v>0</v>
      </c>
      <c r="I160" s="409"/>
      <c r="J160" s="409">
        <f>(P45/$R45*100*($E45/365))+(P46/$R46*100*($E46/365))</f>
        <v>0</v>
      </c>
      <c r="K160" s="409"/>
      <c r="L160" s="409">
        <f>(Q45/$R45*100*($E45/365))+(Q46/$R46*100*($E46/365))</f>
        <v>100</v>
      </c>
      <c r="M160" s="409"/>
      <c r="N160" s="379">
        <f t="shared" si="32"/>
        <v>100</v>
      </c>
      <c r="O160" s="379"/>
      <c r="R160" s="1">
        <v>1978</v>
      </c>
      <c r="S160" s="5">
        <f>(O45*($E45/365))+(O46*($E46/365))</f>
        <v>0</v>
      </c>
      <c r="T160" s="5">
        <f>(P45*($E45/365))+(P46*($E46/365))</f>
        <v>0</v>
      </c>
      <c r="U160" s="5">
        <f>(Q45*($E45/365))+(Q46*($E46/365))</f>
        <v>50.2</v>
      </c>
      <c r="V160" s="5"/>
      <c r="W160" s="5">
        <f t="shared" si="34"/>
        <v>50.2</v>
      </c>
    </row>
    <row r="161" spans="1:23" x14ac:dyDescent="0.15">
      <c r="A161" s="1">
        <v>1979</v>
      </c>
      <c r="B161" s="5">
        <f>(K47*($E47/365))+(K48*($E48/365))</f>
        <v>66.027397260273972</v>
      </c>
      <c r="C161" s="5">
        <f>(L47*($E47/365))+(L48*($E48/365))</f>
        <v>0</v>
      </c>
      <c r="D161" s="5">
        <f>(M47*($E47/365))+(M48*($E48/365))</f>
        <v>33.972602739726028</v>
      </c>
      <c r="E161" s="18">
        <f t="shared" si="33"/>
        <v>100</v>
      </c>
      <c r="G161" s="1">
        <v>1979</v>
      </c>
      <c r="H161" s="409">
        <f>(O47/$R47*100*($E47/365))+(O48/$R48*100*($E48/365))</f>
        <v>66.027397260273972</v>
      </c>
      <c r="I161" s="409"/>
      <c r="J161" s="409">
        <f>(P47/$R47*100*($E47/365))+(P48/$R48*100*($E48/365))</f>
        <v>0</v>
      </c>
      <c r="K161" s="409"/>
      <c r="L161" s="409">
        <f>(Q47/$R47*100*($E47/365))+(Q48/$R48*100*($E48/365))</f>
        <v>33.972602739726028</v>
      </c>
      <c r="M161" s="409"/>
      <c r="N161" s="379">
        <f t="shared" si="32"/>
        <v>100</v>
      </c>
      <c r="O161" s="379"/>
      <c r="R161" s="1">
        <v>1979</v>
      </c>
      <c r="S161" s="5">
        <f>(O47*($E47/365))+(O48*($E48/365))</f>
        <v>35.258630136986298</v>
      </c>
      <c r="T161" s="5">
        <f>(P47*($E47/365))+(P48*($E48/365))</f>
        <v>0</v>
      </c>
      <c r="U161" s="5">
        <f>(Q47*($E47/365))+(Q48*($E48/365))</f>
        <v>17.054246575342468</v>
      </c>
      <c r="V161" s="5"/>
      <c r="W161" s="5">
        <f t="shared" si="34"/>
        <v>52.312876712328766</v>
      </c>
    </row>
    <row r="162" spans="1:23" x14ac:dyDescent="0.15">
      <c r="A162" s="1">
        <v>1980</v>
      </c>
      <c r="B162" s="5">
        <f>(K49*($E49/366))+(K50*($E50/366))</f>
        <v>100</v>
      </c>
      <c r="C162" s="5">
        <f>(L49*($E49/366))+(L50*($E50/366))</f>
        <v>0</v>
      </c>
      <c r="D162" s="5">
        <f>(M49*($E49/366))+(M50*($E50/366))</f>
        <v>0</v>
      </c>
      <c r="E162" s="18">
        <f t="shared" si="33"/>
        <v>100</v>
      </c>
      <c r="G162" s="1">
        <v>1980</v>
      </c>
      <c r="H162" s="409">
        <f>(O49/$R49*100*($E49/366))+(O50/$R50*100*($E50/366))</f>
        <v>100</v>
      </c>
      <c r="I162" s="409"/>
      <c r="J162" s="409">
        <f>(P49/$R49*100*($E49/366))+(P50/$R50*100*($E50/366))</f>
        <v>0</v>
      </c>
      <c r="K162" s="409"/>
      <c r="L162" s="409">
        <f>(Q49/$R49*100*($E49/366))+(Q50/$R50*100*($E50/366))</f>
        <v>0</v>
      </c>
      <c r="M162" s="409"/>
      <c r="N162" s="379">
        <f t="shared" si="32"/>
        <v>100</v>
      </c>
      <c r="O162" s="379"/>
      <c r="R162" s="1">
        <v>1980</v>
      </c>
      <c r="S162" s="5">
        <f>(O49*($E49/366))+(O50*($E50/366))</f>
        <v>53.4</v>
      </c>
      <c r="T162" s="5">
        <f>(P49*($E49/366))+(P50*($E50/366))</f>
        <v>0</v>
      </c>
      <c r="U162" s="5">
        <f>(Q49*($E49/366))+(Q50*($E50/366))</f>
        <v>0</v>
      </c>
      <c r="V162" s="5"/>
      <c r="W162" s="5">
        <f t="shared" si="34"/>
        <v>53.4</v>
      </c>
    </row>
    <row r="163" spans="1:23" x14ac:dyDescent="0.15">
      <c r="A163" s="1">
        <v>1981</v>
      </c>
      <c r="B163" s="5">
        <f>(K51*($E51/365))+(K52*($E52/365))</f>
        <v>100</v>
      </c>
      <c r="C163" s="5">
        <f>(L51*($E51/365))+(L52*($E52/365))</f>
        <v>0</v>
      </c>
      <c r="D163" s="5">
        <f>(M51*($E51/365))+(M52*($E52/365))</f>
        <v>0</v>
      </c>
      <c r="E163" s="18">
        <f t="shared" si="33"/>
        <v>100</v>
      </c>
      <c r="G163" s="1">
        <v>1981</v>
      </c>
      <c r="H163" s="409">
        <f>(O51/$R51*100*($E51/365))+(O52/$R52*100*($E52/365))</f>
        <v>100</v>
      </c>
      <c r="I163" s="409"/>
      <c r="J163" s="409">
        <f>(P51/$R51*100*($E51/365))+(P52/$R52*100*($E52/365))</f>
        <v>0</v>
      </c>
      <c r="K163" s="409"/>
      <c r="L163" s="409">
        <f>(Q51/$R51*100*($E51/365))+(Q52/$R52*100*($E52/365))</f>
        <v>0</v>
      </c>
      <c r="M163" s="409"/>
      <c r="N163" s="379">
        <f t="shared" si="32"/>
        <v>100</v>
      </c>
      <c r="O163" s="379"/>
      <c r="R163" s="1">
        <v>1981</v>
      </c>
      <c r="S163" s="5">
        <f>(O51*($E51/365))+(O52*($E52/365))</f>
        <v>53.4</v>
      </c>
      <c r="T163" s="5">
        <f>(P51*($E51/365))+(P52*($E52/365))</f>
        <v>0</v>
      </c>
      <c r="U163" s="5">
        <f>(Q51*($E51/365))+(Q52*($E52/365))</f>
        <v>0</v>
      </c>
      <c r="V163" s="5"/>
      <c r="W163" s="5">
        <f t="shared" si="34"/>
        <v>53.4</v>
      </c>
    </row>
    <row r="164" spans="1:23" x14ac:dyDescent="0.15">
      <c r="A164" s="1">
        <v>1982</v>
      </c>
      <c r="B164" s="5">
        <f>(K53*($E53/365))+(K54*($E54/365))</f>
        <v>100</v>
      </c>
      <c r="C164" s="5">
        <f>(L53*($E53/365))+(L54*($E54/365))</f>
        <v>0</v>
      </c>
      <c r="D164" s="5">
        <f>(M53*($E53/365))+(M54*($E54/365))</f>
        <v>0</v>
      </c>
      <c r="E164" s="18">
        <f t="shared" si="33"/>
        <v>100</v>
      </c>
      <c r="G164" s="1">
        <v>1982</v>
      </c>
      <c r="H164" s="409">
        <f>(O53/$R53*100*($E53/365))+(O54/$R54*100*($E54/365))</f>
        <v>100</v>
      </c>
      <c r="I164" s="409"/>
      <c r="J164" s="409">
        <f>(P53/$R53*100*($E53/365))+(P54/$R54*100*($E54/365))</f>
        <v>0</v>
      </c>
      <c r="K164" s="409"/>
      <c r="L164" s="409">
        <f>(Q53/$R53*100*($E53/365))+(Q54/$R54*100*($E54/365))</f>
        <v>0</v>
      </c>
      <c r="M164" s="409"/>
      <c r="N164" s="379">
        <f t="shared" si="32"/>
        <v>100</v>
      </c>
      <c r="O164" s="379"/>
      <c r="R164" s="1">
        <v>1982</v>
      </c>
      <c r="S164" s="5">
        <f>(O53*($E53/365))+(O54*($E54/365))</f>
        <v>53.4</v>
      </c>
      <c r="T164" s="5">
        <f>(P53*($E53/365))+(P54*($E54/365))</f>
        <v>0</v>
      </c>
      <c r="U164" s="5">
        <f>(Q53*($E53/365))+(Q54*($E54/365))</f>
        <v>0</v>
      </c>
      <c r="V164" s="5"/>
      <c r="W164" s="5">
        <f t="shared" si="34"/>
        <v>53.4</v>
      </c>
    </row>
    <row r="165" spans="1:23" x14ac:dyDescent="0.15">
      <c r="A165" s="1">
        <v>1983</v>
      </c>
      <c r="B165" s="5">
        <f>(K55*($E55/365))+(K56*($E56/365))</f>
        <v>100</v>
      </c>
      <c r="C165" s="5">
        <f>(L55*($E55/365))+(L56*($E56/365))</f>
        <v>0</v>
      </c>
      <c r="D165" s="5">
        <f>(M55*($E55/365))+(M56*($E56/365))</f>
        <v>0</v>
      </c>
      <c r="E165" s="18">
        <f t="shared" si="33"/>
        <v>100</v>
      </c>
      <c r="G165" s="1">
        <v>1983</v>
      </c>
      <c r="H165" s="409">
        <f>(O55/$R55*100*($E55/365))+(O56/$R56*100*($E56/365))</f>
        <v>100</v>
      </c>
      <c r="I165" s="409"/>
      <c r="J165" s="409">
        <f>(P55/$R55*100*($E55/365))+(P56/$R56*100*($E56/365))</f>
        <v>0</v>
      </c>
      <c r="K165" s="409"/>
      <c r="L165" s="409">
        <f>(Q55/$R55*100*($E55/365))+(Q56/$R56*100*($E56/365))</f>
        <v>0</v>
      </c>
      <c r="M165" s="409"/>
      <c r="N165" s="379">
        <f t="shared" si="32"/>
        <v>100</v>
      </c>
      <c r="O165" s="379"/>
      <c r="R165" s="1">
        <v>1983</v>
      </c>
      <c r="S165" s="5">
        <f>(O55*($E55/365))+(O56*($E56/365))</f>
        <v>57.682465753424665</v>
      </c>
      <c r="T165" s="5">
        <f>(P55*($E55/365))+(P56*($E56/365))</f>
        <v>0</v>
      </c>
      <c r="U165" s="5">
        <f>(Q55*($E55/365))+(Q56*($E56/365))</f>
        <v>0</v>
      </c>
      <c r="V165" s="5"/>
      <c r="W165" s="5">
        <f t="shared" si="34"/>
        <v>57.682465753424665</v>
      </c>
    </row>
    <row r="166" spans="1:23" x14ac:dyDescent="0.15">
      <c r="A166" s="1">
        <v>1984</v>
      </c>
      <c r="B166" s="5">
        <f>(K57*($E57/366))+(K58*($E58/366))</f>
        <v>100</v>
      </c>
      <c r="C166" s="5">
        <f>(L57*($E57/366))+(L58*($E58/366))</f>
        <v>0</v>
      </c>
      <c r="D166" s="5">
        <f>(M57*($E57/366))+(M58*($E58/366))</f>
        <v>0</v>
      </c>
      <c r="E166" s="18">
        <f t="shared" si="33"/>
        <v>100</v>
      </c>
      <c r="G166" s="1">
        <v>1984</v>
      </c>
      <c r="H166" s="409">
        <f>(O57/$R57*100*($E57/366))+(O58/$R58*100*($E58/366))</f>
        <v>100</v>
      </c>
      <c r="I166" s="409"/>
      <c r="J166" s="409">
        <f>(P57/$R57*100*($E57/366))+(P58/$R58*100*($E58/366))</f>
        <v>0</v>
      </c>
      <c r="K166" s="409"/>
      <c r="L166" s="409">
        <f>(Q57/$R57*100*($E57/366))+(Q58/$R58*100*($E58/366))</f>
        <v>0</v>
      </c>
      <c r="M166" s="409"/>
      <c r="N166" s="379">
        <f t="shared" si="32"/>
        <v>100</v>
      </c>
      <c r="O166" s="379"/>
      <c r="R166" s="1">
        <v>1984</v>
      </c>
      <c r="S166" s="5">
        <f>(O57*($E57/366))+(O58*($E58/366))</f>
        <v>61.1</v>
      </c>
      <c r="T166" s="5">
        <f>(P57*($E57/366))+(P58*($E58/366))</f>
        <v>0</v>
      </c>
      <c r="U166" s="5">
        <f>(Q57*($E57/366))+(Q58*($E58/366))</f>
        <v>0</v>
      </c>
      <c r="V166" s="5"/>
      <c r="W166" s="5">
        <f t="shared" si="34"/>
        <v>61.1</v>
      </c>
    </row>
    <row r="167" spans="1:23" x14ac:dyDescent="0.15">
      <c r="A167" s="1">
        <v>1985</v>
      </c>
      <c r="B167" s="5">
        <f>(K59*($E59/365))+(K60*($E60/365))</f>
        <v>100</v>
      </c>
      <c r="C167" s="5">
        <f>(L59*($E59/365))+(L60*($E60/365))</f>
        <v>0</v>
      </c>
      <c r="D167" s="5">
        <f>(M59*($E59/365))+(M60*($E60/365))</f>
        <v>0</v>
      </c>
      <c r="E167" s="18">
        <f t="shared" si="33"/>
        <v>100</v>
      </c>
      <c r="G167" s="1">
        <v>1985</v>
      </c>
      <c r="H167" s="409">
        <f>(O59/$R59*100*($E59/365))+(O60/$R60*100*($E60/365))</f>
        <v>100</v>
      </c>
      <c r="I167" s="409"/>
      <c r="J167" s="409">
        <f>(P59/$R59*100*($E59/365))+(P60/$R60*100*($E60/365))</f>
        <v>0</v>
      </c>
      <c r="K167" s="409"/>
      <c r="L167" s="409">
        <f>(Q59/$R59*100*($E59/365))+(Q60/$R60*100*($E60/365))</f>
        <v>0</v>
      </c>
      <c r="M167" s="409"/>
      <c r="N167" s="379">
        <f t="shared" si="32"/>
        <v>100</v>
      </c>
      <c r="O167" s="379"/>
      <c r="R167" s="1">
        <v>1985</v>
      </c>
      <c r="S167" s="5">
        <f>(O59*($E59/365))+(O60*($E60/365))</f>
        <v>61.1</v>
      </c>
      <c r="T167" s="5">
        <f>(P59*($E59/365))+(P60*($E60/365))</f>
        <v>0</v>
      </c>
      <c r="U167" s="5">
        <f>(Q59*($E59/365))+(Q60*($E60/365))</f>
        <v>0</v>
      </c>
      <c r="V167" s="5"/>
      <c r="W167" s="5">
        <f t="shared" si="34"/>
        <v>61.1</v>
      </c>
    </row>
    <row r="168" spans="1:23" x14ac:dyDescent="0.15">
      <c r="A168" s="1">
        <v>1986</v>
      </c>
      <c r="B168" s="5">
        <f>(K61*($E61/365))+(K62*($E62/365))</f>
        <v>100</v>
      </c>
      <c r="C168" s="5">
        <f>(L61*($E61/365))+(L62*($E62/365))</f>
        <v>0</v>
      </c>
      <c r="D168" s="5">
        <f>(M61*($E61/365))+(M62*($E62/365))</f>
        <v>0</v>
      </c>
      <c r="E168" s="18">
        <f t="shared" si="33"/>
        <v>100</v>
      </c>
      <c r="G168" s="1">
        <v>1986</v>
      </c>
      <c r="H168" s="409">
        <f>(O61/$R61*100*($E61/365))+(O62/$R62*100*($E62/365))</f>
        <v>100</v>
      </c>
      <c r="I168" s="409"/>
      <c r="J168" s="409">
        <f>(P61/$R61*100*($E61/365))+(P62/$R62*100*($E62/365))</f>
        <v>0</v>
      </c>
      <c r="K168" s="409"/>
      <c r="L168" s="409">
        <f>(Q61/$R61*100*($E61/365))+(Q62/$R62*100*($E62/365))</f>
        <v>0</v>
      </c>
      <c r="M168" s="409"/>
      <c r="N168" s="379">
        <f t="shared" si="32"/>
        <v>100</v>
      </c>
      <c r="O168" s="379"/>
      <c r="R168" s="1">
        <v>1986</v>
      </c>
      <c r="S168" s="5">
        <f>(O61*($E61/365))+(O62*($E62/365))</f>
        <v>61.1</v>
      </c>
      <c r="T168" s="5">
        <f>(P61*($E61/365))+(P62*($E62/365))</f>
        <v>0</v>
      </c>
      <c r="U168" s="5">
        <f>(Q61*($E61/365))+(Q62*($E62/365))</f>
        <v>0</v>
      </c>
      <c r="V168" s="5"/>
      <c r="W168" s="5">
        <f t="shared" si="34"/>
        <v>61.1</v>
      </c>
    </row>
    <row r="169" spans="1:23" x14ac:dyDescent="0.15">
      <c r="A169" s="1">
        <v>1987</v>
      </c>
      <c r="B169" s="5">
        <f>(K63*($E63/365))+(K64*($E64/365))</f>
        <v>100</v>
      </c>
      <c r="C169" s="5">
        <f>(L63*($E63/365))+(L64*($E64/365))</f>
        <v>0</v>
      </c>
      <c r="D169" s="5">
        <f>(M63*($E63/365))+(M64*($E64/365))</f>
        <v>0</v>
      </c>
      <c r="E169" s="18">
        <f t="shared" si="33"/>
        <v>100</v>
      </c>
      <c r="G169" s="1">
        <v>1987</v>
      </c>
      <c r="H169" s="409">
        <f>(O63/$R63*100*($E63/365))+(O64/$R64*100*($E64/365))</f>
        <v>100</v>
      </c>
      <c r="I169" s="409"/>
      <c r="J169" s="409">
        <f>(P63/$R63*100*($E63/365))+(P64/$R64*100*($E64/365))</f>
        <v>0</v>
      </c>
      <c r="K169" s="409"/>
      <c r="L169" s="409">
        <f>(Q63/$R63*100*($E63/365))+(Q64/$R64*100*($E64/365))</f>
        <v>0</v>
      </c>
      <c r="M169" s="409"/>
      <c r="N169" s="379">
        <f t="shared" si="32"/>
        <v>100</v>
      </c>
      <c r="O169" s="379"/>
      <c r="R169" s="1">
        <v>1987</v>
      </c>
      <c r="S169" s="5">
        <f>(O63*($E63/365))+(O64*($E64/365))</f>
        <v>59.273698630136984</v>
      </c>
      <c r="T169" s="5">
        <f>(P63*($E63/365))+(P64*($E64/365))</f>
        <v>0</v>
      </c>
      <c r="U169" s="5">
        <f>(Q63*($E63/365))+(Q64*($E64/365))</f>
        <v>0</v>
      </c>
      <c r="V169" s="5"/>
      <c r="W169" s="5">
        <f t="shared" si="34"/>
        <v>59.273698630136984</v>
      </c>
    </row>
    <row r="170" spans="1:23" x14ac:dyDescent="0.15">
      <c r="A170" s="1">
        <v>1988</v>
      </c>
      <c r="B170" s="5">
        <f>(K65*($E65/366))+(K66*($E66/366))</f>
        <v>100</v>
      </c>
      <c r="C170" s="5">
        <f>(L65*($E65/366))+(L66*($E66/366))</f>
        <v>0</v>
      </c>
      <c r="D170" s="5">
        <f>(M65*($E65/366))+(M66*($E66/366))</f>
        <v>0</v>
      </c>
      <c r="E170" s="18">
        <f t="shared" si="33"/>
        <v>100</v>
      </c>
      <c r="G170" s="1">
        <v>1988</v>
      </c>
      <c r="H170" s="409">
        <f>(O65/$R65*100*($E65/366))+(O66/$R66*100*($E66/366))</f>
        <v>100</v>
      </c>
      <c r="I170" s="409"/>
      <c r="J170" s="409">
        <f>(P65/$R65*100*($E65/366))+(P66/$R66*100*($E66/366))</f>
        <v>0</v>
      </c>
      <c r="K170" s="409"/>
      <c r="L170" s="409">
        <f>(Q65/$R65*100*($E65/366))+(Q66/$R66*100*($E66/366))</f>
        <v>0</v>
      </c>
      <c r="M170" s="409"/>
      <c r="N170" s="379">
        <f t="shared" si="32"/>
        <v>100</v>
      </c>
      <c r="O170" s="379"/>
      <c r="R170" s="1">
        <v>1988</v>
      </c>
      <c r="S170" s="5">
        <f>(O65*($E65/366))+(O66*($E66/366))</f>
        <v>57.8</v>
      </c>
      <c r="T170" s="5">
        <f>(P65*($E65/366))+(P66*($E66/366))</f>
        <v>0</v>
      </c>
      <c r="U170" s="5">
        <f>(Q65*($E65/366))+(Q66*($E66/366))</f>
        <v>0</v>
      </c>
      <c r="V170" s="5"/>
      <c r="W170" s="5">
        <f t="shared" si="34"/>
        <v>57.8</v>
      </c>
    </row>
    <row r="171" spans="1:23" x14ac:dyDescent="0.15">
      <c r="A171" s="1">
        <v>1989</v>
      </c>
      <c r="B171" s="5">
        <f>(K67*($E67/365))+(K68*($E68/365))</f>
        <v>100</v>
      </c>
      <c r="C171" s="5">
        <f>(L67*($E67/365))+(L68*($E68/365))</f>
        <v>0</v>
      </c>
      <c r="D171" s="5">
        <f>(M67*($E67/365))+(M68*($E68/365))</f>
        <v>0</v>
      </c>
      <c r="E171" s="18">
        <f t="shared" si="33"/>
        <v>100</v>
      </c>
      <c r="G171" s="1">
        <v>1989</v>
      </c>
      <c r="H171" s="409">
        <f>(O67/$R67*100*($E67/365))+(O68/$R68*100*($E68/365))</f>
        <v>100</v>
      </c>
      <c r="I171" s="409"/>
      <c r="J171" s="409">
        <f>(P67/$R67*100*($E67/365))+(P68/$R68*100*($E68/365))</f>
        <v>0</v>
      </c>
      <c r="K171" s="409"/>
      <c r="L171" s="409">
        <f>(Q67/$R67*100*($E67/365))+(Q68/$R68*100*($E68/365))</f>
        <v>0</v>
      </c>
      <c r="M171" s="409"/>
      <c r="N171" s="379">
        <f t="shared" si="32"/>
        <v>100</v>
      </c>
      <c r="O171" s="379"/>
      <c r="R171" s="1">
        <v>1989</v>
      </c>
      <c r="S171" s="5">
        <f>(O67*($E67/365))+(O68*($E68/365))</f>
        <v>57.8</v>
      </c>
      <c r="T171" s="5">
        <f>(P67*($E67/365))+(P68*($E68/365))</f>
        <v>0</v>
      </c>
      <c r="U171" s="5">
        <f>(Q67*($E67/365))+(Q68*($E68/365))</f>
        <v>0</v>
      </c>
      <c r="V171" s="5"/>
      <c r="W171" s="5">
        <f t="shared" si="34"/>
        <v>57.8</v>
      </c>
    </row>
    <row r="172" spans="1:23" x14ac:dyDescent="0.15">
      <c r="A172" s="1">
        <v>1990</v>
      </c>
      <c r="B172" s="5">
        <f>(K69*($E69/365))+(K70*($E70/365))</f>
        <v>100</v>
      </c>
      <c r="C172" s="5">
        <f>(L69*($E69/365))+(L70*($E70/365))</f>
        <v>0</v>
      </c>
      <c r="D172" s="5">
        <f>(M69*($E69/365))+(M70*($E70/365))</f>
        <v>0</v>
      </c>
      <c r="E172" s="18">
        <f t="shared" si="33"/>
        <v>100</v>
      </c>
      <c r="G172" s="1">
        <v>1990</v>
      </c>
      <c r="H172" s="409">
        <f>(O69/$R69*100*($E69/365))+(O70/$R70*100*($E70/365))</f>
        <v>100</v>
      </c>
      <c r="I172" s="409"/>
      <c r="J172" s="409">
        <f>(P69/$R69*100*($E69/365))+(P70/$R70*100*($E70/365))</f>
        <v>0</v>
      </c>
      <c r="K172" s="409"/>
      <c r="L172" s="409">
        <f>(Q69/$R69*100*($E69/365))+(Q70/$R70*100*($E70/365))</f>
        <v>0</v>
      </c>
      <c r="M172" s="409"/>
      <c r="N172" s="379">
        <f t="shared" si="32"/>
        <v>100</v>
      </c>
      <c r="O172" s="379"/>
      <c r="R172" s="1">
        <v>1990</v>
      </c>
      <c r="S172" s="5">
        <f>(O69*($E69/365))+(O70*($E70/365))</f>
        <v>57.8</v>
      </c>
      <c r="T172" s="5">
        <f>(P69*($E69/365))+(P70*($E70/365))</f>
        <v>0</v>
      </c>
      <c r="U172" s="5">
        <f>(Q69*($E69/365))+(Q70*($E70/365))</f>
        <v>0</v>
      </c>
      <c r="V172" s="5"/>
      <c r="W172" s="5">
        <f t="shared" si="34"/>
        <v>57.8</v>
      </c>
    </row>
    <row r="173" spans="1:23" x14ac:dyDescent="0.15">
      <c r="A173" s="1">
        <v>1991</v>
      </c>
      <c r="B173" s="5">
        <f>(K71*($E71/365))+(K72*($E72/365))</f>
        <v>100</v>
      </c>
      <c r="C173" s="5">
        <f>(L71*($E71/365))+(L72*($E72/365))</f>
        <v>0</v>
      </c>
      <c r="D173" s="5">
        <f>(M71*($E71/365))+(M72*($E72/365))</f>
        <v>0</v>
      </c>
      <c r="E173" s="18">
        <f t="shared" si="33"/>
        <v>100</v>
      </c>
      <c r="G173" s="1">
        <v>1991</v>
      </c>
      <c r="H173" s="409">
        <f>(O71/$R71*100*($E71/365))+(O72/$R72*100*($E72/365))</f>
        <v>100</v>
      </c>
      <c r="I173" s="409"/>
      <c r="J173" s="409">
        <f>(P71/$R71*100*($E71/365))+(P72/$R72*100*($E72/365))</f>
        <v>0</v>
      </c>
      <c r="K173" s="409"/>
      <c r="L173" s="409">
        <f>(Q71/$R71*100*($E71/365))+(Q72/$R72*100*($E72/365))</f>
        <v>0</v>
      </c>
      <c r="M173" s="409"/>
      <c r="N173" s="379">
        <f t="shared" si="32"/>
        <v>100</v>
      </c>
      <c r="O173" s="379"/>
      <c r="R173" s="1">
        <v>1991</v>
      </c>
      <c r="S173" s="5">
        <f>(O71*($E71/365))+(O72*($E72/365))</f>
        <v>57.8</v>
      </c>
      <c r="T173" s="5">
        <f>(P71*($E71/365))+(P72*($E72/365))</f>
        <v>0</v>
      </c>
      <c r="U173" s="5">
        <f>(Q71*($E71/365))+(Q72*($E72/365))</f>
        <v>0</v>
      </c>
      <c r="V173" s="5"/>
      <c r="W173" s="5">
        <f t="shared" si="34"/>
        <v>57.8</v>
      </c>
    </row>
    <row r="174" spans="1:23" x14ac:dyDescent="0.15">
      <c r="A174" s="1">
        <v>1992</v>
      </c>
      <c r="B174" s="5">
        <f>(K73*($E73/366))+(K74*($E74/366))</f>
        <v>100</v>
      </c>
      <c r="C174" s="5">
        <f>(L73*($E73/366))+(L74*($E74/366))</f>
        <v>0</v>
      </c>
      <c r="D174" s="5">
        <f>(M73*($E73/366))+(M74*($E74/366))</f>
        <v>0</v>
      </c>
      <c r="E174" s="18">
        <f t="shared" si="33"/>
        <v>100</v>
      </c>
      <c r="G174" s="1">
        <v>1992</v>
      </c>
      <c r="H174" s="409">
        <f>(O73/$R73*100*($E73/366))+(O74/$R74*100*($E74/366))</f>
        <v>100</v>
      </c>
      <c r="I174" s="409"/>
      <c r="J174" s="409">
        <f>(P73/$R73*100*($E73/366))+(P74/$R74*100*($E74/366))</f>
        <v>0</v>
      </c>
      <c r="K174" s="409"/>
      <c r="L174" s="409">
        <f>(Q73/$R73*100*($E73/366))+(Q74/$R74*100*($E74/366))</f>
        <v>0</v>
      </c>
      <c r="M174" s="409"/>
      <c r="N174" s="379">
        <f t="shared" ref="N174:N194" si="35">H174+J174+L174</f>
        <v>100</v>
      </c>
      <c r="O174" s="379"/>
      <c r="R174" s="1">
        <v>1992</v>
      </c>
      <c r="S174" s="5">
        <f>(O73*($E73/366))+(O74*($E74/366))</f>
        <v>53.31092896174863</v>
      </c>
      <c r="T174" s="5">
        <f>(P73*($E73/366))+(P74*($E74/366))</f>
        <v>0</v>
      </c>
      <c r="U174" s="5">
        <f>(Q73*($E73/366))+(Q74*($E74/366))</f>
        <v>0</v>
      </c>
      <c r="V174" s="5"/>
      <c r="W174" s="5">
        <f t="shared" si="34"/>
        <v>53.31092896174863</v>
      </c>
    </row>
    <row r="175" spans="1:23" x14ac:dyDescent="0.15">
      <c r="A175" s="1">
        <v>1993</v>
      </c>
      <c r="B175" s="5">
        <f>(K75*($E75/365))+(K76*($E76/365))</f>
        <v>100</v>
      </c>
      <c r="C175" s="5">
        <f>(L75*($E75/365))+(L76*($E76/365))</f>
        <v>0</v>
      </c>
      <c r="D175" s="5">
        <f>(M75*($E75/365))+(M76*($E76/365))</f>
        <v>0</v>
      </c>
      <c r="E175" s="18">
        <f t="shared" si="33"/>
        <v>100</v>
      </c>
      <c r="G175" s="1">
        <v>1993</v>
      </c>
      <c r="H175" s="409">
        <f>(O75/$R75*100*($E75/365))+(O76/$R76*100*($E76/365))</f>
        <v>100</v>
      </c>
      <c r="I175" s="409"/>
      <c r="J175" s="409">
        <f>(P75/$R75*100*($E75/365))+(P76/$R76*100*($E76/365))</f>
        <v>0</v>
      </c>
      <c r="K175" s="409"/>
      <c r="L175" s="409">
        <f>(Q75/$R75*100*($E75/365))+(Q76/$R76*100*($E76/365))</f>
        <v>0</v>
      </c>
      <c r="M175" s="409"/>
      <c r="N175" s="379">
        <f t="shared" si="35"/>
        <v>100</v>
      </c>
      <c r="O175" s="379"/>
      <c r="R175" s="1">
        <v>1993</v>
      </c>
      <c r="S175" s="5">
        <f>(O75*($E75/365))+(O76*($E76/365))</f>
        <v>51.6</v>
      </c>
      <c r="T175" s="5">
        <f>(P75*($E75/365))+(P76*($E76/365))</f>
        <v>0</v>
      </c>
      <c r="U175" s="5">
        <f>(Q75*($E75/365))+(Q76*($E76/365))</f>
        <v>0</v>
      </c>
      <c r="V175" s="5"/>
      <c r="W175" s="5">
        <f t="shared" si="34"/>
        <v>51.6</v>
      </c>
    </row>
    <row r="176" spans="1:23" x14ac:dyDescent="0.15">
      <c r="A176" s="1">
        <v>1994</v>
      </c>
      <c r="B176" s="5">
        <f>(K77*($E77/365))+(K78*($E78/365))</f>
        <v>100</v>
      </c>
      <c r="C176" s="5">
        <f>(L77*($E77/365))+(L78*($E78/365))</f>
        <v>0</v>
      </c>
      <c r="D176" s="5">
        <f>(M77*($E77/365))+(M78*($E78/365))</f>
        <v>0</v>
      </c>
      <c r="E176" s="18">
        <f t="shared" si="33"/>
        <v>100</v>
      </c>
      <c r="G176" s="1">
        <v>1994</v>
      </c>
      <c r="H176" s="409">
        <f>(O77/$R77*100*($E77/365))+(O78/$R78*100*($E78/365))</f>
        <v>100</v>
      </c>
      <c r="I176" s="409"/>
      <c r="J176" s="409">
        <f>(P77/$R77*100*($E77/365))+(P78/$R78*100*($E78/365))</f>
        <v>0</v>
      </c>
      <c r="K176" s="409"/>
      <c r="L176" s="409">
        <f>(Q77/$R77*100*($E77/365))+(Q78/$R78*100*($E78/365))</f>
        <v>0</v>
      </c>
      <c r="M176" s="409"/>
      <c r="N176" s="379">
        <f t="shared" si="35"/>
        <v>100</v>
      </c>
      <c r="O176" s="379"/>
      <c r="R176" s="1">
        <v>1994</v>
      </c>
      <c r="S176" s="5">
        <f>(O77*($E77/365))+(O78*($E78/365))</f>
        <v>51.6</v>
      </c>
      <c r="T176" s="5">
        <f>(P77*($E77/365))+(P78*($E78/365))</f>
        <v>0</v>
      </c>
      <c r="U176" s="5">
        <f>(Q77*($E77/365))+(Q78*($E78/365))</f>
        <v>0</v>
      </c>
      <c r="V176" s="5"/>
      <c r="W176" s="5">
        <f t="shared" si="34"/>
        <v>51.6</v>
      </c>
    </row>
    <row r="177" spans="1:23" x14ac:dyDescent="0.15">
      <c r="A177" s="1">
        <v>1995</v>
      </c>
      <c r="B177" s="5">
        <f>(K79*($E79/365))+(K80*($E80/365))</f>
        <v>100</v>
      </c>
      <c r="C177" s="5">
        <f>(L79*($E79/365))+(L80*($E80/365))</f>
        <v>0</v>
      </c>
      <c r="D177" s="5">
        <f>(M79*($E79/365))+(M80*($E80/365))</f>
        <v>0</v>
      </c>
      <c r="E177" s="18">
        <f t="shared" si="33"/>
        <v>100</v>
      </c>
      <c r="G177" s="1">
        <v>1995</v>
      </c>
      <c r="H177" s="409">
        <f>(O79/$R79*100*($E79/365))+(O80/$R80*100*($E80/365))</f>
        <v>100</v>
      </c>
      <c r="I177" s="409"/>
      <c r="J177" s="409">
        <f>(P79/$R79*100*($E79/365))+(P80/$R80*100*($E80/365))</f>
        <v>0</v>
      </c>
      <c r="K177" s="409"/>
      <c r="L177" s="409">
        <f>(Q79/$R79*100*($E79/365))+(Q80/$R80*100*($E80/365))</f>
        <v>0</v>
      </c>
      <c r="M177" s="409"/>
      <c r="N177" s="379">
        <f t="shared" si="35"/>
        <v>100</v>
      </c>
      <c r="O177" s="379"/>
      <c r="R177" s="1">
        <v>1995</v>
      </c>
      <c r="S177" s="5">
        <f>(O79*($E79/365))+(O80*($E80/365))</f>
        <v>51.6</v>
      </c>
      <c r="T177" s="5">
        <f>(P79*($E79/365))+(P80*($E80/365))</f>
        <v>0</v>
      </c>
      <c r="U177" s="5">
        <f>(Q79*($E79/365))+(Q80*($E80/365))</f>
        <v>0</v>
      </c>
      <c r="V177" s="5"/>
      <c r="W177" s="5">
        <f t="shared" si="34"/>
        <v>51.6</v>
      </c>
    </row>
    <row r="178" spans="1:23" x14ac:dyDescent="0.15">
      <c r="A178" s="1">
        <v>1996</v>
      </c>
      <c r="B178" s="5">
        <f>(K81*($E81/366))+(K82*($E82/366))</f>
        <v>100</v>
      </c>
      <c r="C178" s="5">
        <f>(L81*($E81/366))+(L82*($E82/366))</f>
        <v>0</v>
      </c>
      <c r="D178" s="5">
        <f>(M81*($E81/366))+(M82*($E82/366))</f>
        <v>0</v>
      </c>
      <c r="E178" s="18">
        <f t="shared" si="33"/>
        <v>100</v>
      </c>
      <c r="G178" s="1">
        <v>1996</v>
      </c>
      <c r="H178" s="409">
        <f>(O81/$R81*100*($E81/366))+(O82/$R82*100*($E82/366))</f>
        <v>100</v>
      </c>
      <c r="I178" s="409"/>
      <c r="J178" s="409">
        <f>(P81/$R81*100*($E81/366))+(P82/$R82*100*($E82/366))</f>
        <v>0</v>
      </c>
      <c r="K178" s="409"/>
      <c r="L178" s="409">
        <f>(Q81/$R81*100*($E81/366))+(Q82/$R82*100*($E82/366))</f>
        <v>0</v>
      </c>
      <c r="M178" s="409"/>
      <c r="N178" s="379">
        <f t="shared" si="35"/>
        <v>100</v>
      </c>
      <c r="O178" s="379"/>
      <c r="R178" s="1">
        <v>1996</v>
      </c>
      <c r="S178" s="5">
        <f>(O81*($E81/366))+(O82*($E82/366))</f>
        <v>51.6</v>
      </c>
      <c r="T178" s="5">
        <f>(P81*($E81/366))+(P82*($E82/366))</f>
        <v>0</v>
      </c>
      <c r="U178" s="5">
        <f>(Q81*($E81/366))+(Q82*($E82/366))</f>
        <v>0</v>
      </c>
      <c r="V178" s="5"/>
      <c r="W178" s="5">
        <f t="shared" si="34"/>
        <v>51.6</v>
      </c>
    </row>
    <row r="179" spans="1:23" x14ac:dyDescent="0.15">
      <c r="A179" s="1">
        <v>1997</v>
      </c>
      <c r="B179" s="5">
        <f>(K83*($E83/365))+(K84*($E84/365))</f>
        <v>33.150684931506852</v>
      </c>
      <c r="C179" s="5">
        <f>(L83*($E83/365))+(L84*($E84/365))</f>
        <v>0</v>
      </c>
      <c r="D179" s="5">
        <f>(M83*($E83/365))+(M84*($E84/365))</f>
        <v>66.849315068493155</v>
      </c>
      <c r="E179" s="18">
        <f t="shared" si="33"/>
        <v>100</v>
      </c>
      <c r="G179" s="1">
        <v>1997</v>
      </c>
      <c r="H179" s="409">
        <f>(O83/$R83*100*($E83/365))+(O84/$R84*100*($E84/365))</f>
        <v>33.150684931506852</v>
      </c>
      <c r="I179" s="409"/>
      <c r="J179" s="409">
        <f>(P83/$R83*100*($E83/365))+(P84/$R84*100*($E84/365))</f>
        <v>0</v>
      </c>
      <c r="K179" s="409"/>
      <c r="L179" s="409">
        <f>(Q83/$R83*100*($E83/365))+(Q84/$R84*100*($E84/365))</f>
        <v>66.849315068493155</v>
      </c>
      <c r="M179" s="409"/>
      <c r="N179" s="379">
        <f t="shared" si="35"/>
        <v>100</v>
      </c>
      <c r="O179" s="379"/>
      <c r="R179" s="1">
        <v>1997</v>
      </c>
      <c r="S179" s="5">
        <f>(O83*($E83/365))+(O84*($E84/365))</f>
        <v>17.105753424657536</v>
      </c>
      <c r="T179" s="5">
        <f>(P83*($E83/365))+(P84*($E84/365))</f>
        <v>0</v>
      </c>
      <c r="U179" s="5">
        <f>(Q83*($E83/365))+(Q84*($E84/365))</f>
        <v>42.516164383561645</v>
      </c>
      <c r="V179" s="5"/>
      <c r="W179" s="5">
        <f t="shared" si="34"/>
        <v>59.62191780821918</v>
      </c>
    </row>
    <row r="180" spans="1:23" x14ac:dyDescent="0.15">
      <c r="A180" s="1">
        <v>1998</v>
      </c>
      <c r="B180" s="5">
        <f>(K85*($E85/365))+(K86*($E86/365))</f>
        <v>0</v>
      </c>
      <c r="C180" s="5">
        <f>(L85*($E85/365))+(L86*($E86/365))</f>
        <v>0</v>
      </c>
      <c r="D180" s="5">
        <f>(M85*($E85/365))+(M86*($E86/365))</f>
        <v>100</v>
      </c>
      <c r="E180" s="18">
        <f t="shared" si="33"/>
        <v>100</v>
      </c>
      <c r="G180" s="1">
        <v>1998</v>
      </c>
      <c r="H180" s="409">
        <f>(O85/$R85*100*($E85/365))+(O86/$R86*100*($E86/365))</f>
        <v>0</v>
      </c>
      <c r="I180" s="409"/>
      <c r="J180" s="409">
        <f>(P85/$R85*100*($E85/365))+(P86/$R86*100*($E86/365))</f>
        <v>0</v>
      </c>
      <c r="K180" s="409"/>
      <c r="L180" s="409">
        <f>(Q85/$R85*100*($E85/365))+(Q86/$R86*100*($E86/365))</f>
        <v>100</v>
      </c>
      <c r="M180" s="409"/>
      <c r="N180" s="379">
        <f t="shared" si="35"/>
        <v>100</v>
      </c>
      <c r="O180" s="379"/>
      <c r="R180" s="1">
        <v>1998</v>
      </c>
      <c r="S180" s="5">
        <f>(O85*($E85/365))+(O86*($E86/365))</f>
        <v>0</v>
      </c>
      <c r="T180" s="5">
        <f>(P85*($E85/365))+(P86*($E86/365))</f>
        <v>0</v>
      </c>
      <c r="U180" s="5">
        <f>(Q85*($E85/365))+(Q86*($E86/365))</f>
        <v>63.6</v>
      </c>
      <c r="V180" s="5"/>
      <c r="W180" s="5">
        <f t="shared" si="34"/>
        <v>63.6</v>
      </c>
    </row>
    <row r="181" spans="1:23" x14ac:dyDescent="0.15">
      <c r="A181" s="1">
        <v>1999</v>
      </c>
      <c r="B181" s="5">
        <f>(K87*($E87/365))+(K88*($E88/365))</f>
        <v>0</v>
      </c>
      <c r="C181" s="5">
        <f>(L87*($E87/365))+(L88*($E88/365))</f>
        <v>0</v>
      </c>
      <c r="D181" s="5">
        <f>(M87*($E87/365))+(M88*($E88/365))</f>
        <v>100</v>
      </c>
      <c r="E181" s="18">
        <f t="shared" si="33"/>
        <v>100</v>
      </c>
      <c r="G181" s="1">
        <v>1999</v>
      </c>
      <c r="H181" s="409">
        <f>(O87/$R87*100*($E87/365))+(O88/$R88*100*($E88/365))</f>
        <v>0</v>
      </c>
      <c r="I181" s="409"/>
      <c r="J181" s="409">
        <f>(P87/$R87*100*($E87/365))+(P88/$R88*100*($E88/365))</f>
        <v>0</v>
      </c>
      <c r="K181" s="409"/>
      <c r="L181" s="409">
        <f>(Q87/$R87*100*($E87/365))+(Q88/$R88*100*($E88/365))</f>
        <v>100</v>
      </c>
      <c r="M181" s="409"/>
      <c r="N181" s="379">
        <f t="shared" si="35"/>
        <v>100</v>
      </c>
      <c r="O181" s="379"/>
      <c r="R181" s="1">
        <v>1999</v>
      </c>
      <c r="S181" s="5">
        <f>(O87*($E87/365))+(O88*($E88/365))</f>
        <v>0</v>
      </c>
      <c r="T181" s="5">
        <f>(P87*($E87/365))+(P88*($E88/365))</f>
        <v>0</v>
      </c>
      <c r="U181" s="5">
        <f>(Q87*($E87/365))+(Q88*($E88/365))</f>
        <v>63.6</v>
      </c>
      <c r="V181" s="5"/>
      <c r="W181" s="5">
        <f t="shared" si="34"/>
        <v>63.6</v>
      </c>
    </row>
    <row r="182" spans="1:23" x14ac:dyDescent="0.15">
      <c r="A182" s="1">
        <v>2000</v>
      </c>
      <c r="B182" s="5">
        <f>(K89*($E89/366))+(K90*($E90/366))</f>
        <v>0</v>
      </c>
      <c r="C182" s="5">
        <f>(L89*($E89/366))+(L90*($E90/366))</f>
        <v>0</v>
      </c>
      <c r="D182" s="5">
        <f>(M89*($E89/366))+(M90*($E90/366))</f>
        <v>100</v>
      </c>
      <c r="E182" s="18">
        <f t="shared" si="33"/>
        <v>100</v>
      </c>
      <c r="G182" s="1">
        <v>2000</v>
      </c>
      <c r="H182" s="409">
        <f>(O89/$R89*100*($E89/366))+(O90/$R90*100*($E90/366))</f>
        <v>0</v>
      </c>
      <c r="I182" s="409"/>
      <c r="J182" s="409">
        <f>(P89/$R89*100*($E89/366))+(P90/$R90*100*($E90/366))</f>
        <v>0</v>
      </c>
      <c r="K182" s="409"/>
      <c r="L182" s="409">
        <f>(Q89/$R89*100*($E89/366))+(Q90/$R90*100*($E90/366))</f>
        <v>100</v>
      </c>
      <c r="M182" s="409"/>
      <c r="N182" s="379">
        <f t="shared" si="35"/>
        <v>100</v>
      </c>
      <c r="O182" s="379"/>
      <c r="R182" s="1">
        <v>2000</v>
      </c>
      <c r="S182" s="5">
        <f>(O89*($E89/366))+(O90*($E90/366))</f>
        <v>0</v>
      </c>
      <c r="T182" s="5">
        <f>(P89*($E89/366))+(P90*($E90/366))</f>
        <v>0</v>
      </c>
      <c r="U182" s="5">
        <f>(Q89*($E89/366))+(Q90*($E90/366))</f>
        <v>63.6</v>
      </c>
      <c r="V182" s="5"/>
      <c r="W182" s="5">
        <f t="shared" si="34"/>
        <v>63.6</v>
      </c>
    </row>
    <row r="183" spans="1:23" x14ac:dyDescent="0.15">
      <c r="A183" s="1">
        <v>2001</v>
      </c>
      <c r="B183" s="5">
        <f>(K91*($E91/365))+(K92*($E92/365))</f>
        <v>0</v>
      </c>
      <c r="C183" s="5">
        <f>(L91*($E91/365))+(L92*($E92/365))</f>
        <v>0</v>
      </c>
      <c r="D183" s="5">
        <f>(M91*($E91/365))+(M92*($E92/365))</f>
        <v>100</v>
      </c>
      <c r="E183" s="18">
        <f t="shared" si="33"/>
        <v>100</v>
      </c>
      <c r="G183" s="1">
        <v>2001</v>
      </c>
      <c r="H183" s="409">
        <f>(O91/$R91*100*($E91/365))+(O92/$R92*100*($E92/365))</f>
        <v>0</v>
      </c>
      <c r="I183" s="409"/>
      <c r="J183" s="409">
        <f>(P91/$R91*100*($E91/365))+(P92/$R92*100*($E92/365))</f>
        <v>0</v>
      </c>
      <c r="K183" s="409"/>
      <c r="L183" s="409">
        <f>(Q91/$R91*100*($E91/365))+(Q92/$R92*100*($E92/365))</f>
        <v>100</v>
      </c>
      <c r="M183" s="409"/>
      <c r="N183" s="379">
        <f t="shared" si="35"/>
        <v>100</v>
      </c>
      <c r="O183" s="379"/>
      <c r="R183" s="1">
        <v>2001</v>
      </c>
      <c r="S183" s="5">
        <f>(O91*($E91/365))+(O92*($E92/365))</f>
        <v>0</v>
      </c>
      <c r="T183" s="5">
        <f>(P91*($E91/365))+(P92*($E92/365))</f>
        <v>0</v>
      </c>
      <c r="U183" s="5">
        <f>(Q91*($E91/365))+(Q92*($E92/365))</f>
        <v>62.976164383561645</v>
      </c>
      <c r="V183" s="5"/>
      <c r="W183" s="5">
        <f t="shared" si="34"/>
        <v>62.976164383561645</v>
      </c>
    </row>
    <row r="184" spans="1:23" x14ac:dyDescent="0.15">
      <c r="A184" s="1">
        <v>2002</v>
      </c>
      <c r="B184" s="5">
        <f>(K93*($E93/365))+(K94*($E94/365))</f>
        <v>0</v>
      </c>
      <c r="C184" s="5">
        <f>(L93*($E93/365))+(L94*($E94/365))</f>
        <v>0</v>
      </c>
      <c r="D184" s="5">
        <f>(M93*($E93/365))+(M94*($E94/365))</f>
        <v>100</v>
      </c>
      <c r="E184" s="18">
        <f t="shared" si="33"/>
        <v>100</v>
      </c>
      <c r="G184" s="1">
        <v>2002</v>
      </c>
      <c r="H184" s="409">
        <f>(O93/$R93*100*($E93/365))+(O94/$R94*100*($E94/365))</f>
        <v>0</v>
      </c>
      <c r="I184" s="409"/>
      <c r="J184" s="409">
        <f>(P93/$R93*100*($E93/365))+(P94/$R94*100*($E94/365))</f>
        <v>0</v>
      </c>
      <c r="K184" s="409"/>
      <c r="L184" s="409">
        <f>(Q93/$R93*100*($E93/365))+(Q94/$R94*100*($E94/365))</f>
        <v>100</v>
      </c>
      <c r="M184" s="409"/>
      <c r="N184" s="379">
        <f t="shared" si="35"/>
        <v>100</v>
      </c>
      <c r="O184" s="379"/>
      <c r="R184" s="1">
        <v>2002</v>
      </c>
      <c r="S184" s="5">
        <f>(O93*($E93/365))+(O94*($E94/365))</f>
        <v>0</v>
      </c>
      <c r="T184" s="5">
        <f>(P93*($E93/365))+(P94*($E94/365))</f>
        <v>0</v>
      </c>
      <c r="U184" s="5">
        <f>(Q93*($E93/365))+(Q94*($E94/365))</f>
        <v>62.5</v>
      </c>
      <c r="V184" s="5"/>
      <c r="W184" s="5">
        <f t="shared" si="34"/>
        <v>62.5</v>
      </c>
    </row>
    <row r="185" spans="1:23" x14ac:dyDescent="0.15">
      <c r="A185" s="1">
        <v>2003</v>
      </c>
      <c r="B185" s="5">
        <f>(K95*($E95/365))+(K96*($E96/365))</f>
        <v>0</v>
      </c>
      <c r="C185" s="5">
        <f>(L95*($E95/365))+(L96*($E96/365))</f>
        <v>0</v>
      </c>
      <c r="D185" s="5">
        <f>(M95*($E95/365))+(M96*($E96/365))</f>
        <v>100</v>
      </c>
      <c r="E185" s="18">
        <f t="shared" si="33"/>
        <v>100</v>
      </c>
      <c r="G185" s="1">
        <v>2003</v>
      </c>
      <c r="H185" s="409">
        <f>(O95/$R95*100*($E95/365))+(O96/$R96*100*($E96/365))</f>
        <v>0</v>
      </c>
      <c r="I185" s="409"/>
      <c r="J185" s="409">
        <f>(P95/$R95*100*($E95/365))+(P96/$R96*100*($E96/365))</f>
        <v>0</v>
      </c>
      <c r="K185" s="409"/>
      <c r="L185" s="409">
        <f>(Q95/$R95*100*($E95/365))+(Q96/$R96*100*($E96/365))</f>
        <v>100</v>
      </c>
      <c r="M185" s="409"/>
      <c r="N185" s="379">
        <f t="shared" si="35"/>
        <v>100</v>
      </c>
      <c r="O185" s="379"/>
      <c r="R185" s="1">
        <v>2003</v>
      </c>
      <c r="S185" s="5">
        <f>(O95*($E95/365))+(O96*($E96/365))</f>
        <v>0</v>
      </c>
      <c r="T185" s="5">
        <f>(P95*($E95/365))+(P96*($E96/365))</f>
        <v>0</v>
      </c>
      <c r="U185" s="5">
        <f>(Q95*($E95/365))+(Q96*($E96/365))</f>
        <v>62.5</v>
      </c>
      <c r="V185" s="5"/>
      <c r="W185" s="5">
        <f t="shared" si="34"/>
        <v>62.5</v>
      </c>
    </row>
    <row r="186" spans="1:23" x14ac:dyDescent="0.15">
      <c r="A186" s="1">
        <v>2004</v>
      </c>
      <c r="B186" s="5">
        <f>(K97*($E97/366))+(K98*($E98/366))</f>
        <v>0</v>
      </c>
      <c r="C186" s="5">
        <f>(L97*($E97/366))+(L98*($E98/366))</f>
        <v>0</v>
      </c>
      <c r="D186" s="5">
        <f>(M97*($E97/366))+(M98*($E98/366))</f>
        <v>100</v>
      </c>
      <c r="E186" s="18">
        <f t="shared" si="33"/>
        <v>100</v>
      </c>
      <c r="G186" s="1">
        <v>2004</v>
      </c>
      <c r="H186" s="409">
        <f>(O97/$R97*100*($E97/366))+(O98/$R98*100*($E98/366))</f>
        <v>0</v>
      </c>
      <c r="I186" s="409"/>
      <c r="J186" s="409">
        <f>(P97/$R97*100*($E97/366))+(P98/$R98*100*($E98/366))</f>
        <v>0</v>
      </c>
      <c r="K186" s="409"/>
      <c r="L186" s="409">
        <f>(Q97/$R97*100*($E97/366))+(Q98/$R98*100*($E98/366))</f>
        <v>100</v>
      </c>
      <c r="M186" s="409"/>
      <c r="N186" s="379">
        <f t="shared" si="35"/>
        <v>100</v>
      </c>
      <c r="O186" s="379"/>
      <c r="R186" s="1">
        <v>2004</v>
      </c>
      <c r="S186" s="5">
        <f>(O97*($E97/366))+(O98*($E98/366))</f>
        <v>0</v>
      </c>
      <c r="T186" s="5">
        <f>(P97*($E97/366))+(P98*($E98/366))</f>
        <v>0</v>
      </c>
      <c r="U186" s="5">
        <f>(Q97*($E97/366))+(Q98*($E98/366))</f>
        <v>62.5</v>
      </c>
      <c r="V186" s="5"/>
      <c r="W186" s="5">
        <f t="shared" si="34"/>
        <v>62.5</v>
      </c>
    </row>
    <row r="187" spans="1:23" x14ac:dyDescent="0.15">
      <c r="A187" s="1">
        <v>2005</v>
      </c>
      <c r="B187" s="5">
        <f>(K99*($E99/365))+(K100*($E100/365))</f>
        <v>0</v>
      </c>
      <c r="C187" s="5">
        <f>(L99*($E99/365))+(L100*($E100/365))</f>
        <v>0</v>
      </c>
      <c r="D187" s="5">
        <f>(M99*($E99/365))+(M100*($E100/365))</f>
        <v>100</v>
      </c>
      <c r="E187" s="18">
        <f t="shared" si="33"/>
        <v>100</v>
      </c>
      <c r="G187" s="1">
        <v>2005</v>
      </c>
      <c r="H187" s="409">
        <f>(O99/$R99*100*($E99/365))+(O100/$R100*100*($E100/365))</f>
        <v>0</v>
      </c>
      <c r="I187" s="409"/>
      <c r="J187" s="409">
        <f>(P99/$R99*100*($E99/365))+(P100/$R100*100*($E100/365))</f>
        <v>0</v>
      </c>
      <c r="K187" s="409"/>
      <c r="L187" s="409">
        <f>(Q99/$R99*100*($E99/365))+(Q100/$R100*100*($E100/365))</f>
        <v>100</v>
      </c>
      <c r="M187" s="409"/>
      <c r="N187" s="379">
        <f t="shared" si="35"/>
        <v>100</v>
      </c>
      <c r="O187" s="379"/>
      <c r="R187" s="1">
        <v>2005</v>
      </c>
      <c r="S187" s="5">
        <f>(O99*($E99/365))+(O100*($E100/365))</f>
        <v>0</v>
      </c>
      <c r="T187" s="5">
        <f>(P99*($E99/365))+(P100*($E100/365))</f>
        <v>0</v>
      </c>
      <c r="U187" s="5">
        <f>(Q99*($E99/365))+(Q100*($E100/365))</f>
        <v>57.56849315068493</v>
      </c>
      <c r="V187" s="5"/>
      <c r="W187" s="5">
        <f t="shared" si="34"/>
        <v>57.56849315068493</v>
      </c>
    </row>
    <row r="188" spans="1:23" x14ac:dyDescent="0.15">
      <c r="A188" s="1">
        <v>2006</v>
      </c>
      <c r="B188" s="5">
        <f>(K101*($E101/365))+(K102*($E102/365))</f>
        <v>0</v>
      </c>
      <c r="C188" s="5">
        <f>(L101*($E101/365))+(L102*($E102/365))</f>
        <v>0</v>
      </c>
      <c r="D188" s="5">
        <f>(M101*($E101/365))+(M102*($E102/365))</f>
        <v>100</v>
      </c>
      <c r="E188" s="18">
        <f t="shared" si="33"/>
        <v>100</v>
      </c>
      <c r="G188" s="1">
        <v>2006</v>
      </c>
      <c r="H188" s="409">
        <f>(O101/$R101*100*($E101/365))+(O102/$R102*100*($E102/365))</f>
        <v>0</v>
      </c>
      <c r="I188" s="409"/>
      <c r="J188" s="409">
        <f>(P101/$R101*100*($E101/365))+(P102/$R102*100*($E102/365))</f>
        <v>0</v>
      </c>
      <c r="K188" s="409"/>
      <c r="L188" s="409">
        <f>(Q101/$R101*100*($E101/365))+(Q102/$R102*100*($E102/365))</f>
        <v>100</v>
      </c>
      <c r="M188" s="409"/>
      <c r="N188" s="379">
        <f t="shared" si="35"/>
        <v>100</v>
      </c>
      <c r="O188" s="379"/>
      <c r="R188" s="1">
        <v>2006</v>
      </c>
      <c r="S188" s="5">
        <f>(O101*($E101/365))+(O102*($E102/365))</f>
        <v>0</v>
      </c>
      <c r="T188" s="5">
        <f>(P101*($E101/365))+(P102*($E102/365))</f>
        <v>0</v>
      </c>
      <c r="U188" s="5">
        <f>(Q101*($E101/365))+(Q102*($E102/365))</f>
        <v>55</v>
      </c>
      <c r="V188" s="5"/>
      <c r="W188" s="5">
        <f t="shared" si="34"/>
        <v>55</v>
      </c>
    </row>
    <row r="189" spans="1:23" x14ac:dyDescent="0.15">
      <c r="A189" s="1">
        <v>2007</v>
      </c>
      <c r="B189" s="5">
        <f>(K103*($E103/365))+(K104*($E104/365))</f>
        <v>0</v>
      </c>
      <c r="C189" s="5">
        <f>(L103*($E103/365))+(L104*($E104/365))</f>
        <v>0</v>
      </c>
      <c r="D189" s="5">
        <f>(M103*($E103/365))+(M104*($E104/365))</f>
        <v>100</v>
      </c>
      <c r="E189" s="18">
        <f t="shared" si="33"/>
        <v>100</v>
      </c>
      <c r="G189" s="1">
        <v>2007</v>
      </c>
      <c r="H189" s="409">
        <f>(O103/$R103*100*($E103/365))+(O104/$R104*100*($E104/365))</f>
        <v>0</v>
      </c>
      <c r="I189" s="409"/>
      <c r="J189" s="409">
        <f>(P103/$R103*100*($E103/365))+(P104/$R104*100*($E104/365))</f>
        <v>0</v>
      </c>
      <c r="K189" s="409"/>
      <c r="L189" s="409">
        <f>(Q103/$R103*100*($E103/365))+(Q104/$R104*100*($E104/365))</f>
        <v>100</v>
      </c>
      <c r="M189" s="409"/>
      <c r="N189" s="379">
        <f t="shared" si="35"/>
        <v>100</v>
      </c>
      <c r="O189" s="379"/>
      <c r="R189" s="1">
        <v>2007</v>
      </c>
      <c r="S189" s="5">
        <f>(O103*($E103/365))+(O104*($E104/365))</f>
        <v>0</v>
      </c>
      <c r="T189" s="5">
        <f>(P103*($E103/365))+(P104*($E104/365))</f>
        <v>0</v>
      </c>
      <c r="U189" s="5">
        <f>(Q103*($E103/365))+(Q104*($E104/365))</f>
        <v>55</v>
      </c>
      <c r="V189" s="5"/>
      <c r="W189" s="5">
        <f t="shared" si="34"/>
        <v>55</v>
      </c>
    </row>
    <row r="190" spans="1:23" x14ac:dyDescent="0.15">
      <c r="A190" s="1">
        <v>2008</v>
      </c>
      <c r="B190" s="5">
        <f>(K105*($E105/366))+(K106*($E106/366))</f>
        <v>0</v>
      </c>
      <c r="C190" s="5">
        <f>(L105*($E105/366))+(L106*($E106/366))</f>
        <v>0</v>
      </c>
      <c r="D190" s="5">
        <f>(M105*($E105/366))+(M106*($E106/366))</f>
        <v>100</v>
      </c>
      <c r="E190" s="18">
        <f t="shared" si="33"/>
        <v>100</v>
      </c>
      <c r="G190" s="1">
        <v>2008</v>
      </c>
      <c r="H190" s="409">
        <f>(O105/$R105*100*($E105/366))+(O106/$R106*100*($E106/366))</f>
        <v>0</v>
      </c>
      <c r="I190" s="409"/>
      <c r="J190" s="409">
        <f>(P105/$R105*100*($E105/366))+(P106/$R106*100*($E106/366))</f>
        <v>0</v>
      </c>
      <c r="K190" s="409"/>
      <c r="L190" s="409">
        <f>(Q105/$R105*100*($E105/366))+(Q106/$R106*100*($E106/366))</f>
        <v>100</v>
      </c>
      <c r="M190" s="409"/>
      <c r="N190" s="379">
        <f t="shared" si="35"/>
        <v>100</v>
      </c>
      <c r="O190" s="379"/>
      <c r="R190" s="1">
        <v>2008</v>
      </c>
      <c r="S190" s="5">
        <f>(O105*($E105/366))+(O106*($E106/366))</f>
        <v>0</v>
      </c>
      <c r="T190" s="5">
        <f>(P105*($E105/366))+(P106*($E106/366))</f>
        <v>0</v>
      </c>
      <c r="U190" s="5">
        <f>(Q105*($E105/366))+(Q106*($E106/366))</f>
        <v>55</v>
      </c>
      <c r="V190" s="5"/>
      <c r="W190" s="5">
        <f t="shared" si="34"/>
        <v>55</v>
      </c>
    </row>
    <row r="191" spans="1:23" x14ac:dyDescent="0.15">
      <c r="A191" s="1">
        <v>2009</v>
      </c>
      <c r="B191" s="5">
        <f>(K107*($E107/365))+(K108*($E108/365))</f>
        <v>0</v>
      </c>
      <c r="C191" s="5">
        <f>(L107*($E107/365))+(L108*($E108/365))</f>
        <v>0</v>
      </c>
      <c r="D191" s="5">
        <f>(M107*($E107/365))+(M108*($E108/365))</f>
        <v>100</v>
      </c>
      <c r="E191" s="18">
        <f t="shared" si="33"/>
        <v>100</v>
      </c>
      <c r="G191" s="1">
        <v>2009</v>
      </c>
      <c r="H191" s="409">
        <f>(O107/$R107*100*($E107/365))+(O108/$R108*100*($E108/365))</f>
        <v>0</v>
      </c>
      <c r="I191" s="409"/>
      <c r="J191" s="409">
        <f>(P107/$R107*100*($E107/365))+(P108/$R108*100*($E108/365))</f>
        <v>0</v>
      </c>
      <c r="K191" s="409"/>
      <c r="L191" s="409">
        <f>(Q107/$R107*100*($E107/365))+(Q108/$R108*100*($E108/365))</f>
        <v>100</v>
      </c>
      <c r="M191" s="409"/>
      <c r="N191" s="379">
        <f t="shared" si="35"/>
        <v>100</v>
      </c>
      <c r="O191" s="379"/>
      <c r="R191" s="1">
        <v>2009</v>
      </c>
      <c r="S191" s="5">
        <f>(O107*($E107/365))+(O108*($E108/365))</f>
        <v>0</v>
      </c>
      <c r="T191" s="5">
        <f>(P107*($E107/365))+(P108*($E108/365))</f>
        <v>0</v>
      </c>
      <c r="U191" s="5">
        <f>(Q107*($E107/365))+(Q108*($E108/365))</f>
        <v>55</v>
      </c>
      <c r="V191" s="5"/>
      <c r="W191" s="5">
        <f t="shared" si="34"/>
        <v>55</v>
      </c>
    </row>
    <row r="192" spans="1:23" x14ac:dyDescent="0.15">
      <c r="A192" s="1">
        <v>2010</v>
      </c>
      <c r="B192" s="5">
        <f>(K109*($E109/365))+(K110*($E110/365))</f>
        <v>62.19178082191781</v>
      </c>
      <c r="C192" s="5">
        <f>(L109*($E109/365))+(L110*($E110/365))</f>
        <v>0</v>
      </c>
      <c r="D192" s="5">
        <f>(M109*($E109/365))+(M110*($E110/365))</f>
        <v>37.80821917808219</v>
      </c>
      <c r="E192" s="18">
        <f t="shared" si="33"/>
        <v>100</v>
      </c>
      <c r="G192" s="1">
        <v>2010</v>
      </c>
      <c r="H192" s="409">
        <f>(O109/$R109*100*($E109/365))+(O110/$R110*100*($E110/365))</f>
        <v>62.19178082191781</v>
      </c>
      <c r="I192" s="409"/>
      <c r="J192" s="409">
        <f>(P109/$R109*100*($E109/365))+(P110/$R110*100*($E110/365))</f>
        <v>0</v>
      </c>
      <c r="K192" s="409"/>
      <c r="L192" s="409">
        <f>(Q109/$R109*100*($E109/365))+(Q110/$R110*100*($E110/365))</f>
        <v>37.80821917808219</v>
      </c>
      <c r="M192" s="409"/>
      <c r="N192" s="379">
        <f t="shared" si="35"/>
        <v>100</v>
      </c>
      <c r="O192" s="379"/>
      <c r="R192" s="1">
        <v>2010</v>
      </c>
      <c r="S192" s="5">
        <f>(O109*($E109/365))+(O110*($E110/365))</f>
        <v>34.765205479452057</v>
      </c>
      <c r="T192" s="5">
        <f>(P109*($E109/365))+(P110*($E110/365))</f>
        <v>0</v>
      </c>
      <c r="U192" s="5">
        <f>(Q109*($E109/365))+(Q110*($E110/365))</f>
        <v>20.794520547945204</v>
      </c>
      <c r="V192" s="5"/>
      <c r="W192" s="5">
        <f t="shared" si="34"/>
        <v>55.559726027397261</v>
      </c>
    </row>
    <row r="193" spans="1:23" x14ac:dyDescent="0.15">
      <c r="A193" s="1">
        <v>2011</v>
      </c>
      <c r="B193" s="5">
        <f>(K111*($E111/365))+(K112*($E112/365))</f>
        <v>100</v>
      </c>
      <c r="C193" s="5">
        <f>(L111*($E111/365))+(L112*($E112/365))</f>
        <v>0</v>
      </c>
      <c r="D193" s="5">
        <f>(M111*($E111/365))+(M112*($E112/365))</f>
        <v>0</v>
      </c>
      <c r="E193" s="18">
        <f t="shared" si="33"/>
        <v>100</v>
      </c>
      <c r="G193" s="1">
        <v>2011</v>
      </c>
      <c r="H193" s="409">
        <f>(O111/$R111*100*($E111/365))+(O112/$R112*100*($E112/365))</f>
        <v>100</v>
      </c>
      <c r="I193" s="409"/>
      <c r="J193" s="409">
        <f>(P111/$R111*100*($E111/365))+(P112/$R112*100*($E112/365))</f>
        <v>0</v>
      </c>
      <c r="K193" s="409"/>
      <c r="L193" s="409">
        <f>(Q111/$R111*100*($E111/365))+(Q112/$R112*100*($E112/365))</f>
        <v>0</v>
      </c>
      <c r="M193" s="409"/>
      <c r="N193" s="379">
        <f t="shared" si="35"/>
        <v>100</v>
      </c>
      <c r="O193" s="379"/>
      <c r="R193" s="1">
        <v>2011</v>
      </c>
      <c r="S193" s="5">
        <f>(O111*($E111/365))+(O112*($E112/365))</f>
        <v>55.9</v>
      </c>
      <c r="T193" s="5">
        <f>(P111*($E111/365))+(P112*($E112/365))</f>
        <v>0</v>
      </c>
      <c r="U193" s="5">
        <f>(Q111*($E111/365))+(Q112*($E112/365))</f>
        <v>0</v>
      </c>
      <c r="V193" s="5"/>
      <c r="W193" s="5">
        <f t="shared" si="34"/>
        <v>55.9</v>
      </c>
    </row>
    <row r="194" spans="1:23" x14ac:dyDescent="0.15">
      <c r="A194" s="1">
        <v>2012</v>
      </c>
      <c r="B194" s="5">
        <f>(K113*($E113/366))+(K114*($E114/366))</f>
        <v>100</v>
      </c>
      <c r="C194" s="5">
        <f>(L113*($E113/366))+(L114*($E114/366))</f>
        <v>0</v>
      </c>
      <c r="D194" s="5">
        <f>(M113*($E113/366))+(M114*($E114/366))</f>
        <v>0</v>
      </c>
      <c r="E194" s="18">
        <f t="shared" si="33"/>
        <v>100</v>
      </c>
      <c r="G194" s="1">
        <v>2012</v>
      </c>
      <c r="H194" s="409">
        <f>(O113/$R113*100*($E113/366))+(O114/$R114*100*($E114/366))</f>
        <v>100</v>
      </c>
      <c r="I194" s="409"/>
      <c r="J194" s="409">
        <f>(P113/$R113*100*($E113/366))+(P114/$R114*100*($E114/366))</f>
        <v>0</v>
      </c>
      <c r="K194" s="409"/>
      <c r="L194" s="409">
        <f>(Q113/$R113*100*($E113/366))+(Q114/$R114*100*($E114/366))</f>
        <v>0</v>
      </c>
      <c r="M194" s="409"/>
      <c r="N194" s="379">
        <f t="shared" si="35"/>
        <v>100</v>
      </c>
      <c r="O194" s="379"/>
      <c r="R194" s="1">
        <v>2012</v>
      </c>
      <c r="S194" s="5">
        <f>(O113*($E113/366))+(O114*($E114/366))</f>
        <v>55.9</v>
      </c>
      <c r="T194" s="5">
        <f>(P113*($E113/366))+(P114*($E114/366))</f>
        <v>0</v>
      </c>
      <c r="U194" s="5">
        <f>(Q113*($E113/366))+(Q114*($E114/366))</f>
        <v>0</v>
      </c>
      <c r="V194" s="5"/>
      <c r="W194" s="5">
        <f t="shared" si="34"/>
        <v>55.9</v>
      </c>
    </row>
    <row r="195" spans="1:23" x14ac:dyDescent="0.15">
      <c r="A195" s="1">
        <v>2013</v>
      </c>
      <c r="B195" s="5">
        <f>(K115*($E115/365))+(K116*($E116/365))</f>
        <v>100</v>
      </c>
      <c r="C195" s="5">
        <f>(L115*($E115/365))+(L116*($E116/365))</f>
        <v>0</v>
      </c>
      <c r="D195" s="5">
        <f>(M115*($E115/365))+(M116*($E116/365))</f>
        <v>0</v>
      </c>
      <c r="E195" s="18">
        <f t="shared" si="33"/>
        <v>100</v>
      </c>
      <c r="G195" s="1">
        <v>2013</v>
      </c>
      <c r="H195" s="409">
        <f>(O115/$R115*100*($E115/365))+(O116/$R116*100*($E116/365))</f>
        <v>100</v>
      </c>
      <c r="I195" s="409"/>
      <c r="J195" s="409">
        <f>(P115/$R115*100*($E115/365))+(P116/$R116*100*($E116/365))</f>
        <v>0</v>
      </c>
      <c r="K195" s="409"/>
      <c r="L195" s="409">
        <f>(Q115/$R115*100*($E115/365))+(Q116/$R116*100*($E116/365))</f>
        <v>0</v>
      </c>
      <c r="M195" s="409"/>
      <c r="N195" s="379">
        <f>H195+J195+L195</f>
        <v>100</v>
      </c>
      <c r="O195" s="379"/>
      <c r="R195" s="1">
        <v>2013</v>
      </c>
      <c r="S195" s="5">
        <f>(O115*($E115/365))+(O116*($E116/365))</f>
        <v>55.9</v>
      </c>
      <c r="T195" s="5">
        <f>(P115*($E115/365))+(P116*($E116/365))</f>
        <v>0</v>
      </c>
      <c r="U195" s="5">
        <f>(Q115*($E115/365))+(Q116*($E116/365))</f>
        <v>0</v>
      </c>
      <c r="W195" s="5">
        <f t="shared" si="34"/>
        <v>55.9</v>
      </c>
    </row>
    <row r="196" spans="1:23" x14ac:dyDescent="0.15">
      <c r="A196" s="1">
        <v>2014</v>
      </c>
      <c r="B196" s="5">
        <f>(K117*($E117/365))+(K118*($E118/365))</f>
        <v>100</v>
      </c>
      <c r="C196" s="5">
        <f>(L117*($E117/365))+(L118*($E118/365))</f>
        <v>0</v>
      </c>
      <c r="D196" s="5">
        <f>(M117*($E117/365))+(M118*($E118/365))</f>
        <v>0</v>
      </c>
      <c r="E196" s="18">
        <f>B196+C196+D196</f>
        <v>100</v>
      </c>
      <c r="G196" s="1">
        <v>2014</v>
      </c>
      <c r="H196" s="409">
        <f>(O117/$R117*100*($E117/365))+(O118/$R118*100*($E118/365))</f>
        <v>100</v>
      </c>
      <c r="I196" s="409"/>
      <c r="J196" s="409">
        <f>(P117/$R117*100*($E117/365))+(P118/$R118*100*($E118/365))</f>
        <v>0</v>
      </c>
      <c r="K196" s="409"/>
      <c r="L196" s="409">
        <f>(Q117/$R117*100*($E117/365))+(Q118/$R118*100*($E118/365))</f>
        <v>0</v>
      </c>
      <c r="M196" s="409"/>
      <c r="N196" s="379">
        <f>H196+J196+L196</f>
        <v>100</v>
      </c>
      <c r="O196" s="379"/>
      <c r="R196" s="1">
        <v>2014</v>
      </c>
      <c r="S196" s="5">
        <f>(O117*($E117/365))+(O118*($E118/365))</f>
        <v>55.9</v>
      </c>
      <c r="T196" s="5">
        <f>(P117*($E117/365))+(P118*($E118/365))</f>
        <v>0</v>
      </c>
      <c r="U196" s="5">
        <f>(Q117*($E117/365))+(Q118*($E118/365))</f>
        <v>0</v>
      </c>
      <c r="W196" s="5">
        <f>S196+T196+U196</f>
        <v>55.9</v>
      </c>
    </row>
    <row r="197" spans="1:23" x14ac:dyDescent="0.15">
      <c r="A197" s="1">
        <v>2015</v>
      </c>
      <c r="B197" s="5">
        <f>(K119*($E119/365))+(K120*($E120/365))</f>
        <v>100</v>
      </c>
      <c r="C197" s="5">
        <f>(L119*($E119/365))+(L120*($E120/365))</f>
        <v>0</v>
      </c>
      <c r="D197" s="5">
        <f>(M119*($E119/365))+(M120*($E120/365))</f>
        <v>0</v>
      </c>
      <c r="E197" s="18">
        <f>B197+C197+D197</f>
        <v>100</v>
      </c>
      <c r="G197" s="1">
        <v>2015</v>
      </c>
      <c r="H197" s="409">
        <f>(O119/$R119*100*($E119/365))+(O120/$R120*100*($E120/365))</f>
        <v>100</v>
      </c>
      <c r="I197" s="409"/>
      <c r="J197" s="409">
        <f>(P119/$R119*100*($E119/365))+(P120/$R120*100*($E120/365))</f>
        <v>0</v>
      </c>
      <c r="K197" s="409"/>
      <c r="L197" s="409">
        <f>(Q119/$R119*100*($E119/365))+(Q120/$R120*100*($E120/365))</f>
        <v>0</v>
      </c>
      <c r="M197" s="409"/>
      <c r="N197" s="379">
        <f>H197+J197+L197</f>
        <v>100</v>
      </c>
      <c r="O197" s="379"/>
      <c r="R197" s="1">
        <v>2015</v>
      </c>
      <c r="S197" s="5">
        <f>(O119*($E119/365))+(O120*($E120/365))</f>
        <v>52.639726027397259</v>
      </c>
      <c r="T197" s="5">
        <f>(P119*($E119/365))+(P120*($E120/365))</f>
        <v>0</v>
      </c>
      <c r="U197" s="5">
        <f>(Q119*($E119/365))+(Q120*($E120/365))</f>
        <v>0</v>
      </c>
      <c r="W197" s="5">
        <f>S197+T197+U197</f>
        <v>52.639726027397259</v>
      </c>
    </row>
    <row r="198" spans="1:23" x14ac:dyDescent="0.15">
      <c r="A198" s="1">
        <v>2016</v>
      </c>
      <c r="B198" s="5">
        <f>(K121*($E121/366))+(K122*($E122/366))</f>
        <v>100</v>
      </c>
      <c r="C198" s="5">
        <f>(L121*($E121/366))+(L122*($E122/366))</f>
        <v>0</v>
      </c>
      <c r="D198" s="5">
        <f>(M121*($E121/366))+(M122*($E122/366))</f>
        <v>0</v>
      </c>
      <c r="E198" s="18">
        <f t="shared" ref="E198" si="36">B198+C198+D198</f>
        <v>100</v>
      </c>
      <c r="G198" s="1">
        <v>2016</v>
      </c>
      <c r="H198" s="409">
        <f>(O121/$R121*100*($E121/366))+(O122/$R122*100*($E122/366))</f>
        <v>100</v>
      </c>
      <c r="I198" s="409"/>
      <c r="J198" s="409">
        <f>(P121/$R121*100*($E121/366))+(P122/$R122*100*($E122/366))</f>
        <v>0</v>
      </c>
      <c r="K198" s="409"/>
      <c r="L198" s="409">
        <f>(Q121/$R121*100*($E121/366))+(Q122/$R122*100*($E122/366))</f>
        <v>0</v>
      </c>
      <c r="M198" s="409"/>
      <c r="N198" s="379">
        <f t="shared" ref="N198" si="37">H198+J198+L198</f>
        <v>100</v>
      </c>
      <c r="O198" s="379"/>
      <c r="R198" s="1">
        <v>2016</v>
      </c>
      <c r="S198" s="5">
        <f>(O121*($E121/366))+(O122*($E122/366))</f>
        <v>50.806557377049188</v>
      </c>
      <c r="T198" s="5">
        <f>(P121*($E121/366))+(P122*($E122/366))</f>
        <v>0</v>
      </c>
      <c r="U198" s="5">
        <f>(Q121*($E121/366))+(Q122*($E122/366))</f>
        <v>0</v>
      </c>
      <c r="W198" s="5">
        <f t="shared" ref="W198" si="38">S198+T198+U198</f>
        <v>50.806557377049188</v>
      </c>
    </row>
    <row r="199" spans="1:23" x14ac:dyDescent="0.15">
      <c r="A199" s="1">
        <v>2017</v>
      </c>
      <c r="B199" s="5">
        <f>(K123*($E123/365))+(K124*($E124/365))</f>
        <v>100</v>
      </c>
      <c r="C199" s="5">
        <f t="shared" ref="C199:D199" si="39">(L123*($E123/365))+(L124*($E124/365))</f>
        <v>0</v>
      </c>
      <c r="D199" s="5">
        <f t="shared" si="39"/>
        <v>0</v>
      </c>
      <c r="E199" s="18">
        <f t="shared" ref="E199" si="40">B199+C199+D199</f>
        <v>100</v>
      </c>
      <c r="G199" s="1">
        <v>2017</v>
      </c>
      <c r="H199" s="409">
        <f>(O123/$R123*100*($E123/365))+(O124/$R124*100*($E124/365))</f>
        <v>100</v>
      </c>
      <c r="I199" s="409"/>
      <c r="J199" s="409">
        <f>(P123/$R123*100*($E123/365))+(P124/$R124*100*($E124/365))</f>
        <v>0</v>
      </c>
      <c r="K199" s="409"/>
      <c r="L199" s="409">
        <f>(Q123/$R123*100*($E123/365))+(Q124/$R124*100*($E124/365))</f>
        <v>0</v>
      </c>
      <c r="M199" s="409"/>
      <c r="N199" s="379">
        <f t="shared" ref="N199" si="41">H199+J199+L199</f>
        <v>100</v>
      </c>
      <c r="O199" s="379"/>
      <c r="R199" s="1">
        <v>2017</v>
      </c>
      <c r="S199" s="5">
        <f>(O123*($E123/365))+(O124*($E124/365))</f>
        <v>49.638082191780825</v>
      </c>
      <c r="T199" s="5">
        <f>(P123*($E123/365))+(P124*($E124/365))</f>
        <v>0</v>
      </c>
      <c r="U199" s="5">
        <f>(Q123*($E123/365))+(Q124*($E124/365))</f>
        <v>0</v>
      </c>
      <c r="W199" s="5">
        <f t="shared" ref="W199" si="42">S199+T199+U199</f>
        <v>49.638082191780825</v>
      </c>
    </row>
    <row r="200" spans="1:23" x14ac:dyDescent="0.15">
      <c r="A200" s="1">
        <v>2018</v>
      </c>
      <c r="B200" s="5">
        <f>(K125*($E125/365))+(K126*($E126/365))</f>
        <v>100</v>
      </c>
      <c r="C200" s="5">
        <f>(L125*($E125/365))+(L126*($E126/365))</f>
        <v>0</v>
      </c>
      <c r="D200" s="5">
        <f>(M125*($E125/365))+(M126*($E126/365))</f>
        <v>0</v>
      </c>
      <c r="E200" s="18">
        <f t="shared" ref="E200" si="43">B200+C200+D200</f>
        <v>100</v>
      </c>
      <c r="G200" s="1">
        <v>2018</v>
      </c>
      <c r="H200" s="409">
        <f>(O125/$R125*100*($E125/365))+(O126/$R126*100*($E126/365))</f>
        <v>100</v>
      </c>
      <c r="I200" s="409"/>
      <c r="J200" s="409">
        <f>(P125/$R125*100*($E125/365))+(P126/$R126*100*($E126/365))</f>
        <v>0</v>
      </c>
      <c r="K200" s="409"/>
      <c r="L200" s="409">
        <f>(Q125/$R125*100*($E125/365))+(Q126/$R126*100*($E126/365))</f>
        <v>0</v>
      </c>
      <c r="M200" s="409"/>
      <c r="N200" s="379">
        <f t="shared" ref="N200" si="44">H200+J200+L200</f>
        <v>100</v>
      </c>
      <c r="O200" s="379"/>
      <c r="R200" s="1">
        <v>2018</v>
      </c>
      <c r="S200" s="5">
        <f>(O125*($E125/365))+(O126*($E126/365))</f>
        <v>48.8</v>
      </c>
      <c r="T200" s="5">
        <f>(P125*($E125/365))+(P126*($E126/365))</f>
        <v>0</v>
      </c>
      <c r="U200" s="5">
        <f>(Q125*($E125/365))+(Q126*($E126/365))</f>
        <v>0</v>
      </c>
      <c r="W200" s="5">
        <f t="shared" ref="W200" si="45">S200+T200+U200</f>
        <v>48.8</v>
      </c>
    </row>
    <row r="201" spans="1:23" x14ac:dyDescent="0.15">
      <c r="A201" s="1">
        <v>2019</v>
      </c>
      <c r="B201" s="5">
        <f>(K127*($E127/365))+(K128*($E128/365))+(K129*(E129/365))</f>
        <v>100</v>
      </c>
      <c r="C201" s="5">
        <f>(L127*($E127/365))+(L128*($E128/365))+(L129*(E129/365))</f>
        <v>0</v>
      </c>
      <c r="D201" s="5">
        <f>(M127*($E127/365))+(M128*($E128/365))+(M129*(E129/365))</f>
        <v>0</v>
      </c>
      <c r="E201" s="18">
        <f t="shared" ref="E201:E202" si="46">B201+C201+D201</f>
        <v>100</v>
      </c>
      <c r="G201" s="1">
        <v>2019</v>
      </c>
      <c r="H201" s="409">
        <f>(O127/$R127*100*($E127/365))+(O128/$R128*100*($E128/365))+(O129/R129*100*(E129/365))</f>
        <v>100</v>
      </c>
      <c r="I201" s="409"/>
      <c r="J201" s="409">
        <f>(P127/$R127*100*($E127/365))+(P128/$R128*100*($E128/365))+(P129/R129*100*(E129/365))</f>
        <v>0</v>
      </c>
      <c r="K201" s="409"/>
      <c r="L201" s="409">
        <f>(Q127/$R127*100*($E127/365))+(Q128/$R128*100*($E128/365))+(Q129/R129*100*(E129/365))</f>
        <v>0</v>
      </c>
      <c r="M201" s="409"/>
      <c r="N201" s="379">
        <f t="shared" ref="N201" si="47">H201+J201+L201</f>
        <v>100</v>
      </c>
      <c r="O201" s="379"/>
      <c r="R201" s="1">
        <v>2019</v>
      </c>
      <c r="S201" s="5">
        <f>(O127*($E127/365))+(O128*($E128/365))+(O129*(E129/365))</f>
        <v>48.01808219178082</v>
      </c>
      <c r="T201" s="5">
        <f>(P127*($E127/365))+(P128*($E128/365))+(P129*(E129/365))</f>
        <v>0</v>
      </c>
      <c r="U201" s="5">
        <f>(Q127*($E127/365))+(Q128*($E128/365))+(Q129*(E129/365))</f>
        <v>0</v>
      </c>
      <c r="W201" s="5">
        <f t="shared" ref="W201:W202" si="48">S201+T201+U201</f>
        <v>48.01808219178082</v>
      </c>
    </row>
    <row r="202" spans="1:23" x14ac:dyDescent="0.15">
      <c r="A202" s="1">
        <v>2020</v>
      </c>
      <c r="B202" s="5">
        <f>(K130*($E130/366))+(K131*($E131/366))+(K132*(E132/366))+(K133*(E133/366))</f>
        <v>100</v>
      </c>
      <c r="C202" s="5">
        <f>(L130*($E130/366))+(L131*($E131/366))+(L132*(F132/366))+(L133*(F133/366))</f>
        <v>0</v>
      </c>
      <c r="D202" s="5">
        <f>(M130*($E130/366))+(M131*($E131/366))+(M132*(G132/366))+(M133*(G133/366))</f>
        <v>0</v>
      </c>
      <c r="E202" s="18">
        <f t="shared" si="46"/>
        <v>100</v>
      </c>
      <c r="G202" s="1">
        <v>2020</v>
      </c>
      <c r="H202" s="409">
        <f>(O130/$R130*100*($E130/366))+(O131/$R131*100*($E131/366))+(O132/R132*100*(E132/366))+(O133/R133*100*(E133/366))</f>
        <v>100</v>
      </c>
      <c r="I202" s="409"/>
      <c r="J202" s="409">
        <f>(P130/$R130*100*($E130/366))+(P131/$R131*100*($E131/366))+(P132/R132*100*(E132/366))+(P133/R133*100*(E133/366))</f>
        <v>0</v>
      </c>
      <c r="K202" s="409"/>
      <c r="L202" s="409">
        <f>(Q130/$R130*100*($E130/366))+(Q131/$R131*100*($E131/366))+(Q132/R132*100*(E132/366))+(Q133/R133*100*(E133/366))</f>
        <v>0</v>
      </c>
      <c r="M202" s="409"/>
      <c r="N202" s="379">
        <f t="shared" ref="N202" si="49">H202+J202+L202</f>
        <v>100</v>
      </c>
      <c r="O202" s="379"/>
      <c r="R202" s="1">
        <v>2020</v>
      </c>
      <c r="S202" s="5">
        <f>(O130*($E130/366))+(O131*($E131/366))+(O132*(E132/366))+(O133*($E133/366))</f>
        <v>56.2</v>
      </c>
      <c r="T202" s="5">
        <f>(P130*($E130/366))+(P131*($E131/366))+(P132*(F132/366))+(P133*($E133/366))</f>
        <v>0</v>
      </c>
      <c r="U202" s="5">
        <f>(Q130*($E130/366))+(Q131*($E131/366))+(Q132*(G132/366))+(Q133*($E133/366))</f>
        <v>0</v>
      </c>
      <c r="W202" s="5">
        <f t="shared" si="48"/>
        <v>56.2</v>
      </c>
    </row>
  </sheetData>
  <mergeCells count="402">
    <mergeCell ref="H202:I202"/>
    <mergeCell ref="J202:K202"/>
    <mergeCell ref="L202:M202"/>
    <mergeCell ref="N202:O202"/>
    <mergeCell ref="J201:K201"/>
    <mergeCell ref="L201:M201"/>
    <mergeCell ref="H201:I201"/>
    <mergeCell ref="N201:O201"/>
    <mergeCell ref="H199:I199"/>
    <mergeCell ref="J199:K199"/>
    <mergeCell ref="L199:M199"/>
    <mergeCell ref="N199:O199"/>
    <mergeCell ref="H200:I200"/>
    <mergeCell ref="J200:K200"/>
    <mergeCell ref="L200:M200"/>
    <mergeCell ref="N200:O200"/>
    <mergeCell ref="L143:M143"/>
    <mergeCell ref="N143:O143"/>
    <mergeCell ref="H144:I144"/>
    <mergeCell ref="J144:K144"/>
    <mergeCell ref="L144:M144"/>
    <mergeCell ref="N144:O144"/>
    <mergeCell ref="H147:I147"/>
    <mergeCell ref="J147:K147"/>
    <mergeCell ref="L147:M147"/>
    <mergeCell ref="N147:O147"/>
    <mergeCell ref="L145:M145"/>
    <mergeCell ref="N145:O145"/>
    <mergeCell ref="H146:I146"/>
    <mergeCell ref="J146:K146"/>
    <mergeCell ref="L146:M146"/>
    <mergeCell ref="N146:O146"/>
    <mergeCell ref="H148:I148"/>
    <mergeCell ref="J148:K148"/>
    <mergeCell ref="L148:M148"/>
    <mergeCell ref="N148:O148"/>
    <mergeCell ref="H145:I145"/>
    <mergeCell ref="J145:K145"/>
    <mergeCell ref="C111:D111"/>
    <mergeCell ref="C104:D104"/>
    <mergeCell ref="C105:D105"/>
    <mergeCell ref="C112:D112"/>
    <mergeCell ref="C113:D113"/>
    <mergeCell ref="C114:D114"/>
    <mergeCell ref="C106:D106"/>
    <mergeCell ref="H143:I143"/>
    <mergeCell ref="J143:K143"/>
    <mergeCell ref="C117:D117"/>
    <mergeCell ref="C118:D118"/>
    <mergeCell ref="C119:D119"/>
    <mergeCell ref="C120:D120"/>
    <mergeCell ref="C125:D125"/>
    <mergeCell ref="C126:D126"/>
    <mergeCell ref="C127:D127"/>
    <mergeCell ref="C128:D128"/>
    <mergeCell ref="C129:D129"/>
    <mergeCell ref="C130:D130"/>
    <mergeCell ref="C131:D131"/>
    <mergeCell ref="C132:D132"/>
    <mergeCell ref="C133:D133"/>
    <mergeCell ref="C94:D94"/>
    <mergeCell ref="C95:D95"/>
    <mergeCell ref="C96:D96"/>
    <mergeCell ref="C97:D97"/>
    <mergeCell ref="C107:D107"/>
    <mergeCell ref="C108:D108"/>
    <mergeCell ref="C109:D109"/>
    <mergeCell ref="C110:D110"/>
    <mergeCell ref="C98:D98"/>
    <mergeCell ref="C99:D99"/>
    <mergeCell ref="C100:D100"/>
    <mergeCell ref="C101:D101"/>
    <mergeCell ref="C102:D102"/>
    <mergeCell ref="C103:D103"/>
    <mergeCell ref="C123:D123"/>
    <mergeCell ref="C124:D124"/>
    <mergeCell ref="C121:D121"/>
    <mergeCell ref="C122:D122"/>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1:D41"/>
    <mergeCell ref="C42:D42"/>
    <mergeCell ref="C43:D43"/>
    <mergeCell ref="C38:D38"/>
    <mergeCell ref="C44:D44"/>
    <mergeCell ref="C45:D45"/>
    <mergeCell ref="C46:D46"/>
    <mergeCell ref="C47:D47"/>
    <mergeCell ref="C48:D48"/>
    <mergeCell ref="C31:D31"/>
    <mergeCell ref="C32:D32"/>
    <mergeCell ref="C33:D33"/>
    <mergeCell ref="C34:D34"/>
    <mergeCell ref="C35:D35"/>
    <mergeCell ref="C36:D36"/>
    <mergeCell ref="C37:D37"/>
    <mergeCell ref="C39:D39"/>
    <mergeCell ref="C40:D40"/>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38:W138"/>
    <mergeCell ref="H140:I140"/>
    <mergeCell ref="J140:K140"/>
    <mergeCell ref="L140:M140"/>
    <mergeCell ref="N140:O140"/>
    <mergeCell ref="H142:I142"/>
    <mergeCell ref="J142:K142"/>
    <mergeCell ref="L142:M142"/>
    <mergeCell ref="N142:O142"/>
    <mergeCell ref="H141:I141"/>
    <mergeCell ref="J141:K141"/>
    <mergeCell ref="L141:M141"/>
    <mergeCell ref="N141:O141"/>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63:I163"/>
    <mergeCell ref="J163:K163"/>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L169:M169"/>
    <mergeCell ref="N169:O169"/>
    <mergeCell ref="H170:I170"/>
    <mergeCell ref="H171:I171"/>
    <mergeCell ref="L175:M175"/>
    <mergeCell ref="L176:M176"/>
    <mergeCell ref="L177:M177"/>
    <mergeCell ref="J175:K175"/>
    <mergeCell ref="J176:K176"/>
    <mergeCell ref="J177:K177"/>
    <mergeCell ref="N173:O173"/>
    <mergeCell ref="N174:O174"/>
    <mergeCell ref="L170:M170"/>
    <mergeCell ref="L171:M171"/>
    <mergeCell ref="L172:M172"/>
    <mergeCell ref="L173:M173"/>
    <mergeCell ref="L174:M174"/>
    <mergeCell ref="J170:K170"/>
    <mergeCell ref="J171:K171"/>
    <mergeCell ref="J172:K172"/>
    <mergeCell ref="J173:K173"/>
    <mergeCell ref="J174:K174"/>
    <mergeCell ref="N170:O170"/>
    <mergeCell ref="N171:O171"/>
    <mergeCell ref="AT4:AW4"/>
    <mergeCell ref="AX4:BA4"/>
    <mergeCell ref="N195:O195"/>
    <mergeCell ref="C115:D115"/>
    <mergeCell ref="C116:D116"/>
    <mergeCell ref="H195:I195"/>
    <mergeCell ref="J195:K195"/>
    <mergeCell ref="L195:M195"/>
    <mergeCell ref="N193:O193"/>
    <mergeCell ref="N194:O194"/>
    <mergeCell ref="N191:O191"/>
    <mergeCell ref="N192:O192"/>
    <mergeCell ref="N181:O181"/>
    <mergeCell ref="N182:O182"/>
    <mergeCell ref="N183:O183"/>
    <mergeCell ref="N184:O184"/>
    <mergeCell ref="N185:O185"/>
    <mergeCell ref="N186:O186"/>
    <mergeCell ref="N175:O175"/>
    <mergeCell ref="N176:O176"/>
    <mergeCell ref="N177:O177"/>
    <mergeCell ref="N178:O178"/>
    <mergeCell ref="N179:O179"/>
    <mergeCell ref="N180:O180"/>
    <mergeCell ref="L184:M184"/>
    <mergeCell ref="L185:M185"/>
    <mergeCell ref="L186:M186"/>
    <mergeCell ref="L187:M187"/>
    <mergeCell ref="L188:M188"/>
    <mergeCell ref="L189:M189"/>
    <mergeCell ref="L178:M178"/>
    <mergeCell ref="L179:M179"/>
    <mergeCell ref="L180:M180"/>
    <mergeCell ref="L181:M181"/>
    <mergeCell ref="L182:M182"/>
    <mergeCell ref="L183:M183"/>
    <mergeCell ref="J188:K188"/>
    <mergeCell ref="J189:K189"/>
    <mergeCell ref="J190:K190"/>
    <mergeCell ref="J181:K181"/>
    <mergeCell ref="J182:K182"/>
    <mergeCell ref="J183:K183"/>
    <mergeCell ref="J184:K184"/>
    <mergeCell ref="J185:K185"/>
    <mergeCell ref="J186:K186"/>
    <mergeCell ref="H180:I180"/>
    <mergeCell ref="H181:I181"/>
    <mergeCell ref="H182:I182"/>
    <mergeCell ref="H183:I183"/>
    <mergeCell ref="H172:I172"/>
    <mergeCell ref="J178:K178"/>
    <mergeCell ref="J179:K179"/>
    <mergeCell ref="J180:K180"/>
    <mergeCell ref="J187:K187"/>
    <mergeCell ref="H193:I193"/>
    <mergeCell ref="H194:I194"/>
    <mergeCell ref="H190:I190"/>
    <mergeCell ref="H191:I191"/>
    <mergeCell ref="H192:I192"/>
    <mergeCell ref="H177:I177"/>
    <mergeCell ref="H169:I169"/>
    <mergeCell ref="J169:K169"/>
    <mergeCell ref="H167:I167"/>
    <mergeCell ref="J167:K167"/>
    <mergeCell ref="J191:K191"/>
    <mergeCell ref="J192:K192"/>
    <mergeCell ref="H173:I173"/>
    <mergeCell ref="H174:I174"/>
    <mergeCell ref="H175:I175"/>
    <mergeCell ref="H176:I176"/>
    <mergeCell ref="H184:I184"/>
    <mergeCell ref="H185:I185"/>
    <mergeCell ref="H186:I186"/>
    <mergeCell ref="H187:I187"/>
    <mergeCell ref="H188:I188"/>
    <mergeCell ref="H189:I189"/>
    <mergeCell ref="H178:I178"/>
    <mergeCell ref="H179:I179"/>
    <mergeCell ref="N172:O172"/>
    <mergeCell ref="H197:I197"/>
    <mergeCell ref="J197:K197"/>
    <mergeCell ref="H198:I198"/>
    <mergeCell ref="J198:K198"/>
    <mergeCell ref="L198:M198"/>
    <mergeCell ref="N198:O198"/>
    <mergeCell ref="N187:O187"/>
    <mergeCell ref="N188:O188"/>
    <mergeCell ref="N189:O189"/>
    <mergeCell ref="N190:O190"/>
    <mergeCell ref="L190:M190"/>
    <mergeCell ref="L191:M191"/>
    <mergeCell ref="L192:M192"/>
    <mergeCell ref="L197:M197"/>
    <mergeCell ref="N197:O197"/>
    <mergeCell ref="H196:I196"/>
    <mergeCell ref="J196:K196"/>
    <mergeCell ref="L196:M196"/>
    <mergeCell ref="N196:O196"/>
    <mergeCell ref="L193:M193"/>
    <mergeCell ref="L194:M194"/>
    <mergeCell ref="J193:K193"/>
    <mergeCell ref="J194:K19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BA212"/>
  <sheetViews>
    <sheetView zoomScale="83" zoomScaleNormal="120" workbookViewId="0">
      <pane xSplit="1" ySplit="5" topLeftCell="D83" activePane="bottomRight" state="frozen"/>
      <selection pane="topRight" activeCell="B1" sqref="B1"/>
      <selection pane="bottomLeft" activeCell="A6" sqref="A6"/>
      <selection pane="bottomRight" activeCell="AF113" sqref="AF113"/>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6" t="s">
        <v>14</v>
      </c>
    </row>
    <row r="2" spans="1:53" ht="15" customHeight="1" x14ac:dyDescent="0.15">
      <c r="B2" s="16" t="s">
        <v>71</v>
      </c>
    </row>
    <row r="3" spans="1:53" x14ac:dyDescent="0.15">
      <c r="G3" s="415"/>
      <c r="H3" s="415"/>
      <c r="I3" s="415"/>
      <c r="J3" s="415"/>
      <c r="K3" s="415"/>
      <c r="L3" s="415"/>
      <c r="M3" s="415"/>
      <c r="O3" s="415"/>
      <c r="P3" s="415"/>
      <c r="Q3" s="415"/>
    </row>
    <row r="4" spans="1:53" s="181" customFormat="1" ht="12.75" customHeight="1" x14ac:dyDescent="0.15">
      <c r="A4" s="382" t="s">
        <v>3</v>
      </c>
      <c r="B4" s="396" t="s">
        <v>4</v>
      </c>
      <c r="C4" s="382" t="s">
        <v>1262</v>
      </c>
      <c r="D4" s="382"/>
      <c r="E4" s="396" t="s">
        <v>5</v>
      </c>
      <c r="F4" s="428" t="s">
        <v>7</v>
      </c>
      <c r="G4" s="399" t="s">
        <v>1198</v>
      </c>
      <c r="H4" s="382"/>
      <c r="I4" s="382"/>
      <c r="J4" s="384"/>
      <c r="K4" s="399" t="s">
        <v>1199</v>
      </c>
      <c r="L4" s="382"/>
      <c r="M4" s="382"/>
      <c r="N4" s="384"/>
      <c r="O4" s="399" t="s">
        <v>1196</v>
      </c>
      <c r="P4" s="382"/>
      <c r="Q4" s="382"/>
      <c r="R4" s="384"/>
      <c r="S4" s="400" t="s">
        <v>13</v>
      </c>
      <c r="T4" s="449" t="s">
        <v>777</v>
      </c>
      <c r="U4" s="403" t="s">
        <v>4</v>
      </c>
      <c r="V4" s="381" t="s">
        <v>1186</v>
      </c>
      <c r="W4" s="382"/>
      <c r="X4" s="382"/>
      <c r="Y4" s="383"/>
      <c r="Z4" s="381" t="s">
        <v>1187</v>
      </c>
      <c r="AA4" s="382"/>
      <c r="AB4" s="382"/>
      <c r="AC4" s="383"/>
      <c r="AD4" s="381" t="s">
        <v>1188</v>
      </c>
      <c r="AE4" s="382"/>
      <c r="AF4" s="382"/>
      <c r="AG4" s="383"/>
      <c r="AH4" s="381" t="s">
        <v>1189</v>
      </c>
      <c r="AI4" s="382"/>
      <c r="AJ4" s="382"/>
      <c r="AK4" s="383"/>
      <c r="AL4" s="381" t="s">
        <v>1190</v>
      </c>
      <c r="AM4" s="382"/>
      <c r="AN4" s="382"/>
      <c r="AO4" s="383"/>
      <c r="AP4" s="381" t="s">
        <v>1191</v>
      </c>
      <c r="AQ4" s="382"/>
      <c r="AR4" s="382"/>
      <c r="AS4" s="383"/>
      <c r="AT4" s="381" t="s">
        <v>1260</v>
      </c>
      <c r="AU4" s="382"/>
      <c r="AV4" s="382"/>
      <c r="AW4" s="383"/>
      <c r="AX4" s="381" t="s">
        <v>1261</v>
      </c>
      <c r="AY4" s="382"/>
      <c r="AZ4" s="382"/>
      <c r="BA4" s="384"/>
    </row>
    <row r="5" spans="1:53" s="186" customFormat="1" x14ac:dyDescent="0.15">
      <c r="A5" s="395"/>
      <c r="B5" s="397"/>
      <c r="C5" s="398"/>
      <c r="D5" s="398"/>
      <c r="E5" s="397"/>
      <c r="F5" s="429"/>
      <c r="G5" s="182" t="s">
        <v>1192</v>
      </c>
      <c r="H5" s="183" t="s">
        <v>1193</v>
      </c>
      <c r="I5" s="183" t="s">
        <v>1194</v>
      </c>
      <c r="J5" s="184" t="s">
        <v>1195</v>
      </c>
      <c r="K5" s="182" t="s">
        <v>1192</v>
      </c>
      <c r="L5" s="183" t="s">
        <v>1193</v>
      </c>
      <c r="M5" s="183" t="s">
        <v>1194</v>
      </c>
      <c r="N5" s="184" t="s">
        <v>1195</v>
      </c>
      <c r="O5" s="182" t="s">
        <v>1192</v>
      </c>
      <c r="P5" s="183" t="s">
        <v>1193</v>
      </c>
      <c r="Q5" s="183" t="s">
        <v>1194</v>
      </c>
      <c r="R5" s="185" t="s">
        <v>1195</v>
      </c>
      <c r="S5" s="401"/>
      <c r="T5" s="450"/>
      <c r="U5" s="404"/>
      <c r="V5" s="186" t="s">
        <v>23</v>
      </c>
      <c r="W5" s="186" t="s">
        <v>24</v>
      </c>
      <c r="X5" s="186" t="s">
        <v>25</v>
      </c>
      <c r="Y5" s="186" t="s">
        <v>1197</v>
      </c>
      <c r="Z5" s="187" t="s">
        <v>23</v>
      </c>
      <c r="AA5" s="186" t="s">
        <v>24</v>
      </c>
      <c r="AB5" s="186" t="s">
        <v>25</v>
      </c>
      <c r="AC5" s="188" t="s">
        <v>1197</v>
      </c>
      <c r="AD5" s="187" t="s">
        <v>23</v>
      </c>
      <c r="AE5" s="186" t="s">
        <v>24</v>
      </c>
      <c r="AF5" s="186" t="s">
        <v>25</v>
      </c>
      <c r="AG5" s="188" t="s">
        <v>1197</v>
      </c>
      <c r="AH5" s="186" t="s">
        <v>23</v>
      </c>
      <c r="AI5" s="186" t="s">
        <v>24</v>
      </c>
      <c r="AJ5" s="186" t="s">
        <v>25</v>
      </c>
      <c r="AK5" s="186" t="s">
        <v>1197</v>
      </c>
      <c r="AL5" s="187" t="s">
        <v>23</v>
      </c>
      <c r="AM5" s="186" t="s">
        <v>24</v>
      </c>
      <c r="AN5" s="186" t="s">
        <v>25</v>
      </c>
      <c r="AO5" s="188" t="s">
        <v>1197</v>
      </c>
      <c r="AP5" s="187" t="s">
        <v>23</v>
      </c>
      <c r="AQ5" s="186" t="s">
        <v>24</v>
      </c>
      <c r="AR5" s="186" t="s">
        <v>25</v>
      </c>
      <c r="AS5" s="188" t="s">
        <v>1197</v>
      </c>
      <c r="AT5" s="186" t="s">
        <v>23</v>
      </c>
      <c r="AU5" s="186" t="s">
        <v>24</v>
      </c>
      <c r="AV5" s="186" t="s">
        <v>25</v>
      </c>
      <c r="AW5" s="188" t="s">
        <v>1197</v>
      </c>
      <c r="AX5" s="186" t="s">
        <v>23</v>
      </c>
      <c r="AY5" s="186" t="s">
        <v>24</v>
      </c>
      <c r="AZ5" s="186" t="s">
        <v>25</v>
      </c>
      <c r="BA5" s="189" t="s">
        <v>1197</v>
      </c>
    </row>
    <row r="6" spans="1:53" s="140" customFormat="1" x14ac:dyDescent="0.15">
      <c r="A6" s="146">
        <v>1959</v>
      </c>
      <c r="B6" s="296"/>
      <c r="C6" s="416" t="s">
        <v>572</v>
      </c>
      <c r="D6" s="416"/>
      <c r="E6" s="140">
        <v>0</v>
      </c>
      <c r="G6" s="148">
        <v>12</v>
      </c>
      <c r="H6" s="140">
        <v>1</v>
      </c>
      <c r="J6" s="154">
        <v>13</v>
      </c>
      <c r="K6" s="134">
        <f t="shared" ref="K6:M8" si="0">G6/$J6*100</f>
        <v>92.307692307692307</v>
      </c>
      <c r="L6" s="134">
        <f t="shared" si="0"/>
        <v>7.6923076923076925</v>
      </c>
      <c r="M6" s="134">
        <f t="shared" si="0"/>
        <v>0</v>
      </c>
      <c r="N6" s="150">
        <f>K6+L6+M6</f>
        <v>100</v>
      </c>
      <c r="O6" s="133">
        <v>35</v>
      </c>
      <c r="P6" s="134"/>
      <c r="Q6" s="134"/>
      <c r="R6" s="135">
        <f>O6+P6+Q6</f>
        <v>35</v>
      </c>
      <c r="S6" s="140">
        <v>1</v>
      </c>
      <c r="T6" s="308"/>
      <c r="U6" s="296"/>
      <c r="V6" s="139" t="s">
        <v>330</v>
      </c>
      <c r="W6" s="140" t="s">
        <v>74</v>
      </c>
      <c r="X6" s="140" t="s">
        <v>11</v>
      </c>
      <c r="Y6" s="141">
        <v>35</v>
      </c>
      <c r="AD6" s="139"/>
      <c r="AG6" s="141"/>
      <c r="AL6" s="139"/>
      <c r="AO6" s="141"/>
      <c r="AP6" s="139"/>
      <c r="AS6" s="141"/>
      <c r="AW6" s="141"/>
      <c r="BA6" s="142"/>
    </row>
    <row r="7" spans="1:53" s="140" customFormat="1" x14ac:dyDescent="0.15">
      <c r="A7" s="146">
        <v>1959</v>
      </c>
      <c r="B7" s="296"/>
      <c r="C7" s="416" t="s">
        <v>572</v>
      </c>
      <c r="D7" s="416"/>
      <c r="E7" s="140">
        <v>365</v>
      </c>
      <c r="G7" s="148">
        <v>12</v>
      </c>
      <c r="H7" s="140">
        <v>1</v>
      </c>
      <c r="J7" s="154">
        <v>13</v>
      </c>
      <c r="K7" s="134">
        <f t="shared" si="0"/>
        <v>92.307692307692307</v>
      </c>
      <c r="L7" s="134">
        <f t="shared" si="0"/>
        <v>7.6923076923076925</v>
      </c>
      <c r="M7" s="134">
        <f t="shared" si="0"/>
        <v>0</v>
      </c>
      <c r="N7" s="150">
        <f>K7+L7+M7</f>
        <v>100</v>
      </c>
      <c r="O7" s="133">
        <v>35</v>
      </c>
      <c r="P7" s="134"/>
      <c r="Q7" s="134"/>
      <c r="R7" s="135">
        <f>O7+P7+Q7</f>
        <v>35</v>
      </c>
      <c r="S7" s="140">
        <v>1</v>
      </c>
      <c r="T7" s="308"/>
      <c r="U7" s="296"/>
      <c r="V7" s="139" t="s">
        <v>330</v>
      </c>
      <c r="W7" s="140" t="s">
        <v>74</v>
      </c>
      <c r="X7" s="140" t="s">
        <v>11</v>
      </c>
      <c r="Y7" s="141">
        <v>35</v>
      </c>
      <c r="AD7" s="139"/>
      <c r="AG7" s="141"/>
      <c r="AL7" s="139"/>
      <c r="AO7" s="141"/>
      <c r="AP7" s="139"/>
      <c r="AS7" s="141"/>
      <c r="AW7" s="141"/>
      <c r="BA7" s="142"/>
    </row>
    <row r="8" spans="1:53" s="29" customFormat="1" x14ac:dyDescent="0.15">
      <c r="A8" s="52">
        <v>1960</v>
      </c>
      <c r="B8" s="295"/>
      <c r="C8" s="411" t="s">
        <v>572</v>
      </c>
      <c r="D8" s="411"/>
      <c r="E8" s="29">
        <v>312</v>
      </c>
      <c r="G8" s="66">
        <v>12</v>
      </c>
      <c r="H8" s="29">
        <v>1</v>
      </c>
      <c r="J8" s="73">
        <v>13</v>
      </c>
      <c r="K8" s="47">
        <f t="shared" si="0"/>
        <v>92.307692307692307</v>
      </c>
      <c r="L8" s="47">
        <f t="shared" si="0"/>
        <v>7.6923076923076925</v>
      </c>
      <c r="M8" s="47">
        <f t="shared" si="0"/>
        <v>0</v>
      </c>
      <c r="N8" s="68">
        <f>K8+L8+M8</f>
        <v>100</v>
      </c>
      <c r="O8" s="46">
        <v>35</v>
      </c>
      <c r="P8" s="47"/>
      <c r="Q8" s="47"/>
      <c r="R8" s="48">
        <f>O8+P8+Q8</f>
        <v>35</v>
      </c>
      <c r="S8" s="29">
        <v>1</v>
      </c>
      <c r="T8" s="286"/>
      <c r="U8" s="295"/>
      <c r="V8" s="38" t="s">
        <v>330</v>
      </c>
      <c r="W8" s="29" t="s">
        <v>74</v>
      </c>
      <c r="X8" s="29" t="s">
        <v>11</v>
      </c>
      <c r="Y8" s="39">
        <v>35</v>
      </c>
      <c r="Z8" s="84"/>
      <c r="AA8" s="84"/>
      <c r="AB8" s="84"/>
      <c r="AC8" s="84"/>
      <c r="AD8" s="38"/>
      <c r="AG8" s="39"/>
      <c r="AL8" s="38"/>
      <c r="AO8" s="39"/>
      <c r="AP8" s="38"/>
      <c r="AS8" s="39"/>
      <c r="AW8" s="39"/>
      <c r="BA8" s="40"/>
    </row>
    <row r="9" spans="1:53" s="29" customFormat="1" x14ac:dyDescent="0.15">
      <c r="A9" s="52">
        <v>1960</v>
      </c>
      <c r="B9" s="303">
        <v>22228</v>
      </c>
      <c r="C9" s="411" t="s">
        <v>572</v>
      </c>
      <c r="D9" s="411"/>
      <c r="E9" s="29">
        <v>54</v>
      </c>
      <c r="F9" s="84" t="s">
        <v>327</v>
      </c>
      <c r="G9" s="66">
        <v>12</v>
      </c>
      <c r="H9" s="29">
        <v>1</v>
      </c>
      <c r="J9" s="73">
        <v>13</v>
      </c>
      <c r="K9" s="47">
        <f t="shared" ref="K9:M69" si="1">G9/$J9*100</f>
        <v>92.307692307692307</v>
      </c>
      <c r="L9" s="47">
        <f t="shared" si="1"/>
        <v>7.6923076923076925</v>
      </c>
      <c r="M9" s="47">
        <f t="shared" si="1"/>
        <v>0</v>
      </c>
      <c r="N9" s="68">
        <f t="shared" ref="N9:N75" si="2">K9+L9+M9</f>
        <v>100</v>
      </c>
      <c r="O9" s="46">
        <v>40</v>
      </c>
      <c r="P9" s="47"/>
      <c r="Q9" s="47"/>
      <c r="R9" s="48">
        <f>O9+P9+Q9</f>
        <v>40</v>
      </c>
      <c r="S9" s="29">
        <v>1</v>
      </c>
      <c r="T9" s="286">
        <v>22228</v>
      </c>
      <c r="U9" s="295"/>
      <c r="V9" s="38" t="s">
        <v>330</v>
      </c>
      <c r="W9" s="29" t="s">
        <v>74</v>
      </c>
      <c r="X9" s="29" t="s">
        <v>11</v>
      </c>
      <c r="Y9" s="39">
        <v>40</v>
      </c>
      <c r="Z9" s="84"/>
      <c r="AA9" s="84"/>
      <c r="AB9" s="84"/>
      <c r="AC9" s="84"/>
      <c r="AD9" s="38"/>
      <c r="AG9" s="39"/>
      <c r="AL9" s="38"/>
      <c r="AO9" s="39"/>
      <c r="AP9" s="38"/>
      <c r="AS9" s="39"/>
      <c r="AW9" s="39"/>
      <c r="BA9" s="40"/>
    </row>
    <row r="10" spans="1:53" s="29" customFormat="1" x14ac:dyDescent="0.15">
      <c r="A10" s="52">
        <v>1961</v>
      </c>
      <c r="B10" s="295"/>
      <c r="C10" s="411" t="s">
        <v>572</v>
      </c>
      <c r="D10" s="411"/>
      <c r="E10" s="29">
        <v>19</v>
      </c>
      <c r="G10" s="66">
        <v>12</v>
      </c>
      <c r="H10" s="29">
        <v>1</v>
      </c>
      <c r="J10" s="73">
        <v>13</v>
      </c>
      <c r="K10" s="47">
        <f t="shared" si="1"/>
        <v>92.307692307692307</v>
      </c>
      <c r="L10" s="47">
        <f t="shared" si="1"/>
        <v>7.6923076923076925</v>
      </c>
      <c r="M10" s="47">
        <f t="shared" si="1"/>
        <v>0</v>
      </c>
      <c r="N10" s="68">
        <f t="shared" si="2"/>
        <v>100</v>
      </c>
      <c r="O10" s="46">
        <v>40</v>
      </c>
      <c r="P10" s="47"/>
      <c r="Q10" s="47"/>
      <c r="R10" s="48">
        <f t="shared" ref="R10:R75" si="3">O10+P10+Q10</f>
        <v>40</v>
      </c>
      <c r="S10" s="29">
        <v>1</v>
      </c>
      <c r="T10" s="286"/>
      <c r="U10" s="295"/>
      <c r="V10" s="38" t="s">
        <v>330</v>
      </c>
      <c r="W10" s="29" t="s">
        <v>74</v>
      </c>
      <c r="X10" s="29" t="s">
        <v>11</v>
      </c>
      <c r="Y10" s="39">
        <v>40</v>
      </c>
      <c r="Z10" s="84"/>
      <c r="AA10" s="84"/>
      <c r="AB10" s="84"/>
      <c r="AC10" s="84"/>
      <c r="AD10" s="38"/>
      <c r="AG10" s="39"/>
      <c r="AL10" s="38"/>
      <c r="AO10" s="39"/>
      <c r="AP10" s="38"/>
      <c r="AS10" s="39"/>
      <c r="AW10" s="39"/>
      <c r="BA10" s="40"/>
    </row>
    <row r="11" spans="1:53" s="171" customFormat="1" x14ac:dyDescent="0.15">
      <c r="A11" s="216">
        <v>1961</v>
      </c>
      <c r="B11" s="283">
        <v>22301</v>
      </c>
      <c r="C11" s="410" t="s">
        <v>573</v>
      </c>
      <c r="D11" s="410"/>
      <c r="E11" s="171">
        <f>365-E10</f>
        <v>346</v>
      </c>
      <c r="F11" s="171">
        <v>1</v>
      </c>
      <c r="G11" s="233">
        <v>1</v>
      </c>
      <c r="H11" s="171">
        <v>14</v>
      </c>
      <c r="J11" s="241">
        <v>15</v>
      </c>
      <c r="K11" s="214">
        <f t="shared" si="1"/>
        <v>6.666666666666667</v>
      </c>
      <c r="L11" s="214">
        <f t="shared" si="1"/>
        <v>93.333333333333329</v>
      </c>
      <c r="M11" s="214">
        <f t="shared" si="1"/>
        <v>0</v>
      </c>
      <c r="N11" s="235">
        <f t="shared" si="2"/>
        <v>100</v>
      </c>
      <c r="O11" s="213"/>
      <c r="P11" s="214">
        <v>60</v>
      </c>
      <c r="Q11" s="214"/>
      <c r="R11" s="215">
        <f t="shared" si="3"/>
        <v>60</v>
      </c>
      <c r="S11" s="171">
        <v>1</v>
      </c>
      <c r="T11" s="285"/>
      <c r="U11" s="283">
        <v>22301</v>
      </c>
      <c r="V11" s="178" t="s">
        <v>130</v>
      </c>
      <c r="W11" s="171" t="s">
        <v>22</v>
      </c>
      <c r="X11" s="171" t="s">
        <v>18</v>
      </c>
      <c r="Y11" s="179">
        <v>60</v>
      </c>
      <c r="Z11" s="244"/>
      <c r="AA11" s="244"/>
      <c r="AB11" s="244"/>
      <c r="AC11" s="244"/>
      <c r="AD11" s="178"/>
      <c r="AG11" s="179"/>
      <c r="AL11" s="178"/>
      <c r="AO11" s="179"/>
      <c r="AP11" s="178"/>
      <c r="AS11" s="179"/>
      <c r="AW11" s="179"/>
      <c r="BA11" s="180"/>
    </row>
    <row r="12" spans="1:53" s="171" customFormat="1" x14ac:dyDescent="0.15">
      <c r="A12" s="216">
        <v>1962</v>
      </c>
      <c r="B12" s="283"/>
      <c r="C12" s="410" t="s">
        <v>573</v>
      </c>
      <c r="D12" s="410"/>
      <c r="E12" s="171">
        <v>309</v>
      </c>
      <c r="G12" s="233">
        <v>1</v>
      </c>
      <c r="H12" s="171">
        <v>14</v>
      </c>
      <c r="J12" s="241">
        <v>15</v>
      </c>
      <c r="K12" s="214">
        <f t="shared" si="1"/>
        <v>6.666666666666667</v>
      </c>
      <c r="L12" s="214">
        <f t="shared" si="1"/>
        <v>93.333333333333329</v>
      </c>
      <c r="M12" s="214">
        <f t="shared" si="1"/>
        <v>0</v>
      </c>
      <c r="N12" s="235">
        <f t="shared" si="2"/>
        <v>100</v>
      </c>
      <c r="O12" s="213"/>
      <c r="P12" s="214">
        <v>60</v>
      </c>
      <c r="Q12" s="214"/>
      <c r="R12" s="215">
        <f t="shared" si="3"/>
        <v>60</v>
      </c>
      <c r="S12" s="171">
        <v>1</v>
      </c>
      <c r="T12" s="285"/>
      <c r="U12" s="283"/>
      <c r="V12" s="178" t="s">
        <v>130</v>
      </c>
      <c r="W12" s="171" t="s">
        <v>22</v>
      </c>
      <c r="X12" s="171" t="s">
        <v>18</v>
      </c>
      <c r="Y12" s="179">
        <v>60</v>
      </c>
      <c r="Z12" s="244"/>
      <c r="AA12" s="244"/>
      <c r="AB12" s="244"/>
      <c r="AC12" s="244"/>
      <c r="AD12" s="178"/>
      <c r="AG12" s="179"/>
      <c r="AL12" s="178"/>
      <c r="AO12" s="179"/>
      <c r="AP12" s="178"/>
      <c r="AS12" s="179"/>
      <c r="AW12" s="179"/>
      <c r="BA12" s="180"/>
    </row>
    <row r="13" spans="1:53" s="171" customFormat="1" x14ac:dyDescent="0.15">
      <c r="A13" s="216">
        <v>1962</v>
      </c>
      <c r="B13" s="305">
        <v>22956</v>
      </c>
      <c r="C13" s="410" t="s">
        <v>573</v>
      </c>
      <c r="D13" s="410"/>
      <c r="E13" s="171">
        <v>56</v>
      </c>
      <c r="F13" s="244" t="s">
        <v>327</v>
      </c>
      <c r="G13" s="233">
        <v>1</v>
      </c>
      <c r="H13" s="171">
        <v>14</v>
      </c>
      <c r="J13" s="241">
        <v>15</v>
      </c>
      <c r="K13" s="214">
        <f t="shared" si="1"/>
        <v>6.666666666666667</v>
      </c>
      <c r="L13" s="214">
        <f t="shared" si="1"/>
        <v>93.333333333333329</v>
      </c>
      <c r="M13" s="214">
        <f t="shared" si="1"/>
        <v>0</v>
      </c>
      <c r="N13" s="235">
        <f t="shared" si="2"/>
        <v>100</v>
      </c>
      <c r="O13" s="213"/>
      <c r="P13" s="214">
        <v>59.5</v>
      </c>
      <c r="Q13" s="214"/>
      <c r="R13" s="215">
        <f t="shared" si="3"/>
        <v>59.5</v>
      </c>
      <c r="S13" s="171">
        <v>1</v>
      </c>
      <c r="T13" s="285">
        <v>22956</v>
      </c>
      <c r="U13" s="283"/>
      <c r="V13" s="178" t="s">
        <v>130</v>
      </c>
      <c r="W13" s="171" t="s">
        <v>22</v>
      </c>
      <c r="X13" s="171" t="s">
        <v>18</v>
      </c>
      <c r="Y13" s="179">
        <v>59.5</v>
      </c>
      <c r="Z13" s="244"/>
      <c r="AA13" s="244"/>
      <c r="AB13" s="244"/>
      <c r="AC13" s="244"/>
      <c r="AD13" s="178"/>
      <c r="AG13" s="179"/>
      <c r="AL13" s="178"/>
      <c r="AO13" s="179"/>
      <c r="AP13" s="178"/>
      <c r="AS13" s="179"/>
      <c r="AW13" s="179"/>
      <c r="BA13" s="180"/>
    </row>
    <row r="14" spans="1:53" s="171" customFormat="1" x14ac:dyDescent="0.15">
      <c r="A14" s="216">
        <v>1962.6</v>
      </c>
      <c r="B14" s="283"/>
      <c r="C14" s="410" t="s">
        <v>573</v>
      </c>
      <c r="D14" s="410"/>
      <c r="E14" s="171">
        <v>305</v>
      </c>
      <c r="G14" s="233">
        <v>1</v>
      </c>
      <c r="H14" s="171">
        <v>14</v>
      </c>
      <c r="J14" s="241">
        <v>15</v>
      </c>
      <c r="K14" s="214">
        <f t="shared" si="1"/>
        <v>6.666666666666667</v>
      </c>
      <c r="L14" s="214">
        <f t="shared" si="1"/>
        <v>93.333333333333329</v>
      </c>
      <c r="M14" s="214">
        <f t="shared" si="1"/>
        <v>0</v>
      </c>
      <c r="N14" s="235">
        <f t="shared" si="2"/>
        <v>100</v>
      </c>
      <c r="O14" s="213"/>
      <c r="P14" s="214">
        <v>59.5</v>
      </c>
      <c r="Q14" s="214"/>
      <c r="R14" s="215">
        <f t="shared" si="3"/>
        <v>59.5</v>
      </c>
      <c r="S14" s="171">
        <v>1</v>
      </c>
      <c r="T14" s="285"/>
      <c r="U14" s="283"/>
      <c r="V14" s="178" t="s">
        <v>130</v>
      </c>
      <c r="W14" s="171" t="s">
        <v>22</v>
      </c>
      <c r="X14" s="171" t="s">
        <v>18</v>
      </c>
      <c r="Y14" s="179">
        <v>59.5</v>
      </c>
      <c r="Z14" s="244"/>
      <c r="AA14" s="244"/>
      <c r="AB14" s="244"/>
      <c r="AC14" s="244"/>
      <c r="AD14" s="178"/>
      <c r="AG14" s="179"/>
      <c r="AL14" s="178"/>
      <c r="AO14" s="179"/>
      <c r="AP14" s="178"/>
      <c r="AS14" s="179"/>
      <c r="AW14" s="179"/>
      <c r="BA14" s="180"/>
    </row>
    <row r="15" spans="1:53" s="171" customFormat="1" x14ac:dyDescent="0.15">
      <c r="A15" s="216">
        <v>1963</v>
      </c>
      <c r="B15" s="305">
        <v>23317</v>
      </c>
      <c r="C15" s="410" t="s">
        <v>573</v>
      </c>
      <c r="D15" s="410"/>
      <c r="E15" s="171">
        <v>20</v>
      </c>
      <c r="F15" s="244">
        <v>0</v>
      </c>
      <c r="G15" s="233">
        <v>1</v>
      </c>
      <c r="H15" s="171">
        <v>13</v>
      </c>
      <c r="J15" s="241">
        <v>14</v>
      </c>
      <c r="K15" s="214">
        <f t="shared" si="1"/>
        <v>7.1428571428571423</v>
      </c>
      <c r="L15" s="214">
        <f t="shared" si="1"/>
        <v>92.857142857142861</v>
      </c>
      <c r="M15" s="214">
        <f t="shared" si="1"/>
        <v>0</v>
      </c>
      <c r="N15" s="235">
        <f t="shared" si="2"/>
        <v>100</v>
      </c>
      <c r="O15" s="213"/>
      <c r="P15" s="214">
        <v>59.5</v>
      </c>
      <c r="Q15" s="214"/>
      <c r="R15" s="215">
        <f t="shared" si="3"/>
        <v>59.5</v>
      </c>
      <c r="S15" s="171">
        <v>1</v>
      </c>
      <c r="T15" s="285"/>
      <c r="U15" s="283"/>
      <c r="V15" s="178" t="s">
        <v>130</v>
      </c>
      <c r="W15" s="171" t="s">
        <v>22</v>
      </c>
      <c r="X15" s="171" t="s">
        <v>18</v>
      </c>
      <c r="Y15" s="179">
        <v>59.5</v>
      </c>
      <c r="Z15" s="244"/>
      <c r="AA15" s="244"/>
      <c r="AB15" s="244"/>
      <c r="AC15" s="244"/>
      <c r="AD15" s="178"/>
      <c r="AG15" s="179"/>
      <c r="AL15" s="178"/>
      <c r="AO15" s="179"/>
      <c r="AP15" s="178"/>
      <c r="AS15" s="179"/>
      <c r="AW15" s="179"/>
      <c r="BA15" s="180"/>
    </row>
    <row r="16" spans="1:53" s="29" customFormat="1" x14ac:dyDescent="0.15">
      <c r="A16" s="52">
        <v>1963.05714285714</v>
      </c>
      <c r="B16" s="295">
        <v>23337</v>
      </c>
      <c r="C16" s="411" t="s">
        <v>574</v>
      </c>
      <c r="D16" s="411"/>
      <c r="E16" s="29">
        <f>365-E15-E14</f>
        <v>40</v>
      </c>
      <c r="F16" s="29" t="s">
        <v>335</v>
      </c>
      <c r="G16" s="66">
        <v>1</v>
      </c>
      <c r="H16" s="29">
        <v>13</v>
      </c>
      <c r="J16" s="73">
        <v>14</v>
      </c>
      <c r="K16" s="47">
        <f t="shared" si="1"/>
        <v>7.1428571428571423</v>
      </c>
      <c r="L16" s="47">
        <f t="shared" si="1"/>
        <v>92.857142857142861</v>
      </c>
      <c r="M16" s="47">
        <f t="shared" si="1"/>
        <v>0</v>
      </c>
      <c r="N16" s="68">
        <f t="shared" si="2"/>
        <v>100</v>
      </c>
      <c r="O16" s="46"/>
      <c r="P16" s="47">
        <v>59.5</v>
      </c>
      <c r="Q16" s="47"/>
      <c r="R16" s="48">
        <f t="shared" si="3"/>
        <v>59.5</v>
      </c>
      <c r="S16" s="29">
        <v>1</v>
      </c>
      <c r="T16" s="286"/>
      <c r="U16" s="295">
        <v>23337</v>
      </c>
      <c r="V16" s="38" t="s">
        <v>130</v>
      </c>
      <c r="W16" s="29" t="s">
        <v>22</v>
      </c>
      <c r="X16" s="29" t="s">
        <v>18</v>
      </c>
      <c r="Y16" s="39">
        <v>59.5</v>
      </c>
      <c r="Z16" s="84"/>
      <c r="AA16" s="84"/>
      <c r="AB16" s="84"/>
      <c r="AC16" s="84"/>
      <c r="AD16" s="38"/>
      <c r="AG16" s="39"/>
      <c r="AL16" s="38"/>
      <c r="AO16" s="39"/>
      <c r="AP16" s="38"/>
      <c r="AS16" s="39"/>
      <c r="AW16" s="39"/>
      <c r="BA16" s="40"/>
    </row>
    <row r="17" spans="1:53" s="29" customFormat="1" x14ac:dyDescent="0.15">
      <c r="A17" s="52">
        <v>1963.5142857142901</v>
      </c>
      <c r="B17" s="295"/>
      <c r="C17" s="411" t="s">
        <v>574</v>
      </c>
      <c r="D17" s="411"/>
      <c r="E17" s="29">
        <v>307</v>
      </c>
      <c r="F17" s="84"/>
      <c r="G17" s="66">
        <v>1</v>
      </c>
      <c r="H17" s="29">
        <v>13</v>
      </c>
      <c r="J17" s="73">
        <v>14</v>
      </c>
      <c r="K17" s="47">
        <f t="shared" si="1"/>
        <v>7.1428571428571423</v>
      </c>
      <c r="L17" s="47">
        <f t="shared" si="1"/>
        <v>92.857142857142861</v>
      </c>
      <c r="M17" s="47">
        <f t="shared" si="1"/>
        <v>0</v>
      </c>
      <c r="N17" s="68">
        <f t="shared" si="2"/>
        <v>100</v>
      </c>
      <c r="O17" s="46"/>
      <c r="P17" s="47">
        <v>59.5</v>
      </c>
      <c r="Q17" s="47"/>
      <c r="R17" s="48">
        <f t="shared" si="3"/>
        <v>59.5</v>
      </c>
      <c r="S17" s="29">
        <v>1</v>
      </c>
      <c r="T17" s="286"/>
      <c r="U17" s="295"/>
      <c r="V17" s="38" t="s">
        <v>130</v>
      </c>
      <c r="W17" s="29" t="s">
        <v>22</v>
      </c>
      <c r="X17" s="29" t="s">
        <v>18</v>
      </c>
      <c r="Y17" s="39">
        <v>59.5</v>
      </c>
      <c r="Z17" s="84"/>
      <c r="AA17" s="84"/>
      <c r="AB17" s="84"/>
      <c r="AC17" s="84"/>
      <c r="AD17" s="38"/>
      <c r="AG17" s="39"/>
      <c r="AL17" s="38"/>
      <c r="AO17" s="39"/>
      <c r="AP17" s="38"/>
      <c r="AS17" s="39"/>
      <c r="AW17" s="39"/>
      <c r="BA17" s="40"/>
    </row>
    <row r="18" spans="1:53" s="29" customFormat="1" x14ac:dyDescent="0.15">
      <c r="A18" s="52">
        <v>1963.9714285714299</v>
      </c>
      <c r="B18" s="303">
        <v>23684</v>
      </c>
      <c r="C18" s="411" t="s">
        <v>574</v>
      </c>
      <c r="D18" s="411"/>
      <c r="E18" s="29">
        <v>59</v>
      </c>
      <c r="F18" s="84" t="s">
        <v>327</v>
      </c>
      <c r="G18" s="66">
        <v>1</v>
      </c>
      <c r="H18" s="29">
        <v>13</v>
      </c>
      <c r="J18" s="73">
        <v>14</v>
      </c>
      <c r="K18" s="47">
        <f t="shared" si="1"/>
        <v>7.1428571428571423</v>
      </c>
      <c r="L18" s="47">
        <f t="shared" si="1"/>
        <v>92.857142857142861</v>
      </c>
      <c r="M18" s="47">
        <f t="shared" si="1"/>
        <v>0</v>
      </c>
      <c r="N18" s="68">
        <f t="shared" si="2"/>
        <v>100</v>
      </c>
      <c r="O18" s="46"/>
      <c r="P18" s="47">
        <v>67.8</v>
      </c>
      <c r="Q18" s="47"/>
      <c r="R18" s="48">
        <f t="shared" si="3"/>
        <v>67.8</v>
      </c>
      <c r="S18" s="29">
        <v>1</v>
      </c>
      <c r="T18" s="286">
        <v>23684</v>
      </c>
      <c r="U18" s="295"/>
      <c r="V18" s="38" t="s">
        <v>130</v>
      </c>
      <c r="W18" s="29" t="s">
        <v>22</v>
      </c>
      <c r="X18" s="29" t="s">
        <v>18</v>
      </c>
      <c r="Y18" s="39">
        <v>67.8</v>
      </c>
      <c r="Z18" s="84"/>
      <c r="AA18" s="84"/>
      <c r="AB18" s="84"/>
      <c r="AC18" s="84"/>
      <c r="AD18" s="38"/>
      <c r="AG18" s="39"/>
      <c r="AL18" s="38"/>
      <c r="AO18" s="39"/>
      <c r="AP18" s="38"/>
      <c r="AS18" s="39"/>
      <c r="AW18" s="39"/>
      <c r="BA18" s="40"/>
    </row>
    <row r="19" spans="1:53" s="29" customFormat="1" x14ac:dyDescent="0.15">
      <c r="A19" s="52">
        <v>1965</v>
      </c>
      <c r="B19" s="295"/>
      <c r="C19" s="411" t="s">
        <v>574</v>
      </c>
      <c r="D19" s="411"/>
      <c r="E19" s="29">
        <v>19</v>
      </c>
      <c r="G19" s="66">
        <v>1</v>
      </c>
      <c r="H19" s="29">
        <v>13</v>
      </c>
      <c r="J19" s="73">
        <v>14</v>
      </c>
      <c r="K19" s="47">
        <f t="shared" si="1"/>
        <v>7.1428571428571423</v>
      </c>
      <c r="L19" s="47">
        <f t="shared" si="1"/>
        <v>92.857142857142861</v>
      </c>
      <c r="M19" s="47">
        <f t="shared" si="1"/>
        <v>0</v>
      </c>
      <c r="N19" s="68">
        <f t="shared" si="2"/>
        <v>100</v>
      </c>
      <c r="O19" s="46"/>
      <c r="P19" s="47">
        <v>67.8</v>
      </c>
      <c r="Q19" s="47"/>
      <c r="R19" s="48">
        <f t="shared" si="3"/>
        <v>67.8</v>
      </c>
      <c r="S19" s="29">
        <v>1</v>
      </c>
      <c r="T19" s="286"/>
      <c r="U19" s="295"/>
      <c r="V19" s="38" t="s">
        <v>130</v>
      </c>
      <c r="W19" s="29" t="s">
        <v>22</v>
      </c>
      <c r="X19" s="29" t="s">
        <v>18</v>
      </c>
      <c r="Y19" s="39">
        <v>67.8</v>
      </c>
      <c r="Z19" s="84"/>
      <c r="AA19" s="84"/>
      <c r="AB19" s="84"/>
      <c r="AC19" s="84"/>
      <c r="AD19" s="38"/>
      <c r="AG19" s="39"/>
      <c r="AL19" s="38"/>
      <c r="AO19" s="39"/>
      <c r="AP19" s="38"/>
      <c r="AS19" s="39"/>
      <c r="AW19" s="39"/>
      <c r="BA19" s="40"/>
    </row>
    <row r="20" spans="1:53" s="171" customFormat="1" x14ac:dyDescent="0.15">
      <c r="A20" s="216">
        <v>1964.88571428572</v>
      </c>
      <c r="B20" s="283">
        <v>23762</v>
      </c>
      <c r="C20" s="410" t="s">
        <v>575</v>
      </c>
      <c r="D20" s="410"/>
      <c r="E20" s="171">
        <v>71</v>
      </c>
      <c r="F20" s="171">
        <v>1</v>
      </c>
      <c r="G20" s="233">
        <v>1</v>
      </c>
      <c r="H20" s="171">
        <v>14</v>
      </c>
      <c r="J20" s="241">
        <v>15</v>
      </c>
      <c r="K20" s="214">
        <f t="shared" si="1"/>
        <v>6.666666666666667</v>
      </c>
      <c r="L20" s="214">
        <f t="shared" si="1"/>
        <v>93.333333333333329</v>
      </c>
      <c r="M20" s="214">
        <f t="shared" si="1"/>
        <v>0</v>
      </c>
      <c r="N20" s="235">
        <f t="shared" si="2"/>
        <v>100</v>
      </c>
      <c r="O20" s="213"/>
      <c r="P20" s="214">
        <v>67.8</v>
      </c>
      <c r="Q20" s="214"/>
      <c r="R20" s="215">
        <f t="shared" si="3"/>
        <v>67.8</v>
      </c>
      <c r="S20" s="171">
        <v>1</v>
      </c>
      <c r="T20" s="285"/>
      <c r="U20" s="283">
        <v>23762</v>
      </c>
      <c r="V20" s="178" t="s">
        <v>130</v>
      </c>
      <c r="W20" s="171" t="s">
        <v>22</v>
      </c>
      <c r="X20" s="171" t="s">
        <v>18</v>
      </c>
      <c r="Y20" s="179">
        <v>67.8</v>
      </c>
      <c r="Z20" s="244"/>
      <c r="AA20" s="244"/>
      <c r="AB20" s="244"/>
      <c r="AC20" s="244"/>
      <c r="AD20" s="178"/>
      <c r="AG20" s="179"/>
      <c r="AL20" s="178"/>
      <c r="AO20" s="179"/>
      <c r="AP20" s="178"/>
      <c r="AS20" s="179"/>
      <c r="AW20" s="179"/>
      <c r="BA20" s="180"/>
    </row>
    <row r="21" spans="1:53" s="171" customFormat="1" x14ac:dyDescent="0.15">
      <c r="A21" s="216">
        <v>1965</v>
      </c>
      <c r="B21" s="305">
        <v>23833</v>
      </c>
      <c r="C21" s="410" t="s">
        <v>575</v>
      </c>
      <c r="D21" s="410"/>
      <c r="E21" s="171">
        <v>139</v>
      </c>
      <c r="F21" s="244">
        <v>0</v>
      </c>
      <c r="G21" s="233">
        <v>2</v>
      </c>
      <c r="H21" s="171">
        <v>13</v>
      </c>
      <c r="J21" s="241">
        <v>15</v>
      </c>
      <c r="K21" s="214">
        <f t="shared" si="1"/>
        <v>13.333333333333334</v>
      </c>
      <c r="L21" s="214">
        <f t="shared" si="1"/>
        <v>86.666666666666671</v>
      </c>
      <c r="M21" s="214">
        <f t="shared" si="1"/>
        <v>0</v>
      </c>
      <c r="N21" s="235">
        <f t="shared" si="2"/>
        <v>100</v>
      </c>
      <c r="O21" s="213"/>
      <c r="P21" s="214">
        <v>67.8</v>
      </c>
      <c r="Q21" s="214"/>
      <c r="R21" s="215">
        <f t="shared" si="3"/>
        <v>67.8</v>
      </c>
      <c r="S21" s="171">
        <v>1</v>
      </c>
      <c r="T21" s="285"/>
      <c r="U21" s="283"/>
      <c r="V21" s="178" t="s">
        <v>130</v>
      </c>
      <c r="W21" s="171" t="s">
        <v>22</v>
      </c>
      <c r="X21" s="171" t="s">
        <v>18</v>
      </c>
      <c r="Y21" s="179">
        <v>67.8</v>
      </c>
      <c r="Z21" s="244"/>
      <c r="AA21" s="244"/>
      <c r="AB21" s="244"/>
      <c r="AC21" s="244"/>
      <c r="AD21" s="178"/>
      <c r="AG21" s="179"/>
      <c r="AL21" s="178"/>
      <c r="AO21" s="179"/>
      <c r="AP21" s="178"/>
      <c r="AS21" s="179"/>
      <c r="AW21" s="179"/>
      <c r="BA21" s="180"/>
    </row>
    <row r="22" spans="1:53" s="171" customFormat="1" x14ac:dyDescent="0.15">
      <c r="A22" s="216">
        <v>1965</v>
      </c>
      <c r="B22" s="305">
        <v>23972</v>
      </c>
      <c r="C22" s="410" t="s">
        <v>575</v>
      </c>
      <c r="D22" s="410"/>
      <c r="E22" s="171">
        <f xml:space="preserve"> 365-E21-E20-E19</f>
        <v>136</v>
      </c>
      <c r="F22" s="244">
        <v>0</v>
      </c>
      <c r="G22" s="233">
        <v>3</v>
      </c>
      <c r="H22" s="171">
        <v>12</v>
      </c>
      <c r="J22" s="241">
        <v>15</v>
      </c>
      <c r="K22" s="214">
        <f t="shared" si="1"/>
        <v>20</v>
      </c>
      <c r="L22" s="214">
        <f t="shared" si="1"/>
        <v>80</v>
      </c>
      <c r="M22" s="214">
        <f t="shared" si="1"/>
        <v>0</v>
      </c>
      <c r="N22" s="235">
        <f t="shared" si="2"/>
        <v>100</v>
      </c>
      <c r="O22" s="213"/>
      <c r="P22" s="214">
        <v>67.8</v>
      </c>
      <c r="Q22" s="214"/>
      <c r="R22" s="215">
        <f t="shared" si="3"/>
        <v>67.8</v>
      </c>
      <c r="S22" s="171">
        <v>1</v>
      </c>
      <c r="T22" s="285"/>
      <c r="U22" s="283"/>
      <c r="V22" s="178" t="s">
        <v>130</v>
      </c>
      <c r="W22" s="171" t="s">
        <v>22</v>
      </c>
      <c r="X22" s="171" t="s">
        <v>18</v>
      </c>
      <c r="Y22" s="179">
        <v>67.8</v>
      </c>
      <c r="Z22" s="244"/>
      <c r="AA22" s="244"/>
      <c r="AB22" s="244"/>
      <c r="AC22" s="244"/>
      <c r="AD22" s="178"/>
      <c r="AG22" s="179"/>
      <c r="AL22" s="178"/>
      <c r="AO22" s="179"/>
      <c r="AP22" s="178"/>
      <c r="AS22" s="179"/>
      <c r="AW22" s="179"/>
      <c r="BA22" s="180"/>
    </row>
    <row r="23" spans="1:53" s="171" customFormat="1" x14ac:dyDescent="0.15">
      <c r="A23" s="216">
        <v>1966</v>
      </c>
      <c r="B23" s="305"/>
      <c r="C23" s="410" t="s">
        <v>575</v>
      </c>
      <c r="D23" s="410"/>
      <c r="E23" s="171">
        <v>17</v>
      </c>
      <c r="F23" s="244"/>
      <c r="G23" s="233">
        <v>3</v>
      </c>
      <c r="H23" s="171">
        <v>12</v>
      </c>
      <c r="J23" s="241">
        <v>15</v>
      </c>
      <c r="K23" s="214">
        <f t="shared" si="1"/>
        <v>20</v>
      </c>
      <c r="L23" s="214">
        <f t="shared" si="1"/>
        <v>80</v>
      </c>
      <c r="M23" s="214">
        <f t="shared" si="1"/>
        <v>0</v>
      </c>
      <c r="N23" s="235">
        <f t="shared" si="2"/>
        <v>100</v>
      </c>
      <c r="O23" s="213"/>
      <c r="P23" s="214">
        <v>67.8</v>
      </c>
      <c r="Q23" s="214"/>
      <c r="R23" s="215">
        <f t="shared" si="3"/>
        <v>67.8</v>
      </c>
      <c r="S23" s="171">
        <v>1</v>
      </c>
      <c r="T23" s="285"/>
      <c r="U23" s="283"/>
      <c r="V23" s="178" t="s">
        <v>130</v>
      </c>
      <c r="W23" s="171" t="s">
        <v>22</v>
      </c>
      <c r="X23" s="171" t="s">
        <v>18</v>
      </c>
      <c r="Y23" s="179">
        <v>67.8</v>
      </c>
      <c r="Z23" s="244"/>
      <c r="AA23" s="244"/>
      <c r="AB23" s="244"/>
      <c r="AC23" s="244"/>
      <c r="AD23" s="178"/>
      <c r="AG23" s="179"/>
      <c r="AL23" s="178"/>
      <c r="AO23" s="179"/>
      <c r="AP23" s="178"/>
      <c r="AS23" s="179"/>
      <c r="AW23" s="179"/>
      <c r="BA23" s="180"/>
    </row>
    <row r="24" spans="1:53" s="171" customFormat="1" x14ac:dyDescent="0.15">
      <c r="A24" s="216">
        <v>1965.8</v>
      </c>
      <c r="B24" s="305">
        <v>24125</v>
      </c>
      <c r="C24" s="410" t="s">
        <v>575</v>
      </c>
      <c r="D24" s="410"/>
      <c r="E24" s="171">
        <v>294</v>
      </c>
      <c r="F24" s="244">
        <v>0</v>
      </c>
      <c r="G24" s="233">
        <v>3</v>
      </c>
      <c r="H24" s="171">
        <v>13</v>
      </c>
      <c r="J24" s="241">
        <v>16</v>
      </c>
      <c r="K24" s="214">
        <f>G24/$J24*100</f>
        <v>18.75</v>
      </c>
      <c r="L24" s="214">
        <f>H24/$J24*100</f>
        <v>81.25</v>
      </c>
      <c r="M24" s="214">
        <f>I24/$J24*100</f>
        <v>0</v>
      </c>
      <c r="N24" s="235">
        <f>K24+L24+M24</f>
        <v>100</v>
      </c>
      <c r="O24" s="213"/>
      <c r="P24" s="214">
        <v>67.8</v>
      </c>
      <c r="Q24" s="214"/>
      <c r="R24" s="215">
        <f>O24+P24+Q24</f>
        <v>67.8</v>
      </c>
      <c r="S24" s="171">
        <v>1</v>
      </c>
      <c r="T24" s="285"/>
      <c r="U24" s="283"/>
      <c r="V24" s="178" t="s">
        <v>130</v>
      </c>
      <c r="W24" s="171" t="s">
        <v>22</v>
      </c>
      <c r="X24" s="171" t="s">
        <v>18</v>
      </c>
      <c r="Y24" s="179">
        <v>67.8</v>
      </c>
      <c r="Z24" s="244"/>
      <c r="AA24" s="244"/>
      <c r="AB24" s="244"/>
      <c r="AC24" s="244"/>
      <c r="AD24" s="178"/>
      <c r="AG24" s="179"/>
      <c r="AL24" s="178"/>
      <c r="AO24" s="179"/>
      <c r="AP24" s="178"/>
      <c r="AS24" s="179"/>
      <c r="AW24" s="179"/>
      <c r="BA24" s="180"/>
    </row>
    <row r="25" spans="1:53" s="171" customFormat="1" x14ac:dyDescent="0.15">
      <c r="A25" s="216">
        <v>1965.8</v>
      </c>
      <c r="B25" s="305">
        <v>24419</v>
      </c>
      <c r="C25" s="410" t="s">
        <v>575</v>
      </c>
      <c r="D25" s="410"/>
      <c r="E25" s="171">
        <v>54</v>
      </c>
      <c r="F25" s="244" t="s">
        <v>327</v>
      </c>
      <c r="G25" s="233">
        <v>3</v>
      </c>
      <c r="H25" s="171">
        <v>13</v>
      </c>
      <c r="J25" s="241">
        <v>16</v>
      </c>
      <c r="K25" s="214">
        <f t="shared" si="1"/>
        <v>18.75</v>
      </c>
      <c r="L25" s="214">
        <f t="shared" si="1"/>
        <v>81.25</v>
      </c>
      <c r="M25" s="214">
        <f t="shared" si="1"/>
        <v>0</v>
      </c>
      <c r="N25" s="235">
        <f t="shared" si="2"/>
        <v>100</v>
      </c>
      <c r="O25" s="213"/>
      <c r="P25" s="214">
        <v>57.2</v>
      </c>
      <c r="Q25" s="214"/>
      <c r="R25" s="215">
        <f t="shared" si="3"/>
        <v>57.2</v>
      </c>
      <c r="S25" s="171">
        <v>1</v>
      </c>
      <c r="T25" s="285">
        <v>24419</v>
      </c>
      <c r="U25" s="283"/>
      <c r="V25" s="178" t="s">
        <v>130</v>
      </c>
      <c r="W25" s="171" t="s">
        <v>22</v>
      </c>
      <c r="X25" s="171" t="s">
        <v>18</v>
      </c>
      <c r="Y25" s="179">
        <v>57.2</v>
      </c>
      <c r="Z25" s="244"/>
      <c r="AA25" s="244"/>
      <c r="AB25" s="244"/>
      <c r="AC25" s="244"/>
      <c r="AD25" s="178"/>
      <c r="AG25" s="179"/>
      <c r="AL25" s="178"/>
      <c r="AO25" s="179"/>
      <c r="AP25" s="178"/>
      <c r="AS25" s="179"/>
      <c r="AW25" s="179"/>
      <c r="BA25" s="180"/>
    </row>
    <row r="26" spans="1:53" s="171" customFormat="1" x14ac:dyDescent="0.15">
      <c r="A26" s="216">
        <v>1967</v>
      </c>
      <c r="B26" s="305"/>
      <c r="C26" s="410" t="s">
        <v>575</v>
      </c>
      <c r="D26" s="410"/>
      <c r="E26" s="171">
        <v>0</v>
      </c>
      <c r="F26" s="244"/>
      <c r="G26" s="233">
        <v>3</v>
      </c>
      <c r="H26" s="171">
        <v>13</v>
      </c>
      <c r="J26" s="241">
        <v>16</v>
      </c>
      <c r="K26" s="214">
        <f t="shared" si="1"/>
        <v>18.75</v>
      </c>
      <c r="L26" s="214">
        <f t="shared" si="1"/>
        <v>81.25</v>
      </c>
      <c r="M26" s="214">
        <f t="shared" si="1"/>
        <v>0</v>
      </c>
      <c r="N26" s="235">
        <f t="shared" si="2"/>
        <v>100</v>
      </c>
      <c r="O26" s="213"/>
      <c r="P26" s="214">
        <v>57.2</v>
      </c>
      <c r="Q26" s="214"/>
      <c r="R26" s="215">
        <f t="shared" si="3"/>
        <v>57.2</v>
      </c>
      <c r="S26" s="171">
        <v>1</v>
      </c>
      <c r="T26" s="285"/>
      <c r="U26" s="283"/>
      <c r="V26" s="178" t="s">
        <v>130</v>
      </c>
      <c r="W26" s="171" t="s">
        <v>22</v>
      </c>
      <c r="X26" s="171" t="s">
        <v>18</v>
      </c>
      <c r="Y26" s="179">
        <v>57.2</v>
      </c>
      <c r="Z26" s="244"/>
      <c r="AA26" s="244"/>
      <c r="AB26" s="244"/>
      <c r="AC26" s="244"/>
      <c r="AD26" s="178"/>
      <c r="AG26" s="179"/>
      <c r="AL26" s="178"/>
      <c r="AO26" s="179"/>
      <c r="AP26" s="178"/>
      <c r="AS26" s="179"/>
      <c r="AW26" s="179"/>
      <c r="BA26" s="180"/>
    </row>
    <row r="27" spans="1:53" s="171" customFormat="1" x14ac:dyDescent="0.15">
      <c r="A27" s="216">
        <v>1966.7142857142901</v>
      </c>
      <c r="B27" s="305"/>
      <c r="C27" s="410" t="s">
        <v>575</v>
      </c>
      <c r="D27" s="410"/>
      <c r="E27" s="171">
        <v>365</v>
      </c>
      <c r="F27" s="244"/>
      <c r="G27" s="233">
        <v>3</v>
      </c>
      <c r="H27" s="171">
        <v>13</v>
      </c>
      <c r="J27" s="241">
        <v>16</v>
      </c>
      <c r="K27" s="214">
        <f t="shared" si="1"/>
        <v>18.75</v>
      </c>
      <c r="L27" s="214">
        <f t="shared" si="1"/>
        <v>81.25</v>
      </c>
      <c r="M27" s="214">
        <f t="shared" si="1"/>
        <v>0</v>
      </c>
      <c r="N27" s="235">
        <f t="shared" si="2"/>
        <v>100</v>
      </c>
      <c r="O27" s="213"/>
      <c r="P27" s="214">
        <v>57.2</v>
      </c>
      <c r="Q27" s="214"/>
      <c r="R27" s="215">
        <f t="shared" si="3"/>
        <v>57.2</v>
      </c>
      <c r="S27" s="171">
        <v>1</v>
      </c>
      <c r="T27" s="285"/>
      <c r="U27" s="283"/>
      <c r="V27" s="178" t="s">
        <v>130</v>
      </c>
      <c r="W27" s="171" t="s">
        <v>22</v>
      </c>
      <c r="X27" s="171" t="s">
        <v>18</v>
      </c>
      <c r="Y27" s="179">
        <v>57.2</v>
      </c>
      <c r="Z27" s="244"/>
      <c r="AA27" s="244"/>
      <c r="AB27" s="244"/>
      <c r="AC27" s="244"/>
      <c r="AD27" s="178"/>
      <c r="AG27" s="179"/>
      <c r="AL27" s="178"/>
      <c r="AO27" s="179"/>
      <c r="AP27" s="178"/>
      <c r="AS27" s="179"/>
      <c r="AW27" s="179"/>
      <c r="BA27" s="180"/>
    </row>
    <row r="28" spans="1:53" s="171" customFormat="1" x14ac:dyDescent="0.15">
      <c r="A28" s="216">
        <v>1968</v>
      </c>
      <c r="B28" s="305"/>
      <c r="C28" s="410" t="s">
        <v>575</v>
      </c>
      <c r="D28" s="410"/>
      <c r="E28" s="171">
        <v>60</v>
      </c>
      <c r="F28" s="244"/>
      <c r="G28" s="233">
        <v>3</v>
      </c>
      <c r="H28" s="171">
        <v>13</v>
      </c>
      <c r="J28" s="241">
        <v>16</v>
      </c>
      <c r="K28" s="214">
        <f t="shared" si="1"/>
        <v>18.75</v>
      </c>
      <c r="L28" s="214">
        <f t="shared" si="1"/>
        <v>81.25</v>
      </c>
      <c r="M28" s="214">
        <f t="shared" si="1"/>
        <v>0</v>
      </c>
      <c r="N28" s="235">
        <f t="shared" si="2"/>
        <v>100</v>
      </c>
      <c r="O28" s="213"/>
      <c r="P28" s="214">
        <v>57.2</v>
      </c>
      <c r="Q28" s="214"/>
      <c r="R28" s="215">
        <f t="shared" si="3"/>
        <v>57.2</v>
      </c>
      <c r="S28" s="171">
        <v>1</v>
      </c>
      <c r="T28" s="285"/>
      <c r="U28" s="283"/>
      <c r="V28" s="178" t="s">
        <v>130</v>
      </c>
      <c r="W28" s="171" t="s">
        <v>22</v>
      </c>
      <c r="X28" s="171" t="s">
        <v>18</v>
      </c>
      <c r="Y28" s="179">
        <v>57.2</v>
      </c>
      <c r="Z28" s="244"/>
      <c r="AA28" s="244"/>
      <c r="AB28" s="244"/>
      <c r="AC28" s="244"/>
      <c r="AD28" s="178"/>
      <c r="AG28" s="179"/>
      <c r="AL28" s="178"/>
      <c r="AO28" s="179"/>
      <c r="AP28" s="178"/>
      <c r="AS28" s="179"/>
      <c r="AW28" s="179"/>
      <c r="BA28" s="180"/>
    </row>
    <row r="29" spans="1:53" s="171" customFormat="1" x14ac:dyDescent="0.15">
      <c r="A29" s="216">
        <v>1968</v>
      </c>
      <c r="B29" s="305">
        <v>24898</v>
      </c>
      <c r="C29" s="410" t="s">
        <v>575</v>
      </c>
      <c r="D29" s="410"/>
      <c r="E29" s="171">
        <v>249</v>
      </c>
      <c r="F29" s="244">
        <v>0</v>
      </c>
      <c r="G29" s="233">
        <v>1</v>
      </c>
      <c r="H29" s="171">
        <v>15</v>
      </c>
      <c r="J29" s="241">
        <v>16</v>
      </c>
      <c r="K29" s="214">
        <f t="shared" si="1"/>
        <v>6.25</v>
      </c>
      <c r="L29" s="214">
        <f t="shared" si="1"/>
        <v>93.75</v>
      </c>
      <c r="M29" s="214">
        <f t="shared" si="1"/>
        <v>0</v>
      </c>
      <c r="N29" s="235">
        <f t="shared" si="2"/>
        <v>100</v>
      </c>
      <c r="O29" s="213"/>
      <c r="P29" s="214">
        <v>57.2</v>
      </c>
      <c r="Q29" s="214"/>
      <c r="R29" s="215">
        <f t="shared" si="3"/>
        <v>57.2</v>
      </c>
      <c r="S29" s="171">
        <v>1</v>
      </c>
      <c r="T29" s="285"/>
      <c r="U29" s="283"/>
      <c r="V29" s="178" t="s">
        <v>130</v>
      </c>
      <c r="W29" s="171" t="s">
        <v>22</v>
      </c>
      <c r="X29" s="171" t="s">
        <v>18</v>
      </c>
      <c r="Y29" s="179">
        <v>57.2</v>
      </c>
      <c r="Z29" s="244"/>
      <c r="AA29" s="244"/>
      <c r="AB29" s="244"/>
      <c r="AC29" s="244"/>
      <c r="AD29" s="178"/>
      <c r="AG29" s="179"/>
      <c r="AL29" s="178"/>
      <c r="AO29" s="179"/>
      <c r="AP29" s="178"/>
      <c r="AS29" s="179"/>
      <c r="AW29" s="179"/>
      <c r="BA29" s="180"/>
    </row>
    <row r="30" spans="1:53" s="171" customFormat="1" x14ac:dyDescent="0.15">
      <c r="A30" s="216">
        <v>1967.62857142857</v>
      </c>
      <c r="B30" s="305">
        <v>25147</v>
      </c>
      <c r="C30" s="410" t="s">
        <v>575</v>
      </c>
      <c r="D30" s="410"/>
      <c r="E30" s="171">
        <v>46</v>
      </c>
      <c r="F30" s="244" t="s">
        <v>327</v>
      </c>
      <c r="G30" s="233">
        <v>1</v>
      </c>
      <c r="H30" s="171">
        <v>15</v>
      </c>
      <c r="J30" s="241">
        <v>16</v>
      </c>
      <c r="K30" s="214">
        <f>G30/$J30*100</f>
        <v>6.25</v>
      </c>
      <c r="L30" s="214">
        <f>H30/$J30*100</f>
        <v>93.75</v>
      </c>
      <c r="M30" s="214">
        <f>I30/$J30*100</f>
        <v>0</v>
      </c>
      <c r="N30" s="235">
        <f>K30+L30+M30</f>
        <v>100</v>
      </c>
      <c r="O30" s="213"/>
      <c r="P30" s="214">
        <v>55.9</v>
      </c>
      <c r="Q30" s="214"/>
      <c r="R30" s="215">
        <f>O30+P30+Q30</f>
        <v>55.9</v>
      </c>
      <c r="S30" s="171">
        <v>1</v>
      </c>
      <c r="T30" s="285">
        <v>25147</v>
      </c>
      <c r="U30" s="283"/>
      <c r="V30" s="178" t="s">
        <v>130</v>
      </c>
      <c r="W30" s="171" t="s">
        <v>22</v>
      </c>
      <c r="X30" s="171" t="s">
        <v>18</v>
      </c>
      <c r="Y30" s="179">
        <v>55.9</v>
      </c>
      <c r="Z30" s="244"/>
      <c r="AA30" s="244"/>
      <c r="AB30" s="244"/>
      <c r="AC30" s="244"/>
      <c r="AD30" s="178"/>
      <c r="AG30" s="179"/>
      <c r="AL30" s="178"/>
      <c r="AO30" s="179"/>
      <c r="AP30" s="178"/>
      <c r="AS30" s="179"/>
      <c r="AW30" s="179"/>
      <c r="BA30" s="180"/>
    </row>
    <row r="31" spans="1:53" s="171" customFormat="1" x14ac:dyDescent="0.15">
      <c r="A31" s="216">
        <v>1967.62857142857</v>
      </c>
      <c r="B31" s="305">
        <v>25193</v>
      </c>
      <c r="C31" s="410" t="s">
        <v>575</v>
      </c>
      <c r="D31" s="410"/>
      <c r="E31" s="171">
        <v>11</v>
      </c>
      <c r="F31" s="244">
        <v>0</v>
      </c>
      <c r="G31" s="233"/>
      <c r="H31" s="171">
        <v>16</v>
      </c>
      <c r="J31" s="241">
        <v>16</v>
      </c>
      <c r="K31" s="214">
        <f t="shared" si="1"/>
        <v>0</v>
      </c>
      <c r="L31" s="214">
        <f t="shared" si="1"/>
        <v>100</v>
      </c>
      <c r="M31" s="214">
        <f t="shared" si="1"/>
        <v>0</v>
      </c>
      <c r="N31" s="235">
        <f t="shared" si="2"/>
        <v>100</v>
      </c>
      <c r="O31" s="213"/>
      <c r="P31" s="214">
        <v>55.9</v>
      </c>
      <c r="Q31" s="214"/>
      <c r="R31" s="215">
        <f t="shared" si="3"/>
        <v>55.9</v>
      </c>
      <c r="S31" s="171">
        <v>1</v>
      </c>
      <c r="T31" s="285"/>
      <c r="U31" s="283"/>
      <c r="V31" s="178" t="s">
        <v>130</v>
      </c>
      <c r="W31" s="171" t="s">
        <v>22</v>
      </c>
      <c r="X31" s="171" t="s">
        <v>18</v>
      </c>
      <c r="Y31" s="179">
        <v>55.9</v>
      </c>
      <c r="Z31" s="244"/>
      <c r="AA31" s="244"/>
      <c r="AB31" s="244"/>
      <c r="AC31" s="244"/>
      <c r="AD31" s="178"/>
      <c r="AG31" s="179"/>
      <c r="AL31" s="178"/>
      <c r="AO31" s="179"/>
      <c r="AP31" s="178"/>
      <c r="AS31" s="179"/>
      <c r="AW31" s="179"/>
      <c r="BA31" s="180"/>
    </row>
    <row r="32" spans="1:53" s="171" customFormat="1" x14ac:dyDescent="0.15">
      <c r="A32" s="216">
        <v>1969</v>
      </c>
      <c r="B32" s="283"/>
      <c r="C32" s="410" t="s">
        <v>575</v>
      </c>
      <c r="D32" s="410"/>
      <c r="E32" s="171">
        <v>19</v>
      </c>
      <c r="G32" s="233"/>
      <c r="H32" s="171">
        <v>16</v>
      </c>
      <c r="J32" s="241">
        <v>16</v>
      </c>
      <c r="K32" s="214">
        <f t="shared" si="1"/>
        <v>0</v>
      </c>
      <c r="L32" s="214">
        <f t="shared" si="1"/>
        <v>100</v>
      </c>
      <c r="M32" s="214">
        <f t="shared" si="1"/>
        <v>0</v>
      </c>
      <c r="N32" s="235">
        <f t="shared" si="2"/>
        <v>100</v>
      </c>
      <c r="O32" s="213"/>
      <c r="P32" s="214">
        <v>55.9</v>
      </c>
      <c r="Q32" s="214"/>
      <c r="R32" s="215">
        <f t="shared" si="3"/>
        <v>55.9</v>
      </c>
      <c r="S32" s="171">
        <v>1</v>
      </c>
      <c r="T32" s="285"/>
      <c r="U32" s="283"/>
      <c r="V32" s="178" t="s">
        <v>130</v>
      </c>
      <c r="W32" s="171" t="s">
        <v>22</v>
      </c>
      <c r="X32" s="171" t="s">
        <v>18</v>
      </c>
      <c r="Y32" s="179">
        <v>55.9</v>
      </c>
      <c r="Z32" s="244"/>
      <c r="AA32" s="244"/>
      <c r="AB32" s="244"/>
      <c r="AC32" s="244"/>
      <c r="AD32" s="178"/>
      <c r="AG32" s="179"/>
      <c r="AL32" s="178"/>
      <c r="AO32" s="179"/>
      <c r="AP32" s="178"/>
      <c r="AS32" s="179"/>
      <c r="AW32" s="179"/>
      <c r="BA32" s="180"/>
    </row>
    <row r="33" spans="1:53" s="29" customFormat="1" x14ac:dyDescent="0.15">
      <c r="A33" s="52">
        <v>1968.5428571428599</v>
      </c>
      <c r="B33" s="295">
        <v>25223</v>
      </c>
      <c r="C33" s="411" t="s">
        <v>576</v>
      </c>
      <c r="D33" s="411"/>
      <c r="E33" s="29">
        <f xml:space="preserve"> 365-E32</f>
        <v>346</v>
      </c>
      <c r="F33" s="29">
        <v>1</v>
      </c>
      <c r="G33" s="66">
        <v>14</v>
      </c>
      <c r="J33" s="73">
        <v>14</v>
      </c>
      <c r="K33" s="47">
        <f t="shared" si="1"/>
        <v>100</v>
      </c>
      <c r="L33" s="47">
        <f t="shared" si="1"/>
        <v>0</v>
      </c>
      <c r="M33" s="47">
        <f t="shared" si="1"/>
        <v>0</v>
      </c>
      <c r="N33" s="68">
        <f t="shared" si="2"/>
        <v>100</v>
      </c>
      <c r="O33" s="46">
        <v>44.1</v>
      </c>
      <c r="P33" s="47"/>
      <c r="Q33" s="47"/>
      <c r="R33" s="48">
        <f t="shared" si="3"/>
        <v>44.1</v>
      </c>
      <c r="S33" s="29">
        <v>1</v>
      </c>
      <c r="T33" s="286"/>
      <c r="U33" s="295">
        <v>25223</v>
      </c>
      <c r="V33" s="38" t="s">
        <v>330</v>
      </c>
      <c r="W33" s="29" t="s">
        <v>74</v>
      </c>
      <c r="X33" s="29" t="s">
        <v>11</v>
      </c>
      <c r="Y33" s="39">
        <v>44.1</v>
      </c>
      <c r="AD33" s="38"/>
      <c r="AG33" s="39"/>
      <c r="AL33" s="38"/>
      <c r="AO33" s="39"/>
      <c r="AP33" s="38"/>
      <c r="AS33" s="39"/>
      <c r="AW33" s="39"/>
      <c r="BA33" s="40"/>
    </row>
    <row r="34" spans="1:53" s="29" customFormat="1" x14ac:dyDescent="0.15">
      <c r="A34" s="52">
        <v>1970</v>
      </c>
      <c r="B34" s="295"/>
      <c r="C34" s="411" t="s">
        <v>576</v>
      </c>
      <c r="D34" s="411"/>
      <c r="E34" s="29">
        <v>306</v>
      </c>
      <c r="G34" s="66">
        <v>14</v>
      </c>
      <c r="J34" s="73">
        <v>14</v>
      </c>
      <c r="K34" s="47">
        <f t="shared" si="1"/>
        <v>100</v>
      </c>
      <c r="L34" s="47">
        <f t="shared" si="1"/>
        <v>0</v>
      </c>
      <c r="M34" s="47">
        <f t="shared" si="1"/>
        <v>0</v>
      </c>
      <c r="N34" s="68">
        <f t="shared" si="2"/>
        <v>100</v>
      </c>
      <c r="O34" s="46">
        <v>44.1</v>
      </c>
      <c r="P34" s="47"/>
      <c r="Q34" s="47"/>
      <c r="R34" s="48">
        <f t="shared" si="3"/>
        <v>44.1</v>
      </c>
      <c r="S34" s="29">
        <v>1</v>
      </c>
      <c r="T34" s="286"/>
      <c r="U34" s="295"/>
      <c r="V34" s="38" t="s">
        <v>330</v>
      </c>
      <c r="W34" s="29" t="s">
        <v>74</v>
      </c>
      <c r="X34" s="29" t="s">
        <v>11</v>
      </c>
      <c r="Y34" s="39">
        <v>44.1</v>
      </c>
      <c r="AD34" s="38"/>
      <c r="AG34" s="39"/>
      <c r="AL34" s="38"/>
      <c r="AO34" s="39"/>
      <c r="AP34" s="38"/>
      <c r="AS34" s="39"/>
      <c r="AW34" s="39"/>
      <c r="BA34" s="40"/>
    </row>
    <row r="35" spans="1:53" s="29" customFormat="1" x14ac:dyDescent="0.15">
      <c r="A35" s="52">
        <v>1970</v>
      </c>
      <c r="B35" s="303">
        <v>25875</v>
      </c>
      <c r="C35" s="411" t="s">
        <v>576</v>
      </c>
      <c r="D35" s="411"/>
      <c r="E35" s="29">
        <v>59</v>
      </c>
      <c r="F35" s="84" t="s">
        <v>327</v>
      </c>
      <c r="G35" s="66">
        <v>14</v>
      </c>
      <c r="J35" s="73">
        <v>14</v>
      </c>
      <c r="K35" s="47">
        <f t="shared" si="1"/>
        <v>100</v>
      </c>
      <c r="L35" s="47">
        <f t="shared" si="1"/>
        <v>0</v>
      </c>
      <c r="M35" s="47">
        <f t="shared" si="1"/>
        <v>0</v>
      </c>
      <c r="N35" s="68">
        <f t="shared" si="2"/>
        <v>100</v>
      </c>
      <c r="O35" s="46">
        <v>41.4</v>
      </c>
      <c r="P35" s="47"/>
      <c r="Q35" s="47"/>
      <c r="R35" s="48">
        <f t="shared" si="3"/>
        <v>41.4</v>
      </c>
      <c r="S35" s="29">
        <v>1</v>
      </c>
      <c r="T35" s="286">
        <v>25875</v>
      </c>
      <c r="U35" s="295"/>
      <c r="V35" s="38" t="s">
        <v>330</v>
      </c>
      <c r="W35" s="29" t="s">
        <v>74</v>
      </c>
      <c r="X35" s="29" t="s">
        <v>11</v>
      </c>
      <c r="Y35" s="39">
        <v>41.4</v>
      </c>
      <c r="AD35" s="38"/>
      <c r="AG35" s="39"/>
      <c r="AL35" s="38"/>
      <c r="AO35" s="39"/>
      <c r="AP35" s="38"/>
      <c r="AS35" s="39"/>
      <c r="AW35" s="39"/>
      <c r="BA35" s="40"/>
    </row>
    <row r="36" spans="1:53" s="29" customFormat="1" x14ac:dyDescent="0.15">
      <c r="A36" s="52">
        <v>1971</v>
      </c>
      <c r="B36" s="295"/>
      <c r="C36" s="411" t="s">
        <v>576</v>
      </c>
      <c r="D36" s="411"/>
      <c r="E36" s="29">
        <v>0</v>
      </c>
      <c r="G36" s="66">
        <v>14</v>
      </c>
      <c r="J36" s="73">
        <v>14</v>
      </c>
      <c r="K36" s="47">
        <f t="shared" si="1"/>
        <v>100</v>
      </c>
      <c r="L36" s="47">
        <f t="shared" si="1"/>
        <v>0</v>
      </c>
      <c r="M36" s="47">
        <f t="shared" si="1"/>
        <v>0</v>
      </c>
      <c r="N36" s="68">
        <f t="shared" si="2"/>
        <v>100</v>
      </c>
      <c r="O36" s="46">
        <v>41.4</v>
      </c>
      <c r="P36" s="47"/>
      <c r="Q36" s="47"/>
      <c r="R36" s="48">
        <f t="shared" si="3"/>
        <v>41.4</v>
      </c>
      <c r="S36" s="29">
        <v>1</v>
      </c>
      <c r="T36" s="286"/>
      <c r="U36" s="295"/>
      <c r="V36" s="38" t="s">
        <v>330</v>
      </c>
      <c r="W36" s="29" t="s">
        <v>74</v>
      </c>
      <c r="X36" s="29" t="s">
        <v>11</v>
      </c>
      <c r="Y36" s="39">
        <v>41.4</v>
      </c>
      <c r="AD36" s="38"/>
      <c r="AG36" s="39"/>
      <c r="AL36" s="38"/>
      <c r="AO36" s="39"/>
      <c r="AP36" s="38"/>
      <c r="AS36" s="39"/>
      <c r="AW36" s="39"/>
      <c r="BA36" s="40"/>
    </row>
    <row r="37" spans="1:53" s="29" customFormat="1" x14ac:dyDescent="0.15">
      <c r="A37" s="52">
        <v>1971</v>
      </c>
      <c r="B37" s="295"/>
      <c r="C37" s="411" t="s">
        <v>576</v>
      </c>
      <c r="D37" s="411"/>
      <c r="E37" s="29">
        <v>365</v>
      </c>
      <c r="G37" s="66">
        <v>14</v>
      </c>
      <c r="J37" s="73">
        <v>14</v>
      </c>
      <c r="K37" s="47">
        <f t="shared" si="1"/>
        <v>100</v>
      </c>
      <c r="L37" s="47">
        <f t="shared" si="1"/>
        <v>0</v>
      </c>
      <c r="M37" s="47">
        <f t="shared" si="1"/>
        <v>0</v>
      </c>
      <c r="N37" s="68">
        <f t="shared" si="2"/>
        <v>100</v>
      </c>
      <c r="O37" s="46">
        <v>41.4</v>
      </c>
      <c r="P37" s="47"/>
      <c r="Q37" s="47"/>
      <c r="R37" s="48">
        <f t="shared" si="3"/>
        <v>41.4</v>
      </c>
      <c r="S37" s="29">
        <v>1</v>
      </c>
      <c r="T37" s="286"/>
      <c r="U37" s="295"/>
      <c r="V37" s="38" t="s">
        <v>330</v>
      </c>
      <c r="W37" s="29" t="s">
        <v>74</v>
      </c>
      <c r="X37" s="29" t="s">
        <v>11</v>
      </c>
      <c r="Y37" s="39">
        <v>41.4</v>
      </c>
      <c r="AD37" s="38"/>
      <c r="AG37" s="39"/>
      <c r="AL37" s="38"/>
      <c r="AO37" s="39"/>
      <c r="AP37" s="38"/>
      <c r="AS37" s="39"/>
      <c r="AW37" s="39"/>
      <c r="BA37" s="40"/>
    </row>
    <row r="38" spans="1:53" s="29" customFormat="1" x14ac:dyDescent="0.15">
      <c r="A38" s="52">
        <v>1972</v>
      </c>
      <c r="B38" s="295"/>
      <c r="C38" s="411" t="s">
        <v>576</v>
      </c>
      <c r="D38" s="411"/>
      <c r="E38" s="29">
        <v>311</v>
      </c>
      <c r="G38" s="66">
        <v>14</v>
      </c>
      <c r="J38" s="73">
        <v>14</v>
      </c>
      <c r="K38" s="47">
        <f t="shared" si="1"/>
        <v>100</v>
      </c>
      <c r="L38" s="47">
        <f t="shared" si="1"/>
        <v>0</v>
      </c>
      <c r="M38" s="47">
        <f t="shared" si="1"/>
        <v>0</v>
      </c>
      <c r="N38" s="68">
        <f t="shared" si="2"/>
        <v>100</v>
      </c>
      <c r="O38" s="46">
        <v>41.4</v>
      </c>
      <c r="P38" s="47"/>
      <c r="Q38" s="47"/>
      <c r="R38" s="48">
        <f t="shared" si="3"/>
        <v>41.4</v>
      </c>
      <c r="S38" s="29">
        <v>1</v>
      </c>
      <c r="T38" s="286"/>
      <c r="U38" s="295"/>
      <c r="V38" s="38" t="s">
        <v>330</v>
      </c>
      <c r="W38" s="29" t="s">
        <v>74</v>
      </c>
      <c r="X38" s="29" t="s">
        <v>11</v>
      </c>
      <c r="Y38" s="39">
        <v>41.4</v>
      </c>
      <c r="AD38" s="38"/>
      <c r="AG38" s="39"/>
      <c r="AL38" s="38"/>
      <c r="AO38" s="39"/>
      <c r="AP38" s="38"/>
      <c r="AS38" s="39"/>
      <c r="AW38" s="39"/>
      <c r="BA38" s="40"/>
    </row>
    <row r="39" spans="1:53" s="29" customFormat="1" x14ac:dyDescent="0.15">
      <c r="A39" s="52">
        <v>1972</v>
      </c>
      <c r="B39" s="303">
        <v>26610</v>
      </c>
      <c r="C39" s="411" t="s">
        <v>576</v>
      </c>
      <c r="D39" s="411"/>
      <c r="E39" s="29">
        <v>55</v>
      </c>
      <c r="F39" s="84" t="s">
        <v>327</v>
      </c>
      <c r="G39" s="66">
        <v>14</v>
      </c>
      <c r="J39" s="73">
        <v>14</v>
      </c>
      <c r="K39" s="47">
        <f t="shared" si="1"/>
        <v>100</v>
      </c>
      <c r="L39" s="47">
        <f t="shared" si="1"/>
        <v>0</v>
      </c>
      <c r="M39" s="47">
        <f t="shared" si="1"/>
        <v>0</v>
      </c>
      <c r="N39" s="68">
        <f t="shared" si="2"/>
        <v>100</v>
      </c>
      <c r="O39" s="46">
        <v>44.1</v>
      </c>
      <c r="P39" s="47"/>
      <c r="Q39" s="47"/>
      <c r="R39" s="48">
        <f t="shared" si="3"/>
        <v>44.1</v>
      </c>
      <c r="S39" s="29">
        <v>1</v>
      </c>
      <c r="T39" s="286">
        <v>26610</v>
      </c>
      <c r="U39" s="295"/>
      <c r="V39" s="38" t="s">
        <v>330</v>
      </c>
      <c r="W39" s="29" t="s">
        <v>74</v>
      </c>
      <c r="X39" s="29" t="s">
        <v>11</v>
      </c>
      <c r="Y39" s="39">
        <v>44.1</v>
      </c>
      <c r="AD39" s="38"/>
      <c r="AG39" s="39"/>
      <c r="AL39" s="38"/>
      <c r="AO39" s="39"/>
      <c r="AP39" s="38"/>
      <c r="AS39" s="39"/>
      <c r="AW39" s="39"/>
      <c r="BA39" s="40"/>
    </row>
    <row r="40" spans="1:53" s="29" customFormat="1" x14ac:dyDescent="0.15">
      <c r="A40" s="52">
        <v>1973</v>
      </c>
      <c r="B40" s="295"/>
      <c r="C40" s="411" t="s">
        <v>576</v>
      </c>
      <c r="D40" s="411"/>
      <c r="E40" s="29">
        <v>19</v>
      </c>
      <c r="G40" s="66">
        <v>14</v>
      </c>
      <c r="J40" s="73">
        <v>14</v>
      </c>
      <c r="K40" s="47">
        <f t="shared" si="1"/>
        <v>100</v>
      </c>
      <c r="L40" s="47">
        <f t="shared" si="1"/>
        <v>0</v>
      </c>
      <c r="M40" s="47">
        <f t="shared" si="1"/>
        <v>0</v>
      </c>
      <c r="N40" s="68">
        <f t="shared" si="2"/>
        <v>100</v>
      </c>
      <c r="O40" s="46">
        <v>44.1</v>
      </c>
      <c r="P40" s="47"/>
      <c r="Q40" s="47"/>
      <c r="R40" s="48">
        <f t="shared" si="3"/>
        <v>44.1</v>
      </c>
      <c r="S40" s="29">
        <v>1</v>
      </c>
      <c r="T40" s="286"/>
      <c r="U40" s="295"/>
      <c r="V40" s="38" t="s">
        <v>330</v>
      </c>
      <c r="W40" s="29" t="s">
        <v>74</v>
      </c>
      <c r="X40" s="29" t="s">
        <v>11</v>
      </c>
      <c r="Y40" s="39">
        <v>44.1</v>
      </c>
      <c r="AD40" s="38"/>
      <c r="AG40" s="39"/>
      <c r="AL40" s="38"/>
      <c r="AO40" s="39"/>
      <c r="AP40" s="38"/>
      <c r="AS40" s="39"/>
      <c r="AW40" s="39"/>
      <c r="BA40" s="40"/>
    </row>
    <row r="41" spans="1:53" s="171" customFormat="1" x14ac:dyDescent="0.15">
      <c r="A41" s="216">
        <v>1973</v>
      </c>
      <c r="B41" s="283">
        <v>26684</v>
      </c>
      <c r="C41" s="410" t="s">
        <v>577</v>
      </c>
      <c r="D41" s="410"/>
      <c r="E41" s="171">
        <v>13</v>
      </c>
      <c r="F41" s="171">
        <v>1</v>
      </c>
      <c r="G41" s="233">
        <v>14</v>
      </c>
      <c r="J41" s="241">
        <v>14</v>
      </c>
      <c r="K41" s="214">
        <f t="shared" si="1"/>
        <v>100</v>
      </c>
      <c r="L41" s="214">
        <f t="shared" si="1"/>
        <v>0</v>
      </c>
      <c r="M41" s="214">
        <f t="shared" si="1"/>
        <v>0</v>
      </c>
      <c r="N41" s="235">
        <f t="shared" si="2"/>
        <v>100</v>
      </c>
      <c r="O41" s="213">
        <v>44.1</v>
      </c>
      <c r="P41" s="214"/>
      <c r="Q41" s="214"/>
      <c r="R41" s="215">
        <f t="shared" si="3"/>
        <v>44.1</v>
      </c>
      <c r="S41" s="171">
        <v>1</v>
      </c>
      <c r="T41" s="285"/>
      <c r="U41" s="283">
        <v>26684</v>
      </c>
      <c r="V41" s="178" t="s">
        <v>330</v>
      </c>
      <c r="W41" s="171" t="s">
        <v>74</v>
      </c>
      <c r="X41" s="171" t="s">
        <v>11</v>
      </c>
      <c r="Y41" s="179">
        <v>44.1</v>
      </c>
      <c r="AD41" s="178"/>
      <c r="AG41" s="179"/>
      <c r="AL41" s="178"/>
      <c r="AO41" s="179"/>
      <c r="AP41" s="178"/>
      <c r="AS41" s="179"/>
      <c r="AW41" s="179"/>
      <c r="BA41" s="180"/>
    </row>
    <row r="42" spans="1:53" s="171" customFormat="1" x14ac:dyDescent="0.15">
      <c r="A42" s="216">
        <v>1973</v>
      </c>
      <c r="B42" s="305">
        <v>26697</v>
      </c>
      <c r="C42" s="410" t="s">
        <v>577</v>
      </c>
      <c r="D42" s="410"/>
      <c r="E42" s="171">
        <f xml:space="preserve"> 365-E41-E40</f>
        <v>333</v>
      </c>
      <c r="F42" s="244">
        <v>0</v>
      </c>
      <c r="G42" s="233">
        <v>13</v>
      </c>
      <c r="H42" s="171">
        <v>1</v>
      </c>
      <c r="J42" s="241">
        <v>14</v>
      </c>
      <c r="K42" s="214">
        <f t="shared" si="1"/>
        <v>92.857142857142861</v>
      </c>
      <c r="L42" s="214">
        <f t="shared" si="1"/>
        <v>7.1428571428571423</v>
      </c>
      <c r="M42" s="214">
        <f t="shared" si="1"/>
        <v>0</v>
      </c>
      <c r="N42" s="235">
        <f t="shared" si="2"/>
        <v>100</v>
      </c>
      <c r="O42" s="213">
        <v>44.1</v>
      </c>
      <c r="P42" s="214"/>
      <c r="Q42" s="214"/>
      <c r="R42" s="215">
        <f t="shared" si="3"/>
        <v>44.1</v>
      </c>
      <c r="S42" s="171">
        <v>1</v>
      </c>
      <c r="T42" s="285"/>
      <c r="U42" s="283"/>
      <c r="V42" s="178" t="s">
        <v>330</v>
      </c>
      <c r="W42" s="171" t="s">
        <v>74</v>
      </c>
      <c r="X42" s="171" t="s">
        <v>11</v>
      </c>
      <c r="Y42" s="179">
        <v>44.1</v>
      </c>
      <c r="Z42" s="244"/>
      <c r="AA42" s="244"/>
      <c r="AB42" s="244"/>
      <c r="AC42" s="244"/>
      <c r="AD42" s="178"/>
      <c r="AG42" s="179"/>
      <c r="AL42" s="178"/>
      <c r="AO42" s="179"/>
      <c r="AP42" s="178"/>
      <c r="AS42" s="179"/>
      <c r="AW42" s="179"/>
      <c r="BA42" s="180"/>
    </row>
    <row r="43" spans="1:53" s="171" customFormat="1" x14ac:dyDescent="0.15">
      <c r="A43" s="216">
        <v>1974</v>
      </c>
      <c r="B43" s="283"/>
      <c r="C43" s="410" t="s">
        <v>577</v>
      </c>
      <c r="D43" s="410"/>
      <c r="E43" s="171">
        <v>220</v>
      </c>
      <c r="G43" s="233">
        <v>13</v>
      </c>
      <c r="H43" s="171">
        <v>1</v>
      </c>
      <c r="J43" s="241">
        <v>14</v>
      </c>
      <c r="K43" s="214">
        <f t="shared" si="1"/>
        <v>92.857142857142861</v>
      </c>
      <c r="L43" s="214">
        <f t="shared" si="1"/>
        <v>7.1428571428571423</v>
      </c>
      <c r="M43" s="214">
        <f t="shared" si="1"/>
        <v>0</v>
      </c>
      <c r="N43" s="235">
        <f t="shared" si="2"/>
        <v>100</v>
      </c>
      <c r="O43" s="213">
        <v>44.1</v>
      </c>
      <c r="P43" s="214"/>
      <c r="Q43" s="214"/>
      <c r="R43" s="215">
        <f t="shared" si="3"/>
        <v>44.1</v>
      </c>
      <c r="S43" s="171">
        <v>1</v>
      </c>
      <c r="T43" s="285"/>
      <c r="U43" s="283"/>
      <c r="V43" s="178" t="s">
        <v>330</v>
      </c>
      <c r="W43" s="171" t="s">
        <v>74</v>
      </c>
      <c r="X43" s="171" t="s">
        <v>11</v>
      </c>
      <c r="Y43" s="179">
        <v>44.1</v>
      </c>
      <c r="Z43" s="244"/>
      <c r="AA43" s="244"/>
      <c r="AB43" s="244"/>
      <c r="AC43" s="244"/>
      <c r="AD43" s="178"/>
      <c r="AG43" s="179"/>
      <c r="AL43" s="178"/>
      <c r="AO43" s="179"/>
      <c r="AP43" s="178"/>
      <c r="AS43" s="179"/>
      <c r="AW43" s="179"/>
      <c r="BA43" s="180"/>
    </row>
    <row r="44" spans="1:53" s="29" customFormat="1" x14ac:dyDescent="0.15">
      <c r="A44" s="52">
        <v>1974</v>
      </c>
      <c r="B44" s="295">
        <v>27250</v>
      </c>
      <c r="C44" s="411" t="s">
        <v>578</v>
      </c>
      <c r="D44" s="411"/>
      <c r="E44" s="29">
        <v>88</v>
      </c>
      <c r="F44" s="29">
        <v>2</v>
      </c>
      <c r="G44" s="66">
        <v>12</v>
      </c>
      <c r="H44" s="29">
        <v>1</v>
      </c>
      <c r="J44" s="73">
        <v>13</v>
      </c>
      <c r="K44" s="47">
        <f>G44/$J44*100</f>
        <v>92.307692307692307</v>
      </c>
      <c r="L44" s="47">
        <f>H44/$J44*100</f>
        <v>7.6923076923076925</v>
      </c>
      <c r="M44" s="47">
        <f>I44/$J44*100</f>
        <v>0</v>
      </c>
      <c r="N44" s="68">
        <f>K44+L44+M44</f>
        <v>100</v>
      </c>
      <c r="O44" s="46">
        <v>44.1</v>
      </c>
      <c r="P44" s="47"/>
      <c r="Q44" s="47"/>
      <c r="R44" s="48">
        <f t="shared" si="3"/>
        <v>44.1</v>
      </c>
      <c r="S44" s="29">
        <v>1</v>
      </c>
      <c r="T44" s="286"/>
      <c r="U44" s="295">
        <v>27250</v>
      </c>
      <c r="V44" s="38" t="s">
        <v>330</v>
      </c>
      <c r="W44" s="29" t="s">
        <v>74</v>
      </c>
      <c r="X44" s="29" t="s">
        <v>11</v>
      </c>
      <c r="Y44" s="39">
        <v>44.1</v>
      </c>
      <c r="Z44" s="84"/>
      <c r="AA44" s="84"/>
      <c r="AB44" s="84"/>
      <c r="AC44" s="84"/>
      <c r="AD44" s="38"/>
      <c r="AG44" s="39"/>
      <c r="AL44" s="38"/>
      <c r="AO44" s="39"/>
      <c r="AP44" s="38"/>
      <c r="AS44" s="39"/>
      <c r="AW44" s="39"/>
      <c r="BA44" s="40"/>
    </row>
    <row r="45" spans="1:53" s="29" customFormat="1" x14ac:dyDescent="0.15">
      <c r="A45" s="52">
        <v>1974</v>
      </c>
      <c r="B45" s="318">
        <v>27338</v>
      </c>
      <c r="C45" s="411" t="s">
        <v>578</v>
      </c>
      <c r="D45" s="411"/>
      <c r="E45" s="29">
        <v>57</v>
      </c>
      <c r="F45" s="84" t="s">
        <v>327</v>
      </c>
      <c r="G45" s="66">
        <v>12</v>
      </c>
      <c r="H45" s="29">
        <v>1</v>
      </c>
      <c r="J45" s="73">
        <v>13</v>
      </c>
      <c r="K45" s="47">
        <f t="shared" si="1"/>
        <v>92.307692307692307</v>
      </c>
      <c r="L45" s="47">
        <f t="shared" si="1"/>
        <v>7.6923076923076925</v>
      </c>
      <c r="M45" s="47">
        <f t="shared" si="1"/>
        <v>0</v>
      </c>
      <c r="N45" s="68">
        <f t="shared" si="2"/>
        <v>100</v>
      </c>
      <c r="O45" s="46">
        <v>33.1</v>
      </c>
      <c r="P45" s="47"/>
      <c r="Q45" s="47"/>
      <c r="R45" s="48">
        <f t="shared" si="3"/>
        <v>33.1</v>
      </c>
      <c r="S45" s="29">
        <v>1</v>
      </c>
      <c r="T45" s="286">
        <v>27338</v>
      </c>
      <c r="U45" s="295"/>
      <c r="V45" s="38" t="s">
        <v>330</v>
      </c>
      <c r="W45" s="29" t="s">
        <v>74</v>
      </c>
      <c r="X45" s="29" t="s">
        <v>11</v>
      </c>
      <c r="Y45" s="39">
        <v>33.1</v>
      </c>
      <c r="Z45" s="84"/>
      <c r="AA45" s="84"/>
      <c r="AB45" s="84"/>
      <c r="AC45" s="84"/>
      <c r="AD45" s="38"/>
      <c r="AG45" s="39"/>
      <c r="AL45" s="38"/>
      <c r="AO45" s="39"/>
      <c r="AP45" s="38"/>
      <c r="AS45" s="39"/>
      <c r="AW45" s="39"/>
      <c r="BA45" s="40"/>
    </row>
    <row r="46" spans="1:53" s="29" customFormat="1" x14ac:dyDescent="0.15">
      <c r="A46" s="52">
        <v>1975</v>
      </c>
      <c r="B46" s="295"/>
      <c r="C46" s="411" t="s">
        <v>578</v>
      </c>
      <c r="D46" s="411"/>
      <c r="E46" s="29">
        <v>37</v>
      </c>
      <c r="G46" s="66">
        <v>12</v>
      </c>
      <c r="H46" s="29">
        <v>1</v>
      </c>
      <c r="J46" s="73">
        <v>13</v>
      </c>
      <c r="K46" s="47">
        <f t="shared" si="1"/>
        <v>92.307692307692307</v>
      </c>
      <c r="L46" s="47">
        <f t="shared" si="1"/>
        <v>7.6923076923076925</v>
      </c>
      <c r="M46" s="47">
        <f t="shared" si="1"/>
        <v>0</v>
      </c>
      <c r="N46" s="68">
        <f t="shared" si="2"/>
        <v>100</v>
      </c>
      <c r="O46" s="46">
        <v>33.1</v>
      </c>
      <c r="P46" s="47"/>
      <c r="Q46" s="47"/>
      <c r="R46" s="48">
        <f t="shared" si="3"/>
        <v>33.1</v>
      </c>
      <c r="S46" s="29">
        <v>1</v>
      </c>
      <c r="T46" s="286"/>
      <c r="U46" s="295"/>
      <c r="V46" s="38" t="s">
        <v>330</v>
      </c>
      <c r="W46" s="29" t="s">
        <v>74</v>
      </c>
      <c r="X46" s="29" t="s">
        <v>11</v>
      </c>
      <c r="Y46" s="39">
        <v>33.1</v>
      </c>
      <c r="Z46" s="84"/>
      <c r="AA46" s="84"/>
      <c r="AB46" s="84"/>
      <c r="AC46" s="84"/>
      <c r="AD46" s="38"/>
      <c r="AG46" s="39"/>
      <c r="AL46" s="38"/>
      <c r="AO46" s="39"/>
      <c r="AP46" s="38"/>
      <c r="AS46" s="39"/>
      <c r="AW46" s="39"/>
      <c r="BA46" s="40"/>
    </row>
    <row r="47" spans="1:53" s="29" customFormat="1" x14ac:dyDescent="0.15">
      <c r="A47" s="52">
        <v>1975</v>
      </c>
      <c r="B47" s="303">
        <v>27432</v>
      </c>
      <c r="C47" s="411" t="s">
        <v>578</v>
      </c>
      <c r="D47" s="411"/>
      <c r="E47" s="29">
        <v>182</v>
      </c>
      <c r="F47" s="84">
        <v>0</v>
      </c>
      <c r="G47" s="66">
        <v>11</v>
      </c>
      <c r="H47" s="29">
        <v>2</v>
      </c>
      <c r="J47" s="73">
        <v>13</v>
      </c>
      <c r="K47" s="47">
        <f t="shared" si="1"/>
        <v>84.615384615384613</v>
      </c>
      <c r="L47" s="47">
        <f t="shared" si="1"/>
        <v>15.384615384615385</v>
      </c>
      <c r="M47" s="47">
        <f t="shared" si="1"/>
        <v>0</v>
      </c>
      <c r="N47" s="68">
        <f t="shared" si="2"/>
        <v>100</v>
      </c>
      <c r="O47" s="46">
        <v>33.1</v>
      </c>
      <c r="P47" s="47"/>
      <c r="Q47" s="47"/>
      <c r="R47" s="48">
        <f t="shared" si="3"/>
        <v>33.1</v>
      </c>
      <c r="S47" s="29">
        <v>1</v>
      </c>
      <c r="T47" s="286"/>
      <c r="U47" s="295"/>
      <c r="V47" s="38" t="s">
        <v>330</v>
      </c>
      <c r="W47" s="29" t="s">
        <v>74</v>
      </c>
      <c r="X47" s="29" t="s">
        <v>11</v>
      </c>
      <c r="Y47" s="39">
        <v>33.1</v>
      </c>
      <c r="Z47" s="84"/>
      <c r="AA47" s="84"/>
      <c r="AB47" s="84"/>
      <c r="AC47" s="84"/>
      <c r="AD47" s="38"/>
      <c r="AG47" s="39"/>
      <c r="AL47" s="38"/>
      <c r="AO47" s="39"/>
      <c r="AP47" s="38"/>
      <c r="AS47" s="39"/>
      <c r="AW47" s="39"/>
      <c r="BA47" s="40"/>
    </row>
    <row r="48" spans="1:53" s="29" customFormat="1" x14ac:dyDescent="0.15">
      <c r="A48" s="52">
        <v>1975</v>
      </c>
      <c r="B48" s="303">
        <v>27614</v>
      </c>
      <c r="C48" s="411" t="s">
        <v>578</v>
      </c>
      <c r="D48" s="411"/>
      <c r="E48" s="29">
        <f xml:space="preserve"> 365-E47-E46</f>
        <v>146</v>
      </c>
      <c r="F48" s="84">
        <v>0</v>
      </c>
      <c r="G48" s="66">
        <v>10</v>
      </c>
      <c r="H48" s="29">
        <v>3</v>
      </c>
      <c r="J48" s="73">
        <v>13</v>
      </c>
      <c r="K48" s="47">
        <f t="shared" si="1"/>
        <v>76.923076923076934</v>
      </c>
      <c r="L48" s="47">
        <f t="shared" si="1"/>
        <v>23.076923076923077</v>
      </c>
      <c r="M48" s="47">
        <f t="shared" si="1"/>
        <v>0</v>
      </c>
      <c r="N48" s="68">
        <f t="shared" si="2"/>
        <v>100.00000000000001</v>
      </c>
      <c r="O48" s="46">
        <v>33.1</v>
      </c>
      <c r="P48" s="47"/>
      <c r="Q48" s="47"/>
      <c r="R48" s="48">
        <f t="shared" si="3"/>
        <v>33.1</v>
      </c>
      <c r="S48" s="29">
        <v>1</v>
      </c>
      <c r="T48" s="286"/>
      <c r="U48" s="295"/>
      <c r="V48" s="38" t="s">
        <v>330</v>
      </c>
      <c r="W48" s="29" t="s">
        <v>74</v>
      </c>
      <c r="X48" s="29" t="s">
        <v>11</v>
      </c>
      <c r="Y48" s="39">
        <v>33.1</v>
      </c>
      <c r="Z48" s="84"/>
      <c r="AA48" s="84"/>
      <c r="AB48" s="84"/>
      <c r="AC48" s="84"/>
      <c r="AD48" s="38"/>
      <c r="AG48" s="39"/>
      <c r="AL48" s="38"/>
      <c r="AO48" s="39"/>
      <c r="AP48" s="38"/>
      <c r="AS48" s="39"/>
      <c r="AW48" s="39"/>
      <c r="BA48" s="40"/>
    </row>
    <row r="49" spans="1:53" s="29" customFormat="1" x14ac:dyDescent="0.15">
      <c r="A49" s="52">
        <v>1976</v>
      </c>
      <c r="B49" s="295"/>
      <c r="C49" s="411" t="s">
        <v>578</v>
      </c>
      <c r="D49" s="411"/>
      <c r="E49" s="29">
        <v>306</v>
      </c>
      <c r="G49" s="66">
        <v>10</v>
      </c>
      <c r="H49" s="29">
        <v>3</v>
      </c>
      <c r="J49" s="73">
        <v>13</v>
      </c>
      <c r="K49" s="47">
        <f t="shared" si="1"/>
        <v>76.923076923076934</v>
      </c>
      <c r="L49" s="47">
        <f t="shared" si="1"/>
        <v>23.076923076923077</v>
      </c>
      <c r="M49" s="47">
        <f t="shared" si="1"/>
        <v>0</v>
      </c>
      <c r="N49" s="68">
        <f t="shared" si="2"/>
        <v>100.00000000000001</v>
      </c>
      <c r="O49" s="46">
        <v>33.1</v>
      </c>
      <c r="P49" s="47"/>
      <c r="Q49" s="47"/>
      <c r="R49" s="48">
        <f t="shared" si="3"/>
        <v>33.1</v>
      </c>
      <c r="S49" s="29">
        <v>1</v>
      </c>
      <c r="T49" s="286"/>
      <c r="U49" s="295"/>
      <c r="V49" s="38" t="s">
        <v>330</v>
      </c>
      <c r="W49" s="29" t="s">
        <v>74</v>
      </c>
      <c r="X49" s="29" t="s">
        <v>11</v>
      </c>
      <c r="Y49" s="39">
        <v>33.1</v>
      </c>
      <c r="Z49" s="84"/>
      <c r="AA49" s="84"/>
      <c r="AB49" s="84"/>
      <c r="AC49" s="84"/>
      <c r="AD49" s="38"/>
      <c r="AG49" s="39"/>
      <c r="AL49" s="38"/>
      <c r="AO49" s="39"/>
      <c r="AP49" s="38"/>
      <c r="AS49" s="39"/>
      <c r="AW49" s="39"/>
      <c r="BA49" s="40"/>
    </row>
    <row r="50" spans="1:53" s="29" customFormat="1" x14ac:dyDescent="0.15">
      <c r="A50" s="52">
        <v>1976</v>
      </c>
      <c r="B50" s="303">
        <v>28066</v>
      </c>
      <c r="C50" s="411" t="s">
        <v>578</v>
      </c>
      <c r="D50" s="411"/>
      <c r="E50" s="29">
        <v>60</v>
      </c>
      <c r="F50" s="84" t="s">
        <v>327</v>
      </c>
      <c r="G50" s="66">
        <v>10</v>
      </c>
      <c r="H50" s="29">
        <v>3</v>
      </c>
      <c r="J50" s="73">
        <v>13</v>
      </c>
      <c r="K50" s="47">
        <f t="shared" si="1"/>
        <v>76.923076923076934</v>
      </c>
      <c r="L50" s="47">
        <f t="shared" si="1"/>
        <v>23.076923076923077</v>
      </c>
      <c r="M50" s="47">
        <f t="shared" si="1"/>
        <v>0</v>
      </c>
      <c r="N50" s="68">
        <f t="shared" si="2"/>
        <v>100.00000000000001</v>
      </c>
      <c r="O50" s="46">
        <v>32.9</v>
      </c>
      <c r="P50" s="47"/>
      <c r="Q50" s="47"/>
      <c r="R50" s="48">
        <f t="shared" si="3"/>
        <v>32.9</v>
      </c>
      <c r="S50" s="29">
        <v>1</v>
      </c>
      <c r="T50" s="286">
        <v>28066</v>
      </c>
      <c r="U50" s="295"/>
      <c r="V50" s="38" t="s">
        <v>330</v>
      </c>
      <c r="W50" s="29" t="s">
        <v>74</v>
      </c>
      <c r="X50" s="29" t="s">
        <v>11</v>
      </c>
      <c r="Y50" s="39">
        <v>32.9</v>
      </c>
      <c r="Z50" s="84"/>
      <c r="AA50" s="84"/>
      <c r="AB50" s="84"/>
      <c r="AC50" s="84"/>
      <c r="AD50" s="38"/>
      <c r="AG50" s="39"/>
      <c r="AL50" s="38"/>
      <c r="AO50" s="39"/>
      <c r="AP50" s="38"/>
      <c r="AS50" s="39"/>
      <c r="AW50" s="39"/>
      <c r="BA50" s="40"/>
    </row>
    <row r="51" spans="1:53" s="29" customFormat="1" x14ac:dyDescent="0.15">
      <c r="A51" s="52">
        <v>1977</v>
      </c>
      <c r="B51" s="295"/>
      <c r="C51" s="411" t="s">
        <v>578</v>
      </c>
      <c r="D51" s="411"/>
      <c r="E51" s="29">
        <v>19</v>
      </c>
      <c r="G51" s="66">
        <v>10</v>
      </c>
      <c r="H51" s="29">
        <v>3</v>
      </c>
      <c r="J51" s="73">
        <v>13</v>
      </c>
      <c r="K51" s="47">
        <f t="shared" si="1"/>
        <v>76.923076923076934</v>
      </c>
      <c r="L51" s="47">
        <f t="shared" si="1"/>
        <v>23.076923076923077</v>
      </c>
      <c r="M51" s="47">
        <f t="shared" si="1"/>
        <v>0</v>
      </c>
      <c r="N51" s="68">
        <f t="shared" si="2"/>
        <v>100.00000000000001</v>
      </c>
      <c r="O51" s="46">
        <v>32.9</v>
      </c>
      <c r="P51" s="47"/>
      <c r="Q51" s="47"/>
      <c r="R51" s="48">
        <f t="shared" si="3"/>
        <v>32.9</v>
      </c>
      <c r="S51" s="29">
        <v>1</v>
      </c>
      <c r="T51" s="286"/>
      <c r="U51" s="295"/>
      <c r="V51" s="38" t="s">
        <v>330</v>
      </c>
      <c r="W51" s="29" t="s">
        <v>74</v>
      </c>
      <c r="X51" s="29" t="s">
        <v>11</v>
      </c>
      <c r="Y51" s="39">
        <v>32.9</v>
      </c>
      <c r="Z51" s="84"/>
      <c r="AA51" s="84"/>
      <c r="AB51" s="84"/>
      <c r="AC51" s="84"/>
      <c r="AD51" s="38"/>
      <c r="AG51" s="39"/>
      <c r="AL51" s="38"/>
      <c r="AO51" s="39"/>
      <c r="AP51" s="38"/>
      <c r="AS51" s="39"/>
      <c r="AW51" s="39"/>
      <c r="BA51" s="40"/>
    </row>
    <row r="52" spans="1:53" s="171" customFormat="1" x14ac:dyDescent="0.15">
      <c r="A52" s="216">
        <v>1977</v>
      </c>
      <c r="B52" s="283">
        <v>28145</v>
      </c>
      <c r="C52" s="410" t="s">
        <v>579</v>
      </c>
      <c r="D52" s="410"/>
      <c r="E52" s="171">
        <f xml:space="preserve"> 365-E51</f>
        <v>346</v>
      </c>
      <c r="F52" s="171">
        <v>1</v>
      </c>
      <c r="G52" s="233">
        <v>1</v>
      </c>
      <c r="H52" s="171">
        <v>13</v>
      </c>
      <c r="J52" s="241">
        <v>14</v>
      </c>
      <c r="K52" s="214">
        <f t="shared" si="1"/>
        <v>7.1428571428571423</v>
      </c>
      <c r="L52" s="214">
        <f t="shared" si="1"/>
        <v>92.857142857142861</v>
      </c>
      <c r="M52" s="214">
        <f t="shared" si="1"/>
        <v>0</v>
      </c>
      <c r="N52" s="235">
        <f t="shared" si="2"/>
        <v>100</v>
      </c>
      <c r="O52" s="213"/>
      <c r="P52" s="214">
        <v>67.099999999999994</v>
      </c>
      <c r="Q52" s="214"/>
      <c r="R52" s="215">
        <f t="shared" si="3"/>
        <v>67.099999999999994</v>
      </c>
      <c r="S52" s="171">
        <v>1</v>
      </c>
      <c r="T52" s="285"/>
      <c r="U52" s="283">
        <v>28145</v>
      </c>
      <c r="V52" s="178" t="s">
        <v>130</v>
      </c>
      <c r="W52" s="171" t="s">
        <v>22</v>
      </c>
      <c r="X52" s="171" t="s">
        <v>18</v>
      </c>
      <c r="Y52" s="179">
        <v>67.099999999999994</v>
      </c>
      <c r="Z52" s="244"/>
      <c r="AA52" s="244"/>
      <c r="AB52" s="244"/>
      <c r="AC52" s="244"/>
      <c r="AD52" s="178"/>
      <c r="AG52" s="179"/>
      <c r="AL52" s="178"/>
      <c r="AO52" s="179"/>
      <c r="AP52" s="178"/>
      <c r="AS52" s="179"/>
      <c r="AW52" s="179"/>
      <c r="BA52" s="180"/>
    </row>
    <row r="53" spans="1:53" s="171" customFormat="1" x14ac:dyDescent="0.15">
      <c r="A53" s="216">
        <v>1978</v>
      </c>
      <c r="B53" s="283"/>
      <c r="C53" s="410" t="s">
        <v>579</v>
      </c>
      <c r="D53" s="410"/>
      <c r="E53" s="171">
        <v>311</v>
      </c>
      <c r="G53" s="233">
        <v>1</v>
      </c>
      <c r="H53" s="171">
        <v>13</v>
      </c>
      <c r="J53" s="241">
        <v>14</v>
      </c>
      <c r="K53" s="214">
        <f t="shared" si="1"/>
        <v>7.1428571428571423</v>
      </c>
      <c r="L53" s="214">
        <f t="shared" si="1"/>
        <v>92.857142857142861</v>
      </c>
      <c r="M53" s="214">
        <f t="shared" si="1"/>
        <v>0</v>
      </c>
      <c r="N53" s="235">
        <f t="shared" si="2"/>
        <v>100</v>
      </c>
      <c r="O53" s="213"/>
      <c r="P53" s="214">
        <v>67.099999999999994</v>
      </c>
      <c r="Q53" s="214"/>
      <c r="R53" s="215">
        <f t="shared" si="3"/>
        <v>67.099999999999994</v>
      </c>
      <c r="S53" s="171">
        <v>1</v>
      </c>
      <c r="T53" s="285"/>
      <c r="U53" s="283"/>
      <c r="V53" s="178" t="s">
        <v>130</v>
      </c>
      <c r="W53" s="171" t="s">
        <v>22</v>
      </c>
      <c r="X53" s="171" t="s">
        <v>18</v>
      </c>
      <c r="Y53" s="179">
        <v>67.099999999999994</v>
      </c>
      <c r="Z53" s="244"/>
      <c r="AA53" s="244"/>
      <c r="AB53" s="244"/>
      <c r="AC53" s="244"/>
      <c r="AD53" s="178"/>
      <c r="AG53" s="179"/>
      <c r="AL53" s="178"/>
      <c r="AO53" s="179"/>
      <c r="AP53" s="178"/>
      <c r="AS53" s="179"/>
      <c r="AW53" s="179"/>
      <c r="BA53" s="180"/>
    </row>
    <row r="54" spans="1:53" s="171" customFormat="1" x14ac:dyDescent="0.15">
      <c r="A54" s="216">
        <v>1978</v>
      </c>
      <c r="B54" s="305">
        <v>28802</v>
      </c>
      <c r="C54" s="410" t="s">
        <v>579</v>
      </c>
      <c r="D54" s="410"/>
      <c r="E54" s="171">
        <v>54</v>
      </c>
      <c r="F54" s="244" t="s">
        <v>327</v>
      </c>
      <c r="G54" s="233">
        <v>1</v>
      </c>
      <c r="H54" s="171">
        <v>13</v>
      </c>
      <c r="J54" s="241">
        <v>14</v>
      </c>
      <c r="K54" s="214">
        <f t="shared" si="1"/>
        <v>7.1428571428571423</v>
      </c>
      <c r="L54" s="214">
        <f t="shared" si="1"/>
        <v>92.857142857142861</v>
      </c>
      <c r="M54" s="214">
        <f t="shared" si="1"/>
        <v>0</v>
      </c>
      <c r="N54" s="235">
        <f t="shared" si="2"/>
        <v>100</v>
      </c>
      <c r="O54" s="213"/>
      <c r="P54" s="214">
        <v>63.7</v>
      </c>
      <c r="Q54" s="214"/>
      <c r="R54" s="215">
        <f t="shared" si="3"/>
        <v>63.7</v>
      </c>
      <c r="S54" s="171">
        <v>1</v>
      </c>
      <c r="T54" s="285">
        <v>28802</v>
      </c>
      <c r="U54" s="283"/>
      <c r="V54" s="178" t="s">
        <v>130</v>
      </c>
      <c r="W54" s="171" t="s">
        <v>22</v>
      </c>
      <c r="X54" s="171" t="s">
        <v>18</v>
      </c>
      <c r="Y54" s="179">
        <v>63.7</v>
      </c>
      <c r="Z54" s="244"/>
      <c r="AA54" s="244"/>
      <c r="AB54" s="244"/>
      <c r="AC54" s="244"/>
      <c r="AD54" s="178"/>
      <c r="AG54" s="179"/>
      <c r="AL54" s="178"/>
      <c r="AO54" s="179"/>
      <c r="AP54" s="178"/>
      <c r="AS54" s="179"/>
      <c r="AW54" s="179"/>
      <c r="BA54" s="180"/>
    </row>
    <row r="55" spans="1:53" s="171" customFormat="1" x14ac:dyDescent="0.15">
      <c r="A55" s="216">
        <v>1979</v>
      </c>
      <c r="B55" s="283"/>
      <c r="C55" s="410" t="s">
        <v>579</v>
      </c>
      <c r="D55" s="410"/>
      <c r="E55" s="171">
        <v>235</v>
      </c>
      <c r="G55" s="233">
        <v>1</v>
      </c>
      <c r="H55" s="171">
        <v>13</v>
      </c>
      <c r="J55" s="241">
        <v>14</v>
      </c>
      <c r="K55" s="214">
        <f t="shared" si="1"/>
        <v>7.1428571428571423</v>
      </c>
      <c r="L55" s="214">
        <f t="shared" si="1"/>
        <v>92.857142857142861</v>
      </c>
      <c r="M55" s="214">
        <f t="shared" si="1"/>
        <v>0</v>
      </c>
      <c r="N55" s="235">
        <f t="shared" si="2"/>
        <v>100</v>
      </c>
      <c r="O55" s="213"/>
      <c r="P55" s="214">
        <v>63.7</v>
      </c>
      <c r="Q55" s="214"/>
      <c r="R55" s="215">
        <f t="shared" si="3"/>
        <v>63.7</v>
      </c>
      <c r="S55" s="171">
        <v>1</v>
      </c>
      <c r="T55" s="285"/>
      <c r="U55" s="283"/>
      <c r="V55" s="178" t="s">
        <v>130</v>
      </c>
      <c r="W55" s="171" t="s">
        <v>22</v>
      </c>
      <c r="X55" s="171" t="s">
        <v>18</v>
      </c>
      <c r="Y55" s="179">
        <v>63.7</v>
      </c>
      <c r="Z55" s="244"/>
      <c r="AA55" s="244"/>
      <c r="AB55" s="244"/>
      <c r="AC55" s="244"/>
      <c r="AD55" s="178"/>
      <c r="AG55" s="179"/>
      <c r="AL55" s="178"/>
      <c r="AO55" s="179"/>
      <c r="AP55" s="178"/>
      <c r="AS55" s="179"/>
      <c r="AW55" s="179"/>
      <c r="BA55" s="180"/>
    </row>
    <row r="56" spans="1:53" s="171" customFormat="1" x14ac:dyDescent="0.15">
      <c r="A56" s="216">
        <v>1979</v>
      </c>
      <c r="B56" s="305">
        <v>29091</v>
      </c>
      <c r="C56" s="410" t="s">
        <v>579</v>
      </c>
      <c r="D56" s="410"/>
      <c r="E56" s="171">
        <v>67</v>
      </c>
      <c r="F56" s="244">
        <v>0</v>
      </c>
      <c r="G56" s="233"/>
      <c r="H56" s="171">
        <v>14</v>
      </c>
      <c r="J56" s="241">
        <v>14</v>
      </c>
      <c r="K56" s="214">
        <f t="shared" si="1"/>
        <v>0</v>
      </c>
      <c r="L56" s="214">
        <f t="shared" si="1"/>
        <v>100</v>
      </c>
      <c r="M56" s="214">
        <f t="shared" si="1"/>
        <v>0</v>
      </c>
      <c r="N56" s="235">
        <f t="shared" si="2"/>
        <v>100</v>
      </c>
      <c r="O56" s="213"/>
      <c r="P56" s="214">
        <v>63.7</v>
      </c>
      <c r="Q56" s="214"/>
      <c r="R56" s="215">
        <f t="shared" si="3"/>
        <v>63.7</v>
      </c>
      <c r="S56" s="171">
        <v>1</v>
      </c>
      <c r="T56" s="285"/>
      <c r="U56" s="283"/>
      <c r="V56" s="178" t="s">
        <v>130</v>
      </c>
      <c r="W56" s="171" t="s">
        <v>22</v>
      </c>
      <c r="X56" s="171" t="s">
        <v>18</v>
      </c>
      <c r="Y56" s="179">
        <v>63.7</v>
      </c>
      <c r="AD56" s="178"/>
      <c r="AG56" s="179"/>
      <c r="AL56" s="178"/>
      <c r="AO56" s="179"/>
      <c r="AP56" s="178"/>
      <c r="AS56" s="179"/>
      <c r="AW56" s="179"/>
      <c r="BA56" s="180"/>
    </row>
    <row r="57" spans="1:53" s="171" customFormat="1" x14ac:dyDescent="0.15">
      <c r="A57" s="216">
        <v>1979</v>
      </c>
      <c r="B57" s="305">
        <v>29158</v>
      </c>
      <c r="C57" s="410" t="s">
        <v>579</v>
      </c>
      <c r="D57" s="410"/>
      <c r="E57" s="171">
        <f>365-E56-E55</f>
        <v>63</v>
      </c>
      <c r="F57" s="244">
        <v>0</v>
      </c>
      <c r="G57" s="233"/>
      <c r="H57" s="171">
        <v>16</v>
      </c>
      <c r="J57" s="241">
        <v>16</v>
      </c>
      <c r="K57" s="214">
        <f t="shared" si="1"/>
        <v>0</v>
      </c>
      <c r="L57" s="214">
        <f t="shared" si="1"/>
        <v>100</v>
      </c>
      <c r="M57" s="214">
        <f t="shared" si="1"/>
        <v>0</v>
      </c>
      <c r="N57" s="235">
        <f t="shared" si="2"/>
        <v>100</v>
      </c>
      <c r="O57" s="213"/>
      <c r="P57" s="214">
        <v>63.7</v>
      </c>
      <c r="Q57" s="214"/>
      <c r="R57" s="215">
        <f t="shared" si="3"/>
        <v>63.7</v>
      </c>
      <c r="S57" s="171">
        <v>1</v>
      </c>
      <c r="T57" s="285"/>
      <c r="U57" s="283"/>
      <c r="V57" s="178" t="s">
        <v>130</v>
      </c>
      <c r="W57" s="171" t="s">
        <v>22</v>
      </c>
      <c r="X57" s="171" t="s">
        <v>18</v>
      </c>
      <c r="Y57" s="179">
        <v>63.7</v>
      </c>
      <c r="AD57" s="178"/>
      <c r="AG57" s="179"/>
      <c r="AL57" s="178"/>
      <c r="AO57" s="179"/>
      <c r="AP57" s="178"/>
      <c r="AS57" s="179"/>
      <c r="AW57" s="179"/>
      <c r="BA57" s="180"/>
    </row>
    <row r="58" spans="1:53" s="171" customFormat="1" x14ac:dyDescent="0.15">
      <c r="A58" s="216">
        <v>1980</v>
      </c>
      <c r="B58" s="283"/>
      <c r="C58" s="410" t="s">
        <v>579</v>
      </c>
      <c r="D58" s="410"/>
      <c r="E58" s="171">
        <v>308</v>
      </c>
      <c r="G58" s="233"/>
      <c r="H58" s="171">
        <v>16</v>
      </c>
      <c r="J58" s="241">
        <v>16</v>
      </c>
      <c r="K58" s="214">
        <f t="shared" si="1"/>
        <v>0</v>
      </c>
      <c r="L58" s="214">
        <f t="shared" si="1"/>
        <v>100</v>
      </c>
      <c r="M58" s="214">
        <f t="shared" si="1"/>
        <v>0</v>
      </c>
      <c r="N58" s="235">
        <f t="shared" si="2"/>
        <v>100</v>
      </c>
      <c r="O58" s="213"/>
      <c r="P58" s="214">
        <v>63.7</v>
      </c>
      <c r="Q58" s="214"/>
      <c r="R58" s="215">
        <f t="shared" si="3"/>
        <v>63.7</v>
      </c>
      <c r="S58" s="171">
        <v>1</v>
      </c>
      <c r="T58" s="285"/>
      <c r="U58" s="283"/>
      <c r="V58" s="178" t="s">
        <v>130</v>
      </c>
      <c r="W58" s="171" t="s">
        <v>22</v>
      </c>
      <c r="X58" s="171" t="s">
        <v>18</v>
      </c>
      <c r="Y58" s="179">
        <v>63.7</v>
      </c>
      <c r="AD58" s="178"/>
      <c r="AG58" s="179"/>
      <c r="AL58" s="178"/>
      <c r="AO58" s="179"/>
      <c r="AP58" s="178"/>
      <c r="AS58" s="179"/>
      <c r="AW58" s="179"/>
      <c r="BA58" s="180"/>
    </row>
    <row r="59" spans="1:53" s="171" customFormat="1" x14ac:dyDescent="0.15">
      <c r="A59" s="216">
        <v>1980</v>
      </c>
      <c r="B59" s="305">
        <v>29529</v>
      </c>
      <c r="C59" s="410" t="s">
        <v>579</v>
      </c>
      <c r="D59" s="410"/>
      <c r="E59" s="171">
        <v>58</v>
      </c>
      <c r="F59" s="244" t="s">
        <v>327</v>
      </c>
      <c r="G59" s="233"/>
      <c r="H59" s="171">
        <v>16</v>
      </c>
      <c r="J59" s="241">
        <v>16</v>
      </c>
      <c r="K59" s="214">
        <f t="shared" si="1"/>
        <v>0</v>
      </c>
      <c r="L59" s="214">
        <f t="shared" si="1"/>
        <v>100</v>
      </c>
      <c r="M59" s="214">
        <f t="shared" si="1"/>
        <v>0</v>
      </c>
      <c r="N59" s="235">
        <f t="shared" si="2"/>
        <v>100</v>
      </c>
      <c r="O59" s="213"/>
      <c r="P59" s="214">
        <v>55.9</v>
      </c>
      <c r="Q59" s="214"/>
      <c r="R59" s="215">
        <f t="shared" si="3"/>
        <v>55.9</v>
      </c>
      <c r="S59" s="171">
        <v>1</v>
      </c>
      <c r="T59" s="285">
        <v>29529</v>
      </c>
      <c r="U59" s="283"/>
      <c r="V59" s="178" t="s">
        <v>130</v>
      </c>
      <c r="W59" s="171" t="s">
        <v>22</v>
      </c>
      <c r="X59" s="171" t="s">
        <v>18</v>
      </c>
      <c r="Y59" s="179">
        <v>55.9</v>
      </c>
      <c r="AD59" s="178"/>
      <c r="AG59" s="179"/>
      <c r="AL59" s="178"/>
      <c r="AO59" s="179"/>
      <c r="AP59" s="178"/>
      <c r="AS59" s="179"/>
      <c r="AW59" s="179"/>
      <c r="BA59" s="180"/>
    </row>
    <row r="60" spans="1:53" s="171" customFormat="1" x14ac:dyDescent="0.15">
      <c r="A60" s="216">
        <v>1981</v>
      </c>
      <c r="B60" s="283"/>
      <c r="C60" s="410" t="s">
        <v>579</v>
      </c>
      <c r="D60" s="410"/>
      <c r="E60" s="171">
        <v>19</v>
      </c>
      <c r="G60" s="233"/>
      <c r="H60" s="171">
        <v>16</v>
      </c>
      <c r="J60" s="241">
        <v>16</v>
      </c>
      <c r="K60" s="214">
        <f t="shared" si="1"/>
        <v>0</v>
      </c>
      <c r="L60" s="214">
        <f t="shared" si="1"/>
        <v>100</v>
      </c>
      <c r="M60" s="214">
        <f t="shared" si="1"/>
        <v>0</v>
      </c>
      <c r="N60" s="235">
        <f t="shared" si="2"/>
        <v>100</v>
      </c>
      <c r="O60" s="213"/>
      <c r="P60" s="214">
        <v>55.9</v>
      </c>
      <c r="Q60" s="214"/>
      <c r="R60" s="215">
        <f t="shared" si="3"/>
        <v>55.9</v>
      </c>
      <c r="S60" s="171">
        <v>1</v>
      </c>
      <c r="T60" s="285"/>
      <c r="U60" s="283"/>
      <c r="V60" s="178" t="s">
        <v>130</v>
      </c>
      <c r="W60" s="171" t="s">
        <v>22</v>
      </c>
      <c r="X60" s="171" t="s">
        <v>18</v>
      </c>
      <c r="Y60" s="179">
        <v>55.9</v>
      </c>
      <c r="AD60" s="178"/>
      <c r="AG60" s="179"/>
      <c r="AL60" s="178"/>
      <c r="AO60" s="179"/>
      <c r="AP60" s="178"/>
      <c r="AS60" s="179"/>
      <c r="AW60" s="179"/>
      <c r="BA60" s="180"/>
    </row>
    <row r="61" spans="1:53" s="29" customFormat="1" x14ac:dyDescent="0.15">
      <c r="A61" s="52">
        <v>1981</v>
      </c>
      <c r="B61" s="295">
        <v>29606</v>
      </c>
      <c r="C61" s="411" t="s">
        <v>580</v>
      </c>
      <c r="D61" s="411"/>
      <c r="E61" s="29">
        <f xml:space="preserve"> 365-E60</f>
        <v>346</v>
      </c>
      <c r="F61" s="29">
        <v>1</v>
      </c>
      <c r="G61" s="66">
        <v>19</v>
      </c>
      <c r="J61" s="73">
        <v>19</v>
      </c>
      <c r="K61" s="47">
        <f t="shared" si="1"/>
        <v>100</v>
      </c>
      <c r="L61" s="47">
        <f t="shared" si="1"/>
        <v>0</v>
      </c>
      <c r="M61" s="47">
        <f t="shared" si="1"/>
        <v>0</v>
      </c>
      <c r="N61" s="68">
        <f t="shared" si="2"/>
        <v>100</v>
      </c>
      <c r="O61" s="46">
        <v>44.1</v>
      </c>
      <c r="P61" s="47"/>
      <c r="Q61" s="47"/>
      <c r="R61" s="48">
        <f t="shared" si="3"/>
        <v>44.1</v>
      </c>
      <c r="S61" s="29">
        <v>1</v>
      </c>
      <c r="T61" s="286"/>
      <c r="U61" s="295">
        <v>29606</v>
      </c>
      <c r="V61" s="38" t="s">
        <v>330</v>
      </c>
      <c r="W61" s="29" t="s">
        <v>74</v>
      </c>
      <c r="X61" s="29" t="s">
        <v>11</v>
      </c>
      <c r="Y61" s="39">
        <v>44.1</v>
      </c>
      <c r="AD61" s="38"/>
      <c r="AG61" s="39"/>
      <c r="AL61" s="38"/>
      <c r="AO61" s="39"/>
      <c r="AP61" s="38"/>
      <c r="AS61" s="39"/>
      <c r="AW61" s="39"/>
      <c r="BA61" s="40"/>
    </row>
    <row r="62" spans="1:53" s="29" customFormat="1" x14ac:dyDescent="0.15">
      <c r="A62" s="52">
        <v>1982</v>
      </c>
      <c r="B62" s="295"/>
      <c r="C62" s="411" t="s">
        <v>580</v>
      </c>
      <c r="D62" s="411"/>
      <c r="E62" s="29">
        <v>305</v>
      </c>
      <c r="G62" s="66">
        <v>19</v>
      </c>
      <c r="J62" s="73">
        <v>19</v>
      </c>
      <c r="K62" s="47">
        <f t="shared" si="1"/>
        <v>100</v>
      </c>
      <c r="L62" s="47">
        <f t="shared" si="1"/>
        <v>0</v>
      </c>
      <c r="M62" s="47">
        <f t="shared" si="1"/>
        <v>0</v>
      </c>
      <c r="N62" s="68">
        <f t="shared" si="2"/>
        <v>100</v>
      </c>
      <c r="O62" s="46">
        <v>44.1</v>
      </c>
      <c r="P62" s="47"/>
      <c r="Q62" s="47"/>
      <c r="R62" s="48">
        <f t="shared" si="3"/>
        <v>44.1</v>
      </c>
      <c r="S62" s="29">
        <v>1</v>
      </c>
      <c r="T62" s="286"/>
      <c r="U62" s="295"/>
      <c r="V62" s="38" t="s">
        <v>330</v>
      </c>
      <c r="W62" s="29" t="s">
        <v>74</v>
      </c>
      <c r="X62" s="29" t="s">
        <v>11</v>
      </c>
      <c r="Y62" s="39">
        <v>44.1</v>
      </c>
      <c r="AD62" s="38"/>
      <c r="AG62" s="39"/>
      <c r="AL62" s="38"/>
      <c r="AO62" s="39"/>
      <c r="AP62" s="38"/>
      <c r="AS62" s="39"/>
      <c r="AW62" s="39"/>
      <c r="BA62" s="40"/>
    </row>
    <row r="63" spans="1:53" s="29" customFormat="1" x14ac:dyDescent="0.15">
      <c r="A63" s="52">
        <v>1982</v>
      </c>
      <c r="B63" s="303">
        <v>30257</v>
      </c>
      <c r="C63" s="411" t="s">
        <v>580</v>
      </c>
      <c r="D63" s="411"/>
      <c r="E63" s="29">
        <v>60</v>
      </c>
      <c r="F63" s="84" t="s">
        <v>327</v>
      </c>
      <c r="G63" s="66">
        <v>19</v>
      </c>
      <c r="J63" s="73">
        <v>19</v>
      </c>
      <c r="K63" s="47">
        <f t="shared" si="1"/>
        <v>100</v>
      </c>
      <c r="L63" s="47">
        <f t="shared" si="1"/>
        <v>0</v>
      </c>
      <c r="M63" s="47">
        <f t="shared" si="1"/>
        <v>0</v>
      </c>
      <c r="N63" s="68">
        <f t="shared" si="2"/>
        <v>100</v>
      </c>
      <c r="O63" s="46">
        <v>38.200000000000003</v>
      </c>
      <c r="P63" s="47"/>
      <c r="Q63" s="47"/>
      <c r="R63" s="48">
        <f t="shared" si="3"/>
        <v>38.200000000000003</v>
      </c>
      <c r="S63" s="29">
        <v>1</v>
      </c>
      <c r="T63" s="286">
        <v>30257</v>
      </c>
      <c r="U63" s="295"/>
      <c r="V63" s="38" t="s">
        <v>330</v>
      </c>
      <c r="W63" s="29" t="s">
        <v>74</v>
      </c>
      <c r="X63" s="29" t="s">
        <v>11</v>
      </c>
      <c r="Y63" s="39">
        <v>38.200000000000003</v>
      </c>
      <c r="AD63" s="38"/>
      <c r="AG63" s="39"/>
      <c r="AL63" s="38"/>
      <c r="AO63" s="39"/>
      <c r="AP63" s="38"/>
      <c r="AS63" s="39"/>
      <c r="AW63" s="39"/>
      <c r="BA63" s="40"/>
    </row>
    <row r="64" spans="1:53" s="29" customFormat="1" x14ac:dyDescent="0.15">
      <c r="A64" s="52">
        <v>1983</v>
      </c>
      <c r="B64" s="295"/>
      <c r="C64" s="411" t="s">
        <v>580</v>
      </c>
      <c r="D64" s="411"/>
      <c r="E64" s="29">
        <v>0</v>
      </c>
      <c r="G64" s="66">
        <v>19</v>
      </c>
      <c r="J64" s="73">
        <v>19</v>
      </c>
      <c r="K64" s="47">
        <f t="shared" si="1"/>
        <v>100</v>
      </c>
      <c r="L64" s="47">
        <f t="shared" si="1"/>
        <v>0</v>
      </c>
      <c r="M64" s="47">
        <f t="shared" si="1"/>
        <v>0</v>
      </c>
      <c r="N64" s="68">
        <f t="shared" si="2"/>
        <v>100</v>
      </c>
      <c r="O64" s="46">
        <v>38.200000000000003</v>
      </c>
      <c r="P64" s="47"/>
      <c r="Q64" s="47"/>
      <c r="R64" s="48">
        <f t="shared" si="3"/>
        <v>38.200000000000003</v>
      </c>
      <c r="S64" s="29">
        <v>1</v>
      </c>
      <c r="T64" s="286"/>
      <c r="U64" s="295"/>
      <c r="V64" s="38" t="s">
        <v>330</v>
      </c>
      <c r="W64" s="29" t="s">
        <v>74</v>
      </c>
      <c r="X64" s="29" t="s">
        <v>11</v>
      </c>
      <c r="Y64" s="39">
        <v>38.200000000000003</v>
      </c>
      <c r="AD64" s="38"/>
      <c r="AG64" s="39"/>
      <c r="AL64" s="38"/>
      <c r="AO64" s="39"/>
      <c r="AP64" s="38"/>
      <c r="AS64" s="39"/>
      <c r="AW64" s="39"/>
      <c r="BA64" s="40"/>
    </row>
    <row r="65" spans="1:53" s="29" customFormat="1" x14ac:dyDescent="0.15">
      <c r="A65" s="52">
        <v>1983</v>
      </c>
      <c r="B65" s="295"/>
      <c r="C65" s="411" t="s">
        <v>580</v>
      </c>
      <c r="D65" s="411"/>
      <c r="E65" s="29">
        <v>365</v>
      </c>
      <c r="G65" s="66">
        <v>19</v>
      </c>
      <c r="J65" s="73">
        <v>19</v>
      </c>
      <c r="K65" s="47">
        <f t="shared" si="1"/>
        <v>100</v>
      </c>
      <c r="L65" s="47">
        <f t="shared" si="1"/>
        <v>0</v>
      </c>
      <c r="M65" s="47">
        <f t="shared" si="1"/>
        <v>0</v>
      </c>
      <c r="N65" s="68">
        <f t="shared" si="2"/>
        <v>100</v>
      </c>
      <c r="O65" s="46">
        <v>38.200000000000003</v>
      </c>
      <c r="P65" s="47"/>
      <c r="Q65" s="47"/>
      <c r="R65" s="48">
        <f t="shared" si="3"/>
        <v>38.200000000000003</v>
      </c>
      <c r="S65" s="29">
        <v>1</v>
      </c>
      <c r="T65" s="286"/>
      <c r="U65" s="295"/>
      <c r="V65" s="38" t="s">
        <v>330</v>
      </c>
      <c r="W65" s="29" t="s">
        <v>74</v>
      </c>
      <c r="X65" s="29" t="s">
        <v>11</v>
      </c>
      <c r="Y65" s="39">
        <v>38.200000000000003</v>
      </c>
      <c r="AD65" s="38"/>
      <c r="AG65" s="39"/>
      <c r="AL65" s="38"/>
      <c r="AO65" s="39"/>
      <c r="AP65" s="38"/>
      <c r="AS65" s="39"/>
      <c r="AW65" s="39"/>
      <c r="BA65" s="40"/>
    </row>
    <row r="66" spans="1:53" s="29" customFormat="1" x14ac:dyDescent="0.15">
      <c r="A66" s="52">
        <v>1984</v>
      </c>
      <c r="B66" s="295"/>
      <c r="C66" s="411" t="s">
        <v>580</v>
      </c>
      <c r="D66" s="411"/>
      <c r="E66" s="29">
        <v>310</v>
      </c>
      <c r="G66" s="66">
        <v>19</v>
      </c>
      <c r="J66" s="73">
        <v>19</v>
      </c>
      <c r="K66" s="47">
        <f t="shared" si="1"/>
        <v>100</v>
      </c>
      <c r="L66" s="47">
        <f t="shared" si="1"/>
        <v>0</v>
      </c>
      <c r="M66" s="47">
        <f t="shared" si="1"/>
        <v>0</v>
      </c>
      <c r="N66" s="68">
        <f t="shared" si="2"/>
        <v>100</v>
      </c>
      <c r="O66" s="46">
        <v>38.200000000000003</v>
      </c>
      <c r="P66" s="47"/>
      <c r="Q66" s="47"/>
      <c r="R66" s="48">
        <f t="shared" si="3"/>
        <v>38.200000000000003</v>
      </c>
      <c r="S66" s="29">
        <v>1</v>
      </c>
      <c r="T66" s="286"/>
      <c r="U66" s="295"/>
      <c r="V66" s="38" t="s">
        <v>330</v>
      </c>
      <c r="W66" s="29" t="s">
        <v>74</v>
      </c>
      <c r="X66" s="29" t="s">
        <v>11</v>
      </c>
      <c r="Y66" s="39">
        <v>38.200000000000003</v>
      </c>
      <c r="AD66" s="38"/>
      <c r="AG66" s="39"/>
      <c r="AL66" s="38"/>
      <c r="AO66" s="39"/>
      <c r="AP66" s="38"/>
      <c r="AS66" s="39"/>
      <c r="AW66" s="39"/>
      <c r="BA66" s="40"/>
    </row>
    <row r="67" spans="1:53" s="29" customFormat="1" x14ac:dyDescent="0.15">
      <c r="A67" s="52">
        <v>1984</v>
      </c>
      <c r="B67" s="303">
        <v>30992</v>
      </c>
      <c r="C67" s="411" t="s">
        <v>580</v>
      </c>
      <c r="D67" s="411"/>
      <c r="E67" s="29">
        <v>56</v>
      </c>
      <c r="F67" s="84" t="s">
        <v>327</v>
      </c>
      <c r="G67" s="66">
        <v>19</v>
      </c>
      <c r="J67" s="73">
        <v>19</v>
      </c>
      <c r="K67" s="47">
        <f t="shared" si="1"/>
        <v>100</v>
      </c>
      <c r="L67" s="47">
        <f t="shared" si="1"/>
        <v>0</v>
      </c>
      <c r="M67" s="47">
        <f t="shared" si="1"/>
        <v>0</v>
      </c>
      <c r="N67" s="68">
        <f t="shared" si="2"/>
        <v>100</v>
      </c>
      <c r="O67" s="46">
        <v>41.8</v>
      </c>
      <c r="P67" s="47"/>
      <c r="Q67" s="47"/>
      <c r="R67" s="48">
        <f t="shared" si="3"/>
        <v>41.8</v>
      </c>
      <c r="S67" s="29">
        <v>1</v>
      </c>
      <c r="T67" s="286">
        <v>30992</v>
      </c>
      <c r="U67" s="295"/>
      <c r="V67" s="38" t="s">
        <v>330</v>
      </c>
      <c r="W67" s="29" t="s">
        <v>74</v>
      </c>
      <c r="X67" s="29" t="s">
        <v>11</v>
      </c>
      <c r="Y67" s="39">
        <v>41.8</v>
      </c>
      <c r="AD67" s="38"/>
      <c r="AG67" s="39"/>
      <c r="AL67" s="38"/>
      <c r="AO67" s="39"/>
      <c r="AP67" s="38"/>
      <c r="AS67" s="39"/>
      <c r="AW67" s="39"/>
      <c r="BA67" s="40"/>
    </row>
    <row r="68" spans="1:53" s="29" customFormat="1" x14ac:dyDescent="0.15">
      <c r="A68" s="52">
        <v>1985</v>
      </c>
      <c r="B68" s="295"/>
      <c r="C68" s="411" t="s">
        <v>580</v>
      </c>
      <c r="D68" s="411"/>
      <c r="E68" s="29">
        <v>20</v>
      </c>
      <c r="G68" s="66">
        <v>19</v>
      </c>
      <c r="J68" s="73">
        <v>19</v>
      </c>
      <c r="K68" s="47">
        <f t="shared" si="1"/>
        <v>100</v>
      </c>
      <c r="L68" s="47">
        <f t="shared" si="1"/>
        <v>0</v>
      </c>
      <c r="M68" s="47">
        <f t="shared" si="1"/>
        <v>0</v>
      </c>
      <c r="N68" s="68">
        <f t="shared" si="2"/>
        <v>100</v>
      </c>
      <c r="O68" s="46">
        <v>41.8</v>
      </c>
      <c r="P68" s="47"/>
      <c r="Q68" s="47"/>
      <c r="R68" s="48">
        <f t="shared" si="3"/>
        <v>41.8</v>
      </c>
      <c r="S68" s="29">
        <v>1</v>
      </c>
      <c r="T68" s="286"/>
      <c r="U68" s="295"/>
      <c r="V68" s="38" t="s">
        <v>330</v>
      </c>
      <c r="W68" s="29" t="s">
        <v>74</v>
      </c>
      <c r="X68" s="29" t="s">
        <v>11</v>
      </c>
      <c r="Y68" s="39">
        <v>41.8</v>
      </c>
      <c r="AD68" s="38"/>
      <c r="AG68" s="39"/>
      <c r="AL68" s="38"/>
      <c r="AO68" s="39"/>
      <c r="AP68" s="38"/>
      <c r="AS68" s="39"/>
      <c r="AW68" s="39"/>
      <c r="BA68" s="40"/>
    </row>
    <row r="69" spans="1:53" s="171" customFormat="1" x14ac:dyDescent="0.15">
      <c r="A69" s="216">
        <v>1985</v>
      </c>
      <c r="B69" s="283">
        <v>31068</v>
      </c>
      <c r="C69" s="410" t="s">
        <v>581</v>
      </c>
      <c r="D69" s="410"/>
      <c r="E69" s="171">
        <f xml:space="preserve"> 365-E68</f>
        <v>345</v>
      </c>
      <c r="F69" s="171">
        <v>1</v>
      </c>
      <c r="G69" s="233">
        <v>19</v>
      </c>
      <c r="J69" s="241">
        <v>19</v>
      </c>
      <c r="K69" s="214">
        <f t="shared" si="1"/>
        <v>100</v>
      </c>
      <c r="L69" s="214">
        <f t="shared" si="1"/>
        <v>0</v>
      </c>
      <c r="M69" s="214">
        <f t="shared" si="1"/>
        <v>0</v>
      </c>
      <c r="N69" s="235">
        <f t="shared" si="2"/>
        <v>100</v>
      </c>
      <c r="O69" s="213">
        <v>41.8</v>
      </c>
      <c r="P69" s="214"/>
      <c r="Q69" s="214"/>
      <c r="R69" s="215">
        <f t="shared" si="3"/>
        <v>41.8</v>
      </c>
      <c r="S69" s="171">
        <v>1</v>
      </c>
      <c r="T69" s="285"/>
      <c r="U69" s="283">
        <v>31068</v>
      </c>
      <c r="V69" s="178" t="s">
        <v>330</v>
      </c>
      <c r="W69" s="171" t="s">
        <v>74</v>
      </c>
      <c r="X69" s="171" t="s">
        <v>11</v>
      </c>
      <c r="Y69" s="179">
        <v>41.8</v>
      </c>
      <c r="AD69" s="178"/>
      <c r="AG69" s="179"/>
      <c r="AL69" s="178"/>
      <c r="AO69" s="179"/>
      <c r="AP69" s="178"/>
      <c r="AS69" s="179"/>
      <c r="AW69" s="179"/>
      <c r="BA69" s="180"/>
    </row>
    <row r="70" spans="1:53" s="171" customFormat="1" x14ac:dyDescent="0.15">
      <c r="A70" s="216">
        <v>1986</v>
      </c>
      <c r="B70" s="283"/>
      <c r="C70" s="410" t="s">
        <v>581</v>
      </c>
      <c r="D70" s="410"/>
      <c r="E70" s="171">
        <v>304</v>
      </c>
      <c r="G70" s="233">
        <v>19</v>
      </c>
      <c r="J70" s="241">
        <v>19</v>
      </c>
      <c r="K70" s="214">
        <f t="shared" ref="K70:M119" si="4">G70/$J70*100</f>
        <v>100</v>
      </c>
      <c r="L70" s="214">
        <f t="shared" si="4"/>
        <v>0</v>
      </c>
      <c r="M70" s="214">
        <f t="shared" si="4"/>
        <v>0</v>
      </c>
      <c r="N70" s="235">
        <f t="shared" si="2"/>
        <v>100</v>
      </c>
      <c r="O70" s="213">
        <v>41.8</v>
      </c>
      <c r="P70" s="214"/>
      <c r="Q70" s="214"/>
      <c r="R70" s="215">
        <f t="shared" si="3"/>
        <v>41.8</v>
      </c>
      <c r="S70" s="171">
        <v>1</v>
      </c>
      <c r="T70" s="285"/>
      <c r="U70" s="283"/>
      <c r="V70" s="178" t="s">
        <v>330</v>
      </c>
      <c r="W70" s="171" t="s">
        <v>74</v>
      </c>
      <c r="X70" s="171" t="s">
        <v>11</v>
      </c>
      <c r="Y70" s="179">
        <v>41.8</v>
      </c>
      <c r="AD70" s="178"/>
      <c r="AG70" s="179"/>
      <c r="AL70" s="178"/>
      <c r="AO70" s="179"/>
      <c r="AP70" s="178"/>
      <c r="AS70" s="179"/>
      <c r="AW70" s="179"/>
      <c r="BA70" s="180"/>
    </row>
    <row r="71" spans="1:53" s="171" customFormat="1" x14ac:dyDescent="0.15">
      <c r="A71" s="216">
        <v>1986</v>
      </c>
      <c r="B71" s="305">
        <v>31717</v>
      </c>
      <c r="C71" s="410" t="s">
        <v>581</v>
      </c>
      <c r="D71" s="410"/>
      <c r="E71" s="171">
        <v>61</v>
      </c>
      <c r="F71" s="244" t="s">
        <v>327</v>
      </c>
      <c r="G71" s="233">
        <v>19</v>
      </c>
      <c r="J71" s="241">
        <v>19</v>
      </c>
      <c r="K71" s="214">
        <f t="shared" si="4"/>
        <v>100</v>
      </c>
      <c r="L71" s="214">
        <f t="shared" si="4"/>
        <v>0</v>
      </c>
      <c r="M71" s="214">
        <f t="shared" si="4"/>
        <v>0</v>
      </c>
      <c r="N71" s="235">
        <f t="shared" si="2"/>
        <v>100</v>
      </c>
      <c r="O71" s="213">
        <v>40.700000000000003</v>
      </c>
      <c r="P71" s="214"/>
      <c r="Q71" s="214"/>
      <c r="R71" s="215">
        <f t="shared" si="3"/>
        <v>40.700000000000003</v>
      </c>
      <c r="S71" s="171">
        <v>1</v>
      </c>
      <c r="T71" s="285">
        <v>31717</v>
      </c>
      <c r="U71" s="283"/>
      <c r="V71" s="178" t="s">
        <v>330</v>
      </c>
      <c r="W71" s="171" t="s">
        <v>74</v>
      </c>
      <c r="X71" s="171" t="s">
        <v>11</v>
      </c>
      <c r="Y71" s="179">
        <v>40.700000000000003</v>
      </c>
      <c r="AD71" s="178"/>
      <c r="AG71" s="179"/>
      <c r="AL71" s="178"/>
      <c r="AO71" s="179"/>
      <c r="AP71" s="178"/>
      <c r="AS71" s="179"/>
      <c r="AW71" s="179"/>
      <c r="BA71" s="180"/>
    </row>
    <row r="72" spans="1:53" s="171" customFormat="1" x14ac:dyDescent="0.15">
      <c r="A72" s="216">
        <v>1987</v>
      </c>
      <c r="B72" s="283"/>
      <c r="C72" s="410" t="s">
        <v>581</v>
      </c>
      <c r="D72" s="410"/>
      <c r="E72" s="171">
        <v>301</v>
      </c>
      <c r="G72" s="233">
        <v>19</v>
      </c>
      <c r="J72" s="241">
        <v>19</v>
      </c>
      <c r="K72" s="214">
        <f t="shared" si="4"/>
        <v>100</v>
      </c>
      <c r="L72" s="214">
        <f t="shared" si="4"/>
        <v>0</v>
      </c>
      <c r="M72" s="214">
        <f t="shared" si="4"/>
        <v>0</v>
      </c>
      <c r="N72" s="235">
        <f t="shared" si="2"/>
        <v>100</v>
      </c>
      <c r="O72" s="213">
        <v>40.700000000000003</v>
      </c>
      <c r="P72" s="214"/>
      <c r="Q72" s="214"/>
      <c r="R72" s="215">
        <f t="shared" si="3"/>
        <v>40.700000000000003</v>
      </c>
      <c r="S72" s="171">
        <v>1</v>
      </c>
      <c r="T72" s="285"/>
      <c r="U72" s="283"/>
      <c r="V72" s="178" t="s">
        <v>330</v>
      </c>
      <c r="W72" s="171" t="s">
        <v>74</v>
      </c>
      <c r="X72" s="171" t="s">
        <v>11</v>
      </c>
      <c r="Y72" s="179">
        <v>40.700000000000003</v>
      </c>
      <c r="AD72" s="178"/>
      <c r="AG72" s="179"/>
      <c r="AL72" s="178"/>
      <c r="AO72" s="179"/>
      <c r="AP72" s="178"/>
      <c r="AS72" s="179"/>
      <c r="AW72" s="179"/>
      <c r="BA72" s="180"/>
    </row>
    <row r="73" spans="1:53" s="171" customFormat="1" x14ac:dyDescent="0.15">
      <c r="A73" s="216">
        <v>1987</v>
      </c>
      <c r="B73" s="305">
        <v>32079</v>
      </c>
      <c r="C73" s="410" t="s">
        <v>581</v>
      </c>
      <c r="D73" s="410"/>
      <c r="E73" s="171">
        <f>365-E72</f>
        <v>64</v>
      </c>
      <c r="F73" s="244">
        <v>0</v>
      </c>
      <c r="G73" s="233">
        <v>20</v>
      </c>
      <c r="J73" s="241">
        <v>20</v>
      </c>
      <c r="K73" s="214">
        <f t="shared" si="4"/>
        <v>100</v>
      </c>
      <c r="L73" s="214">
        <f t="shared" si="4"/>
        <v>0</v>
      </c>
      <c r="M73" s="214">
        <f t="shared" si="4"/>
        <v>0</v>
      </c>
      <c r="N73" s="235">
        <f t="shared" si="2"/>
        <v>100</v>
      </c>
      <c r="O73" s="213">
        <v>40.700000000000003</v>
      </c>
      <c r="P73" s="214"/>
      <c r="Q73" s="214"/>
      <c r="R73" s="215">
        <f t="shared" si="3"/>
        <v>40.700000000000003</v>
      </c>
      <c r="S73" s="171">
        <v>1</v>
      </c>
      <c r="T73" s="285"/>
      <c r="U73" s="283"/>
      <c r="V73" s="178" t="s">
        <v>330</v>
      </c>
      <c r="W73" s="171" t="s">
        <v>74</v>
      </c>
      <c r="X73" s="171" t="s">
        <v>11</v>
      </c>
      <c r="Y73" s="179">
        <v>40.700000000000003</v>
      </c>
      <c r="AD73" s="178"/>
      <c r="AG73" s="179"/>
      <c r="AL73" s="178"/>
      <c r="AO73" s="179"/>
      <c r="AP73" s="178"/>
      <c r="AS73" s="179"/>
      <c r="AW73" s="179"/>
      <c r="BA73" s="180"/>
    </row>
    <row r="74" spans="1:53" s="171" customFormat="1" x14ac:dyDescent="0.15">
      <c r="A74" s="216">
        <v>1988</v>
      </c>
      <c r="B74" s="283"/>
      <c r="C74" s="410" t="s">
        <v>581</v>
      </c>
      <c r="D74" s="410"/>
      <c r="E74" s="171">
        <v>312</v>
      </c>
      <c r="G74" s="233">
        <v>20</v>
      </c>
      <c r="J74" s="241">
        <v>20</v>
      </c>
      <c r="K74" s="214">
        <f t="shared" si="4"/>
        <v>100</v>
      </c>
      <c r="L74" s="214">
        <f t="shared" si="4"/>
        <v>0</v>
      </c>
      <c r="M74" s="214">
        <f t="shared" si="4"/>
        <v>0</v>
      </c>
      <c r="N74" s="235">
        <f t="shared" si="2"/>
        <v>100</v>
      </c>
      <c r="O74" s="213">
        <v>40.700000000000003</v>
      </c>
      <c r="P74" s="214"/>
      <c r="Q74" s="214"/>
      <c r="R74" s="215">
        <f t="shared" si="3"/>
        <v>40.700000000000003</v>
      </c>
      <c r="S74" s="171">
        <v>1</v>
      </c>
      <c r="T74" s="285"/>
      <c r="U74" s="283"/>
      <c r="V74" s="178" t="s">
        <v>330</v>
      </c>
      <c r="W74" s="171" t="s">
        <v>74</v>
      </c>
      <c r="X74" s="171" t="s">
        <v>11</v>
      </c>
      <c r="Y74" s="179">
        <v>40.700000000000003</v>
      </c>
      <c r="AD74" s="178"/>
      <c r="AG74" s="179"/>
      <c r="AL74" s="178"/>
      <c r="AO74" s="179"/>
      <c r="AP74" s="178"/>
      <c r="AS74" s="179"/>
      <c r="AW74" s="179"/>
      <c r="BA74" s="180"/>
    </row>
    <row r="75" spans="1:53" s="171" customFormat="1" x14ac:dyDescent="0.15">
      <c r="A75" s="216">
        <v>1988</v>
      </c>
      <c r="B75" s="305">
        <v>32455</v>
      </c>
      <c r="C75" s="410" t="s">
        <v>581</v>
      </c>
      <c r="D75" s="410"/>
      <c r="E75" s="171">
        <v>54</v>
      </c>
      <c r="F75" s="244" t="s">
        <v>327</v>
      </c>
      <c r="G75" s="233">
        <v>20</v>
      </c>
      <c r="J75" s="241">
        <v>20</v>
      </c>
      <c r="K75" s="214">
        <f t="shared" si="4"/>
        <v>100</v>
      </c>
      <c r="L75" s="214">
        <f t="shared" si="4"/>
        <v>0</v>
      </c>
      <c r="M75" s="214">
        <f t="shared" si="4"/>
        <v>0</v>
      </c>
      <c r="N75" s="235">
        <f t="shared" si="2"/>
        <v>100</v>
      </c>
      <c r="O75" s="213">
        <v>40.200000000000003</v>
      </c>
      <c r="P75" s="214"/>
      <c r="Q75" s="214"/>
      <c r="R75" s="215">
        <f t="shared" si="3"/>
        <v>40.200000000000003</v>
      </c>
      <c r="S75" s="171">
        <v>1</v>
      </c>
      <c r="T75" s="285">
        <v>32455</v>
      </c>
      <c r="U75" s="283"/>
      <c r="V75" s="178" t="s">
        <v>330</v>
      </c>
      <c r="W75" s="171" t="s">
        <v>74</v>
      </c>
      <c r="X75" s="171" t="s">
        <v>11</v>
      </c>
      <c r="Y75" s="179">
        <v>40.200000000000003</v>
      </c>
      <c r="AD75" s="178"/>
      <c r="AG75" s="179"/>
      <c r="AL75" s="178"/>
      <c r="AO75" s="179"/>
      <c r="AP75" s="178"/>
      <c r="AS75" s="179"/>
      <c r="AW75" s="179"/>
      <c r="BA75" s="180"/>
    </row>
    <row r="76" spans="1:53" s="171" customFormat="1" x14ac:dyDescent="0.15">
      <c r="A76" s="216">
        <v>1989</v>
      </c>
      <c r="B76" s="283"/>
      <c r="C76" s="410" t="s">
        <v>581</v>
      </c>
      <c r="D76" s="410"/>
      <c r="E76" s="171">
        <v>19</v>
      </c>
      <c r="G76" s="233">
        <v>20</v>
      </c>
      <c r="J76" s="241">
        <v>20</v>
      </c>
      <c r="K76" s="214">
        <f t="shared" si="4"/>
        <v>100</v>
      </c>
      <c r="L76" s="214">
        <f t="shared" si="4"/>
        <v>0</v>
      </c>
      <c r="M76" s="214">
        <f t="shared" si="4"/>
        <v>0</v>
      </c>
      <c r="N76" s="235">
        <f t="shared" ref="N76:N119" si="5">K76+L76+M76</f>
        <v>100</v>
      </c>
      <c r="O76" s="213">
        <v>40.200000000000003</v>
      </c>
      <c r="P76" s="214"/>
      <c r="Q76" s="214"/>
      <c r="R76" s="215">
        <f t="shared" ref="R76:R137" si="6">O76+P76+Q76</f>
        <v>40.200000000000003</v>
      </c>
      <c r="S76" s="171">
        <v>1</v>
      </c>
      <c r="T76" s="285"/>
      <c r="U76" s="283"/>
      <c r="V76" s="178" t="s">
        <v>330</v>
      </c>
      <c r="W76" s="171" t="s">
        <v>74</v>
      </c>
      <c r="X76" s="171" t="s">
        <v>11</v>
      </c>
      <c r="Y76" s="179">
        <v>40.200000000000003</v>
      </c>
      <c r="AD76" s="178"/>
      <c r="AG76" s="179"/>
      <c r="AL76" s="178"/>
      <c r="AO76" s="179"/>
      <c r="AP76" s="178"/>
      <c r="AS76" s="179"/>
      <c r="AW76" s="179"/>
      <c r="BA76" s="180"/>
    </row>
    <row r="77" spans="1:53" s="74" customFormat="1" ht="9" customHeight="1" x14ac:dyDescent="0.15">
      <c r="A77" s="92">
        <v>1989</v>
      </c>
      <c r="B77" s="302">
        <v>32528</v>
      </c>
      <c r="C77" s="437" t="s">
        <v>1267</v>
      </c>
      <c r="D77" s="437"/>
      <c r="E77" s="74">
        <f xml:space="preserve"> 365-E76</f>
        <v>346</v>
      </c>
      <c r="F77" s="74">
        <v>1</v>
      </c>
      <c r="G77" s="75">
        <v>16</v>
      </c>
      <c r="J77" s="76">
        <v>16</v>
      </c>
      <c r="K77" s="77">
        <f t="shared" si="4"/>
        <v>100</v>
      </c>
      <c r="L77" s="77">
        <f t="shared" si="4"/>
        <v>0</v>
      </c>
      <c r="M77" s="77">
        <f t="shared" si="4"/>
        <v>0</v>
      </c>
      <c r="N77" s="78">
        <f t="shared" si="5"/>
        <v>100</v>
      </c>
      <c r="O77" s="79">
        <v>40.200000000000003</v>
      </c>
      <c r="P77" s="77"/>
      <c r="Q77" s="77"/>
      <c r="R77" s="80">
        <f t="shared" si="6"/>
        <v>40.200000000000003</v>
      </c>
      <c r="S77" s="74">
        <v>1</v>
      </c>
      <c r="T77" s="304"/>
      <c r="U77" s="302">
        <v>32528</v>
      </c>
      <c r="V77" s="81" t="s">
        <v>330</v>
      </c>
      <c r="W77" s="74" t="s">
        <v>74</v>
      </c>
      <c r="X77" s="74" t="s">
        <v>11</v>
      </c>
      <c r="Y77" s="82">
        <v>40.200000000000003</v>
      </c>
      <c r="AD77" s="81"/>
      <c r="AG77" s="82"/>
      <c r="AL77" s="81"/>
      <c r="AO77" s="82"/>
      <c r="AP77" s="81"/>
      <c r="AS77" s="82"/>
      <c r="AW77" s="82"/>
      <c r="BA77" s="83"/>
    </row>
    <row r="78" spans="1:53" s="29" customFormat="1" x14ac:dyDescent="0.15">
      <c r="A78" s="29">
        <v>1990</v>
      </c>
      <c r="B78" s="295"/>
      <c r="C78" s="411" t="s">
        <v>1267</v>
      </c>
      <c r="D78" s="411"/>
      <c r="E78" s="29">
        <v>305</v>
      </c>
      <c r="G78" s="66">
        <v>16</v>
      </c>
      <c r="J78" s="73">
        <v>16</v>
      </c>
      <c r="K78" s="47">
        <f t="shared" si="4"/>
        <v>100</v>
      </c>
      <c r="L78" s="47">
        <f t="shared" si="4"/>
        <v>0</v>
      </c>
      <c r="M78" s="47">
        <f t="shared" si="4"/>
        <v>0</v>
      </c>
      <c r="N78" s="68">
        <f t="shared" si="5"/>
        <v>100</v>
      </c>
      <c r="O78" s="46">
        <v>40.200000000000003</v>
      </c>
      <c r="P78" s="47"/>
      <c r="Q78" s="47"/>
      <c r="R78" s="48">
        <f t="shared" si="6"/>
        <v>40.200000000000003</v>
      </c>
      <c r="S78" s="29">
        <v>1</v>
      </c>
      <c r="T78" s="286"/>
      <c r="U78" s="295"/>
      <c r="V78" s="38" t="s">
        <v>330</v>
      </c>
      <c r="W78" s="29" t="s">
        <v>74</v>
      </c>
      <c r="X78" s="29" t="s">
        <v>11</v>
      </c>
      <c r="Y78" s="39">
        <v>40.200000000000003</v>
      </c>
      <c r="AD78" s="38"/>
      <c r="AG78" s="39"/>
      <c r="AL78" s="38"/>
      <c r="AO78" s="39"/>
      <c r="AP78" s="38"/>
      <c r="AS78" s="39"/>
      <c r="AW78" s="39"/>
      <c r="BA78" s="40"/>
    </row>
    <row r="79" spans="1:53" s="29" customFormat="1" x14ac:dyDescent="0.15">
      <c r="A79" s="29">
        <v>1990</v>
      </c>
      <c r="B79" s="303">
        <v>33183</v>
      </c>
      <c r="C79" s="411" t="s">
        <v>1267</v>
      </c>
      <c r="D79" s="411"/>
      <c r="E79" s="29">
        <f>365-E78</f>
        <v>60</v>
      </c>
      <c r="F79" s="84" t="s">
        <v>327</v>
      </c>
      <c r="G79" s="66">
        <v>16</v>
      </c>
      <c r="J79" s="73">
        <v>16</v>
      </c>
      <c r="K79" s="47">
        <f t="shared" si="4"/>
        <v>100</v>
      </c>
      <c r="L79" s="47">
        <f t="shared" si="4"/>
        <v>0</v>
      </c>
      <c r="M79" s="47">
        <f t="shared" si="4"/>
        <v>0</v>
      </c>
      <c r="N79" s="68">
        <f t="shared" si="5"/>
        <v>100</v>
      </c>
      <c r="O79" s="46">
        <v>38.4</v>
      </c>
      <c r="P79" s="47"/>
      <c r="Q79" s="47"/>
      <c r="R79" s="48">
        <f t="shared" si="6"/>
        <v>38.4</v>
      </c>
      <c r="S79" s="29">
        <v>1</v>
      </c>
      <c r="T79" s="286">
        <v>33183</v>
      </c>
      <c r="U79" s="295"/>
      <c r="V79" s="38" t="s">
        <v>330</v>
      </c>
      <c r="W79" s="29" t="s">
        <v>74</v>
      </c>
      <c r="X79" s="29" t="s">
        <v>11</v>
      </c>
      <c r="Y79" s="39">
        <v>38.4</v>
      </c>
      <c r="AD79" s="38"/>
      <c r="AG79" s="39"/>
      <c r="AL79" s="38"/>
      <c r="AO79" s="39"/>
      <c r="AP79" s="38"/>
      <c r="AS79" s="39"/>
      <c r="AW79" s="39"/>
      <c r="BA79" s="40"/>
    </row>
    <row r="80" spans="1:53" s="29" customFormat="1" x14ac:dyDescent="0.15">
      <c r="A80" s="29">
        <v>1991</v>
      </c>
      <c r="B80" s="295"/>
      <c r="C80" s="411" t="s">
        <v>1267</v>
      </c>
      <c r="D80" s="411"/>
      <c r="E80" s="29">
        <v>0</v>
      </c>
      <c r="G80" s="66">
        <v>16</v>
      </c>
      <c r="J80" s="73">
        <v>16</v>
      </c>
      <c r="K80" s="47">
        <f t="shared" si="4"/>
        <v>100</v>
      </c>
      <c r="L80" s="47">
        <f t="shared" si="4"/>
        <v>0</v>
      </c>
      <c r="M80" s="47">
        <f t="shared" si="4"/>
        <v>0</v>
      </c>
      <c r="N80" s="68">
        <f t="shared" si="5"/>
        <v>100</v>
      </c>
      <c r="O80" s="46">
        <v>38.4</v>
      </c>
      <c r="P80" s="47"/>
      <c r="Q80" s="47"/>
      <c r="R80" s="48">
        <f t="shared" si="6"/>
        <v>38.4</v>
      </c>
      <c r="S80" s="29">
        <v>1</v>
      </c>
      <c r="T80" s="286"/>
      <c r="U80" s="295"/>
      <c r="V80" s="38" t="s">
        <v>330</v>
      </c>
      <c r="W80" s="29" t="s">
        <v>74</v>
      </c>
      <c r="X80" s="29" t="s">
        <v>11</v>
      </c>
      <c r="Y80" s="39">
        <v>38.4</v>
      </c>
      <c r="AD80" s="38"/>
      <c r="AG80" s="39"/>
      <c r="AL80" s="38"/>
      <c r="AO80" s="39"/>
      <c r="AP80" s="38"/>
      <c r="AS80" s="39"/>
      <c r="AW80" s="39"/>
      <c r="BA80" s="40"/>
    </row>
    <row r="81" spans="1:53" s="29" customFormat="1" x14ac:dyDescent="0.15">
      <c r="A81" s="29">
        <v>1991</v>
      </c>
      <c r="B81" s="295"/>
      <c r="C81" s="411" t="s">
        <v>1267</v>
      </c>
      <c r="D81" s="411"/>
      <c r="E81" s="29">
        <f>365-E80</f>
        <v>365</v>
      </c>
      <c r="G81" s="66">
        <v>16</v>
      </c>
      <c r="J81" s="73">
        <v>16</v>
      </c>
      <c r="K81" s="47">
        <f t="shared" si="4"/>
        <v>100</v>
      </c>
      <c r="L81" s="47">
        <f t="shared" si="4"/>
        <v>0</v>
      </c>
      <c r="M81" s="47">
        <f t="shared" si="4"/>
        <v>0</v>
      </c>
      <c r="N81" s="68">
        <f t="shared" si="5"/>
        <v>100</v>
      </c>
      <c r="O81" s="46">
        <v>38.4</v>
      </c>
      <c r="P81" s="47"/>
      <c r="Q81" s="47"/>
      <c r="R81" s="48">
        <f t="shared" si="6"/>
        <v>38.4</v>
      </c>
      <c r="S81" s="29">
        <v>1</v>
      </c>
      <c r="T81" s="286"/>
      <c r="U81" s="295"/>
      <c r="V81" s="38" t="s">
        <v>330</v>
      </c>
      <c r="W81" s="29" t="s">
        <v>74</v>
      </c>
      <c r="X81" s="29" t="s">
        <v>11</v>
      </c>
      <c r="Y81" s="39">
        <v>38.4</v>
      </c>
      <c r="AD81" s="38"/>
      <c r="AG81" s="39"/>
      <c r="AL81" s="38"/>
      <c r="AO81" s="39"/>
      <c r="AP81" s="38"/>
      <c r="AS81" s="39"/>
      <c r="AW81" s="39"/>
      <c r="BA81" s="40"/>
    </row>
    <row r="82" spans="1:53" s="29" customFormat="1" x14ac:dyDescent="0.15">
      <c r="A82" s="29">
        <v>1992</v>
      </c>
      <c r="B82" s="295"/>
      <c r="C82" s="411" t="s">
        <v>1267</v>
      </c>
      <c r="D82" s="411"/>
      <c r="E82" s="29">
        <v>307</v>
      </c>
      <c r="G82" s="66">
        <v>16</v>
      </c>
      <c r="J82" s="73">
        <v>16</v>
      </c>
      <c r="K82" s="47">
        <f t="shared" si="4"/>
        <v>100</v>
      </c>
      <c r="L82" s="47">
        <f t="shared" si="4"/>
        <v>0</v>
      </c>
      <c r="M82" s="47">
        <f t="shared" si="4"/>
        <v>0</v>
      </c>
      <c r="N82" s="68">
        <f t="shared" si="5"/>
        <v>100</v>
      </c>
      <c r="O82" s="46">
        <v>38.4</v>
      </c>
      <c r="P82" s="47"/>
      <c r="Q82" s="47"/>
      <c r="R82" s="48">
        <f t="shared" si="6"/>
        <v>38.4</v>
      </c>
      <c r="S82" s="29">
        <v>1</v>
      </c>
      <c r="T82" s="286"/>
      <c r="U82" s="295"/>
      <c r="V82" s="38" t="s">
        <v>330</v>
      </c>
      <c r="W82" s="29" t="s">
        <v>74</v>
      </c>
      <c r="X82" s="29" t="s">
        <v>11</v>
      </c>
      <c r="Y82" s="39">
        <v>38.4</v>
      </c>
      <c r="AD82" s="38"/>
      <c r="AG82" s="39"/>
      <c r="AL82" s="38"/>
      <c r="AO82" s="39"/>
      <c r="AP82" s="38"/>
      <c r="AS82" s="39"/>
      <c r="AW82" s="39"/>
      <c r="BA82" s="40"/>
    </row>
    <row r="83" spans="1:53" s="29" customFormat="1" x14ac:dyDescent="0.15">
      <c r="A83" s="29">
        <v>1992</v>
      </c>
      <c r="B83" s="303">
        <v>33911</v>
      </c>
      <c r="C83" s="411" t="s">
        <v>1267</v>
      </c>
      <c r="D83" s="411"/>
      <c r="E83" s="29">
        <v>59</v>
      </c>
      <c r="F83" s="84" t="s">
        <v>327</v>
      </c>
      <c r="G83" s="66">
        <v>16</v>
      </c>
      <c r="J83" s="73">
        <v>16</v>
      </c>
      <c r="K83" s="47">
        <f t="shared" si="4"/>
        <v>100</v>
      </c>
      <c r="L83" s="47">
        <f t="shared" si="4"/>
        <v>0</v>
      </c>
      <c r="M83" s="47">
        <f t="shared" si="4"/>
        <v>0</v>
      </c>
      <c r="N83" s="68">
        <f t="shared" si="5"/>
        <v>100</v>
      </c>
      <c r="O83" s="46">
        <v>40.5</v>
      </c>
      <c r="P83" s="47"/>
      <c r="Q83" s="47"/>
      <c r="R83" s="48">
        <f t="shared" si="6"/>
        <v>40.5</v>
      </c>
      <c r="S83" s="29">
        <v>1</v>
      </c>
      <c r="T83" s="286">
        <v>33911</v>
      </c>
      <c r="U83" s="295"/>
      <c r="V83" s="38" t="s">
        <v>330</v>
      </c>
      <c r="W83" s="29" t="s">
        <v>74</v>
      </c>
      <c r="X83" s="29" t="s">
        <v>11</v>
      </c>
      <c r="Y83" s="39">
        <v>40.5</v>
      </c>
      <c r="AD83" s="38"/>
      <c r="AG83" s="39"/>
      <c r="AL83" s="38"/>
      <c r="AO83" s="39"/>
      <c r="AP83" s="38"/>
      <c r="AS83" s="39"/>
      <c r="AW83" s="39"/>
      <c r="BA83" s="40"/>
    </row>
    <row r="84" spans="1:53" s="29" customFormat="1" x14ac:dyDescent="0.15">
      <c r="A84" s="29">
        <v>1993</v>
      </c>
      <c r="B84" s="295"/>
      <c r="C84" s="411" t="s">
        <v>1267</v>
      </c>
      <c r="D84" s="411"/>
      <c r="E84" s="29">
        <v>19</v>
      </c>
      <c r="G84" s="66">
        <v>16</v>
      </c>
      <c r="J84" s="73">
        <v>16</v>
      </c>
      <c r="K84" s="47">
        <f t="shared" si="4"/>
        <v>100</v>
      </c>
      <c r="L84" s="47">
        <f t="shared" si="4"/>
        <v>0</v>
      </c>
      <c r="M84" s="47">
        <f t="shared" si="4"/>
        <v>0</v>
      </c>
      <c r="N84" s="68">
        <f t="shared" si="5"/>
        <v>100</v>
      </c>
      <c r="O84" s="46">
        <v>40.5</v>
      </c>
      <c r="P84" s="47"/>
      <c r="Q84" s="47"/>
      <c r="R84" s="48">
        <f t="shared" si="6"/>
        <v>40.5</v>
      </c>
      <c r="S84" s="29">
        <v>1</v>
      </c>
      <c r="T84" s="286"/>
      <c r="U84" s="295"/>
      <c r="V84" s="38" t="s">
        <v>330</v>
      </c>
      <c r="W84" s="29" t="s">
        <v>74</v>
      </c>
      <c r="X84" s="29" t="s">
        <v>11</v>
      </c>
      <c r="Y84" s="39">
        <v>40.5</v>
      </c>
      <c r="AD84" s="38"/>
      <c r="AG84" s="39"/>
      <c r="AL84" s="38"/>
      <c r="AO84" s="39"/>
      <c r="AP84" s="38"/>
      <c r="AS84" s="39"/>
      <c r="AW84" s="39"/>
      <c r="BA84" s="40"/>
    </row>
    <row r="85" spans="1:53" s="171" customFormat="1" x14ac:dyDescent="0.15">
      <c r="A85" s="171">
        <v>1993</v>
      </c>
      <c r="B85" s="283">
        <v>33989</v>
      </c>
      <c r="C85" s="410" t="s">
        <v>582</v>
      </c>
      <c r="D85" s="410"/>
      <c r="E85" s="171">
        <f>365-E84</f>
        <v>346</v>
      </c>
      <c r="F85" s="171">
        <v>1</v>
      </c>
      <c r="G85" s="233"/>
      <c r="H85" s="171">
        <v>18</v>
      </c>
      <c r="J85" s="241">
        <v>18</v>
      </c>
      <c r="K85" s="214">
        <f t="shared" si="4"/>
        <v>0</v>
      </c>
      <c r="L85" s="214">
        <f t="shared" si="4"/>
        <v>100</v>
      </c>
      <c r="M85" s="214">
        <f t="shared" si="4"/>
        <v>0</v>
      </c>
      <c r="N85" s="235">
        <f t="shared" si="5"/>
        <v>100</v>
      </c>
      <c r="O85" s="213"/>
      <c r="P85" s="214">
        <v>59.3</v>
      </c>
      <c r="Q85" s="214"/>
      <c r="R85" s="215">
        <f t="shared" si="6"/>
        <v>59.3</v>
      </c>
      <c r="S85" s="171">
        <v>1</v>
      </c>
      <c r="T85" s="285"/>
      <c r="U85" s="283">
        <v>33989</v>
      </c>
      <c r="V85" s="178" t="s">
        <v>130</v>
      </c>
      <c r="W85" s="171" t="s">
        <v>22</v>
      </c>
      <c r="X85" s="171" t="s">
        <v>18</v>
      </c>
      <c r="Y85" s="179">
        <v>59.3</v>
      </c>
      <c r="AD85" s="178"/>
      <c r="AG85" s="179"/>
      <c r="AL85" s="178"/>
      <c r="AO85" s="179"/>
      <c r="AP85" s="178"/>
      <c r="AS85" s="179"/>
      <c r="AW85" s="179"/>
      <c r="BA85" s="180"/>
    </row>
    <row r="86" spans="1:53" s="171" customFormat="1" x14ac:dyDescent="0.15">
      <c r="A86" s="171">
        <v>1994</v>
      </c>
      <c r="B86" s="283"/>
      <c r="C86" s="410" t="s">
        <v>582</v>
      </c>
      <c r="D86" s="410"/>
      <c r="E86" s="171">
        <v>311</v>
      </c>
      <c r="G86" s="233"/>
      <c r="H86" s="171">
        <v>18</v>
      </c>
      <c r="J86" s="241">
        <v>18</v>
      </c>
      <c r="K86" s="214">
        <f t="shared" si="4"/>
        <v>0</v>
      </c>
      <c r="L86" s="214">
        <f t="shared" si="4"/>
        <v>100</v>
      </c>
      <c r="M86" s="214">
        <f t="shared" si="4"/>
        <v>0</v>
      </c>
      <c r="N86" s="235">
        <f t="shared" si="5"/>
        <v>100</v>
      </c>
      <c r="O86" s="213"/>
      <c r="P86" s="214">
        <v>59.3</v>
      </c>
      <c r="Q86" s="214"/>
      <c r="R86" s="215">
        <f t="shared" si="6"/>
        <v>59.3</v>
      </c>
      <c r="S86" s="171">
        <v>1</v>
      </c>
      <c r="T86" s="285"/>
      <c r="U86" s="283"/>
      <c r="V86" s="178" t="s">
        <v>130</v>
      </c>
      <c r="W86" s="171" t="s">
        <v>22</v>
      </c>
      <c r="X86" s="171" t="s">
        <v>18</v>
      </c>
      <c r="Y86" s="179">
        <v>59.3</v>
      </c>
      <c r="AD86" s="178"/>
      <c r="AG86" s="179"/>
      <c r="AL86" s="178"/>
      <c r="AO86" s="179"/>
      <c r="AP86" s="178"/>
      <c r="AS86" s="179"/>
      <c r="AW86" s="179"/>
      <c r="BA86" s="180"/>
    </row>
    <row r="87" spans="1:53" s="171" customFormat="1" x14ac:dyDescent="0.15">
      <c r="A87" s="171">
        <v>1994</v>
      </c>
      <c r="B87" s="305">
        <v>34646</v>
      </c>
      <c r="C87" s="410" t="s">
        <v>582</v>
      </c>
      <c r="D87" s="410"/>
      <c r="E87" s="171">
        <f>365-E86</f>
        <v>54</v>
      </c>
      <c r="F87" s="244" t="s">
        <v>327</v>
      </c>
      <c r="G87" s="233"/>
      <c r="H87" s="171">
        <v>18</v>
      </c>
      <c r="J87" s="241">
        <v>18</v>
      </c>
      <c r="K87" s="214">
        <f t="shared" si="4"/>
        <v>0</v>
      </c>
      <c r="L87" s="214">
        <f t="shared" si="4"/>
        <v>100</v>
      </c>
      <c r="M87" s="214">
        <f t="shared" si="4"/>
        <v>0</v>
      </c>
      <c r="N87" s="235">
        <f t="shared" si="5"/>
        <v>100</v>
      </c>
      <c r="O87" s="213"/>
      <c r="P87" s="214">
        <v>46.9</v>
      </c>
      <c r="Q87" s="214"/>
      <c r="R87" s="215">
        <f t="shared" si="6"/>
        <v>46.9</v>
      </c>
      <c r="S87" s="171">
        <v>1</v>
      </c>
      <c r="T87" s="285">
        <v>34646</v>
      </c>
      <c r="U87" s="283"/>
      <c r="V87" s="178" t="s">
        <v>130</v>
      </c>
      <c r="W87" s="171" t="s">
        <v>22</v>
      </c>
      <c r="X87" s="171" t="s">
        <v>18</v>
      </c>
      <c r="Y87" s="179">
        <v>46.9</v>
      </c>
      <c r="AD87" s="178"/>
      <c r="AG87" s="179"/>
      <c r="AL87" s="178"/>
      <c r="AO87" s="179"/>
      <c r="AP87" s="178"/>
      <c r="AS87" s="179"/>
      <c r="AW87" s="179"/>
      <c r="BA87" s="180"/>
    </row>
    <row r="88" spans="1:53" s="171" customFormat="1" x14ac:dyDescent="0.15">
      <c r="A88" s="171">
        <v>1995</v>
      </c>
      <c r="B88" s="283"/>
      <c r="C88" s="410" t="s">
        <v>582</v>
      </c>
      <c r="D88" s="410"/>
      <c r="E88" s="171">
        <v>0</v>
      </c>
      <c r="G88" s="233"/>
      <c r="H88" s="171">
        <v>18</v>
      </c>
      <c r="J88" s="241">
        <v>18</v>
      </c>
      <c r="K88" s="214">
        <f t="shared" si="4"/>
        <v>0</v>
      </c>
      <c r="L88" s="214">
        <f t="shared" si="4"/>
        <v>100</v>
      </c>
      <c r="M88" s="214">
        <f t="shared" si="4"/>
        <v>0</v>
      </c>
      <c r="N88" s="235">
        <f t="shared" si="5"/>
        <v>100</v>
      </c>
      <c r="O88" s="213"/>
      <c r="P88" s="214">
        <v>46.9</v>
      </c>
      <c r="Q88" s="214"/>
      <c r="R88" s="215">
        <f t="shared" si="6"/>
        <v>46.9</v>
      </c>
      <c r="S88" s="171">
        <v>1</v>
      </c>
      <c r="T88" s="285"/>
      <c r="U88" s="283"/>
      <c r="V88" s="178" t="s">
        <v>130</v>
      </c>
      <c r="W88" s="171" t="s">
        <v>22</v>
      </c>
      <c r="X88" s="171" t="s">
        <v>18</v>
      </c>
      <c r="Y88" s="179">
        <v>46.9</v>
      </c>
      <c r="AD88" s="178"/>
      <c r="AG88" s="179"/>
      <c r="AL88" s="178"/>
      <c r="AO88" s="179"/>
      <c r="AP88" s="178"/>
      <c r="AS88" s="179"/>
      <c r="AW88" s="179"/>
      <c r="BA88" s="180"/>
    </row>
    <row r="89" spans="1:53" s="171" customFormat="1" x14ac:dyDescent="0.15">
      <c r="A89" s="171">
        <v>1995</v>
      </c>
      <c r="B89" s="283"/>
      <c r="C89" s="410" t="s">
        <v>582</v>
      </c>
      <c r="D89" s="410"/>
      <c r="E89" s="171">
        <f>365-E88</f>
        <v>365</v>
      </c>
      <c r="G89" s="233"/>
      <c r="H89" s="171">
        <v>18</v>
      </c>
      <c r="J89" s="241">
        <v>18</v>
      </c>
      <c r="K89" s="214">
        <f t="shared" si="4"/>
        <v>0</v>
      </c>
      <c r="L89" s="214">
        <f t="shared" si="4"/>
        <v>100</v>
      </c>
      <c r="M89" s="214">
        <f t="shared" si="4"/>
        <v>0</v>
      </c>
      <c r="N89" s="235">
        <f t="shared" si="5"/>
        <v>100</v>
      </c>
      <c r="O89" s="213"/>
      <c r="P89" s="214">
        <v>46.9</v>
      </c>
      <c r="Q89" s="214"/>
      <c r="R89" s="215">
        <f t="shared" si="6"/>
        <v>46.9</v>
      </c>
      <c r="S89" s="171">
        <v>1</v>
      </c>
      <c r="T89" s="285"/>
      <c r="U89" s="283"/>
      <c r="V89" s="178" t="s">
        <v>130</v>
      </c>
      <c r="W89" s="171" t="s">
        <v>22</v>
      </c>
      <c r="X89" s="171" t="s">
        <v>18</v>
      </c>
      <c r="Y89" s="179">
        <v>46.9</v>
      </c>
      <c r="AD89" s="178"/>
      <c r="AG89" s="179"/>
      <c r="AL89" s="178"/>
      <c r="AO89" s="179"/>
      <c r="AP89" s="178"/>
      <c r="AS89" s="179"/>
      <c r="AW89" s="179"/>
      <c r="BA89" s="180"/>
    </row>
    <row r="90" spans="1:53" s="171" customFormat="1" x14ac:dyDescent="0.15">
      <c r="A90" s="171">
        <v>1996</v>
      </c>
      <c r="B90" s="283"/>
      <c r="C90" s="410" t="s">
        <v>582</v>
      </c>
      <c r="D90" s="410"/>
      <c r="E90" s="171">
        <v>309</v>
      </c>
      <c r="G90" s="233"/>
      <c r="H90" s="171">
        <v>18</v>
      </c>
      <c r="J90" s="241">
        <v>18</v>
      </c>
      <c r="K90" s="214">
        <f t="shared" si="4"/>
        <v>0</v>
      </c>
      <c r="L90" s="214">
        <f t="shared" si="4"/>
        <v>100</v>
      </c>
      <c r="M90" s="214">
        <f t="shared" si="4"/>
        <v>0</v>
      </c>
      <c r="N90" s="235">
        <f t="shared" si="5"/>
        <v>100</v>
      </c>
      <c r="O90" s="213"/>
      <c r="P90" s="214">
        <v>46.9</v>
      </c>
      <c r="Q90" s="214"/>
      <c r="R90" s="215">
        <f t="shared" si="6"/>
        <v>46.9</v>
      </c>
      <c r="S90" s="171">
        <v>1</v>
      </c>
      <c r="T90" s="285"/>
      <c r="U90" s="283"/>
      <c r="V90" s="178" t="s">
        <v>130</v>
      </c>
      <c r="W90" s="171" t="s">
        <v>22</v>
      </c>
      <c r="X90" s="171" t="s">
        <v>18</v>
      </c>
      <c r="Y90" s="179">
        <v>46.9</v>
      </c>
      <c r="AD90" s="178"/>
      <c r="AG90" s="179"/>
      <c r="AL90" s="178"/>
      <c r="AO90" s="179"/>
      <c r="AP90" s="178"/>
      <c r="AS90" s="179"/>
      <c r="AW90" s="179"/>
      <c r="BA90" s="180"/>
    </row>
    <row r="91" spans="1:53" s="171" customFormat="1" x14ac:dyDescent="0.15">
      <c r="A91" s="171">
        <v>1996</v>
      </c>
      <c r="B91" s="305">
        <v>35374</v>
      </c>
      <c r="C91" s="410" t="s">
        <v>582</v>
      </c>
      <c r="D91" s="410"/>
      <c r="E91" s="171">
        <v>57</v>
      </c>
      <c r="F91" s="244" t="s">
        <v>327</v>
      </c>
      <c r="G91" s="233"/>
      <c r="H91" s="171">
        <v>18</v>
      </c>
      <c r="J91" s="241">
        <v>18</v>
      </c>
      <c r="K91" s="214">
        <f t="shared" si="4"/>
        <v>0</v>
      </c>
      <c r="L91" s="214">
        <f t="shared" si="4"/>
        <v>100</v>
      </c>
      <c r="M91" s="214">
        <f t="shared" si="4"/>
        <v>0</v>
      </c>
      <c r="N91" s="235">
        <f t="shared" si="5"/>
        <v>100</v>
      </c>
      <c r="O91" s="213"/>
      <c r="P91" s="214">
        <v>47.6</v>
      </c>
      <c r="Q91" s="214"/>
      <c r="R91" s="215">
        <f t="shared" si="6"/>
        <v>47.6</v>
      </c>
      <c r="S91" s="171">
        <v>1</v>
      </c>
      <c r="T91" s="285">
        <v>35374</v>
      </c>
      <c r="U91" s="283"/>
      <c r="V91" s="178" t="s">
        <v>130</v>
      </c>
      <c r="W91" s="171" t="s">
        <v>22</v>
      </c>
      <c r="X91" s="171" t="s">
        <v>18</v>
      </c>
      <c r="Y91" s="179">
        <v>47.6</v>
      </c>
      <c r="AD91" s="178"/>
      <c r="AG91" s="179"/>
      <c r="AL91" s="178"/>
      <c r="AO91" s="179"/>
      <c r="AP91" s="178"/>
      <c r="AS91" s="179"/>
      <c r="AW91" s="179"/>
      <c r="BA91" s="180"/>
    </row>
    <row r="92" spans="1:53" s="171" customFormat="1" x14ac:dyDescent="0.15">
      <c r="A92" s="171">
        <v>1997</v>
      </c>
      <c r="B92" s="283"/>
      <c r="C92" s="410" t="s">
        <v>582</v>
      </c>
      <c r="D92" s="410"/>
      <c r="E92" s="171">
        <v>19</v>
      </c>
      <c r="G92" s="233"/>
      <c r="H92" s="171">
        <v>18</v>
      </c>
      <c r="J92" s="241">
        <v>18</v>
      </c>
      <c r="K92" s="214">
        <f t="shared" si="4"/>
        <v>0</v>
      </c>
      <c r="L92" s="214">
        <f t="shared" si="4"/>
        <v>100</v>
      </c>
      <c r="M92" s="214">
        <f t="shared" si="4"/>
        <v>0</v>
      </c>
      <c r="N92" s="235">
        <f t="shared" si="5"/>
        <v>100</v>
      </c>
      <c r="O92" s="213"/>
      <c r="P92" s="214">
        <v>47.6</v>
      </c>
      <c r="Q92" s="214"/>
      <c r="R92" s="215">
        <f t="shared" si="6"/>
        <v>47.6</v>
      </c>
      <c r="S92" s="171">
        <v>1</v>
      </c>
      <c r="T92" s="285"/>
      <c r="U92" s="283"/>
      <c r="V92" s="178" t="s">
        <v>130</v>
      </c>
      <c r="W92" s="171" t="s">
        <v>22</v>
      </c>
      <c r="X92" s="171" t="s">
        <v>18</v>
      </c>
      <c r="Y92" s="179">
        <v>47.6</v>
      </c>
      <c r="AD92" s="178"/>
      <c r="AG92" s="179"/>
      <c r="AL92" s="178"/>
      <c r="AO92" s="179"/>
      <c r="AP92" s="178"/>
      <c r="AS92" s="179"/>
      <c r="AW92" s="179"/>
      <c r="BA92" s="180"/>
    </row>
    <row r="93" spans="1:53" s="29" customFormat="1" x14ac:dyDescent="0.15">
      <c r="A93" s="29">
        <v>1997</v>
      </c>
      <c r="B93" s="295">
        <v>35450</v>
      </c>
      <c r="C93" s="411" t="s">
        <v>583</v>
      </c>
      <c r="D93" s="411"/>
      <c r="E93" s="29">
        <v>346</v>
      </c>
      <c r="F93" s="29">
        <v>1</v>
      </c>
      <c r="G93" s="66">
        <v>1</v>
      </c>
      <c r="H93" s="29">
        <v>17</v>
      </c>
      <c r="J93" s="73">
        <v>18</v>
      </c>
      <c r="K93" s="47">
        <f t="shared" si="4"/>
        <v>5.5555555555555554</v>
      </c>
      <c r="L93" s="47">
        <f t="shared" si="4"/>
        <v>94.444444444444443</v>
      </c>
      <c r="M93" s="47">
        <f t="shared" si="4"/>
        <v>0</v>
      </c>
      <c r="N93" s="68">
        <f t="shared" si="5"/>
        <v>100</v>
      </c>
      <c r="O93" s="46"/>
      <c r="P93" s="47">
        <v>47.6</v>
      </c>
      <c r="Q93" s="47"/>
      <c r="R93" s="48">
        <f t="shared" si="6"/>
        <v>47.6</v>
      </c>
      <c r="S93" s="29">
        <v>1</v>
      </c>
      <c r="T93" s="286"/>
      <c r="U93" s="295">
        <v>35450</v>
      </c>
      <c r="V93" s="38" t="s">
        <v>130</v>
      </c>
      <c r="W93" s="29" t="s">
        <v>22</v>
      </c>
      <c r="X93" s="29" t="s">
        <v>18</v>
      </c>
      <c r="Y93" s="39">
        <v>47.6</v>
      </c>
      <c r="AD93" s="38"/>
      <c r="AG93" s="39"/>
      <c r="AL93" s="38"/>
      <c r="AO93" s="39"/>
      <c r="AP93" s="38"/>
      <c r="AS93" s="39"/>
      <c r="AW93" s="39"/>
      <c r="BA93" s="40"/>
    </row>
    <row r="94" spans="1:53" s="29" customFormat="1" x14ac:dyDescent="0.15">
      <c r="A94" s="29">
        <v>1998</v>
      </c>
      <c r="B94" s="295"/>
      <c r="C94" s="411" t="s">
        <v>583</v>
      </c>
      <c r="D94" s="411"/>
      <c r="E94" s="29">
        <v>306</v>
      </c>
      <c r="G94" s="66">
        <v>1</v>
      </c>
      <c r="H94" s="29">
        <v>17</v>
      </c>
      <c r="J94" s="73">
        <v>18</v>
      </c>
      <c r="K94" s="47">
        <f t="shared" si="4"/>
        <v>5.5555555555555554</v>
      </c>
      <c r="L94" s="47">
        <f t="shared" si="4"/>
        <v>94.444444444444443</v>
      </c>
      <c r="M94" s="47">
        <f t="shared" si="4"/>
        <v>0</v>
      </c>
      <c r="N94" s="68">
        <f t="shared" si="5"/>
        <v>100</v>
      </c>
      <c r="O94" s="46"/>
      <c r="P94" s="47">
        <v>47.6</v>
      </c>
      <c r="Q94" s="47"/>
      <c r="R94" s="48">
        <f t="shared" si="6"/>
        <v>47.6</v>
      </c>
      <c r="S94" s="29">
        <v>1</v>
      </c>
      <c r="T94" s="286"/>
      <c r="U94" s="295"/>
      <c r="V94" s="38" t="s">
        <v>130</v>
      </c>
      <c r="W94" s="29" t="s">
        <v>22</v>
      </c>
      <c r="X94" s="29" t="s">
        <v>18</v>
      </c>
      <c r="Y94" s="39">
        <v>47.6</v>
      </c>
      <c r="Z94" s="84"/>
      <c r="AA94" s="84"/>
      <c r="AB94" s="84"/>
      <c r="AC94" s="84"/>
      <c r="AD94" s="38"/>
      <c r="AG94" s="39"/>
      <c r="AL94" s="38"/>
      <c r="AO94" s="39"/>
      <c r="AP94" s="38"/>
      <c r="AS94" s="39"/>
      <c r="AW94" s="39"/>
      <c r="BA94" s="40"/>
    </row>
    <row r="95" spans="1:53" s="29" customFormat="1" x14ac:dyDescent="0.15">
      <c r="A95" s="29">
        <v>1998</v>
      </c>
      <c r="B95" s="303">
        <v>36102</v>
      </c>
      <c r="C95" s="411" t="s">
        <v>583</v>
      </c>
      <c r="D95" s="411"/>
      <c r="E95" s="29">
        <v>59</v>
      </c>
      <c r="F95" s="84" t="s">
        <v>327</v>
      </c>
      <c r="G95" s="66">
        <v>1</v>
      </c>
      <c r="H95" s="29">
        <v>17</v>
      </c>
      <c r="J95" s="73">
        <v>18</v>
      </c>
      <c r="K95" s="47">
        <f t="shared" si="4"/>
        <v>5.5555555555555554</v>
      </c>
      <c r="L95" s="47">
        <f t="shared" si="4"/>
        <v>94.444444444444443</v>
      </c>
      <c r="M95" s="47">
        <f t="shared" si="4"/>
        <v>0</v>
      </c>
      <c r="N95" s="68">
        <f t="shared" si="5"/>
        <v>100</v>
      </c>
      <c r="O95" s="46"/>
      <c r="P95" s="47">
        <v>48.5</v>
      </c>
      <c r="Q95" s="47"/>
      <c r="R95" s="48">
        <f t="shared" si="6"/>
        <v>48.5</v>
      </c>
      <c r="S95" s="29">
        <v>1</v>
      </c>
      <c r="T95" s="286">
        <v>36102</v>
      </c>
      <c r="U95" s="295"/>
      <c r="V95" s="38" t="s">
        <v>130</v>
      </c>
      <c r="W95" s="29" t="s">
        <v>22</v>
      </c>
      <c r="X95" s="29" t="s">
        <v>18</v>
      </c>
      <c r="Y95" s="39">
        <v>48.5</v>
      </c>
      <c r="Z95" s="84"/>
      <c r="AA95" s="84"/>
      <c r="AB95" s="84"/>
      <c r="AC95" s="84"/>
      <c r="AD95" s="38"/>
      <c r="AG95" s="39"/>
      <c r="AL95" s="38"/>
      <c r="AO95" s="39"/>
      <c r="AP95" s="38"/>
      <c r="AS95" s="39"/>
      <c r="AW95" s="39"/>
      <c r="BA95" s="40"/>
    </row>
    <row r="96" spans="1:53" s="29" customFormat="1" x14ac:dyDescent="0.15">
      <c r="A96" s="29">
        <v>1999</v>
      </c>
      <c r="B96" s="303"/>
      <c r="C96" s="411" t="s">
        <v>583</v>
      </c>
      <c r="D96" s="411"/>
      <c r="E96" s="29">
        <v>0</v>
      </c>
      <c r="G96" s="66">
        <v>1</v>
      </c>
      <c r="H96" s="29">
        <v>17</v>
      </c>
      <c r="J96" s="73">
        <v>18</v>
      </c>
      <c r="K96" s="47">
        <f t="shared" si="4"/>
        <v>5.5555555555555554</v>
      </c>
      <c r="L96" s="47">
        <f t="shared" si="4"/>
        <v>94.444444444444443</v>
      </c>
      <c r="M96" s="47">
        <f t="shared" si="4"/>
        <v>0</v>
      </c>
      <c r="N96" s="68">
        <f t="shared" si="5"/>
        <v>100</v>
      </c>
      <c r="O96" s="46"/>
      <c r="P96" s="47">
        <v>48.5</v>
      </c>
      <c r="Q96" s="47"/>
      <c r="R96" s="48">
        <f t="shared" si="6"/>
        <v>48.5</v>
      </c>
      <c r="S96" s="29">
        <v>1</v>
      </c>
      <c r="T96" s="286"/>
      <c r="U96" s="295"/>
      <c r="V96" s="38" t="s">
        <v>130</v>
      </c>
      <c r="W96" s="29" t="s">
        <v>22</v>
      </c>
      <c r="X96" s="29" t="s">
        <v>18</v>
      </c>
      <c r="Y96" s="39">
        <v>48.5</v>
      </c>
      <c r="Z96" s="84"/>
      <c r="AA96" s="84"/>
      <c r="AB96" s="84"/>
      <c r="AC96" s="84"/>
      <c r="AD96" s="38"/>
      <c r="AG96" s="39"/>
      <c r="AL96" s="38"/>
      <c r="AO96" s="39"/>
      <c r="AP96" s="38"/>
      <c r="AS96" s="39"/>
      <c r="AW96" s="39"/>
      <c r="BA96" s="40"/>
    </row>
    <row r="97" spans="1:53" s="29" customFormat="1" x14ac:dyDescent="0.15">
      <c r="A97" s="29">
        <v>1999</v>
      </c>
      <c r="B97" s="295"/>
      <c r="C97" s="411" t="s">
        <v>583</v>
      </c>
      <c r="D97" s="411"/>
      <c r="E97" s="29">
        <f>365-E96</f>
        <v>365</v>
      </c>
      <c r="G97" s="66">
        <v>1</v>
      </c>
      <c r="H97" s="29">
        <v>17</v>
      </c>
      <c r="J97" s="73">
        <v>18</v>
      </c>
      <c r="K97" s="47">
        <f t="shared" si="4"/>
        <v>5.5555555555555554</v>
      </c>
      <c r="L97" s="47">
        <f t="shared" si="4"/>
        <v>94.444444444444443</v>
      </c>
      <c r="M97" s="47">
        <f t="shared" si="4"/>
        <v>0</v>
      </c>
      <c r="N97" s="68">
        <f t="shared" si="5"/>
        <v>100</v>
      </c>
      <c r="O97" s="46"/>
      <c r="P97" s="47">
        <v>48.5</v>
      </c>
      <c r="Q97" s="47"/>
      <c r="R97" s="48">
        <f t="shared" si="6"/>
        <v>48.5</v>
      </c>
      <c r="S97" s="29">
        <v>1</v>
      </c>
      <c r="T97" s="286"/>
      <c r="U97" s="295"/>
      <c r="V97" s="38" t="s">
        <v>130</v>
      </c>
      <c r="W97" s="29" t="s">
        <v>22</v>
      </c>
      <c r="X97" s="29" t="s">
        <v>18</v>
      </c>
      <c r="Y97" s="39">
        <v>48.5</v>
      </c>
      <c r="Z97" s="84"/>
      <c r="AA97" s="84"/>
      <c r="AB97" s="84"/>
      <c r="AC97" s="84"/>
      <c r="AD97" s="38"/>
      <c r="AG97" s="39"/>
      <c r="AL97" s="38"/>
      <c r="AO97" s="39"/>
      <c r="AP97" s="38"/>
      <c r="AS97" s="39"/>
      <c r="AW97" s="39"/>
      <c r="BA97" s="40"/>
    </row>
    <row r="98" spans="1:53" s="29" customFormat="1" x14ac:dyDescent="0.15">
      <c r="A98" s="29">
        <v>2000</v>
      </c>
      <c r="B98" s="295"/>
      <c r="C98" s="411" t="s">
        <v>583</v>
      </c>
      <c r="D98" s="411"/>
      <c r="E98" s="29">
        <v>311</v>
      </c>
      <c r="G98" s="66">
        <v>1</v>
      </c>
      <c r="H98" s="29">
        <v>17</v>
      </c>
      <c r="J98" s="73">
        <v>18</v>
      </c>
      <c r="K98" s="47">
        <f t="shared" si="4"/>
        <v>5.5555555555555554</v>
      </c>
      <c r="L98" s="47">
        <f t="shared" si="4"/>
        <v>94.444444444444443</v>
      </c>
      <c r="M98" s="47">
        <f t="shared" si="4"/>
        <v>0</v>
      </c>
      <c r="N98" s="68">
        <f t="shared" si="5"/>
        <v>100</v>
      </c>
      <c r="O98" s="46"/>
      <c r="P98" s="47">
        <v>48.5</v>
      </c>
      <c r="Q98" s="47"/>
      <c r="R98" s="48">
        <f t="shared" si="6"/>
        <v>48.5</v>
      </c>
      <c r="S98" s="29">
        <v>1</v>
      </c>
      <c r="T98" s="286"/>
      <c r="U98" s="295"/>
      <c r="V98" s="38" t="s">
        <v>130</v>
      </c>
      <c r="W98" s="29" t="s">
        <v>22</v>
      </c>
      <c r="X98" s="29" t="s">
        <v>18</v>
      </c>
      <c r="Y98" s="39">
        <v>48.5</v>
      </c>
      <c r="Z98" s="84"/>
      <c r="AA98" s="84"/>
      <c r="AB98" s="84"/>
      <c r="AC98" s="84"/>
      <c r="AD98" s="38"/>
      <c r="AG98" s="39"/>
      <c r="AL98" s="38"/>
      <c r="AO98" s="39"/>
      <c r="AP98" s="38"/>
      <c r="AS98" s="39"/>
      <c r="AW98" s="39"/>
      <c r="BA98" s="40"/>
    </row>
    <row r="99" spans="1:53" s="29" customFormat="1" x14ac:dyDescent="0.15">
      <c r="A99" s="29">
        <v>2000</v>
      </c>
      <c r="B99" s="303">
        <v>36837</v>
      </c>
      <c r="C99" s="411" t="s">
        <v>583</v>
      </c>
      <c r="D99" s="411"/>
      <c r="E99" s="29">
        <v>55</v>
      </c>
      <c r="F99" s="84" t="s">
        <v>327</v>
      </c>
      <c r="G99" s="66">
        <v>1</v>
      </c>
      <c r="H99" s="29">
        <v>17</v>
      </c>
      <c r="J99" s="73">
        <v>18</v>
      </c>
      <c r="K99" s="47">
        <f t="shared" si="4"/>
        <v>5.5555555555555554</v>
      </c>
      <c r="L99" s="47">
        <f t="shared" si="4"/>
        <v>94.444444444444443</v>
      </c>
      <c r="M99" s="47">
        <f t="shared" si="4"/>
        <v>0</v>
      </c>
      <c r="N99" s="68">
        <f t="shared" si="5"/>
        <v>100</v>
      </c>
      <c r="O99" s="46"/>
      <c r="P99" s="47">
        <v>48.7</v>
      </c>
      <c r="Q99" s="47"/>
      <c r="R99" s="48">
        <f t="shared" si="6"/>
        <v>48.7</v>
      </c>
      <c r="S99" s="29">
        <v>1</v>
      </c>
      <c r="T99" s="286">
        <v>36837</v>
      </c>
      <c r="U99" s="295"/>
      <c r="V99" s="38" t="s">
        <v>130</v>
      </c>
      <c r="W99" s="29" t="s">
        <v>22</v>
      </c>
      <c r="X99" s="29" t="s">
        <v>18</v>
      </c>
      <c r="Y99" s="39">
        <v>48.7</v>
      </c>
      <c r="Z99" s="84"/>
      <c r="AA99" s="84"/>
      <c r="AB99" s="84"/>
      <c r="AC99" s="84"/>
      <c r="AD99" s="38"/>
      <c r="AG99" s="39"/>
      <c r="AL99" s="38"/>
      <c r="AO99" s="39"/>
      <c r="AP99" s="38"/>
      <c r="AS99" s="39"/>
      <c r="AW99" s="39"/>
      <c r="BA99" s="40"/>
    </row>
    <row r="100" spans="1:53" s="29" customFormat="1" x14ac:dyDescent="0.15">
      <c r="A100" s="29">
        <v>2001</v>
      </c>
      <c r="B100" s="295"/>
      <c r="C100" s="411" t="s">
        <v>583</v>
      </c>
      <c r="D100" s="411"/>
      <c r="E100" s="29">
        <v>19</v>
      </c>
      <c r="G100" s="66">
        <v>1</v>
      </c>
      <c r="H100" s="29">
        <v>17</v>
      </c>
      <c r="J100" s="73">
        <v>18</v>
      </c>
      <c r="K100" s="47">
        <f t="shared" si="4"/>
        <v>5.5555555555555554</v>
      </c>
      <c r="L100" s="47">
        <f t="shared" si="4"/>
        <v>94.444444444444443</v>
      </c>
      <c r="M100" s="47">
        <f t="shared" si="4"/>
        <v>0</v>
      </c>
      <c r="N100" s="68">
        <f t="shared" si="5"/>
        <v>100</v>
      </c>
      <c r="O100" s="46"/>
      <c r="P100" s="47">
        <v>48.7</v>
      </c>
      <c r="Q100" s="47"/>
      <c r="R100" s="48">
        <f t="shared" si="6"/>
        <v>48.7</v>
      </c>
      <c r="S100" s="29">
        <v>1</v>
      </c>
      <c r="T100" s="286"/>
      <c r="U100" s="295"/>
      <c r="V100" s="38" t="s">
        <v>130</v>
      </c>
      <c r="W100" s="29" t="s">
        <v>22</v>
      </c>
      <c r="X100" s="29" t="s">
        <v>18</v>
      </c>
      <c r="Y100" s="39">
        <v>48.7</v>
      </c>
      <c r="Z100" s="84"/>
      <c r="AA100" s="84"/>
      <c r="AB100" s="84"/>
      <c r="AC100" s="84"/>
      <c r="AD100" s="38"/>
      <c r="AG100" s="39"/>
      <c r="AL100" s="38"/>
      <c r="AO100" s="39"/>
      <c r="AP100" s="38"/>
      <c r="AS100" s="39"/>
      <c r="AW100" s="39"/>
      <c r="BA100" s="40"/>
    </row>
    <row r="101" spans="1:53" s="171" customFormat="1" x14ac:dyDescent="0.15">
      <c r="A101" s="171">
        <v>2001</v>
      </c>
      <c r="B101" s="283">
        <v>36911</v>
      </c>
      <c r="C101" s="410" t="s">
        <v>1265</v>
      </c>
      <c r="D101" s="410"/>
      <c r="E101" s="171">
        <f>365-E100</f>
        <v>346</v>
      </c>
      <c r="F101" s="171">
        <v>1</v>
      </c>
      <c r="G101" s="233">
        <v>17</v>
      </c>
      <c r="H101" s="171">
        <v>1</v>
      </c>
      <c r="J101" s="241">
        <v>18</v>
      </c>
      <c r="K101" s="214">
        <f t="shared" si="4"/>
        <v>94.444444444444443</v>
      </c>
      <c r="L101" s="214">
        <f t="shared" si="4"/>
        <v>5.5555555555555554</v>
      </c>
      <c r="M101" s="214">
        <f t="shared" si="4"/>
        <v>0</v>
      </c>
      <c r="N101" s="235">
        <f t="shared" si="5"/>
        <v>100</v>
      </c>
      <c r="O101" s="213">
        <v>50.8</v>
      </c>
      <c r="P101" s="214"/>
      <c r="Q101" s="214"/>
      <c r="R101" s="215">
        <f t="shared" si="6"/>
        <v>50.8</v>
      </c>
      <c r="S101" s="171">
        <v>1</v>
      </c>
      <c r="T101" s="285"/>
      <c r="U101" s="283">
        <v>36911</v>
      </c>
      <c r="V101" s="178" t="s">
        <v>330</v>
      </c>
      <c r="W101" s="171" t="s">
        <v>74</v>
      </c>
      <c r="X101" s="171" t="s">
        <v>11</v>
      </c>
      <c r="Y101" s="179">
        <v>50.8</v>
      </c>
      <c r="Z101" s="244"/>
      <c r="AA101" s="244"/>
      <c r="AB101" s="244"/>
      <c r="AC101" s="244"/>
      <c r="AD101" s="178"/>
      <c r="AG101" s="179"/>
      <c r="AL101" s="178"/>
      <c r="AO101" s="179"/>
      <c r="AP101" s="178"/>
      <c r="AS101" s="179"/>
      <c r="AW101" s="179"/>
      <c r="BA101" s="180"/>
    </row>
    <row r="102" spans="1:53" s="171" customFormat="1" x14ac:dyDescent="0.15">
      <c r="A102" s="171">
        <v>2002</v>
      </c>
      <c r="B102" s="283"/>
      <c r="C102" s="410" t="s">
        <v>1265</v>
      </c>
      <c r="D102" s="410"/>
      <c r="E102" s="171">
        <v>308</v>
      </c>
      <c r="G102" s="233">
        <v>17</v>
      </c>
      <c r="H102" s="171">
        <v>1</v>
      </c>
      <c r="J102" s="241">
        <v>18</v>
      </c>
      <c r="K102" s="214">
        <f t="shared" si="4"/>
        <v>94.444444444444443</v>
      </c>
      <c r="L102" s="214">
        <f t="shared" si="4"/>
        <v>5.5555555555555554</v>
      </c>
      <c r="M102" s="214">
        <f t="shared" si="4"/>
        <v>0</v>
      </c>
      <c r="N102" s="235">
        <f t="shared" si="5"/>
        <v>100</v>
      </c>
      <c r="O102" s="213">
        <v>50.8</v>
      </c>
      <c r="P102" s="214"/>
      <c r="Q102" s="214"/>
      <c r="R102" s="215">
        <f t="shared" si="6"/>
        <v>50.8</v>
      </c>
      <c r="S102" s="171">
        <v>1</v>
      </c>
      <c r="T102" s="285"/>
      <c r="U102" s="283"/>
      <c r="V102" s="178" t="s">
        <v>330</v>
      </c>
      <c r="W102" s="171" t="s">
        <v>74</v>
      </c>
      <c r="X102" s="171" t="s">
        <v>11</v>
      </c>
      <c r="Y102" s="179">
        <v>50.8</v>
      </c>
      <c r="Z102" s="244"/>
      <c r="AA102" s="244"/>
      <c r="AB102" s="244"/>
      <c r="AC102" s="244"/>
      <c r="AD102" s="178"/>
      <c r="AG102" s="179"/>
      <c r="AL102" s="178"/>
      <c r="AO102" s="179"/>
      <c r="AP102" s="178"/>
      <c r="AS102" s="179"/>
      <c r="AW102" s="179"/>
      <c r="BA102" s="180"/>
    </row>
    <row r="103" spans="1:53" s="171" customFormat="1" x14ac:dyDescent="0.15">
      <c r="A103" s="171">
        <v>2002</v>
      </c>
      <c r="B103" s="305">
        <v>37565</v>
      </c>
      <c r="C103" s="410" t="s">
        <v>1265</v>
      </c>
      <c r="D103" s="410"/>
      <c r="E103" s="171">
        <f>365-E102</f>
        <v>57</v>
      </c>
      <c r="F103" s="244" t="s">
        <v>327</v>
      </c>
      <c r="G103" s="233">
        <v>17</v>
      </c>
      <c r="H103" s="171">
        <v>1</v>
      </c>
      <c r="J103" s="241">
        <v>18</v>
      </c>
      <c r="K103" s="214">
        <f t="shared" si="4"/>
        <v>94.444444444444443</v>
      </c>
      <c r="L103" s="214">
        <f t="shared" si="4"/>
        <v>5.5555555555555554</v>
      </c>
      <c r="M103" s="214">
        <f t="shared" si="4"/>
        <v>0</v>
      </c>
      <c r="N103" s="235">
        <f t="shared" si="5"/>
        <v>100</v>
      </c>
      <c r="O103" s="213">
        <v>52.6</v>
      </c>
      <c r="P103" s="214"/>
      <c r="Q103" s="214"/>
      <c r="R103" s="215">
        <f t="shared" si="6"/>
        <v>52.6</v>
      </c>
      <c r="S103" s="171">
        <v>1</v>
      </c>
      <c r="T103" s="285">
        <v>37565</v>
      </c>
      <c r="U103" s="283"/>
      <c r="V103" s="178" t="s">
        <v>330</v>
      </c>
      <c r="W103" s="171" t="s">
        <v>74</v>
      </c>
      <c r="X103" s="171" t="s">
        <v>11</v>
      </c>
      <c r="Y103" s="179">
        <v>52.6</v>
      </c>
      <c r="Z103" s="244"/>
      <c r="AA103" s="244"/>
      <c r="AB103" s="244"/>
      <c r="AC103" s="244"/>
      <c r="AD103" s="178"/>
      <c r="AG103" s="179"/>
      <c r="AL103" s="178"/>
      <c r="AO103" s="179"/>
      <c r="AP103" s="178"/>
      <c r="AS103" s="179"/>
      <c r="AW103" s="179"/>
      <c r="BA103" s="180"/>
    </row>
    <row r="104" spans="1:53" s="171" customFormat="1" x14ac:dyDescent="0.15">
      <c r="A104" s="171">
        <v>2003</v>
      </c>
      <c r="B104" s="283"/>
      <c r="C104" s="410" t="s">
        <v>1265</v>
      </c>
      <c r="D104" s="410"/>
      <c r="E104" s="171">
        <v>21</v>
      </c>
      <c r="G104" s="233">
        <v>17</v>
      </c>
      <c r="H104" s="171">
        <v>1</v>
      </c>
      <c r="J104" s="241">
        <v>18</v>
      </c>
      <c r="K104" s="214">
        <f t="shared" si="4"/>
        <v>94.444444444444443</v>
      </c>
      <c r="L104" s="214">
        <f t="shared" si="4"/>
        <v>5.5555555555555554</v>
      </c>
      <c r="M104" s="214">
        <f t="shared" si="4"/>
        <v>0</v>
      </c>
      <c r="N104" s="235">
        <f t="shared" si="5"/>
        <v>100</v>
      </c>
      <c r="O104" s="213">
        <v>52.6</v>
      </c>
      <c r="P104" s="214"/>
      <c r="Q104" s="214"/>
      <c r="R104" s="215">
        <f t="shared" si="6"/>
        <v>52.6</v>
      </c>
      <c r="S104" s="171">
        <v>1</v>
      </c>
      <c r="T104" s="285"/>
      <c r="U104" s="283"/>
      <c r="V104" s="178" t="s">
        <v>330</v>
      </c>
      <c r="W104" s="171" t="s">
        <v>74</v>
      </c>
      <c r="X104" s="171" t="s">
        <v>11</v>
      </c>
      <c r="Y104" s="179">
        <v>52.6</v>
      </c>
      <c r="Z104" s="244"/>
      <c r="AA104" s="244"/>
      <c r="AB104" s="244"/>
      <c r="AC104" s="244"/>
      <c r="AD104" s="178"/>
      <c r="AG104" s="179"/>
      <c r="AL104" s="178"/>
      <c r="AO104" s="179"/>
      <c r="AP104" s="178"/>
      <c r="AS104" s="179"/>
      <c r="AW104" s="179"/>
      <c r="BA104" s="180"/>
    </row>
    <row r="105" spans="1:53" s="171" customFormat="1" x14ac:dyDescent="0.15">
      <c r="A105" s="171">
        <v>2003</v>
      </c>
      <c r="B105" s="305">
        <v>37643</v>
      </c>
      <c r="C105" s="410" t="s">
        <v>1265</v>
      </c>
      <c r="D105" s="410"/>
      <c r="E105" s="171">
        <f>365-E104</f>
        <v>344</v>
      </c>
      <c r="F105" s="244">
        <v>0</v>
      </c>
      <c r="G105" s="233">
        <v>18</v>
      </c>
      <c r="H105" s="171">
        <v>1</v>
      </c>
      <c r="J105" s="241">
        <v>19</v>
      </c>
      <c r="K105" s="214">
        <f t="shared" si="4"/>
        <v>94.73684210526315</v>
      </c>
      <c r="L105" s="214">
        <f t="shared" si="4"/>
        <v>5.2631578947368416</v>
      </c>
      <c r="M105" s="214">
        <f t="shared" si="4"/>
        <v>0</v>
      </c>
      <c r="N105" s="235">
        <f t="shared" si="5"/>
        <v>99.999999999999986</v>
      </c>
      <c r="O105" s="213">
        <v>52.6</v>
      </c>
      <c r="P105" s="214"/>
      <c r="Q105" s="214"/>
      <c r="R105" s="215">
        <f t="shared" si="6"/>
        <v>52.6</v>
      </c>
      <c r="S105" s="171">
        <v>1</v>
      </c>
      <c r="T105" s="285"/>
      <c r="U105" s="283"/>
      <c r="V105" s="178" t="s">
        <v>330</v>
      </c>
      <c r="W105" s="171" t="s">
        <v>74</v>
      </c>
      <c r="X105" s="171" t="s">
        <v>11</v>
      </c>
      <c r="Y105" s="179">
        <v>52.6</v>
      </c>
      <c r="Z105" s="244"/>
      <c r="AA105" s="244"/>
      <c r="AB105" s="244"/>
      <c r="AC105" s="244"/>
      <c r="AD105" s="178"/>
      <c r="AG105" s="179"/>
      <c r="AL105" s="178"/>
      <c r="AO105" s="179"/>
      <c r="AP105" s="178"/>
      <c r="AS105" s="179"/>
      <c r="AW105" s="179"/>
      <c r="BA105" s="180"/>
    </row>
    <row r="106" spans="1:53" s="171" customFormat="1" x14ac:dyDescent="0.15">
      <c r="A106" s="171">
        <v>2004</v>
      </c>
      <c r="B106" s="283"/>
      <c r="C106" s="410" t="s">
        <v>1265</v>
      </c>
      <c r="D106" s="410"/>
      <c r="E106" s="171">
        <v>306</v>
      </c>
      <c r="G106" s="233">
        <v>18</v>
      </c>
      <c r="H106" s="171">
        <v>1</v>
      </c>
      <c r="J106" s="241">
        <v>19</v>
      </c>
      <c r="K106" s="214">
        <f t="shared" si="4"/>
        <v>94.73684210526315</v>
      </c>
      <c r="L106" s="214">
        <f t="shared" si="4"/>
        <v>5.2631578947368416</v>
      </c>
      <c r="M106" s="214">
        <f t="shared" si="4"/>
        <v>0</v>
      </c>
      <c r="N106" s="235">
        <f t="shared" si="5"/>
        <v>99.999999999999986</v>
      </c>
      <c r="O106" s="213">
        <v>52.6</v>
      </c>
      <c r="P106" s="214"/>
      <c r="Q106" s="214"/>
      <c r="R106" s="215">
        <f t="shared" si="6"/>
        <v>52.6</v>
      </c>
      <c r="S106" s="171">
        <v>1</v>
      </c>
      <c r="T106" s="285"/>
      <c r="U106" s="283"/>
      <c r="V106" s="178" t="s">
        <v>330</v>
      </c>
      <c r="W106" s="171" t="s">
        <v>74</v>
      </c>
      <c r="X106" s="171" t="s">
        <v>11</v>
      </c>
      <c r="Y106" s="179">
        <v>52.6</v>
      </c>
      <c r="Z106" s="244"/>
      <c r="AA106" s="244"/>
      <c r="AB106" s="244"/>
      <c r="AC106" s="244"/>
      <c r="AD106" s="178"/>
      <c r="AG106" s="179"/>
      <c r="AL106" s="178"/>
      <c r="AO106" s="179"/>
      <c r="AP106" s="178"/>
      <c r="AS106" s="179"/>
      <c r="AW106" s="179"/>
      <c r="BA106" s="180"/>
    </row>
    <row r="107" spans="1:53" s="171" customFormat="1" x14ac:dyDescent="0.15">
      <c r="A107" s="171">
        <v>2004</v>
      </c>
      <c r="B107" s="305">
        <v>38293</v>
      </c>
      <c r="C107" s="410" t="s">
        <v>1265</v>
      </c>
      <c r="D107" s="410"/>
      <c r="E107" s="171">
        <v>60</v>
      </c>
      <c r="F107" s="244" t="s">
        <v>327</v>
      </c>
      <c r="G107" s="233">
        <v>18</v>
      </c>
      <c r="H107" s="171">
        <v>1</v>
      </c>
      <c r="J107" s="241">
        <v>19</v>
      </c>
      <c r="K107" s="214">
        <f t="shared" si="4"/>
        <v>94.73684210526315</v>
      </c>
      <c r="L107" s="214">
        <f t="shared" si="4"/>
        <v>5.2631578947368416</v>
      </c>
      <c r="M107" s="214">
        <f t="shared" si="4"/>
        <v>0</v>
      </c>
      <c r="N107" s="235">
        <f t="shared" si="5"/>
        <v>99.999999999999986</v>
      </c>
      <c r="O107" s="213">
        <v>53.1</v>
      </c>
      <c r="P107" s="214"/>
      <c r="Q107" s="214"/>
      <c r="R107" s="215">
        <f t="shared" si="6"/>
        <v>53.1</v>
      </c>
      <c r="S107" s="171">
        <v>1</v>
      </c>
      <c r="T107" s="285">
        <v>38293</v>
      </c>
      <c r="U107" s="283"/>
      <c r="V107" s="178" t="s">
        <v>330</v>
      </c>
      <c r="W107" s="171" t="s">
        <v>74</v>
      </c>
      <c r="X107" s="171" t="s">
        <v>11</v>
      </c>
      <c r="Y107" s="179">
        <v>53.1</v>
      </c>
      <c r="Z107" s="244"/>
      <c r="AA107" s="244"/>
      <c r="AB107" s="244"/>
      <c r="AC107" s="244"/>
      <c r="AD107" s="178"/>
      <c r="AG107" s="179"/>
      <c r="AL107" s="178"/>
      <c r="AO107" s="179"/>
      <c r="AP107" s="178"/>
      <c r="AS107" s="179"/>
      <c r="AW107" s="179"/>
      <c r="BA107" s="180"/>
    </row>
    <row r="108" spans="1:53" s="171" customFormat="1" x14ac:dyDescent="0.15">
      <c r="A108" s="171">
        <v>2005</v>
      </c>
      <c r="B108" s="283"/>
      <c r="C108" s="410" t="s">
        <v>1265</v>
      </c>
      <c r="D108" s="410"/>
      <c r="E108" s="171">
        <v>19</v>
      </c>
      <c r="G108" s="233">
        <v>18</v>
      </c>
      <c r="H108" s="171">
        <v>1</v>
      </c>
      <c r="J108" s="241">
        <v>19</v>
      </c>
      <c r="K108" s="214">
        <f t="shared" si="4"/>
        <v>94.73684210526315</v>
      </c>
      <c r="L108" s="214">
        <f t="shared" si="4"/>
        <v>5.2631578947368416</v>
      </c>
      <c r="M108" s="214">
        <f t="shared" si="4"/>
        <v>0</v>
      </c>
      <c r="N108" s="235">
        <f t="shared" si="5"/>
        <v>99.999999999999986</v>
      </c>
      <c r="O108" s="213">
        <v>53.1</v>
      </c>
      <c r="P108" s="214"/>
      <c r="Q108" s="214"/>
      <c r="R108" s="215">
        <f t="shared" si="6"/>
        <v>53.1</v>
      </c>
      <c r="S108" s="171">
        <v>1</v>
      </c>
      <c r="T108" s="285"/>
      <c r="U108" s="283"/>
      <c r="V108" s="178" t="s">
        <v>330</v>
      </c>
      <c r="W108" s="171" t="s">
        <v>74</v>
      </c>
      <c r="X108" s="171" t="s">
        <v>11</v>
      </c>
      <c r="Y108" s="179">
        <v>53.1</v>
      </c>
      <c r="Z108" s="244"/>
      <c r="AA108" s="244"/>
      <c r="AB108" s="244"/>
      <c r="AC108" s="244"/>
      <c r="AD108" s="178"/>
      <c r="AG108" s="179"/>
      <c r="AL108" s="178"/>
      <c r="AO108" s="179"/>
      <c r="AP108" s="178"/>
      <c r="AS108" s="179"/>
      <c r="AW108" s="179"/>
      <c r="BA108" s="180"/>
    </row>
    <row r="109" spans="1:53" s="29" customFormat="1" x14ac:dyDescent="0.15">
      <c r="A109" s="29">
        <v>2005</v>
      </c>
      <c r="B109" s="295">
        <v>38372</v>
      </c>
      <c r="C109" s="411" t="s">
        <v>1266</v>
      </c>
      <c r="D109" s="411"/>
      <c r="E109" s="29">
        <f>365-E108</f>
        <v>346</v>
      </c>
      <c r="F109" s="29">
        <v>1</v>
      </c>
      <c r="G109" s="66">
        <v>21</v>
      </c>
      <c r="H109" s="29">
        <v>1</v>
      </c>
      <c r="J109" s="73">
        <v>22</v>
      </c>
      <c r="K109" s="47">
        <f t="shared" si="4"/>
        <v>95.454545454545453</v>
      </c>
      <c r="L109" s="47">
        <f t="shared" si="4"/>
        <v>4.5454545454545459</v>
      </c>
      <c r="M109" s="47">
        <f t="shared" si="4"/>
        <v>0</v>
      </c>
      <c r="N109" s="68">
        <f t="shared" si="5"/>
        <v>100</v>
      </c>
      <c r="O109" s="46">
        <v>53.1</v>
      </c>
      <c r="P109" s="47"/>
      <c r="Q109" s="47"/>
      <c r="R109" s="48">
        <f t="shared" si="6"/>
        <v>53.1</v>
      </c>
      <c r="S109" s="29">
        <v>1</v>
      </c>
      <c r="T109" s="286"/>
      <c r="U109" s="295">
        <v>38372</v>
      </c>
      <c r="V109" s="38" t="s">
        <v>330</v>
      </c>
      <c r="W109" s="29" t="s">
        <v>74</v>
      </c>
      <c r="X109" s="29" t="s">
        <v>11</v>
      </c>
      <c r="Y109" s="39">
        <v>53.1</v>
      </c>
      <c r="Z109" s="84"/>
      <c r="AA109" s="84"/>
      <c r="AB109" s="84"/>
      <c r="AC109" s="84"/>
      <c r="AD109" s="38"/>
      <c r="AG109" s="39"/>
      <c r="AL109" s="38"/>
      <c r="AO109" s="39"/>
      <c r="AP109" s="38"/>
      <c r="AS109" s="39"/>
      <c r="AW109" s="39"/>
      <c r="BA109" s="40"/>
    </row>
    <row r="110" spans="1:53" s="29" customFormat="1" x14ac:dyDescent="0.15">
      <c r="A110" s="29">
        <v>2006</v>
      </c>
      <c r="B110" s="295"/>
      <c r="C110" s="411" t="s">
        <v>1266</v>
      </c>
      <c r="D110" s="411"/>
      <c r="E110" s="29">
        <v>272</v>
      </c>
      <c r="G110" s="66">
        <v>21</v>
      </c>
      <c r="H110" s="29">
        <v>1</v>
      </c>
      <c r="J110" s="73">
        <v>22</v>
      </c>
      <c r="K110" s="47">
        <f t="shared" si="4"/>
        <v>95.454545454545453</v>
      </c>
      <c r="L110" s="47">
        <f t="shared" si="4"/>
        <v>4.5454545454545459</v>
      </c>
      <c r="M110" s="47">
        <f t="shared" si="4"/>
        <v>0</v>
      </c>
      <c r="N110" s="68">
        <f t="shared" si="5"/>
        <v>100</v>
      </c>
      <c r="O110" s="46">
        <v>53.1</v>
      </c>
      <c r="P110" s="47"/>
      <c r="Q110" s="47"/>
      <c r="R110" s="48">
        <f t="shared" si="6"/>
        <v>53.1</v>
      </c>
      <c r="S110" s="29">
        <v>1</v>
      </c>
      <c r="T110" s="286"/>
      <c r="U110" s="295"/>
      <c r="V110" s="38" t="s">
        <v>330</v>
      </c>
      <c r="W110" s="29" t="s">
        <v>74</v>
      </c>
      <c r="X110" s="29" t="s">
        <v>11</v>
      </c>
      <c r="Y110" s="39">
        <v>53.1</v>
      </c>
      <c r="Z110" s="84"/>
      <c r="AA110" s="84"/>
      <c r="AB110" s="84"/>
      <c r="AC110" s="84"/>
      <c r="AD110" s="38"/>
      <c r="AG110" s="39"/>
      <c r="AL110" s="38"/>
      <c r="AO110" s="39"/>
      <c r="AP110" s="38"/>
      <c r="AS110" s="39"/>
      <c r="AW110" s="39"/>
      <c r="BA110" s="40"/>
    </row>
    <row r="111" spans="1:53" s="29" customFormat="1" x14ac:dyDescent="0.15">
      <c r="A111" s="29">
        <v>2006</v>
      </c>
      <c r="B111" s="303">
        <v>38990</v>
      </c>
      <c r="C111" s="411" t="s">
        <v>1266</v>
      </c>
      <c r="D111" s="411"/>
      <c r="E111" s="29">
        <v>38</v>
      </c>
      <c r="F111" s="84">
        <v>0</v>
      </c>
      <c r="G111" s="66">
        <v>22</v>
      </c>
      <c r="J111" s="73">
        <v>22</v>
      </c>
      <c r="K111" s="47">
        <f>G111/$J111*100</f>
        <v>100</v>
      </c>
      <c r="L111" s="47">
        <f>H111/$J111*100</f>
        <v>0</v>
      </c>
      <c r="M111" s="47">
        <f>I111/$J111*100</f>
        <v>0</v>
      </c>
      <c r="N111" s="68">
        <f>K111+L111+M111</f>
        <v>100</v>
      </c>
      <c r="O111" s="46">
        <v>53.1</v>
      </c>
      <c r="P111" s="47"/>
      <c r="Q111" s="47"/>
      <c r="R111" s="48">
        <f>O111+P111+Q111</f>
        <v>53.1</v>
      </c>
      <c r="S111" s="29">
        <v>1</v>
      </c>
      <c r="T111" s="286">
        <v>39028</v>
      </c>
      <c r="U111" s="295"/>
      <c r="V111" s="38" t="s">
        <v>330</v>
      </c>
      <c r="W111" s="29" t="s">
        <v>74</v>
      </c>
      <c r="X111" s="29" t="s">
        <v>11</v>
      </c>
      <c r="Y111" s="39">
        <v>53.1</v>
      </c>
      <c r="Z111" s="84"/>
      <c r="AA111" s="84"/>
      <c r="AB111" s="84"/>
      <c r="AC111" s="84"/>
      <c r="AD111" s="38"/>
      <c r="AG111" s="39"/>
      <c r="AL111" s="38"/>
      <c r="AO111" s="39"/>
      <c r="AP111" s="38"/>
      <c r="AS111" s="39"/>
      <c r="AW111" s="39"/>
      <c r="BA111" s="40"/>
    </row>
    <row r="112" spans="1:53" s="29" customFormat="1" x14ac:dyDescent="0.15">
      <c r="A112" s="29">
        <v>2006</v>
      </c>
      <c r="B112" s="303">
        <v>39028</v>
      </c>
      <c r="C112" s="411" t="s">
        <v>1266</v>
      </c>
      <c r="D112" s="411"/>
      <c r="E112" s="29">
        <v>55</v>
      </c>
      <c r="F112" s="84" t="s">
        <v>327</v>
      </c>
      <c r="G112" s="66">
        <v>22</v>
      </c>
      <c r="J112" s="73">
        <v>22</v>
      </c>
      <c r="K112" s="47">
        <f t="shared" si="4"/>
        <v>100</v>
      </c>
      <c r="L112" s="47">
        <f t="shared" si="4"/>
        <v>0</v>
      </c>
      <c r="M112" s="47">
        <f t="shared" si="4"/>
        <v>0</v>
      </c>
      <c r="N112" s="68">
        <f t="shared" si="5"/>
        <v>100</v>
      </c>
      <c r="O112" s="46">
        <v>46.4</v>
      </c>
      <c r="P112" s="47"/>
      <c r="Q112" s="47"/>
      <c r="R112" s="48">
        <f t="shared" si="6"/>
        <v>46.4</v>
      </c>
      <c r="S112" s="29">
        <v>1</v>
      </c>
      <c r="T112" s="286">
        <v>39028</v>
      </c>
      <c r="U112" s="295"/>
      <c r="V112" s="38" t="s">
        <v>330</v>
      </c>
      <c r="W112" s="29" t="s">
        <v>74</v>
      </c>
      <c r="X112" s="29" t="s">
        <v>11</v>
      </c>
      <c r="Y112" s="39">
        <v>46.4</v>
      </c>
      <c r="Z112" s="84"/>
      <c r="AA112" s="84"/>
      <c r="AB112" s="84"/>
      <c r="AC112" s="84"/>
      <c r="AD112" s="38"/>
      <c r="AG112" s="39"/>
      <c r="AL112" s="38"/>
      <c r="AO112" s="39"/>
      <c r="AP112" s="38"/>
      <c r="AS112" s="39"/>
      <c r="AW112" s="39"/>
      <c r="BA112" s="40"/>
    </row>
    <row r="113" spans="1:53" s="29" customFormat="1" x14ac:dyDescent="0.15">
      <c r="A113" s="29">
        <v>2007</v>
      </c>
      <c r="B113" s="295"/>
      <c r="C113" s="411" t="s">
        <v>1266</v>
      </c>
      <c r="D113" s="411"/>
      <c r="E113" s="29">
        <v>0</v>
      </c>
      <c r="G113" s="66">
        <v>22</v>
      </c>
      <c r="J113" s="73">
        <v>22</v>
      </c>
      <c r="K113" s="47">
        <f t="shared" si="4"/>
        <v>100</v>
      </c>
      <c r="L113" s="47">
        <f t="shared" si="4"/>
        <v>0</v>
      </c>
      <c r="M113" s="47">
        <f t="shared" si="4"/>
        <v>0</v>
      </c>
      <c r="N113" s="68">
        <f t="shared" si="5"/>
        <v>100</v>
      </c>
      <c r="O113" s="46">
        <v>46.4</v>
      </c>
      <c r="P113" s="47"/>
      <c r="Q113" s="47"/>
      <c r="R113" s="48">
        <f t="shared" si="6"/>
        <v>46.4</v>
      </c>
      <c r="S113" s="29">
        <v>1</v>
      </c>
      <c r="T113" s="286"/>
      <c r="U113" s="295"/>
      <c r="V113" s="38" t="s">
        <v>330</v>
      </c>
      <c r="W113" s="29" t="s">
        <v>74</v>
      </c>
      <c r="X113" s="29" t="s">
        <v>11</v>
      </c>
      <c r="Y113" s="39">
        <v>46.4</v>
      </c>
      <c r="Z113" s="84"/>
      <c r="AA113" s="84"/>
      <c r="AB113" s="84"/>
      <c r="AC113" s="84"/>
      <c r="AD113" s="38"/>
      <c r="AG113" s="39"/>
      <c r="AL113" s="38"/>
      <c r="AO113" s="39"/>
      <c r="AP113" s="38"/>
      <c r="AS113" s="39"/>
      <c r="AW113" s="39"/>
      <c r="BA113" s="40"/>
    </row>
    <row r="114" spans="1:53" s="29" customFormat="1" x14ac:dyDescent="0.15">
      <c r="A114" s="29">
        <v>2007</v>
      </c>
      <c r="B114" s="295"/>
      <c r="C114" s="411" t="s">
        <v>1266</v>
      </c>
      <c r="D114" s="411"/>
      <c r="E114" s="29">
        <v>365</v>
      </c>
      <c r="G114" s="66">
        <v>22</v>
      </c>
      <c r="J114" s="73">
        <v>22</v>
      </c>
      <c r="K114" s="47">
        <f t="shared" si="4"/>
        <v>100</v>
      </c>
      <c r="L114" s="47">
        <f t="shared" si="4"/>
        <v>0</v>
      </c>
      <c r="M114" s="47">
        <f t="shared" si="4"/>
        <v>0</v>
      </c>
      <c r="N114" s="68">
        <f t="shared" si="5"/>
        <v>100</v>
      </c>
      <c r="O114" s="46">
        <v>46.4</v>
      </c>
      <c r="P114" s="47"/>
      <c r="Q114" s="47"/>
      <c r="R114" s="48">
        <f t="shared" si="6"/>
        <v>46.4</v>
      </c>
      <c r="S114" s="29">
        <v>1</v>
      </c>
      <c r="T114" s="286"/>
      <c r="U114" s="295"/>
      <c r="V114" s="38" t="s">
        <v>330</v>
      </c>
      <c r="W114" s="29" t="s">
        <v>74</v>
      </c>
      <c r="X114" s="29" t="s">
        <v>11</v>
      </c>
      <c r="Y114" s="39">
        <v>46.4</v>
      </c>
      <c r="Z114" s="84"/>
      <c r="AA114" s="84"/>
      <c r="AB114" s="84"/>
      <c r="AC114" s="84"/>
      <c r="AD114" s="38"/>
      <c r="AG114" s="39"/>
      <c r="AL114" s="38"/>
      <c r="AO114" s="39"/>
      <c r="AP114" s="38"/>
      <c r="AS114" s="39"/>
      <c r="AW114" s="39"/>
      <c r="BA114" s="40"/>
    </row>
    <row r="115" spans="1:53" s="29" customFormat="1" x14ac:dyDescent="0.15">
      <c r="A115" s="29">
        <v>2008</v>
      </c>
      <c r="B115" s="295"/>
      <c r="C115" s="411" t="s">
        <v>1266</v>
      </c>
      <c r="D115" s="411"/>
      <c r="E115" s="29">
        <v>308</v>
      </c>
      <c r="G115" s="66">
        <v>22</v>
      </c>
      <c r="J115" s="73">
        <v>22</v>
      </c>
      <c r="K115" s="47">
        <f t="shared" si="4"/>
        <v>100</v>
      </c>
      <c r="L115" s="47">
        <f t="shared" si="4"/>
        <v>0</v>
      </c>
      <c r="M115" s="47">
        <f t="shared" si="4"/>
        <v>0</v>
      </c>
      <c r="N115" s="68">
        <f t="shared" si="5"/>
        <v>100</v>
      </c>
      <c r="O115" s="46">
        <v>46.4</v>
      </c>
      <c r="P115" s="47"/>
      <c r="Q115" s="47"/>
      <c r="R115" s="48">
        <f t="shared" si="6"/>
        <v>46.4</v>
      </c>
      <c r="S115" s="29">
        <v>1</v>
      </c>
      <c r="T115" s="286"/>
      <c r="U115" s="295"/>
      <c r="V115" s="38" t="s">
        <v>330</v>
      </c>
      <c r="W115" s="29" t="s">
        <v>74</v>
      </c>
      <c r="X115" s="29" t="s">
        <v>11</v>
      </c>
      <c r="Y115" s="39">
        <v>46.4</v>
      </c>
      <c r="Z115" s="84"/>
      <c r="AA115" s="84"/>
      <c r="AB115" s="84"/>
      <c r="AC115" s="84"/>
      <c r="AD115" s="38"/>
      <c r="AG115" s="39"/>
      <c r="AL115" s="38"/>
      <c r="AO115" s="39"/>
      <c r="AP115" s="38"/>
      <c r="AS115" s="39"/>
      <c r="AW115" s="39"/>
      <c r="BA115" s="40"/>
    </row>
    <row r="116" spans="1:53" s="29" customFormat="1" x14ac:dyDescent="0.15">
      <c r="A116" s="29">
        <v>2008</v>
      </c>
      <c r="B116" s="303">
        <v>39756</v>
      </c>
      <c r="C116" s="411" t="s">
        <v>1266</v>
      </c>
      <c r="D116" s="411"/>
      <c r="E116" s="29">
        <v>58</v>
      </c>
      <c r="F116" s="84" t="s">
        <v>327</v>
      </c>
      <c r="G116" s="66">
        <v>22</v>
      </c>
      <c r="J116" s="73">
        <v>22</v>
      </c>
      <c r="K116" s="47">
        <f t="shared" si="4"/>
        <v>100</v>
      </c>
      <c r="L116" s="47">
        <f t="shared" si="4"/>
        <v>0</v>
      </c>
      <c r="M116" s="47">
        <f t="shared" si="4"/>
        <v>0</v>
      </c>
      <c r="N116" s="68">
        <f t="shared" si="5"/>
        <v>100</v>
      </c>
      <c r="O116" s="46">
        <v>40.9</v>
      </c>
      <c r="P116" s="47"/>
      <c r="Q116" s="47"/>
      <c r="R116" s="48">
        <f t="shared" si="6"/>
        <v>40.9</v>
      </c>
      <c r="S116" s="29">
        <v>1</v>
      </c>
      <c r="T116" s="286">
        <v>39756</v>
      </c>
      <c r="U116" s="295"/>
      <c r="V116" s="38" t="s">
        <v>330</v>
      </c>
      <c r="W116" s="29" t="s">
        <v>74</v>
      </c>
      <c r="X116" s="29" t="s">
        <v>11</v>
      </c>
      <c r="Y116" s="39">
        <v>40.9</v>
      </c>
      <c r="Z116" s="84"/>
      <c r="AA116" s="84"/>
      <c r="AB116" s="84"/>
      <c r="AC116" s="84"/>
      <c r="AD116" s="38"/>
      <c r="AG116" s="39"/>
      <c r="AL116" s="38"/>
      <c r="AO116" s="39"/>
      <c r="AP116" s="38"/>
      <c r="AS116" s="39"/>
      <c r="AW116" s="39"/>
      <c r="BA116" s="40"/>
    </row>
    <row r="117" spans="1:53" s="29" customFormat="1" x14ac:dyDescent="0.15">
      <c r="A117" s="29">
        <v>2009</v>
      </c>
      <c r="B117" s="295"/>
      <c r="C117" s="411" t="s">
        <v>1266</v>
      </c>
      <c r="D117" s="411"/>
      <c r="E117" s="29">
        <v>19</v>
      </c>
      <c r="G117" s="66">
        <v>22</v>
      </c>
      <c r="J117" s="73">
        <v>22</v>
      </c>
      <c r="K117" s="47">
        <f t="shared" si="4"/>
        <v>100</v>
      </c>
      <c r="L117" s="47">
        <f t="shared" si="4"/>
        <v>0</v>
      </c>
      <c r="M117" s="47">
        <f t="shared" si="4"/>
        <v>0</v>
      </c>
      <c r="N117" s="68">
        <f t="shared" si="5"/>
        <v>100</v>
      </c>
      <c r="O117" s="46">
        <v>40.9</v>
      </c>
      <c r="P117" s="47"/>
      <c r="Q117" s="47"/>
      <c r="R117" s="48">
        <f t="shared" si="6"/>
        <v>40.9</v>
      </c>
      <c r="S117" s="29">
        <v>1</v>
      </c>
      <c r="T117" s="286"/>
      <c r="U117" s="295"/>
      <c r="V117" s="38" t="s">
        <v>330</v>
      </c>
      <c r="W117" s="29" t="s">
        <v>74</v>
      </c>
      <c r="X117" s="29" t="s">
        <v>11</v>
      </c>
      <c r="Y117" s="39">
        <v>40.9</v>
      </c>
      <c r="Z117" s="84"/>
      <c r="AA117" s="84"/>
      <c r="AB117" s="84"/>
      <c r="AC117" s="84"/>
      <c r="AD117" s="38"/>
      <c r="AG117" s="39"/>
      <c r="AL117" s="38"/>
      <c r="AO117" s="39"/>
      <c r="AP117" s="38"/>
      <c r="AS117" s="39"/>
      <c r="AW117" s="39"/>
      <c r="BA117" s="40"/>
    </row>
    <row r="118" spans="1:53" s="171" customFormat="1" x14ac:dyDescent="0.15">
      <c r="A118" s="171">
        <v>2009</v>
      </c>
      <c r="B118" s="283">
        <v>39833</v>
      </c>
      <c r="C118" s="410" t="s">
        <v>584</v>
      </c>
      <c r="D118" s="410"/>
      <c r="E118" s="171">
        <f>365-E117</f>
        <v>346</v>
      </c>
      <c r="F118" s="171">
        <v>1</v>
      </c>
      <c r="G118" s="233">
        <v>2</v>
      </c>
      <c r="H118" s="171">
        <v>15</v>
      </c>
      <c r="J118" s="241">
        <v>17</v>
      </c>
      <c r="K118" s="214">
        <f t="shared" si="4"/>
        <v>11.76470588235294</v>
      </c>
      <c r="L118" s="214">
        <f t="shared" si="4"/>
        <v>88.235294117647058</v>
      </c>
      <c r="M118" s="214">
        <f t="shared" si="4"/>
        <v>0</v>
      </c>
      <c r="N118" s="235">
        <f t="shared" si="5"/>
        <v>100</v>
      </c>
      <c r="O118" s="213"/>
      <c r="P118" s="214">
        <v>59.1</v>
      </c>
      <c r="Q118" s="214"/>
      <c r="R118" s="215">
        <f t="shared" si="6"/>
        <v>59.1</v>
      </c>
      <c r="S118" s="171">
        <v>1</v>
      </c>
      <c r="T118" s="285"/>
      <c r="U118" s="283">
        <v>39833</v>
      </c>
      <c r="V118" s="178" t="s">
        <v>130</v>
      </c>
      <c r="W118" s="171" t="s">
        <v>22</v>
      </c>
      <c r="X118" s="171" t="s">
        <v>18</v>
      </c>
      <c r="Y118" s="179">
        <v>59.1</v>
      </c>
      <c r="Z118" s="244"/>
      <c r="AA118" s="244"/>
      <c r="AB118" s="244"/>
      <c r="AC118" s="244"/>
      <c r="AD118" s="178"/>
      <c r="AG118" s="179"/>
      <c r="AL118" s="178"/>
      <c r="AO118" s="179"/>
      <c r="AP118" s="178"/>
      <c r="AS118" s="179"/>
      <c r="AW118" s="179"/>
      <c r="BA118" s="180"/>
    </row>
    <row r="119" spans="1:53" s="171" customFormat="1" x14ac:dyDescent="0.15">
      <c r="A119" s="171">
        <v>2010</v>
      </c>
      <c r="B119" s="283"/>
      <c r="C119" s="410" t="s">
        <v>584</v>
      </c>
      <c r="D119" s="410"/>
      <c r="E119" s="171">
        <v>305</v>
      </c>
      <c r="G119" s="233">
        <v>2</v>
      </c>
      <c r="H119" s="171">
        <v>15</v>
      </c>
      <c r="J119" s="241">
        <v>17</v>
      </c>
      <c r="K119" s="214">
        <f t="shared" si="4"/>
        <v>11.76470588235294</v>
      </c>
      <c r="L119" s="214">
        <f t="shared" si="4"/>
        <v>88.235294117647058</v>
      </c>
      <c r="M119" s="214">
        <f t="shared" si="4"/>
        <v>0</v>
      </c>
      <c r="N119" s="235">
        <f t="shared" si="5"/>
        <v>100</v>
      </c>
      <c r="O119" s="213"/>
      <c r="P119" s="214">
        <v>59.1</v>
      </c>
      <c r="Q119" s="214"/>
      <c r="R119" s="215">
        <f t="shared" si="6"/>
        <v>59.1</v>
      </c>
      <c r="S119" s="171">
        <v>1</v>
      </c>
      <c r="T119" s="285"/>
      <c r="U119" s="283"/>
      <c r="V119" s="178" t="s">
        <v>130</v>
      </c>
      <c r="W119" s="171" t="s">
        <v>22</v>
      </c>
      <c r="X119" s="171" t="s">
        <v>18</v>
      </c>
      <c r="Y119" s="179">
        <v>59.1</v>
      </c>
      <c r="Z119" s="244"/>
      <c r="AA119" s="244"/>
      <c r="AB119" s="244"/>
      <c r="AC119" s="244"/>
      <c r="AD119" s="178"/>
      <c r="AG119" s="179"/>
      <c r="AL119" s="178"/>
      <c r="AO119" s="179"/>
      <c r="AP119" s="178"/>
      <c r="AS119" s="179"/>
      <c r="AW119" s="179"/>
      <c r="BA119" s="180"/>
    </row>
    <row r="120" spans="1:53" s="171" customFormat="1" x14ac:dyDescent="0.15">
      <c r="A120" s="171">
        <v>2010</v>
      </c>
      <c r="B120" s="305">
        <v>40484</v>
      </c>
      <c r="C120" s="410" t="s">
        <v>584</v>
      </c>
      <c r="D120" s="410"/>
      <c r="E120" s="171">
        <v>60</v>
      </c>
      <c r="F120" s="244" t="s">
        <v>327</v>
      </c>
      <c r="G120" s="233">
        <v>2</v>
      </c>
      <c r="H120" s="171">
        <v>15</v>
      </c>
      <c r="J120" s="241">
        <v>17</v>
      </c>
      <c r="K120" s="214">
        <f t="shared" ref="K120:M124" si="7">G120/$J120*100</f>
        <v>11.76470588235294</v>
      </c>
      <c r="L120" s="214">
        <f t="shared" si="7"/>
        <v>88.235294117647058</v>
      </c>
      <c r="M120" s="214">
        <f t="shared" si="7"/>
        <v>0</v>
      </c>
      <c r="N120" s="235">
        <f t="shared" ref="N120:N125" si="8">K120+L120+M120</f>
        <v>100</v>
      </c>
      <c r="O120" s="213"/>
      <c r="P120" s="214">
        <v>44.4</v>
      </c>
      <c r="Q120" s="214"/>
      <c r="R120" s="215">
        <f t="shared" si="6"/>
        <v>44.4</v>
      </c>
      <c r="S120" s="171">
        <v>1</v>
      </c>
      <c r="T120" s="285">
        <v>40484</v>
      </c>
      <c r="U120" s="283"/>
      <c r="V120" s="178" t="s">
        <v>130</v>
      </c>
      <c r="W120" s="171" t="s">
        <v>22</v>
      </c>
      <c r="X120" s="171" t="s">
        <v>18</v>
      </c>
      <c r="Y120" s="179">
        <v>44.4</v>
      </c>
      <c r="Z120" s="244"/>
      <c r="AA120" s="244"/>
      <c r="AB120" s="244"/>
      <c r="AC120" s="244"/>
      <c r="AD120" s="178"/>
      <c r="AG120" s="179"/>
      <c r="AL120" s="178"/>
      <c r="AO120" s="179"/>
      <c r="AP120" s="178"/>
      <c r="AS120" s="179"/>
      <c r="AW120" s="179"/>
      <c r="BA120" s="180"/>
    </row>
    <row r="121" spans="1:53" s="171" customFormat="1" x14ac:dyDescent="0.15">
      <c r="A121" s="171">
        <v>2011</v>
      </c>
      <c r="B121" s="283"/>
      <c r="C121" s="410" t="s">
        <v>584</v>
      </c>
      <c r="D121" s="410"/>
      <c r="E121" s="171">
        <v>181</v>
      </c>
      <c r="G121" s="233">
        <v>2</v>
      </c>
      <c r="H121" s="171">
        <v>15</v>
      </c>
      <c r="J121" s="241">
        <v>17</v>
      </c>
      <c r="K121" s="214">
        <f t="shared" si="7"/>
        <v>11.76470588235294</v>
      </c>
      <c r="L121" s="214">
        <f t="shared" si="7"/>
        <v>88.235294117647058</v>
      </c>
      <c r="M121" s="214">
        <f t="shared" si="7"/>
        <v>0</v>
      </c>
      <c r="N121" s="235">
        <f t="shared" si="8"/>
        <v>100</v>
      </c>
      <c r="O121" s="213"/>
      <c r="P121" s="214">
        <v>44.4</v>
      </c>
      <c r="Q121" s="214"/>
      <c r="R121" s="215">
        <f t="shared" si="6"/>
        <v>44.4</v>
      </c>
      <c r="S121" s="171">
        <v>1</v>
      </c>
      <c r="T121" s="285"/>
      <c r="U121" s="283"/>
      <c r="V121" s="178" t="s">
        <v>130</v>
      </c>
      <c r="W121" s="171" t="s">
        <v>22</v>
      </c>
      <c r="X121" s="171" t="s">
        <v>18</v>
      </c>
      <c r="Y121" s="179">
        <v>44.4</v>
      </c>
      <c r="Z121" s="244"/>
      <c r="AA121" s="244"/>
      <c r="AB121" s="244"/>
      <c r="AC121" s="244"/>
      <c r="AD121" s="178"/>
      <c r="AG121" s="179"/>
      <c r="AL121" s="178"/>
      <c r="AO121" s="179"/>
      <c r="AP121" s="178"/>
      <c r="AS121" s="179"/>
      <c r="AW121" s="179"/>
      <c r="BA121" s="180"/>
    </row>
    <row r="122" spans="1:53" s="171" customFormat="1" x14ac:dyDescent="0.15">
      <c r="A122" s="171">
        <v>2011</v>
      </c>
      <c r="B122" s="305">
        <v>40725</v>
      </c>
      <c r="C122" s="410" t="s">
        <v>584</v>
      </c>
      <c r="D122" s="410"/>
      <c r="E122" s="171">
        <v>184</v>
      </c>
      <c r="F122" s="244">
        <v>0</v>
      </c>
      <c r="G122" s="233">
        <v>1</v>
      </c>
      <c r="H122" s="171">
        <v>16</v>
      </c>
      <c r="J122" s="241">
        <v>17</v>
      </c>
      <c r="K122" s="214">
        <f t="shared" si="7"/>
        <v>5.8823529411764701</v>
      </c>
      <c r="L122" s="214">
        <f t="shared" si="7"/>
        <v>94.117647058823522</v>
      </c>
      <c r="M122" s="214">
        <f t="shared" si="7"/>
        <v>0</v>
      </c>
      <c r="N122" s="235">
        <f t="shared" si="8"/>
        <v>99.999999999999986</v>
      </c>
      <c r="O122" s="213"/>
      <c r="P122" s="214">
        <v>44.4</v>
      </c>
      <c r="Q122" s="214"/>
      <c r="R122" s="215">
        <f t="shared" si="6"/>
        <v>44.4</v>
      </c>
      <c r="S122" s="171">
        <v>1</v>
      </c>
      <c r="T122" s="285"/>
      <c r="U122" s="283"/>
      <c r="V122" s="178" t="s">
        <v>130</v>
      </c>
      <c r="W122" s="171" t="s">
        <v>22</v>
      </c>
      <c r="X122" s="171" t="s">
        <v>18</v>
      </c>
      <c r="Y122" s="179">
        <v>44.4</v>
      </c>
      <c r="Z122" s="244"/>
      <c r="AA122" s="244"/>
      <c r="AB122" s="244"/>
      <c r="AC122" s="244"/>
      <c r="AD122" s="178"/>
      <c r="AG122" s="179"/>
      <c r="AL122" s="178"/>
      <c r="AO122" s="179"/>
      <c r="AP122" s="178"/>
      <c r="AS122" s="179"/>
      <c r="AW122" s="179"/>
      <c r="BA122" s="180"/>
    </row>
    <row r="123" spans="1:53" s="171" customFormat="1" x14ac:dyDescent="0.15">
      <c r="A123" s="171">
        <v>2012</v>
      </c>
      <c r="B123" s="283"/>
      <c r="C123" s="410" t="s">
        <v>584</v>
      </c>
      <c r="D123" s="410"/>
      <c r="E123" s="171">
        <v>310</v>
      </c>
      <c r="G123" s="233">
        <v>1</v>
      </c>
      <c r="H123" s="171">
        <v>16</v>
      </c>
      <c r="J123" s="241">
        <v>17</v>
      </c>
      <c r="K123" s="214">
        <f t="shared" si="7"/>
        <v>5.8823529411764701</v>
      </c>
      <c r="L123" s="214">
        <f t="shared" si="7"/>
        <v>94.117647058823522</v>
      </c>
      <c r="M123" s="214">
        <f t="shared" si="7"/>
        <v>0</v>
      </c>
      <c r="N123" s="235">
        <f t="shared" si="8"/>
        <v>99.999999999999986</v>
      </c>
      <c r="O123" s="213"/>
      <c r="P123" s="214">
        <v>44.4</v>
      </c>
      <c r="Q123" s="214"/>
      <c r="R123" s="215">
        <f t="shared" si="6"/>
        <v>44.4</v>
      </c>
      <c r="S123" s="171">
        <v>1</v>
      </c>
      <c r="T123" s="285"/>
      <c r="U123" s="283"/>
      <c r="V123" s="178" t="s">
        <v>130</v>
      </c>
      <c r="W123" s="171" t="s">
        <v>22</v>
      </c>
      <c r="X123" s="171" t="s">
        <v>18</v>
      </c>
      <c r="Y123" s="179">
        <v>44.4</v>
      </c>
      <c r="Z123" s="244"/>
      <c r="AA123" s="244"/>
      <c r="AB123" s="244"/>
      <c r="AC123" s="244"/>
      <c r="AD123" s="178"/>
      <c r="AG123" s="179"/>
      <c r="AL123" s="178"/>
      <c r="AO123" s="179"/>
      <c r="AP123" s="178"/>
      <c r="AS123" s="179"/>
      <c r="AW123" s="179"/>
      <c r="BA123" s="180"/>
    </row>
    <row r="124" spans="1:53" s="171" customFormat="1" x14ac:dyDescent="0.15">
      <c r="A124" s="171">
        <v>2012</v>
      </c>
      <c r="B124" s="305">
        <v>41219</v>
      </c>
      <c r="C124" s="410" t="s">
        <v>584</v>
      </c>
      <c r="D124" s="410"/>
      <c r="E124" s="171">
        <v>56</v>
      </c>
      <c r="F124" s="244" t="s">
        <v>327</v>
      </c>
      <c r="G124" s="233">
        <v>1</v>
      </c>
      <c r="H124" s="171">
        <v>16</v>
      </c>
      <c r="J124" s="241">
        <v>17</v>
      </c>
      <c r="K124" s="214">
        <f t="shared" si="7"/>
        <v>5.8823529411764701</v>
      </c>
      <c r="L124" s="214">
        <f t="shared" si="7"/>
        <v>94.117647058823522</v>
      </c>
      <c r="M124" s="214">
        <f t="shared" si="7"/>
        <v>0</v>
      </c>
      <c r="N124" s="235">
        <f t="shared" si="8"/>
        <v>99.999999999999986</v>
      </c>
      <c r="O124" s="213"/>
      <c r="P124" s="214">
        <v>46.2</v>
      </c>
      <c r="Q124" s="214"/>
      <c r="R124" s="215">
        <f t="shared" si="6"/>
        <v>46.2</v>
      </c>
      <c r="S124" s="171">
        <v>1</v>
      </c>
      <c r="T124" s="285">
        <v>41219</v>
      </c>
      <c r="U124" s="283"/>
      <c r="V124" s="178" t="s">
        <v>130</v>
      </c>
      <c r="W124" s="171" t="s">
        <v>22</v>
      </c>
      <c r="X124" s="171" t="s">
        <v>18</v>
      </c>
      <c r="Y124" s="179">
        <v>46.2</v>
      </c>
      <c r="Z124" s="244"/>
      <c r="AA124" s="244"/>
      <c r="AB124" s="244"/>
      <c r="AC124" s="244"/>
      <c r="AD124" s="178"/>
      <c r="AG124" s="179"/>
      <c r="AL124" s="178"/>
      <c r="AO124" s="179"/>
      <c r="AP124" s="178"/>
      <c r="AS124" s="179"/>
      <c r="AW124" s="179"/>
      <c r="BA124" s="180"/>
    </row>
    <row r="125" spans="1:53" s="171" customFormat="1" x14ac:dyDescent="0.15">
      <c r="A125" s="171">
        <v>2013</v>
      </c>
      <c r="B125" s="305"/>
      <c r="C125" s="410" t="s">
        <v>584</v>
      </c>
      <c r="D125" s="410"/>
      <c r="E125" s="171">
        <v>19</v>
      </c>
      <c r="F125" s="244"/>
      <c r="G125" s="233">
        <v>1</v>
      </c>
      <c r="H125" s="171">
        <v>16</v>
      </c>
      <c r="J125" s="241">
        <v>17</v>
      </c>
      <c r="K125" s="214">
        <f t="shared" ref="K125:M125" si="9">G125/$J125*100</f>
        <v>5.8823529411764701</v>
      </c>
      <c r="L125" s="214">
        <f t="shared" si="9"/>
        <v>94.117647058823522</v>
      </c>
      <c r="M125" s="214">
        <f t="shared" si="9"/>
        <v>0</v>
      </c>
      <c r="N125" s="235">
        <f t="shared" si="8"/>
        <v>99.999999999999986</v>
      </c>
      <c r="O125" s="213"/>
      <c r="P125" s="214">
        <v>46.2</v>
      </c>
      <c r="Q125" s="214"/>
      <c r="R125" s="215">
        <f t="shared" si="6"/>
        <v>46.2</v>
      </c>
      <c r="S125" s="171">
        <v>1</v>
      </c>
      <c r="T125" s="285"/>
      <c r="U125" s="283"/>
      <c r="V125" s="178" t="s">
        <v>130</v>
      </c>
      <c r="W125" s="171" t="s">
        <v>22</v>
      </c>
      <c r="X125" s="171" t="s">
        <v>18</v>
      </c>
      <c r="Y125" s="179">
        <v>46.2</v>
      </c>
      <c r="Z125" s="244"/>
      <c r="AA125" s="244"/>
      <c r="AB125" s="244"/>
      <c r="AC125" s="244"/>
      <c r="AD125" s="178"/>
      <c r="AG125" s="179"/>
      <c r="AL125" s="178"/>
      <c r="AO125" s="179"/>
      <c r="AP125" s="178"/>
      <c r="AS125" s="179"/>
      <c r="AW125" s="179"/>
      <c r="BA125" s="180"/>
    </row>
    <row r="126" spans="1:53" s="29" customFormat="1" x14ac:dyDescent="0.15">
      <c r="A126" s="29">
        <v>2013</v>
      </c>
      <c r="B126" s="295">
        <v>41294</v>
      </c>
      <c r="C126" s="411" t="s">
        <v>1249</v>
      </c>
      <c r="D126" s="411"/>
      <c r="E126" s="29">
        <f>365-E125</f>
        <v>346</v>
      </c>
      <c r="F126" s="29">
        <v>1</v>
      </c>
      <c r="G126" s="66">
        <v>1</v>
      </c>
      <c r="H126" s="29">
        <v>16</v>
      </c>
      <c r="J126" s="73">
        <v>17</v>
      </c>
      <c r="K126" s="47">
        <f t="shared" ref="K126:K139" si="10">G126/$J126*100</f>
        <v>5.8823529411764701</v>
      </c>
      <c r="L126" s="47">
        <f t="shared" ref="L126:L139" si="11">H126/$J126*100</f>
        <v>94.117647058823522</v>
      </c>
      <c r="M126" s="47">
        <f t="shared" ref="M126:M139" si="12">I126/$J126*100</f>
        <v>0</v>
      </c>
      <c r="N126" s="68">
        <f t="shared" ref="N126:N139" si="13">K126+L126+M126</f>
        <v>99.999999999999986</v>
      </c>
      <c r="O126" s="46"/>
      <c r="P126" s="47">
        <v>46.2</v>
      </c>
      <c r="Q126" s="47"/>
      <c r="R126" s="48">
        <f t="shared" si="6"/>
        <v>46.2</v>
      </c>
      <c r="S126" s="29">
        <v>1</v>
      </c>
      <c r="T126" s="286"/>
      <c r="U126" s="295">
        <v>41294</v>
      </c>
      <c r="V126" s="38" t="s">
        <v>130</v>
      </c>
      <c r="W126" s="29" t="s">
        <v>22</v>
      </c>
      <c r="X126" s="29" t="s">
        <v>18</v>
      </c>
      <c r="Y126" s="39">
        <v>46.2</v>
      </c>
      <c r="Z126" s="84"/>
      <c r="AA126" s="84"/>
      <c r="AB126" s="84"/>
      <c r="AC126" s="84"/>
      <c r="AD126" s="38"/>
      <c r="AG126" s="39"/>
      <c r="AL126" s="38"/>
      <c r="AO126" s="39"/>
      <c r="AP126" s="38"/>
      <c r="AS126" s="39"/>
      <c r="AW126" s="39"/>
      <c r="BA126" s="40"/>
    </row>
    <row r="127" spans="1:53" s="29" customFormat="1" x14ac:dyDescent="0.15">
      <c r="A127" s="29">
        <v>2014</v>
      </c>
      <c r="B127" s="295"/>
      <c r="C127" s="411" t="s">
        <v>1249</v>
      </c>
      <c r="D127" s="411"/>
      <c r="E127" s="29">
        <v>209</v>
      </c>
      <c r="G127" s="66">
        <v>1</v>
      </c>
      <c r="H127" s="29">
        <v>16</v>
      </c>
      <c r="J127" s="73">
        <v>17</v>
      </c>
      <c r="K127" s="47">
        <f t="shared" si="10"/>
        <v>5.8823529411764701</v>
      </c>
      <c r="L127" s="47">
        <f t="shared" si="11"/>
        <v>94.117647058823522</v>
      </c>
      <c r="M127" s="47">
        <f t="shared" si="12"/>
        <v>0</v>
      </c>
      <c r="N127" s="68">
        <f t="shared" si="13"/>
        <v>99.999999999999986</v>
      </c>
      <c r="O127" s="46"/>
      <c r="P127" s="47">
        <v>46.2</v>
      </c>
      <c r="Q127" s="47"/>
      <c r="R127" s="48">
        <f t="shared" si="6"/>
        <v>46.2</v>
      </c>
      <c r="S127" s="29">
        <v>1</v>
      </c>
      <c r="T127" s="286"/>
      <c r="U127" s="295"/>
      <c r="V127" s="38" t="s">
        <v>130</v>
      </c>
      <c r="W127" s="29" t="s">
        <v>22</v>
      </c>
      <c r="X127" s="29" t="s">
        <v>18</v>
      </c>
      <c r="Y127" s="39">
        <v>46.2</v>
      </c>
      <c r="Z127" s="84"/>
      <c r="AA127" s="84"/>
      <c r="AB127" s="84"/>
      <c r="AC127" s="84"/>
      <c r="AD127" s="38"/>
      <c r="AG127" s="39"/>
      <c r="AL127" s="38"/>
      <c r="AO127" s="39"/>
      <c r="AP127" s="38"/>
      <c r="AS127" s="39"/>
      <c r="AW127" s="39"/>
      <c r="BA127" s="40"/>
    </row>
    <row r="128" spans="1:53" s="29" customFormat="1" x14ac:dyDescent="0.15">
      <c r="A128" s="29">
        <v>2014</v>
      </c>
      <c r="B128" s="303">
        <v>41849</v>
      </c>
      <c r="C128" s="411" t="s">
        <v>1249</v>
      </c>
      <c r="D128" s="411"/>
      <c r="E128" s="29">
        <v>98</v>
      </c>
      <c r="F128" s="84">
        <v>0</v>
      </c>
      <c r="G128" s="66">
        <v>2</v>
      </c>
      <c r="H128" s="29">
        <v>15</v>
      </c>
      <c r="J128" s="73">
        <v>17</v>
      </c>
      <c r="K128" s="47">
        <f t="shared" si="10"/>
        <v>11.76470588235294</v>
      </c>
      <c r="L128" s="47">
        <f t="shared" si="11"/>
        <v>88.235294117647058</v>
      </c>
      <c r="M128" s="47">
        <f t="shared" si="12"/>
        <v>0</v>
      </c>
      <c r="N128" s="68">
        <f t="shared" si="13"/>
        <v>100</v>
      </c>
      <c r="O128" s="46"/>
      <c r="P128" s="47">
        <v>46.2</v>
      </c>
      <c r="Q128" s="47"/>
      <c r="R128" s="48">
        <f t="shared" si="6"/>
        <v>46.2</v>
      </c>
      <c r="S128" s="29">
        <v>1</v>
      </c>
      <c r="T128" s="286"/>
      <c r="U128" s="295"/>
      <c r="V128" s="38" t="s">
        <v>130</v>
      </c>
      <c r="W128" s="29" t="s">
        <v>22</v>
      </c>
      <c r="X128" s="29" t="s">
        <v>18</v>
      </c>
      <c r="Y128" s="39">
        <v>46.2</v>
      </c>
      <c r="Z128" s="84"/>
      <c r="AA128" s="84"/>
      <c r="AB128" s="84"/>
      <c r="AC128" s="84"/>
      <c r="AD128" s="38"/>
      <c r="AG128" s="39"/>
      <c r="AL128" s="38"/>
      <c r="AO128" s="39"/>
      <c r="AP128" s="38"/>
      <c r="AS128" s="39"/>
      <c r="AW128" s="39"/>
      <c r="BA128" s="40"/>
    </row>
    <row r="129" spans="1:53" s="29" customFormat="1" x14ac:dyDescent="0.15">
      <c r="A129" s="29">
        <v>2014</v>
      </c>
      <c r="B129" s="303">
        <v>41947</v>
      </c>
      <c r="C129" s="411" t="s">
        <v>1249</v>
      </c>
      <c r="D129" s="411"/>
      <c r="E129" s="29">
        <v>58</v>
      </c>
      <c r="F129" s="84" t="s">
        <v>327</v>
      </c>
      <c r="G129" s="66">
        <v>2</v>
      </c>
      <c r="H129" s="29">
        <v>15</v>
      </c>
      <c r="J129" s="73">
        <v>17</v>
      </c>
      <c r="K129" s="47">
        <f t="shared" si="10"/>
        <v>11.76470588235294</v>
      </c>
      <c r="L129" s="47">
        <f t="shared" si="11"/>
        <v>88.235294117647058</v>
      </c>
      <c r="M129" s="47">
        <f t="shared" si="12"/>
        <v>0</v>
      </c>
      <c r="N129" s="68">
        <f t="shared" si="13"/>
        <v>100</v>
      </c>
      <c r="O129" s="46"/>
      <c r="P129" s="47">
        <v>43.2</v>
      </c>
      <c r="Q129" s="47"/>
      <c r="R129" s="48">
        <f t="shared" si="6"/>
        <v>43.2</v>
      </c>
      <c r="S129" s="29">
        <v>1</v>
      </c>
      <c r="T129" s="286">
        <v>41947</v>
      </c>
      <c r="U129" s="295"/>
      <c r="V129" s="38" t="s">
        <v>130</v>
      </c>
      <c r="W129" s="29" t="s">
        <v>22</v>
      </c>
      <c r="X129" s="29" t="s">
        <v>18</v>
      </c>
      <c r="Y129" s="39">
        <v>43.2</v>
      </c>
      <c r="Z129" s="84"/>
      <c r="AA129" s="84"/>
      <c r="AB129" s="84"/>
      <c r="AC129" s="84"/>
      <c r="AD129" s="38"/>
      <c r="AG129" s="39"/>
      <c r="AL129" s="38"/>
      <c r="AO129" s="39"/>
      <c r="AP129" s="38"/>
      <c r="AS129" s="39"/>
      <c r="AW129" s="39"/>
      <c r="BA129" s="40"/>
    </row>
    <row r="130" spans="1:53" s="29" customFormat="1" x14ac:dyDescent="0.15">
      <c r="A130" s="29">
        <v>2015</v>
      </c>
      <c r="B130" s="303"/>
      <c r="C130" s="411" t="s">
        <v>1249</v>
      </c>
      <c r="D130" s="411"/>
      <c r="E130" s="29">
        <v>42</v>
      </c>
      <c r="F130" s="84"/>
      <c r="G130" s="66">
        <v>2</v>
      </c>
      <c r="H130" s="29">
        <v>15</v>
      </c>
      <c r="J130" s="73">
        <v>17</v>
      </c>
      <c r="K130" s="47">
        <f t="shared" si="10"/>
        <v>11.76470588235294</v>
      </c>
      <c r="L130" s="47">
        <f t="shared" si="11"/>
        <v>88.235294117647058</v>
      </c>
      <c r="M130" s="47">
        <f t="shared" si="12"/>
        <v>0</v>
      </c>
      <c r="N130" s="68">
        <f t="shared" si="13"/>
        <v>100</v>
      </c>
      <c r="O130" s="46"/>
      <c r="P130" s="47">
        <v>43.2</v>
      </c>
      <c r="Q130" s="47"/>
      <c r="R130" s="48">
        <f t="shared" si="6"/>
        <v>43.2</v>
      </c>
      <c r="S130" s="29">
        <v>1</v>
      </c>
      <c r="T130" s="286"/>
      <c r="U130" s="295"/>
      <c r="V130" s="38" t="s">
        <v>130</v>
      </c>
      <c r="W130" s="29" t="s">
        <v>22</v>
      </c>
      <c r="X130" s="29" t="s">
        <v>18</v>
      </c>
      <c r="Y130" s="39">
        <v>43.2</v>
      </c>
      <c r="Z130" s="84"/>
      <c r="AA130" s="84"/>
      <c r="AB130" s="84"/>
      <c r="AC130" s="84"/>
      <c r="AD130" s="38"/>
      <c r="AG130" s="39"/>
      <c r="AL130" s="38"/>
      <c r="AO130" s="39"/>
      <c r="AP130" s="38"/>
      <c r="AS130" s="39"/>
      <c r="AW130" s="39"/>
      <c r="BA130" s="40"/>
    </row>
    <row r="131" spans="1:53" s="29" customFormat="1" x14ac:dyDescent="0.15">
      <c r="A131" s="29">
        <v>2015</v>
      </c>
      <c r="B131" s="303">
        <v>42047</v>
      </c>
      <c r="C131" s="411" t="s">
        <v>1249</v>
      </c>
      <c r="D131" s="411"/>
      <c r="E131" s="29">
        <v>323</v>
      </c>
      <c r="F131" s="84">
        <v>0</v>
      </c>
      <c r="G131" s="66">
        <v>1</v>
      </c>
      <c r="H131" s="29">
        <v>16</v>
      </c>
      <c r="J131" s="73">
        <v>17</v>
      </c>
      <c r="K131" s="47">
        <f t="shared" si="10"/>
        <v>5.8823529411764701</v>
      </c>
      <c r="L131" s="47">
        <f t="shared" si="11"/>
        <v>94.117647058823522</v>
      </c>
      <c r="M131" s="47">
        <f t="shared" si="12"/>
        <v>0</v>
      </c>
      <c r="N131" s="68">
        <f t="shared" si="13"/>
        <v>99.999999999999986</v>
      </c>
      <c r="O131" s="46"/>
      <c r="P131" s="47">
        <v>43.2</v>
      </c>
      <c r="Q131" s="47"/>
      <c r="R131" s="48">
        <f t="shared" si="6"/>
        <v>43.2</v>
      </c>
      <c r="S131" s="29">
        <v>1</v>
      </c>
      <c r="T131" s="286"/>
      <c r="U131" s="295"/>
      <c r="V131" s="38" t="s">
        <v>130</v>
      </c>
      <c r="W131" s="29" t="s">
        <v>22</v>
      </c>
      <c r="X131" s="29" t="s">
        <v>18</v>
      </c>
      <c r="Y131" s="39">
        <v>43.2</v>
      </c>
      <c r="Z131" s="84"/>
      <c r="AA131" s="84"/>
      <c r="AB131" s="84"/>
      <c r="AC131" s="84"/>
      <c r="AD131" s="38"/>
      <c r="AG131" s="39"/>
      <c r="AL131" s="38"/>
      <c r="AO131" s="39"/>
      <c r="AP131" s="38"/>
      <c r="AS131" s="39"/>
      <c r="AW131" s="39"/>
      <c r="BA131" s="40"/>
    </row>
    <row r="132" spans="1:53" s="29" customFormat="1" x14ac:dyDescent="0.15">
      <c r="A132" s="29">
        <v>2016</v>
      </c>
      <c r="B132" s="303"/>
      <c r="C132" s="411" t="s">
        <v>1249</v>
      </c>
      <c r="D132" s="411"/>
      <c r="E132" s="29">
        <v>0</v>
      </c>
      <c r="F132" s="84"/>
      <c r="G132" s="66">
        <v>1</v>
      </c>
      <c r="H132" s="29">
        <v>16</v>
      </c>
      <c r="J132" s="73">
        <v>17</v>
      </c>
      <c r="K132" s="47">
        <f t="shared" si="10"/>
        <v>5.8823529411764701</v>
      </c>
      <c r="L132" s="47">
        <f t="shared" si="11"/>
        <v>94.117647058823522</v>
      </c>
      <c r="M132" s="47">
        <f t="shared" si="12"/>
        <v>0</v>
      </c>
      <c r="N132" s="68">
        <f t="shared" si="13"/>
        <v>99.999999999999986</v>
      </c>
      <c r="O132" s="46"/>
      <c r="P132" s="47">
        <v>43.2</v>
      </c>
      <c r="Q132" s="47"/>
      <c r="R132" s="48">
        <f t="shared" si="6"/>
        <v>43.2</v>
      </c>
      <c r="S132" s="29">
        <v>1</v>
      </c>
      <c r="T132" s="286"/>
      <c r="U132" s="295"/>
      <c r="V132" s="38" t="s">
        <v>130</v>
      </c>
      <c r="W132" s="29" t="s">
        <v>22</v>
      </c>
      <c r="X132" s="29" t="s">
        <v>18</v>
      </c>
      <c r="Y132" s="39">
        <v>43.2</v>
      </c>
      <c r="Z132" s="84"/>
      <c r="AA132" s="84"/>
      <c r="AB132" s="84"/>
      <c r="AC132" s="84"/>
      <c r="AD132" s="38"/>
      <c r="AG132" s="39"/>
      <c r="AL132" s="38"/>
      <c r="AO132" s="39"/>
      <c r="AP132" s="38"/>
      <c r="AS132" s="39"/>
      <c r="AW132" s="39"/>
      <c r="BA132" s="40"/>
    </row>
    <row r="133" spans="1:53" s="29" customFormat="1" x14ac:dyDescent="0.15">
      <c r="A133" s="29">
        <v>2016</v>
      </c>
      <c r="B133" s="303"/>
      <c r="C133" s="411" t="s">
        <v>1249</v>
      </c>
      <c r="D133" s="411"/>
      <c r="E133" s="29">
        <v>366</v>
      </c>
      <c r="F133" s="84"/>
      <c r="G133" s="66">
        <v>1</v>
      </c>
      <c r="H133" s="29">
        <v>16</v>
      </c>
      <c r="J133" s="73">
        <v>17</v>
      </c>
      <c r="K133" s="47">
        <f t="shared" si="10"/>
        <v>5.8823529411764701</v>
      </c>
      <c r="L133" s="47">
        <f t="shared" si="11"/>
        <v>94.117647058823522</v>
      </c>
      <c r="M133" s="47">
        <f t="shared" si="12"/>
        <v>0</v>
      </c>
      <c r="N133" s="68">
        <f t="shared" si="13"/>
        <v>99.999999999999986</v>
      </c>
      <c r="O133" s="46"/>
      <c r="P133" s="47">
        <v>44.6</v>
      </c>
      <c r="Q133" s="47"/>
      <c r="R133" s="48">
        <f t="shared" si="6"/>
        <v>44.6</v>
      </c>
      <c r="S133" s="29">
        <v>1</v>
      </c>
      <c r="T133" s="286">
        <v>42682</v>
      </c>
      <c r="U133" s="295"/>
      <c r="V133" s="38" t="s">
        <v>130</v>
      </c>
      <c r="W133" s="29" t="s">
        <v>22</v>
      </c>
      <c r="X133" s="29" t="s">
        <v>18</v>
      </c>
      <c r="Y133" s="39">
        <v>44.6</v>
      </c>
      <c r="Z133" s="84"/>
      <c r="AA133" s="84"/>
      <c r="AB133" s="84"/>
      <c r="AC133" s="84"/>
      <c r="AD133" s="38"/>
      <c r="AG133" s="39"/>
      <c r="AL133" s="38"/>
      <c r="AO133" s="39"/>
      <c r="AP133" s="38"/>
      <c r="AS133" s="39"/>
      <c r="AW133" s="39"/>
      <c r="BA133" s="40"/>
    </row>
    <row r="134" spans="1:53" s="29" customFormat="1" x14ac:dyDescent="0.15">
      <c r="A134" s="29">
        <v>2017</v>
      </c>
      <c r="B134" s="303"/>
      <c r="C134" s="411" t="s">
        <v>1249</v>
      </c>
      <c r="D134" s="411"/>
      <c r="E134" s="29">
        <v>19</v>
      </c>
      <c r="F134" s="84"/>
      <c r="G134" s="66">
        <v>1</v>
      </c>
      <c r="H134" s="29">
        <v>16</v>
      </c>
      <c r="J134" s="73">
        <v>17</v>
      </c>
      <c r="K134" s="47">
        <f t="shared" si="10"/>
        <v>5.8823529411764701</v>
      </c>
      <c r="L134" s="47">
        <f t="shared" si="11"/>
        <v>94.117647058823522</v>
      </c>
      <c r="M134" s="47">
        <f t="shared" si="12"/>
        <v>0</v>
      </c>
      <c r="N134" s="68">
        <f t="shared" si="13"/>
        <v>99.999999999999986</v>
      </c>
      <c r="O134" s="46"/>
      <c r="P134" s="47">
        <v>44.6</v>
      </c>
      <c r="Q134" s="47"/>
      <c r="R134" s="48">
        <f t="shared" si="6"/>
        <v>44.6</v>
      </c>
      <c r="S134" s="29">
        <v>1</v>
      </c>
      <c r="T134" s="286"/>
      <c r="U134" s="295"/>
      <c r="V134" s="38" t="s">
        <v>130</v>
      </c>
      <c r="W134" s="29" t="s">
        <v>22</v>
      </c>
      <c r="X134" s="29" t="s">
        <v>18</v>
      </c>
      <c r="Y134" s="39">
        <v>44.6</v>
      </c>
      <c r="Z134" s="84"/>
      <c r="AA134" s="84"/>
      <c r="AB134" s="84"/>
      <c r="AC134" s="84"/>
      <c r="AD134" s="38"/>
      <c r="AG134" s="39"/>
      <c r="AL134" s="38"/>
      <c r="AO134" s="39"/>
      <c r="AP134" s="38"/>
      <c r="AS134" s="39"/>
      <c r="AW134" s="39"/>
      <c r="BA134" s="40"/>
    </row>
    <row r="135" spans="1:53" s="171" customFormat="1" x14ac:dyDescent="0.15">
      <c r="A135" s="171">
        <v>2017</v>
      </c>
      <c r="B135" s="283">
        <v>42755</v>
      </c>
      <c r="C135" s="410" t="s">
        <v>1386</v>
      </c>
      <c r="D135" s="410"/>
      <c r="E135" s="171">
        <v>192</v>
      </c>
      <c r="F135" s="171">
        <v>1</v>
      </c>
      <c r="G135" s="233">
        <v>15</v>
      </c>
      <c r="J135" s="241">
        <v>17</v>
      </c>
      <c r="K135" s="214">
        <f t="shared" si="10"/>
        <v>88.235294117647058</v>
      </c>
      <c r="L135" s="214">
        <f t="shared" si="11"/>
        <v>0</v>
      </c>
      <c r="M135" s="214">
        <f t="shared" si="12"/>
        <v>0</v>
      </c>
      <c r="N135" s="235">
        <f t="shared" si="13"/>
        <v>88.235294117647058</v>
      </c>
      <c r="O135" s="213">
        <v>55.4</v>
      </c>
      <c r="P135" s="214"/>
      <c r="Q135" s="214"/>
      <c r="R135" s="215">
        <f t="shared" si="6"/>
        <v>55.4</v>
      </c>
      <c r="S135" s="171">
        <v>1</v>
      </c>
      <c r="T135" s="285"/>
      <c r="U135" s="283">
        <v>42755</v>
      </c>
      <c r="V135" s="178" t="s">
        <v>330</v>
      </c>
      <c r="W135" s="171" t="s">
        <v>74</v>
      </c>
      <c r="X135" s="171" t="s">
        <v>11</v>
      </c>
      <c r="Y135" s="179">
        <v>55.4</v>
      </c>
      <c r="Z135" s="244"/>
      <c r="AA135" s="244"/>
      <c r="AB135" s="244"/>
      <c r="AC135" s="244"/>
      <c r="AD135" s="178"/>
      <c r="AG135" s="179"/>
      <c r="AL135" s="178"/>
      <c r="AO135" s="179"/>
      <c r="AP135" s="178"/>
      <c r="AS135" s="179"/>
      <c r="AW135" s="179"/>
      <c r="BA135" s="180"/>
    </row>
    <row r="136" spans="1:53" s="171" customFormat="1" x14ac:dyDescent="0.15">
      <c r="A136" s="171">
        <v>2017</v>
      </c>
      <c r="B136" s="305">
        <v>42947</v>
      </c>
      <c r="C136" s="410" t="s">
        <v>1386</v>
      </c>
      <c r="D136" s="410"/>
      <c r="E136" s="171">
        <v>128</v>
      </c>
      <c r="F136" s="244">
        <v>0</v>
      </c>
      <c r="G136" s="233">
        <v>14</v>
      </c>
      <c r="J136" s="241">
        <v>17</v>
      </c>
      <c r="K136" s="214">
        <f t="shared" si="10"/>
        <v>82.35294117647058</v>
      </c>
      <c r="L136" s="214">
        <f t="shared" si="11"/>
        <v>0</v>
      </c>
      <c r="M136" s="214">
        <f t="shared" si="12"/>
        <v>0</v>
      </c>
      <c r="N136" s="235">
        <f t="shared" si="13"/>
        <v>82.35294117647058</v>
      </c>
      <c r="O136" s="213">
        <v>55.4</v>
      </c>
      <c r="P136" s="214"/>
      <c r="Q136" s="214"/>
      <c r="R136" s="215">
        <f t="shared" si="6"/>
        <v>55.4</v>
      </c>
      <c r="S136" s="171">
        <v>1</v>
      </c>
      <c r="T136" s="285"/>
      <c r="U136" s="283"/>
      <c r="V136" s="178" t="s">
        <v>330</v>
      </c>
      <c r="W136" s="171" t="s">
        <v>74</v>
      </c>
      <c r="X136" s="171" t="s">
        <v>11</v>
      </c>
      <c r="Y136" s="179">
        <v>55.4</v>
      </c>
      <c r="Z136" s="244"/>
      <c r="AA136" s="244"/>
      <c r="AB136" s="244"/>
      <c r="AC136" s="244"/>
      <c r="AD136" s="178"/>
      <c r="AG136" s="179"/>
      <c r="AL136" s="178"/>
      <c r="AO136" s="179"/>
      <c r="AP136" s="178"/>
      <c r="AS136" s="179"/>
      <c r="AW136" s="179"/>
      <c r="BA136" s="180"/>
    </row>
    <row r="137" spans="1:53" s="171" customFormat="1" x14ac:dyDescent="0.15">
      <c r="A137" s="171">
        <v>2017</v>
      </c>
      <c r="B137" s="305">
        <v>43075</v>
      </c>
      <c r="C137" s="410" t="s">
        <v>1386</v>
      </c>
      <c r="D137" s="410"/>
      <c r="E137" s="171">
        <v>26</v>
      </c>
      <c r="F137" s="244">
        <v>0</v>
      </c>
      <c r="G137" s="233">
        <v>15</v>
      </c>
      <c r="J137" s="241">
        <v>17</v>
      </c>
      <c r="K137" s="214">
        <f t="shared" si="10"/>
        <v>88.235294117647058</v>
      </c>
      <c r="L137" s="214">
        <f t="shared" si="11"/>
        <v>0</v>
      </c>
      <c r="M137" s="214">
        <f t="shared" si="12"/>
        <v>0</v>
      </c>
      <c r="N137" s="235">
        <f t="shared" si="13"/>
        <v>88.235294117647058</v>
      </c>
      <c r="O137" s="213">
        <v>55.4</v>
      </c>
      <c r="P137" s="214"/>
      <c r="Q137" s="214"/>
      <c r="R137" s="215">
        <f t="shared" si="6"/>
        <v>55.4</v>
      </c>
      <c r="S137" s="171">
        <v>1</v>
      </c>
      <c r="T137" s="285"/>
      <c r="U137" s="283"/>
      <c r="V137" s="178" t="s">
        <v>330</v>
      </c>
      <c r="W137" s="171" t="s">
        <v>74</v>
      </c>
      <c r="X137" s="171" t="s">
        <v>11</v>
      </c>
      <c r="Y137" s="179">
        <v>55.4</v>
      </c>
      <c r="Z137" s="244"/>
      <c r="AA137" s="244"/>
      <c r="AB137" s="244"/>
      <c r="AC137" s="244"/>
      <c r="AD137" s="178"/>
      <c r="AG137" s="179"/>
      <c r="AL137" s="178"/>
      <c r="AO137" s="179"/>
      <c r="AP137" s="178"/>
      <c r="AS137" s="179"/>
      <c r="AW137" s="179"/>
      <c r="BA137" s="180"/>
    </row>
    <row r="138" spans="1:53" s="171" customFormat="1" x14ac:dyDescent="0.15">
      <c r="A138" s="171">
        <v>2018</v>
      </c>
      <c r="B138" s="305"/>
      <c r="C138" s="410" t="s">
        <v>1405</v>
      </c>
      <c r="D138" s="410"/>
      <c r="E138" s="171">
        <v>86</v>
      </c>
      <c r="F138" s="244"/>
      <c r="G138" s="233">
        <v>15</v>
      </c>
      <c r="J138" s="241">
        <v>17</v>
      </c>
      <c r="K138" s="214">
        <f t="shared" si="10"/>
        <v>88.235294117647058</v>
      </c>
      <c r="L138" s="214">
        <f t="shared" si="11"/>
        <v>0</v>
      </c>
      <c r="M138" s="214">
        <f t="shared" si="12"/>
        <v>0</v>
      </c>
      <c r="N138" s="235">
        <f t="shared" si="13"/>
        <v>88.235294117647058</v>
      </c>
      <c r="O138" s="213">
        <v>55.4</v>
      </c>
      <c r="P138" s="214"/>
      <c r="Q138" s="214"/>
      <c r="R138" s="215">
        <f t="shared" ref="R138" si="14">O138+P138+Q138</f>
        <v>55.4</v>
      </c>
      <c r="S138" s="171">
        <v>1</v>
      </c>
      <c r="T138" s="285"/>
      <c r="U138" s="283"/>
      <c r="V138" s="178" t="s">
        <v>330</v>
      </c>
      <c r="W138" s="171" t="s">
        <v>74</v>
      </c>
      <c r="X138" s="171" t="s">
        <v>11</v>
      </c>
      <c r="Y138" s="179">
        <v>55.4</v>
      </c>
      <c r="Z138" s="244"/>
      <c r="AA138" s="244"/>
      <c r="AB138" s="244"/>
      <c r="AC138" s="244"/>
      <c r="AD138" s="178"/>
      <c r="AG138" s="179"/>
      <c r="AL138" s="178"/>
      <c r="AO138" s="179"/>
      <c r="AP138" s="178"/>
      <c r="AS138" s="179"/>
      <c r="AW138" s="179"/>
      <c r="BA138" s="180"/>
    </row>
    <row r="139" spans="1:53" s="171" customFormat="1" x14ac:dyDescent="0.15">
      <c r="A139" s="171">
        <v>2018</v>
      </c>
      <c r="B139" s="305">
        <v>43187</v>
      </c>
      <c r="C139" s="451" t="s">
        <v>1386</v>
      </c>
      <c r="D139" s="451"/>
      <c r="E139" s="171">
        <v>279</v>
      </c>
      <c r="F139" s="244">
        <v>0</v>
      </c>
      <c r="G139" s="233">
        <v>16</v>
      </c>
      <c r="J139" s="241">
        <v>17</v>
      </c>
      <c r="K139" s="214">
        <f t="shared" si="10"/>
        <v>94.117647058823522</v>
      </c>
      <c r="L139" s="214">
        <f t="shared" si="11"/>
        <v>0</v>
      </c>
      <c r="M139" s="214">
        <f t="shared" si="12"/>
        <v>0</v>
      </c>
      <c r="N139" s="235">
        <f t="shared" si="13"/>
        <v>94.117647058823522</v>
      </c>
      <c r="O139" s="213">
        <v>45.7</v>
      </c>
      <c r="P139" s="214"/>
      <c r="Q139" s="214"/>
      <c r="R139" s="215">
        <f>SUM(O139:Q139)</f>
        <v>45.7</v>
      </c>
      <c r="S139" s="171">
        <v>1</v>
      </c>
      <c r="T139" s="285">
        <v>43410</v>
      </c>
      <c r="U139" s="283"/>
      <c r="V139" s="178" t="s">
        <v>330</v>
      </c>
      <c r="W139" s="171" t="s">
        <v>74</v>
      </c>
      <c r="X139" s="171" t="s">
        <v>11</v>
      </c>
      <c r="Y139" s="179">
        <v>45.7</v>
      </c>
      <c r="Z139" s="244"/>
      <c r="AA139" s="244"/>
      <c r="AB139" s="244"/>
      <c r="AC139" s="244"/>
      <c r="AD139" s="178"/>
      <c r="AG139" s="179"/>
      <c r="AL139" s="178"/>
      <c r="AO139" s="179"/>
      <c r="AP139" s="178"/>
      <c r="AS139" s="179"/>
      <c r="AW139" s="179"/>
      <c r="BA139" s="180"/>
    </row>
    <row r="140" spans="1:53" s="171" customFormat="1" x14ac:dyDescent="0.15">
      <c r="A140" s="171">
        <v>2019</v>
      </c>
      <c r="B140" s="305"/>
      <c r="C140" s="451" t="s">
        <v>1386</v>
      </c>
      <c r="D140" s="451"/>
      <c r="E140" s="171">
        <v>0</v>
      </c>
      <c r="F140" s="244"/>
      <c r="G140" s="233">
        <v>16</v>
      </c>
      <c r="J140" s="241">
        <v>17</v>
      </c>
      <c r="K140" s="214">
        <f t="shared" ref="K140:K143" si="15">G140/$J140*100</f>
        <v>94.117647058823522</v>
      </c>
      <c r="L140" s="214">
        <f t="shared" ref="L140:L143" si="16">H140/$J140*100</f>
        <v>0</v>
      </c>
      <c r="M140" s="214">
        <f t="shared" ref="M140:M143" si="17">I140/$J140*100</f>
        <v>0</v>
      </c>
      <c r="N140" s="235">
        <f t="shared" ref="N140:N143" si="18">K140+L140+M140</f>
        <v>94.117647058823522</v>
      </c>
      <c r="O140" s="213">
        <v>45.7</v>
      </c>
      <c r="P140" s="214"/>
      <c r="Q140" s="214"/>
      <c r="R140" s="215">
        <f t="shared" ref="R140:R141" si="19">SUM(O140:Q140)</f>
        <v>45.7</v>
      </c>
      <c r="S140" s="190">
        <v>1</v>
      </c>
      <c r="T140" s="285"/>
      <c r="U140" s="283"/>
      <c r="V140" s="178" t="s">
        <v>330</v>
      </c>
      <c r="W140" s="171" t="s">
        <v>74</v>
      </c>
      <c r="X140" s="171" t="s">
        <v>11</v>
      </c>
      <c r="Y140" s="179">
        <v>45.7</v>
      </c>
      <c r="Z140" s="244"/>
      <c r="AA140" s="244"/>
      <c r="AB140" s="244"/>
      <c r="AC140" s="244"/>
      <c r="AD140" s="178"/>
      <c r="AG140" s="179"/>
      <c r="AL140" s="178"/>
      <c r="AO140" s="179"/>
      <c r="AP140" s="178"/>
      <c r="AS140" s="179"/>
      <c r="AW140" s="179"/>
      <c r="BA140" s="180"/>
    </row>
    <row r="141" spans="1:53" s="171" customFormat="1" x14ac:dyDescent="0.15">
      <c r="A141" s="171">
        <v>2019</v>
      </c>
      <c r="B141" s="305"/>
      <c r="C141" s="451" t="s">
        <v>1386</v>
      </c>
      <c r="D141" s="451"/>
      <c r="E141" s="171">
        <v>365</v>
      </c>
      <c r="F141" s="247"/>
      <c r="G141" s="171">
        <v>16</v>
      </c>
      <c r="J141" s="241">
        <v>17</v>
      </c>
      <c r="K141" s="214">
        <f t="shared" si="15"/>
        <v>94.117647058823522</v>
      </c>
      <c r="L141" s="214">
        <f t="shared" si="16"/>
        <v>0</v>
      </c>
      <c r="M141" s="214">
        <f t="shared" si="17"/>
        <v>0</v>
      </c>
      <c r="N141" s="215">
        <f t="shared" si="18"/>
        <v>94.117647058823522</v>
      </c>
      <c r="O141" s="214">
        <v>45.7</v>
      </c>
      <c r="P141" s="214"/>
      <c r="Q141" s="214"/>
      <c r="R141" s="215">
        <f t="shared" si="19"/>
        <v>45.7</v>
      </c>
      <c r="S141" s="190">
        <v>1</v>
      </c>
      <c r="T141" s="285"/>
      <c r="U141" s="283"/>
      <c r="V141" s="178" t="s">
        <v>330</v>
      </c>
      <c r="W141" s="171" t="s">
        <v>74</v>
      </c>
      <c r="X141" s="171" t="s">
        <v>11</v>
      </c>
      <c r="Y141" s="179">
        <v>45.7</v>
      </c>
      <c r="Z141" s="244"/>
      <c r="AA141" s="244"/>
      <c r="AB141" s="244"/>
      <c r="AC141" s="244"/>
      <c r="AD141" s="178"/>
      <c r="AG141" s="179"/>
      <c r="AK141" s="179"/>
      <c r="AO141" s="179"/>
      <c r="AS141" s="179"/>
      <c r="AW141" s="179"/>
      <c r="BA141" s="180"/>
    </row>
    <row r="142" spans="1:53" s="171" customFormat="1" x14ac:dyDescent="0.15">
      <c r="A142" s="171">
        <v>2020</v>
      </c>
      <c r="B142" s="305"/>
      <c r="C142" s="451" t="s">
        <v>1386</v>
      </c>
      <c r="D142" s="451"/>
      <c r="E142" s="171">
        <v>0</v>
      </c>
      <c r="F142" s="247"/>
      <c r="G142" s="171">
        <v>16</v>
      </c>
      <c r="J142" s="241">
        <v>17</v>
      </c>
      <c r="K142" s="214">
        <f t="shared" si="15"/>
        <v>94.117647058823522</v>
      </c>
      <c r="L142" s="214">
        <f t="shared" si="16"/>
        <v>0</v>
      </c>
      <c r="M142" s="214">
        <f t="shared" si="17"/>
        <v>0</v>
      </c>
      <c r="N142" s="215">
        <f t="shared" si="18"/>
        <v>94.117647058823522</v>
      </c>
      <c r="O142" s="214">
        <v>45.7</v>
      </c>
      <c r="P142" s="214"/>
      <c r="Q142" s="214"/>
      <c r="R142" s="215">
        <v>45.7</v>
      </c>
      <c r="S142" s="190">
        <v>1</v>
      </c>
      <c r="T142" s="285"/>
      <c r="U142" s="298"/>
      <c r="V142" s="171" t="s">
        <v>330</v>
      </c>
      <c r="W142" s="171" t="s">
        <v>74</v>
      </c>
      <c r="X142" s="171" t="s">
        <v>11</v>
      </c>
      <c r="Y142" s="179">
        <v>45.7</v>
      </c>
      <c r="Z142" s="244"/>
      <c r="AA142" s="244"/>
      <c r="AB142" s="244"/>
      <c r="AC142" s="255"/>
      <c r="AG142" s="179"/>
      <c r="AK142" s="179"/>
      <c r="AO142" s="179"/>
      <c r="AS142" s="179"/>
      <c r="AW142" s="179"/>
      <c r="BA142" s="180"/>
    </row>
    <row r="143" spans="1:53" s="171" customFormat="1" x14ac:dyDescent="0.15">
      <c r="A143" s="171">
        <v>2020</v>
      </c>
      <c r="B143" s="305"/>
      <c r="C143" s="451" t="s">
        <v>1386</v>
      </c>
      <c r="D143" s="451"/>
      <c r="E143" s="171">
        <v>366</v>
      </c>
      <c r="F143" s="247"/>
      <c r="G143" s="171">
        <v>16</v>
      </c>
      <c r="J143" s="241">
        <v>17</v>
      </c>
      <c r="K143" s="214">
        <f t="shared" si="15"/>
        <v>94.117647058823522</v>
      </c>
      <c r="L143" s="214">
        <f t="shared" si="16"/>
        <v>0</v>
      </c>
      <c r="M143" s="214">
        <f t="shared" si="17"/>
        <v>0</v>
      </c>
      <c r="N143" s="215">
        <f t="shared" si="18"/>
        <v>94.117647058823522</v>
      </c>
      <c r="O143" s="214">
        <v>49</v>
      </c>
      <c r="P143" s="214"/>
      <c r="Q143" s="214"/>
      <c r="R143" s="215">
        <v>49</v>
      </c>
      <c r="S143" s="190">
        <v>1</v>
      </c>
      <c r="T143" s="285">
        <v>44138</v>
      </c>
      <c r="U143" s="298"/>
      <c r="V143" s="171" t="s">
        <v>330</v>
      </c>
      <c r="W143" s="171" t="s">
        <v>74</v>
      </c>
      <c r="X143" s="171" t="s">
        <v>11</v>
      </c>
      <c r="Y143" s="179">
        <v>49</v>
      </c>
      <c r="Z143" s="244"/>
      <c r="AA143" s="244"/>
      <c r="AB143" s="244"/>
      <c r="AC143" s="255"/>
      <c r="AG143" s="179"/>
      <c r="AK143" s="179"/>
      <c r="AO143" s="179"/>
      <c r="AS143" s="179"/>
      <c r="AW143" s="179"/>
      <c r="BA143" s="180"/>
    </row>
    <row r="144" spans="1:53" x14ac:dyDescent="0.15">
      <c r="AW144" s="17"/>
    </row>
    <row r="146" spans="1:30" ht="18" customHeight="1" x14ac:dyDescent="0.15">
      <c r="B146" s="16" t="s">
        <v>1264</v>
      </c>
      <c r="H146" s="4"/>
    </row>
    <row r="147" spans="1:30" ht="9" customHeight="1" x14ac:dyDescent="0.15">
      <c r="H147" s="4"/>
    </row>
    <row r="148" spans="1:30" s="195" customFormat="1" ht="9" customHeight="1" x14ac:dyDescent="0.15">
      <c r="A148" s="193"/>
      <c r="B148" s="194" t="s">
        <v>1215</v>
      </c>
      <c r="C148" s="194"/>
      <c r="D148" s="194"/>
      <c r="E148" s="194"/>
      <c r="F148" s="194"/>
      <c r="G148" s="194" t="s">
        <v>1216</v>
      </c>
      <c r="H148" s="194"/>
      <c r="I148" s="194"/>
      <c r="J148" s="194"/>
      <c r="K148" s="194"/>
      <c r="L148" s="194"/>
      <c r="M148" s="194"/>
      <c r="N148" s="194"/>
      <c r="R148" s="388" t="s">
        <v>1217</v>
      </c>
      <c r="S148" s="388"/>
      <c r="T148" s="388"/>
      <c r="U148" s="388"/>
      <c r="V148" s="388"/>
      <c r="W148" s="388"/>
      <c r="X148" s="196"/>
      <c r="Y148" s="196"/>
      <c r="AA148" s="196"/>
      <c r="AB148" s="196"/>
      <c r="AC148" s="196"/>
      <c r="AD148" s="196"/>
    </row>
    <row r="149" spans="1:30" s="200" customFormat="1" ht="9" customHeight="1" x14ac:dyDescent="0.15">
      <c r="A149" s="197"/>
      <c r="B149" s="198" t="s">
        <v>1219</v>
      </c>
      <c r="C149" s="199"/>
      <c r="D149" s="199"/>
      <c r="E149" s="199"/>
      <c r="F149" s="199"/>
      <c r="G149" s="198" t="s">
        <v>1218</v>
      </c>
      <c r="H149" s="199"/>
      <c r="I149" s="199"/>
      <c r="J149" s="199"/>
      <c r="K149" s="199"/>
      <c r="L149" s="199"/>
      <c r="M149" s="199"/>
      <c r="N149" s="199"/>
      <c r="R149" s="201" t="s">
        <v>1220</v>
      </c>
      <c r="S149" s="202"/>
      <c r="T149" s="203"/>
      <c r="U149" s="203"/>
      <c r="V149" s="203"/>
      <c r="W149" s="201" t="s">
        <v>1221</v>
      </c>
      <c r="X149" s="203"/>
      <c r="Y149" s="203"/>
      <c r="AA149" s="203"/>
      <c r="AB149" s="203"/>
      <c r="AC149" s="203"/>
      <c r="AD149" s="203"/>
    </row>
    <row r="150" spans="1:30" s="186" customFormat="1" ht="12" customHeight="1" x14ac:dyDescent="0.15">
      <c r="A150" s="204" t="s">
        <v>3</v>
      </c>
      <c r="B150" s="205" t="s">
        <v>8</v>
      </c>
      <c r="C150" s="205" t="s">
        <v>9</v>
      </c>
      <c r="D150" s="205" t="s">
        <v>10</v>
      </c>
      <c r="E150" s="206" t="s">
        <v>1195</v>
      </c>
      <c r="F150" s="205"/>
      <c r="G150" s="186" t="s">
        <v>3</v>
      </c>
      <c r="H150" s="389" t="s">
        <v>0</v>
      </c>
      <c r="I150" s="389"/>
      <c r="J150" s="389" t="s">
        <v>1</v>
      </c>
      <c r="K150" s="389"/>
      <c r="L150" s="389" t="s">
        <v>2</v>
      </c>
      <c r="M150" s="389"/>
      <c r="N150" s="390" t="s">
        <v>1195</v>
      </c>
      <c r="O150" s="390"/>
      <c r="P150" s="207"/>
      <c r="Q150" s="207"/>
      <c r="R150" s="208" t="s">
        <v>3</v>
      </c>
      <c r="S150" s="209" t="s">
        <v>135</v>
      </c>
      <c r="T150" s="207" t="s">
        <v>133</v>
      </c>
      <c r="U150" s="205" t="s">
        <v>134</v>
      </c>
      <c r="V150" s="207"/>
      <c r="W150" s="210" t="s">
        <v>26</v>
      </c>
    </row>
    <row r="151" spans="1:30" s="140" customFormat="1" x14ac:dyDescent="0.15">
      <c r="A151" s="140">
        <v>1959</v>
      </c>
      <c r="B151" s="143">
        <f>(K6*($E6/365)) + (K7*($E7/365))</f>
        <v>92.307692307692307</v>
      </c>
      <c r="C151" s="143">
        <f>(L6*($E6/365)) + (L7*($E7/365))</f>
        <v>7.6923076923076925</v>
      </c>
      <c r="D151" s="143">
        <f>(M6*($E6/365)) + (M7*($E7/365))</f>
        <v>0</v>
      </c>
      <c r="E151" s="144">
        <f>B151+C151+D151</f>
        <v>100</v>
      </c>
      <c r="G151" s="140">
        <v>1959</v>
      </c>
      <c r="H151" s="417">
        <f>(O6/$R6*100*($E6/365))+(O7/$R7*100*($E7/365))</f>
        <v>100</v>
      </c>
      <c r="I151" s="417"/>
      <c r="J151" s="417">
        <f>(P6/$R6*100*($E6/365))+(P7/$R7*100*($E7/365))</f>
        <v>0</v>
      </c>
      <c r="K151" s="417"/>
      <c r="L151" s="417">
        <f>(Q6/$R6*100*($E6/365))+(Q7/$R7*100*($E7/365))</f>
        <v>0</v>
      </c>
      <c r="M151" s="417"/>
      <c r="N151" s="412">
        <f>H151+J151+L151</f>
        <v>100</v>
      </c>
      <c r="O151" s="412"/>
      <c r="R151" s="140">
        <v>1959</v>
      </c>
      <c r="S151" s="143">
        <f>(O6*($E6/365)) + (O7*($E7/365))</f>
        <v>35</v>
      </c>
      <c r="T151" s="143">
        <f>(P6*($E6/365)) + (P7*($E7/365))</f>
        <v>0</v>
      </c>
      <c r="U151" s="143">
        <f>(Q6*($E6/365)) + (Q7*($E7/365))</f>
        <v>0</v>
      </c>
      <c r="V151" s="143"/>
      <c r="W151" s="143">
        <f>S151+T151+U151</f>
        <v>35</v>
      </c>
    </row>
    <row r="152" spans="1:30" x14ac:dyDescent="0.15">
      <c r="A152" s="1">
        <v>1960</v>
      </c>
      <c r="B152" s="5">
        <f>(K8*($E8/366))+(K9*($E9/366))</f>
        <v>92.307692307692292</v>
      </c>
      <c r="C152" s="5">
        <f>(L8*($E8/366))+(L9*($E9/366))</f>
        <v>7.6923076923076925</v>
      </c>
      <c r="D152" s="5">
        <f>(M8*($E8/366))+(M9*($E9/366))</f>
        <v>0</v>
      </c>
      <c r="E152" s="18">
        <f>B152+C152+D152</f>
        <v>99.999999999999986</v>
      </c>
      <c r="G152" s="1">
        <v>1960</v>
      </c>
      <c r="H152" s="409">
        <f>(O8/$R8*100*($E8/366))+(O9/$R9*100*($E9/366))</f>
        <v>99.999999999999986</v>
      </c>
      <c r="I152" s="409"/>
      <c r="J152" s="409">
        <f>(P8/$R8*100*($E8/366))+(P9/$R9*100*($E9/366))</f>
        <v>0</v>
      </c>
      <c r="K152" s="409"/>
      <c r="L152" s="409">
        <f>(Q8/$R8*100*($E8/366))+(Q9/$R9*100*($E9/366))</f>
        <v>0</v>
      </c>
      <c r="M152" s="409"/>
      <c r="N152" s="379">
        <f t="shared" ref="N152:N183" si="20">H152+J152+L152</f>
        <v>99.999999999999986</v>
      </c>
      <c r="O152" s="379"/>
      <c r="R152" s="1">
        <v>1960</v>
      </c>
      <c r="S152" s="5">
        <f>(O8*($E8/366))+(O9*($E9/366))</f>
        <v>35.737704918032783</v>
      </c>
      <c r="T152" s="5">
        <f>(P8*($E8/366))+(P9*($E9/366))</f>
        <v>0</v>
      </c>
      <c r="U152" s="5">
        <f>(Q8*($E8/366))+(Q9*($E9/366))</f>
        <v>0</v>
      </c>
      <c r="V152" s="5"/>
      <c r="W152" s="5">
        <f>S152+T152+U152</f>
        <v>35.737704918032783</v>
      </c>
    </row>
    <row r="153" spans="1:30" x14ac:dyDescent="0.15">
      <c r="A153" s="1">
        <v>1961</v>
      </c>
      <c r="B153" s="5">
        <f>(K10*($E10/365))+(K11*($E11/365))</f>
        <v>11.124692658939235</v>
      </c>
      <c r="C153" s="5">
        <f>(L10*($E10/365))+(L11*($E11/365))</f>
        <v>88.875307341060761</v>
      </c>
      <c r="D153" s="5">
        <f>(M10*($E10/365))+(M11*($E11/365))</f>
        <v>0</v>
      </c>
      <c r="E153" s="18">
        <f t="shared" ref="E153:E205" si="21">B153+C153+D153</f>
        <v>100</v>
      </c>
      <c r="G153" s="1">
        <v>1961</v>
      </c>
      <c r="H153" s="409">
        <f>(O10/$R10*100*($E10/365))+(O11/$R11*100*($E11/365))</f>
        <v>5.2054794520547949</v>
      </c>
      <c r="I153" s="409"/>
      <c r="J153" s="409">
        <f>(P10/$R10*100*($E10/365))+(P11/$R11*100*($E11/365))</f>
        <v>94.794520547945211</v>
      </c>
      <c r="K153" s="409"/>
      <c r="L153" s="409">
        <f>(Q10/$R10*100*($E10/365))+(Q11/$R11*100*($E11/365))</f>
        <v>0</v>
      </c>
      <c r="M153" s="409"/>
      <c r="N153" s="379">
        <f t="shared" si="20"/>
        <v>100</v>
      </c>
      <c r="O153" s="379"/>
      <c r="R153" s="1">
        <v>1961</v>
      </c>
      <c r="S153" s="5">
        <f>(O10*($E10/365))+(O11*($E11/365))</f>
        <v>2.0821917808219177</v>
      </c>
      <c r="T153" s="5">
        <f>(P10*($E10/365))+(P11*($E11/365))</f>
        <v>56.87671232876712</v>
      </c>
      <c r="U153" s="5">
        <f>(Q10*($E10/365))+(Q11*($E11/365))</f>
        <v>0</v>
      </c>
      <c r="V153" s="5"/>
      <c r="W153" s="5">
        <f t="shared" ref="W153:W205" si="22">S153+T153+U153</f>
        <v>58.958904109589035</v>
      </c>
    </row>
    <row r="154" spans="1:30" x14ac:dyDescent="0.15">
      <c r="A154" s="1">
        <v>1962</v>
      </c>
      <c r="B154" s="5">
        <f>(K12*($E12/365))+(K13*($E13/365))</f>
        <v>6.666666666666667</v>
      </c>
      <c r="C154" s="5">
        <f>(L12*($E12/365))+(L13*($E13/365))</f>
        <v>93.333333333333329</v>
      </c>
      <c r="D154" s="5">
        <f>(M12*($E12/365))+(M13*($E13/365))</f>
        <v>0</v>
      </c>
      <c r="E154" s="18">
        <f t="shared" si="21"/>
        <v>100</v>
      </c>
      <c r="G154" s="1">
        <v>1962</v>
      </c>
      <c r="H154" s="409">
        <f>(O12/$R12*100*($E12/365))+(O13/$R13*100*($E13/365))</f>
        <v>0</v>
      </c>
      <c r="I154" s="409"/>
      <c r="J154" s="409">
        <f>(P12/$R12*100*($E12/365))+(P13/$R13*100*($E13/365))</f>
        <v>100</v>
      </c>
      <c r="K154" s="409"/>
      <c r="L154" s="409">
        <f>(Q12/$R12*100*($E12/365))+(Q13/$R13*100*($E13/365))</f>
        <v>0</v>
      </c>
      <c r="M154" s="409"/>
      <c r="N154" s="379">
        <f t="shared" si="20"/>
        <v>100</v>
      </c>
      <c r="O154" s="379"/>
      <c r="R154" s="1">
        <v>1962</v>
      </c>
      <c r="S154" s="5">
        <f>(O12*($E12/365))+(O13*($E13/365))</f>
        <v>0</v>
      </c>
      <c r="T154" s="5">
        <f>(P12*($E12/365))+(P13*($E13/365))</f>
        <v>59.923287671232877</v>
      </c>
      <c r="U154" s="5">
        <f>(Q12*($E12/365))+(Q13*($E13/365))</f>
        <v>0</v>
      </c>
      <c r="V154" s="5"/>
      <c r="W154" s="5">
        <f t="shared" si="22"/>
        <v>59.923287671232877</v>
      </c>
    </row>
    <row r="155" spans="1:30" x14ac:dyDescent="0.15">
      <c r="A155" s="1">
        <v>1963</v>
      </c>
      <c r="B155" s="5">
        <f>(K14*($E14/365))+(K15*($E15/365))+(K16*($E16/365))</f>
        <v>6.7449445531637311</v>
      </c>
      <c r="C155" s="5">
        <f>(L14*($E14/365))+(L15*($E15/365))+(L16*($E16/365))</f>
        <v>93.255055446836252</v>
      </c>
      <c r="D155" s="5">
        <f>(M14*($E14/365))+(M15*($E15/365))+(M16*($E16/365))</f>
        <v>0</v>
      </c>
      <c r="E155" s="18">
        <f t="shared" si="21"/>
        <v>99.999999999999986</v>
      </c>
      <c r="G155" s="1">
        <v>1963</v>
      </c>
      <c r="H155" s="409">
        <f>(O14/$R14*100*($E14/365))+(O15/$R15*100*($E15/365))+(O16/$R16*100*($E16/365))</f>
        <v>0</v>
      </c>
      <c r="I155" s="409"/>
      <c r="J155" s="409">
        <f>(P14/$R14*100*($E14/365))+(P15/$R15*100*($E15/365))+(P16/$R16*100*($E16/365))</f>
        <v>100</v>
      </c>
      <c r="K155" s="409"/>
      <c r="L155" s="409">
        <f>(Q14/$R14*100*($E14/365))+(Q15/$R15*100*($E15/365))+(Q16/$R16*100*($E16/365))</f>
        <v>0</v>
      </c>
      <c r="M155" s="409"/>
      <c r="N155" s="379">
        <f t="shared" si="20"/>
        <v>100</v>
      </c>
      <c r="O155" s="379"/>
      <c r="R155" s="1">
        <v>1963</v>
      </c>
      <c r="S155" s="5">
        <f>(O14*($E14/365))+(O15*($E15/365))+(O16*($E16/365))</f>
        <v>0</v>
      </c>
      <c r="T155" s="5">
        <f>(P14*($E14/365))+(P15*($E15/365))+(P16*($E16/365))</f>
        <v>59.5</v>
      </c>
      <c r="U155" s="5">
        <f>(Q14*($E14/365))+(Q15*($E15/365))+(Q16*($E16/365))</f>
        <v>0</v>
      </c>
      <c r="V155" s="5"/>
      <c r="W155" s="5">
        <f t="shared" si="22"/>
        <v>59.5</v>
      </c>
    </row>
    <row r="156" spans="1:30" x14ac:dyDescent="0.15">
      <c r="A156" s="1">
        <v>1964</v>
      </c>
      <c r="B156" s="5">
        <f>(K17*($E17/366))+(K18*($E18/366))</f>
        <v>7.1428571428571423</v>
      </c>
      <c r="C156" s="5">
        <f>(L17*($E17/366))+(L18*($E18/366))</f>
        <v>92.857142857142861</v>
      </c>
      <c r="D156" s="5">
        <f>(M17*($E17/366))+(M18*($E18/366))</f>
        <v>0</v>
      </c>
      <c r="E156" s="18">
        <f t="shared" si="21"/>
        <v>100</v>
      </c>
      <c r="G156" s="1">
        <v>1964</v>
      </c>
      <c r="H156" s="409">
        <f>(O17/$R17*100*($E17/366))+(O18/$R18*100*($E18/366))</f>
        <v>0</v>
      </c>
      <c r="I156" s="409"/>
      <c r="J156" s="409">
        <f>(P17/$R17*100*($E17/366))+(P18/$R18*100*($E18/366))</f>
        <v>100</v>
      </c>
      <c r="K156" s="409"/>
      <c r="L156" s="409">
        <f>(Q17/$R17*100*($E17/366))+(Q18/$R18*100*($E18/366))</f>
        <v>0</v>
      </c>
      <c r="M156" s="409"/>
      <c r="N156" s="379">
        <f t="shared" si="20"/>
        <v>100</v>
      </c>
      <c r="O156" s="379"/>
      <c r="R156" s="1">
        <v>1964</v>
      </c>
      <c r="S156" s="5">
        <f>(O17*($E17/366))+(O18*($E18/366))</f>
        <v>0</v>
      </c>
      <c r="T156" s="5">
        <f>(P17*($E17/366))+(P18*($E18/366))</f>
        <v>60.837978142076508</v>
      </c>
      <c r="U156" s="5">
        <f>(Q17*($E17/366))+(Q18*($E18/366))</f>
        <v>0</v>
      </c>
      <c r="V156" s="5"/>
      <c r="W156" s="5">
        <f t="shared" si="22"/>
        <v>60.837978142076508</v>
      </c>
    </row>
    <row r="157" spans="1:30" x14ac:dyDescent="0.15">
      <c r="A157" s="1">
        <v>1965</v>
      </c>
      <c r="B157" s="5">
        <f>(K19*($E19/365))+(K20*($E20/365))+(K21*($E21/365))+(K22*($E22/365))</f>
        <v>14.198303979125898</v>
      </c>
      <c r="C157" s="5">
        <f>(L19*($E19/365))+(L20*($E20/365))+(L21*($E21/365))+(L22*($E22/365))</f>
        <v>85.801696020874104</v>
      </c>
      <c r="D157" s="5">
        <f>(M19*($E19/365))+(M20*($E20/365))+(M21*($E21/365))+(M22*($E22/365))</f>
        <v>0</v>
      </c>
      <c r="E157" s="18">
        <f t="shared" si="21"/>
        <v>100</v>
      </c>
      <c r="G157" s="1">
        <v>1965</v>
      </c>
      <c r="H157" s="409">
        <f>(O19/$R19*100*($E19/365))+(O20/$R20*100*($E20/365))+(O21/$R21*100*($E21/365))+(O22/$R22*100*($E22/365))</f>
        <v>0</v>
      </c>
      <c r="I157" s="409"/>
      <c r="J157" s="409">
        <f>(P19/$R19*100*($E19/365))+(P20/$R20*100*($E20/365))+(P21/$R21*100*($E21/365))+(P22/$R22*100*($E22/365))</f>
        <v>100</v>
      </c>
      <c r="K157" s="409"/>
      <c r="L157" s="409">
        <f>(Q19/$R19*100*($E19/365))+(Q20/$R20*100*($E20/365))+(Q21/$R21*100*($E21/365))+(Q22/$R22*100*($E22/365))</f>
        <v>0</v>
      </c>
      <c r="M157" s="409"/>
      <c r="N157" s="379">
        <f t="shared" si="20"/>
        <v>100</v>
      </c>
      <c r="O157" s="379"/>
      <c r="R157" s="1">
        <v>1965</v>
      </c>
      <c r="S157" s="5">
        <f>(O19*($E19/365))+(O20*($E20/365))+(O21*($E21/365))+(O22*($E22/365))</f>
        <v>0</v>
      </c>
      <c r="T157" s="5">
        <f>(P19*($E19/365))+(P20*($E20/365))+(P21*($E21/365))+(P22*($E22/365))</f>
        <v>67.8</v>
      </c>
      <c r="U157" s="5">
        <f>(Q19*($E19/365))+(Q20*($E20/365))+(Q21*($E21/365))+(Q22*($E22/365))</f>
        <v>0</v>
      </c>
      <c r="V157" s="5"/>
      <c r="W157" s="5">
        <f t="shared" si="22"/>
        <v>67.8</v>
      </c>
    </row>
    <row r="158" spans="1:30" x14ac:dyDescent="0.15">
      <c r="A158" s="1">
        <v>1966</v>
      </c>
      <c r="B158" s="5">
        <f>(K23*($E23/365))+(K24*($E24/365))+(K25*($E25/365))</f>
        <v>18.80821917808219</v>
      </c>
      <c r="C158" s="5">
        <f>(L23*($E23/365))+(L24*($E24/365))+(L25*($E25/365))</f>
        <v>81.191780821917803</v>
      </c>
      <c r="D158" s="5">
        <f>(M23*($E23/365))+(M24*($E24/365))+(M25*($E25/365))</f>
        <v>0</v>
      </c>
      <c r="E158" s="18">
        <f t="shared" si="21"/>
        <v>100</v>
      </c>
      <c r="G158" s="1">
        <v>1966</v>
      </c>
      <c r="H158" s="409">
        <f>(O23/$R23*100*($E23/365))+(O24/$R24*100*($E24/365))+(O25/$R25*100*($E25/365))</f>
        <v>0</v>
      </c>
      <c r="I158" s="409"/>
      <c r="J158" s="409">
        <f>(P23/$R23*100*($E23/365))+(P24/$R24*100*($E24/365))+(P25/$R25*100*($E25/365))</f>
        <v>100</v>
      </c>
      <c r="K158" s="409"/>
      <c r="L158" s="409">
        <f>(Q23/$R23*100*($E23/365))+(Q24/$R24*100*($E24/365))+(Q25/$R25*100*($E25/365))</f>
        <v>0</v>
      </c>
      <c r="M158" s="409"/>
      <c r="N158" s="379">
        <f t="shared" si="20"/>
        <v>100</v>
      </c>
      <c r="O158" s="379"/>
      <c r="R158" s="1">
        <v>1966</v>
      </c>
      <c r="S158" s="5">
        <f>(O23*($E23/365))+(O24*($E24/365))+(O25*($E25/365))</f>
        <v>0</v>
      </c>
      <c r="T158" s="5">
        <f>(P23*($E23/365))+(P24*($E24/365))+(P25*($E25/365))</f>
        <v>66.231780821917809</v>
      </c>
      <c r="U158" s="5">
        <f>(Q23*($E23/365))+(Q24*($E24/365))+(Q25*($E25/365))</f>
        <v>0</v>
      </c>
      <c r="V158" s="5"/>
      <c r="W158" s="5">
        <f>S158+T158+U158</f>
        <v>66.231780821917809</v>
      </c>
    </row>
    <row r="159" spans="1:30" x14ac:dyDescent="0.15">
      <c r="A159" s="1">
        <v>1967</v>
      </c>
      <c r="B159" s="5">
        <f>(K26*($E26/365))+(K27*($E27/365))</f>
        <v>18.75</v>
      </c>
      <c r="C159" s="5">
        <f>(L26*($E26/365))+(L27*($E27/365))</f>
        <v>81.25</v>
      </c>
      <c r="D159" s="5">
        <f>(M26*($E26/365))+(M27*($E27/365))</f>
        <v>0</v>
      </c>
      <c r="E159" s="18">
        <f t="shared" si="21"/>
        <v>100</v>
      </c>
      <c r="G159" s="1">
        <v>1967</v>
      </c>
      <c r="H159" s="409">
        <f>(O26/$R26*100*($E26/365))+(O27/$R27*100*($E27/365))</f>
        <v>0</v>
      </c>
      <c r="I159" s="409"/>
      <c r="J159" s="409">
        <f>(P26/$R26*100*($E26/365))+(P27/$R27*100*($E27/365))</f>
        <v>100</v>
      </c>
      <c r="K159" s="409"/>
      <c r="L159" s="409">
        <f>(Q26/$R26*100*($E26/365))+(Q27/$R27*100*($E27/365))</f>
        <v>0</v>
      </c>
      <c r="M159" s="409"/>
      <c r="N159" s="379">
        <f t="shared" si="20"/>
        <v>100</v>
      </c>
      <c r="O159" s="379"/>
      <c r="R159" s="1">
        <v>1967</v>
      </c>
      <c r="S159" s="5">
        <f>(O26*($E26/365))+(O27*($E27/365))</f>
        <v>0</v>
      </c>
      <c r="T159" s="5">
        <f>(P26*($E26/365))+(P27*($E27/365))</f>
        <v>57.2</v>
      </c>
      <c r="U159" s="5">
        <f>(Q26*($E26/365))+(Q27*($E27/365))</f>
        <v>0</v>
      </c>
      <c r="V159" s="5"/>
      <c r="W159" s="5">
        <f t="shared" si="22"/>
        <v>57.2</v>
      </c>
    </row>
    <row r="160" spans="1:30" x14ac:dyDescent="0.15">
      <c r="A160" s="1">
        <v>1968</v>
      </c>
      <c r="B160" s="5">
        <f>(K28*($E28/366))+(K29*($E29/366))+(K30*($E30/366))+(K31*($E31/366))</f>
        <v>8.1113387978142075</v>
      </c>
      <c r="C160" s="5">
        <f>(L28*($E28/366))+(L29*($E29/366))+(L30*($E30/366))+(L31*($E31/366))</f>
        <v>91.888661202185787</v>
      </c>
      <c r="D160" s="5">
        <f>(M28*($E28/366))+(M29*($E29/366))+(M30*($E30/366))+(M31*($E31/366))</f>
        <v>0</v>
      </c>
      <c r="E160" s="18">
        <f t="shared" si="21"/>
        <v>100</v>
      </c>
      <c r="G160" s="1">
        <v>1968</v>
      </c>
      <c r="H160" s="409">
        <f>(O28/$R28*100*($E28/366))+(O29/$R29*100*($E29/366))+(O30/$R30*100*($E30/366))+(O31/$R31*100*($E31/366))</f>
        <v>0</v>
      </c>
      <c r="I160" s="409"/>
      <c r="J160" s="409">
        <f>(P28/$R28*100*($E28/366))+(P29/$R29*100*($E29/366))+(P30/$R30*100*($E30/366))+(P31/$R31*100*($E31/366))</f>
        <v>100</v>
      </c>
      <c r="K160" s="409"/>
      <c r="L160" s="409">
        <f>(Q28/$R28*100*($E28/366))+(Q29/$R29*100*($E29/366))+(Q30/$R30*100*($E30/366))+(Q31/$R31*100*($E31/366))</f>
        <v>0</v>
      </c>
      <c r="M160" s="409"/>
      <c r="N160" s="379">
        <f t="shared" si="20"/>
        <v>100</v>
      </c>
      <c r="O160" s="379"/>
      <c r="R160" s="1">
        <v>1968</v>
      </c>
      <c r="S160" s="5">
        <f>(O28*($E28/366))+(O29*($E29/366))+(O30*($E30/366))+(O31*($E31/366))</f>
        <v>0</v>
      </c>
      <c r="T160" s="5">
        <f>(P28*($E28/366))+(P29*($E29/366))+(P30*($E30/366))+(P31*($E31/366))</f>
        <v>56.997540983606548</v>
      </c>
      <c r="U160" s="5">
        <f>(Q28*($E28/366))+(Q29*($E29/366))+(Q30*($E30/366))+(Q31*($E31/366))</f>
        <v>0</v>
      </c>
      <c r="V160" s="5"/>
      <c r="W160" s="5">
        <f>S160+T160+U160</f>
        <v>56.997540983606548</v>
      </c>
    </row>
    <row r="161" spans="1:23" x14ac:dyDescent="0.15">
      <c r="A161" s="1">
        <v>1969</v>
      </c>
      <c r="B161" s="5">
        <f>(K32*($E32/365))+(K33*($E33/365))</f>
        <v>94.794520547945211</v>
      </c>
      <c r="C161" s="5">
        <f>(L32*($E32/365))+(L33*($E33/365))</f>
        <v>5.2054794520547949</v>
      </c>
      <c r="D161" s="5">
        <f>(M32*($E32/365))+(M33*($E33/365))</f>
        <v>0</v>
      </c>
      <c r="E161" s="18">
        <f t="shared" si="21"/>
        <v>100</v>
      </c>
      <c r="G161" s="1">
        <v>1969</v>
      </c>
      <c r="H161" s="409">
        <f>(O32/$R32*100*($E32/365))+(O33/$R33*100*($E33/365))</f>
        <v>94.794520547945211</v>
      </c>
      <c r="I161" s="409"/>
      <c r="J161" s="409">
        <f>(P32/$R32*100*($E32/365))+(P33/$R33*100*($E33/365))</f>
        <v>5.2054794520547949</v>
      </c>
      <c r="K161" s="409"/>
      <c r="L161" s="409">
        <f>(Q32/$R32*100*($E32/365))+(Q33/$R33*100*($E33/365))</f>
        <v>0</v>
      </c>
      <c r="M161" s="409"/>
      <c r="N161" s="379">
        <f t="shared" si="20"/>
        <v>100</v>
      </c>
      <c r="O161" s="379"/>
      <c r="R161" s="1">
        <v>1969</v>
      </c>
      <c r="S161" s="5">
        <f>(O32*($E32/365))+(O33*($E33/365))</f>
        <v>41.804383561643839</v>
      </c>
      <c r="T161" s="5">
        <f>(P32*($E32/365))+(P33*($E33/365))</f>
        <v>2.9098630136986303</v>
      </c>
      <c r="U161" s="5">
        <f>(Q32*($E32/365))+(Q33*($E33/365))</f>
        <v>0</v>
      </c>
      <c r="V161" s="5"/>
      <c r="W161" s="5">
        <f t="shared" si="22"/>
        <v>44.714246575342472</v>
      </c>
    </row>
    <row r="162" spans="1:23" x14ac:dyDescent="0.15">
      <c r="A162" s="1">
        <v>1970</v>
      </c>
      <c r="B162" s="5">
        <f>(K34*($E34/365))+(K35*($E35/365))</f>
        <v>100</v>
      </c>
      <c r="C162" s="5">
        <f>(L34*($E34/365))+(L35*($E35/365))</f>
        <v>0</v>
      </c>
      <c r="D162" s="5">
        <f>(M34*($E34/365))+(M35*($E35/365))</f>
        <v>0</v>
      </c>
      <c r="E162" s="18">
        <f t="shared" si="21"/>
        <v>100</v>
      </c>
      <c r="G162" s="1">
        <v>1970</v>
      </c>
      <c r="H162" s="409">
        <f>(O34/$R34*100*($E34/365))+(O35/$R35*100*($E35/365))</f>
        <v>100</v>
      </c>
      <c r="I162" s="409"/>
      <c r="J162" s="409">
        <f>(P34/$R34*100*($E34/365))+(P35/$R35*100*($E35/365))</f>
        <v>0</v>
      </c>
      <c r="K162" s="409"/>
      <c r="L162" s="409">
        <f>(Q34/$R34*100*($E34/365))+(Q35/$R35*100*($E35/365))</f>
        <v>0</v>
      </c>
      <c r="M162" s="409"/>
      <c r="N162" s="379">
        <f t="shared" si="20"/>
        <v>100</v>
      </c>
      <c r="O162" s="379"/>
      <c r="R162" s="1">
        <v>1970</v>
      </c>
      <c r="S162" s="5">
        <f>(O34*($E34/365))+(O35*($E35/365))</f>
        <v>43.663561643835621</v>
      </c>
      <c r="T162" s="5">
        <f>(P34*($E34/365))+(P35*($E35/365))</f>
        <v>0</v>
      </c>
      <c r="U162" s="5">
        <f>(Q34*($E34/365))+(Q35*($E35/365))</f>
        <v>0</v>
      </c>
      <c r="V162" s="5"/>
      <c r="W162" s="5">
        <f t="shared" si="22"/>
        <v>43.663561643835621</v>
      </c>
    </row>
    <row r="163" spans="1:23" x14ac:dyDescent="0.15">
      <c r="A163" s="1">
        <v>1971</v>
      </c>
      <c r="B163" s="5">
        <f>(K36*($E36/365))+(K37*($E37/365))</f>
        <v>100</v>
      </c>
      <c r="C163" s="5">
        <f>(L36*($E36/365))+(L37*($E37/365))</f>
        <v>0</v>
      </c>
      <c r="D163" s="5">
        <f>(M36*($E36/365))+(M37*($E37/365))</f>
        <v>0</v>
      </c>
      <c r="E163" s="18">
        <f t="shared" si="21"/>
        <v>100</v>
      </c>
      <c r="G163" s="1">
        <v>1971</v>
      </c>
      <c r="H163" s="409">
        <f>(O36/$R36*100*($E36/365))+(O37/$R37*100*($E37/365))</f>
        <v>100</v>
      </c>
      <c r="I163" s="409"/>
      <c r="J163" s="409">
        <f>(P36/$R36*100*($E36/365))+(P37/$R37*100*($E37/365))</f>
        <v>0</v>
      </c>
      <c r="K163" s="409"/>
      <c r="L163" s="409">
        <f>(Q36/$R36*100*($E36/365))+(Q37/$R37*100*($E37/365))</f>
        <v>0</v>
      </c>
      <c r="M163" s="409"/>
      <c r="N163" s="379">
        <f t="shared" si="20"/>
        <v>100</v>
      </c>
      <c r="O163" s="379"/>
      <c r="R163" s="1">
        <v>1971</v>
      </c>
      <c r="S163" s="5">
        <f>(O36*($E36/365))+(O37*($E37/365))</f>
        <v>41.4</v>
      </c>
      <c r="T163" s="5">
        <f>(P36*($E36/365))+(P37*($E37/365))</f>
        <v>0</v>
      </c>
      <c r="U163" s="5">
        <f>(Q36*($E36/365))+(Q37*($E37/365))</f>
        <v>0</v>
      </c>
      <c r="V163" s="5"/>
      <c r="W163" s="5">
        <f t="shared" si="22"/>
        <v>41.4</v>
      </c>
    </row>
    <row r="164" spans="1:23" x14ac:dyDescent="0.15">
      <c r="A164" s="1">
        <v>1972</v>
      </c>
      <c r="B164" s="5">
        <f>(K38*($E38/366))+(K39*($E39/366))</f>
        <v>100.00000000000001</v>
      </c>
      <c r="C164" s="5">
        <f>(L38*($E38/366))+(L39*($E39/366))</f>
        <v>0</v>
      </c>
      <c r="D164" s="5">
        <f>(M38*($E38/366))+(M39*($E39/366))</f>
        <v>0</v>
      </c>
      <c r="E164" s="18">
        <f t="shared" si="21"/>
        <v>100.00000000000001</v>
      </c>
      <c r="G164" s="1">
        <v>1972</v>
      </c>
      <c r="H164" s="409">
        <f>(O38/$R38*100*($E38/366))+(O39/$R39*100*($E39/366))</f>
        <v>100.00000000000001</v>
      </c>
      <c r="I164" s="409"/>
      <c r="J164" s="409">
        <f>(P38/$R38*100*($E38/366))+(P39/$R39*100*($E39/366))</f>
        <v>0</v>
      </c>
      <c r="K164" s="409"/>
      <c r="L164" s="409">
        <f>(Q38/$R38*100*($E38/366))+(Q39/$R39*100*($E39/366))</f>
        <v>0</v>
      </c>
      <c r="M164" s="409"/>
      <c r="N164" s="379">
        <f t="shared" si="20"/>
        <v>100.00000000000001</v>
      </c>
      <c r="O164" s="379"/>
      <c r="R164" s="1">
        <v>1972</v>
      </c>
      <c r="S164" s="5">
        <f>(O38*($E38/366))+(O39*($E39/366))</f>
        <v>41.80573770491803</v>
      </c>
      <c r="T164" s="5">
        <f>(P38*($E38/366))+(P39*($E39/366))</f>
        <v>0</v>
      </c>
      <c r="U164" s="5">
        <f>(Q38*($E38/366))+(Q39*($E39/366))</f>
        <v>0</v>
      </c>
      <c r="V164" s="5"/>
      <c r="W164" s="5">
        <f t="shared" si="22"/>
        <v>41.80573770491803</v>
      </c>
    </row>
    <row r="165" spans="1:23" x14ac:dyDescent="0.15">
      <c r="A165" s="1">
        <v>1973</v>
      </c>
      <c r="B165" s="5">
        <f>(K40*($E40/365))+(K41*($E41/365))+(K42*($E42/365))</f>
        <v>93.483365949119388</v>
      </c>
      <c r="C165" s="5">
        <f>(L40*($E40/365))+(L41*($E41/365))+(L42*($E42/365))</f>
        <v>6.5166340508806258</v>
      </c>
      <c r="D165" s="5">
        <f>(M40*($E40/365))+(M41*($E41/365))+(M42*($E42/365))</f>
        <v>0</v>
      </c>
      <c r="E165" s="18">
        <f t="shared" si="21"/>
        <v>100.00000000000001</v>
      </c>
      <c r="G165" s="1">
        <v>1973</v>
      </c>
      <c r="H165" s="409">
        <f>(O40/$R40*100*($E40/365))+(O41/$R41*100*($E41/365))+(O42/$R42*100*($E42/365))</f>
        <v>100</v>
      </c>
      <c r="I165" s="409"/>
      <c r="J165" s="409">
        <f>(P40/$R40*100*($E40/365))+(P41/$R41*100*($E41/365))+(P42/$R42*100*($E42/365))</f>
        <v>0</v>
      </c>
      <c r="K165" s="409"/>
      <c r="L165" s="409">
        <f>(Q40/$R40*100*($E40/365))+(Q41/$R41*100*($E41/365))+(Q42/$R42*100*($E42/365))</f>
        <v>0</v>
      </c>
      <c r="M165" s="409"/>
      <c r="N165" s="379">
        <f t="shared" si="20"/>
        <v>100</v>
      </c>
      <c r="O165" s="379"/>
      <c r="R165" s="1">
        <v>1973</v>
      </c>
      <c r="S165" s="5">
        <f>(O40*($E40/365))+(O41*($E41/365))+(O42*($E42/365))</f>
        <v>44.100000000000009</v>
      </c>
      <c r="T165" s="5">
        <f>(P40*($E40/365))+(P41*($E41/365))+(P42*($E42/365))</f>
        <v>0</v>
      </c>
      <c r="U165" s="5">
        <f>(Q40*($E40/365))+(Q41*($E41/365))+(Q42*($E42/365))</f>
        <v>0</v>
      </c>
      <c r="V165" s="5"/>
      <c r="W165" s="5">
        <f t="shared" si="22"/>
        <v>44.100000000000009</v>
      </c>
    </row>
    <row r="166" spans="1:23" x14ac:dyDescent="0.15">
      <c r="A166" s="1">
        <v>1974</v>
      </c>
      <c r="B166" s="5">
        <f>(K43*($E43/365))+(K44*($E44/365))+(K45*($E45/365))</f>
        <v>92.638867981333732</v>
      </c>
      <c r="C166" s="5">
        <f>(L43*($E43/365))+(L44*($E44/365))+(L45*($E45/365))</f>
        <v>7.3611320186662645</v>
      </c>
      <c r="D166" s="5">
        <f>(M43*($E43/365))+(M44*($E44/365))+(M45*($E45/365))</f>
        <v>0</v>
      </c>
      <c r="E166" s="18">
        <f t="shared" si="21"/>
        <v>100</v>
      </c>
      <c r="G166" s="1">
        <v>1974</v>
      </c>
      <c r="H166" s="409">
        <f>(O43/$R43*100*($E43/365))+(O44/$R44*100*($E44/365))+(O45/$R45*100*($E45/365))</f>
        <v>100</v>
      </c>
      <c r="I166" s="409"/>
      <c r="J166" s="409">
        <f>(P43/$R43*100*($E43/365))+(P44/$R44*100*($E44/365))+(P45/$R45*100*($E45/365))</f>
        <v>0</v>
      </c>
      <c r="K166" s="409"/>
      <c r="L166" s="409">
        <f>(Q43/$R43*100*($E43/365))+(Q45/$R45*100*($E45/365))</f>
        <v>0</v>
      </c>
      <c r="M166" s="409"/>
      <c r="N166" s="379">
        <f t="shared" si="20"/>
        <v>100</v>
      </c>
      <c r="O166" s="379"/>
      <c r="R166" s="1">
        <v>1974</v>
      </c>
      <c r="S166" s="5">
        <f>(O43*($E43/365))+(O44*($E44/365))+(O45*($E45/365))</f>
        <v>42.38219178082192</v>
      </c>
      <c r="T166" s="5">
        <f>(P43*($E43/365))+(P44*($E44/365))+(P45*($E45/365))</f>
        <v>0</v>
      </c>
      <c r="U166" s="5">
        <f>(Q43*($E43/365))+(Q44*($E44/365))+(Q45*($E45/365))</f>
        <v>0</v>
      </c>
      <c r="V166" s="5"/>
      <c r="W166" s="5">
        <f>S166+T166+U166</f>
        <v>42.38219178082192</v>
      </c>
    </row>
    <row r="167" spans="1:23" x14ac:dyDescent="0.15">
      <c r="A167" s="1">
        <v>1975</v>
      </c>
      <c r="B167" s="5">
        <f>(K46*($E46/365))+(K47*($E47/365))+(K48*($E48/365))</f>
        <v>82.318229715489991</v>
      </c>
      <c r="C167" s="5">
        <f>(L46*($E46/365))+(L47*($E47/365))+(L48*($E48/365))</f>
        <v>17.681770284510012</v>
      </c>
      <c r="D167" s="5">
        <f>(M46*($E46/365))+(M47*($E47/365))+(M48*($E48/365))</f>
        <v>0</v>
      </c>
      <c r="E167" s="18">
        <f t="shared" si="21"/>
        <v>100</v>
      </c>
      <c r="G167" s="1">
        <v>1975</v>
      </c>
      <c r="H167" s="409">
        <f>(O46/$R46*100*($E46/365))+(O47/$R47*100*($E47/365))+(O48/$R48*100*($E48/365))</f>
        <v>100</v>
      </c>
      <c r="I167" s="409"/>
      <c r="J167" s="409">
        <f>(P46/$R46*100*($E46/365))+(P47/$R47*100*($E47/365))+(P48/$R48*100*($E48/365))</f>
        <v>0</v>
      </c>
      <c r="K167" s="409"/>
      <c r="L167" s="409">
        <f>(Q46/$R46*100*($E46/365))+(Q47/$R47*100*($E47/365))+(Q48/$R48*100*($E48/365))</f>
        <v>0</v>
      </c>
      <c r="M167" s="409"/>
      <c r="N167" s="379">
        <f t="shared" si="20"/>
        <v>100</v>
      </c>
      <c r="O167" s="379"/>
      <c r="R167" s="1">
        <v>1975</v>
      </c>
      <c r="S167" s="5">
        <f>(O46*($E46/365))+(O47*($E47/365))+(O48*($E48/365))</f>
        <v>33.1</v>
      </c>
      <c r="T167" s="5">
        <f>(P46*($E46/365))+(P47*($E47/365))+(P48*($E48/365))</f>
        <v>0</v>
      </c>
      <c r="U167" s="5">
        <f>(Q46*($E46/365))+(Q47*($E47/365))+(Q48*($E48/365))</f>
        <v>0</v>
      </c>
      <c r="V167" s="5"/>
      <c r="W167" s="5">
        <f t="shared" si="22"/>
        <v>33.1</v>
      </c>
    </row>
    <row r="168" spans="1:23" x14ac:dyDescent="0.15">
      <c r="A168" s="1">
        <v>1976</v>
      </c>
      <c r="B168" s="5">
        <f>(K49*($E49/366))+(K50*($E50/366))</f>
        <v>76.923076923076934</v>
      </c>
      <c r="C168" s="5">
        <f>(L49*($E49/366))+(L50*($E50/366))</f>
        <v>23.076923076923077</v>
      </c>
      <c r="D168" s="5">
        <f>(M49*($E49/366))+(M50*($E50/366))</f>
        <v>0</v>
      </c>
      <c r="E168" s="18">
        <f t="shared" si="21"/>
        <v>100.00000000000001</v>
      </c>
      <c r="G168" s="1">
        <v>1976</v>
      </c>
      <c r="H168" s="409">
        <f>(O49/$R49*100*($E49/366))+(O50/$R50*100*($E50/366))</f>
        <v>100</v>
      </c>
      <c r="I168" s="409"/>
      <c r="J168" s="409">
        <f>(P49/$R49*100*($E49/366))+(P50/$R50*100*($E50/366))</f>
        <v>0</v>
      </c>
      <c r="K168" s="409"/>
      <c r="L168" s="409">
        <f>(Q49/$R49*100*($E49/366))+(Q50/$R50*100*($E50/366))</f>
        <v>0</v>
      </c>
      <c r="M168" s="409"/>
      <c r="N168" s="379">
        <f t="shared" si="20"/>
        <v>100</v>
      </c>
      <c r="O168" s="379"/>
      <c r="R168" s="1">
        <v>1976</v>
      </c>
      <c r="S168" s="5">
        <f>(O49*($E49/366))+(O50*($E50/366))</f>
        <v>33.067213114754104</v>
      </c>
      <c r="T168" s="5">
        <f>(P49*($E49/366))+(P50*($E50/366))</f>
        <v>0</v>
      </c>
      <c r="U168" s="5">
        <f>(Q49*($E49/366))+(Q50*($E50/366))</f>
        <v>0</v>
      </c>
      <c r="V168" s="5"/>
      <c r="W168" s="5">
        <f t="shared" si="22"/>
        <v>33.067213114754104</v>
      </c>
    </row>
    <row r="169" spans="1:23" x14ac:dyDescent="0.15">
      <c r="A169" s="1">
        <v>1977</v>
      </c>
      <c r="B169" s="5">
        <f>(K51*($E51/365))+(K52*($E52/365))</f>
        <v>10.775252145115159</v>
      </c>
      <c r="C169" s="5">
        <f>(L51*($E51/365))+(L52*($E52/365))</f>
        <v>89.224747854884839</v>
      </c>
      <c r="D169" s="5">
        <f>(M51*($E51/365))+(M52*($E52/365))</f>
        <v>0</v>
      </c>
      <c r="E169" s="18">
        <f t="shared" si="21"/>
        <v>100</v>
      </c>
      <c r="G169" s="1">
        <v>1977</v>
      </c>
      <c r="H169" s="409">
        <f>(O51/$R51*100*($E51/365))+(O52/$R52*100*($E52/365))</f>
        <v>5.2054794520547949</v>
      </c>
      <c r="I169" s="409"/>
      <c r="J169" s="409">
        <f>(P51/$R51*100*($E51/365))+(P52/$R52*100*($E52/365))</f>
        <v>94.794520547945211</v>
      </c>
      <c r="K169" s="409"/>
      <c r="L169" s="409">
        <f>(Q51/$R51*100*($E51/365))+(Q52/$R52*100*($E52/365))</f>
        <v>0</v>
      </c>
      <c r="M169" s="409"/>
      <c r="N169" s="379">
        <f t="shared" si="20"/>
        <v>100</v>
      </c>
      <c r="O169" s="379"/>
      <c r="R169" s="1">
        <v>1977</v>
      </c>
      <c r="S169" s="5">
        <f>(O51*($E51/365))+(O52*($E52/365))</f>
        <v>1.7126027397260273</v>
      </c>
      <c r="T169" s="5">
        <f>(P51*($E51/365))+(P52*($E52/365))</f>
        <v>63.607123287671229</v>
      </c>
      <c r="U169" s="5">
        <f>(Q51*($E51/365))+(Q52*($E52/365))</f>
        <v>0</v>
      </c>
      <c r="V169" s="5"/>
      <c r="W169" s="5">
        <f t="shared" si="22"/>
        <v>65.319726027397252</v>
      </c>
    </row>
    <row r="170" spans="1:23" x14ac:dyDescent="0.15">
      <c r="A170" s="1">
        <v>1978</v>
      </c>
      <c r="B170" s="5">
        <f>(K53*($E53/365))+(K54*($E54/365))</f>
        <v>7.1428571428571432</v>
      </c>
      <c r="C170" s="5">
        <f>(L53*($E53/365))+(L54*($E54/365))</f>
        <v>92.857142857142861</v>
      </c>
      <c r="D170" s="5">
        <f>(M53*($E53/365))+(M54*($E54/365))</f>
        <v>0</v>
      </c>
      <c r="E170" s="18">
        <f t="shared" si="21"/>
        <v>100</v>
      </c>
      <c r="G170" s="1">
        <v>1978</v>
      </c>
      <c r="H170" s="409">
        <f>(O53/$R53*100*($E53/365))+(O54/$R54*100*($E54/365))</f>
        <v>0</v>
      </c>
      <c r="I170" s="409"/>
      <c r="J170" s="409">
        <f>(P53/$R53*100*($E53/365))+(P54/$R54*100*($E54/365))</f>
        <v>100.00000000000001</v>
      </c>
      <c r="K170" s="409"/>
      <c r="L170" s="409">
        <f>(Q53/$R53*100*($E53/365))+(Q54/$R54*100*($E54/365))</f>
        <v>0</v>
      </c>
      <c r="M170" s="409"/>
      <c r="N170" s="379">
        <f t="shared" si="20"/>
        <v>100.00000000000001</v>
      </c>
      <c r="O170" s="379"/>
      <c r="R170" s="1">
        <v>1978</v>
      </c>
      <c r="S170" s="5">
        <f>(O53*($E53/365))+(O54*($E54/365))</f>
        <v>0</v>
      </c>
      <c r="T170" s="5">
        <f>(P53*($E53/365))+(P54*($E54/365))</f>
        <v>66.596986301369867</v>
      </c>
      <c r="U170" s="5">
        <f>(Q53*($E53/365))+(Q54*($E54/365))</f>
        <v>0</v>
      </c>
      <c r="V170" s="5"/>
      <c r="W170" s="5">
        <f t="shared" si="22"/>
        <v>66.596986301369867</v>
      </c>
    </row>
    <row r="171" spans="1:23" x14ac:dyDescent="0.15">
      <c r="A171" s="1">
        <v>1979</v>
      </c>
      <c r="B171" s="5">
        <f>(K55*($E55/365))+(K56*($E56/365))+(K57*($E57/365))</f>
        <v>4.5988258317025439</v>
      </c>
      <c r="C171" s="5">
        <f>(L55*($E55/365))+(L56*($E56/365))+(L57*($E57/365))</f>
        <v>95.401174168297473</v>
      </c>
      <c r="D171" s="5">
        <f>(M55*($E55/365))+(M56*($E56/365))+(M57*($E57/365))</f>
        <v>0</v>
      </c>
      <c r="E171" s="18">
        <f t="shared" si="21"/>
        <v>100.00000000000001</v>
      </c>
      <c r="G171" s="1">
        <v>1979</v>
      </c>
      <c r="H171" s="409">
        <f>(O55/$R55*100*($E55/365))+(O56/$R56*100*($E56/365))+(O57/$R57*100*($E57/365))</f>
        <v>0</v>
      </c>
      <c r="I171" s="409"/>
      <c r="J171" s="409">
        <f>(P55/$R55*100*($E55/365))+(P56/$R56*100*($E56/365))+(P57/$R57*100*($E57/365))</f>
        <v>100</v>
      </c>
      <c r="K171" s="409"/>
      <c r="L171" s="409">
        <f>(Q55/$R55*100*($E55/365))+(Q56/$R56*100*($E56/365))+(Q57/$R57*100*($E57/365))</f>
        <v>0</v>
      </c>
      <c r="M171" s="409"/>
      <c r="N171" s="379">
        <f t="shared" si="20"/>
        <v>100</v>
      </c>
      <c r="O171" s="379"/>
      <c r="R171" s="1">
        <v>1979</v>
      </c>
      <c r="S171" s="5">
        <f>(O55*($E55/365))+(O56*($E56/365))+(O57*($E57/365))</f>
        <v>0</v>
      </c>
      <c r="T171" s="5">
        <f>(P55*($E55/365))+(P56*($E56/365))+(P57*($E57/365))</f>
        <v>63.70000000000001</v>
      </c>
      <c r="U171" s="5">
        <f>(Q55*($E55/365))+(Q56*($E56/365))+(Q57*($E57/365))</f>
        <v>0</v>
      </c>
      <c r="V171" s="5"/>
      <c r="W171" s="5">
        <f t="shared" si="22"/>
        <v>63.70000000000001</v>
      </c>
    </row>
    <row r="172" spans="1:23" x14ac:dyDescent="0.15">
      <c r="A172" s="1">
        <v>1980</v>
      </c>
      <c r="B172" s="5">
        <f>(K58*($E58/366))+(K59*($E59/366))</f>
        <v>0</v>
      </c>
      <c r="C172" s="5">
        <f>(L58*($E58/366))+(L59*($E59/366))</f>
        <v>100.00000000000001</v>
      </c>
      <c r="D172" s="5">
        <f>(M58*($E58/366))+(M59*($E59/366))</f>
        <v>0</v>
      </c>
      <c r="E172" s="18">
        <f t="shared" si="21"/>
        <v>100.00000000000001</v>
      </c>
      <c r="G172" s="1">
        <v>1980</v>
      </c>
      <c r="H172" s="409">
        <f>(O58/$R58*100*($E58/366))+(O59/$R59*100*($E59/366))</f>
        <v>0</v>
      </c>
      <c r="I172" s="409"/>
      <c r="J172" s="409">
        <f>(P58/$R58*100*($E58/366))+(P59/$R59*100*($E59/366))</f>
        <v>100.00000000000001</v>
      </c>
      <c r="K172" s="409"/>
      <c r="L172" s="409">
        <f>(Q58/$R58*100*($E58/366))+(Q59/$R59*100*($E59/366))</f>
        <v>0</v>
      </c>
      <c r="M172" s="409"/>
      <c r="N172" s="379">
        <f t="shared" si="20"/>
        <v>100.00000000000001</v>
      </c>
      <c r="O172" s="379"/>
      <c r="R172" s="1">
        <v>1980</v>
      </c>
      <c r="S172" s="5">
        <f>(O58*($E58/366))+(O59*($E59/366))</f>
        <v>0</v>
      </c>
      <c r="T172" s="5">
        <f>(P58*($E58/366))+(P59*($E59/366))</f>
        <v>62.463934426229514</v>
      </c>
      <c r="U172" s="5">
        <f>(Q58*($E58/366))+(Q59*($E59/366))</f>
        <v>0</v>
      </c>
      <c r="V172" s="5"/>
      <c r="W172" s="5">
        <f t="shared" si="22"/>
        <v>62.463934426229514</v>
      </c>
    </row>
    <row r="173" spans="1:23" x14ac:dyDescent="0.15">
      <c r="A173" s="1">
        <v>1981</v>
      </c>
      <c r="B173" s="5">
        <f>(K60*($E60/365))+(K61*($E61/365))</f>
        <v>94.794520547945211</v>
      </c>
      <c r="C173" s="5">
        <f>(L60*($E60/365))+(L61*($E61/365))</f>
        <v>5.2054794520547949</v>
      </c>
      <c r="D173" s="5">
        <f>(M60*($E60/365))+(M61*($E61/365))</f>
        <v>0</v>
      </c>
      <c r="E173" s="18">
        <f t="shared" si="21"/>
        <v>100</v>
      </c>
      <c r="G173" s="1">
        <v>1981</v>
      </c>
      <c r="H173" s="409">
        <f>(O60/$R60*100*($E60/365))+(O61/$R61*100*($E61/365))</f>
        <v>94.794520547945211</v>
      </c>
      <c r="I173" s="409"/>
      <c r="J173" s="409">
        <f>(P60/$R60*100*($E60/365))+(P61/$R61*100*($E61/365))</f>
        <v>5.2054794520547949</v>
      </c>
      <c r="K173" s="409"/>
      <c r="L173" s="409">
        <f>(Q60/$R60*100*($E60/365))+(Q61/$R61*100*($E61/365))</f>
        <v>0</v>
      </c>
      <c r="M173" s="409"/>
      <c r="N173" s="379">
        <f t="shared" si="20"/>
        <v>100</v>
      </c>
      <c r="O173" s="379"/>
      <c r="R173" s="1">
        <v>1981</v>
      </c>
      <c r="S173" s="5">
        <f>(O60*($E60/365))+(O61*($E61/365))</f>
        <v>41.804383561643839</v>
      </c>
      <c r="T173" s="5">
        <f>(P60*($E60/365))+(P61*($E61/365))</f>
        <v>2.9098630136986303</v>
      </c>
      <c r="U173" s="5">
        <f>(Q60*($E60/365))+(Q61*($E61/365))</f>
        <v>0</v>
      </c>
      <c r="V173" s="5"/>
      <c r="W173" s="5">
        <f t="shared" si="22"/>
        <v>44.714246575342472</v>
      </c>
    </row>
    <row r="174" spans="1:23" x14ac:dyDescent="0.15">
      <c r="A174" s="1">
        <v>1982</v>
      </c>
      <c r="B174" s="5">
        <f>(K62*($E62/365))+(K63*($E63/365))</f>
        <v>100</v>
      </c>
      <c r="C174" s="5">
        <f>(L62*($E62/365))+(L63*($E63/365))</f>
        <v>0</v>
      </c>
      <c r="D174" s="5">
        <f>(M62*($E62/365))+(M63*($E63/365))</f>
        <v>0</v>
      </c>
      <c r="E174" s="18">
        <f t="shared" si="21"/>
        <v>100</v>
      </c>
      <c r="G174" s="1">
        <v>1982</v>
      </c>
      <c r="H174" s="409">
        <f>(O62/$R62*100*($E62/365))+(O63/$R63*100*($E63/365))</f>
        <v>100</v>
      </c>
      <c r="I174" s="409"/>
      <c r="J174" s="409">
        <f>(P62/$R62*100*($E62/365))+(P63/$R63*100*($E63/365))</f>
        <v>0</v>
      </c>
      <c r="K174" s="409"/>
      <c r="L174" s="409">
        <f>(Q62/$R62*100*($E62/365))+(Q63/$R63*100*($E63/365))</f>
        <v>0</v>
      </c>
      <c r="M174" s="409"/>
      <c r="N174" s="379">
        <f t="shared" si="20"/>
        <v>100</v>
      </c>
      <c r="O174" s="379"/>
      <c r="R174" s="1">
        <v>1982</v>
      </c>
      <c r="S174" s="5">
        <f>(O62*($E62/365))+(O63*($E63/365))</f>
        <v>43.130136986301366</v>
      </c>
      <c r="T174" s="5">
        <f>(P62*($E62/365))+(P63*($E63/365))</f>
        <v>0</v>
      </c>
      <c r="U174" s="5">
        <f>(Q62*($E62/365))+(Q63*($E63/365))</f>
        <v>0</v>
      </c>
      <c r="V174" s="5"/>
      <c r="W174" s="5">
        <f t="shared" si="22"/>
        <v>43.130136986301366</v>
      </c>
    </row>
    <row r="175" spans="1:23" x14ac:dyDescent="0.15">
      <c r="A175" s="1">
        <v>1983</v>
      </c>
      <c r="B175" s="5">
        <f>(K64*($E64/365))+(K65*($E65/365))</f>
        <v>100</v>
      </c>
      <c r="C175" s="5">
        <f>(L64*($E64/365))+(L65*($E65/365))</f>
        <v>0</v>
      </c>
      <c r="D175" s="5">
        <f>(M64*($E64/365))+(M65*($E65/365))</f>
        <v>0</v>
      </c>
      <c r="E175" s="18">
        <f t="shared" si="21"/>
        <v>100</v>
      </c>
      <c r="G175" s="1">
        <v>1983</v>
      </c>
      <c r="H175" s="409">
        <f>(O64/$R64*100*($E64/365))+(O65/$R65*100*($E65/365))</f>
        <v>100</v>
      </c>
      <c r="I175" s="409"/>
      <c r="J175" s="409">
        <f>(P64/$R64*100*($E64/365))+(P65/$R65*100*($E65/365))</f>
        <v>0</v>
      </c>
      <c r="K175" s="409"/>
      <c r="L175" s="409">
        <f>(Q64/$R64*100*($E64/365))+(Q65/$R65*100*($E65/365))</f>
        <v>0</v>
      </c>
      <c r="M175" s="409"/>
      <c r="N175" s="379">
        <f t="shared" si="20"/>
        <v>100</v>
      </c>
      <c r="O175" s="379"/>
      <c r="R175" s="1">
        <v>1983</v>
      </c>
      <c r="S175" s="5">
        <f>(O64*($E64/365))+(O65*($E65/365))</f>
        <v>38.200000000000003</v>
      </c>
      <c r="T175" s="5">
        <f>(P64*($E64/365))+(P65*($E65/365))</f>
        <v>0</v>
      </c>
      <c r="U175" s="5">
        <f>(Q64*($E64/365))+(Q65*($E65/365))</f>
        <v>0</v>
      </c>
      <c r="V175" s="5"/>
      <c r="W175" s="5">
        <f t="shared" si="22"/>
        <v>38.200000000000003</v>
      </c>
    </row>
    <row r="176" spans="1:23" x14ac:dyDescent="0.15">
      <c r="A176" s="1">
        <v>1984</v>
      </c>
      <c r="B176" s="5">
        <f>(K66*($E66/366))+(K67*($E67/366))</f>
        <v>100</v>
      </c>
      <c r="C176" s="5">
        <f>(L66*($E66/366))+(L67*($E67/366))</f>
        <v>0</v>
      </c>
      <c r="D176" s="5">
        <f>(M66*($E66/366))+(M67*($E67/366))</f>
        <v>0</v>
      </c>
      <c r="E176" s="18">
        <f t="shared" si="21"/>
        <v>100</v>
      </c>
      <c r="G176" s="1">
        <v>1984</v>
      </c>
      <c r="H176" s="409">
        <f>(O66/$R66*100*($E66/366))+(O67/$R67*100*($E67/366))</f>
        <v>100</v>
      </c>
      <c r="I176" s="409"/>
      <c r="J176" s="409">
        <f>(P66/$R66*100*($E66/366))+(P67/$R67*100*($E67/366))</f>
        <v>0</v>
      </c>
      <c r="K176" s="409"/>
      <c r="L176" s="409">
        <f>(Q66/$R66*100*($E66/366))+(Q67/$R67*100*($E67/366))</f>
        <v>0</v>
      </c>
      <c r="M176" s="409"/>
      <c r="N176" s="379">
        <f t="shared" si="20"/>
        <v>100</v>
      </c>
      <c r="O176" s="379"/>
      <c r="R176" s="1">
        <v>1984</v>
      </c>
      <c r="S176" s="5">
        <f>(O66*($E66/366))+(O67*($E67/366))</f>
        <v>38.750819672131158</v>
      </c>
      <c r="T176" s="5">
        <f>(P66*($E66/366))+(P67*($E67/366))</f>
        <v>0</v>
      </c>
      <c r="U176" s="5">
        <f>(Q66*($E66/366))+(Q67*($E67/366))</f>
        <v>0</v>
      </c>
      <c r="V176" s="5"/>
      <c r="W176" s="5">
        <f t="shared" si="22"/>
        <v>38.750819672131158</v>
      </c>
    </row>
    <row r="177" spans="1:23" x14ac:dyDescent="0.15">
      <c r="A177" s="1">
        <v>1985</v>
      </c>
      <c r="B177" s="5">
        <f>(K68*($E68/365))+(K69*($E69/365))</f>
        <v>100</v>
      </c>
      <c r="C177" s="5">
        <f>(L68*($E68/365))+(L69*($E69/365))</f>
        <v>0</v>
      </c>
      <c r="D177" s="5">
        <f>(M68*($E68/365))+(M69*($E69/365))</f>
        <v>0</v>
      </c>
      <c r="E177" s="18">
        <f t="shared" si="21"/>
        <v>100</v>
      </c>
      <c r="G177" s="1">
        <v>1985</v>
      </c>
      <c r="H177" s="409">
        <f>(O68/$R68*100*($E68/365))+(O69/$R69*100*($E69/365))</f>
        <v>100</v>
      </c>
      <c r="I177" s="409"/>
      <c r="J177" s="409">
        <f>(P68/$R68*100*($E68/365))+(P69/$R69*100*($E69/365))</f>
        <v>0</v>
      </c>
      <c r="K177" s="409"/>
      <c r="L177" s="409">
        <f>(Q68/$R68*100*($E68/365))+(Q69/$R69*100*($E69/365))</f>
        <v>0</v>
      </c>
      <c r="M177" s="409"/>
      <c r="N177" s="379">
        <f t="shared" si="20"/>
        <v>100</v>
      </c>
      <c r="O177" s="379"/>
      <c r="R177" s="1">
        <v>1985</v>
      </c>
      <c r="S177" s="5">
        <f>(O68*($E68/365))+(O69*($E69/365))</f>
        <v>41.8</v>
      </c>
      <c r="T177" s="5">
        <f>(P68*($E68/365))+(P69*($E69/365))</f>
        <v>0</v>
      </c>
      <c r="U177" s="5">
        <f>(Q68*($E68/365))+(Q69*($E69/365))</f>
        <v>0</v>
      </c>
      <c r="V177" s="5"/>
      <c r="W177" s="5">
        <f t="shared" si="22"/>
        <v>41.8</v>
      </c>
    </row>
    <row r="178" spans="1:23" x14ac:dyDescent="0.15">
      <c r="A178" s="1">
        <v>1986</v>
      </c>
      <c r="B178" s="5">
        <f>(K70*($E70/365))+(K71*($E71/365))</f>
        <v>100</v>
      </c>
      <c r="C178" s="5">
        <f>(L70*($E70/365))+(L71*($E71/365))</f>
        <v>0</v>
      </c>
      <c r="D178" s="5">
        <f>(M70*($E70/365))+(M71*($E71/365))</f>
        <v>0</v>
      </c>
      <c r="E178" s="18">
        <f t="shared" si="21"/>
        <v>100</v>
      </c>
      <c r="G178" s="1">
        <v>1986</v>
      </c>
      <c r="H178" s="409">
        <f>(O70/$R70*100*($E70/365))+(O71/$R71*100*($E71/365))</f>
        <v>100</v>
      </c>
      <c r="I178" s="409"/>
      <c r="J178" s="409">
        <f>(P70/$R70*100*($E70/365))+(P71/$R71*100*($E71/365))</f>
        <v>0</v>
      </c>
      <c r="K178" s="409"/>
      <c r="L178" s="409">
        <f>(Q70/$R70*100*($E70/365))+(Q71/$R71*100*($E71/365))</f>
        <v>0</v>
      </c>
      <c r="M178" s="409"/>
      <c r="N178" s="379">
        <f t="shared" si="20"/>
        <v>100</v>
      </c>
      <c r="O178" s="379"/>
      <c r="R178" s="1">
        <v>1986</v>
      </c>
      <c r="S178" s="5">
        <f>(O70*($E70/365))+(O71*($E71/365))</f>
        <v>41.616164383561646</v>
      </c>
      <c r="T178" s="5">
        <f>(P70*($E70/365))+(P71*($E71/365))</f>
        <v>0</v>
      </c>
      <c r="U178" s="5">
        <f>(Q70*($E70/365))+(Q71*($E71/365))</f>
        <v>0</v>
      </c>
      <c r="V178" s="5"/>
      <c r="W178" s="5">
        <f t="shared" si="22"/>
        <v>41.616164383561646</v>
      </c>
    </row>
    <row r="179" spans="1:23" x14ac:dyDescent="0.15">
      <c r="A179" s="1">
        <v>1987</v>
      </c>
      <c r="B179" s="5">
        <f>(K72*($E72/365))+(K73*($E73/365))</f>
        <v>100</v>
      </c>
      <c r="C179" s="5">
        <f>(L72*($E72/365))+(L73*($E73/365))</f>
        <v>0</v>
      </c>
      <c r="D179" s="5">
        <f>(M72*($E72/365))+(M73*($E73/365))</f>
        <v>0</v>
      </c>
      <c r="E179" s="18">
        <f t="shared" si="21"/>
        <v>100</v>
      </c>
      <c r="G179" s="1">
        <v>1987</v>
      </c>
      <c r="H179" s="409">
        <f>(O72/$R72*100*($E72/365))+(O73/$R73*100*($E73/365))</f>
        <v>100</v>
      </c>
      <c r="I179" s="409"/>
      <c r="J179" s="409">
        <f>(P72/$R72*100*($E72/365))+(P73/$R73*100*($E73/365))</f>
        <v>0</v>
      </c>
      <c r="K179" s="409"/>
      <c r="L179" s="409">
        <f>(Q72/$R72*100*($E72/365))+(Q73/$R73*100*($E73/365))</f>
        <v>0</v>
      </c>
      <c r="M179" s="409"/>
      <c r="N179" s="379">
        <f t="shared" si="20"/>
        <v>100</v>
      </c>
      <c r="O179" s="379"/>
      <c r="R179" s="1">
        <v>1987</v>
      </c>
      <c r="S179" s="5">
        <f>(O72*($E72/365))+(O73*($E73/365))</f>
        <v>40.700000000000003</v>
      </c>
      <c r="T179" s="5">
        <f>(P72*($E72/365))+(P73*($E73/365))</f>
        <v>0</v>
      </c>
      <c r="U179" s="5">
        <f>(Q72*($E72/365))+(Q73*($E73/365))</f>
        <v>0</v>
      </c>
      <c r="V179" s="5"/>
      <c r="W179" s="5">
        <f t="shared" si="22"/>
        <v>40.700000000000003</v>
      </c>
    </row>
    <row r="180" spans="1:23" x14ac:dyDescent="0.15">
      <c r="A180" s="1">
        <v>1988</v>
      </c>
      <c r="B180" s="5">
        <f>(K74*($E74/366))+(K75*($E75/366))</f>
        <v>99.999999999999986</v>
      </c>
      <c r="C180" s="5">
        <f>(L74*($E74/366))+(L75*($E75/366))</f>
        <v>0</v>
      </c>
      <c r="D180" s="5">
        <f>(M74*($E74/366))+(M75*($E75/366))</f>
        <v>0</v>
      </c>
      <c r="E180" s="18">
        <f t="shared" si="21"/>
        <v>99.999999999999986</v>
      </c>
      <c r="G180" s="1">
        <v>1988</v>
      </c>
      <c r="H180" s="409">
        <f>(O74/$R74*100*($E74/366))+(O75/$R75*100*($E75/366))</f>
        <v>99.999999999999986</v>
      </c>
      <c r="I180" s="409"/>
      <c r="J180" s="409">
        <f>(P74/$R74*100*($E74/366))+(P75/$R75*100*($E75/366))</f>
        <v>0</v>
      </c>
      <c r="K180" s="409"/>
      <c r="L180" s="409">
        <f>(Q74/$R74*100*($E74/366))+(Q75/$R75*100*($E75/366))</f>
        <v>0</v>
      </c>
      <c r="M180" s="409"/>
      <c r="N180" s="379">
        <f t="shared" si="20"/>
        <v>99.999999999999986</v>
      </c>
      <c r="O180" s="379"/>
      <c r="R180" s="1">
        <v>1988</v>
      </c>
      <c r="S180" s="5">
        <f>(O74*($E74/366))+(O75*($E75/366))</f>
        <v>40.626229508196722</v>
      </c>
      <c r="T180" s="5">
        <f>(P74*($E74/366))+(P75*($E75/366))</f>
        <v>0</v>
      </c>
      <c r="U180" s="5">
        <f>(Q74*($E74/366))+(Q75*($E75/366))</f>
        <v>0</v>
      </c>
      <c r="V180" s="5"/>
      <c r="W180" s="5">
        <f t="shared" si="22"/>
        <v>40.626229508196722</v>
      </c>
    </row>
    <row r="181" spans="1:23" x14ac:dyDescent="0.15">
      <c r="A181" s="1">
        <v>1989</v>
      </c>
      <c r="B181" s="5">
        <f>(K76*($E76/365))+(K77*($E77/365))</f>
        <v>100</v>
      </c>
      <c r="C181" s="5">
        <f>(L76*($E76/365))+(L77*($E77/365))</f>
        <v>0</v>
      </c>
      <c r="D181" s="5">
        <f>(M76*($E76/365))+(M77*($E77/365))</f>
        <v>0</v>
      </c>
      <c r="E181" s="18">
        <f t="shared" si="21"/>
        <v>100</v>
      </c>
      <c r="G181" s="1">
        <v>1989</v>
      </c>
      <c r="H181" s="409">
        <f>(O76/$R76*100*($E76/365))+(O77/$R77*100*($E77/365))</f>
        <v>100</v>
      </c>
      <c r="I181" s="409"/>
      <c r="J181" s="409">
        <f>(P76/$R76*100*($E76/365))+(P77/$R77*100*($E77/365))</f>
        <v>0</v>
      </c>
      <c r="K181" s="409"/>
      <c r="L181" s="409">
        <f>(Q76/$R76*100*($E76/365))+(Q77/$R77*100*($E77/365))</f>
        <v>0</v>
      </c>
      <c r="M181" s="409"/>
      <c r="N181" s="379">
        <f t="shared" si="20"/>
        <v>100</v>
      </c>
      <c r="O181" s="379"/>
      <c r="R181" s="1">
        <v>1989</v>
      </c>
      <c r="S181" s="5">
        <f>(O76*($E76/365))+(O77*($E77/365))</f>
        <v>40.200000000000003</v>
      </c>
      <c r="T181" s="5">
        <f>(P76*($E76/365))+(P77*($E77/365))</f>
        <v>0</v>
      </c>
      <c r="U181" s="5">
        <f>(Q76*($E76/365))+(Q77*($E77/365))</f>
        <v>0</v>
      </c>
      <c r="V181" s="5"/>
      <c r="W181" s="5">
        <f t="shared" si="22"/>
        <v>40.200000000000003</v>
      </c>
    </row>
    <row r="182" spans="1:23" x14ac:dyDescent="0.15">
      <c r="A182" s="1">
        <v>1990</v>
      </c>
      <c r="B182" s="5">
        <f>(K78*($E78/365))+(K79*($E79/365))</f>
        <v>100</v>
      </c>
      <c r="C182" s="5">
        <f>(L78*($E78/365))+(L79*($E79/365))</f>
        <v>0</v>
      </c>
      <c r="D182" s="5">
        <f>(M78*($E78/365))+(M79*($E79/365))</f>
        <v>0</v>
      </c>
      <c r="E182" s="18">
        <f t="shared" si="21"/>
        <v>100</v>
      </c>
      <c r="G182" s="1">
        <v>1990</v>
      </c>
      <c r="H182" s="409">
        <f>(O78/$R78*100*($E78/365))+(O79/$R79*100*($E79/365))</f>
        <v>100</v>
      </c>
      <c r="I182" s="409"/>
      <c r="J182" s="409">
        <f>(P78/$R78*100*($E78/365))+(P79/$R79*100*($E79/365))</f>
        <v>0</v>
      </c>
      <c r="K182" s="409"/>
      <c r="L182" s="409">
        <f>(Q78/$R78*100*($E78/365))+(Q79/$R79*100*($E79/365))</f>
        <v>0</v>
      </c>
      <c r="M182" s="409"/>
      <c r="N182" s="379">
        <f t="shared" si="20"/>
        <v>100</v>
      </c>
      <c r="O182" s="379"/>
      <c r="R182" s="1">
        <v>1990</v>
      </c>
      <c r="S182" s="5">
        <f>(O78*($E78/365))+(O79*($E79/365))</f>
        <v>39.904109589041099</v>
      </c>
      <c r="T182" s="5">
        <f>(P78*($E78/365))+(P79*($E79/365))</f>
        <v>0</v>
      </c>
      <c r="U182" s="5">
        <f>(Q78*($E78/365))+(Q79*($E79/365))</f>
        <v>0</v>
      </c>
      <c r="V182" s="5"/>
      <c r="W182" s="5">
        <f t="shared" si="22"/>
        <v>39.904109589041099</v>
      </c>
    </row>
    <row r="183" spans="1:23" x14ac:dyDescent="0.15">
      <c r="A183" s="1">
        <v>1991</v>
      </c>
      <c r="B183" s="5">
        <f>(K80*($E80/365))+(K81*($E81/365))</f>
        <v>100</v>
      </c>
      <c r="C183" s="5">
        <f>(L80*($E80/365))+(L81*($E81/365))</f>
        <v>0</v>
      </c>
      <c r="D183" s="5">
        <f>(M80*($E80/365))+(M81*($E81/365))</f>
        <v>0</v>
      </c>
      <c r="E183" s="18">
        <f t="shared" si="21"/>
        <v>100</v>
      </c>
      <c r="G183" s="1">
        <v>1991</v>
      </c>
      <c r="H183" s="409">
        <f>(O80/$R80*100*($E80/365))+(O81/$R81*100*($E81/365))</f>
        <v>100</v>
      </c>
      <c r="I183" s="409"/>
      <c r="J183" s="409">
        <f>(P80/$R80*100*($E80/365))+(P81/$R81*100*($E81/365))</f>
        <v>0</v>
      </c>
      <c r="K183" s="409"/>
      <c r="L183" s="409">
        <f>(Q80/$R80*100*($E80/365))+(Q81/$R81*100*($E81/365))</f>
        <v>0</v>
      </c>
      <c r="M183" s="409"/>
      <c r="N183" s="379">
        <f t="shared" si="20"/>
        <v>100</v>
      </c>
      <c r="O183" s="379"/>
      <c r="R183" s="1">
        <v>1991</v>
      </c>
      <c r="S183" s="5">
        <f>(O80*($E80/365))+(O81*($E81/365))</f>
        <v>38.4</v>
      </c>
      <c r="T183" s="5">
        <f>(P80*($E80/365))+(P81*($E81/365))</f>
        <v>0</v>
      </c>
      <c r="U183" s="5">
        <f>(Q80*($E80/365))+(Q81*($E81/365))</f>
        <v>0</v>
      </c>
      <c r="V183" s="5"/>
      <c r="W183" s="5">
        <f t="shared" si="22"/>
        <v>38.4</v>
      </c>
    </row>
    <row r="184" spans="1:23" x14ac:dyDescent="0.15">
      <c r="A184" s="1">
        <v>1992</v>
      </c>
      <c r="B184" s="5">
        <f>(K82*($E82/366))+(K83*($E83/366))</f>
        <v>100</v>
      </c>
      <c r="C184" s="5">
        <f>(L82*($E82/366))+(L83*($E83/366))</f>
        <v>0</v>
      </c>
      <c r="D184" s="5">
        <f>(M82*($E82/366))+(M83*($E83/366))</f>
        <v>0</v>
      </c>
      <c r="E184" s="18">
        <f t="shared" si="21"/>
        <v>100</v>
      </c>
      <c r="G184" s="1">
        <v>1992</v>
      </c>
      <c r="H184" s="409">
        <f>(O82/$R82*100*($E82/366))+(O83/$R83*100*($E83/366))</f>
        <v>100</v>
      </c>
      <c r="I184" s="409"/>
      <c r="J184" s="409">
        <f>(P82/$R82*100*($E82/366))+(P83/$R83*100*($E83/366))</f>
        <v>0</v>
      </c>
      <c r="K184" s="409"/>
      <c r="L184" s="409">
        <f>(Q82/$R82*100*($E82/366))+(Q83/$R83*100*($E83/366))</f>
        <v>0</v>
      </c>
      <c r="M184" s="409"/>
      <c r="N184" s="379">
        <f t="shared" ref="N184:N204" si="23">H184+J184+L184</f>
        <v>100</v>
      </c>
      <c r="O184" s="379"/>
      <c r="R184" s="1">
        <v>1992</v>
      </c>
      <c r="S184" s="5">
        <f>(O82*($E82/366))+(O83*($E83/366))</f>
        <v>38.738524590163934</v>
      </c>
      <c r="T184" s="5">
        <f>(P82*($E82/366))+(P83*($E83/366))</f>
        <v>0</v>
      </c>
      <c r="U184" s="5">
        <f>(Q82*($E82/366))+(Q83*($E83/366))</f>
        <v>0</v>
      </c>
      <c r="V184" s="5"/>
      <c r="W184" s="5">
        <f t="shared" si="22"/>
        <v>38.738524590163934</v>
      </c>
    </row>
    <row r="185" spans="1:23" x14ac:dyDescent="0.15">
      <c r="A185" s="1">
        <v>1993</v>
      </c>
      <c r="B185" s="5">
        <f>(K84*($E84/365))+(K85*($E85/365))</f>
        <v>5.2054794520547949</v>
      </c>
      <c r="C185" s="5">
        <f>(L84*($E84/365))+(L85*($E85/365))</f>
        <v>94.794520547945211</v>
      </c>
      <c r="D185" s="5">
        <f>(M84*($E84/365))+(M85*($E85/365))</f>
        <v>0</v>
      </c>
      <c r="E185" s="18">
        <f t="shared" si="21"/>
        <v>100</v>
      </c>
      <c r="G185" s="1">
        <v>1993</v>
      </c>
      <c r="H185" s="409">
        <f>(O84/$R84*100*($E84/365))+(O85/$R85*100*($E85/365))</f>
        <v>5.2054794520547949</v>
      </c>
      <c r="I185" s="409"/>
      <c r="J185" s="409">
        <f>(P84/$R84*100*($E84/365))+(P85/$R85*100*($E85/365))</f>
        <v>94.794520547945211</v>
      </c>
      <c r="K185" s="409"/>
      <c r="L185" s="409">
        <f>(Q84/$R84*100*($E84/365))+(Q85/$R85*100*($E85/365))</f>
        <v>0</v>
      </c>
      <c r="M185" s="409"/>
      <c r="N185" s="379">
        <f t="shared" si="23"/>
        <v>100</v>
      </c>
      <c r="O185" s="379"/>
      <c r="R185" s="1">
        <v>1993</v>
      </c>
      <c r="S185" s="5">
        <f>(O84*($E84/365))+(O85*($E85/365))</f>
        <v>2.1082191780821917</v>
      </c>
      <c r="T185" s="5">
        <f>(P84*($E84/365))+(P85*($E85/365))</f>
        <v>56.213150684931506</v>
      </c>
      <c r="U185" s="5">
        <f>(Q84*($E84/365))+(Q85*($E85/365))</f>
        <v>0</v>
      </c>
      <c r="V185" s="5"/>
      <c r="W185" s="5">
        <f t="shared" si="22"/>
        <v>58.3213698630137</v>
      </c>
    </row>
    <row r="186" spans="1:23" x14ac:dyDescent="0.15">
      <c r="A186" s="1">
        <v>1994</v>
      </c>
      <c r="B186" s="5">
        <f>(K86*($E86/365))+(K87*($E87/365))</f>
        <v>0</v>
      </c>
      <c r="C186" s="5">
        <f>(L86*($E86/365))+(L87*($E87/365))</f>
        <v>100.00000000000001</v>
      </c>
      <c r="D186" s="5">
        <f>(M86*($E86/365))+(M87*($E87/365))</f>
        <v>0</v>
      </c>
      <c r="E186" s="18">
        <f t="shared" si="21"/>
        <v>100.00000000000001</v>
      </c>
      <c r="G186" s="1">
        <v>1994</v>
      </c>
      <c r="H186" s="409">
        <f>(O86/$R86*100*($E86/365))+(O87/$R87*100*($E87/365))</f>
        <v>0</v>
      </c>
      <c r="I186" s="409"/>
      <c r="J186" s="409">
        <f>(P86/$R86*100*($E86/365))+(P87/$R87*100*($E87/365))</f>
        <v>100.00000000000001</v>
      </c>
      <c r="K186" s="409"/>
      <c r="L186" s="409">
        <f>(Q86/$R86*100*($E86/365))+(Q87/$R87*100*($E87/365))</f>
        <v>0</v>
      </c>
      <c r="M186" s="409"/>
      <c r="N186" s="379">
        <f t="shared" si="23"/>
        <v>100.00000000000001</v>
      </c>
      <c r="O186" s="379"/>
      <c r="R186" s="1">
        <v>1994</v>
      </c>
      <c r="S186" s="5">
        <f>(O86*($E86/365))+(O87*($E87/365))</f>
        <v>0</v>
      </c>
      <c r="T186" s="5">
        <f>(P86*($E86/365))+(P87*($E87/365))</f>
        <v>57.465479452054794</v>
      </c>
      <c r="U186" s="5">
        <f>(Q86*($E86/365))+(Q87*($E87/365))</f>
        <v>0</v>
      </c>
      <c r="V186" s="5"/>
      <c r="W186" s="5">
        <f t="shared" si="22"/>
        <v>57.465479452054794</v>
      </c>
    </row>
    <row r="187" spans="1:23" x14ac:dyDescent="0.15">
      <c r="A187" s="1">
        <v>1995</v>
      </c>
      <c r="B187" s="5">
        <f>(K88*($E88/365))+(K89*($E89/365))</f>
        <v>0</v>
      </c>
      <c r="C187" s="5">
        <f>(L88*($E88/365))+(L89*($E89/365))</f>
        <v>100</v>
      </c>
      <c r="D187" s="5">
        <f>(M88*($E88/365))+(M89*($E89/365))</f>
        <v>0</v>
      </c>
      <c r="E187" s="18">
        <f t="shared" si="21"/>
        <v>100</v>
      </c>
      <c r="G187" s="1">
        <v>1995</v>
      </c>
      <c r="H187" s="409">
        <f>(O88/$R88*100*($E88/365))+(O89/$R89*100*($E89/365))</f>
        <v>0</v>
      </c>
      <c r="I187" s="409"/>
      <c r="J187" s="409">
        <f>(P88/$R88*100*($E88/365))+(P89/$R89*100*($E89/365))</f>
        <v>100</v>
      </c>
      <c r="K187" s="409"/>
      <c r="L187" s="409">
        <f>(Q88/$R88*100*($E88/365))+(Q89/$R89*100*($E89/365))</f>
        <v>0</v>
      </c>
      <c r="M187" s="409"/>
      <c r="N187" s="379">
        <f t="shared" si="23"/>
        <v>100</v>
      </c>
      <c r="O187" s="379"/>
      <c r="R187" s="1">
        <v>1995</v>
      </c>
      <c r="S187" s="5">
        <f>(O88*($E88/365))+(O89*($E89/365))</f>
        <v>0</v>
      </c>
      <c r="T187" s="5">
        <f>(P88*($E88/365))+(P89*($E89/365))</f>
        <v>46.9</v>
      </c>
      <c r="U187" s="5">
        <f>(Q88*($E88/365))+(Q89*($E89/365))</f>
        <v>0</v>
      </c>
      <c r="V187" s="5"/>
      <c r="W187" s="5">
        <f t="shared" si="22"/>
        <v>46.9</v>
      </c>
    </row>
    <row r="188" spans="1:23" x14ac:dyDescent="0.15">
      <c r="A188" s="1">
        <v>1996</v>
      </c>
      <c r="B188" s="5">
        <f>(K90*($E90/366))+(K91*($E91/366))</f>
        <v>0</v>
      </c>
      <c r="C188" s="5">
        <f>(L90*($E90/366))+(L91*($E91/366))</f>
        <v>100</v>
      </c>
      <c r="D188" s="5">
        <f>(M90*($E90/366))+(M91*($E91/366))</f>
        <v>0</v>
      </c>
      <c r="E188" s="18">
        <f t="shared" si="21"/>
        <v>100</v>
      </c>
      <c r="G188" s="1">
        <v>1996</v>
      </c>
      <c r="H188" s="409">
        <f>(O90/$R90*100*($E90/366))+(O91/$R91*100*($E91/366))</f>
        <v>0</v>
      </c>
      <c r="I188" s="409"/>
      <c r="J188" s="409">
        <f>(P90/$R90*100*($E90/366))+(P91/$R91*100*($E91/366))</f>
        <v>100</v>
      </c>
      <c r="K188" s="409"/>
      <c r="L188" s="409">
        <f>(Q90/$R90*100*($E90/366))+(Q91/$R91*100*($E91/366))</f>
        <v>0</v>
      </c>
      <c r="M188" s="409"/>
      <c r="N188" s="379">
        <f t="shared" si="23"/>
        <v>100</v>
      </c>
      <c r="O188" s="379"/>
      <c r="R188" s="1">
        <v>1996</v>
      </c>
      <c r="S188" s="5">
        <f>(O90*($E90/366))+(O91*($E91/366))</f>
        <v>0</v>
      </c>
      <c r="T188" s="5">
        <f>(P90*($E90/366))+(P91*($E91/366))</f>
        <v>47.009016393442622</v>
      </c>
      <c r="U188" s="5">
        <f>(Q90*($E90/366))+(Q91*($E91/366))</f>
        <v>0</v>
      </c>
      <c r="V188" s="5"/>
      <c r="W188" s="5">
        <f t="shared" si="22"/>
        <v>47.009016393442622</v>
      </c>
    </row>
    <row r="189" spans="1:23" x14ac:dyDescent="0.15">
      <c r="A189" s="1">
        <v>1997</v>
      </c>
      <c r="B189" s="5">
        <f>(K92*($E92/365))+(K93*($E93/365))</f>
        <v>5.2663622526636225</v>
      </c>
      <c r="C189" s="5">
        <f>(L92*($E92/365))+(L93*($E93/365))</f>
        <v>94.733637747336374</v>
      </c>
      <c r="D189" s="5">
        <f>(M92*($E92/365))+(M93*($E93/365))</f>
        <v>0</v>
      </c>
      <c r="E189" s="18">
        <f t="shared" si="21"/>
        <v>100</v>
      </c>
      <c r="G189" s="1">
        <v>1997</v>
      </c>
      <c r="H189" s="409">
        <f>(O92/$R92*100*($E92/365))+(O93/$R93*100*($E93/365))</f>
        <v>0</v>
      </c>
      <c r="I189" s="409"/>
      <c r="J189" s="409">
        <f>(P92/$R92*100*($E92/365))+(P93/$R93*100*($E93/365))</f>
        <v>100</v>
      </c>
      <c r="K189" s="409"/>
      <c r="L189" s="409">
        <f>(Q92/$R92*100*($E92/365))+(Q93/$R93*100*($E93/365))</f>
        <v>0</v>
      </c>
      <c r="M189" s="409"/>
      <c r="N189" s="379">
        <f t="shared" si="23"/>
        <v>100</v>
      </c>
      <c r="O189" s="379"/>
      <c r="R189" s="1">
        <v>1997</v>
      </c>
      <c r="S189" s="5">
        <f>(O92*($E92/365))+(O93*($E93/365))</f>
        <v>0</v>
      </c>
      <c r="T189" s="5">
        <f>(P92*($E92/365))+(P93*($E93/365))</f>
        <v>47.6</v>
      </c>
      <c r="U189" s="5">
        <f>(Q92*($E92/365))+(Q93*($E93/365))</f>
        <v>0</v>
      </c>
      <c r="V189" s="5"/>
      <c r="W189" s="5">
        <f>S189+T189+U189</f>
        <v>47.6</v>
      </c>
    </row>
    <row r="190" spans="1:23" x14ac:dyDescent="0.15">
      <c r="A190" s="1">
        <v>1998</v>
      </c>
      <c r="B190" s="5">
        <f>(K94*($E94/365))+(K95*($E95/365))</f>
        <v>5.5555555555555554</v>
      </c>
      <c r="C190" s="5">
        <f>(L94*($E94/365))+(L95*($E95/365))</f>
        <v>94.444444444444443</v>
      </c>
      <c r="D190" s="5">
        <f>(M94*($E94/365))+(M95*($E95/365))</f>
        <v>0</v>
      </c>
      <c r="E190" s="18">
        <f t="shared" si="21"/>
        <v>100</v>
      </c>
      <c r="G190" s="1">
        <v>1998</v>
      </c>
      <c r="H190" s="409">
        <f>(O94/$R94*100*($E94/365))+(O95/$R95*100*($E95/365))</f>
        <v>0</v>
      </c>
      <c r="I190" s="409"/>
      <c r="J190" s="409">
        <f>(P94/$R94*100*($E94/365))+(P95/$R95*100*($E95/365))</f>
        <v>100</v>
      </c>
      <c r="K190" s="409"/>
      <c r="L190" s="409">
        <f>(Q94/$R94*100*($E94/365))+(Q95/$R95*100*($E95/365))</f>
        <v>0</v>
      </c>
      <c r="M190" s="409"/>
      <c r="N190" s="379">
        <f t="shared" si="23"/>
        <v>100</v>
      </c>
      <c r="O190" s="379"/>
      <c r="R190" s="1">
        <v>1998</v>
      </c>
      <c r="S190" s="5">
        <f>(O94*($E94/365))+(O95*($E95/365))</f>
        <v>0</v>
      </c>
      <c r="T190" s="5">
        <f>(P94*($E94/365))+(P95*($E95/365))</f>
        <v>47.745479452054795</v>
      </c>
      <c r="U190" s="5">
        <f>(Q94*($E94/365))+(Q95*($E95/365))</f>
        <v>0</v>
      </c>
      <c r="V190" s="5"/>
      <c r="W190" s="5">
        <f t="shared" si="22"/>
        <v>47.745479452054795</v>
      </c>
    </row>
    <row r="191" spans="1:23" x14ac:dyDescent="0.15">
      <c r="A191" s="1">
        <v>1999</v>
      </c>
      <c r="B191" s="5">
        <f>(K96*($E96/365))+(K97*($E97/365))</f>
        <v>5.5555555555555554</v>
      </c>
      <c r="C191" s="5">
        <f>(L96*($E96/365))+(L97*($E97/365))</f>
        <v>94.444444444444443</v>
      </c>
      <c r="D191" s="5">
        <f>(M96*($E96/365))+(M97*($E97/365))</f>
        <v>0</v>
      </c>
      <c r="E191" s="18">
        <f t="shared" si="21"/>
        <v>100</v>
      </c>
      <c r="G191" s="1">
        <v>1999</v>
      </c>
      <c r="H191" s="409">
        <f>(O96/$R96*100*($E96/365))+(O97/$R97*100*($E97/365))</f>
        <v>0</v>
      </c>
      <c r="I191" s="409"/>
      <c r="J191" s="409">
        <f>(P96/$R96*100*($E96/365))+(P97/$R97*100*($E97/365))</f>
        <v>100</v>
      </c>
      <c r="K191" s="409"/>
      <c r="L191" s="409">
        <f>(Q96/$R96*100*($E96/365))+(Q97/$R97*100*($E97/365))</f>
        <v>0</v>
      </c>
      <c r="M191" s="409"/>
      <c r="N191" s="379">
        <f t="shared" si="23"/>
        <v>100</v>
      </c>
      <c r="O191" s="379"/>
      <c r="R191" s="1">
        <v>1999</v>
      </c>
      <c r="S191" s="5">
        <f>(O96*($E96/365))+(O97*($E97/365))</f>
        <v>0</v>
      </c>
      <c r="T191" s="5">
        <f>(P96*($E96/365))+(P97*($E97/365))</f>
        <v>48.5</v>
      </c>
      <c r="U191" s="5">
        <f>(Q96*($E96/365))+(Q97*($E97/365))</f>
        <v>0</v>
      </c>
      <c r="V191" s="5"/>
      <c r="W191" s="5">
        <f t="shared" si="22"/>
        <v>48.5</v>
      </c>
    </row>
    <row r="192" spans="1:23" x14ac:dyDescent="0.15">
      <c r="A192" s="1">
        <v>2000</v>
      </c>
      <c r="B192" s="5">
        <f>(K98*($E98/366))+(K99*($E99/366))</f>
        <v>5.5555555555555554</v>
      </c>
      <c r="C192" s="5">
        <f>(L98*($E98/366))+(L99*($E99/366))</f>
        <v>94.444444444444443</v>
      </c>
      <c r="D192" s="5">
        <f>(M98*($E98/366))+(M99*($E99/366))</f>
        <v>0</v>
      </c>
      <c r="E192" s="18">
        <f t="shared" si="21"/>
        <v>100</v>
      </c>
      <c r="G192" s="1">
        <v>2000</v>
      </c>
      <c r="H192" s="409">
        <f>(O98/$R98*100*($E98/366))+(O99/$R99*100*($E99/366))</f>
        <v>0</v>
      </c>
      <c r="I192" s="409"/>
      <c r="J192" s="409">
        <f>(P98/$R98*100*($E98/366))+(P99/$R99*100*($E99/366))</f>
        <v>100.00000000000001</v>
      </c>
      <c r="K192" s="409"/>
      <c r="L192" s="409">
        <f>(Q98/$R98*100*($E98/366))+(Q99/$R99*100*($E99/366))</f>
        <v>0</v>
      </c>
      <c r="M192" s="409"/>
      <c r="N192" s="379">
        <f t="shared" si="23"/>
        <v>100.00000000000001</v>
      </c>
      <c r="O192" s="379"/>
      <c r="R192" s="1">
        <v>2000</v>
      </c>
      <c r="S192" s="5">
        <f>(O98*($E98/366))+(O99*($E99/366))</f>
        <v>0</v>
      </c>
      <c r="T192" s="5">
        <f>(P98*($E98/366))+(P99*($E99/366))</f>
        <v>48.53005464480875</v>
      </c>
      <c r="U192" s="5">
        <f>(Q98*($E98/366))+(Q99*($E99/366))</f>
        <v>0</v>
      </c>
      <c r="V192" s="5"/>
      <c r="W192" s="5">
        <f t="shared" si="22"/>
        <v>48.53005464480875</v>
      </c>
    </row>
    <row r="193" spans="1:23" x14ac:dyDescent="0.15">
      <c r="A193" s="1">
        <v>2001</v>
      </c>
      <c r="B193" s="5">
        <f>(K100*($E100/365))+(K101*($E101/365))</f>
        <v>89.817351598173516</v>
      </c>
      <c r="C193" s="5">
        <f>(L100*($E100/365))+(L101*($E101/365))</f>
        <v>10.182648401826484</v>
      </c>
      <c r="D193" s="5">
        <f>(M100*($E100/365))+(M101*($E101/365))</f>
        <v>0</v>
      </c>
      <c r="E193" s="18">
        <f t="shared" si="21"/>
        <v>100</v>
      </c>
      <c r="G193" s="1">
        <v>2001</v>
      </c>
      <c r="H193" s="409">
        <f>(O100/$R100*100*($E100/365))+(O101/$R101*100*($E101/365))</f>
        <v>94.794520547945211</v>
      </c>
      <c r="I193" s="409"/>
      <c r="J193" s="409">
        <f>(P100/$R100*100*($E100/365))+(P101/$R101*100*($E101/365))</f>
        <v>5.2054794520547949</v>
      </c>
      <c r="K193" s="409"/>
      <c r="L193" s="409">
        <f>(Q100/$R100*100*($E100/365))+(Q101/$R101*100*($E101/365))</f>
        <v>0</v>
      </c>
      <c r="M193" s="409"/>
      <c r="N193" s="379">
        <f t="shared" si="23"/>
        <v>100</v>
      </c>
      <c r="O193" s="379"/>
      <c r="R193" s="1">
        <v>2001</v>
      </c>
      <c r="S193" s="5">
        <f>(O100*($E100/365))+(O101*($E101/365))</f>
        <v>48.155616438356162</v>
      </c>
      <c r="T193" s="5">
        <f>(P100*($E100/365))+(P101*($E101/365))</f>
        <v>2.5350684931506851</v>
      </c>
      <c r="U193" s="5">
        <f>(Q100*($E100/365))+(Q101*($E101/365))</f>
        <v>0</v>
      </c>
      <c r="V193" s="5"/>
      <c r="W193" s="5">
        <f t="shared" si="22"/>
        <v>50.690684931506844</v>
      </c>
    </row>
    <row r="194" spans="1:23" x14ac:dyDescent="0.15">
      <c r="A194" s="1">
        <v>2002</v>
      </c>
      <c r="B194" s="5">
        <f>(K102*($E102/365))+(K103*($E103/365))</f>
        <v>94.444444444444443</v>
      </c>
      <c r="C194" s="5">
        <f>(L102*($E102/365))+(L103*($E103/365))</f>
        <v>5.5555555555555545</v>
      </c>
      <c r="D194" s="5">
        <f>(M102*($E102/365))+(M103*($E103/365))</f>
        <v>0</v>
      </c>
      <c r="E194" s="18">
        <f t="shared" si="21"/>
        <v>100</v>
      </c>
      <c r="G194" s="1">
        <v>2002</v>
      </c>
      <c r="H194" s="409">
        <f>(O102/$R102*100*($E102/365))+(O103/$R103*100*($E103/365))</f>
        <v>100</v>
      </c>
      <c r="I194" s="409"/>
      <c r="J194" s="409">
        <f>(P102/$R102*100*($E102/365))+(P103/$R103*100*($E103/365))</f>
        <v>0</v>
      </c>
      <c r="K194" s="409"/>
      <c r="L194" s="409">
        <f>(Q102/$R102*100*($E102/365))+(Q103/$R103*100*($E103/365))</f>
        <v>0</v>
      </c>
      <c r="M194" s="409"/>
      <c r="N194" s="379">
        <f t="shared" si="23"/>
        <v>100</v>
      </c>
      <c r="O194" s="379"/>
      <c r="R194" s="1">
        <v>2002</v>
      </c>
      <c r="S194" s="5">
        <f>(O102*($E102/365))+(O103*($E103/365))</f>
        <v>51.081095890410957</v>
      </c>
      <c r="T194" s="5">
        <f>(P102*($E102/365))+(P103*($E103/365))</f>
        <v>0</v>
      </c>
      <c r="U194" s="5">
        <f>(Q102*($E102/365))+(Q103*($E103/365))</f>
        <v>0</v>
      </c>
      <c r="V194" s="5"/>
      <c r="W194" s="5">
        <f t="shared" si="22"/>
        <v>51.081095890410957</v>
      </c>
    </row>
    <row r="195" spans="1:23" x14ac:dyDescent="0.15">
      <c r="A195" s="1">
        <v>2003</v>
      </c>
      <c r="B195" s="5">
        <f>(K104*($E104/365))+(K105*($E105/365))</f>
        <v>94.720019226147556</v>
      </c>
      <c r="C195" s="5">
        <f>(L104*($E104/365))+(L105*($E105/365))</f>
        <v>5.2799807738524391</v>
      </c>
      <c r="D195" s="5">
        <f>(M104*($E104/365))+(M105*($E105/365))</f>
        <v>0</v>
      </c>
      <c r="E195" s="18">
        <f t="shared" si="21"/>
        <v>100</v>
      </c>
      <c r="G195" s="1">
        <v>2003</v>
      </c>
      <c r="H195" s="409">
        <f>(O104/$R104*100*($E104/365))+(O105/$R105*100*($E105/365))</f>
        <v>100</v>
      </c>
      <c r="I195" s="409"/>
      <c r="J195" s="409">
        <f>(P104/$R104*100*($E104/365))+(P105/$R105*100*($E105/365))</f>
        <v>0</v>
      </c>
      <c r="K195" s="409"/>
      <c r="L195" s="409">
        <f>(Q104/$R104*100*($E104/365))+(Q105/$R105*100*($E105/365))</f>
        <v>0</v>
      </c>
      <c r="M195" s="409"/>
      <c r="N195" s="379">
        <f t="shared" si="23"/>
        <v>100</v>
      </c>
      <c r="O195" s="379"/>
      <c r="R195" s="1">
        <v>2003</v>
      </c>
      <c r="S195" s="5">
        <f>(O104*($E104/365))+(O105*($E105/365))</f>
        <v>52.6</v>
      </c>
      <c r="T195" s="5">
        <f>(P104*($E104/365))+(P105*($E105/365))</f>
        <v>0</v>
      </c>
      <c r="U195" s="5">
        <f>(Q104*($E104/365))+(Q105*($E105/365))</f>
        <v>0</v>
      </c>
      <c r="V195" s="5"/>
      <c r="W195" s="5">
        <f t="shared" si="22"/>
        <v>52.6</v>
      </c>
    </row>
    <row r="196" spans="1:23" x14ac:dyDescent="0.15">
      <c r="A196" s="1">
        <v>2004</v>
      </c>
      <c r="B196" s="5">
        <f>(K106*($E106/366))+(K107*($E107/366))</f>
        <v>94.73684210526315</v>
      </c>
      <c r="C196" s="5">
        <f>(L106*($E106/366))+(L107*($E107/366))</f>
        <v>5.2631578947368425</v>
      </c>
      <c r="D196" s="5">
        <f>(M106*($E106/366))+(M107*($E107/366))</f>
        <v>0</v>
      </c>
      <c r="E196" s="18">
        <f t="shared" si="21"/>
        <v>100</v>
      </c>
      <c r="G196" s="1">
        <v>2004</v>
      </c>
      <c r="H196" s="409">
        <f>(O106/$R106*100*($E106/366))+(O107/$R107*100*($E107/366))</f>
        <v>100</v>
      </c>
      <c r="I196" s="409"/>
      <c r="J196" s="409">
        <f>(P106/$R106*100*($E106/366))+(P107/$R107*100*($E107/366))</f>
        <v>0</v>
      </c>
      <c r="K196" s="409"/>
      <c r="L196" s="409">
        <f>(Q106/$R106*100*($E106/366))+(Q107/$R107*100*($E107/366))</f>
        <v>0</v>
      </c>
      <c r="M196" s="409"/>
      <c r="N196" s="379">
        <f t="shared" si="23"/>
        <v>100</v>
      </c>
      <c r="O196" s="379"/>
      <c r="R196" s="1">
        <v>2004</v>
      </c>
      <c r="S196" s="5">
        <f>(O106*($E106/366))+(O107*($E107/366))</f>
        <v>52.68196721311476</v>
      </c>
      <c r="T196" s="5">
        <f>(P106*($E106/366))+(P107*($E107/366))</f>
        <v>0</v>
      </c>
      <c r="U196" s="5">
        <f>(Q106*($E106/366))+(Q107*($E107/366))</f>
        <v>0</v>
      </c>
      <c r="V196" s="5"/>
      <c r="W196" s="5">
        <f t="shared" si="22"/>
        <v>52.68196721311476</v>
      </c>
    </row>
    <row r="197" spans="1:23" x14ac:dyDescent="0.15">
      <c r="A197" s="1">
        <v>2005</v>
      </c>
      <c r="B197" s="5">
        <f>(K108*($E108/365))+(K109*($E109/365))</f>
        <v>95.417185554171851</v>
      </c>
      <c r="C197" s="5">
        <f>(L108*($E108/365))+(L109*($E109/365))</f>
        <v>4.582814445828145</v>
      </c>
      <c r="D197" s="5">
        <f>(M108*($E108/365))+(M109*($E109/365))</f>
        <v>0</v>
      </c>
      <c r="E197" s="18">
        <f t="shared" si="21"/>
        <v>100</v>
      </c>
      <c r="G197" s="1">
        <v>2005</v>
      </c>
      <c r="H197" s="409">
        <f>(O108/$R108*100*($E108/365))+(O109/$R109*100*($E109/365))</f>
        <v>100</v>
      </c>
      <c r="I197" s="409"/>
      <c r="J197" s="409">
        <f>(P108/$R108*100*($E108/365))+(P109/$R109*100*($E109/365))</f>
        <v>0</v>
      </c>
      <c r="K197" s="409"/>
      <c r="L197" s="409">
        <f>(Q108/$R108*100*($E108/365))+(Q109/$R109*100*($E109/365))</f>
        <v>0</v>
      </c>
      <c r="M197" s="409"/>
      <c r="N197" s="379">
        <f t="shared" si="23"/>
        <v>100</v>
      </c>
      <c r="O197" s="379"/>
      <c r="R197" s="1">
        <v>2005</v>
      </c>
      <c r="S197" s="5">
        <f>(O108*($E108/365))+(O109*($E109/365))</f>
        <v>53.1</v>
      </c>
      <c r="T197" s="5">
        <f>(P108*($E108/365))+(P109*($E109/365))</f>
        <v>0</v>
      </c>
      <c r="U197" s="5">
        <f>(Q108*($E108/365))+(Q109*($E109/365))</f>
        <v>0</v>
      </c>
      <c r="V197" s="5"/>
      <c r="W197" s="5">
        <f t="shared" si="22"/>
        <v>53.1</v>
      </c>
    </row>
    <row r="198" spans="1:23" x14ac:dyDescent="0.15">
      <c r="A198" s="1">
        <v>2006</v>
      </c>
      <c r="B198" s="5">
        <f>(K110*($E110/365))+(K111*($E111/365))+(K112*($E112/365))</f>
        <v>96.612702366127024</v>
      </c>
      <c r="C198" s="5">
        <f>(L110*($E110/365))+(L111*($E111/365))+(L112*($E112/365))</f>
        <v>3.387297633872977</v>
      </c>
      <c r="D198" s="5">
        <f>(M110*($E110/365))+(M111*($E111/365))+(M112*($E112/365))</f>
        <v>0</v>
      </c>
      <c r="E198" s="18">
        <f t="shared" si="21"/>
        <v>100</v>
      </c>
      <c r="G198" s="1">
        <v>2006</v>
      </c>
      <c r="H198" s="409">
        <f>(O110/$R110*100*($E110/365))+(O111/$R111*100*($E111/365))+(O112/$R112*100*($E112/365))</f>
        <v>100</v>
      </c>
      <c r="I198" s="409"/>
      <c r="J198" s="409">
        <f>(P110/$R110*100*($E110/365))+(P111/$R111*100*($E111/365))+(P112/$R112*100*($E112/365))</f>
        <v>0</v>
      </c>
      <c r="K198" s="409"/>
      <c r="L198" s="409">
        <f>(Q110/$R110*100*($E110/365))+(Q111/$R111*100*($E111/365))+(Q112/$R112*100*($E112/365))</f>
        <v>0</v>
      </c>
      <c r="M198" s="409"/>
      <c r="N198" s="379">
        <f t="shared" si="23"/>
        <v>100</v>
      </c>
      <c r="O198" s="379"/>
      <c r="R198" s="1">
        <v>2006</v>
      </c>
      <c r="S198" s="5">
        <f>(O110*($E110/365))+(O111*($E111/365))+(O112*($E112/365))</f>
        <v>52.090410958904108</v>
      </c>
      <c r="T198" s="5">
        <f>(P110*($E110/365))+(P111*($E111/365))+(P112*($E112/365))</f>
        <v>0</v>
      </c>
      <c r="U198" s="5">
        <f>(Q110*($E110/365))+(Q111*($E111/365))+(Q112*($E112/365))</f>
        <v>0</v>
      </c>
      <c r="V198" s="5"/>
      <c r="W198" s="5">
        <f>S198+T198+U198</f>
        <v>52.090410958904108</v>
      </c>
    </row>
    <row r="199" spans="1:23" x14ac:dyDescent="0.15">
      <c r="A199" s="1">
        <v>2007</v>
      </c>
      <c r="B199" s="5">
        <f>(K113*($E113/365))+(K114*($E114/365))</f>
        <v>100</v>
      </c>
      <c r="C199" s="5">
        <f>(L113*($E113/365))+(L114*($E114/365))</f>
        <v>0</v>
      </c>
      <c r="D199" s="5">
        <f>(M113*($E113/365))+(M114*($E114/365))</f>
        <v>0</v>
      </c>
      <c r="E199" s="18">
        <f t="shared" si="21"/>
        <v>100</v>
      </c>
      <c r="G199" s="1">
        <v>2007</v>
      </c>
      <c r="H199" s="409">
        <f>(O113/$R113*100*($E113/365))+(O114/$R114*100*($E114/365))</f>
        <v>100</v>
      </c>
      <c r="I199" s="409"/>
      <c r="J199" s="409">
        <f>(P113/$R113*100*($E113/365))+(P114/$R114*100*($E114/365))</f>
        <v>0</v>
      </c>
      <c r="K199" s="409"/>
      <c r="L199" s="409">
        <f>(Q113/$R113*100*($E113/365))+(Q114/$R114*100*($E114/365))</f>
        <v>0</v>
      </c>
      <c r="M199" s="409"/>
      <c r="N199" s="379">
        <f t="shared" si="23"/>
        <v>100</v>
      </c>
      <c r="O199" s="379"/>
      <c r="R199" s="1">
        <v>2007</v>
      </c>
      <c r="S199" s="5">
        <f>(O113*($E113/365))+(O114*($E114/365))</f>
        <v>46.4</v>
      </c>
      <c r="T199" s="5">
        <f>(P113*($E113/365))+(P114*($E114/365))</f>
        <v>0</v>
      </c>
      <c r="U199" s="5">
        <f>(Q113*($E113/365))+(Q114*($E114/365))</f>
        <v>0</v>
      </c>
      <c r="V199" s="5"/>
      <c r="W199" s="5">
        <f t="shared" si="22"/>
        <v>46.4</v>
      </c>
    </row>
    <row r="200" spans="1:23" x14ac:dyDescent="0.15">
      <c r="A200" s="1">
        <v>2008</v>
      </c>
      <c r="B200" s="5">
        <f>(K115*($E115/366))+(K116*($E116/366))</f>
        <v>100.00000000000001</v>
      </c>
      <c r="C200" s="5">
        <f>(L115*($E115/366))+(L116*($E116/366))</f>
        <v>0</v>
      </c>
      <c r="D200" s="5">
        <f>(M115*($E115/366))+(M116*($E116/366))</f>
        <v>0</v>
      </c>
      <c r="E200" s="18">
        <f t="shared" si="21"/>
        <v>100.00000000000001</v>
      </c>
      <c r="G200" s="1">
        <v>2008</v>
      </c>
      <c r="H200" s="409">
        <f>(O115/$R115*100*($E115/366))+(O116/$R116*100*($E116/366))</f>
        <v>100.00000000000001</v>
      </c>
      <c r="I200" s="409"/>
      <c r="J200" s="409">
        <f>(P115/$R115*100*($E115/366))+(P116/$R116*100*($E116/366))</f>
        <v>0</v>
      </c>
      <c r="K200" s="409"/>
      <c r="L200" s="409">
        <f>(Q115/$R115*100*($E115/366))+(Q116/$R116*100*($E116/366))</f>
        <v>0</v>
      </c>
      <c r="M200" s="409"/>
      <c r="N200" s="379">
        <f t="shared" si="23"/>
        <v>100.00000000000001</v>
      </c>
      <c r="O200" s="379"/>
      <c r="R200" s="1">
        <v>2008</v>
      </c>
      <c r="S200" s="5">
        <f>(O115*($E115/366))+(O116*($E116/366))</f>
        <v>45.528415300546449</v>
      </c>
      <c r="T200" s="5">
        <f>(P115*($E115/366))+(P116*($E116/366))</f>
        <v>0</v>
      </c>
      <c r="U200" s="5">
        <f>(Q115*($E115/366))+(Q116*($E116/366))</f>
        <v>0</v>
      </c>
      <c r="V200" s="5"/>
      <c r="W200" s="5">
        <f t="shared" si="22"/>
        <v>45.528415300546449</v>
      </c>
    </row>
    <row r="201" spans="1:23" x14ac:dyDescent="0.15">
      <c r="A201" s="1">
        <v>2009</v>
      </c>
      <c r="B201" s="5">
        <f>(K117*($E117/365))+(K118*($E118/365))</f>
        <v>16.357775987107171</v>
      </c>
      <c r="C201" s="5">
        <f>(L117*($E117/365))+(L118*($E118/365))</f>
        <v>83.642224012892825</v>
      </c>
      <c r="D201" s="5">
        <f>(M117*($E117/365))+(M118*($E118/365))</f>
        <v>0</v>
      </c>
      <c r="E201" s="18">
        <f t="shared" si="21"/>
        <v>100</v>
      </c>
      <c r="G201" s="1">
        <v>2009</v>
      </c>
      <c r="H201" s="409">
        <f>(O117/$R117*100*($E117/365))+(O118/$R118*100*($E118/365))</f>
        <v>5.2054794520547949</v>
      </c>
      <c r="I201" s="409"/>
      <c r="J201" s="409">
        <f>(P117/$R117*100*($E117/365))+(P118/$R118*100*($E118/365))</f>
        <v>94.794520547945211</v>
      </c>
      <c r="K201" s="409"/>
      <c r="L201" s="409">
        <f>(Q117/$R117*100*($E117/365))+(Q118/$R118*100*($E118/365))</f>
        <v>0</v>
      </c>
      <c r="M201" s="409"/>
      <c r="N201" s="379">
        <f t="shared" si="23"/>
        <v>100</v>
      </c>
      <c r="O201" s="379"/>
      <c r="R201" s="1">
        <v>2009</v>
      </c>
      <c r="S201" s="5">
        <f>(O117*($E117/365))+(O118*($E118/365))</f>
        <v>2.1290410958904111</v>
      </c>
      <c r="T201" s="5">
        <f>(P117*($E117/365))+(P118*($E118/365))</f>
        <v>56.02356164383562</v>
      </c>
      <c r="U201" s="5">
        <f>(Q117*($E117/365))+(Q118*($E118/365))</f>
        <v>0</v>
      </c>
      <c r="V201" s="5"/>
      <c r="W201" s="5">
        <f t="shared" si="22"/>
        <v>58.152602739726035</v>
      </c>
    </row>
    <row r="202" spans="1:23" x14ac:dyDescent="0.15">
      <c r="A202" s="1">
        <v>2010</v>
      </c>
      <c r="B202" s="5">
        <f>(K119*($E119/365))+(K120*($E120/365))</f>
        <v>11.764705882352938</v>
      </c>
      <c r="C202" s="5">
        <f>(L119*($E119/365))+(L120*($E120/365))</f>
        <v>88.235294117647058</v>
      </c>
      <c r="D202" s="5">
        <f>(M119*($E119/365))+(M120*($E120/365))</f>
        <v>0</v>
      </c>
      <c r="E202" s="18">
        <f t="shared" si="21"/>
        <v>100</v>
      </c>
      <c r="G202" s="1">
        <v>2010</v>
      </c>
      <c r="H202" s="409">
        <f>(O119/$R119*100*($E119/365))+(O120/$R120*100*($E120/365))</f>
        <v>0</v>
      </c>
      <c r="I202" s="409"/>
      <c r="J202" s="409">
        <f>(P119/$R119*100*($E119/365))+(P120/$R120*100*($E120/365))</f>
        <v>100</v>
      </c>
      <c r="K202" s="409"/>
      <c r="L202" s="409">
        <f>(Q119/$R119*100*($E119/365))+(Q120/$R120*100*($E120/365))</f>
        <v>0</v>
      </c>
      <c r="M202" s="409"/>
      <c r="N202" s="379">
        <f t="shared" si="23"/>
        <v>100</v>
      </c>
      <c r="O202" s="379"/>
      <c r="R202" s="1">
        <v>2010</v>
      </c>
      <c r="S202" s="5">
        <f>(O119*($E119/365))+(O120*($E120/365))</f>
        <v>0</v>
      </c>
      <c r="T202" s="5">
        <f>(P119*($E119/365))+(P120*($E120/365))</f>
        <v>56.683561643835617</v>
      </c>
      <c r="U202" s="5">
        <f>(Q119*($E119/365))+(Q120*($E120/365))</f>
        <v>0</v>
      </c>
      <c r="V202" s="5"/>
      <c r="W202" s="5">
        <f t="shared" si="22"/>
        <v>56.683561643835617</v>
      </c>
    </row>
    <row r="203" spans="1:23" x14ac:dyDescent="0.15">
      <c r="A203" s="1">
        <v>2011</v>
      </c>
      <c r="B203" s="5">
        <f>(K121*($E121/365))+(K122*($E122/365))</f>
        <v>8.7993553585817885</v>
      </c>
      <c r="C203" s="5">
        <f>(L121*($E121/365))+(L122*($E122/365))</f>
        <v>91.200644641418208</v>
      </c>
      <c r="D203" s="5">
        <f>(M121*($E121/365))+(M122*($E122/365))</f>
        <v>0</v>
      </c>
      <c r="E203" s="18">
        <f t="shared" si="21"/>
        <v>100</v>
      </c>
      <c r="G203" s="1">
        <v>2011</v>
      </c>
      <c r="H203" s="409">
        <f>(O121/$R121*100*($E121/365))+(O122/$R122*100*($E122/365))</f>
        <v>0</v>
      </c>
      <c r="I203" s="409"/>
      <c r="J203" s="409">
        <f>(P121/$R121*100*($E121/365))+(P122/$R122*100*($E122/365))</f>
        <v>100</v>
      </c>
      <c r="K203" s="409"/>
      <c r="L203" s="409">
        <f>(Q121/$R121*100*($E121/365))+(Q122/$R122*100*($E122/365))</f>
        <v>0</v>
      </c>
      <c r="M203" s="409"/>
      <c r="N203" s="379">
        <f t="shared" si="23"/>
        <v>100</v>
      </c>
      <c r="O203" s="379"/>
      <c r="R203" s="1">
        <v>2011</v>
      </c>
      <c r="S203" s="5">
        <f>(O121*($E121/365))+(O122*($E122/365))</f>
        <v>0</v>
      </c>
      <c r="T203" s="5">
        <f>(P121*($E121/365))+(P122*($E122/365))</f>
        <v>44.4</v>
      </c>
      <c r="U203" s="5">
        <f>(Q121*($E121/365))+(Q122*($E122/365))</f>
        <v>0</v>
      </c>
      <c r="V203" s="5"/>
      <c r="W203" s="5">
        <f t="shared" si="22"/>
        <v>44.4</v>
      </c>
    </row>
    <row r="204" spans="1:23" x14ac:dyDescent="0.15">
      <c r="A204" s="1">
        <v>2012</v>
      </c>
      <c r="B204" s="5">
        <f>(K123*($E123/366))+(K124*($E124/366))</f>
        <v>5.882352941176471</v>
      </c>
      <c r="C204" s="5">
        <f>(L123*($E123/366))+(L124*($E124/366))</f>
        <v>94.117647058823536</v>
      </c>
      <c r="D204" s="5">
        <f>(M123*($E123/366))+(M124*($E124/366))</f>
        <v>0</v>
      </c>
      <c r="E204" s="18">
        <f t="shared" si="21"/>
        <v>100</v>
      </c>
      <c r="G204" s="1">
        <v>2012</v>
      </c>
      <c r="H204" s="409">
        <f>(O123/$R123*100*($E123/366))+(O124/$R124*100*($E124/366))</f>
        <v>0</v>
      </c>
      <c r="I204" s="409"/>
      <c r="J204" s="409">
        <f>(P123/$R123*100*($E123/366))+(P124/$R124*100*($E124/366))</f>
        <v>100</v>
      </c>
      <c r="K204" s="409"/>
      <c r="L204" s="409">
        <f>(Q123/$R123*100*($E123/366))+(Q124/$R124*100*($E124/366))</f>
        <v>0</v>
      </c>
      <c r="M204" s="409"/>
      <c r="N204" s="379">
        <f t="shared" si="23"/>
        <v>100</v>
      </c>
      <c r="O204" s="379"/>
      <c r="R204" s="1">
        <v>2012</v>
      </c>
      <c r="S204" s="5">
        <f>(O123*($E123/366))+(O124*($E124/366))</f>
        <v>0</v>
      </c>
      <c r="T204" s="5">
        <f>(P123*($E123/366))+(P124*($E124/366))</f>
        <v>44.675409836065569</v>
      </c>
      <c r="U204" s="5">
        <f>(Q123*($E123/366))+(Q124*($E124/366))</f>
        <v>0</v>
      </c>
      <c r="V204" s="5"/>
      <c r="W204" s="5">
        <f t="shared" si="22"/>
        <v>44.675409836065569</v>
      </c>
    </row>
    <row r="205" spans="1:23" x14ac:dyDescent="0.15">
      <c r="A205" s="1">
        <v>2013</v>
      </c>
      <c r="B205" s="5">
        <f>(K125*($E125/365))+(K126*($E126/365))</f>
        <v>5.8823529411764701</v>
      </c>
      <c r="C205" s="5">
        <f>(L125*($E125/365))+(L126*($E126/365))</f>
        <v>94.117647058823522</v>
      </c>
      <c r="D205" s="5">
        <f>(M125*($E125/365))+(M126*($E126/365))</f>
        <v>0</v>
      </c>
      <c r="E205" s="18">
        <f t="shared" si="21"/>
        <v>99.999999999999986</v>
      </c>
      <c r="G205" s="1">
        <v>2013</v>
      </c>
      <c r="H205" s="409">
        <f>(O125/$R125*100*($E125/365))+(O126/$R126*100*($E126/365))</f>
        <v>0</v>
      </c>
      <c r="I205" s="409"/>
      <c r="J205" s="409">
        <f>(P125/$R125*100*($E125/365))+(P126/$R126*100*($E126/365))</f>
        <v>100</v>
      </c>
      <c r="K205" s="409"/>
      <c r="L205" s="409">
        <f>(Q125/$R125*100*($E125/365))+(Q126/$R126*100*($E126/365))</f>
        <v>0</v>
      </c>
      <c r="M205" s="409"/>
      <c r="N205" s="379">
        <f>H205+J205+L205</f>
        <v>100</v>
      </c>
      <c r="O205" s="379"/>
      <c r="R205" s="1">
        <v>2013</v>
      </c>
      <c r="S205" s="5">
        <f>(O125*($E125/365))+(O126*($E126/365))</f>
        <v>0</v>
      </c>
      <c r="T205" s="5">
        <f>(P125*($E125/365))+(P126*($E126/365))</f>
        <v>46.2</v>
      </c>
      <c r="U205" s="5">
        <f>(Q125*($E125/365))+(Q126*($E126/365))</f>
        <v>0</v>
      </c>
      <c r="W205" s="5">
        <f t="shared" si="22"/>
        <v>46.2</v>
      </c>
    </row>
    <row r="206" spans="1:23" x14ac:dyDescent="0.15">
      <c r="A206" s="1">
        <v>2014</v>
      </c>
      <c r="B206" s="5">
        <f>(K127*($E127/365))+(K128*($E128/365))+(K129*($E129/365))</f>
        <v>8.3964544721998386</v>
      </c>
      <c r="C206" s="5">
        <f>(L127*($E127/365))+(L128*($E128/365))+(L129*($E129/365))</f>
        <v>91.603545527800151</v>
      </c>
      <c r="D206" s="5">
        <f>(M127*($E127/365))+(M128*($E128/365))+(M129*($E129/365))</f>
        <v>0</v>
      </c>
      <c r="E206" s="18">
        <f>B206+C206+D206</f>
        <v>99.999999999999986</v>
      </c>
      <c r="G206" s="1">
        <v>2014</v>
      </c>
      <c r="H206" s="409">
        <f>(O127/$R127*100*($E127/365))+(O128/$R128*100*($E128/365))+(O129/$R129*100*($E129/365))</f>
        <v>0</v>
      </c>
      <c r="I206" s="409"/>
      <c r="J206" s="409">
        <f>(P127/$R127*100*($E127/365))+(P128/$R128*100*($E128/365))+(P129/$R129*100*($E129/365))</f>
        <v>100</v>
      </c>
      <c r="K206" s="409"/>
      <c r="L206" s="409">
        <f>(Q127/$R127*100*($E127/365))+(Q128/$R128*100*($E128/365))+(Q129/$R129*100*($E129/365))</f>
        <v>0</v>
      </c>
      <c r="M206" s="409"/>
      <c r="N206" s="379">
        <f>H206+J206+L206</f>
        <v>100</v>
      </c>
      <c r="O206" s="379"/>
      <c r="R206" s="1">
        <v>2014</v>
      </c>
      <c r="S206" s="5">
        <f>(O127*($E127/365))+(O128*($E128/365))+(O129*($E129/365))</f>
        <v>0</v>
      </c>
      <c r="T206" s="5">
        <f>(P127*($E127/365))+(P128*($E128/365))+(P129*($E129/365))</f>
        <v>45.723287671232882</v>
      </c>
      <c r="U206" s="5">
        <f>(Q127*($E127/365))+(Q128*($E128/365))+(Q129*($E129/365))</f>
        <v>0</v>
      </c>
      <c r="W206" s="5">
        <f>S206+T206+U206</f>
        <v>45.723287671232882</v>
      </c>
    </row>
    <row r="207" spans="1:23" x14ac:dyDescent="0.15">
      <c r="A207" s="1">
        <v>2015</v>
      </c>
      <c r="B207" s="5">
        <f>(K130*($E130/365))+(K131*($E131/365))</f>
        <v>6.5592264302981462</v>
      </c>
      <c r="C207" s="5">
        <f>(L130*($E130/365))+(L131*($E131/365))</f>
        <v>93.440773569701847</v>
      </c>
      <c r="D207" s="5">
        <f>(M130*($E130/365))+(M131*($E131/365))</f>
        <v>0</v>
      </c>
      <c r="E207" s="18">
        <f>B207+C207+D207</f>
        <v>100</v>
      </c>
      <c r="G207" s="1">
        <v>2015</v>
      </c>
      <c r="H207" s="409">
        <f>(O130/$R130*100*($E130/365))+(O131/$R131*100*($E131/365))</f>
        <v>0</v>
      </c>
      <c r="I207" s="409"/>
      <c r="J207" s="409">
        <f>(P130/$R130*100*($E130/365))+(P131/$R131*100*($E131/365))</f>
        <v>100</v>
      </c>
      <c r="K207" s="409"/>
      <c r="L207" s="409">
        <f>(Q130/$R130*100*($E130/365))+(Q131/$R131*100*($E131/365))</f>
        <v>0</v>
      </c>
      <c r="M207" s="409"/>
      <c r="N207" s="379">
        <f>H207+J207+L207</f>
        <v>100</v>
      </c>
      <c r="O207" s="379"/>
      <c r="R207" s="1">
        <v>2015</v>
      </c>
      <c r="S207" s="5">
        <f>(O130*($E130/365))+(O131*($E131/365))</f>
        <v>0</v>
      </c>
      <c r="T207" s="5">
        <f>(P130*($E130/365))+(P131*($E131/365))</f>
        <v>43.2</v>
      </c>
      <c r="U207" s="5">
        <f>(Q130*($E130/365))+(Q131*($E131/365))</f>
        <v>0</v>
      </c>
      <c r="W207" s="5">
        <f>S207+T207+U207</f>
        <v>43.2</v>
      </c>
    </row>
    <row r="208" spans="1:23" x14ac:dyDescent="0.15">
      <c r="A208" s="1">
        <v>2016</v>
      </c>
      <c r="B208" s="5">
        <f>(K132*($E132/366))+(K133*($E133/366))</f>
        <v>5.8823529411764701</v>
      </c>
      <c r="C208" s="5">
        <f>(L132*($E132/366))+(L133*($E133/366))</f>
        <v>94.117647058823522</v>
      </c>
      <c r="D208" s="5">
        <f>(M132*($E132/366))+(M133*($E133/366))</f>
        <v>0</v>
      </c>
      <c r="E208" s="18">
        <f t="shared" ref="E208" si="24">B208+C208+D208</f>
        <v>99.999999999999986</v>
      </c>
      <c r="G208" s="1">
        <v>2016</v>
      </c>
      <c r="H208" s="409">
        <f>(O132/$R132*100*($E132/366))+(O133/$R133*100*($E133/366))</f>
        <v>0</v>
      </c>
      <c r="I208" s="409"/>
      <c r="J208" s="409">
        <f>(P132/$R132*100*($E132/366))+(P133/$R133*100*($E133/366))</f>
        <v>100</v>
      </c>
      <c r="K208" s="409"/>
      <c r="L208" s="409">
        <f>(Q132/$R132*100*($E132/366))+(Q133/$R133*100*($E133/366))</f>
        <v>0</v>
      </c>
      <c r="M208" s="409"/>
      <c r="N208" s="379">
        <f t="shared" ref="N208" si="25">H208+J208+L208</f>
        <v>100</v>
      </c>
      <c r="O208" s="379"/>
      <c r="R208" s="1">
        <v>2016</v>
      </c>
      <c r="S208" s="5">
        <f>(O132*($E132/366))+(O133*($E133/366))</f>
        <v>0</v>
      </c>
      <c r="T208" s="5">
        <f>(P132*($E132/366))+(P133*($E133/366))</f>
        <v>44.6</v>
      </c>
      <c r="U208" s="5">
        <f>(Q132*($E132/366))+(Q133*($E133/366))</f>
        <v>0</v>
      </c>
      <c r="W208" s="5">
        <f t="shared" ref="W208" si="26">S208+T208+U208</f>
        <v>44.6</v>
      </c>
    </row>
    <row r="209" spans="1:23" x14ac:dyDescent="0.15">
      <c r="A209" s="1">
        <v>2017</v>
      </c>
      <c r="B209" s="5">
        <f>(K134*($E134/365))+(K135*($E135/365))+(K136*($E136/365))+(K137*($E137/365))</f>
        <v>81.885576148267518</v>
      </c>
      <c r="C209" s="5">
        <f>(L134*($E134/365))+(L135*($E135/365))+(L136*($E136/365))+(L137*($E137/365))</f>
        <v>4.8992747784045125</v>
      </c>
      <c r="D209" s="5">
        <f t="shared" ref="D209" si="27">(M134*($E134/365))+(M135*($E135/365))+(M136*($E136/365))+(M137*($E137/365))</f>
        <v>0</v>
      </c>
      <c r="E209" s="18">
        <f t="shared" ref="E209" si="28">B209+C209+D209</f>
        <v>86.784850926672036</v>
      </c>
      <c r="G209" s="1">
        <v>2017</v>
      </c>
      <c r="H209" s="409">
        <f>(O134/$R134*100*($E134/365))+(O135/$R135*100*($E135/365))+(O136/$R135*100*($E136/365))+(O137/$R137*100*($E137/365))</f>
        <v>94.794520547945197</v>
      </c>
      <c r="I209" s="409"/>
      <c r="J209" s="409">
        <f>(P134/$R134*100*($E134/365))+(P135/$R135*100*($E135/365))+(P136/$R135*100*($E136/365))+(P137/$R137*100*($E137/365))</f>
        <v>5.2054794520547949</v>
      </c>
      <c r="K209" s="409"/>
      <c r="L209" s="409">
        <f>(Q134/$R134*100*($E134/365))+(Q135/$R135*100*($E135/365))+(Q136/$R135*100*($E136/365))+(Q137/$R137*100*($E137/365))</f>
        <v>0</v>
      </c>
      <c r="M209" s="409"/>
      <c r="N209" s="379">
        <f t="shared" ref="N209" si="29">H209+J209+L209</f>
        <v>99.999999999999986</v>
      </c>
      <c r="O209" s="379"/>
      <c r="R209" s="1">
        <v>2017</v>
      </c>
      <c r="S209" s="5">
        <f>(O134*($E134/365))+(O135*($E135/365))+(O136*($E136/365))+(O137*($E137/365))</f>
        <v>52.516164383561637</v>
      </c>
      <c r="T209" s="5">
        <f t="shared" ref="T209:U209" si="30">(P134*($E134/365))+(P135*($E135/365))+(P136*($E136/365))+(P137*($E137/365))</f>
        <v>2.3216438356164386</v>
      </c>
      <c r="U209" s="5">
        <f t="shared" si="30"/>
        <v>0</v>
      </c>
      <c r="W209" s="5">
        <f t="shared" ref="W209" si="31">S209+T209+U209</f>
        <v>54.837808219178079</v>
      </c>
    </row>
    <row r="210" spans="1:23" x14ac:dyDescent="0.15">
      <c r="A210" s="1">
        <v>2018</v>
      </c>
      <c r="B210" s="5">
        <f>(K138*($E138/365))+(K139*($E139/365))</f>
        <v>92.731668009669619</v>
      </c>
      <c r="C210" s="5">
        <f t="shared" ref="C210:D210" si="32">(L138*($E138/365))+(L139*($E139/365))</f>
        <v>0</v>
      </c>
      <c r="D210" s="5">
        <f t="shared" si="32"/>
        <v>0</v>
      </c>
      <c r="E210" s="18">
        <f t="shared" ref="E210" si="33">B210+C210+D210</f>
        <v>92.731668009669619</v>
      </c>
      <c r="G210" s="1">
        <v>2018</v>
      </c>
      <c r="H210" s="409">
        <f>(O138/$R138*100*($E138/365))+(O139/$R139*100*($E139/365))</f>
        <v>100</v>
      </c>
      <c r="I210" s="409"/>
      <c r="J210" s="409">
        <f>(P138/$R138*100*($E138/365))+(P139/$R139*100*($E139/365))</f>
        <v>0</v>
      </c>
      <c r="K210" s="409"/>
      <c r="L210" s="409">
        <f>(Q138/$R138*100*($E138/365))+(Q139/$R139*100*($E139/365))</f>
        <v>0</v>
      </c>
      <c r="M210" s="409"/>
      <c r="N210" s="379">
        <f t="shared" ref="N210" si="34">H210+J210+L210</f>
        <v>100</v>
      </c>
      <c r="O210" s="379"/>
      <c r="R210" s="1">
        <v>2018</v>
      </c>
      <c r="S210" s="5">
        <f>(O138*($E138/365))+(O139*($E139/365))</f>
        <v>47.985479452054797</v>
      </c>
      <c r="T210" s="5">
        <f>(P138*($E138/365))+(P139*($E139/365))</f>
        <v>0</v>
      </c>
      <c r="U210" s="5">
        <f>(Q138*($E138/365))+(Q139*($E139/365))</f>
        <v>0</v>
      </c>
      <c r="W210" s="5">
        <f t="shared" ref="W210" si="35">S210+T210+U210</f>
        <v>47.985479452054797</v>
      </c>
    </row>
    <row r="211" spans="1:23" x14ac:dyDescent="0.15">
      <c r="A211" s="1">
        <v>2019</v>
      </c>
      <c r="B211" s="5">
        <f>(K140*($E140/365))+(K141*($E141/365))</f>
        <v>94.117647058823522</v>
      </c>
      <c r="C211" s="5">
        <f>(L140*($E140/365))+(L141*($E141/365))</f>
        <v>0</v>
      </c>
      <c r="D211" s="5">
        <f>(M140*($E140/365))+(M141*($E141/365))</f>
        <v>0</v>
      </c>
      <c r="E211" s="18">
        <f t="shared" ref="E211:E212" si="36">B211+C211+D211</f>
        <v>94.117647058823522</v>
      </c>
      <c r="G211" s="1">
        <v>2019</v>
      </c>
      <c r="H211" s="409">
        <f>(O140/$R140*100*($E140/365))+(O141/$R141*100*($E141/365))</f>
        <v>100</v>
      </c>
      <c r="I211" s="409"/>
      <c r="J211" s="409">
        <f>(P140/$R140*100*($E140/365))+(P141/$R141*100*($E141/365))</f>
        <v>0</v>
      </c>
      <c r="K211" s="409"/>
      <c r="L211" s="409">
        <f>(Q140/$R140*100*($E140/365))+(Q141/$R141*100*($E141/365))</f>
        <v>0</v>
      </c>
      <c r="M211" s="409"/>
      <c r="N211" s="379">
        <f t="shared" ref="N211" si="37">H211+J211+L211</f>
        <v>100</v>
      </c>
      <c r="O211" s="379"/>
      <c r="R211" s="1">
        <v>2019</v>
      </c>
      <c r="S211" s="5">
        <f>(O140*($E140/365))+(O141*($E141/365))</f>
        <v>45.7</v>
      </c>
      <c r="T211" s="5">
        <f>(P140*($E140/365))+(P141*($E141/365))</f>
        <v>0</v>
      </c>
      <c r="U211" s="5">
        <f>(Q140*($E140/365))+(Q141*($E141/365))</f>
        <v>0</v>
      </c>
      <c r="W211" s="5">
        <f t="shared" ref="W211:W212" si="38">S211+T211+U211</f>
        <v>45.7</v>
      </c>
    </row>
    <row r="212" spans="1:23" x14ac:dyDescent="0.15">
      <c r="A212" s="1">
        <v>2020</v>
      </c>
      <c r="B212" s="5">
        <f>(K142*($E142/366))+(K143*($E143/366))</f>
        <v>94.117647058823522</v>
      </c>
      <c r="C212" s="5">
        <f>(L142*($E142/366))+(L143*($E143/366))</f>
        <v>0</v>
      </c>
      <c r="D212" s="5">
        <f>(M142*($E142/366))+(M143*($E143/366))</f>
        <v>0</v>
      </c>
      <c r="E212" s="18">
        <f t="shared" si="36"/>
        <v>94.117647058823522</v>
      </c>
      <c r="G212" s="1">
        <v>2020</v>
      </c>
      <c r="H212" s="409">
        <f>(O142/$R142*100*($E142/366))+(O143/$R143*100*($E143/366))</f>
        <v>100</v>
      </c>
      <c r="I212" s="409"/>
      <c r="J212" s="409">
        <f>(P142/$R142*100*($E142/366))+(P143/$R143*100*($E143/366))</f>
        <v>0</v>
      </c>
      <c r="K212" s="409"/>
      <c r="L212" s="409">
        <f>(Q142/$R142*100*($E142/366))+(Q143/$R143*100*($E143/366))</f>
        <v>0</v>
      </c>
      <c r="M212" s="409"/>
      <c r="N212" s="379">
        <f t="shared" ref="N212" si="39">H212+J212+L212</f>
        <v>100</v>
      </c>
      <c r="O212" s="379"/>
      <c r="R212" s="1">
        <v>2020</v>
      </c>
      <c r="S212" s="5">
        <f>(O142*($E142/366))+(O143*($E143/366))</f>
        <v>49</v>
      </c>
      <c r="T212" s="5">
        <f>(P142*($E142/366))+(P143*($E143/366))</f>
        <v>0</v>
      </c>
      <c r="U212" s="5">
        <f>(Q142*($E142/366))+(Q143*($E143/366))</f>
        <v>0</v>
      </c>
      <c r="W212" s="5">
        <f t="shared" si="38"/>
        <v>49</v>
      </c>
    </row>
  </sheetData>
  <mergeCells count="412">
    <mergeCell ref="L155:M155"/>
    <mergeCell ref="N155:O155"/>
    <mergeCell ref="H212:I212"/>
    <mergeCell ref="J212:K212"/>
    <mergeCell ref="L212:M212"/>
    <mergeCell ref="N212:O212"/>
    <mergeCell ref="L211:M211"/>
    <mergeCell ref="N211:O211"/>
    <mergeCell ref="J209:K209"/>
    <mergeCell ref="L209:M209"/>
    <mergeCell ref="H209:I209"/>
    <mergeCell ref="N209:O209"/>
    <mergeCell ref="L160:M160"/>
    <mergeCell ref="N160:O160"/>
    <mergeCell ref="J157:K157"/>
    <mergeCell ref="L158:M158"/>
    <mergeCell ref="N158:O158"/>
    <mergeCell ref="H159:I159"/>
    <mergeCell ref="H211:I211"/>
    <mergeCell ref="J211:K211"/>
    <mergeCell ref="J163:K163"/>
    <mergeCell ref="J167:K167"/>
    <mergeCell ref="J172:K172"/>
    <mergeCell ref="H164:I164"/>
    <mergeCell ref="C103:D103"/>
    <mergeCell ref="C104:D104"/>
    <mergeCell ref="C100:D100"/>
    <mergeCell ref="C101:D101"/>
    <mergeCell ref="C102:D102"/>
    <mergeCell ref="C140:D140"/>
    <mergeCell ref="C141:D141"/>
    <mergeCell ref="L157:M157"/>
    <mergeCell ref="N157:O157"/>
    <mergeCell ref="C119:D119"/>
    <mergeCell ref="C120:D120"/>
    <mergeCell ref="C121:D121"/>
    <mergeCell ref="C122:D122"/>
    <mergeCell ref="C126:D126"/>
    <mergeCell ref="C125:D125"/>
    <mergeCell ref="C142:D142"/>
    <mergeCell ref="C143:D143"/>
    <mergeCell ref="H150:I150"/>
    <mergeCell ref="C113:D113"/>
    <mergeCell ref="C105:D105"/>
    <mergeCell ref="C106:D106"/>
    <mergeCell ref="C114:D114"/>
    <mergeCell ref="C115:D115"/>
    <mergeCell ref="C116:D116"/>
    <mergeCell ref="C107:D107"/>
    <mergeCell ref="C108:D108"/>
    <mergeCell ref="C109:D109"/>
    <mergeCell ref="C110:D110"/>
    <mergeCell ref="C112:D112"/>
    <mergeCell ref="C111:D111"/>
    <mergeCell ref="H160:I160"/>
    <mergeCell ref="J160:K160"/>
    <mergeCell ref="H157:I157"/>
    <mergeCell ref="H158:I158"/>
    <mergeCell ref="J158:K158"/>
    <mergeCell ref="C117:D117"/>
    <mergeCell ref="C118:D118"/>
    <mergeCell ref="C127:D127"/>
    <mergeCell ref="C128:D128"/>
    <mergeCell ref="C129:D129"/>
    <mergeCell ref="C130:D130"/>
    <mergeCell ref="C131:D131"/>
    <mergeCell ref="C138:D138"/>
    <mergeCell ref="C139:D139"/>
    <mergeCell ref="C94:D94"/>
    <mergeCell ref="C95:D95"/>
    <mergeCell ref="C96:D96"/>
    <mergeCell ref="C74:D74"/>
    <mergeCell ref="C75:D75"/>
    <mergeCell ref="C79:D79"/>
    <mergeCell ref="C80:D80"/>
    <mergeCell ref="C81:D81"/>
    <mergeCell ref="C99:D99"/>
    <mergeCell ref="C93:D93"/>
    <mergeCell ref="C82:D82"/>
    <mergeCell ref="C83:D83"/>
    <mergeCell ref="C84:D84"/>
    <mergeCell ref="C85:D85"/>
    <mergeCell ref="C86:D86"/>
    <mergeCell ref="C87:D87"/>
    <mergeCell ref="C88:D88"/>
    <mergeCell ref="C89:D89"/>
    <mergeCell ref="C90:D90"/>
    <mergeCell ref="C91:D91"/>
    <mergeCell ref="C92:D92"/>
    <mergeCell ref="C97:D97"/>
    <mergeCell ref="C98:D98"/>
    <mergeCell ref="C53:D53"/>
    <mergeCell ref="C54:D54"/>
    <mergeCell ref="C55:D55"/>
    <mergeCell ref="C56:D56"/>
    <mergeCell ref="C57:D57"/>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45:D45"/>
    <mergeCell ref="C44:D44"/>
    <mergeCell ref="C46:D46"/>
    <mergeCell ref="C47:D47"/>
    <mergeCell ref="C48:D48"/>
    <mergeCell ref="C49:D49"/>
    <mergeCell ref="C50:D50"/>
    <mergeCell ref="C51:D51"/>
    <mergeCell ref="C52:D52"/>
    <mergeCell ref="C35:D35"/>
    <mergeCell ref="C36:D36"/>
    <mergeCell ref="C37:D37"/>
    <mergeCell ref="C38:D38"/>
    <mergeCell ref="C39:D39"/>
    <mergeCell ref="C40:D40"/>
    <mergeCell ref="C41:D41"/>
    <mergeCell ref="C42:D42"/>
    <mergeCell ref="C43:D43"/>
    <mergeCell ref="C26:D26"/>
    <mergeCell ref="C27:D27"/>
    <mergeCell ref="C28:D28"/>
    <mergeCell ref="C29:D29"/>
    <mergeCell ref="C31:D31"/>
    <mergeCell ref="C32:D32"/>
    <mergeCell ref="C30:D30"/>
    <mergeCell ref="C33:D33"/>
    <mergeCell ref="C34:D34"/>
    <mergeCell ref="C17:D17"/>
    <mergeCell ref="C18:D18"/>
    <mergeCell ref="C19:D19"/>
    <mergeCell ref="C20:D20"/>
    <mergeCell ref="C21:D21"/>
    <mergeCell ref="C22:D22"/>
    <mergeCell ref="C23:D23"/>
    <mergeCell ref="C25:D25"/>
    <mergeCell ref="C24:D24"/>
    <mergeCell ref="AD4:AG4"/>
    <mergeCell ref="AH4:AK4"/>
    <mergeCell ref="AL4:AO4"/>
    <mergeCell ref="U4:U5"/>
    <mergeCell ref="V4:Y4"/>
    <mergeCell ref="AP4:AS4"/>
    <mergeCell ref="C8:D8"/>
    <mergeCell ref="K4:N4"/>
    <mergeCell ref="O4:R4"/>
    <mergeCell ref="S4:S5"/>
    <mergeCell ref="T4:T5"/>
    <mergeCell ref="C7:D7"/>
    <mergeCell ref="C6:D6"/>
    <mergeCell ref="A4:A5"/>
    <mergeCell ref="B4:B5"/>
    <mergeCell ref="C4:D5"/>
    <mergeCell ref="E4:E5"/>
    <mergeCell ref="F4:F5"/>
    <mergeCell ref="G4:J4"/>
    <mergeCell ref="C11:D11"/>
    <mergeCell ref="H151:I151"/>
    <mergeCell ref="J151:K151"/>
    <mergeCell ref="C123:D123"/>
    <mergeCell ref="C124:D124"/>
    <mergeCell ref="C134:D134"/>
    <mergeCell ref="C135:D135"/>
    <mergeCell ref="C136:D136"/>
    <mergeCell ref="C137:D137"/>
    <mergeCell ref="C132:D132"/>
    <mergeCell ref="C133:D133"/>
    <mergeCell ref="C12:D12"/>
    <mergeCell ref="C9:D9"/>
    <mergeCell ref="C10:D10"/>
    <mergeCell ref="C13:D13"/>
    <mergeCell ref="C14:D14"/>
    <mergeCell ref="C15:D15"/>
    <mergeCell ref="C16:D16"/>
    <mergeCell ref="G3:M3"/>
    <mergeCell ref="O3:Q3"/>
    <mergeCell ref="H156:I156"/>
    <mergeCell ref="J156:K156"/>
    <mergeCell ref="L156:M156"/>
    <mergeCell ref="N156:O156"/>
    <mergeCell ref="H153:I153"/>
    <mergeCell ref="J153:K153"/>
    <mergeCell ref="L153:M153"/>
    <mergeCell ref="N153:O153"/>
    <mergeCell ref="H154:I154"/>
    <mergeCell ref="J154:K154"/>
    <mergeCell ref="L154:M154"/>
    <mergeCell ref="N154:O154"/>
    <mergeCell ref="N152:O152"/>
    <mergeCell ref="J150:K150"/>
    <mergeCell ref="L150:M150"/>
    <mergeCell ref="N150:O150"/>
    <mergeCell ref="H152:I152"/>
    <mergeCell ref="J152:K152"/>
    <mergeCell ref="L151:M151"/>
    <mergeCell ref="N151:O151"/>
    <mergeCell ref="H155:I155"/>
    <mergeCell ref="J155:K155"/>
    <mergeCell ref="J164:K164"/>
    <mergeCell ref="L164:M164"/>
    <mergeCell ref="N164:O164"/>
    <mergeCell ref="H161:I161"/>
    <mergeCell ref="J161:K161"/>
    <mergeCell ref="L161:M161"/>
    <mergeCell ref="N161:O161"/>
    <mergeCell ref="H162:I162"/>
    <mergeCell ref="J162:K162"/>
    <mergeCell ref="L162:M162"/>
    <mergeCell ref="N162:O162"/>
    <mergeCell ref="H163:I163"/>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67:I167"/>
    <mergeCell ref="H186:I186"/>
    <mergeCell ref="H187:I187"/>
    <mergeCell ref="H188:I188"/>
    <mergeCell ref="H171:I171"/>
    <mergeCell ref="H172:I172"/>
    <mergeCell ref="N177:O177"/>
    <mergeCell ref="N178:O178"/>
    <mergeCell ref="N174:O174"/>
    <mergeCell ref="N175:O175"/>
    <mergeCell ref="N176:O176"/>
    <mergeCell ref="H177:I177"/>
    <mergeCell ref="H178:I178"/>
    <mergeCell ref="J175:K175"/>
    <mergeCell ref="J176:K176"/>
    <mergeCell ref="J173:K173"/>
    <mergeCell ref="L173:M173"/>
    <mergeCell ref="H180:I180"/>
    <mergeCell ref="H181:I181"/>
    <mergeCell ref="H182:I182"/>
    <mergeCell ref="H183:I183"/>
    <mergeCell ref="H184:I184"/>
    <mergeCell ref="H185:I185"/>
    <mergeCell ref="H174:I174"/>
    <mergeCell ref="H175:I175"/>
    <mergeCell ref="H176:I176"/>
    <mergeCell ref="H169:I169"/>
    <mergeCell ref="H170:I170"/>
    <mergeCell ref="N190:O190"/>
    <mergeCell ref="N191:O191"/>
    <mergeCell ref="N192:O192"/>
    <mergeCell ref="L190:M190"/>
    <mergeCell ref="L191:M191"/>
    <mergeCell ref="J189:K189"/>
    <mergeCell ref="J190:K190"/>
    <mergeCell ref="J191:K191"/>
    <mergeCell ref="N186:O186"/>
    <mergeCell ref="N187:O187"/>
    <mergeCell ref="L186:M186"/>
    <mergeCell ref="L187:M187"/>
    <mergeCell ref="L188:M188"/>
    <mergeCell ref="L189:M189"/>
    <mergeCell ref="N188:O188"/>
    <mergeCell ref="H179:I179"/>
    <mergeCell ref="H173:I173"/>
    <mergeCell ref="J185:K185"/>
    <mergeCell ref="N184:O184"/>
    <mergeCell ref="N185:O185"/>
    <mergeCell ref="J178:K178"/>
    <mergeCell ref="J174:K174"/>
    <mergeCell ref="L152:M152"/>
    <mergeCell ref="N181:O181"/>
    <mergeCell ref="N182:O182"/>
    <mergeCell ref="L176:M176"/>
    <mergeCell ref="L177:M177"/>
    <mergeCell ref="L178:M178"/>
    <mergeCell ref="L179:M179"/>
    <mergeCell ref="J169:K169"/>
    <mergeCell ref="L169:M169"/>
    <mergeCell ref="N169:O169"/>
    <mergeCell ref="J170:K170"/>
    <mergeCell ref="L170:M170"/>
    <mergeCell ref="N170:O170"/>
    <mergeCell ref="J177:K177"/>
    <mergeCell ref="L172:M172"/>
    <mergeCell ref="L167:M167"/>
    <mergeCell ref="N167:O167"/>
    <mergeCell ref="L163:M163"/>
    <mergeCell ref="N163:O163"/>
    <mergeCell ref="J159:K159"/>
    <mergeCell ref="L159:M159"/>
    <mergeCell ref="N159:O159"/>
    <mergeCell ref="N179:O179"/>
    <mergeCell ref="N180:O180"/>
    <mergeCell ref="L180:M180"/>
    <mergeCell ref="AX4:BA4"/>
    <mergeCell ref="N205:O205"/>
    <mergeCell ref="N204:O204"/>
    <mergeCell ref="N198:O198"/>
    <mergeCell ref="N199:O199"/>
    <mergeCell ref="AT4:AW4"/>
    <mergeCell ref="N200:O200"/>
    <mergeCell ref="L193:M193"/>
    <mergeCell ref="L194:M194"/>
    <mergeCell ref="L195:M195"/>
    <mergeCell ref="L196:M196"/>
    <mergeCell ref="N172:O172"/>
    <mergeCell ref="N173:O173"/>
    <mergeCell ref="R148:W148"/>
    <mergeCell ref="L181:M181"/>
    <mergeCell ref="L182:M182"/>
    <mergeCell ref="L183:M183"/>
    <mergeCell ref="L171:M171"/>
    <mergeCell ref="N171:O171"/>
    <mergeCell ref="N183:O183"/>
    <mergeCell ref="Z4:AC4"/>
    <mergeCell ref="L204:M204"/>
    <mergeCell ref="H202:I202"/>
    <mergeCell ref="J202:K202"/>
    <mergeCell ref="H198:I198"/>
    <mergeCell ref="J198:K198"/>
    <mergeCell ref="L198:M198"/>
    <mergeCell ref="H199:I199"/>
    <mergeCell ref="J199:K199"/>
    <mergeCell ref="L199:M199"/>
    <mergeCell ref="H200:I200"/>
    <mergeCell ref="J200:K200"/>
    <mergeCell ref="L200:M200"/>
    <mergeCell ref="H201:I201"/>
    <mergeCell ref="J201:K201"/>
    <mergeCell ref="L201:M201"/>
    <mergeCell ref="J179:K179"/>
    <mergeCell ref="J180:K180"/>
    <mergeCell ref="J181:K181"/>
    <mergeCell ref="J182:K182"/>
    <mergeCell ref="J171:K171"/>
    <mergeCell ref="H206:I206"/>
    <mergeCell ref="J206:K206"/>
    <mergeCell ref="L206:M206"/>
    <mergeCell ref="N206:O206"/>
    <mergeCell ref="N202:O202"/>
    <mergeCell ref="H203:I203"/>
    <mergeCell ref="J203:K203"/>
    <mergeCell ref="L203:M203"/>
    <mergeCell ref="N203:O203"/>
    <mergeCell ref="H205:I205"/>
    <mergeCell ref="J205:K205"/>
    <mergeCell ref="L205:M205"/>
    <mergeCell ref="H204:I204"/>
    <mergeCell ref="J204:K204"/>
    <mergeCell ref="L184:M184"/>
    <mergeCell ref="L185:M185"/>
    <mergeCell ref="L174:M174"/>
    <mergeCell ref="L175:M175"/>
    <mergeCell ref="J183:K183"/>
    <mergeCell ref="N197:O197"/>
    <mergeCell ref="N195:O195"/>
    <mergeCell ref="N196:O196"/>
    <mergeCell ref="N189:O189"/>
    <mergeCell ref="N193:O193"/>
    <mergeCell ref="N194:O194"/>
    <mergeCell ref="H192:I192"/>
    <mergeCell ref="H193:I193"/>
    <mergeCell ref="H194:I194"/>
    <mergeCell ref="H190:I190"/>
    <mergeCell ref="H191:I191"/>
    <mergeCell ref="J192:K192"/>
    <mergeCell ref="J193:K193"/>
    <mergeCell ref="J194:K194"/>
    <mergeCell ref="H189:I189"/>
    <mergeCell ref="L192:M192"/>
    <mergeCell ref="L197:M197"/>
    <mergeCell ref="J184:K184"/>
    <mergeCell ref="H210:I210"/>
    <mergeCell ref="L210:M210"/>
    <mergeCell ref="N210:O210"/>
    <mergeCell ref="J210:K210"/>
    <mergeCell ref="H208:I208"/>
    <mergeCell ref="J208:K208"/>
    <mergeCell ref="L208:M208"/>
    <mergeCell ref="H195:I195"/>
    <mergeCell ref="H196:I196"/>
    <mergeCell ref="J195:K195"/>
    <mergeCell ref="J196:K196"/>
    <mergeCell ref="N208:O208"/>
    <mergeCell ref="L202:M202"/>
    <mergeCell ref="N201:O201"/>
    <mergeCell ref="H207:I207"/>
    <mergeCell ref="J207:K207"/>
    <mergeCell ref="L207:M207"/>
    <mergeCell ref="N207:O207"/>
    <mergeCell ref="J186:K186"/>
    <mergeCell ref="J187:K187"/>
    <mergeCell ref="J188:K188"/>
    <mergeCell ref="H197:I197"/>
    <mergeCell ref="J197:K197"/>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Microsoft Office User</cp:lastModifiedBy>
  <cp:lastPrinted>2014-09-26T08:25:19Z</cp:lastPrinted>
  <dcterms:created xsi:type="dcterms:W3CDTF">2005-12-13T12:13:00Z</dcterms:created>
  <dcterms:modified xsi:type="dcterms:W3CDTF">2023-01-27T10:48:41Z</dcterms:modified>
</cp:coreProperties>
</file>